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pivotCache/pivotCacheDefinition8.xml" ContentType="application/vnd.openxmlformats-officedocument.spreadsheetml.pivotCacheDefinition+xml"/>
  <Override PartName="/xl/pivotCache/pivotCacheRecords8.xml" ContentType="application/vnd.openxmlformats-officedocument.spreadsheetml.pivotCacheRecords+xml"/>
  <Override PartName="/xl/pivotCache/pivotCacheDefinition9.xml" ContentType="application/vnd.openxmlformats-officedocument.spreadsheetml.pivotCacheDefinition+xml"/>
  <Override PartName="/xl/pivotCache/pivotCacheRecords9.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28.xml" ContentType="application/vnd.openxmlformats-officedocument.spreadsheetml.pivotTable+xml"/>
  <Override PartName="/xl/drawings/drawing2.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12"/>
  <workbookPr showInkAnnotation="0" hidePivotFieldList="1" autoCompressPictures="0"/>
  <mc:AlternateContent xmlns:mc="http://schemas.openxmlformats.org/markup-compatibility/2006">
    <mc:Choice Requires="x15">
      <x15ac:absPath xmlns:x15ac="http://schemas.microsoft.com/office/spreadsheetml/2010/11/ac" url="/Volumes/Kaeli's Photos/CAJA18/Data files /"/>
    </mc:Choice>
  </mc:AlternateContent>
  <xr:revisionPtr revIDLastSave="0" documentId="13_ncr:1_{96C3EB2D-9F81-3346-8BE5-636D1BD6A4F6}" xr6:coauthVersionLast="46" xr6:coauthVersionMax="46" xr10:uidLastSave="{00000000-0000-0000-0000-000000000000}"/>
  <bookViews>
    <workbookView xWindow="1360" yWindow="460" windowWidth="25360" windowHeight="15280" tabRatio="500" firstSheet="12" activeTab="14" xr2:uid="{00000000-000D-0000-FFFF-FFFF00000000}"/>
  </bookViews>
  <sheets>
    <sheet name="Winter 2018" sheetId="1" r:id="rId1"/>
    <sheet name="Fall_2018" sheetId="56" r:id="rId2"/>
    <sheet name="Clean Fall GIS" sheetId="12" r:id="rId3"/>
    <sheet name="WinterSpring_2019_" sheetId="28" r:id="rId4"/>
    <sheet name="WinterSpring19Obs" sheetId="29" r:id="rId5"/>
    <sheet name="WinterSpring GIS" sheetId="32" r:id="rId6"/>
    <sheet name="June_2019_data" sheetId="54" r:id="rId7"/>
    <sheet name="August_2019" sheetId="55" r:id="rId8"/>
    <sheet name="2019 breeding" sheetId="70" r:id="rId9"/>
    <sheet name="Foraging effort" sheetId="68" r:id="rId10"/>
    <sheet name="All season orientation" sheetId="76" r:id="rId11"/>
    <sheet name="Film time" sheetId="75" r:id="rId12"/>
    <sheet name="Foraging rate pivots" sheetId="71" r:id="rId13"/>
    <sheet name="All season aquisition" sheetId="64" r:id="rId14"/>
    <sheet name="All season specific aquisitions" sheetId="65" r:id="rId15"/>
    <sheet name="All season specific caches" sheetId="73" r:id="rId16"/>
    <sheet name="All season caches_pivot" sheetId="67" r:id="rId17"/>
    <sheet name="Cache behaviors" sheetId="69" r:id="rId18"/>
    <sheet name="All caches" sheetId="66" r:id="rId19"/>
  </sheets>
  <definedNames>
    <definedName name="_xlnm._FilterDatabase" localSheetId="8" hidden="1">'2019 breeding'!$A$1:$AR$1539</definedName>
    <definedName name="_xlnm._FilterDatabase" localSheetId="18" hidden="1">'All caches'!$A$1:$AV$481</definedName>
    <definedName name="_xlnm._FilterDatabase" localSheetId="7" hidden="1">August_2019!$A$1:$AR$285</definedName>
    <definedName name="_xlnm._FilterDatabase" localSheetId="2" hidden="1">'Clean Fall GIS'!$A$1:$AE$261</definedName>
    <definedName name="_xlnm._FilterDatabase" localSheetId="1" hidden="1">Fall_2018!$A$1:$AU$869</definedName>
    <definedName name="_xlnm._FilterDatabase" localSheetId="6" hidden="1">June_2019_data!$A$1:$AP$55</definedName>
    <definedName name="_xlnm._FilterDatabase" localSheetId="0" hidden="1">'Winter 2018'!$A$1:$AF$92</definedName>
    <definedName name="_xlnm._FilterDatabase" localSheetId="3" hidden="1">WinterSpring_2019_!$A$1:$AQ$689</definedName>
    <definedName name="ActiveRow">1</definedName>
  </definedNames>
  <calcPr calcId="191029"/>
  <pivotCaches>
    <pivotCache cacheId="9" r:id="rId20"/>
    <pivotCache cacheId="10" r:id="rId21"/>
    <pivotCache cacheId="11" r:id="rId22"/>
    <pivotCache cacheId="12" r:id="rId23"/>
    <pivotCache cacheId="13" r:id="rId24"/>
    <pivotCache cacheId="14" r:id="rId25"/>
    <pivotCache cacheId="15" r:id="rId26"/>
    <pivotCache cacheId="16" r:id="rId27"/>
    <pivotCache cacheId="17" r:id="rId2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W7" i="65" l="1"/>
  <c r="Y7" i="65"/>
  <c r="Y8" i="65"/>
  <c r="Y9" i="65"/>
  <c r="W10" i="65"/>
  <c r="Y10" i="65"/>
  <c r="Y11" i="65"/>
  <c r="Y12" i="65"/>
  <c r="Y13" i="65"/>
  <c r="Y14" i="65"/>
  <c r="Y15" i="65"/>
  <c r="W16" i="65"/>
  <c r="Y16" i="65"/>
  <c r="Y17" i="65"/>
  <c r="Y18" i="65"/>
  <c r="Y19" i="65"/>
  <c r="Y20" i="65"/>
  <c r="Y21" i="65"/>
  <c r="W22" i="65"/>
  <c r="Y22" i="65"/>
  <c r="Y23" i="65"/>
  <c r="W24" i="65"/>
  <c r="Y24" i="65"/>
  <c r="Y25" i="65"/>
  <c r="Y26" i="65"/>
  <c r="W27" i="65"/>
  <c r="Y27" i="65"/>
  <c r="W28" i="65"/>
  <c r="Y28" i="65"/>
  <c r="W29" i="65"/>
  <c r="Y29" i="65"/>
  <c r="Y30" i="65"/>
  <c r="W31" i="65"/>
  <c r="Y31" i="65"/>
  <c r="Y32" i="65"/>
  <c r="Y33" i="65"/>
  <c r="Y34" i="65"/>
  <c r="W35" i="65"/>
  <c r="Y35" i="65"/>
  <c r="Y36" i="65"/>
  <c r="Y37" i="65"/>
  <c r="Y38" i="65"/>
  <c r="Y39" i="65"/>
  <c r="W40" i="65"/>
  <c r="Y40" i="65"/>
  <c r="AF56" i="64"/>
  <c r="AF55" i="64"/>
  <c r="J85" i="64"/>
  <c r="I89" i="64"/>
  <c r="I88" i="64"/>
  <c r="I87" i="64"/>
  <c r="I85" i="64"/>
  <c r="H86" i="64"/>
  <c r="H87" i="64"/>
  <c r="H88" i="64"/>
  <c r="H89" i="64"/>
  <c r="H90" i="64"/>
  <c r="H85" i="64"/>
  <c r="E90" i="64"/>
  <c r="F90" i="64"/>
  <c r="G90" i="64"/>
  <c r="D90" i="64"/>
  <c r="C92" i="64"/>
  <c r="C91" i="64"/>
  <c r="E91" i="64" s="1"/>
  <c r="Z180" i="76"/>
  <c r="Z179" i="76"/>
  <c r="Z178" i="76"/>
  <c r="Z177" i="76"/>
  <c r="Z175" i="76"/>
  <c r="Z135" i="76"/>
  <c r="Z91" i="76"/>
  <c r="Z51" i="76"/>
  <c r="V13" i="65"/>
  <c r="V8" i="65"/>
  <c r="V11" i="65"/>
  <c r="V32" i="65"/>
  <c r="V14" i="65"/>
  <c r="V17" i="65"/>
  <c r="V38" i="65"/>
  <c r="V20" i="65"/>
  <c r="V23" i="65"/>
  <c r="V26" i="65"/>
  <c r="V12" i="65"/>
  <c r="V30" i="65"/>
  <c r="V33" i="65"/>
  <c r="V36" i="65"/>
  <c r="V15" i="65"/>
  <c r="V18" i="65"/>
  <c r="V39" i="65"/>
  <c r="V21" i="65"/>
  <c r="V34" i="65"/>
  <c r="V37" i="65"/>
  <c r="V19" i="65"/>
  <c r="V25" i="65"/>
  <c r="V9" i="65"/>
  <c r="W9" i="65" l="1"/>
  <c r="W25" i="65"/>
  <c r="W19" i="65"/>
  <c r="W37" i="65"/>
  <c r="W34" i="65"/>
  <c r="W21" i="65"/>
  <c r="W39" i="65"/>
  <c r="W18" i="65"/>
  <c r="W15" i="65"/>
  <c r="W36" i="65"/>
  <c r="W33" i="65"/>
  <c r="W30" i="65"/>
  <c r="W12" i="65"/>
  <c r="W26" i="65"/>
  <c r="W23" i="65"/>
  <c r="W20" i="65"/>
  <c r="W38" i="65"/>
  <c r="W17" i="65"/>
  <c r="W14" i="65"/>
  <c r="W32" i="65"/>
  <c r="W11" i="65"/>
  <c r="W8" i="65"/>
  <c r="W13" i="65"/>
  <c r="F91" i="64"/>
  <c r="G91" i="64"/>
  <c r="D91" i="64"/>
  <c r="N2" i="68"/>
  <c r="M3" i="68"/>
  <c r="L3" i="68"/>
  <c r="B8" i="75"/>
  <c r="N8" i="64" l="1"/>
  <c r="Q16" i="71" l="1"/>
  <c r="N15" i="71"/>
  <c r="N7" i="71"/>
  <c r="M14" i="71"/>
  <c r="N14" i="71"/>
  <c r="N6" i="71"/>
  <c r="Q12" i="71"/>
  <c r="N5" i="71"/>
  <c r="Q10" i="71"/>
  <c r="N4" i="71"/>
  <c r="N11" i="71"/>
  <c r="Q6" i="71"/>
  <c r="M10" i="71"/>
  <c r="Q4" i="71"/>
  <c r="M4" i="71"/>
  <c r="N8" i="71"/>
  <c r="Q14" i="71"/>
  <c r="M12" i="71"/>
  <c r="N13" i="71"/>
  <c r="M8" i="71"/>
  <c r="N12" i="71"/>
  <c r="Q8" i="71"/>
  <c r="M6" i="71"/>
  <c r="N10" i="71"/>
  <c r="N9" i="71"/>
  <c r="N16" i="71"/>
  <c r="M16" i="71"/>
  <c r="K18" i="71" l="1"/>
  <c r="J18" i="71"/>
  <c r="O4" i="71"/>
  <c r="P4" i="71" s="1"/>
  <c r="O5" i="71"/>
  <c r="P5" i="71" s="1"/>
  <c r="O6" i="71"/>
  <c r="P6" i="71" s="1"/>
  <c r="O7" i="71"/>
  <c r="P7" i="71" s="1"/>
  <c r="O8" i="71"/>
  <c r="P8" i="71" s="1"/>
  <c r="O9" i="71"/>
  <c r="P9" i="71" s="1"/>
  <c r="O10" i="71"/>
  <c r="P10" i="71" s="1"/>
  <c r="O11" i="71"/>
  <c r="P11" i="71" s="1"/>
  <c r="O12" i="71"/>
  <c r="P12" i="71" s="1"/>
  <c r="O13" i="71"/>
  <c r="P13" i="71" s="1"/>
  <c r="O14" i="71"/>
  <c r="P14" i="71" s="1"/>
  <c r="O15" i="71"/>
  <c r="P15" i="71" s="1"/>
  <c r="O16" i="71"/>
  <c r="P16" i="71" s="1"/>
  <c r="K19" i="71"/>
  <c r="J19" i="71"/>
  <c r="J10" i="71"/>
  <c r="J9" i="71"/>
  <c r="J16" i="71"/>
  <c r="J8" i="71"/>
  <c r="J15" i="71"/>
  <c r="J7" i="71"/>
  <c r="J14" i="71"/>
  <c r="J6" i="71"/>
  <c r="J13" i="71"/>
  <c r="J5" i="71"/>
  <c r="J12" i="71"/>
  <c r="J4" i="71"/>
  <c r="J11" i="71"/>
  <c r="K4" i="71" l="1"/>
  <c r="L4" i="71" s="1"/>
  <c r="K5" i="71"/>
  <c r="L5" i="71" s="1"/>
  <c r="K6" i="71"/>
  <c r="L6" i="71" s="1"/>
  <c r="K7" i="71"/>
  <c r="L7" i="71" s="1"/>
  <c r="K8" i="71"/>
  <c r="L8" i="71" s="1"/>
  <c r="K9" i="71"/>
  <c r="L9" i="71" s="1"/>
  <c r="K10" i="71"/>
  <c r="L10" i="71" s="1"/>
  <c r="K11" i="71"/>
  <c r="L11" i="71" s="1"/>
  <c r="K12" i="71"/>
  <c r="L12" i="71" s="1"/>
  <c r="K13" i="71"/>
  <c r="L13" i="71" s="1"/>
  <c r="K14" i="71"/>
  <c r="L14" i="71" s="1"/>
  <c r="K15" i="71"/>
  <c r="L15" i="71" s="1"/>
  <c r="K16" i="71"/>
  <c r="L16" i="71" s="1"/>
  <c r="H4" i="67"/>
  <c r="M4" i="69" l="1"/>
  <c r="C50" i="68"/>
  <c r="C48" i="68"/>
  <c r="C49" i="68"/>
  <c r="K2" i="68"/>
  <c r="D49" i="68" l="1"/>
  <c r="D50" i="68"/>
  <c r="AN1357" i="70"/>
  <c r="AN1452" i="70"/>
  <c r="AN1448" i="70"/>
  <c r="AN856" i="70"/>
  <c r="AN1538" i="70"/>
  <c r="AN1485" i="70"/>
  <c r="AN1447" i="70"/>
  <c r="AN1321" i="70"/>
  <c r="AN1320" i="70"/>
  <c r="AN1537" i="70"/>
  <c r="AN1446" i="70"/>
  <c r="AN1445" i="70"/>
  <c r="AN1505" i="70"/>
  <c r="AN1331" i="70"/>
  <c r="AN1444" i="70"/>
  <c r="AN1443" i="70"/>
  <c r="AN1049" i="70"/>
  <c r="AN753" i="70"/>
  <c r="AN1072" i="70"/>
  <c r="AN1071" i="70"/>
  <c r="AN752" i="70"/>
  <c r="AN1070" i="70"/>
  <c r="AN1069" i="70"/>
  <c r="AN1068" i="70"/>
  <c r="AN1067" i="70"/>
  <c r="AN1066" i="70"/>
  <c r="AN1065" i="70"/>
  <c r="AN1064" i="70"/>
  <c r="AN751" i="70"/>
  <c r="AN750" i="70"/>
  <c r="AN1048" i="70"/>
  <c r="AN1050" i="70"/>
  <c r="AN903" i="70"/>
  <c r="AN1047" i="70"/>
  <c r="AN1046" i="70"/>
  <c r="AN855" i="70"/>
  <c r="AN854" i="70"/>
  <c r="AN902" i="70"/>
  <c r="AN853" i="70"/>
  <c r="AN1045" i="70"/>
  <c r="AN901" i="70"/>
  <c r="AN1044" i="70"/>
  <c r="AN900" i="70"/>
  <c r="AN866" i="70"/>
  <c r="AN1008" i="70"/>
  <c r="AN1092" i="70"/>
  <c r="AN1091" i="70"/>
  <c r="AN820" i="70"/>
  <c r="AN819" i="70"/>
  <c r="AN818" i="70"/>
  <c r="AN817" i="70"/>
  <c r="AN816" i="70"/>
  <c r="AN1097" i="70"/>
  <c r="AN1096" i="70"/>
  <c r="AN1095" i="70"/>
  <c r="AN1094" i="70"/>
  <c r="AN1093" i="70"/>
  <c r="AN929" i="70"/>
  <c r="AN928" i="70"/>
  <c r="AN927" i="70"/>
  <c r="AN926" i="70"/>
  <c r="AN1106" i="70"/>
  <c r="AN925" i="70"/>
  <c r="AN924" i="70"/>
  <c r="AN923" i="70"/>
  <c r="AN922" i="70"/>
  <c r="AN921" i="70"/>
  <c r="AN1105" i="70"/>
  <c r="AN920" i="70"/>
  <c r="AN919" i="70"/>
  <c r="AN918" i="70"/>
  <c r="AN1104" i="70"/>
  <c r="AN1103" i="70"/>
  <c r="AN1102" i="70"/>
  <c r="AN1101" i="70"/>
  <c r="AN917" i="70"/>
  <c r="AN916" i="70"/>
  <c r="AN1173" i="70"/>
  <c r="AN1172" i="70"/>
  <c r="AN1171" i="70"/>
  <c r="AN1170" i="70"/>
  <c r="AN1169" i="70"/>
  <c r="AN1168" i="70"/>
  <c r="AN815" i="70"/>
  <c r="AN814" i="70"/>
  <c r="AN813" i="70"/>
  <c r="AN812" i="70"/>
  <c r="AN811" i="70"/>
  <c r="AN810" i="70"/>
  <c r="AN809" i="70"/>
  <c r="AN1090" i="70"/>
  <c r="AN808" i="70"/>
  <c r="AN1089" i="70"/>
  <c r="AN807" i="70"/>
  <c r="AN1088" i="70"/>
  <c r="AI1088" i="70"/>
  <c r="AN1087" i="70"/>
  <c r="AN1086" i="70"/>
  <c r="AN1063" i="70"/>
  <c r="AN899" i="70"/>
  <c r="AN898" i="70"/>
  <c r="AN897" i="70"/>
  <c r="AN896" i="70"/>
  <c r="AN895" i="70"/>
  <c r="AN894" i="70"/>
  <c r="AN893" i="70"/>
  <c r="AN892" i="70"/>
  <c r="AN891" i="70"/>
  <c r="AN890" i="70"/>
  <c r="AN1043" i="70"/>
  <c r="AN889" i="70"/>
  <c r="AN1042" i="70"/>
  <c r="AN1041" i="70"/>
  <c r="AN888" i="70"/>
  <c r="AN887" i="70"/>
  <c r="AN886" i="70"/>
  <c r="AN885" i="70"/>
  <c r="AN884" i="70"/>
  <c r="AK883" i="70"/>
  <c r="AN883" i="70" s="1"/>
  <c r="AH883" i="70"/>
  <c r="AN882" i="70"/>
  <c r="AN852" i="70"/>
  <c r="AN881" i="70"/>
  <c r="AN880" i="70"/>
  <c r="AN851" i="70"/>
  <c r="AN850" i="70"/>
  <c r="AN849" i="70"/>
  <c r="AN848" i="70"/>
  <c r="AN1040" i="70"/>
  <c r="AN776" i="70"/>
  <c r="AN775" i="70"/>
  <c r="AN774" i="70"/>
  <c r="AN878" i="70"/>
  <c r="AN773" i="70"/>
  <c r="AN772" i="70"/>
  <c r="AN771" i="70"/>
  <c r="AN877" i="70"/>
  <c r="AN770" i="70"/>
  <c r="AN769" i="70"/>
  <c r="AN876" i="70"/>
  <c r="AN875" i="70"/>
  <c r="AN874" i="70"/>
  <c r="AN873" i="70"/>
  <c r="AN806" i="70"/>
  <c r="AN805" i="70"/>
  <c r="AN986" i="70"/>
  <c r="AN985" i="70"/>
  <c r="AN990" i="70"/>
  <c r="AN984" i="70"/>
  <c r="AN879" i="70"/>
  <c r="AN983" i="70"/>
  <c r="AN989" i="70"/>
  <c r="AN982" i="70"/>
  <c r="AN992" i="70"/>
  <c r="AN974" i="70"/>
  <c r="AN1007" i="70"/>
  <c r="AN1039" i="70"/>
  <c r="AN1006" i="70"/>
  <c r="AN1005" i="70"/>
  <c r="AN1004" i="70"/>
  <c r="AN1003" i="70"/>
  <c r="AN991" i="70"/>
  <c r="AN1108" i="70"/>
  <c r="AN1107" i="70"/>
  <c r="AN1038" i="70"/>
  <c r="AN1037" i="70"/>
  <c r="AN1036" i="70"/>
  <c r="AN1073" i="70"/>
  <c r="AN1035" i="70"/>
  <c r="AN973" i="70"/>
  <c r="AN1034" i="70"/>
  <c r="AN1167" i="70"/>
  <c r="AN1166" i="70"/>
  <c r="AN1165" i="70"/>
  <c r="AN1164" i="70"/>
  <c r="AN1163" i="70"/>
  <c r="AN1162" i="70"/>
  <c r="AN1161" i="70"/>
  <c r="AN1160" i="70"/>
  <c r="AN804" i="70"/>
  <c r="AN803" i="70"/>
  <c r="AN802" i="70"/>
  <c r="AN801" i="70"/>
  <c r="AN800" i="70"/>
  <c r="AN1085" i="70"/>
  <c r="AN799" i="70"/>
  <c r="AN1084" i="70"/>
  <c r="AN798" i="70"/>
  <c r="AN1083" i="70"/>
  <c r="AN797" i="70"/>
  <c r="AN796" i="70"/>
  <c r="AN795" i="70"/>
  <c r="AN794" i="70"/>
  <c r="AN793" i="70"/>
  <c r="AN792" i="70"/>
  <c r="AN791" i="70"/>
  <c r="AN1082" i="70"/>
  <c r="AN790" i="70"/>
  <c r="AH790" i="70"/>
  <c r="AN789" i="70"/>
  <c r="AH789" i="70"/>
  <c r="AN788" i="70"/>
  <c r="AN787" i="70"/>
  <c r="AN786" i="70"/>
  <c r="AN1081" i="70"/>
  <c r="AN1080" i="70"/>
  <c r="AN1079" i="70"/>
  <c r="AN785" i="70"/>
  <c r="AN1078" i="70"/>
  <c r="AN1077" i="70"/>
  <c r="AN972" i="70"/>
  <c r="AN971" i="70"/>
  <c r="AN970" i="70"/>
  <c r="AN1062" i="70"/>
  <c r="AN1033" i="70"/>
  <c r="AN988" i="70"/>
  <c r="AN915" i="70"/>
  <c r="AN914" i="70"/>
  <c r="AN913" i="70"/>
  <c r="AN952" i="70"/>
  <c r="AN951" i="70"/>
  <c r="AN950" i="70"/>
  <c r="AN949" i="70"/>
  <c r="AN847" i="70"/>
  <c r="AN846" i="70"/>
  <c r="AN845" i="70"/>
  <c r="AN948" i="70"/>
  <c r="AN947" i="70"/>
  <c r="AN946" i="70"/>
  <c r="AN945" i="70"/>
  <c r="AN1032" i="70"/>
  <c r="AN1031" i="70"/>
  <c r="AN1030" i="70"/>
  <c r="AN1100" i="70"/>
  <c r="AN1099" i="70"/>
  <c r="AN768" i="70"/>
  <c r="AN767" i="70"/>
  <c r="AN872" i="70"/>
  <c r="AN871" i="70"/>
  <c r="AN870" i="70"/>
  <c r="AN869" i="70"/>
  <c r="AN766" i="70"/>
  <c r="AN765" i="70"/>
  <c r="AN764" i="70"/>
  <c r="AN763" i="70"/>
  <c r="AN868" i="70"/>
  <c r="AN867" i="70"/>
  <c r="AN1029" i="70"/>
  <c r="AN865" i="70"/>
  <c r="AN1159" i="70"/>
  <c r="AN864" i="70"/>
  <c r="AN1158" i="70"/>
  <c r="AN1157" i="70"/>
  <c r="AN1156" i="70"/>
  <c r="AN1155" i="70"/>
  <c r="AN863" i="70"/>
  <c r="AN862" i="70"/>
  <c r="AN861" i="70"/>
  <c r="AN1152" i="70"/>
  <c r="AN1151" i="70"/>
  <c r="AN1150" i="70"/>
  <c r="AN1149" i="70"/>
  <c r="AN1002" i="70"/>
  <c r="AN1001" i="70"/>
  <c r="AN1000" i="70"/>
  <c r="AN999" i="70"/>
  <c r="AN1148" i="70"/>
  <c r="AN1147" i="70"/>
  <c r="AN998" i="70"/>
  <c r="AN1146" i="70"/>
  <c r="AN1028" i="70"/>
  <c r="AN997" i="70"/>
  <c r="AN996" i="70"/>
  <c r="AN995" i="70"/>
  <c r="AN994" i="70"/>
  <c r="AN1145" i="70"/>
  <c r="AN1144" i="70"/>
  <c r="AN993" i="70"/>
  <c r="AN1143" i="70"/>
  <c r="AN1142" i="70"/>
  <c r="AN1141" i="70"/>
  <c r="AN1140" i="70"/>
  <c r="AN1139" i="70"/>
  <c r="AN1138" i="70"/>
  <c r="AN1137" i="70"/>
  <c r="AN1136" i="70"/>
  <c r="AN1135" i="70"/>
  <c r="AN1061" i="70"/>
  <c r="AN1134" i="70"/>
  <c r="AN1133" i="70"/>
  <c r="AN1132" i="70"/>
  <c r="AN1131" i="70"/>
  <c r="AN1130" i="70"/>
  <c r="AN1129" i="70"/>
  <c r="AN1128" i="70"/>
  <c r="AN1127" i="70"/>
  <c r="AN1126" i="70"/>
  <c r="AN1125" i="70"/>
  <c r="AN1124" i="70"/>
  <c r="AN969" i="70"/>
  <c r="AN1123" i="70"/>
  <c r="AN1027" i="70"/>
  <c r="AN1122" i="70"/>
  <c r="AN1026" i="70"/>
  <c r="AN1060" i="70"/>
  <c r="AN1121" i="70"/>
  <c r="AN968" i="70"/>
  <c r="AN1025" i="70"/>
  <c r="AN967" i="70"/>
  <c r="AN1024" i="70"/>
  <c r="AN1023" i="70"/>
  <c r="AN1120" i="70"/>
  <c r="AN1119" i="70"/>
  <c r="AN1118" i="70"/>
  <c r="AN966" i="70"/>
  <c r="AN1059" i="70"/>
  <c r="AN1117" i="70"/>
  <c r="AN1022" i="70"/>
  <c r="AN1116" i="70"/>
  <c r="AN1115" i="70"/>
  <c r="AN1058" i="70"/>
  <c r="AN1021" i="70"/>
  <c r="AN1114" i="70"/>
  <c r="AN1113" i="70"/>
  <c r="AN1057" i="70"/>
  <c r="AN1020" i="70"/>
  <c r="AN1019" i="70"/>
  <c r="AN965" i="70"/>
  <c r="AN1018" i="70"/>
  <c r="AN1017" i="70"/>
  <c r="AN1016" i="70"/>
  <c r="AN1015" i="70"/>
  <c r="AN1056" i="70"/>
  <c r="AN964" i="70"/>
  <c r="AN963" i="70"/>
  <c r="AN956" i="70"/>
  <c r="AN955" i="70"/>
  <c r="AN944" i="70"/>
  <c r="AN943" i="70"/>
  <c r="AN942" i="70"/>
  <c r="AN941" i="70"/>
  <c r="AN940" i="70"/>
  <c r="AN939" i="70"/>
  <c r="AN844" i="70"/>
  <c r="AN843" i="70"/>
  <c r="AN1014" i="70"/>
  <c r="AN938" i="70"/>
  <c r="AN937" i="70"/>
  <c r="AN1013" i="70"/>
  <c r="AN784" i="70"/>
  <c r="AN1076" i="70"/>
  <c r="AN1075" i="70"/>
  <c r="AK783" i="70"/>
  <c r="AN783" i="70" s="1"/>
  <c r="AN1074" i="70"/>
  <c r="AN782" i="70"/>
  <c r="AN781" i="70"/>
  <c r="AN780" i="70"/>
  <c r="AN779" i="70"/>
  <c r="AN778" i="70"/>
  <c r="AN777" i="70"/>
  <c r="AN936" i="70"/>
  <c r="AN860" i="70"/>
  <c r="AN1012" i="70"/>
  <c r="AN859" i="70"/>
  <c r="AN858" i="70"/>
  <c r="AN1011" i="70"/>
  <c r="AK842" i="70"/>
  <c r="AN842" i="70" s="1"/>
  <c r="AI842" i="70"/>
  <c r="AH842" i="70"/>
  <c r="AN841" i="70"/>
  <c r="AN840" i="70"/>
  <c r="AN839" i="70"/>
  <c r="AN838" i="70"/>
  <c r="AN837" i="70"/>
  <c r="AN836" i="70"/>
  <c r="AN835" i="70"/>
  <c r="AN935" i="70"/>
  <c r="AN834" i="70"/>
  <c r="AN833" i="70"/>
  <c r="AN934" i="70"/>
  <c r="AN832" i="70"/>
  <c r="AN933" i="70"/>
  <c r="AN932" i="70"/>
  <c r="AN931" i="70"/>
  <c r="AN930" i="70"/>
  <c r="AN831" i="70"/>
  <c r="AN830" i="70"/>
  <c r="AN829" i="70"/>
  <c r="AN828" i="70"/>
  <c r="AN827" i="70"/>
  <c r="AN826" i="70"/>
  <c r="AN825" i="70"/>
  <c r="AN824" i="70"/>
  <c r="AN823" i="70"/>
  <c r="AN822" i="70"/>
  <c r="AN1112" i="70"/>
  <c r="AN1111" i="70"/>
  <c r="AN1110" i="70"/>
  <c r="AN1109" i="70"/>
  <c r="AN962" i="70"/>
  <c r="AN961" i="70"/>
  <c r="AN1055" i="70"/>
  <c r="AN1054" i="70"/>
  <c r="AN1053" i="70"/>
  <c r="AN1052" i="70"/>
  <c r="AN1154" i="70"/>
  <c r="AN981" i="70"/>
  <c r="AN954" i="70"/>
  <c r="AN980" i="70"/>
  <c r="AN979" i="70"/>
  <c r="AN978" i="70"/>
  <c r="AN977" i="70"/>
  <c r="AN976" i="70"/>
  <c r="AN987" i="70"/>
  <c r="AN975" i="70"/>
  <c r="AN912" i="70"/>
  <c r="AN911" i="70"/>
  <c r="AN910" i="70"/>
  <c r="AN909" i="70"/>
  <c r="AN908" i="70"/>
  <c r="AN907" i="70"/>
  <c r="AN906" i="70"/>
  <c r="AN1098" i="70"/>
  <c r="AN905" i="70"/>
  <c r="AN904" i="70"/>
  <c r="AN762" i="70"/>
  <c r="AN761" i="70"/>
  <c r="AN760" i="70"/>
  <c r="AN759" i="70"/>
  <c r="AN758" i="70"/>
  <c r="AN757" i="70"/>
  <c r="AN756" i="70"/>
  <c r="AN755" i="70"/>
  <c r="AN754" i="70"/>
  <c r="AN1051" i="70"/>
  <c r="AN960" i="70"/>
  <c r="AN959" i="70"/>
  <c r="AN958" i="70"/>
  <c r="AN957" i="70"/>
  <c r="AN1010" i="70"/>
  <c r="AN953" i="70"/>
  <c r="AN1153" i="70"/>
  <c r="AN1009" i="70"/>
  <c r="AN1283" i="70"/>
  <c r="AN1282" i="70"/>
  <c r="AN1281" i="70"/>
  <c r="AN1280" i="70"/>
  <c r="AN1279" i="70"/>
  <c r="AN1442" i="70"/>
  <c r="AN1536" i="70"/>
  <c r="AN1441" i="70"/>
  <c r="AN1535" i="70"/>
  <c r="AN857" i="70"/>
  <c r="AN1534" i="70"/>
  <c r="AN1533" i="70"/>
  <c r="AN1532" i="70"/>
  <c r="AN1406" i="70"/>
  <c r="AN1440" i="70"/>
  <c r="AN1451" i="70"/>
  <c r="AN1356" i="70"/>
  <c r="AN1355" i="70"/>
  <c r="AN1354" i="70"/>
  <c r="AN1353" i="70"/>
  <c r="AN1215" i="70"/>
  <c r="AN1214" i="70"/>
  <c r="AN1213" i="70"/>
  <c r="AN1212" i="70"/>
  <c r="AN1211" i="70"/>
  <c r="AN1210" i="70"/>
  <c r="AN1209" i="70"/>
  <c r="AN1208" i="70"/>
  <c r="AN1207" i="70"/>
  <c r="AN1206" i="70"/>
  <c r="AN1205" i="70"/>
  <c r="AN1371" i="70"/>
  <c r="AN1370" i="70"/>
  <c r="AN1360" i="70"/>
  <c r="AN1369" i="70"/>
  <c r="AN1368" i="70"/>
  <c r="AN1330" i="70"/>
  <c r="AN1329" i="70"/>
  <c r="AN1328" i="70"/>
  <c r="AN1327" i="70"/>
  <c r="AN1326" i="70"/>
  <c r="AN1439" i="70"/>
  <c r="AN1367" i="70"/>
  <c r="AN1366" i="70"/>
  <c r="AN1365" i="70"/>
  <c r="AN1364" i="70"/>
  <c r="AN1363" i="70"/>
  <c r="AN1438" i="70"/>
  <c r="AN1362" i="70"/>
  <c r="AN1250" i="70"/>
  <c r="AN1484" i="70"/>
  <c r="AN1483" i="70"/>
  <c r="AN1482" i="70"/>
  <c r="AN1481" i="70"/>
  <c r="AN1249" i="70"/>
  <c r="AN1248" i="70"/>
  <c r="AN1204" i="70"/>
  <c r="AN1510" i="70"/>
  <c r="AN1509" i="70"/>
  <c r="AN1359" i="70"/>
  <c r="AN1361" i="70"/>
  <c r="AN1358" i="70"/>
  <c r="AN1450" i="70"/>
  <c r="AN1480" i="70"/>
  <c r="AN1479" i="70"/>
  <c r="AN1478" i="70"/>
  <c r="AN1457" i="70"/>
  <c r="AN1456" i="70"/>
  <c r="AN1455" i="70"/>
  <c r="AN1531" i="70"/>
  <c r="AN1530" i="70"/>
  <c r="AN1504" i="70"/>
  <c r="AN1503" i="70"/>
  <c r="AH1503" i="70"/>
  <c r="AN1502" i="70"/>
  <c r="AN1501" i="70"/>
  <c r="AN1437" i="70"/>
  <c r="AN1319" i="70"/>
  <c r="AN1318" i="70"/>
  <c r="AN1317" i="70"/>
  <c r="AN1316" i="70"/>
  <c r="AN1352" i="70"/>
  <c r="AN1351" i="70"/>
  <c r="AN1350" i="70"/>
  <c r="AN1269" i="70"/>
  <c r="AN1268" i="70"/>
  <c r="AN1529" i="70"/>
  <c r="AN1267" i="70"/>
  <c r="AN1256" i="70"/>
  <c r="AN1174" i="70"/>
  <c r="AN1436" i="70"/>
  <c r="AN1435" i="70"/>
  <c r="AN1434" i="70"/>
  <c r="AN1255" i="70"/>
  <c r="AN1254" i="70"/>
  <c r="AN1259" i="70"/>
  <c r="AN1258" i="70"/>
  <c r="AN1257" i="70"/>
  <c r="AN1433" i="70"/>
  <c r="AN1315" i="70"/>
  <c r="AN1314" i="70"/>
  <c r="AN1313" i="70"/>
  <c r="AN1312" i="70"/>
  <c r="AN1311" i="70"/>
  <c r="AN1477" i="70"/>
  <c r="AN1247" i="70"/>
  <c r="AN1246" i="70"/>
  <c r="AN1245" i="70"/>
  <c r="AN1244" i="70"/>
  <c r="AN1243" i="70"/>
  <c r="AN1242" i="70"/>
  <c r="AN1241" i="70"/>
  <c r="AN1432" i="70"/>
  <c r="AN1176" i="70"/>
  <c r="AN1476" i="70"/>
  <c r="AN1405" i="70"/>
  <c r="AN1404" i="70"/>
  <c r="AN1403" i="70"/>
  <c r="AN1402" i="70"/>
  <c r="AN1349" i="70"/>
  <c r="AN1348" i="70"/>
  <c r="AN1460" i="70"/>
  <c r="AN1284" i="70"/>
  <c r="AN1431" i="70"/>
  <c r="AN1347" i="70"/>
  <c r="AN1346" i="70"/>
  <c r="AN1310" i="70"/>
  <c r="AN1309" i="70"/>
  <c r="AN1500" i="70"/>
  <c r="AN1499" i="70"/>
  <c r="AN1430" i="70"/>
  <c r="AN1498" i="70"/>
  <c r="AN1497" i="70"/>
  <c r="AN1308" i="70"/>
  <c r="AN1307" i="70"/>
  <c r="AN1429" i="70"/>
  <c r="AN1306" i="70"/>
  <c r="AN1305" i="70"/>
  <c r="AN1304" i="70"/>
  <c r="AN1303" i="70"/>
  <c r="AN1302" i="70"/>
  <c r="AN1496" i="70"/>
  <c r="AN1301" i="70"/>
  <c r="AN1428" i="70"/>
  <c r="AN1427" i="70"/>
  <c r="AN1426" i="70"/>
  <c r="AN1300" i="70"/>
  <c r="AN1299" i="70"/>
  <c r="AN1203" i="70"/>
  <c r="AN1202" i="70"/>
  <c r="AN1201" i="70"/>
  <c r="AN1200" i="70"/>
  <c r="AN1508" i="70"/>
  <c r="AN1240" i="70"/>
  <c r="AN1239" i="70"/>
  <c r="AN1238" i="70"/>
  <c r="AN1475" i="70"/>
  <c r="AN1474" i="70"/>
  <c r="AN1237" i="70"/>
  <c r="AN1278" i="70"/>
  <c r="AN1325" i="70"/>
  <c r="AN1345" i="70"/>
  <c r="AN1344" i="70"/>
  <c r="AN1343" i="70"/>
  <c r="AN1342" i="70"/>
  <c r="AN1341" i="70"/>
  <c r="AN1425" i="70"/>
  <c r="AN1340" i="70"/>
  <c r="AN1424" i="70"/>
  <c r="AN1339" i="70"/>
  <c r="AN1298" i="70"/>
  <c r="AN1495" i="70"/>
  <c r="AN1494" i="70"/>
  <c r="AN1423" i="70"/>
  <c r="AN1297" i="70"/>
  <c r="AN1493" i="70"/>
  <c r="AN1492" i="70"/>
  <c r="AN1296" i="70"/>
  <c r="AN1295" i="70"/>
  <c r="AN1528" i="70"/>
  <c r="AN1527" i="70"/>
  <c r="AN1526" i="70"/>
  <c r="AN1525" i="70"/>
  <c r="AN1524" i="70"/>
  <c r="AN1422" i="70"/>
  <c r="AN1523" i="70"/>
  <c r="AN1277" i="70"/>
  <c r="AN1507" i="70"/>
  <c r="AN1421" i="70"/>
  <c r="AN1420" i="70"/>
  <c r="AN1506" i="70"/>
  <c r="AN1276" i="70"/>
  <c r="AN1275" i="70"/>
  <c r="AN1274" i="70"/>
  <c r="AN1236" i="70"/>
  <c r="AN1235" i="70"/>
  <c r="AN1234" i="70"/>
  <c r="AN1233" i="70"/>
  <c r="AN1232" i="70"/>
  <c r="AN1473" i="70"/>
  <c r="AN1231" i="70"/>
  <c r="AN1230" i="70"/>
  <c r="AN1401" i="70"/>
  <c r="AN1324" i="70"/>
  <c r="AN1323" i="70"/>
  <c r="AN1322" i="70"/>
  <c r="AN1419" i="70"/>
  <c r="AN1332" i="70"/>
  <c r="AN1418" i="70"/>
  <c r="AN1417" i="70"/>
  <c r="AN1416" i="70"/>
  <c r="AN1490" i="70"/>
  <c r="AN1489" i="70"/>
  <c r="AN1488" i="70"/>
  <c r="AN1487" i="70"/>
  <c r="AN1486" i="70"/>
  <c r="AN1338" i="70"/>
  <c r="AN1415" i="70"/>
  <c r="AN1522" i="70"/>
  <c r="AN1266" i="70"/>
  <c r="AN1265" i="70"/>
  <c r="AN1264" i="70"/>
  <c r="AN1263" i="70"/>
  <c r="AN1414" i="70"/>
  <c r="AN1521" i="70"/>
  <c r="AN1199" i="70"/>
  <c r="AN1198" i="70"/>
  <c r="AN1197" i="70"/>
  <c r="AN1196" i="70"/>
  <c r="AN1195" i="70"/>
  <c r="AN1194" i="70"/>
  <c r="AN1193" i="70"/>
  <c r="AN1192" i="70"/>
  <c r="AN1191" i="70"/>
  <c r="AN1190" i="70"/>
  <c r="AN1189" i="70"/>
  <c r="AN1188" i="70"/>
  <c r="AN1187" i="70"/>
  <c r="AN1186" i="70"/>
  <c r="AN1185" i="70"/>
  <c r="AN1184" i="70"/>
  <c r="AN1183" i="70"/>
  <c r="AN1182" i="70"/>
  <c r="AN1294" i="70"/>
  <c r="AN1293" i="70"/>
  <c r="AN1292" i="70"/>
  <c r="AN1291" i="70"/>
  <c r="AN1290" i="70"/>
  <c r="AN1289" i="70"/>
  <c r="AN1288" i="70"/>
  <c r="AN1287" i="70"/>
  <c r="AN1286" i="70"/>
  <c r="AN1181" i="70"/>
  <c r="AN1180" i="70"/>
  <c r="AN1179" i="70"/>
  <c r="AN1178" i="70"/>
  <c r="AN1177" i="70"/>
  <c r="AN1175" i="70"/>
  <c r="AN1472" i="70"/>
  <c r="AN1471" i="70"/>
  <c r="AN1229" i="70"/>
  <c r="AN1470" i="70"/>
  <c r="AN1469" i="70"/>
  <c r="AN1228" i="70"/>
  <c r="AN1227" i="70"/>
  <c r="AN1226" i="70"/>
  <c r="AN1225" i="70"/>
  <c r="AN1224" i="70"/>
  <c r="AN1223" i="70"/>
  <c r="AN1468" i="70"/>
  <c r="AN1467" i="70"/>
  <c r="AN1466" i="70"/>
  <c r="AN1520" i="70"/>
  <c r="AN1413" i="70"/>
  <c r="AN1519" i="70"/>
  <c r="AN1518" i="70"/>
  <c r="AN1412" i="70"/>
  <c r="AN1411" i="70"/>
  <c r="AN1517" i="70"/>
  <c r="AN1262" i="70"/>
  <c r="AN1261" i="70"/>
  <c r="AN1465" i="70"/>
  <c r="AN1222" i="70"/>
  <c r="AN1221" i="70"/>
  <c r="AN1220" i="70"/>
  <c r="AN1219" i="70"/>
  <c r="AN1464" i="70"/>
  <c r="AN1463" i="70"/>
  <c r="AN1462" i="70"/>
  <c r="AN1218" i="70"/>
  <c r="AN1410" i="70"/>
  <c r="AN1461" i="70"/>
  <c r="AN1217" i="70"/>
  <c r="AN1253" i="70"/>
  <c r="AN1252" i="70"/>
  <c r="AN1251" i="70"/>
  <c r="AN1491" i="70"/>
  <c r="AN1285" i="70"/>
  <c r="AN1409" i="70"/>
  <c r="AN1337" i="70"/>
  <c r="AN1336" i="70"/>
  <c r="AN1449" i="70"/>
  <c r="AN1335" i="70"/>
  <c r="AN1334" i="70"/>
  <c r="AN1516" i="70"/>
  <c r="AN1260" i="70"/>
  <c r="AN1515" i="70"/>
  <c r="AN1514" i="70"/>
  <c r="AN1513" i="70"/>
  <c r="AN1512" i="70"/>
  <c r="AN1400" i="70"/>
  <c r="AN1399" i="70"/>
  <c r="AN1398" i="70"/>
  <c r="AN1397" i="70"/>
  <c r="AN1396" i="70"/>
  <c r="AN1395" i="70"/>
  <c r="AN1394" i="70"/>
  <c r="AN1393" i="70"/>
  <c r="AN1392" i="70"/>
  <c r="AN1391" i="70"/>
  <c r="AN1390" i="70"/>
  <c r="AN1389" i="70"/>
  <c r="AN1388" i="70"/>
  <c r="AN1387" i="70"/>
  <c r="AN1386" i="70"/>
  <c r="AN1408" i="70"/>
  <c r="AN1385" i="70"/>
  <c r="AN1273" i="70"/>
  <c r="AN1272" i="70"/>
  <c r="AN1271" i="70"/>
  <c r="AN1333" i="70"/>
  <c r="AN1459" i="70"/>
  <c r="AN1454" i="70"/>
  <c r="AN1384" i="70"/>
  <c r="AN1383" i="70"/>
  <c r="AN1382" i="70"/>
  <c r="AN1216" i="70"/>
  <c r="AN1381" i="70"/>
  <c r="AN1458" i="70"/>
  <c r="AN1380" i="70"/>
  <c r="AN1453" i="70"/>
  <c r="AN1270" i="70"/>
  <c r="AN1379" i="70"/>
  <c r="AN1378" i="70"/>
  <c r="AN1377" i="70"/>
  <c r="AN1539" i="70"/>
  <c r="AN1376" i="70"/>
  <c r="AN1375" i="70"/>
  <c r="AN1374" i="70"/>
  <c r="AN1373" i="70"/>
  <c r="AN1372" i="70"/>
  <c r="AN1407" i="70"/>
  <c r="AN459" i="70"/>
  <c r="AN458" i="70"/>
  <c r="AK457" i="70"/>
  <c r="AN457" i="70" s="1"/>
  <c r="AN456" i="70"/>
  <c r="AN455" i="70"/>
  <c r="AN496" i="70"/>
  <c r="AN508" i="70"/>
  <c r="AN507" i="70"/>
  <c r="AN506" i="70"/>
  <c r="AN497" i="70"/>
  <c r="AN495" i="70"/>
  <c r="AN494" i="70"/>
  <c r="AN493" i="70"/>
  <c r="AN492" i="70"/>
  <c r="AN479" i="70"/>
  <c r="AN505" i="70"/>
  <c r="AN504" i="70"/>
  <c r="AN503" i="70"/>
  <c r="AN478" i="70"/>
  <c r="AN502" i="70"/>
  <c r="AN501" i="70"/>
  <c r="AN477" i="70"/>
  <c r="AK476" i="70"/>
  <c r="AN476" i="70" s="1"/>
  <c r="AI476" i="70"/>
  <c r="AN475" i="70"/>
  <c r="AN474" i="70"/>
  <c r="AN500" i="70"/>
  <c r="AN499" i="70"/>
  <c r="AN498" i="70"/>
  <c r="AN473" i="70"/>
  <c r="AN472" i="70"/>
  <c r="AN471" i="70"/>
  <c r="AN470" i="70"/>
  <c r="AN454" i="70"/>
  <c r="AN469" i="70"/>
  <c r="AN468" i="70"/>
  <c r="AN467" i="70"/>
  <c r="AN491" i="70"/>
  <c r="AN464" i="70"/>
  <c r="AN463" i="70"/>
  <c r="AN462" i="70"/>
  <c r="AN461" i="70"/>
  <c r="AN460" i="70"/>
  <c r="AN509" i="70"/>
  <c r="AN490" i="70"/>
  <c r="AN480" i="70"/>
  <c r="AN489" i="70"/>
  <c r="AN488" i="70"/>
  <c r="AN453" i="70"/>
  <c r="AH453" i="70"/>
  <c r="AN452" i="70"/>
  <c r="AN487" i="70"/>
  <c r="AN466" i="70"/>
  <c r="AN465" i="70"/>
  <c r="AN486" i="70"/>
  <c r="AN451" i="70"/>
  <c r="AN450" i="70"/>
  <c r="AN485" i="70"/>
  <c r="AN484" i="70"/>
  <c r="AH484" i="70"/>
  <c r="AN483" i="70"/>
  <c r="AN482" i="70"/>
  <c r="AN481" i="70"/>
  <c r="AI481" i="70"/>
  <c r="AN821" i="70"/>
  <c r="AN1511" i="70"/>
  <c r="AN138" i="55"/>
  <c r="AN139" i="55"/>
  <c r="AN749" i="70"/>
  <c r="AN745" i="70"/>
  <c r="AN744" i="70"/>
  <c r="AN743" i="70"/>
  <c r="AN689" i="70"/>
  <c r="AN734" i="70"/>
  <c r="AN724" i="70"/>
  <c r="AN723" i="70"/>
  <c r="AN722" i="70"/>
  <c r="AN742" i="70"/>
  <c r="AN718" i="70"/>
  <c r="AN709" i="70"/>
  <c r="AN708" i="70"/>
  <c r="AN707" i="70"/>
  <c r="AN717" i="70"/>
  <c r="AN716" i="70"/>
  <c r="AN688" i="70"/>
  <c r="AN687" i="70"/>
  <c r="AN741" i="70"/>
  <c r="AN740" i="70"/>
  <c r="AN721" i="70"/>
  <c r="AN401" i="70"/>
  <c r="AN400" i="70"/>
  <c r="AN399" i="70"/>
  <c r="AN398" i="70"/>
  <c r="AN397" i="70"/>
  <c r="AN396" i="70"/>
  <c r="AN291" i="70"/>
  <c r="AN395" i="70"/>
  <c r="AN227" i="70"/>
  <c r="AN226" i="70"/>
  <c r="AN225" i="70"/>
  <c r="AN224" i="70"/>
  <c r="AN350" i="70"/>
  <c r="AN195" i="70"/>
  <c r="AN194" i="70"/>
  <c r="AN193" i="70"/>
  <c r="AN192" i="70"/>
  <c r="AN191" i="70"/>
  <c r="AN190" i="70"/>
  <c r="AN189" i="70"/>
  <c r="AN188" i="70"/>
  <c r="AN187" i="70"/>
  <c r="AN223" i="70"/>
  <c r="AN222" i="70"/>
  <c r="AN186" i="70"/>
  <c r="AN221" i="70"/>
  <c r="AN185" i="70"/>
  <c r="AN184" i="70"/>
  <c r="AN183" i="70"/>
  <c r="AN182" i="70"/>
  <c r="AN181" i="70"/>
  <c r="AN180" i="70"/>
  <c r="AN179" i="70"/>
  <c r="AN178" i="70"/>
  <c r="AN177" i="70"/>
  <c r="AN349" i="70"/>
  <c r="AN348" i="70"/>
  <c r="AN347" i="70"/>
  <c r="AN121" i="70"/>
  <c r="AN120" i="70"/>
  <c r="AN119" i="70"/>
  <c r="AN118" i="70"/>
  <c r="AN117" i="70"/>
  <c r="AN116" i="70"/>
  <c r="AN115" i="70"/>
  <c r="AN114" i="70"/>
  <c r="AN274" i="70"/>
  <c r="AN273" i="70"/>
  <c r="AN356" i="70"/>
  <c r="AN272" i="70"/>
  <c r="AN85" i="70"/>
  <c r="AN84" i="70"/>
  <c r="AN83" i="70"/>
  <c r="AN135" i="70"/>
  <c r="AN134" i="70"/>
  <c r="AN133" i="70"/>
  <c r="AN132" i="70"/>
  <c r="AN131" i="70"/>
  <c r="AN324" i="70"/>
  <c r="AN220" i="70"/>
  <c r="AN219" i="70"/>
  <c r="AN218" i="70"/>
  <c r="AN217" i="70"/>
  <c r="AN394" i="70"/>
  <c r="AN113" i="70"/>
  <c r="AN112" i="70"/>
  <c r="AN111" i="70"/>
  <c r="AN393" i="70"/>
  <c r="AN392" i="70"/>
  <c r="AN391" i="70"/>
  <c r="AN390" i="70"/>
  <c r="AN389" i="70"/>
  <c r="AN310" i="70"/>
  <c r="AN176" i="70"/>
  <c r="AN175" i="70"/>
  <c r="AN174" i="70"/>
  <c r="AN449" i="70"/>
  <c r="AN448" i="70"/>
  <c r="AN447" i="70"/>
  <c r="AN446" i="70"/>
  <c r="AN445" i="70"/>
  <c r="AN444" i="70"/>
  <c r="AN443" i="70"/>
  <c r="AN442" i="70"/>
  <c r="AN271" i="70"/>
  <c r="AN321" i="70"/>
  <c r="AN320" i="70"/>
  <c r="AN441" i="70"/>
  <c r="AN440" i="70"/>
  <c r="AN439" i="70"/>
  <c r="AN290" i="70"/>
  <c r="AN82" i="70"/>
  <c r="AN81" i="70"/>
  <c r="AN80" i="70"/>
  <c r="AN79" i="70"/>
  <c r="AN78" i="70"/>
  <c r="AN77" i="70"/>
  <c r="AN76" i="70"/>
  <c r="AN346" i="70"/>
  <c r="AN438" i="70"/>
  <c r="AN437" i="70"/>
  <c r="AN436" i="70"/>
  <c r="AN270" i="70"/>
  <c r="AN345" i="70"/>
  <c r="AN344" i="70"/>
  <c r="AN269" i="70"/>
  <c r="AN268" i="70"/>
  <c r="AN267" i="70"/>
  <c r="AN266" i="70"/>
  <c r="AN265" i="70"/>
  <c r="AN264" i="70"/>
  <c r="AN532" i="70"/>
  <c r="AN531" i="70"/>
  <c r="AN530" i="70"/>
  <c r="AN675" i="70"/>
  <c r="AN674" i="70"/>
  <c r="AN673" i="70"/>
  <c r="AN672" i="70"/>
  <c r="AN671" i="70"/>
  <c r="AN670" i="70"/>
  <c r="AN637" i="70"/>
  <c r="AN636" i="70"/>
  <c r="AN591" i="70"/>
  <c r="AN552" i="70"/>
  <c r="AN551" i="70"/>
  <c r="AN635" i="70"/>
  <c r="AN529" i="70"/>
  <c r="AN669" i="70"/>
  <c r="AN668" i="70"/>
  <c r="AN667" i="70"/>
  <c r="AN577" i="70"/>
  <c r="AN634" i="70"/>
  <c r="AN633" i="70"/>
  <c r="AN632" i="70"/>
  <c r="AN631" i="70"/>
  <c r="AN539" i="70"/>
  <c r="AN590" i="70"/>
  <c r="AN589" i="70"/>
  <c r="AN588" i="70"/>
  <c r="AN570" i="70"/>
  <c r="AN610" i="70"/>
  <c r="AN609" i="70"/>
  <c r="AN569" i="70"/>
  <c r="AN568" i="70"/>
  <c r="AN608" i="70"/>
  <c r="AN607" i="70"/>
  <c r="AN606" i="70"/>
  <c r="AN739" i="70"/>
  <c r="AN738" i="70"/>
  <c r="AN88" i="70"/>
  <c r="AN666" i="70"/>
  <c r="AN573" i="70"/>
  <c r="AN665" i="70"/>
  <c r="AN550" i="70"/>
  <c r="AN630" i="70"/>
  <c r="AN538" i="70"/>
  <c r="AN567" i="70"/>
  <c r="AN711" i="70"/>
  <c r="AN737" i="70"/>
  <c r="AN710" i="70"/>
  <c r="AN748" i="70"/>
  <c r="AN747" i="70"/>
  <c r="AN706" i="70"/>
  <c r="AN736" i="70"/>
  <c r="AN746" i="70"/>
  <c r="AN705" i="70"/>
  <c r="AN686" i="70"/>
  <c r="AN685" i="70"/>
  <c r="AN704" i="70"/>
  <c r="AN715" i="70"/>
  <c r="AN703" i="70"/>
  <c r="AN684" i="70"/>
  <c r="AN733" i="70"/>
  <c r="AN683" i="70"/>
  <c r="AN702" i="70"/>
  <c r="AN732" i="70"/>
  <c r="AN731" i="70"/>
  <c r="AN682" i="70"/>
  <c r="AN681" i="70"/>
  <c r="AN730" i="70"/>
  <c r="AN680" i="70"/>
  <c r="AN679" i="70"/>
  <c r="AN701" i="70"/>
  <c r="AN700" i="70"/>
  <c r="AN720" i="70"/>
  <c r="AN699" i="70"/>
  <c r="AN698" i="70"/>
  <c r="AN697" i="70"/>
  <c r="AN696" i="70"/>
  <c r="AN695" i="70"/>
  <c r="AN694" i="70"/>
  <c r="AN693" i="70"/>
  <c r="AN692" i="70"/>
  <c r="AN677" i="70"/>
  <c r="AN676" i="70"/>
  <c r="AN714" i="70"/>
  <c r="AN713" i="70"/>
  <c r="AN691" i="70"/>
  <c r="AN690" i="70"/>
  <c r="AN712" i="70"/>
  <c r="AN729" i="70"/>
  <c r="AN728" i="70"/>
  <c r="AN735" i="70"/>
  <c r="AN727" i="70"/>
  <c r="AN726" i="70"/>
  <c r="AN725" i="70"/>
  <c r="AN678" i="70"/>
  <c r="AN719" i="70"/>
  <c r="AN388" i="70"/>
  <c r="AN387" i="70"/>
  <c r="AN386" i="70"/>
  <c r="AN385" i="70"/>
  <c r="AN384" i="70"/>
  <c r="AN325" i="70"/>
  <c r="AN383" i="70"/>
  <c r="AN289" i="70"/>
  <c r="AN173" i="70"/>
  <c r="AN172" i="70"/>
  <c r="AN171" i="70"/>
  <c r="AN216" i="70"/>
  <c r="AN382" i="70"/>
  <c r="AN215" i="70"/>
  <c r="AN288" i="70"/>
  <c r="AN381" i="70"/>
  <c r="AN170" i="70"/>
  <c r="AN380" i="70"/>
  <c r="AN379" i="70"/>
  <c r="AN378" i="70"/>
  <c r="AN214" i="70"/>
  <c r="AN213" i="70"/>
  <c r="AN377" i="70"/>
  <c r="AN376" i="70"/>
  <c r="AN212" i="70"/>
  <c r="AN211" i="70"/>
  <c r="AN210" i="70"/>
  <c r="AN287" i="70"/>
  <c r="AN209" i="70"/>
  <c r="AN375" i="70"/>
  <c r="AN75" i="70"/>
  <c r="AN74" i="70"/>
  <c r="AN73" i="70"/>
  <c r="AN72" i="70"/>
  <c r="AN312" i="70"/>
  <c r="AN311" i="70"/>
  <c r="AN309" i="70"/>
  <c r="AN308" i="70"/>
  <c r="AN307" i="70"/>
  <c r="AN306" i="70"/>
  <c r="AN305" i="70"/>
  <c r="AN304" i="70"/>
  <c r="AN303" i="70"/>
  <c r="AN302" i="70"/>
  <c r="AN169" i="70"/>
  <c r="AN208" i="70"/>
  <c r="AN168" i="70"/>
  <c r="AN167" i="70"/>
  <c r="AN166" i="70"/>
  <c r="AN165" i="70"/>
  <c r="AN164" i="70"/>
  <c r="AN163" i="70"/>
  <c r="AN162" i="70"/>
  <c r="AN161" i="70"/>
  <c r="AN160" i="70"/>
  <c r="AN159" i="70"/>
  <c r="AN158" i="70"/>
  <c r="AN157" i="70"/>
  <c r="AN156" i="70"/>
  <c r="AN155" i="70"/>
  <c r="AN154" i="70"/>
  <c r="AN153" i="70"/>
  <c r="AN110" i="70"/>
  <c r="AN343" i="70"/>
  <c r="AN342" i="70"/>
  <c r="AN109" i="70"/>
  <c r="AN263" i="70"/>
  <c r="AN262" i="70"/>
  <c r="AN261" i="70"/>
  <c r="AN108" i="70"/>
  <c r="AN260" i="70"/>
  <c r="AN259" i="70"/>
  <c r="AN107" i="70"/>
  <c r="AN106" i="70"/>
  <c r="AN105" i="70"/>
  <c r="AN104" i="70"/>
  <c r="AN103" i="70"/>
  <c r="AN102" i="70"/>
  <c r="AN355" i="70"/>
  <c r="AN258" i="70"/>
  <c r="AN257" i="70"/>
  <c r="AN354" i="70"/>
  <c r="AN101" i="70"/>
  <c r="AN341" i="70"/>
  <c r="AN100" i="70"/>
  <c r="AN340" i="70"/>
  <c r="AN339" i="70"/>
  <c r="AN99" i="70"/>
  <c r="AN256" i="70"/>
  <c r="AN255" i="70"/>
  <c r="AN98" i="70"/>
  <c r="AN97" i="70"/>
  <c r="AN71" i="70"/>
  <c r="AN70" i="70"/>
  <c r="AN69" i="70"/>
  <c r="AN68" i="70"/>
  <c r="AN67" i="70"/>
  <c r="AN66" i="70"/>
  <c r="AN65" i="70"/>
  <c r="AN130" i="70"/>
  <c r="AN64" i="70"/>
  <c r="AN63" i="70"/>
  <c r="AN62" i="70"/>
  <c r="AN129" i="70"/>
  <c r="AN128" i="70"/>
  <c r="AN127" i="70"/>
  <c r="AN207" i="70"/>
  <c r="AN152" i="70"/>
  <c r="AN151" i="70"/>
  <c r="AN150" i="70"/>
  <c r="AN61" i="70"/>
  <c r="AN149" i="70"/>
  <c r="AN60" i="70"/>
  <c r="AN59" i="70"/>
  <c r="AN206" i="70"/>
  <c r="AN58" i="70"/>
  <c r="AN57" i="70"/>
  <c r="AN56" i="70"/>
  <c r="AN205" i="70"/>
  <c r="AN204" i="70"/>
  <c r="AN203" i="70"/>
  <c r="AN55" i="70"/>
  <c r="AN202" i="70"/>
  <c r="AN54" i="70"/>
  <c r="AN53" i="70"/>
  <c r="AN52" i="70"/>
  <c r="AN51" i="70"/>
  <c r="AN50" i="70"/>
  <c r="AN49" i="70"/>
  <c r="AN48" i="70"/>
  <c r="AN47" i="70"/>
  <c r="AN46" i="70"/>
  <c r="AN45" i="70"/>
  <c r="AN126" i="70"/>
  <c r="AN125" i="70"/>
  <c r="AN124" i="70"/>
  <c r="AN123" i="70"/>
  <c r="AN201" i="70"/>
  <c r="AN200" i="70"/>
  <c r="AN199" i="70"/>
  <c r="AN148" i="70"/>
  <c r="AN147" i="70"/>
  <c r="AN198" i="70"/>
  <c r="AN197" i="70"/>
  <c r="AN196" i="70"/>
  <c r="AN122" i="70"/>
  <c r="AN146" i="70"/>
  <c r="AN145" i="70"/>
  <c r="AN374" i="70"/>
  <c r="AN286" i="70"/>
  <c r="AN373" i="70"/>
  <c r="AN372" i="70"/>
  <c r="AN96" i="70"/>
  <c r="AN95" i="70"/>
  <c r="AN338" i="70"/>
  <c r="AN254" i="70"/>
  <c r="AN253" i="70"/>
  <c r="AN252" i="70"/>
  <c r="AN251" i="70"/>
  <c r="AN94" i="70"/>
  <c r="AN337" i="70"/>
  <c r="AN336" i="70"/>
  <c r="AN250" i="70"/>
  <c r="AN93" i="70"/>
  <c r="AN92" i="70"/>
  <c r="AN91" i="70"/>
  <c r="AN249" i="70"/>
  <c r="AN335" i="70"/>
  <c r="AN371" i="70"/>
  <c r="AN370" i="70"/>
  <c r="AN369" i="70"/>
  <c r="AN368" i="70"/>
  <c r="AN367" i="70"/>
  <c r="AN301" i="70"/>
  <c r="AN300" i="70"/>
  <c r="AN299" i="70"/>
  <c r="AN366" i="70"/>
  <c r="AN298" i="70"/>
  <c r="AN365" i="70"/>
  <c r="AN364" i="70"/>
  <c r="AN285" i="70"/>
  <c r="AN297" i="70"/>
  <c r="AN363" i="70"/>
  <c r="AN296" i="70"/>
  <c r="AN362" i="70"/>
  <c r="AN361" i="70"/>
  <c r="AN360" i="70"/>
  <c r="AN284" i="70"/>
  <c r="AN295" i="70"/>
  <c r="AN294" i="70"/>
  <c r="AN293" i="70"/>
  <c r="AN292" i="70"/>
  <c r="AN44" i="70"/>
  <c r="AN43" i="70"/>
  <c r="AN42" i="70"/>
  <c r="AN90" i="70"/>
  <c r="AN89" i="70"/>
  <c r="AN334" i="70"/>
  <c r="AN144" i="70"/>
  <c r="AN41" i="70"/>
  <c r="AN40" i="70"/>
  <c r="AN39" i="70"/>
  <c r="AN38" i="70"/>
  <c r="AN37" i="70"/>
  <c r="AN36" i="70"/>
  <c r="AN333" i="70"/>
  <c r="AN143" i="70"/>
  <c r="AN142" i="70"/>
  <c r="AN141" i="70"/>
  <c r="AN140" i="70"/>
  <c r="AN435" i="70"/>
  <c r="AN434" i="70"/>
  <c r="AN433" i="70"/>
  <c r="AN248" i="70"/>
  <c r="AN432" i="70"/>
  <c r="AN247" i="70"/>
  <c r="AN431" i="70"/>
  <c r="AN353" i="70"/>
  <c r="AN352" i="70"/>
  <c r="AN351" i="70"/>
  <c r="AN430" i="70"/>
  <c r="AN246" i="70"/>
  <c r="AN429" i="70"/>
  <c r="AN428" i="70"/>
  <c r="AN427" i="70"/>
  <c r="AN426" i="70"/>
  <c r="AN425" i="70"/>
  <c r="AN424" i="70"/>
  <c r="AN423" i="70"/>
  <c r="AN245" i="70"/>
  <c r="AN244" i="70"/>
  <c r="AN243" i="70"/>
  <c r="AN242" i="70"/>
  <c r="AN319" i="70"/>
  <c r="AN318" i="70"/>
  <c r="AN317" i="70"/>
  <c r="AN316" i="70"/>
  <c r="AN315" i="70"/>
  <c r="AN314" i="70"/>
  <c r="AN313" i="70"/>
  <c r="AN35" i="70"/>
  <c r="AN422" i="70"/>
  <c r="AN421" i="70"/>
  <c r="AN283" i="70"/>
  <c r="AN282" i="70"/>
  <c r="AN281" i="70"/>
  <c r="AN323" i="70"/>
  <c r="AN280" i="70"/>
  <c r="AN279" i="70"/>
  <c r="AN278" i="70"/>
  <c r="AN277" i="70"/>
  <c r="AN359" i="70"/>
  <c r="AN322" i="70"/>
  <c r="AN276" i="70"/>
  <c r="AN358" i="70"/>
  <c r="AN275" i="70"/>
  <c r="AN420" i="70"/>
  <c r="AN34" i="70"/>
  <c r="AN33" i="70"/>
  <c r="AN32" i="70"/>
  <c r="AN31" i="70"/>
  <c r="AN30" i="70"/>
  <c r="AN29" i="70"/>
  <c r="AN28" i="70"/>
  <c r="AN27" i="70"/>
  <c r="AN26" i="70"/>
  <c r="AN25" i="70"/>
  <c r="AN24" i="70"/>
  <c r="AN23" i="70"/>
  <c r="AN22" i="70"/>
  <c r="AN21" i="70"/>
  <c r="AN20" i="70"/>
  <c r="AN19" i="70"/>
  <c r="AN18" i="70"/>
  <c r="AN17" i="70"/>
  <c r="AN16" i="70"/>
  <c r="AN15" i="70"/>
  <c r="AN14" i="70"/>
  <c r="AN13" i="70"/>
  <c r="AN12" i="70"/>
  <c r="AN11" i="70"/>
  <c r="AN10" i="70"/>
  <c r="AN9" i="70"/>
  <c r="AN8" i="70"/>
  <c r="AN7" i="70"/>
  <c r="AN6" i="70"/>
  <c r="AN5" i="70"/>
  <c r="AN4" i="70"/>
  <c r="AN332" i="70"/>
  <c r="AN331" i="70"/>
  <c r="AN330" i="70"/>
  <c r="AN329" i="70"/>
  <c r="AN328" i="70"/>
  <c r="AN419" i="70"/>
  <c r="AN418" i="70"/>
  <c r="AN417" i="70"/>
  <c r="AN416" i="70"/>
  <c r="AN415" i="70"/>
  <c r="AN414" i="70"/>
  <c r="AN413" i="70"/>
  <c r="AN241" i="70"/>
  <c r="AN240" i="70"/>
  <c r="AN412" i="70"/>
  <c r="AN411" i="70"/>
  <c r="AN410" i="70"/>
  <c r="AN409" i="70"/>
  <c r="AN408" i="70"/>
  <c r="AN407" i="70"/>
  <c r="AN406" i="70"/>
  <c r="AN405" i="70"/>
  <c r="AN404" i="70"/>
  <c r="AN403" i="70"/>
  <c r="AN402" i="70"/>
  <c r="AN3" i="70"/>
  <c r="AN139" i="70"/>
  <c r="AN2" i="70"/>
  <c r="AN138" i="70"/>
  <c r="AN137" i="70"/>
  <c r="AN136" i="70"/>
  <c r="AN327" i="70"/>
  <c r="AN87" i="70"/>
  <c r="AN239" i="70"/>
  <c r="AN238" i="70"/>
  <c r="AN237" i="70"/>
  <c r="AN236" i="70"/>
  <c r="AN235" i="70"/>
  <c r="AN234" i="70"/>
  <c r="AN233" i="70"/>
  <c r="AN232" i="70"/>
  <c r="AN231" i="70"/>
  <c r="AN230" i="70"/>
  <c r="AN229" i="70"/>
  <c r="AN326" i="70"/>
  <c r="AN357" i="70"/>
  <c r="AN86" i="70"/>
  <c r="AN228" i="70"/>
  <c r="AN528" i="70"/>
  <c r="AN527" i="70"/>
  <c r="AN526" i="70"/>
  <c r="AN664" i="70"/>
  <c r="AN663" i="70"/>
  <c r="AN662" i="70"/>
  <c r="AN661" i="70"/>
  <c r="AN660" i="70"/>
  <c r="AN525" i="70"/>
  <c r="AN524" i="70"/>
  <c r="AN523" i="70"/>
  <c r="AN659" i="70"/>
  <c r="AN522" i="70"/>
  <c r="AN521" i="70"/>
  <c r="AN520" i="70"/>
  <c r="AN658" i="70"/>
  <c r="AN519" i="70"/>
  <c r="AN518" i="70"/>
  <c r="AN517" i="70"/>
  <c r="AN516" i="70"/>
  <c r="AN515" i="70"/>
  <c r="AN657" i="70"/>
  <c r="AN656" i="70"/>
  <c r="AN655" i="70"/>
  <c r="AN654" i="70"/>
  <c r="AN514" i="70"/>
  <c r="AN513" i="70"/>
  <c r="AN653" i="70"/>
  <c r="AN652" i="70"/>
  <c r="AN651" i="70"/>
  <c r="AN650" i="70"/>
  <c r="AN649" i="70"/>
  <c r="AN572" i="70"/>
  <c r="AN571" i="70"/>
  <c r="AN598" i="70"/>
  <c r="AN597" i="70"/>
  <c r="AN596" i="70"/>
  <c r="AN595" i="70"/>
  <c r="AN629" i="70"/>
  <c r="AN547" i="70"/>
  <c r="AN546" i="70"/>
  <c r="AN628" i="70"/>
  <c r="AN545" i="70"/>
  <c r="AN544" i="70"/>
  <c r="AN543" i="70"/>
  <c r="AN627" i="70"/>
  <c r="AN542" i="70"/>
  <c r="AN626" i="70"/>
  <c r="AN625" i="70"/>
  <c r="AN541" i="70"/>
  <c r="AN624" i="70"/>
  <c r="AN540" i="70"/>
  <c r="AN648" i="70"/>
  <c r="AN647" i="70"/>
  <c r="AN646" i="70"/>
  <c r="AN576" i="70"/>
  <c r="AN645" i="70"/>
  <c r="AN512" i="70"/>
  <c r="AN511" i="70"/>
  <c r="AN644" i="70"/>
  <c r="AN643" i="70"/>
  <c r="AN642" i="70"/>
  <c r="AN510" i="70"/>
  <c r="AN641" i="70"/>
  <c r="AN640" i="70"/>
  <c r="AN575" i="70"/>
  <c r="AN639" i="70"/>
  <c r="AN623" i="70"/>
  <c r="AN549" i="70"/>
  <c r="AN622" i="70"/>
  <c r="AN537" i="70"/>
  <c r="AN594" i="70"/>
  <c r="AN621" i="70"/>
  <c r="AN620" i="70"/>
  <c r="AN619" i="70"/>
  <c r="AN618" i="70"/>
  <c r="AN617" i="70"/>
  <c r="AN616" i="70"/>
  <c r="AN615" i="70"/>
  <c r="AN536" i="70"/>
  <c r="AN535" i="70"/>
  <c r="AN534" i="70"/>
  <c r="AN533" i="70"/>
  <c r="AN593" i="70"/>
  <c r="AN548" i="70"/>
  <c r="AN614" i="70"/>
  <c r="AN592" i="70"/>
  <c r="AN613" i="70"/>
  <c r="AN587" i="70"/>
  <c r="AN586" i="70"/>
  <c r="AN585" i="70"/>
  <c r="AN584" i="70"/>
  <c r="AN583" i="70"/>
  <c r="AN582" i="70"/>
  <c r="AN612" i="70"/>
  <c r="AN581" i="70"/>
  <c r="AN566" i="70"/>
  <c r="AN574" i="70"/>
  <c r="AN580" i="70"/>
  <c r="AN579" i="70"/>
  <c r="AN578" i="70"/>
  <c r="AN611" i="70"/>
  <c r="AN605" i="70"/>
  <c r="AN565" i="70"/>
  <c r="AN564" i="70"/>
  <c r="AN604" i="70"/>
  <c r="AN563" i="70"/>
  <c r="AN603" i="70"/>
  <c r="AN602" i="70"/>
  <c r="AN562" i="70"/>
  <c r="AN601" i="70"/>
  <c r="AN561" i="70"/>
  <c r="AN638" i="70"/>
  <c r="AN560" i="70"/>
  <c r="AN559" i="70"/>
  <c r="AN558" i="70"/>
  <c r="AN600" i="70"/>
  <c r="AN599" i="70"/>
  <c r="AN557" i="70"/>
  <c r="AN556" i="70"/>
  <c r="AN555" i="70"/>
  <c r="AN554" i="70"/>
  <c r="AN553" i="70"/>
  <c r="O15" i="69" l="1"/>
  <c r="AB106" i="66"/>
  <c r="AB352" i="66"/>
  <c r="AB351" i="66"/>
  <c r="AB350" i="66"/>
  <c r="AB353" i="66"/>
  <c r="AB349" i="66"/>
  <c r="AB364" i="66"/>
  <c r="AB354" i="66"/>
  <c r="AB365" i="66"/>
  <c r="AB362" i="66"/>
  <c r="AB363" i="66"/>
  <c r="AB356" i="66"/>
  <c r="AB360" i="66"/>
  <c r="AB355" i="66"/>
  <c r="AB361" i="66"/>
  <c r="AB359" i="66"/>
  <c r="AB358" i="66"/>
  <c r="AB366" i="66"/>
  <c r="AB357" i="66"/>
  <c r="AB370" i="66"/>
  <c r="AB367" i="66"/>
  <c r="AB373" i="66"/>
  <c r="AB368" i="66"/>
  <c r="AB374" i="66"/>
  <c r="AB376" i="66"/>
  <c r="AB375" i="66"/>
  <c r="AB377" i="66"/>
  <c r="AB372" i="66"/>
  <c r="AB371" i="66"/>
  <c r="AB378" i="66"/>
  <c r="AB369" i="66"/>
  <c r="AB380" i="66"/>
  <c r="AB379" i="66"/>
  <c r="AB381" i="66"/>
  <c r="AB382" i="66"/>
  <c r="AB392" i="66"/>
  <c r="AB386" i="66"/>
  <c r="AB384" i="66"/>
  <c r="AB390" i="66"/>
  <c r="AB383" i="66"/>
  <c r="AB385" i="66"/>
  <c r="AB387" i="66"/>
  <c r="AB389" i="66"/>
  <c r="AB388" i="66"/>
  <c r="AB391" i="66"/>
  <c r="AB393" i="66"/>
  <c r="AB394" i="66"/>
  <c r="AB397" i="66"/>
  <c r="AB403" i="66"/>
  <c r="AB404" i="66"/>
  <c r="AB396" i="66"/>
  <c r="AB401" i="66"/>
  <c r="AB395" i="66"/>
  <c r="AB402" i="66"/>
  <c r="AB399" i="66"/>
  <c r="AB400" i="66"/>
  <c r="AB398" i="66"/>
  <c r="AB417" i="66"/>
  <c r="AB416" i="66"/>
  <c r="AB418" i="66"/>
  <c r="AB413" i="66"/>
  <c r="AB405" i="66"/>
  <c r="AB415" i="66"/>
  <c r="AB411" i="66"/>
  <c r="AB419" i="66"/>
  <c r="AB420" i="66"/>
  <c r="AB406" i="66"/>
  <c r="AB407" i="66"/>
  <c r="AB414" i="66"/>
  <c r="AB412" i="66"/>
  <c r="AB409" i="66"/>
  <c r="AB410" i="66"/>
  <c r="AB408" i="66"/>
  <c r="AB425" i="66"/>
  <c r="AB424" i="66"/>
  <c r="AB428" i="66"/>
  <c r="AB427" i="66"/>
  <c r="AB423" i="66"/>
  <c r="AB430" i="66"/>
  <c r="AB431" i="66"/>
  <c r="AB426" i="66"/>
  <c r="AB432" i="66"/>
  <c r="AB433" i="66"/>
  <c r="AB436" i="66"/>
  <c r="AB435" i="66"/>
  <c r="AB434" i="66"/>
  <c r="AB422" i="66"/>
  <c r="AB429" i="66"/>
  <c r="AB421" i="66"/>
  <c r="AB446" i="66"/>
  <c r="AB440" i="66"/>
  <c r="AB447" i="66"/>
  <c r="AB439" i="66"/>
  <c r="AB437" i="66"/>
  <c r="AB441" i="66"/>
  <c r="AB445" i="66"/>
  <c r="AB442" i="66"/>
  <c r="AB443" i="66"/>
  <c r="AB449" i="66"/>
  <c r="AB438" i="66"/>
  <c r="AB444" i="66"/>
  <c r="AB448" i="66"/>
  <c r="AB450" i="66"/>
  <c r="AB451" i="66"/>
  <c r="AB452" i="66"/>
  <c r="AB455" i="66"/>
  <c r="AB453" i="66"/>
  <c r="AB454" i="66"/>
  <c r="AB457" i="66"/>
  <c r="AB456" i="66"/>
  <c r="AB458" i="66"/>
  <c r="AB461" i="66"/>
  <c r="AB467" i="66"/>
  <c r="AB459" i="66"/>
  <c r="AB460" i="66"/>
  <c r="AB468" i="66"/>
  <c r="AB464" i="66"/>
  <c r="AB462" i="66"/>
  <c r="AB465" i="66"/>
  <c r="AB466" i="66"/>
  <c r="AB463" i="66"/>
  <c r="AB475" i="66"/>
  <c r="AB479" i="66"/>
  <c r="AB470" i="66"/>
  <c r="AB472" i="66"/>
  <c r="AB474" i="66"/>
  <c r="AB477" i="66"/>
  <c r="AB473" i="66"/>
  <c r="AB478" i="66"/>
  <c r="AB471" i="66"/>
  <c r="AB469" i="66"/>
  <c r="AB476" i="66"/>
  <c r="AB341" i="66"/>
  <c r="AB342" i="66"/>
  <c r="AB343" i="66"/>
  <c r="AB346" i="66"/>
  <c r="AB345" i="66"/>
  <c r="AB344" i="66"/>
  <c r="AB347" i="66"/>
  <c r="AB288" i="66"/>
  <c r="AB289" i="66"/>
  <c r="AB290" i="66"/>
  <c r="AB291" i="66"/>
  <c r="AB292" i="66"/>
  <c r="AB293" i="66"/>
  <c r="AB294" i="66"/>
  <c r="AB296" i="66"/>
  <c r="AB297" i="66"/>
  <c r="AB295" i="66"/>
  <c r="AB300" i="66"/>
  <c r="AB298" i="66"/>
  <c r="AB299" i="66"/>
  <c r="AB301" i="66"/>
  <c r="AB302" i="66"/>
  <c r="AB306" i="66"/>
  <c r="AB305" i="66"/>
  <c r="AB303" i="66"/>
  <c r="AB304" i="66"/>
  <c r="AB309" i="66"/>
  <c r="AB307" i="66"/>
  <c r="AB308" i="66"/>
  <c r="AB310" i="66"/>
  <c r="AB313" i="66"/>
  <c r="AB312" i="66"/>
  <c r="AB311" i="66"/>
  <c r="AB314" i="66"/>
  <c r="AB315" i="66"/>
  <c r="AB316" i="66"/>
  <c r="AB318" i="66"/>
  <c r="AB317" i="66"/>
  <c r="AB320" i="66"/>
  <c r="AB319" i="66"/>
  <c r="AB321" i="66"/>
  <c r="AB323" i="66"/>
  <c r="AB322" i="66"/>
  <c r="AB326" i="66"/>
  <c r="AB325" i="66"/>
  <c r="AB324" i="66"/>
  <c r="AB327" i="66"/>
  <c r="AB328" i="66"/>
  <c r="AB329" i="66"/>
  <c r="AB330" i="66"/>
  <c r="AB332" i="66"/>
  <c r="AB333" i="66"/>
  <c r="AB335" i="66"/>
  <c r="AB334" i="66"/>
  <c r="AB337" i="66"/>
  <c r="AB340" i="66"/>
  <c r="AB339" i="66"/>
  <c r="AB338" i="66"/>
  <c r="AB331" i="66"/>
  <c r="AB336" i="66"/>
  <c r="AB6" i="66"/>
  <c r="AB7" i="66"/>
  <c r="AB5" i="66"/>
  <c r="AB8" i="66"/>
  <c r="AB9" i="66"/>
  <c r="AB11" i="66"/>
  <c r="AB10" i="66"/>
  <c r="AB12" i="66"/>
  <c r="AB13" i="66"/>
  <c r="AB14" i="66"/>
  <c r="AB17" i="66"/>
  <c r="AB23" i="66"/>
  <c r="AB21" i="66"/>
  <c r="AB24" i="66"/>
  <c r="AB22" i="66"/>
  <c r="AB19" i="66"/>
  <c r="AB20" i="66"/>
  <c r="AB16" i="66"/>
  <c r="AB15" i="66"/>
  <c r="AB18" i="66"/>
  <c r="AB31" i="66"/>
  <c r="AB32" i="66"/>
  <c r="AB29" i="66"/>
  <c r="AB28" i="66"/>
  <c r="AB33" i="66"/>
  <c r="AB27" i="66"/>
  <c r="AB30" i="66"/>
  <c r="AB26" i="66"/>
  <c r="AB34" i="66"/>
  <c r="AB25" i="66"/>
  <c r="AB37" i="66"/>
  <c r="AB35" i="66"/>
  <c r="AB36" i="66"/>
  <c r="AB38" i="66"/>
  <c r="AB41" i="66"/>
  <c r="AB39" i="66"/>
  <c r="AB40" i="66"/>
  <c r="AB43" i="66"/>
  <c r="AB42" i="66"/>
  <c r="AB44" i="66"/>
  <c r="AB47" i="66"/>
  <c r="AB48" i="66"/>
  <c r="AB45" i="66"/>
  <c r="AB46" i="66"/>
  <c r="AB66" i="66"/>
  <c r="AB65" i="66"/>
  <c r="AB50" i="66"/>
  <c r="AB51" i="66"/>
  <c r="AB49" i="66"/>
  <c r="AB52" i="66"/>
  <c r="AB54" i="66"/>
  <c r="AB55" i="66"/>
  <c r="AB56" i="66"/>
  <c r="AB57" i="66"/>
  <c r="AB58" i="66"/>
  <c r="AB60" i="66"/>
  <c r="AB53" i="66"/>
  <c r="AB61" i="66"/>
  <c r="AB59" i="66"/>
  <c r="AB63" i="66"/>
  <c r="AB62" i="66"/>
  <c r="AB64" i="66"/>
  <c r="AB74" i="66"/>
  <c r="AB73" i="66"/>
  <c r="AB70" i="66"/>
  <c r="AB71" i="66"/>
  <c r="AB68" i="66"/>
  <c r="AB67" i="66"/>
  <c r="AB75" i="66"/>
  <c r="AB69" i="66"/>
  <c r="AB72" i="66"/>
  <c r="AB77" i="66"/>
  <c r="AB82" i="66"/>
  <c r="AB80" i="66"/>
  <c r="AB83" i="66"/>
  <c r="AB79" i="66"/>
  <c r="AB81" i="66"/>
  <c r="AB78" i="66"/>
  <c r="AB76" i="66"/>
  <c r="AB84" i="66"/>
  <c r="AB86" i="66"/>
  <c r="AB88" i="66"/>
  <c r="AB87" i="66"/>
  <c r="AB85" i="66"/>
  <c r="AB90" i="66"/>
  <c r="AB89" i="66"/>
  <c r="AB94" i="66"/>
  <c r="AB91" i="66"/>
  <c r="AB96" i="66"/>
  <c r="AB93" i="66"/>
  <c r="AB97" i="66"/>
  <c r="AB92" i="66"/>
  <c r="AB101" i="66"/>
  <c r="AB99" i="66"/>
  <c r="AB100" i="66"/>
  <c r="AB95" i="66"/>
  <c r="AB98" i="66"/>
  <c r="AB102" i="66"/>
  <c r="AB105" i="66"/>
  <c r="AB107" i="66"/>
  <c r="AB103" i="66"/>
  <c r="AB104" i="66"/>
  <c r="AB110" i="66"/>
  <c r="AB113" i="66"/>
  <c r="AB114" i="66"/>
  <c r="AB112" i="66"/>
  <c r="AB109" i="66"/>
  <c r="AB108" i="66"/>
  <c r="AB111" i="66"/>
  <c r="AB117" i="66"/>
  <c r="AB116" i="66"/>
  <c r="AB115" i="66"/>
  <c r="AB118" i="66"/>
  <c r="AB119" i="66"/>
  <c r="AB123" i="66"/>
  <c r="AB122" i="66"/>
  <c r="AB121" i="66"/>
  <c r="AB120" i="66"/>
  <c r="AB126" i="66"/>
  <c r="AB125" i="66"/>
  <c r="AB127" i="66"/>
  <c r="AB124" i="66"/>
  <c r="AB128" i="66"/>
  <c r="AB129" i="66"/>
  <c r="AB130" i="66"/>
  <c r="AB132" i="66"/>
  <c r="AB131" i="66"/>
  <c r="AB134" i="66"/>
  <c r="AB136" i="66"/>
  <c r="AB133" i="66"/>
  <c r="AB137" i="66"/>
  <c r="AB147" i="66"/>
  <c r="AB149" i="66"/>
  <c r="AB150" i="66"/>
  <c r="AB148" i="66"/>
  <c r="AB146" i="66"/>
  <c r="AB135" i="66"/>
  <c r="AB145" i="66"/>
  <c r="AB144" i="66"/>
  <c r="AB143" i="66"/>
  <c r="AB138" i="66"/>
  <c r="AB139" i="66"/>
  <c r="AB140" i="66"/>
  <c r="AB141" i="66"/>
  <c r="AB142" i="66"/>
  <c r="AB155" i="66"/>
  <c r="AB154" i="66"/>
  <c r="AB153" i="66"/>
  <c r="AB151" i="66"/>
  <c r="AB152" i="66"/>
  <c r="AB156" i="66"/>
  <c r="AB157" i="66"/>
  <c r="AB161" i="66"/>
  <c r="AB162" i="66"/>
  <c r="AB159" i="66"/>
  <c r="AB158" i="66"/>
  <c r="AB160" i="66"/>
  <c r="AB164" i="66"/>
  <c r="AB168" i="66"/>
  <c r="AB163" i="66"/>
  <c r="AB165" i="66"/>
  <c r="AB166" i="66"/>
  <c r="AB167" i="66"/>
  <c r="AB169" i="66"/>
  <c r="AB173" i="66"/>
  <c r="AB170" i="66"/>
  <c r="AB171" i="66"/>
  <c r="AB172" i="66"/>
  <c r="AB174" i="66"/>
  <c r="AB178" i="66"/>
  <c r="AB175" i="66"/>
  <c r="AB179" i="66"/>
  <c r="AB176" i="66"/>
  <c r="AB177" i="66"/>
  <c r="AB185" i="66"/>
  <c r="AB186" i="66"/>
  <c r="AB181" i="66"/>
  <c r="AB188" i="66"/>
  <c r="AB183" i="66"/>
  <c r="AB190" i="66"/>
  <c r="AB184" i="66"/>
  <c r="AB180" i="66"/>
  <c r="AB182" i="66"/>
  <c r="AB187" i="66"/>
  <c r="AB193" i="66"/>
  <c r="AB189" i="66"/>
  <c r="AB191" i="66"/>
  <c r="AB192" i="66"/>
  <c r="AB195" i="66"/>
  <c r="AB194" i="66"/>
  <c r="AB197" i="66"/>
  <c r="AB196" i="66"/>
  <c r="AB200" i="66"/>
  <c r="AB199" i="66"/>
  <c r="AB198" i="66"/>
  <c r="AB203" i="66"/>
  <c r="AB202" i="66"/>
  <c r="AB205" i="66"/>
  <c r="AB201" i="66"/>
  <c r="AB213" i="66"/>
  <c r="AB204" i="66"/>
  <c r="AB207" i="66"/>
  <c r="AB218" i="66"/>
  <c r="AB211" i="66"/>
  <c r="AB206" i="66"/>
  <c r="AB208" i="66"/>
  <c r="AB209" i="66"/>
  <c r="AB210" i="66"/>
  <c r="AB212" i="66"/>
  <c r="AB216" i="66"/>
  <c r="AB215" i="66"/>
  <c r="AB214" i="66"/>
  <c r="AB217" i="66"/>
  <c r="AB237" i="66"/>
  <c r="AB221" i="66"/>
  <c r="AB231" i="66"/>
  <c r="AB244" i="66"/>
  <c r="AB222" i="66"/>
  <c r="AB232" i="66"/>
  <c r="AB225" i="66"/>
  <c r="AB230" i="66"/>
  <c r="AB219" i="66"/>
  <c r="AB236" i="66"/>
  <c r="AB234" i="66"/>
  <c r="AB240" i="66"/>
  <c r="AB224" i="66"/>
  <c r="AB226" i="66"/>
  <c r="AB229" i="66"/>
  <c r="AB233" i="66"/>
  <c r="AB242" i="66"/>
  <c r="AB238" i="66"/>
  <c r="AB235" i="66"/>
  <c r="AB223" i="66"/>
  <c r="AB241" i="66"/>
  <c r="AB228" i="66"/>
  <c r="AB227" i="66"/>
  <c r="AB220" i="66"/>
  <c r="AB239" i="66"/>
  <c r="AB245" i="66"/>
  <c r="AB243" i="66"/>
  <c r="AB248" i="66"/>
  <c r="AB246" i="66"/>
  <c r="AB247" i="66"/>
  <c r="AB249" i="66"/>
  <c r="AB253" i="66"/>
  <c r="AB250" i="66"/>
  <c r="AB254" i="66"/>
  <c r="AB251" i="66"/>
  <c r="AB252" i="66"/>
  <c r="AB255" i="66"/>
  <c r="AB256" i="66"/>
  <c r="AB257" i="66"/>
  <c r="AB260" i="66"/>
  <c r="AB259" i="66"/>
  <c r="AB258" i="66"/>
  <c r="AB261" i="66"/>
  <c r="AB262" i="66"/>
  <c r="AB263" i="66"/>
  <c r="AB265" i="66"/>
  <c r="AB268" i="66"/>
  <c r="AB271" i="66"/>
  <c r="AB267" i="66"/>
  <c r="AB266" i="66"/>
  <c r="AB270" i="66"/>
  <c r="AB269" i="66"/>
  <c r="AB264" i="66"/>
  <c r="AB273" i="66"/>
  <c r="AB275" i="66"/>
  <c r="AB274" i="66"/>
  <c r="AB280" i="66"/>
  <c r="AB276" i="66"/>
  <c r="AB277" i="66"/>
  <c r="AB278" i="66"/>
  <c r="AB272" i="66"/>
  <c r="AB279" i="66"/>
  <c r="AB281" i="66"/>
  <c r="AB283" i="66"/>
  <c r="AB282" i="66"/>
  <c r="AB287" i="66"/>
  <c r="AB284" i="66"/>
  <c r="AB285" i="66"/>
  <c r="AB286" i="66"/>
  <c r="AB2" i="66"/>
  <c r="AB3" i="66"/>
  <c r="AB4" i="66"/>
  <c r="AB348" i="66"/>
  <c r="R47" i="64"/>
  <c r="Q47" i="64"/>
  <c r="N15" i="69"/>
  <c r="D22" i="69"/>
  <c r="G22" i="69"/>
  <c r="F22" i="69"/>
  <c r="E22" i="69"/>
  <c r="M8" i="69"/>
  <c r="M7" i="69"/>
  <c r="M6" i="69"/>
  <c r="M5" i="69"/>
  <c r="I12" i="69"/>
  <c r="I8" i="69"/>
  <c r="I5" i="69"/>
  <c r="I13" i="69"/>
  <c r="I6" i="69"/>
  <c r="I9" i="69"/>
  <c r="L15" i="68"/>
  <c r="L20" i="68"/>
  <c r="J20" i="68"/>
  <c r="K20" i="68"/>
  <c r="J15" i="68"/>
  <c r="K15" i="68"/>
  <c r="N20" i="68"/>
  <c r="M15" i="68"/>
  <c r="I15" i="68"/>
  <c r="I20" i="68"/>
  <c r="M20" i="68"/>
  <c r="O20" i="68" l="1"/>
  <c r="O22" i="68" s="1"/>
  <c r="I22" i="68" s="1"/>
  <c r="O15" i="68"/>
  <c r="J16" i="68" s="1"/>
  <c r="O5" i="69"/>
  <c r="N5" i="69"/>
  <c r="O6" i="69"/>
  <c r="N6" i="69" s="1"/>
  <c r="M12" i="69"/>
  <c r="O7" i="69"/>
  <c r="F24" i="69"/>
  <c r="D23" i="69"/>
  <c r="D24" i="69" s="1"/>
  <c r="H22" i="69"/>
  <c r="AL41" i="54"/>
  <c r="AL42" i="54"/>
  <c r="AL43" i="54"/>
  <c r="AL44" i="54"/>
  <c r="AL45" i="54"/>
  <c r="AL46" i="54"/>
  <c r="AL47" i="54"/>
  <c r="AL48" i="54"/>
  <c r="AL49" i="54"/>
  <c r="AL50" i="54"/>
  <c r="AL51" i="54"/>
  <c r="AL52" i="54"/>
  <c r="AL53" i="54"/>
  <c r="AL54" i="54"/>
  <c r="AL55" i="54"/>
  <c r="B29" i="68"/>
  <c r="B30" i="68"/>
  <c r="O5" i="68"/>
  <c r="J5" i="68"/>
  <c r="N5" i="68"/>
  <c r="K5" i="68"/>
  <c r="L5" i="68"/>
  <c r="M5" i="68"/>
  <c r="P5" i="68"/>
  <c r="L16" i="68" l="1"/>
  <c r="K21" i="68"/>
  <c r="L21" i="68"/>
  <c r="J21" i="68"/>
  <c r="M16" i="68"/>
  <c r="L22" i="68"/>
  <c r="N10" i="68"/>
  <c r="L27" i="68"/>
  <c r="L28" i="68"/>
  <c r="L26" i="68"/>
  <c r="I16" i="68"/>
  <c r="N21" i="68"/>
  <c r="K22" i="68"/>
  <c r="O8" i="68"/>
  <c r="J22" i="68"/>
  <c r="M21" i="68"/>
  <c r="I21" i="68"/>
  <c r="K11" i="68"/>
  <c r="K8" i="68"/>
  <c r="L8" i="68"/>
  <c r="M8" i="68"/>
  <c r="N8" i="68"/>
  <c r="P8" i="68"/>
  <c r="J8" i="68"/>
  <c r="J11" i="68"/>
  <c r="K16" i="68"/>
  <c r="O17" i="68"/>
  <c r="L2" i="68"/>
  <c r="M2" i="68" s="1"/>
  <c r="L10" i="68"/>
  <c r="P7" i="68"/>
  <c r="M10" i="68"/>
  <c r="O10" i="68"/>
  <c r="J10" i="68"/>
  <c r="P6" i="68"/>
  <c r="K10" i="68"/>
  <c r="AJ49" i="64"/>
  <c r="AJ48" i="64"/>
  <c r="AJ47" i="64"/>
  <c r="AJ46" i="64"/>
  <c r="AJ45" i="64"/>
  <c r="AJ44" i="64"/>
  <c r="AI49" i="64"/>
  <c r="AI48" i="64"/>
  <c r="AI47" i="64"/>
  <c r="AI46" i="64"/>
  <c r="AI45" i="64"/>
  <c r="AI44" i="64"/>
  <c r="AH52" i="64"/>
  <c r="AG52" i="64"/>
  <c r="AC23" i="67"/>
  <c r="AC24" i="67"/>
  <c r="AC25" i="67"/>
  <c r="AC26" i="67"/>
  <c r="AC27" i="67"/>
  <c r="AC22" i="67"/>
  <c r="Y23" i="67"/>
  <c r="Y25" i="67"/>
  <c r="Y26" i="67"/>
  <c r="Y27" i="67"/>
  <c r="Z23" i="67"/>
  <c r="Z24" i="67"/>
  <c r="Z25" i="67"/>
  <c r="Z26" i="67"/>
  <c r="Z27" i="67"/>
  <c r="Z22" i="67"/>
  <c r="Y22" i="67"/>
  <c r="P50" i="67"/>
  <c r="P49" i="67"/>
  <c r="P48" i="67"/>
  <c r="P46" i="67"/>
  <c r="P45" i="67"/>
  <c r="P44" i="67"/>
  <c r="P43" i="67"/>
  <c r="AH45" i="64"/>
  <c r="AH46" i="64"/>
  <c r="AH47" i="64"/>
  <c r="AH48" i="64"/>
  <c r="AH49" i="64"/>
  <c r="AH50" i="64"/>
  <c r="AH51" i="64"/>
  <c r="AH44" i="64"/>
  <c r="AG45" i="64"/>
  <c r="AG46" i="64"/>
  <c r="AG47" i="64"/>
  <c r="AG48" i="64"/>
  <c r="AG49" i="64"/>
  <c r="AG50" i="64"/>
  <c r="AG51" i="64"/>
  <c r="AG44" i="64"/>
  <c r="O28" i="67"/>
  <c r="R28" i="67"/>
  <c r="N22" i="67"/>
  <c r="B5" i="68"/>
  <c r="Q26" i="67"/>
  <c r="B12" i="68"/>
  <c r="B17" i="68"/>
  <c r="Q22" i="67"/>
  <c r="B18" i="68"/>
  <c r="Q25" i="67"/>
  <c r="Q23" i="67"/>
  <c r="P21" i="67"/>
  <c r="B11" i="68"/>
  <c r="P27" i="67"/>
  <c r="P22" i="67"/>
  <c r="Q21" i="67"/>
  <c r="Q27" i="67"/>
  <c r="P23" i="67"/>
  <c r="Q24" i="67"/>
  <c r="P26" i="67"/>
  <c r="B6" i="68"/>
  <c r="P24" i="67"/>
  <c r="P25" i="67"/>
  <c r="B23" i="68"/>
  <c r="B24" i="68"/>
  <c r="N23" i="67"/>
  <c r="M26" i="68" l="1"/>
  <c r="M27" i="68"/>
  <c r="L33" i="67"/>
  <c r="L32" i="67"/>
  <c r="L34" i="67"/>
  <c r="L37" i="67"/>
  <c r="L35" i="67"/>
  <c r="L31" i="67"/>
  <c r="L36" i="67"/>
  <c r="AB22" i="67"/>
  <c r="AB23" i="67"/>
  <c r="AB24" i="67"/>
  <c r="AB25" i="67"/>
  <c r="AB26" i="67"/>
  <c r="AB27" i="67"/>
  <c r="K17" i="68"/>
  <c r="I17" i="68"/>
  <c r="J17" i="68"/>
  <c r="L17" i="68"/>
  <c r="AA25" i="67"/>
  <c r="AA22" i="67"/>
  <c r="AA24" i="67"/>
  <c r="AA26" i="67"/>
  <c r="W35" i="67" s="1"/>
  <c r="AA27" i="67"/>
  <c r="AA23" i="67"/>
  <c r="Y24" i="67"/>
  <c r="P28" i="67"/>
  <c r="Q28" i="67"/>
  <c r="N28" i="67"/>
  <c r="K25" i="67"/>
  <c r="M22" i="67"/>
  <c r="K21" i="67"/>
  <c r="M21" i="67"/>
  <c r="M26" i="67"/>
  <c r="H5" i="67"/>
  <c r="L25" i="67"/>
  <c r="M25" i="67"/>
  <c r="L23" i="67"/>
  <c r="K24" i="67"/>
  <c r="K23" i="67"/>
  <c r="L26" i="67"/>
  <c r="H9" i="67"/>
  <c r="L21" i="67"/>
  <c r="M27" i="67"/>
  <c r="K26" i="67"/>
  <c r="K22" i="67"/>
  <c r="L24" i="67"/>
  <c r="M23" i="67"/>
  <c r="K27" i="67"/>
  <c r="M24" i="67"/>
  <c r="H8" i="67"/>
  <c r="L22" i="67"/>
  <c r="L27" i="67"/>
  <c r="H10" i="67"/>
  <c r="H6" i="67"/>
  <c r="H11" i="67"/>
  <c r="H7" i="67"/>
  <c r="W32" i="67" l="1"/>
  <c r="W33" i="67"/>
  <c r="L38" i="67"/>
  <c r="L39" i="67" s="1"/>
  <c r="N33" i="67" s="1"/>
  <c r="K37" i="67"/>
  <c r="K32" i="67"/>
  <c r="K31" i="67"/>
  <c r="K34" i="67"/>
  <c r="K35" i="67"/>
  <c r="K33" i="67"/>
  <c r="K36" i="67"/>
  <c r="W36" i="67"/>
  <c r="W31" i="67"/>
  <c r="W34" i="67"/>
  <c r="S21" i="67"/>
  <c r="K28" i="67"/>
  <c r="V22" i="67"/>
  <c r="V23" i="67"/>
  <c r="S22" i="67"/>
  <c r="V24" i="67"/>
  <c r="S23" i="67"/>
  <c r="V25" i="67"/>
  <c r="S24" i="67"/>
  <c r="V26" i="67"/>
  <c r="W25" i="67"/>
  <c r="S25" i="67"/>
  <c r="S26" i="67"/>
  <c r="V27" i="67"/>
  <c r="V36" i="67" s="1"/>
  <c r="S27" i="67"/>
  <c r="W22" i="67"/>
  <c r="L28" i="67"/>
  <c r="W23" i="67"/>
  <c r="W24" i="67"/>
  <c r="W26" i="67"/>
  <c r="W27" i="67"/>
  <c r="X22" i="67"/>
  <c r="M28" i="67"/>
  <c r="X23" i="67"/>
  <c r="X24" i="67"/>
  <c r="X25" i="67"/>
  <c r="X26" i="67"/>
  <c r="X27" i="67"/>
  <c r="H12" i="67"/>
  <c r="I4" i="67"/>
  <c r="I5" i="67"/>
  <c r="I6" i="67"/>
  <c r="I10" i="67"/>
  <c r="I9" i="67"/>
  <c r="I7" i="67"/>
  <c r="I8" i="67"/>
  <c r="O25" i="64"/>
  <c r="N25" i="64"/>
  <c r="U25" i="64"/>
  <c r="T25" i="64"/>
  <c r="P25" i="64"/>
  <c r="S25" i="64"/>
  <c r="R25" i="64"/>
  <c r="N35" i="67" l="1"/>
  <c r="N34" i="67"/>
  <c r="N31" i="67"/>
  <c r="N36" i="67"/>
  <c r="N32" i="67"/>
  <c r="W37" i="67"/>
  <c r="Y35" i="67" s="1"/>
  <c r="V32" i="67"/>
  <c r="V33" i="67"/>
  <c r="K38" i="67"/>
  <c r="K39" i="67" s="1"/>
  <c r="M32" i="67" s="1"/>
  <c r="Z24" i="64"/>
  <c r="Y24" i="64"/>
  <c r="J9" i="67"/>
  <c r="I12" i="67"/>
  <c r="V31" i="67"/>
  <c r="Y36" i="67"/>
  <c r="V35" i="67"/>
  <c r="J7" i="67"/>
  <c r="V34" i="67"/>
  <c r="J8" i="67"/>
  <c r="J6" i="67"/>
  <c r="J5" i="67"/>
  <c r="J4" i="67"/>
  <c r="P48" i="64"/>
  <c r="P49" i="64"/>
  <c r="P50" i="64"/>
  <c r="P51" i="64"/>
  <c r="P52" i="64"/>
  <c r="P53" i="64"/>
  <c r="P54" i="64"/>
  <c r="P47" i="64"/>
  <c r="S40" i="64"/>
  <c r="S39" i="64"/>
  <c r="S38" i="64"/>
  <c r="S36" i="64"/>
  <c r="S35" i="64"/>
  <c r="S34" i="64"/>
  <c r="S33" i="64"/>
  <c r="R24" i="64"/>
  <c r="R23" i="64"/>
  <c r="R20" i="64"/>
  <c r="P21" i="64"/>
  <c r="O19" i="64"/>
  <c r="U19" i="64"/>
  <c r="U20" i="64"/>
  <c r="N24" i="64"/>
  <c r="S19" i="64"/>
  <c r="S23" i="64"/>
  <c r="U21" i="64"/>
  <c r="O20" i="64"/>
  <c r="T22" i="64"/>
  <c r="N23" i="64"/>
  <c r="N22" i="64"/>
  <c r="N7" i="64"/>
  <c r="T24" i="64"/>
  <c r="N21" i="64"/>
  <c r="U22" i="64"/>
  <c r="T23" i="64"/>
  <c r="T21" i="64"/>
  <c r="S20" i="64"/>
  <c r="N19" i="64"/>
  <c r="N3" i="64"/>
  <c r="N20" i="64"/>
  <c r="S21" i="64"/>
  <c r="P23" i="64"/>
  <c r="U23" i="64"/>
  <c r="O21" i="64"/>
  <c r="S24" i="64"/>
  <c r="P19" i="64"/>
  <c r="P24" i="64"/>
  <c r="S22" i="64"/>
  <c r="N4" i="64"/>
  <c r="P22" i="64"/>
  <c r="O22" i="64"/>
  <c r="U24" i="64"/>
  <c r="P20" i="64"/>
  <c r="T19" i="64"/>
  <c r="O24" i="64"/>
  <c r="T20" i="64"/>
  <c r="Q19" i="64"/>
  <c r="R22" i="64"/>
  <c r="Q22" i="64"/>
  <c r="R21" i="64"/>
  <c r="N9" i="64"/>
  <c r="Q20" i="64"/>
  <c r="N5" i="64"/>
  <c r="R19" i="64"/>
  <c r="N6" i="64"/>
  <c r="Y32" i="67" l="1"/>
  <c r="Y31" i="67"/>
  <c r="Y34" i="67"/>
  <c r="Y33" i="67"/>
  <c r="M36" i="67"/>
  <c r="M31" i="67"/>
  <c r="M34" i="67"/>
  <c r="M35" i="67"/>
  <c r="M33" i="67"/>
  <c r="Z23" i="64"/>
  <c r="Y20" i="64"/>
  <c r="Z21" i="64"/>
  <c r="Y19" i="64"/>
  <c r="Y23" i="64"/>
  <c r="Y18" i="64"/>
  <c r="Z20" i="64"/>
  <c r="Z18" i="64"/>
  <c r="Y21" i="64"/>
  <c r="Z19" i="64"/>
  <c r="Z22" i="64"/>
  <c r="Y22" i="64"/>
  <c r="V37" i="67"/>
  <c r="X35" i="67" s="1"/>
  <c r="P10" i="64"/>
  <c r="O26" i="64"/>
  <c r="W33" i="64" s="1" a="1"/>
  <c r="W33" i="64" s="1"/>
  <c r="P26" i="64"/>
  <c r="X33" i="64" s="1" a="1"/>
  <c r="X33" i="64" s="1"/>
  <c r="U26" i="64"/>
  <c r="AC33" i="64" s="1" a="1"/>
  <c r="AC33" i="64" s="1"/>
  <c r="T26" i="64"/>
  <c r="AB33" i="64" s="1" a="1"/>
  <c r="AB33" i="64" s="1"/>
  <c r="Q26" i="64"/>
  <c r="Y33" i="64" s="1" a="1"/>
  <c r="Y33" i="64" s="1"/>
  <c r="R26" i="64"/>
  <c r="Z33" i="64" s="1" a="1"/>
  <c r="Z33" i="64" s="1"/>
  <c r="S26" i="64"/>
  <c r="N26" i="64"/>
  <c r="V33" i="64" s="1" a="1"/>
  <c r="V33" i="64" s="1"/>
  <c r="N10" i="64"/>
  <c r="O6" i="64" s="1"/>
  <c r="AJ869" i="56"/>
  <c r="AJ868" i="56"/>
  <c r="AJ867" i="56"/>
  <c r="AJ866" i="56"/>
  <c r="AJ865" i="56"/>
  <c r="AJ864" i="56"/>
  <c r="AJ863" i="56"/>
  <c r="AJ862" i="56"/>
  <c r="AJ861" i="56"/>
  <c r="AJ860" i="56"/>
  <c r="AJ859" i="56"/>
  <c r="AJ858" i="56"/>
  <c r="AJ857" i="56"/>
  <c r="AJ856" i="56"/>
  <c r="AJ855" i="56"/>
  <c r="AJ854" i="56"/>
  <c r="AJ853" i="56"/>
  <c r="AJ852" i="56"/>
  <c r="AJ851" i="56"/>
  <c r="AJ850" i="56"/>
  <c r="AJ849" i="56"/>
  <c r="AJ840" i="56"/>
  <c r="AJ847" i="56"/>
  <c r="AJ842" i="56"/>
  <c r="AJ846" i="56"/>
  <c r="AJ848" i="56"/>
  <c r="AJ845" i="56"/>
  <c r="AJ844" i="56"/>
  <c r="AJ843" i="56"/>
  <c r="AJ841" i="56"/>
  <c r="AJ724" i="56"/>
  <c r="AJ723" i="56"/>
  <c r="AJ722" i="56"/>
  <c r="AJ720" i="56"/>
  <c r="AJ719" i="56"/>
  <c r="AJ718" i="56"/>
  <c r="AJ716" i="56"/>
  <c r="AJ715" i="56"/>
  <c r="AJ620" i="56"/>
  <c r="AJ619" i="56"/>
  <c r="AJ614" i="56"/>
  <c r="AJ613" i="56"/>
  <c r="AJ612" i="56"/>
  <c r="AJ611" i="56"/>
  <c r="AJ432" i="56"/>
  <c r="AJ431" i="56"/>
  <c r="AJ430" i="56"/>
  <c r="AJ429" i="56"/>
  <c r="AJ428" i="56"/>
  <c r="AJ427" i="56"/>
  <c r="AJ426" i="56"/>
  <c r="AJ425" i="56"/>
  <c r="AJ424" i="56"/>
  <c r="AJ392" i="56"/>
  <c r="AJ391" i="56"/>
  <c r="AJ390" i="56"/>
  <c r="AJ389" i="56"/>
  <c r="AJ388" i="56"/>
  <c r="AJ387" i="56"/>
  <c r="AJ386" i="56"/>
  <c r="AJ385" i="56"/>
  <c r="AJ394" i="56"/>
  <c r="AJ393" i="56"/>
  <c r="AJ384" i="56"/>
  <c r="AJ358" i="56"/>
  <c r="AJ267" i="56"/>
  <c r="AJ266" i="56"/>
  <c r="AJ265" i="56"/>
  <c r="AJ264" i="56"/>
  <c r="AJ190" i="56"/>
  <c r="AJ189" i="56"/>
  <c r="AJ188" i="56"/>
  <c r="AJ187" i="56"/>
  <c r="AJ186" i="56"/>
  <c r="AJ185" i="56"/>
  <c r="AJ184" i="56"/>
  <c r="AJ183" i="56"/>
  <c r="AJ182" i="56"/>
  <c r="AJ181" i="56"/>
  <c r="AJ180" i="56"/>
  <c r="AJ179" i="56"/>
  <c r="AJ178" i="56"/>
  <c r="AJ177" i="56"/>
  <c r="AJ176" i="56"/>
  <c r="AJ175" i="56"/>
  <c r="AJ174" i="56"/>
  <c r="AJ173" i="56"/>
  <c r="AJ163" i="56"/>
  <c r="AJ162" i="56"/>
  <c r="AJ161" i="56"/>
  <c r="AJ160" i="56"/>
  <c r="AJ159" i="56"/>
  <c r="AJ74" i="56"/>
  <c r="AJ73" i="56"/>
  <c r="AJ72" i="56"/>
  <c r="AJ71" i="56"/>
  <c r="AJ70" i="56"/>
  <c r="AJ69" i="56"/>
  <c r="AJ68" i="56"/>
  <c r="AJ67" i="56"/>
  <c r="AJ66" i="56"/>
  <c r="AJ65" i="56"/>
  <c r="AJ64" i="56"/>
  <c r="AJ34" i="56"/>
  <c r="AJ33" i="56"/>
  <c r="AJ32" i="56"/>
  <c r="AJ31" i="56"/>
  <c r="AJ30" i="56"/>
  <c r="AJ29" i="56"/>
  <c r="AJ28" i="56"/>
  <c r="AJ27" i="56"/>
  <c r="AJ13" i="56"/>
  <c r="AJ12" i="56"/>
  <c r="AJ11" i="56"/>
  <c r="AJ9" i="56"/>
  <c r="AJ10" i="56"/>
  <c r="AJ8" i="56"/>
  <c r="AJ7" i="56"/>
  <c r="AD7" i="56"/>
  <c r="AJ6" i="56"/>
  <c r="AJ5" i="56"/>
  <c r="AJ17" i="56"/>
  <c r="AJ16" i="56"/>
  <c r="AD16" i="56"/>
  <c r="AJ15" i="56"/>
  <c r="AJ14" i="56"/>
  <c r="AJ4" i="56"/>
  <c r="AE4" i="56"/>
  <c r="AJ829" i="56"/>
  <c r="AJ828" i="56"/>
  <c r="AJ827" i="56"/>
  <c r="AJ826" i="56"/>
  <c r="AJ825" i="56"/>
  <c r="AJ824" i="56"/>
  <c r="AJ823" i="56"/>
  <c r="AJ822" i="56"/>
  <c r="AJ821" i="56"/>
  <c r="AJ835" i="56"/>
  <c r="AJ834" i="56"/>
  <c r="AJ833" i="56"/>
  <c r="AJ832" i="56"/>
  <c r="AJ831" i="56"/>
  <c r="AJ830" i="56"/>
  <c r="AJ820" i="56"/>
  <c r="AJ754" i="56"/>
  <c r="AJ348" i="56"/>
  <c r="AJ347" i="56"/>
  <c r="AJ346" i="56"/>
  <c r="AJ300" i="56"/>
  <c r="AJ299" i="56"/>
  <c r="AJ298" i="56"/>
  <c r="AJ213" i="56"/>
  <c r="AJ89" i="56"/>
  <c r="AJ84" i="56"/>
  <c r="AJ83" i="56"/>
  <c r="AJ82" i="56"/>
  <c r="AJ81" i="56"/>
  <c r="AJ80" i="56"/>
  <c r="AJ78" i="56"/>
  <c r="AJ77" i="56"/>
  <c r="AJ76" i="56"/>
  <c r="AJ75" i="56"/>
  <c r="AJ90" i="56"/>
  <c r="AJ817" i="56"/>
  <c r="AJ816" i="56"/>
  <c r="AJ815" i="56"/>
  <c r="AJ814" i="56"/>
  <c r="AJ813" i="56"/>
  <c r="AJ812" i="56"/>
  <c r="AJ811" i="56"/>
  <c r="AJ810" i="56"/>
  <c r="AJ819" i="56"/>
  <c r="AJ818" i="56"/>
  <c r="AJ809" i="56"/>
  <c r="AJ735" i="56"/>
  <c r="AJ733" i="56"/>
  <c r="AG734" i="56"/>
  <c r="AJ734" i="56" s="1"/>
  <c r="AD734" i="56"/>
  <c r="AJ732" i="56"/>
  <c r="AJ731" i="56"/>
  <c r="AJ730" i="56"/>
  <c r="AJ729" i="56"/>
  <c r="AJ728" i="56"/>
  <c r="AJ753" i="56"/>
  <c r="AJ704" i="56"/>
  <c r="AJ752" i="56"/>
  <c r="AJ751" i="56"/>
  <c r="AJ750" i="56"/>
  <c r="AJ749" i="56"/>
  <c r="AJ748" i="56"/>
  <c r="AJ747" i="56"/>
  <c r="AJ746" i="56"/>
  <c r="AJ727" i="56"/>
  <c r="AJ745" i="56"/>
  <c r="AJ744" i="56"/>
  <c r="AJ743" i="56"/>
  <c r="AJ742" i="56"/>
  <c r="AJ741" i="56"/>
  <c r="AJ740" i="56"/>
  <c r="AJ739" i="56"/>
  <c r="AJ738" i="56"/>
  <c r="AJ737" i="56"/>
  <c r="AJ736" i="56"/>
  <c r="AJ726" i="56"/>
  <c r="AJ634" i="56"/>
  <c r="AJ633" i="56"/>
  <c r="AJ632" i="56"/>
  <c r="AJ631" i="56"/>
  <c r="AJ3" i="56"/>
  <c r="AJ630" i="56"/>
  <c r="AJ629" i="56"/>
  <c r="AJ628" i="56"/>
  <c r="AJ627" i="56"/>
  <c r="AJ636" i="56"/>
  <c r="AJ635" i="56"/>
  <c r="AJ626" i="56"/>
  <c r="AJ515" i="56"/>
  <c r="AJ514" i="56"/>
  <c r="AJ513" i="56"/>
  <c r="AJ512" i="56"/>
  <c r="AJ511" i="56"/>
  <c r="AJ510" i="56"/>
  <c r="AJ509" i="56"/>
  <c r="AJ508" i="56"/>
  <c r="AJ507" i="56"/>
  <c r="AJ518" i="56"/>
  <c r="AJ517" i="56"/>
  <c r="AJ516" i="56"/>
  <c r="AJ495" i="56"/>
  <c r="AJ484" i="56"/>
  <c r="AJ483" i="56"/>
  <c r="AJ482" i="56"/>
  <c r="AJ481" i="56"/>
  <c r="AJ480" i="56"/>
  <c r="AJ479" i="56"/>
  <c r="AJ478" i="56"/>
  <c r="AJ477" i="56"/>
  <c r="AG489" i="56"/>
  <c r="AJ489" i="56" s="1"/>
  <c r="AE489" i="56"/>
  <c r="AD489" i="56"/>
  <c r="AJ488" i="56"/>
  <c r="AJ487" i="56"/>
  <c r="AJ486" i="56"/>
  <c r="AJ485" i="56"/>
  <c r="AJ476" i="56"/>
  <c r="AJ471" i="56"/>
  <c r="AJ470" i="56"/>
  <c r="AJ469" i="56"/>
  <c r="AJ468" i="56"/>
  <c r="AJ467" i="56"/>
  <c r="AJ466" i="56"/>
  <c r="AJ465" i="56"/>
  <c r="AJ464" i="56"/>
  <c r="AJ475" i="56"/>
  <c r="AJ474" i="56"/>
  <c r="AJ473" i="56"/>
  <c r="AJ472" i="56"/>
  <c r="AJ463" i="56"/>
  <c r="AJ320" i="56"/>
  <c r="AJ318" i="56"/>
  <c r="AJ319" i="56"/>
  <c r="AJ208" i="56"/>
  <c r="AJ207" i="56"/>
  <c r="AJ206" i="56"/>
  <c r="AJ205" i="56"/>
  <c r="AJ52" i="56"/>
  <c r="AJ51" i="56"/>
  <c r="AJ50" i="56"/>
  <c r="AJ49" i="56"/>
  <c r="AJ693" i="56"/>
  <c r="AJ806" i="56"/>
  <c r="AJ805" i="56"/>
  <c r="AJ804" i="56"/>
  <c r="AJ803" i="56"/>
  <c r="AJ802" i="56"/>
  <c r="AJ801" i="56"/>
  <c r="AJ800" i="56"/>
  <c r="AJ763" i="56"/>
  <c r="AJ762" i="56"/>
  <c r="AJ761" i="56"/>
  <c r="AJ760" i="56"/>
  <c r="AJ759" i="56"/>
  <c r="AJ758" i="56"/>
  <c r="AJ757" i="56"/>
  <c r="AE757" i="56"/>
  <c r="AJ756" i="56"/>
  <c r="AJ768" i="56"/>
  <c r="AJ767" i="56"/>
  <c r="AJ766" i="56"/>
  <c r="AJ765" i="56"/>
  <c r="AJ764" i="56"/>
  <c r="AJ755" i="56"/>
  <c r="AJ710" i="56"/>
  <c r="AJ709" i="56"/>
  <c r="AJ654" i="56"/>
  <c r="AJ653" i="56"/>
  <c r="AJ652" i="56"/>
  <c r="AJ651" i="56"/>
  <c r="AJ650" i="56"/>
  <c r="AJ649" i="56"/>
  <c r="AJ648" i="56"/>
  <c r="AJ674" i="56"/>
  <c r="AJ673" i="56"/>
  <c r="AJ672" i="56"/>
  <c r="AJ671" i="56"/>
  <c r="AJ670" i="56"/>
  <c r="AJ669" i="56"/>
  <c r="AJ668" i="56"/>
  <c r="AJ667" i="56"/>
  <c r="AJ666" i="56"/>
  <c r="AJ665" i="56"/>
  <c r="AJ647" i="56"/>
  <c r="AJ664" i="56"/>
  <c r="AJ663" i="56"/>
  <c r="AJ662" i="56"/>
  <c r="AJ661" i="56"/>
  <c r="AJ660" i="56"/>
  <c r="AJ659" i="56"/>
  <c r="AJ658" i="56"/>
  <c r="AJ657" i="56"/>
  <c r="AJ656" i="56"/>
  <c r="AD656" i="56"/>
  <c r="AJ655" i="56"/>
  <c r="AD655" i="56"/>
  <c r="AJ646" i="56"/>
  <c r="AJ506" i="56"/>
  <c r="AJ505" i="56"/>
  <c r="AJ504" i="56"/>
  <c r="AG503" i="56"/>
  <c r="AJ503" i="56"/>
  <c r="AJ502" i="56"/>
  <c r="AJ501" i="56"/>
  <c r="AJ500" i="56"/>
  <c r="AJ499" i="56"/>
  <c r="AJ498" i="56"/>
  <c r="AJ497" i="56"/>
  <c r="AJ496" i="56"/>
  <c r="AJ365" i="56"/>
  <c r="AJ364" i="56"/>
  <c r="AJ363" i="56"/>
  <c r="AJ362" i="56"/>
  <c r="AJ361" i="56"/>
  <c r="AJ360" i="56"/>
  <c r="AJ79" i="56"/>
  <c r="AJ359" i="56"/>
  <c r="AJ351" i="56"/>
  <c r="AJ350" i="56"/>
  <c r="AJ349" i="56"/>
  <c r="AJ311" i="56"/>
  <c r="AJ310" i="56"/>
  <c r="AJ309" i="56"/>
  <c r="AJ308" i="56"/>
  <c r="AJ307" i="56"/>
  <c r="AJ306" i="56"/>
  <c r="AJ305" i="56"/>
  <c r="AJ304" i="56"/>
  <c r="AJ301" i="56"/>
  <c r="AJ262" i="56"/>
  <c r="AJ261" i="56"/>
  <c r="AJ260" i="56"/>
  <c r="AJ259" i="56"/>
  <c r="AJ258" i="56"/>
  <c r="AJ257" i="56"/>
  <c r="AJ221" i="56"/>
  <c r="AJ220" i="56"/>
  <c r="AJ219" i="56"/>
  <c r="AJ218" i="56"/>
  <c r="AJ217" i="56"/>
  <c r="AJ216" i="56"/>
  <c r="AJ215" i="56"/>
  <c r="AJ214" i="56"/>
  <c r="AJ152" i="56"/>
  <c r="AJ151" i="56"/>
  <c r="AJ150" i="56"/>
  <c r="AJ149" i="56"/>
  <c r="AJ148" i="56"/>
  <c r="AJ147" i="56"/>
  <c r="AJ146" i="56"/>
  <c r="AJ145" i="56"/>
  <c r="AJ156" i="56"/>
  <c r="AJ157" i="56"/>
  <c r="AJ155" i="56"/>
  <c r="AJ154" i="56"/>
  <c r="AJ153" i="56"/>
  <c r="AJ144" i="56"/>
  <c r="AJ131" i="56"/>
  <c r="AJ130" i="56"/>
  <c r="AJ129" i="56"/>
  <c r="AJ128" i="56"/>
  <c r="AJ127" i="56"/>
  <c r="AJ126" i="56"/>
  <c r="AJ125" i="56"/>
  <c r="AJ124" i="56"/>
  <c r="AJ134" i="56"/>
  <c r="AJ133" i="56"/>
  <c r="AJ132" i="56"/>
  <c r="AJ123" i="56"/>
  <c r="AJ692" i="56"/>
  <c r="AJ807" i="56"/>
  <c r="AJ725" i="56"/>
  <c r="AJ696" i="56"/>
  <c r="AJ695" i="56"/>
  <c r="AJ694" i="56"/>
  <c r="AJ689" i="56"/>
  <c r="AJ688" i="56"/>
  <c r="AJ687" i="56"/>
  <c r="AJ685" i="56"/>
  <c r="AJ698" i="56"/>
  <c r="AJ697" i="56"/>
  <c r="AJ684" i="56"/>
  <c r="AJ645" i="56"/>
  <c r="AJ644" i="56"/>
  <c r="AJ643" i="56"/>
  <c r="AJ642" i="56"/>
  <c r="AJ641" i="56"/>
  <c r="AJ530" i="56"/>
  <c r="AJ529" i="56"/>
  <c r="AJ528" i="56"/>
  <c r="AJ597" i="56"/>
  <c r="AJ596" i="56"/>
  <c r="AJ595" i="56"/>
  <c r="AJ594" i="56"/>
  <c r="AJ593" i="56"/>
  <c r="AJ592" i="56"/>
  <c r="AJ591" i="56"/>
  <c r="AJ590" i="56"/>
  <c r="AJ589" i="56"/>
  <c r="AJ527" i="56"/>
  <c r="AJ588" i="56"/>
  <c r="AJ587" i="56"/>
  <c r="AJ586" i="56"/>
  <c r="AJ585" i="56"/>
  <c r="AJ584" i="56"/>
  <c r="AJ583" i="56"/>
  <c r="AJ582" i="56"/>
  <c r="AJ581" i="56"/>
  <c r="AJ580" i="56"/>
  <c r="AJ579" i="56"/>
  <c r="AJ578" i="56"/>
  <c r="AJ577" i="56"/>
  <c r="AJ526" i="56"/>
  <c r="AJ576" i="56"/>
  <c r="AJ575" i="56"/>
  <c r="AJ574" i="56"/>
  <c r="AJ573" i="56"/>
  <c r="AJ572" i="56"/>
  <c r="AJ571" i="56"/>
  <c r="AJ570" i="56"/>
  <c r="AJ569" i="56"/>
  <c r="AJ568" i="56"/>
  <c r="AJ567" i="56"/>
  <c r="AJ525" i="56"/>
  <c r="AJ566" i="56"/>
  <c r="AJ565" i="56"/>
  <c r="AJ564" i="56"/>
  <c r="AJ563" i="56"/>
  <c r="AJ562" i="56"/>
  <c r="AJ561" i="56"/>
  <c r="AJ560" i="56"/>
  <c r="AJ559" i="56"/>
  <c r="AJ558" i="56"/>
  <c r="AJ557" i="56"/>
  <c r="AJ556" i="56"/>
  <c r="AJ524" i="56"/>
  <c r="AJ555" i="56"/>
  <c r="AJ554" i="56"/>
  <c r="AJ553" i="56"/>
  <c r="AJ552" i="56"/>
  <c r="AJ551" i="56"/>
  <c r="AJ550" i="56"/>
  <c r="AJ549" i="56"/>
  <c r="AJ548" i="56"/>
  <c r="AJ547" i="56"/>
  <c r="AJ546" i="56"/>
  <c r="AJ545" i="56"/>
  <c r="AJ544" i="56"/>
  <c r="AJ523" i="56"/>
  <c r="AJ522" i="56"/>
  <c r="AJ543" i="56"/>
  <c r="AJ541" i="56"/>
  <c r="AJ540" i="56"/>
  <c r="AJ539" i="56"/>
  <c r="AJ538" i="56"/>
  <c r="AJ537" i="56"/>
  <c r="AJ536" i="56"/>
  <c r="AJ535" i="56"/>
  <c r="AJ534" i="56"/>
  <c r="AJ533" i="56"/>
  <c r="AJ532" i="56"/>
  <c r="AJ531" i="56"/>
  <c r="AJ521" i="56"/>
  <c r="AJ458" i="56"/>
  <c r="AJ457" i="56"/>
  <c r="AJ456" i="56"/>
  <c r="AJ455" i="56"/>
  <c r="AJ454" i="56"/>
  <c r="AJ453" i="56"/>
  <c r="AJ423" i="56"/>
  <c r="AJ422" i="56"/>
  <c r="AJ421" i="56"/>
  <c r="AJ420" i="56"/>
  <c r="AJ419" i="56"/>
  <c r="AJ418" i="56"/>
  <c r="AJ401" i="56"/>
  <c r="AJ400" i="56"/>
  <c r="AJ399" i="56"/>
  <c r="AJ397" i="56"/>
  <c r="AJ396" i="56"/>
  <c r="AJ395" i="56"/>
  <c r="AJ352" i="56"/>
  <c r="AJ334" i="56"/>
  <c r="AJ333" i="56"/>
  <c r="AJ332" i="56"/>
  <c r="AJ398" i="56"/>
  <c r="AJ297" i="56"/>
  <c r="AJ296" i="56"/>
  <c r="AJ295" i="56"/>
  <c r="AJ292" i="56"/>
  <c r="AJ291" i="56"/>
  <c r="AJ290" i="56"/>
  <c r="AJ254" i="56"/>
  <c r="AJ253" i="56"/>
  <c r="AJ252" i="56"/>
  <c r="AJ251" i="56"/>
  <c r="AJ250" i="56"/>
  <c r="AJ249" i="56"/>
  <c r="AJ248" i="56"/>
  <c r="AJ247" i="56"/>
  <c r="AJ246" i="56"/>
  <c r="AJ199" i="56"/>
  <c r="AJ263" i="56"/>
  <c r="AJ158" i="56"/>
  <c r="AJ117" i="56"/>
  <c r="AJ116" i="56"/>
  <c r="AJ115" i="56"/>
  <c r="AJ114" i="56"/>
  <c r="AJ113" i="56"/>
  <c r="AJ112" i="56"/>
  <c r="AJ462" i="56"/>
  <c r="AJ461" i="56"/>
  <c r="AJ460" i="56"/>
  <c r="AJ459" i="56"/>
  <c r="AJ293" i="56"/>
  <c r="AJ204" i="56"/>
  <c r="AJ203" i="56"/>
  <c r="AJ202" i="56"/>
  <c r="AJ201" i="56"/>
  <c r="AJ200" i="56"/>
  <c r="AJ542" i="56"/>
  <c r="AJ691" i="56"/>
  <c r="AJ690" i="56"/>
  <c r="AJ686" i="56"/>
  <c r="AJ294" i="56"/>
  <c r="AJ85" i="56"/>
  <c r="AJ58" i="56"/>
  <c r="AJ57" i="56"/>
  <c r="AJ56" i="56"/>
  <c r="AJ55" i="56"/>
  <c r="AJ54" i="56"/>
  <c r="AJ53" i="56"/>
  <c r="AJ808" i="56"/>
  <c r="AJ774" i="56"/>
  <c r="AJ773" i="56"/>
  <c r="AJ772" i="56"/>
  <c r="AJ771" i="56"/>
  <c r="AJ770" i="56"/>
  <c r="AJ769" i="56"/>
  <c r="AJ682" i="56"/>
  <c r="AJ681" i="56"/>
  <c r="AJ680" i="56"/>
  <c r="AJ679" i="56"/>
  <c r="AJ678" i="56"/>
  <c r="AJ677" i="56"/>
  <c r="AJ676" i="56"/>
  <c r="AJ675" i="56"/>
  <c r="AJ607" i="56"/>
  <c r="AJ606" i="56"/>
  <c r="AJ605" i="56"/>
  <c r="AJ604" i="56"/>
  <c r="AJ603" i="56"/>
  <c r="AJ602" i="56"/>
  <c r="AJ601" i="56"/>
  <c r="AJ600" i="56"/>
  <c r="AJ599" i="56"/>
  <c r="AJ608" i="56"/>
  <c r="AJ598" i="56"/>
  <c r="AJ494" i="56"/>
  <c r="AJ493" i="56"/>
  <c r="AJ405" i="56"/>
  <c r="AJ492" i="56"/>
  <c r="AJ491" i="56"/>
  <c r="AJ452" i="56"/>
  <c r="AJ416" i="56"/>
  <c r="AJ408" i="56"/>
  <c r="AJ407" i="56"/>
  <c r="AJ406" i="56"/>
  <c r="AJ404" i="56"/>
  <c r="AJ403" i="56"/>
  <c r="AJ402" i="56"/>
  <c r="AJ345" i="56"/>
  <c r="AJ344" i="56"/>
  <c r="AJ331" i="56"/>
  <c r="AJ330" i="56"/>
  <c r="AJ329" i="56"/>
  <c r="AJ328" i="56"/>
  <c r="AJ236" i="56"/>
  <c r="AJ235" i="56"/>
  <c r="AJ234" i="56"/>
  <c r="AJ233" i="56"/>
  <c r="AJ232" i="56"/>
  <c r="AJ231" i="56"/>
  <c r="AJ230" i="56"/>
  <c r="AJ198" i="56"/>
  <c r="AJ197" i="56"/>
  <c r="AJ196" i="56"/>
  <c r="AJ195" i="56"/>
  <c r="AJ194" i="56"/>
  <c r="AJ193" i="56"/>
  <c r="AJ192" i="56"/>
  <c r="AJ191" i="56"/>
  <c r="AJ142" i="56"/>
  <c r="AJ141" i="56"/>
  <c r="AJ140" i="56"/>
  <c r="AJ139" i="56"/>
  <c r="AJ138" i="56"/>
  <c r="AJ137" i="56"/>
  <c r="AJ837" i="56"/>
  <c r="AJ836" i="56"/>
  <c r="AJ136" i="56"/>
  <c r="AJ2" i="56"/>
  <c r="AJ143" i="56"/>
  <c r="AJ135" i="56"/>
  <c r="AJ111" i="56"/>
  <c r="AJ110" i="56"/>
  <c r="AJ109" i="56"/>
  <c r="AJ108" i="56"/>
  <c r="AJ107" i="56"/>
  <c r="AJ106" i="56"/>
  <c r="AJ699" i="56"/>
  <c r="AJ700" i="56"/>
  <c r="AJ721" i="56"/>
  <c r="AJ717" i="56"/>
  <c r="AJ714" i="56"/>
  <c r="AJ713" i="56"/>
  <c r="AJ712" i="56"/>
  <c r="AJ711" i="56"/>
  <c r="AJ618" i="56"/>
  <c r="AJ617" i="56"/>
  <c r="AJ616" i="56"/>
  <c r="AJ615" i="56"/>
  <c r="AJ610" i="56"/>
  <c r="AJ609" i="56"/>
  <c r="AJ490" i="56"/>
  <c r="AJ357" i="56"/>
  <c r="AJ356" i="56"/>
  <c r="AJ229" i="56"/>
  <c r="AJ228" i="56"/>
  <c r="AJ227" i="56"/>
  <c r="AJ226" i="56"/>
  <c r="AJ225" i="56"/>
  <c r="AJ224" i="56"/>
  <c r="AJ223" i="56"/>
  <c r="AJ222" i="56"/>
  <c r="AJ88" i="56"/>
  <c r="AJ87" i="56"/>
  <c r="AJ86" i="56"/>
  <c r="AJ102" i="56"/>
  <c r="AJ101" i="56"/>
  <c r="AJ100" i="56"/>
  <c r="AJ99" i="56"/>
  <c r="AJ98" i="56"/>
  <c r="AJ97" i="56"/>
  <c r="AJ96" i="56"/>
  <c r="AJ95" i="56"/>
  <c r="AJ93" i="56"/>
  <c r="AJ94" i="56"/>
  <c r="AJ92" i="56"/>
  <c r="AJ105" i="56"/>
  <c r="AJ103" i="56"/>
  <c r="AJ104" i="56"/>
  <c r="AJ91" i="56"/>
  <c r="AJ414" i="56"/>
  <c r="AJ413" i="56"/>
  <c r="AJ412" i="56"/>
  <c r="AJ411" i="56"/>
  <c r="AJ410" i="56"/>
  <c r="AJ409" i="56"/>
  <c r="AJ378" i="56"/>
  <c r="AJ377" i="56"/>
  <c r="AJ376" i="56"/>
  <c r="AJ375" i="56"/>
  <c r="AJ374" i="56"/>
  <c r="AJ373" i="56"/>
  <c r="AJ327" i="56"/>
  <c r="AJ303" i="56"/>
  <c r="AJ302" i="56"/>
  <c r="AJ326" i="56"/>
  <c r="AJ325" i="56"/>
  <c r="AJ324" i="56"/>
  <c r="AJ323" i="56"/>
  <c r="AJ322" i="56"/>
  <c r="AJ321" i="56"/>
  <c r="AJ256" i="56"/>
  <c r="AJ255" i="56"/>
  <c r="AJ838" i="56"/>
  <c r="AJ212" i="56"/>
  <c r="AJ211" i="56"/>
  <c r="AJ210" i="56"/>
  <c r="AJ209" i="56"/>
  <c r="AJ122" i="56"/>
  <c r="AJ121" i="56"/>
  <c r="AJ120" i="56"/>
  <c r="AJ63" i="56"/>
  <c r="AJ62" i="56"/>
  <c r="AG61" i="56"/>
  <c r="AJ61" i="56" s="1"/>
  <c r="AJ60" i="56"/>
  <c r="AJ59" i="56"/>
  <c r="AJ26" i="56"/>
  <c r="AJ25" i="56"/>
  <c r="AJ24" i="56"/>
  <c r="AJ23" i="56"/>
  <c r="AJ22" i="56"/>
  <c r="AJ21" i="56"/>
  <c r="AJ20" i="56"/>
  <c r="AJ19" i="56"/>
  <c r="AJ783" i="56"/>
  <c r="AJ782" i="56"/>
  <c r="AJ781" i="56"/>
  <c r="AJ780" i="56"/>
  <c r="AJ779" i="56"/>
  <c r="AJ778" i="56"/>
  <c r="AJ777" i="56"/>
  <c r="AJ794" i="56"/>
  <c r="AJ776" i="56"/>
  <c r="AJ793" i="56"/>
  <c r="AJ792" i="56"/>
  <c r="AJ791" i="56"/>
  <c r="AJ790" i="56"/>
  <c r="AJ789" i="56"/>
  <c r="AJ788" i="56"/>
  <c r="AJ787" i="56"/>
  <c r="AJ786" i="56"/>
  <c r="AJ785" i="56"/>
  <c r="AJ784" i="56"/>
  <c r="AJ775" i="56"/>
  <c r="AJ639" i="56"/>
  <c r="AJ638" i="56"/>
  <c r="AJ637" i="56"/>
  <c r="AJ625" i="56"/>
  <c r="AJ624" i="56"/>
  <c r="AJ623" i="56"/>
  <c r="AJ622" i="56"/>
  <c r="AJ621" i="56"/>
  <c r="AJ442" i="56"/>
  <c r="AJ441" i="56"/>
  <c r="AJ440" i="56"/>
  <c r="AJ439" i="56"/>
  <c r="AJ438" i="56"/>
  <c r="AJ437" i="56"/>
  <c r="AJ436" i="56"/>
  <c r="AJ435" i="56"/>
  <c r="AJ434" i="56"/>
  <c r="AJ433" i="56"/>
  <c r="AJ415" i="56"/>
  <c r="AJ342" i="56"/>
  <c r="AD342" i="56"/>
  <c r="AJ341" i="56"/>
  <c r="AJ340" i="56"/>
  <c r="AJ839" i="56"/>
  <c r="AJ339" i="56"/>
  <c r="AJ338" i="56"/>
  <c r="AJ337" i="56"/>
  <c r="AJ336" i="56"/>
  <c r="AJ343" i="56"/>
  <c r="AJ335" i="56"/>
  <c r="AJ316" i="56"/>
  <c r="AJ315" i="56"/>
  <c r="AJ314" i="56"/>
  <c r="AJ313" i="56"/>
  <c r="AJ312" i="56"/>
  <c r="AJ279" i="56"/>
  <c r="AJ278" i="56"/>
  <c r="AJ277" i="56"/>
  <c r="AJ276" i="56"/>
  <c r="AJ275" i="56"/>
  <c r="AJ274" i="56"/>
  <c r="AJ273" i="56"/>
  <c r="AJ272" i="56"/>
  <c r="AJ289" i="56"/>
  <c r="AJ269" i="56"/>
  <c r="AJ288" i="56"/>
  <c r="AJ287" i="56"/>
  <c r="AJ286" i="56"/>
  <c r="AJ285" i="56"/>
  <c r="AJ284" i="56"/>
  <c r="AJ283" i="56"/>
  <c r="AJ271" i="56"/>
  <c r="AJ270" i="56"/>
  <c r="AJ282" i="56"/>
  <c r="AJ281" i="56"/>
  <c r="AJ280" i="56"/>
  <c r="AJ268" i="56"/>
  <c r="AJ245" i="56"/>
  <c r="AJ244" i="56"/>
  <c r="AJ243" i="56"/>
  <c r="AJ242" i="56"/>
  <c r="AJ241" i="56"/>
  <c r="AJ240" i="56"/>
  <c r="AJ239" i="56"/>
  <c r="AJ238" i="56"/>
  <c r="AJ237" i="56"/>
  <c r="AJ172" i="56"/>
  <c r="AJ171" i="56"/>
  <c r="AJ170" i="56"/>
  <c r="AJ169" i="56"/>
  <c r="AJ168" i="56"/>
  <c r="AJ167" i="56"/>
  <c r="AJ166" i="56"/>
  <c r="AJ165" i="56"/>
  <c r="AJ164" i="56"/>
  <c r="AJ119" i="56"/>
  <c r="AJ118" i="56"/>
  <c r="AJ45" i="56"/>
  <c r="AJ44" i="56"/>
  <c r="AJ43" i="56"/>
  <c r="AJ42" i="56"/>
  <c r="AJ40" i="56"/>
  <c r="AG41" i="56"/>
  <c r="AJ41" i="56" s="1"/>
  <c r="AE41" i="56"/>
  <c r="AJ39" i="56"/>
  <c r="AJ38" i="56"/>
  <c r="AJ37" i="56"/>
  <c r="AJ36" i="56"/>
  <c r="AJ48" i="56"/>
  <c r="AJ47" i="56"/>
  <c r="AJ46" i="56"/>
  <c r="AJ35" i="56"/>
  <c r="AJ18" i="56"/>
  <c r="AJ799" i="56"/>
  <c r="AJ798" i="56"/>
  <c r="AJ797" i="56"/>
  <c r="AJ796" i="56"/>
  <c r="AJ795" i="56"/>
  <c r="AJ708" i="56"/>
  <c r="AJ707" i="56"/>
  <c r="AJ706" i="56"/>
  <c r="AJ705" i="56"/>
  <c r="AJ703" i="56"/>
  <c r="AJ702" i="56"/>
  <c r="AJ701" i="56"/>
  <c r="AJ683" i="56"/>
  <c r="AJ640" i="56"/>
  <c r="AJ520" i="56"/>
  <c r="AJ519" i="56"/>
  <c r="AJ449" i="56"/>
  <c r="AJ451" i="56"/>
  <c r="AJ450" i="56"/>
  <c r="AJ448" i="56"/>
  <c r="AJ447" i="56"/>
  <c r="AJ446" i="56"/>
  <c r="AJ445" i="56"/>
  <c r="AJ444" i="56"/>
  <c r="AJ443" i="56"/>
  <c r="AJ417" i="56"/>
  <c r="AJ382" i="56"/>
  <c r="AJ381" i="56"/>
  <c r="AJ380" i="56"/>
  <c r="AJ379" i="56"/>
  <c r="AJ372" i="56"/>
  <c r="AJ371" i="56"/>
  <c r="AJ370" i="56"/>
  <c r="AJ369" i="56"/>
  <c r="AJ368" i="56"/>
  <c r="AJ367" i="56"/>
  <c r="AJ383" i="56"/>
  <c r="AJ366" i="56"/>
  <c r="AJ355" i="56"/>
  <c r="AJ354" i="56"/>
  <c r="AJ353" i="56"/>
  <c r="AJ317" i="56"/>
  <c r="AN262" i="55"/>
  <c r="AN250" i="55"/>
  <c r="AN275" i="55"/>
  <c r="AN276" i="55"/>
  <c r="AN277" i="55"/>
  <c r="AN278" i="55"/>
  <c r="AN279" i="55"/>
  <c r="AN280" i="55"/>
  <c r="AN281" i="55"/>
  <c r="AN282" i="55"/>
  <c r="AN283" i="55"/>
  <c r="AN284" i="55"/>
  <c r="AN285" i="55"/>
  <c r="AN251" i="55"/>
  <c r="AN258" i="55"/>
  <c r="AN259" i="55"/>
  <c r="AN260" i="55"/>
  <c r="AN269" i="55"/>
  <c r="AN248" i="55"/>
  <c r="AN261" i="55"/>
  <c r="AN249" i="55"/>
  <c r="AN270" i="55"/>
  <c r="AN263" i="55"/>
  <c r="AN264" i="55"/>
  <c r="AN268" i="55"/>
  <c r="AN271" i="55"/>
  <c r="AN272" i="55"/>
  <c r="AN273" i="55"/>
  <c r="AN274" i="55"/>
  <c r="AN266" i="55"/>
  <c r="AN267" i="55"/>
  <c r="AN254" i="55"/>
  <c r="AN255" i="55"/>
  <c r="AN265" i="55"/>
  <c r="AN247" i="55"/>
  <c r="AN253" i="55"/>
  <c r="AN256" i="55"/>
  <c r="AN257" i="55"/>
  <c r="AN252" i="55"/>
  <c r="AN237" i="55"/>
  <c r="AN240" i="55"/>
  <c r="AN241" i="55"/>
  <c r="AN239" i="55"/>
  <c r="AN236" i="55"/>
  <c r="AN235" i="55"/>
  <c r="AN244" i="55"/>
  <c r="AN243" i="55"/>
  <c r="AN242" i="55"/>
  <c r="AN246" i="55"/>
  <c r="AN233" i="55"/>
  <c r="AN216" i="55"/>
  <c r="AN220" i="55"/>
  <c r="AN219" i="55"/>
  <c r="AN225" i="55"/>
  <c r="AN224" i="55"/>
  <c r="AN222" i="55"/>
  <c r="AN223" i="55"/>
  <c r="AN226" i="55"/>
  <c r="AN227" i="55"/>
  <c r="AL228" i="55"/>
  <c r="AN228" i="55"/>
  <c r="AN229" i="55"/>
  <c r="AN230" i="55"/>
  <c r="AN231" i="55"/>
  <c r="AN232" i="55"/>
  <c r="AN238" i="55"/>
  <c r="AN234" i="55"/>
  <c r="AN245" i="55"/>
  <c r="AN221" i="55"/>
  <c r="AN197" i="55"/>
  <c r="AN213" i="55"/>
  <c r="AN208" i="55"/>
  <c r="AN195" i="55"/>
  <c r="AN202" i="55"/>
  <c r="AN205" i="55"/>
  <c r="AN206" i="55"/>
  <c r="AN215" i="55"/>
  <c r="AN214" i="55"/>
  <c r="AN203" i="55"/>
  <c r="AN204" i="55"/>
  <c r="AN196" i="55"/>
  <c r="AN210" i="55"/>
  <c r="AN209" i="55"/>
  <c r="AN218" i="55"/>
  <c r="AN217" i="55"/>
  <c r="AN171" i="55"/>
  <c r="AN175" i="55"/>
  <c r="AN183" i="55"/>
  <c r="AN185" i="55"/>
  <c r="AN187" i="55"/>
  <c r="AN192" i="55"/>
  <c r="AN191" i="55"/>
  <c r="AN188" i="55"/>
  <c r="AN190" i="55"/>
  <c r="AN189" i="55"/>
  <c r="AN186" i="55"/>
  <c r="AN184" i="55"/>
  <c r="AN211" i="55"/>
  <c r="AN199" i="55"/>
  <c r="AN200" i="55"/>
  <c r="AN212" i="55"/>
  <c r="AN198" i="55"/>
  <c r="AN194" i="55"/>
  <c r="AN201" i="55"/>
  <c r="AN207" i="55"/>
  <c r="AN173" i="55"/>
  <c r="AN174" i="55"/>
  <c r="AN182" i="55"/>
  <c r="AN181" i="55"/>
  <c r="AN180" i="55"/>
  <c r="AN179" i="55"/>
  <c r="AN178" i="55"/>
  <c r="AN170" i="55"/>
  <c r="AN149" i="55"/>
  <c r="AN148" i="55"/>
  <c r="AN161" i="55"/>
  <c r="AN158" i="55"/>
  <c r="AN151" i="55"/>
  <c r="AN144" i="55"/>
  <c r="AN167" i="55"/>
  <c r="AN141" i="55"/>
  <c r="AN126" i="55"/>
  <c r="AN123" i="55"/>
  <c r="AN156" i="55"/>
  <c r="AN168" i="55"/>
  <c r="AN157" i="55"/>
  <c r="AN142" i="55"/>
  <c r="AN169" i="55"/>
  <c r="AN159" i="55"/>
  <c r="AN152" i="55"/>
  <c r="AN162" i="55"/>
  <c r="AN160" i="55"/>
  <c r="AN165" i="55"/>
  <c r="AN163" i="55"/>
  <c r="AN150" i="55"/>
  <c r="AN143" i="55"/>
  <c r="AN164" i="55"/>
  <c r="AN176" i="55"/>
  <c r="AN177" i="55"/>
  <c r="AN193" i="55"/>
  <c r="AN172" i="55"/>
  <c r="AN122" i="55"/>
  <c r="AN121" i="55"/>
  <c r="AN125" i="55"/>
  <c r="AN153" i="55"/>
  <c r="AN147" i="55"/>
  <c r="AN166" i="55"/>
  <c r="AN140" i="55"/>
  <c r="AN154" i="55"/>
  <c r="AN145" i="55"/>
  <c r="AN155" i="55"/>
  <c r="AN146" i="55"/>
  <c r="AN131" i="55"/>
  <c r="AN132" i="55"/>
  <c r="AN135" i="55"/>
  <c r="AN136" i="55"/>
  <c r="AN134" i="55"/>
  <c r="AN117" i="55"/>
  <c r="AN105" i="55"/>
  <c r="AN104" i="55"/>
  <c r="AN101" i="55"/>
  <c r="AN115" i="55"/>
  <c r="AN116" i="55"/>
  <c r="AN118" i="55"/>
  <c r="AN119" i="55"/>
  <c r="AN127" i="55"/>
  <c r="AN128" i="55"/>
  <c r="AN124" i="55"/>
  <c r="AN120" i="55"/>
  <c r="AN129" i="55"/>
  <c r="AN137" i="55"/>
  <c r="AN133" i="55"/>
  <c r="AN130" i="55"/>
  <c r="AN96" i="55"/>
  <c r="AN90" i="55"/>
  <c r="AN98" i="55"/>
  <c r="AN91" i="55"/>
  <c r="AN92" i="55"/>
  <c r="AN97" i="55"/>
  <c r="AN93" i="55"/>
  <c r="AN108" i="55"/>
  <c r="AN114" i="55"/>
  <c r="AN107" i="55"/>
  <c r="AN106" i="55"/>
  <c r="AN113" i="55"/>
  <c r="AN100" i="55"/>
  <c r="AN109" i="55"/>
  <c r="AN102" i="55"/>
  <c r="AN111" i="55"/>
  <c r="AN99" i="55"/>
  <c r="AN110" i="55"/>
  <c r="AN103" i="55"/>
  <c r="AN75" i="55"/>
  <c r="AN66" i="55"/>
  <c r="AN69" i="55"/>
  <c r="AN70" i="55"/>
  <c r="AN76" i="55"/>
  <c r="AN71" i="55"/>
  <c r="AN77" i="55"/>
  <c r="AN78" i="55"/>
  <c r="AN79" i="55"/>
  <c r="AN72" i="55"/>
  <c r="AN80" i="55"/>
  <c r="AN83" i="55"/>
  <c r="AN81" i="55"/>
  <c r="AN84" i="55"/>
  <c r="AN85" i="55"/>
  <c r="AN86" i="55"/>
  <c r="AN87" i="55"/>
  <c r="AN88" i="55"/>
  <c r="AN82" i="55"/>
  <c r="AN73" i="55"/>
  <c r="AN89" i="55"/>
  <c r="AN94" i="55"/>
  <c r="AN95" i="55"/>
  <c r="AN68" i="55"/>
  <c r="AN43" i="55"/>
  <c r="AN59" i="55"/>
  <c r="AN57" i="55"/>
  <c r="AN56" i="55"/>
  <c r="AN63" i="55"/>
  <c r="AN45" i="55"/>
  <c r="AN58" i="55"/>
  <c r="AN55" i="55"/>
  <c r="AN60" i="55"/>
  <c r="AN46" i="55"/>
  <c r="AN49" i="55"/>
  <c r="AN50" i="55"/>
  <c r="AN51" i="55"/>
  <c r="AN64" i="55"/>
  <c r="AN62" i="55"/>
  <c r="AN44" i="55"/>
  <c r="AN52" i="55"/>
  <c r="AN40" i="55"/>
  <c r="AN41" i="55"/>
  <c r="AN42" i="55"/>
  <c r="AN61" i="55"/>
  <c r="AN53" i="55"/>
  <c r="AN54" i="55"/>
  <c r="AN65" i="55"/>
  <c r="AN47" i="55"/>
  <c r="AN48" i="55"/>
  <c r="AN74" i="55"/>
  <c r="AN67" i="55"/>
  <c r="AN37" i="55"/>
  <c r="AN19" i="55"/>
  <c r="AN30" i="55"/>
  <c r="AN16" i="55"/>
  <c r="AN17" i="55"/>
  <c r="AN31" i="55"/>
  <c r="AN27" i="55"/>
  <c r="AN25" i="55"/>
  <c r="AN24" i="55"/>
  <c r="AN23" i="55"/>
  <c r="AN6" i="55"/>
  <c r="AN2" i="55"/>
  <c r="AN9" i="55"/>
  <c r="AN10" i="55"/>
  <c r="AN7" i="55"/>
  <c r="AN4" i="55"/>
  <c r="AN15" i="55"/>
  <c r="AN14" i="55"/>
  <c r="AN11" i="55"/>
  <c r="AN5" i="55"/>
  <c r="AN12" i="55"/>
  <c r="AN13" i="55"/>
  <c r="AN8" i="55"/>
  <c r="AN28" i="55"/>
  <c r="AN32" i="55"/>
  <c r="AN20" i="55"/>
  <c r="AN33" i="55"/>
  <c r="AN34" i="55"/>
  <c r="AN35" i="55"/>
  <c r="AN39" i="55"/>
  <c r="AN21" i="55"/>
  <c r="AN22" i="55"/>
  <c r="AN38" i="55"/>
  <c r="AN26" i="55"/>
  <c r="AN29" i="55"/>
  <c r="AN18" i="55"/>
  <c r="AN36" i="55"/>
  <c r="AN3" i="55"/>
  <c r="AL26" i="54"/>
  <c r="AL33" i="54"/>
  <c r="AL25" i="54"/>
  <c r="AL28" i="54"/>
  <c r="AL31" i="54"/>
  <c r="AL29" i="54"/>
  <c r="AL30" i="54"/>
  <c r="AL40" i="54"/>
  <c r="AL5" i="54"/>
  <c r="AL6" i="54"/>
  <c r="AL9" i="54"/>
  <c r="AL4" i="54"/>
  <c r="AL7" i="54"/>
  <c r="AL3" i="54"/>
  <c r="AL8" i="54"/>
  <c r="AL20" i="54"/>
  <c r="AL21" i="54"/>
  <c r="AL22" i="54"/>
  <c r="AL36" i="54"/>
  <c r="AL19" i="54"/>
  <c r="AL23" i="54"/>
  <c r="AL10" i="54"/>
  <c r="AL11" i="54"/>
  <c r="AL24" i="54"/>
  <c r="AL12" i="54"/>
  <c r="AL13" i="54"/>
  <c r="AL32" i="54"/>
  <c r="AL27" i="54"/>
  <c r="AL14" i="54"/>
  <c r="AL34" i="54"/>
  <c r="AL15" i="54"/>
  <c r="AL16" i="54"/>
  <c r="AL17" i="54"/>
  <c r="AL18" i="54"/>
  <c r="AL35" i="54"/>
  <c r="AL2" i="54"/>
  <c r="AM637" i="28"/>
  <c r="AM77" i="28"/>
  <c r="AM123" i="28"/>
  <c r="AM143" i="28"/>
  <c r="AM204" i="28"/>
  <c r="AM634" i="28"/>
  <c r="AM162" i="28"/>
  <c r="AM547" i="28"/>
  <c r="AM508" i="28"/>
  <c r="AM64" i="28"/>
  <c r="AM184" i="28"/>
  <c r="AM654" i="28"/>
  <c r="AM382" i="28"/>
  <c r="AM124" i="28"/>
  <c r="AM487" i="28"/>
  <c r="AM293" i="28"/>
  <c r="AM445" i="28"/>
  <c r="AM353" i="28"/>
  <c r="AM391" i="28"/>
  <c r="AM294" i="28"/>
  <c r="AM554" i="28"/>
  <c r="AM303" i="28"/>
  <c r="AM498" i="28"/>
  <c r="AM240" i="28"/>
  <c r="AM664" i="28"/>
  <c r="AM137" i="28"/>
  <c r="AM486" i="28"/>
  <c r="AM675" i="28"/>
  <c r="AM49" i="28"/>
  <c r="AM153" i="28"/>
  <c r="AM136" i="28"/>
  <c r="AM488" i="28"/>
  <c r="AM113" i="28"/>
  <c r="AM98" i="28"/>
  <c r="AM200" i="28"/>
  <c r="AM371" i="28"/>
  <c r="AM170" i="28"/>
  <c r="AM266" i="28"/>
  <c r="AM468" i="28"/>
  <c r="AM127" i="28"/>
  <c r="AM440" i="28"/>
  <c r="AM66" i="28"/>
  <c r="AM454" i="28"/>
  <c r="AM505" i="28"/>
  <c r="AM506" i="28"/>
  <c r="AM361" i="28"/>
  <c r="AM420" i="28"/>
  <c r="AM338" i="28"/>
  <c r="AM212" i="28"/>
  <c r="AM419" i="28"/>
  <c r="AM493" i="28"/>
  <c r="AM339" i="28"/>
  <c r="AM224" i="28"/>
  <c r="AM565" i="28"/>
  <c r="AM394" i="28"/>
  <c r="AM395" i="28"/>
  <c r="AM234" i="28"/>
  <c r="AM247" i="28"/>
  <c r="AM377" i="28"/>
  <c r="AM412" i="28"/>
  <c r="AM333" i="28"/>
  <c r="AM106" i="28"/>
  <c r="AM432" i="28"/>
  <c r="AM610" i="28"/>
  <c r="AM451" i="28"/>
  <c r="AM79" i="28"/>
  <c r="AM297" i="28"/>
  <c r="AM252" i="28"/>
  <c r="AM253" i="28"/>
  <c r="AM609" i="28"/>
  <c r="AM611" i="28"/>
  <c r="AM612" i="28"/>
  <c r="AM574" i="28"/>
  <c r="AM495" i="28"/>
  <c r="AM472" i="28"/>
  <c r="AM566" i="28"/>
  <c r="AM362" i="28"/>
  <c r="AM456" i="28"/>
  <c r="AM615" i="28"/>
  <c r="AM159" i="28"/>
  <c r="AM386" i="28"/>
  <c r="AM638" i="28"/>
  <c r="AM387" i="28"/>
  <c r="AM146" i="28"/>
  <c r="AM59" i="28"/>
  <c r="AM116" i="28"/>
  <c r="AM319" i="28"/>
  <c r="AM548" i="28"/>
  <c r="AM119" i="28"/>
  <c r="AM342" i="28"/>
  <c r="AM120" i="28"/>
  <c r="AM109" i="28"/>
  <c r="AM254" i="28"/>
  <c r="AM132" i="28"/>
  <c r="AM385" i="28"/>
  <c r="AM147" i="28"/>
  <c r="AM366" i="28"/>
  <c r="AM408" i="28"/>
  <c r="AM185" i="28"/>
  <c r="AM484" i="28"/>
  <c r="AM271" i="28"/>
  <c r="AM105" i="28"/>
  <c r="AM423" i="28"/>
  <c r="AM78" i="28"/>
  <c r="AM231" i="28"/>
  <c r="AM215" i="28"/>
  <c r="AM178" i="28"/>
  <c r="AM571" i="28"/>
  <c r="AM205" i="28"/>
  <c r="AM407" i="28"/>
  <c r="AM553" i="28"/>
  <c r="AM232" i="28"/>
  <c r="AM225" i="28"/>
  <c r="AM28" i="28"/>
  <c r="AM324" i="28"/>
  <c r="AM465" i="28"/>
  <c r="AM2" i="28"/>
  <c r="AM134" i="28"/>
  <c r="AM560" i="28"/>
  <c r="AM20" i="28"/>
  <c r="AM129" i="28"/>
  <c r="AM37" i="28"/>
  <c r="AM187" i="28"/>
  <c r="AM309" i="28"/>
  <c r="AM576" i="28"/>
  <c r="AM65" i="28"/>
  <c r="AM139" i="28"/>
  <c r="AM310" i="28"/>
  <c r="AM265" i="28"/>
  <c r="AM24" i="28"/>
  <c r="AM138" i="28"/>
  <c r="AM346" i="28"/>
  <c r="AM15" i="28"/>
  <c r="AM89" i="28"/>
  <c r="AM180" i="28"/>
  <c r="AM331" i="28"/>
  <c r="AM32" i="28"/>
  <c r="AM82" i="28"/>
  <c r="AM367" i="28"/>
  <c r="AM206" i="28"/>
  <c r="AM117" i="28"/>
  <c r="AM164" i="28"/>
  <c r="AM551" i="28"/>
  <c r="AM72" i="28"/>
  <c r="AM218" i="28"/>
  <c r="AM336" i="28"/>
  <c r="AM21" i="28"/>
  <c r="AM281" i="28"/>
  <c r="AM219" i="28"/>
  <c r="AM25" i="28"/>
  <c r="AM103" i="28"/>
  <c r="AM552" i="28"/>
  <c r="AM111" i="28"/>
  <c r="AM12" i="28"/>
  <c r="AM515" i="28"/>
  <c r="AM538" i="28"/>
  <c r="AM392" i="28"/>
  <c r="AM580" i="28"/>
  <c r="AM399" i="28"/>
  <c r="AM321" i="28"/>
  <c r="AM446" i="28"/>
  <c r="AM409" i="28"/>
  <c r="AM509" i="28"/>
  <c r="AM196" i="28"/>
  <c r="AM11" i="28"/>
  <c r="AM241" i="28"/>
  <c r="AM316" i="28"/>
  <c r="AM152" i="28"/>
  <c r="AM410" i="28"/>
  <c r="AM84" i="28"/>
  <c r="AM306" i="28"/>
  <c r="AM437" i="28"/>
  <c r="AM126" i="28"/>
  <c r="AM181" i="28"/>
  <c r="AM348" i="28"/>
  <c r="AM680" i="28"/>
  <c r="AM96" i="28"/>
  <c r="AM347" i="28"/>
  <c r="AM467" i="28"/>
  <c r="AM23" i="28"/>
  <c r="AM393" i="28"/>
  <c r="AM97" i="28"/>
  <c r="AM383" i="28"/>
  <c r="AM222" i="28"/>
  <c r="AM354" i="28"/>
  <c r="AM529" i="28"/>
  <c r="AM470" i="28"/>
  <c r="AM417" i="28"/>
  <c r="AM199" i="28"/>
  <c r="AM18" i="28"/>
  <c r="AM583" i="28"/>
  <c r="AM471" i="28"/>
  <c r="AM430" i="28"/>
  <c r="AM104" i="28"/>
  <c r="AM246" i="28"/>
  <c r="AM296" i="28"/>
  <c r="AM555" i="28"/>
  <c r="AM429" i="28"/>
  <c r="AM449" i="28"/>
  <c r="AM375" i="28"/>
  <c r="AM251" i="28"/>
  <c r="AM191" i="28"/>
  <c r="AM425" i="28"/>
  <c r="AM325" i="28"/>
  <c r="AM93" i="28"/>
  <c r="AM517" i="28"/>
  <c r="AM16" i="28"/>
  <c r="AM276" i="28"/>
  <c r="AM283" i="28"/>
  <c r="AM596" i="28"/>
  <c r="AM166" i="28"/>
  <c r="AM90" i="28"/>
  <c r="AM256" i="28"/>
  <c r="AM291" i="28"/>
  <c r="AM355" i="28"/>
  <c r="AM577" i="28"/>
  <c r="AM31" i="28"/>
  <c r="AM450" i="28"/>
  <c r="AM384" i="28"/>
  <c r="AM211" i="28"/>
  <c r="AM312" i="28"/>
  <c r="AM268" i="28"/>
  <c r="AM226" i="28"/>
  <c r="AM473" i="28"/>
  <c r="AM607" i="28"/>
  <c r="AM208" i="28"/>
  <c r="AM568" i="28"/>
  <c r="AM277" i="28"/>
  <c r="AM628" i="28"/>
  <c r="AM629" i="28"/>
  <c r="AM630" i="28"/>
  <c r="AM631" i="28"/>
  <c r="AM94" i="28"/>
  <c r="AM460" i="28"/>
  <c r="AM209" i="28"/>
  <c r="AM521" i="28"/>
  <c r="AM168" i="28"/>
  <c r="AM651" i="28"/>
  <c r="AM652" i="28"/>
  <c r="AM286" i="28"/>
  <c r="AM74" i="28"/>
  <c r="AM22" i="28"/>
  <c r="AM195" i="28"/>
  <c r="AM389" i="28"/>
  <c r="AM144" i="28"/>
  <c r="AM80" i="28"/>
  <c r="AM279" i="28"/>
  <c r="AM649" i="28"/>
  <c r="AM351" i="28"/>
  <c r="AM497" i="28"/>
  <c r="AM365" i="28"/>
  <c r="AM480" i="28"/>
  <c r="AM523" i="28"/>
  <c r="AM47" i="28"/>
  <c r="AM648" i="28"/>
  <c r="AM463" i="28"/>
  <c r="AM320" i="28"/>
  <c r="AM415" i="28"/>
  <c r="AM287" i="28"/>
  <c r="AM655" i="28"/>
  <c r="AM453" i="28"/>
  <c r="AM416" i="28"/>
  <c r="AM673" i="28"/>
  <c r="AM539" i="28"/>
  <c r="AM75" i="28"/>
  <c r="AM95" i="28"/>
  <c r="AM427" i="28"/>
  <c r="AM275" i="28"/>
  <c r="AM295" i="28"/>
  <c r="AM516" i="28"/>
  <c r="AM85" i="28"/>
  <c r="AM504" i="28"/>
  <c r="AM233" i="28"/>
  <c r="AM672" i="28"/>
  <c r="AM674" i="28"/>
  <c r="AM242" i="28"/>
  <c r="AM332" i="28"/>
  <c r="AM304" i="28"/>
  <c r="AM305" i="28"/>
  <c r="AM243" i="28"/>
  <c r="AM83" i="28"/>
  <c r="AM368" i="28"/>
  <c r="AM477" i="28"/>
  <c r="AM404" i="28"/>
  <c r="AM489" i="28"/>
  <c r="AM397" i="28"/>
  <c r="AM613" i="28"/>
  <c r="AM494" i="28"/>
  <c r="AM455" i="28"/>
  <c r="AM421" i="28"/>
  <c r="AM213" i="28"/>
  <c r="AM6" i="28"/>
  <c r="AM567" i="28"/>
  <c r="AM298" i="28"/>
  <c r="AM519" i="28"/>
  <c r="AM167" i="28"/>
  <c r="AM163" i="28"/>
  <c r="AM388" i="28"/>
  <c r="AM329" i="28"/>
  <c r="AM482" i="28"/>
  <c r="AM301" i="28"/>
  <c r="AM462" i="28"/>
  <c r="AM280" i="28"/>
  <c r="AM578" i="28"/>
  <c r="AM300" i="28"/>
  <c r="AM299" i="28"/>
  <c r="AM183" i="28"/>
  <c r="AM444" i="28"/>
  <c r="AM369" i="28"/>
  <c r="AM439" i="28"/>
  <c r="AM436" i="28"/>
  <c r="AM41" i="28"/>
  <c r="AM186" i="28"/>
  <c r="AM563" i="28"/>
  <c r="AM73" i="28"/>
  <c r="AM179" i="28"/>
  <c r="AM663" i="28"/>
  <c r="AM189" i="28"/>
  <c r="AM264" i="28"/>
  <c r="AM564" i="28"/>
  <c r="AM524" i="28"/>
  <c r="AM464" i="28"/>
  <c r="AM122" i="28"/>
  <c r="AM514" i="28"/>
  <c r="AM69" i="28"/>
  <c r="AM148" i="28"/>
  <c r="AM258" i="28"/>
  <c r="AM398" i="28"/>
  <c r="AM236" i="28"/>
  <c r="AM426" i="28"/>
  <c r="AM43" i="28"/>
  <c r="AM343" i="28"/>
  <c r="AM88" i="28"/>
  <c r="AM344" i="28"/>
  <c r="AM217" i="28"/>
  <c r="AM315" i="28"/>
  <c r="AM485" i="28"/>
  <c r="AM345" i="28"/>
  <c r="AM130" i="28"/>
  <c r="AM360" i="28"/>
  <c r="AM221" i="28"/>
  <c r="AM203" i="28"/>
  <c r="AM683" i="28"/>
  <c r="AM418" i="28"/>
  <c r="AM99" i="28"/>
  <c r="AM248" i="28"/>
  <c r="AM8" i="28"/>
  <c r="AM58" i="28"/>
  <c r="AM447" i="28"/>
  <c r="AM223" i="28"/>
  <c r="AM686" i="28"/>
  <c r="AM448" i="28"/>
  <c r="AM52" i="28"/>
  <c r="AM328" i="28"/>
  <c r="AM173" i="28"/>
  <c r="AM91" i="28"/>
  <c r="AM401" i="28"/>
  <c r="AM171" i="28"/>
  <c r="AM543" i="28"/>
  <c r="AM237" i="28"/>
  <c r="AM155" i="28"/>
  <c r="AM110" i="28"/>
  <c r="AM149" i="28"/>
  <c r="AM363" i="28"/>
  <c r="AM598" i="28"/>
  <c r="AM403" i="28"/>
  <c r="AM101" i="28"/>
  <c r="AM350" i="28"/>
  <c r="AM182" i="28"/>
  <c r="AM558" i="28"/>
  <c r="AM526" i="28"/>
  <c r="AM512" i="28"/>
  <c r="AM376" i="28"/>
  <c r="AM227" i="28"/>
  <c r="AM527" i="28"/>
  <c r="AM357" i="28"/>
  <c r="AM396" i="28"/>
  <c r="AM156" i="28"/>
  <c r="AM158" i="28"/>
  <c r="AM476" i="28"/>
  <c r="AM530" i="28"/>
  <c r="AM284" i="28"/>
  <c r="AM531" i="28"/>
  <c r="AM600" i="28"/>
  <c r="AM599" i="28"/>
  <c r="AM557" i="28"/>
  <c r="AM532" i="28"/>
  <c r="AM285" i="28"/>
  <c r="AM228" i="28"/>
  <c r="AM140" i="28"/>
  <c r="AM458" i="28"/>
  <c r="AM452" i="28"/>
  <c r="AM413" i="28"/>
  <c r="AM45" i="28"/>
  <c r="AM44" i="28"/>
  <c r="AM617" i="28"/>
  <c r="AM313" i="28"/>
  <c r="AM433" i="28"/>
  <c r="AM334" i="28"/>
  <c r="AM201" i="28"/>
  <c r="AM327" i="28"/>
  <c r="AM161" i="28"/>
  <c r="AM434" i="28"/>
  <c r="AM507" i="28"/>
  <c r="AM435" i="28"/>
  <c r="AM364" i="28"/>
  <c r="AM160" i="28"/>
  <c r="AM71" i="28"/>
  <c r="AM9" i="28"/>
  <c r="AM38" i="28"/>
  <c r="AM235" i="28"/>
  <c r="AM175" i="28"/>
  <c r="AM406" i="28"/>
  <c r="AM478" i="28"/>
  <c r="AM528" i="28"/>
  <c r="AM490" i="28"/>
  <c r="AM496" i="28"/>
  <c r="AM239" i="28"/>
  <c r="AM50" i="28"/>
  <c r="AM121" i="28"/>
  <c r="AM540" i="28"/>
  <c r="AM131" i="28"/>
  <c r="AM503" i="28"/>
  <c r="AM570" i="28"/>
  <c r="AM87" i="28"/>
  <c r="AM115" i="28"/>
  <c r="AM522" i="28"/>
  <c r="AM575" i="28"/>
  <c r="AM635" i="28"/>
  <c r="AM335" i="28"/>
  <c r="AM151" i="28"/>
  <c r="AM56" i="28"/>
  <c r="AM214" i="28"/>
  <c r="AM128" i="28"/>
  <c r="AM322" i="28"/>
  <c r="AM245" i="28"/>
  <c r="AM541" i="28"/>
  <c r="AM290" i="28"/>
  <c r="AM34" i="28"/>
  <c r="AM352" i="28"/>
  <c r="AM19" i="28"/>
  <c r="AM169" i="28"/>
  <c r="AM380" i="28"/>
  <c r="AM572" i="28"/>
  <c r="AM302" i="28"/>
  <c r="AM579" i="28"/>
  <c r="AM659" i="28"/>
  <c r="AM422" i="28"/>
  <c r="AM370" i="28"/>
  <c r="AM660" i="28"/>
  <c r="AM230" i="28"/>
  <c r="AM308" i="28"/>
  <c r="AM57" i="28"/>
  <c r="AM500" i="28"/>
  <c r="AM190" i="28"/>
  <c r="AM400" i="28"/>
  <c r="AM373" i="28"/>
  <c r="AM542" i="28"/>
  <c r="AM282" i="28"/>
  <c r="AM323" i="28"/>
  <c r="AM492" i="28"/>
  <c r="AM307" i="28"/>
  <c r="AM491" i="28"/>
  <c r="AM441" i="28"/>
  <c r="AM249" i="28"/>
  <c r="AM428" i="28"/>
  <c r="AM261" i="28"/>
  <c r="AM581" i="28"/>
  <c r="AM586" i="28"/>
  <c r="AM337" i="28"/>
  <c r="AM318" i="28"/>
  <c r="AM582" i="28"/>
  <c r="AM573" i="28"/>
  <c r="AM561" i="28"/>
  <c r="AM157" i="28"/>
  <c r="AM311" i="28"/>
  <c r="AM197" i="28"/>
  <c r="AM585" i="28"/>
  <c r="AM250" i="28"/>
  <c r="AM374" i="28"/>
  <c r="AM510" i="28"/>
  <c r="AM525" i="28"/>
  <c r="AM678" i="28"/>
  <c r="AM474" i="28"/>
  <c r="AM597" i="28"/>
  <c r="AM379" i="28"/>
  <c r="AM177" i="28"/>
  <c r="AM176" i="28"/>
  <c r="AM278" i="28"/>
  <c r="AM40" i="28"/>
  <c r="AM546" i="28"/>
  <c r="AM633" i="28"/>
  <c r="AM632" i="28"/>
  <c r="AM502" i="28"/>
  <c r="AM591" i="28"/>
  <c r="AM340" i="28"/>
  <c r="AM262" i="28"/>
  <c r="AM238" i="28"/>
  <c r="AM326" i="28"/>
  <c r="AM457" i="28"/>
  <c r="AM604" i="28"/>
  <c r="AM7" i="28"/>
  <c r="AM55" i="28"/>
  <c r="AM475" i="28"/>
  <c r="AM602" i="28"/>
  <c r="AM562" i="28"/>
  <c r="AM70" i="28"/>
  <c r="AM198" i="28"/>
  <c r="AM207" i="28"/>
  <c r="AM356" i="28"/>
  <c r="AM259" i="28"/>
  <c r="AM42" i="28"/>
  <c r="AM341" i="28"/>
  <c r="AM76" i="28"/>
  <c r="AM559" i="28"/>
  <c r="AM616" i="28"/>
  <c r="AM92" i="28"/>
  <c r="AM414" i="28"/>
  <c r="AM469" i="28"/>
  <c r="AM229" i="28"/>
  <c r="AM544" i="28"/>
  <c r="AM623" i="28"/>
  <c r="AM627" i="28"/>
  <c r="AM63" i="28"/>
  <c r="AM378" i="28"/>
  <c r="AM358" i="28"/>
  <c r="AM622" i="28"/>
  <c r="AM359" i="28"/>
  <c r="AM624" i="28"/>
  <c r="AM263" i="28"/>
  <c r="AM194" i="28"/>
  <c r="AM141" i="28"/>
  <c r="AM142" i="28"/>
  <c r="AM459" i="28"/>
  <c r="AM30" i="28"/>
  <c r="AM86" i="28"/>
  <c r="AM174" i="28"/>
  <c r="AM625" i="28"/>
  <c r="AM114" i="28"/>
  <c r="AM118" i="28"/>
  <c r="AM13" i="28"/>
  <c r="AM405" i="28"/>
  <c r="AM626" i="28"/>
  <c r="AM533" i="28"/>
  <c r="AM314" i="28"/>
  <c r="AM534" i="28"/>
  <c r="AM257" i="28"/>
  <c r="AM150" i="28"/>
  <c r="AM51" i="28"/>
  <c r="AM501" i="28"/>
  <c r="AM549" i="28"/>
  <c r="AM644" i="28"/>
  <c r="AM645" i="28"/>
  <c r="AM642" i="28"/>
  <c r="AM646" i="28"/>
  <c r="AM643" i="28"/>
  <c r="AM661" i="28"/>
  <c r="AM102" i="28"/>
  <c r="AM14" i="28"/>
  <c r="AM255" i="28"/>
  <c r="AM107" i="28"/>
  <c r="AM536" i="28"/>
  <c r="AM424" i="28"/>
  <c r="AM112" i="28"/>
  <c r="AM216" i="28"/>
  <c r="AM108" i="28"/>
  <c r="AM260" i="28"/>
  <c r="AM288" i="28"/>
  <c r="AM10" i="28"/>
  <c r="AM27" i="28"/>
  <c r="AM292" i="28"/>
  <c r="AM390" i="28"/>
  <c r="AM53" i="28"/>
  <c r="AM273" i="28"/>
  <c r="AM48" i="28"/>
  <c r="AM36" i="28"/>
  <c r="AM5" i="28"/>
  <c r="AM54" i="28"/>
  <c r="AM330" i="28"/>
  <c r="AM67" i="28"/>
  <c r="AM381" i="28"/>
  <c r="AM172" i="28"/>
  <c r="AM46" i="28"/>
  <c r="AM272" i="28"/>
  <c r="AM17" i="28"/>
  <c r="AM145" i="28"/>
  <c r="AM62" i="28"/>
  <c r="AM61" i="28"/>
  <c r="AM220" i="28"/>
  <c r="AM669" i="28"/>
  <c r="AM244" i="28"/>
  <c r="AM289" i="28"/>
  <c r="AM647" i="28"/>
  <c r="AM668" i="28"/>
  <c r="AM667" i="28"/>
  <c r="AM3" i="28"/>
  <c r="AM618" i="28"/>
  <c r="AM636" i="28"/>
  <c r="AM653" i="28"/>
  <c r="AM100" i="28"/>
  <c r="AM133" i="28"/>
  <c r="AM605" i="28"/>
  <c r="AM608" i="28"/>
  <c r="AM614" i="28"/>
  <c r="AM656" i="28"/>
  <c r="AM657" i="28"/>
  <c r="AM658" i="28"/>
  <c r="AM681" i="28"/>
  <c r="AM679" i="28"/>
  <c r="AM317" i="28"/>
  <c r="AM587" i="28"/>
  <c r="AM588" i="28"/>
  <c r="AM545" i="28"/>
  <c r="AM60" i="28"/>
  <c r="AM520" i="28"/>
  <c r="AM29" i="28"/>
  <c r="AM4" i="28"/>
  <c r="AM671" i="28"/>
  <c r="AM670" i="28"/>
  <c r="AM606" i="28"/>
  <c r="AM202" i="28"/>
  <c r="AM483" i="28"/>
  <c r="AM481" i="28"/>
  <c r="AM662" i="28"/>
  <c r="AM537" i="28"/>
  <c r="AM684" i="28"/>
  <c r="AM685" i="28"/>
  <c r="AM589" i="28"/>
  <c r="AM556" i="28"/>
  <c r="AM584" i="28"/>
  <c r="AM676" i="28"/>
  <c r="AM677" i="28"/>
  <c r="AM192" i="28"/>
  <c r="AM601" i="28"/>
  <c r="AM603" i="28"/>
  <c r="AM35" i="28"/>
  <c r="AM621" i="28"/>
  <c r="AM620" i="28"/>
  <c r="AM619" i="28"/>
  <c r="AM569" i="28"/>
  <c r="AM639" i="28"/>
  <c r="AM641" i="28"/>
  <c r="AM640" i="28"/>
  <c r="AM592" i="28"/>
  <c r="AM682" i="28"/>
  <c r="AM372" i="28"/>
  <c r="AM270" i="28"/>
  <c r="AM188" i="28"/>
  <c r="AM499" i="28"/>
  <c r="AM411" i="28"/>
  <c r="AM689" i="28"/>
  <c r="AM688" i="28"/>
  <c r="AM438" i="28"/>
  <c r="AM687" i="28"/>
  <c r="AM349" i="28"/>
  <c r="AM81" i="28"/>
  <c r="AM154" i="28"/>
  <c r="AM193" i="28"/>
  <c r="AM511" i="28"/>
  <c r="AM550" i="28"/>
  <c r="AM650" i="28"/>
  <c r="AM461" i="28"/>
  <c r="AM513" i="28"/>
  <c r="AM269" i="28"/>
  <c r="AM535" i="28"/>
  <c r="AM68" i="28"/>
  <c r="AM442" i="28"/>
  <c r="AM443" i="28"/>
  <c r="AM466" i="28"/>
  <c r="AM274" i="28"/>
  <c r="AM33" i="28"/>
  <c r="AM210" i="28"/>
  <c r="AM665" i="28"/>
  <c r="AM666" i="28"/>
  <c r="AM165" i="28"/>
  <c r="AM125" i="28"/>
  <c r="AM594" i="28"/>
  <c r="AM402" i="28"/>
  <c r="AM595" i="28"/>
  <c r="AM267" i="28"/>
  <c r="AM431" i="28"/>
  <c r="AM39" i="28"/>
  <c r="AM518" i="28"/>
  <c r="AM593" i="28"/>
  <c r="AM26" i="28"/>
  <c r="AM135" i="28"/>
  <c r="AM479" i="28"/>
  <c r="AB6" i="1"/>
  <c r="AB52" i="1"/>
  <c r="AB33" i="1"/>
  <c r="AB53" i="1"/>
  <c r="AB54" i="1"/>
  <c r="AB55" i="1"/>
  <c r="AB56" i="1"/>
  <c r="AB57" i="1"/>
  <c r="AB58" i="1"/>
  <c r="AB35" i="1"/>
  <c r="AB37" i="1"/>
  <c r="AB64" i="1"/>
  <c r="AB72" i="1"/>
  <c r="AB77" i="1"/>
  <c r="AB65" i="1"/>
  <c r="AB73" i="1"/>
  <c r="AB74" i="1"/>
  <c r="AB75" i="1"/>
  <c r="AB87" i="1"/>
  <c r="AB88" i="1"/>
  <c r="AB89" i="1"/>
  <c r="AB47" i="1"/>
  <c r="AB44" i="1"/>
  <c r="AB48" i="1"/>
  <c r="AB45" i="1"/>
  <c r="AB27" i="1"/>
  <c r="AB38" i="1"/>
  <c r="AB7" i="1"/>
  <c r="AB8" i="1"/>
  <c r="AB49" i="1"/>
  <c r="AB59" i="1"/>
  <c r="AB90" i="1"/>
  <c r="AB91" i="1"/>
  <c r="AB39" i="1"/>
  <c r="AB46" i="1"/>
  <c r="AB66" i="1"/>
  <c r="AB5" i="1"/>
  <c r="AB40" i="1"/>
  <c r="AB63" i="1"/>
  <c r="AB67" i="1"/>
  <c r="AB68" i="1"/>
  <c r="AB69" i="1"/>
  <c r="AB78" i="1"/>
  <c r="AB86" i="1"/>
  <c r="AB79" i="1"/>
  <c r="AB81" i="1"/>
  <c r="AB82" i="1"/>
  <c r="AB80" i="1"/>
  <c r="AB83" i="1"/>
  <c r="AB84" i="1"/>
  <c r="AB2" i="1"/>
  <c r="AB4" i="1"/>
  <c r="AB28" i="1"/>
  <c r="AB29" i="1"/>
  <c r="AB36" i="1"/>
  <c r="AB3" i="1"/>
  <c r="AB12" i="1"/>
  <c r="AB21" i="1"/>
  <c r="AB13" i="1"/>
  <c r="AB14" i="1"/>
  <c r="AB15" i="1"/>
  <c r="AB16" i="1"/>
  <c r="AB22" i="1"/>
  <c r="AB23" i="1"/>
  <c r="AB41" i="1"/>
  <c r="AB61" i="1"/>
  <c r="AB62" i="1"/>
  <c r="AB17" i="1"/>
  <c r="AB11" i="1"/>
  <c r="AB18" i="1"/>
  <c r="AB19" i="1"/>
  <c r="AB31" i="1"/>
  <c r="AB26" i="1"/>
  <c r="AB32" i="1"/>
  <c r="AB50" i="1"/>
  <c r="AB34" i="1"/>
  <c r="AB70" i="1"/>
  <c r="AB76" i="1"/>
  <c r="AB71" i="1"/>
  <c r="AB51" i="1"/>
  <c r="AB43" i="1"/>
  <c r="AB42" i="1"/>
  <c r="AB60" i="1"/>
  <c r="AB85" i="1"/>
  <c r="AB24" i="1"/>
  <c r="AB30" i="1"/>
  <c r="AB9" i="1"/>
  <c r="AB10" i="1"/>
  <c r="AB25" i="1"/>
  <c r="AB92" i="1"/>
  <c r="AB20" i="1"/>
  <c r="AE63" i="32"/>
  <c r="AE62" i="32"/>
  <c r="AE61" i="32"/>
  <c r="AE60" i="32"/>
  <c r="AE59" i="32"/>
  <c r="AE58" i="32"/>
  <c r="AE57" i="32"/>
  <c r="AE56" i="32"/>
  <c r="AE55" i="32"/>
  <c r="AE54" i="32"/>
  <c r="AE53" i="32"/>
  <c r="AE52" i="32"/>
  <c r="AE10" i="32"/>
  <c r="AE8" i="32"/>
  <c r="AE34" i="32"/>
  <c r="AE14" i="32"/>
  <c r="AE15" i="32"/>
  <c r="AE25" i="32"/>
  <c r="AE22" i="32"/>
  <c r="AE2" i="32"/>
  <c r="AE4" i="32"/>
  <c r="AE30" i="32"/>
  <c r="AE32" i="32"/>
  <c r="AE31" i="32"/>
  <c r="AE33" i="32"/>
  <c r="AE21" i="32"/>
  <c r="AE20" i="32"/>
  <c r="AE17" i="32"/>
  <c r="AE27" i="32"/>
  <c r="AE29" i="32"/>
  <c r="AE45" i="32"/>
  <c r="AE46" i="32"/>
  <c r="AE37" i="32"/>
  <c r="AE18" i="32"/>
  <c r="AE38" i="32"/>
  <c r="AE35" i="32"/>
  <c r="AE16" i="32"/>
  <c r="AE40" i="32"/>
  <c r="AE39" i="32"/>
  <c r="AE23" i="32"/>
  <c r="AE3" i="32"/>
  <c r="AE12" i="32"/>
  <c r="AE11" i="32"/>
  <c r="AE13" i="32"/>
  <c r="AE9" i="32"/>
  <c r="AE49" i="32"/>
  <c r="AE51" i="32"/>
  <c r="AE48" i="32"/>
  <c r="AE6" i="32"/>
  <c r="AE19" i="32"/>
  <c r="AE44" i="32"/>
  <c r="AE43" i="32"/>
  <c r="AE41" i="32"/>
  <c r="AE42" i="32"/>
  <c r="AE7" i="32"/>
  <c r="AE28" i="32"/>
  <c r="AE50" i="32"/>
  <c r="AE47" i="32"/>
  <c r="AE36" i="32"/>
  <c r="AE26" i="32"/>
  <c r="G92" i="29"/>
  <c r="G91" i="29"/>
  <c r="G90" i="29"/>
  <c r="G89" i="29"/>
  <c r="G88" i="29"/>
  <c r="G87" i="29"/>
  <c r="G86" i="29"/>
  <c r="G85" i="29"/>
  <c r="G84" i="29"/>
  <c r="G83" i="29"/>
  <c r="G82" i="29"/>
  <c r="G81" i="29"/>
  <c r="G80" i="29"/>
  <c r="G79" i="29"/>
  <c r="G78" i="29"/>
  <c r="G77" i="29"/>
  <c r="G76" i="29"/>
  <c r="G75" i="29"/>
  <c r="G74" i="29"/>
  <c r="G73" i="29"/>
  <c r="G72" i="29"/>
  <c r="G71" i="29"/>
  <c r="G70" i="29"/>
  <c r="G69" i="29"/>
  <c r="G68" i="29"/>
  <c r="G67" i="29"/>
  <c r="G66" i="29"/>
  <c r="G65" i="29"/>
  <c r="G64" i="29"/>
  <c r="G63" i="29"/>
  <c r="G62" i="29"/>
  <c r="G61" i="29"/>
  <c r="G60" i="29"/>
  <c r="G59" i="29"/>
  <c r="G58" i="29"/>
  <c r="G57" i="29"/>
  <c r="G56" i="29"/>
  <c r="G55" i="29"/>
  <c r="G54" i="29"/>
  <c r="G53" i="29"/>
  <c r="G52" i="29"/>
  <c r="G51" i="29"/>
  <c r="G50" i="29"/>
  <c r="G49" i="29"/>
  <c r="G48" i="29"/>
  <c r="G47" i="29"/>
  <c r="G46" i="29"/>
  <c r="G45" i="29"/>
  <c r="G44" i="29"/>
  <c r="G43" i="29"/>
  <c r="G42" i="29"/>
  <c r="G41" i="29"/>
  <c r="G40" i="29"/>
  <c r="G39" i="29"/>
  <c r="G38" i="29"/>
  <c r="G37" i="29"/>
  <c r="G36" i="29"/>
  <c r="G3" i="29"/>
  <c r="G4" i="29"/>
  <c r="G5" i="29"/>
  <c r="G6" i="29"/>
  <c r="G7" i="29"/>
  <c r="G8" i="29"/>
  <c r="G9" i="29"/>
  <c r="G10" i="29"/>
  <c r="G11" i="29"/>
  <c r="G12" i="29"/>
  <c r="G13" i="29"/>
  <c r="G14" i="29"/>
  <c r="G15" i="29"/>
  <c r="G16" i="29"/>
  <c r="G17" i="29"/>
  <c r="G18" i="29"/>
  <c r="G19" i="29"/>
  <c r="G20" i="29"/>
  <c r="G21" i="29"/>
  <c r="G22" i="29"/>
  <c r="G23" i="29"/>
  <c r="G24" i="29"/>
  <c r="G25" i="29"/>
  <c r="G26" i="29"/>
  <c r="G27" i="29"/>
  <c r="G28" i="29"/>
  <c r="G29" i="29"/>
  <c r="G30" i="29"/>
  <c r="G31" i="29"/>
  <c r="G32" i="29"/>
  <c r="G33" i="29"/>
  <c r="G34" i="29"/>
  <c r="G35" i="29"/>
  <c r="G2" i="29"/>
  <c r="AM590" i="28"/>
  <c r="AA867" i="12"/>
  <c r="AA866" i="12"/>
  <c r="AA865" i="12"/>
  <c r="AA864" i="12"/>
  <c r="AA863" i="12"/>
  <c r="AA862" i="12"/>
  <c r="AA861" i="12"/>
  <c r="AA860" i="12"/>
  <c r="AA859" i="12"/>
  <c r="AA858" i="12"/>
  <c r="AA857" i="12"/>
  <c r="AA856" i="12"/>
  <c r="AA855" i="12"/>
  <c r="AA854" i="12"/>
  <c r="AA853" i="12"/>
  <c r="AA852" i="12"/>
  <c r="AA851" i="12"/>
  <c r="AA850" i="12"/>
  <c r="AA849" i="12"/>
  <c r="AA848" i="12"/>
  <c r="AA126" i="12"/>
  <c r="AA138" i="12"/>
  <c r="AA59" i="12"/>
  <c r="AA58" i="12"/>
  <c r="AA202" i="12"/>
  <c r="AA200" i="12"/>
  <c r="AA130" i="12"/>
  <c r="AA56" i="12"/>
  <c r="AA127" i="12"/>
  <c r="AA54" i="12"/>
  <c r="AA55" i="12"/>
  <c r="AA53" i="12"/>
  <c r="AA57" i="12"/>
  <c r="AA61" i="12"/>
  <c r="AA128" i="12"/>
  <c r="AA199" i="12"/>
  <c r="AA201" i="12"/>
  <c r="AA159" i="12"/>
  <c r="AA183" i="12"/>
  <c r="AA150" i="12"/>
  <c r="AA182" i="12"/>
  <c r="AA245" i="12"/>
  <c r="AA256" i="12"/>
  <c r="AA260" i="12"/>
  <c r="AA257" i="12"/>
  <c r="AA244" i="12"/>
  <c r="AA258" i="12"/>
  <c r="AA247" i="12"/>
  <c r="AA246" i="12"/>
  <c r="AA261" i="12"/>
  <c r="AA259" i="12"/>
  <c r="AA249" i="12"/>
  <c r="AA248" i="12"/>
  <c r="AA227" i="12"/>
  <c r="AA225" i="12"/>
  <c r="AA255" i="12"/>
  <c r="AA224" i="12"/>
  <c r="AA226" i="12"/>
  <c r="AA239" i="12"/>
  <c r="AA237" i="12"/>
  <c r="AA238" i="12"/>
  <c r="AA234" i="12"/>
  <c r="AA232" i="12"/>
  <c r="AA236" i="12"/>
  <c r="AA235" i="12"/>
  <c r="AA233" i="12"/>
  <c r="AA231" i="12"/>
  <c r="AA230" i="12"/>
  <c r="AA229" i="12"/>
  <c r="AA228" i="12"/>
  <c r="AA241" i="12"/>
  <c r="AA251" i="12"/>
  <c r="AA252" i="12"/>
  <c r="AA250" i="12"/>
  <c r="AA254" i="12"/>
  <c r="AA240" i="12"/>
  <c r="AA253" i="12"/>
  <c r="AA242" i="12"/>
  <c r="AA89" i="12"/>
  <c r="AA243" i="12"/>
  <c r="AA123" i="12"/>
  <c r="AA105" i="12"/>
  <c r="AA120" i="12"/>
  <c r="AA104" i="12"/>
  <c r="AA94" i="12"/>
  <c r="AA97" i="12"/>
  <c r="AA99" i="12"/>
  <c r="AA116" i="12"/>
  <c r="AA115" i="12"/>
  <c r="AA109" i="12"/>
  <c r="AA108" i="12"/>
  <c r="AA110" i="12"/>
  <c r="AA95" i="12"/>
  <c r="AA96" i="12"/>
  <c r="AA101" i="12"/>
  <c r="AA100" i="12"/>
  <c r="AA107" i="12"/>
  <c r="AA106" i="12"/>
  <c r="AA113" i="12"/>
  <c r="AA122" i="12"/>
  <c r="AA117" i="12"/>
  <c r="AA121" i="12"/>
  <c r="AA102" i="12"/>
  <c r="AA98" i="12"/>
  <c r="AA103" i="12"/>
  <c r="AA114" i="12"/>
  <c r="AA124" i="12"/>
  <c r="AA92" i="12"/>
  <c r="AA111" i="12"/>
  <c r="AA218" i="12"/>
  <c r="AA223" i="12"/>
  <c r="AA222" i="12"/>
  <c r="AA91" i="12"/>
  <c r="AA90" i="12"/>
  <c r="AA217" i="12"/>
  <c r="AA221" i="12"/>
  <c r="AA93" i="12"/>
  <c r="AA214" i="12"/>
  <c r="AA118" i="12"/>
  <c r="AA112" i="12"/>
  <c r="AA119" i="12"/>
  <c r="AA215" i="12"/>
  <c r="AA220" i="12"/>
  <c r="AA216" i="12"/>
  <c r="AA219" i="12"/>
  <c r="AA38" i="12"/>
  <c r="AA45" i="12"/>
  <c r="AA37" i="12"/>
  <c r="AA22" i="12"/>
  <c r="AA132" i="12"/>
  <c r="AA133" i="12"/>
  <c r="AA24" i="12"/>
  <c r="AA47" i="12"/>
  <c r="AA29" i="12"/>
  <c r="AA28" i="12"/>
  <c r="AA27" i="12"/>
  <c r="AA147" i="12"/>
  <c r="AA35" i="12"/>
  <c r="AA49" i="12"/>
  <c r="AA125" i="12"/>
  <c r="AA43" i="12"/>
  <c r="AA44" i="12"/>
  <c r="AA46" i="12"/>
  <c r="AA36" i="12"/>
  <c r="AA42" i="12"/>
  <c r="AA34" i="12"/>
  <c r="AA33" i="12"/>
  <c r="AA41" i="12"/>
  <c r="AA26" i="12"/>
  <c r="AA25" i="12"/>
  <c r="AA40" i="12"/>
  <c r="AA129" i="12"/>
  <c r="AA39" i="12"/>
  <c r="AA48" i="12"/>
  <c r="AA18" i="12"/>
  <c r="AA23" i="12"/>
  <c r="AA32" i="12"/>
  <c r="AA31" i="12"/>
  <c r="AA144" i="12"/>
  <c r="AA30" i="12"/>
  <c r="AA19" i="12"/>
  <c r="AA21" i="12"/>
  <c r="AA20" i="12"/>
  <c r="AA77" i="12"/>
  <c r="AA78" i="12"/>
  <c r="AA79" i="12"/>
  <c r="AA143" i="12"/>
  <c r="AA67" i="12"/>
  <c r="AA80" i="12"/>
  <c r="AA68" i="12"/>
  <c r="AA134" i="12"/>
  <c r="AA136" i="12"/>
  <c r="AA212" i="12"/>
  <c r="AA16" i="12"/>
  <c r="AA131" i="12"/>
  <c r="AA139" i="12"/>
  <c r="AA75" i="12"/>
  <c r="AA74" i="12"/>
  <c r="AA137" i="12"/>
  <c r="AA140" i="12"/>
  <c r="AA207" i="12"/>
  <c r="AA168" i="12"/>
  <c r="AA81" i="12"/>
  <c r="AA73" i="12"/>
  <c r="X72" i="12"/>
  <c r="AA72" i="12" s="1"/>
  <c r="U72" i="12"/>
  <c r="AA11" i="12"/>
  <c r="AA141" i="12"/>
  <c r="AA142" i="12"/>
  <c r="AA13" i="12"/>
  <c r="AA14" i="12"/>
  <c r="AA82" i="12"/>
  <c r="AA12" i="12"/>
  <c r="AA163" i="12"/>
  <c r="AA3" i="12"/>
  <c r="AA2" i="12"/>
  <c r="AA17" i="12"/>
  <c r="AA164" i="12"/>
  <c r="AA71" i="12"/>
  <c r="AA135" i="12"/>
  <c r="AA64" i="12"/>
  <c r="AA145" i="12"/>
  <c r="AA146" i="12"/>
  <c r="AA65" i="12"/>
  <c r="AA209" i="12"/>
  <c r="AA155" i="12"/>
  <c r="AA156" i="12"/>
  <c r="AA66" i="12"/>
  <c r="AA153" i="12"/>
  <c r="AA203" i="12"/>
  <c r="AA63" i="12"/>
  <c r="AA70" i="12"/>
  <c r="AA69" i="12"/>
  <c r="AA76" i="12"/>
  <c r="AA210" i="12"/>
  <c r="AA211" i="12"/>
  <c r="AA4" i="12"/>
  <c r="AA62" i="12"/>
  <c r="AA60" i="12"/>
  <c r="AA213" i="12"/>
  <c r="AA83" i="12"/>
  <c r="AA9" i="12"/>
  <c r="AA8" i="12"/>
  <c r="AA152" i="12"/>
  <c r="AA206" i="12"/>
  <c r="AA205" i="12"/>
  <c r="AA204" i="12"/>
  <c r="AA208" i="12"/>
  <c r="AA160" i="12"/>
  <c r="AA169" i="12"/>
  <c r="Y195" i="12"/>
  <c r="AA195" i="12"/>
  <c r="AA178" i="12"/>
  <c r="AA198" i="12"/>
  <c r="AA194" i="12"/>
  <c r="AA184" i="12"/>
  <c r="AA171" i="12"/>
  <c r="AA190" i="12"/>
  <c r="AA189" i="12"/>
  <c r="AA197" i="12"/>
  <c r="AA192" i="12"/>
  <c r="AA170" i="12"/>
  <c r="AA174" i="12"/>
  <c r="AA196" i="12"/>
  <c r="AA177" i="12"/>
  <c r="AA157" i="12"/>
  <c r="AA173" i="12"/>
  <c r="AA165" i="12"/>
  <c r="AA175" i="12"/>
  <c r="AA188" i="12"/>
  <c r="AA191" i="12"/>
  <c r="AA176" i="12"/>
  <c r="AA187" i="12"/>
  <c r="AA87" i="12"/>
  <c r="AA88" i="12"/>
  <c r="AA5" i="12"/>
  <c r="AA162" i="12"/>
  <c r="AA193" i="12"/>
  <c r="AA166" i="12"/>
  <c r="AA185" i="12"/>
  <c r="AA154" i="12"/>
  <c r="AA15" i="12"/>
  <c r="AA161" i="12"/>
  <c r="AA181" i="12"/>
  <c r="AA85" i="12"/>
  <c r="AA84" i="12"/>
  <c r="AA86" i="12"/>
  <c r="AA172" i="12"/>
  <c r="AA10" i="12"/>
  <c r="AA7" i="12"/>
  <c r="AA6" i="12"/>
  <c r="AA51" i="12"/>
  <c r="AA186" i="12"/>
  <c r="AA50" i="12"/>
  <c r="AA52" i="12"/>
  <c r="AA151" i="12"/>
  <c r="AA158" i="12"/>
  <c r="AA167" i="12"/>
  <c r="AA180" i="12"/>
  <c r="AA179" i="12"/>
  <c r="AA148" i="12"/>
  <c r="AA149" i="12"/>
  <c r="X34" i="67" l="1"/>
  <c r="AA33" i="64" a="1"/>
  <c r="AA33" i="64" s="1"/>
  <c r="Z25" i="64"/>
  <c r="Z26" i="64" s="1"/>
  <c r="AB23" i="64" s="1"/>
  <c r="X33" i="67"/>
  <c r="X36" i="67"/>
  <c r="X32" i="67"/>
  <c r="AB18" i="64"/>
  <c r="X31" i="67"/>
  <c r="Y25" i="64"/>
  <c r="Y26" i="64" s="1"/>
  <c r="AA18" i="64" s="1"/>
  <c r="P3" i="64"/>
  <c r="P8" i="64"/>
  <c r="P7" i="64"/>
  <c r="P4" i="64"/>
  <c r="O5" i="64"/>
  <c r="P5" i="64"/>
  <c r="O9" i="64"/>
  <c r="P6" i="64"/>
  <c r="O3" i="64"/>
  <c r="O8" i="64"/>
  <c r="O7" i="64"/>
  <c r="O4" i="64"/>
  <c r="V26" i="64"/>
  <c r="AB19" i="64" l="1"/>
  <c r="AB22" i="64"/>
  <c r="AA20" i="64"/>
  <c r="AB20" i="64"/>
  <c r="AB21" i="64"/>
  <c r="AA22" i="64"/>
  <c r="AA21" i="64"/>
  <c r="AA23" i="64"/>
  <c r="AA19" i="6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<sst xmlns="http://schemas.openxmlformats.org/spreadsheetml/2006/main" count="84738" uniqueCount="5123">
  <si>
    <t>Clip name</t>
  </si>
  <si>
    <t>Territory name</t>
  </si>
  <si>
    <t>Date</t>
  </si>
  <si>
    <t>Weather conditions</t>
  </si>
  <si>
    <t>clip duration</t>
  </si>
  <si>
    <t>Tree species</t>
  </si>
  <si>
    <t xml:space="preserve">Number of food acquisition successes </t>
  </si>
  <si>
    <t>Cache retrieved?</t>
  </si>
  <si>
    <t>Total foraging time</t>
  </si>
  <si>
    <t xml:space="preserve">Band combo </t>
  </si>
  <si>
    <t xml:space="preserve">Mercentile </t>
  </si>
  <si>
    <t>Overcast, low wind</t>
  </si>
  <si>
    <t>Aspen</t>
  </si>
  <si>
    <t>WY/OS</t>
  </si>
  <si>
    <t>Berry</t>
  </si>
  <si>
    <t>Foraging style</t>
  </si>
  <si>
    <t>Gleaning</t>
  </si>
  <si>
    <t>Notes</t>
  </si>
  <si>
    <t>Interior FT</t>
  </si>
  <si>
    <t>Bark FT</t>
  </si>
  <si>
    <t>Foliage FT</t>
  </si>
  <si>
    <t>Exterior FT</t>
  </si>
  <si>
    <t>DSCN0063</t>
  </si>
  <si>
    <t>Spruce</t>
  </si>
  <si>
    <t>unknown</t>
  </si>
  <si>
    <t>Original name</t>
  </si>
  <si>
    <t>MM11_1</t>
  </si>
  <si>
    <t>Visual Searching</t>
  </si>
  <si>
    <t>DSCN0105</t>
  </si>
  <si>
    <t>MM11_2</t>
  </si>
  <si>
    <t>DSCN0103</t>
  </si>
  <si>
    <t xml:space="preserve">Gleaning, visual searching </t>
  </si>
  <si>
    <t>MM11_3</t>
  </si>
  <si>
    <t>DSCN0097</t>
  </si>
  <si>
    <t>MM11_4</t>
  </si>
  <si>
    <t>DSCN0094</t>
  </si>
  <si>
    <t>DSCN0088</t>
  </si>
  <si>
    <t>DSCN0069</t>
  </si>
  <si>
    <t>DSCN0064</t>
  </si>
  <si>
    <t>Deciduous shrub</t>
  </si>
  <si>
    <t>MM11_5</t>
  </si>
  <si>
    <t>MM11_6</t>
  </si>
  <si>
    <t>MM11_7</t>
  </si>
  <si>
    <t>MM11_8</t>
  </si>
  <si>
    <t>MM11_Berry</t>
  </si>
  <si>
    <t>DSCN0146</t>
  </si>
  <si>
    <t>MM12_1</t>
  </si>
  <si>
    <t xml:space="preserve">Gleaning, probing, visual searching </t>
  </si>
  <si>
    <t>DSCN0147</t>
  </si>
  <si>
    <t>MM12_2</t>
  </si>
  <si>
    <t>DSCN0148</t>
  </si>
  <si>
    <t>MM12_3</t>
  </si>
  <si>
    <t>Overcast, high wind</t>
  </si>
  <si>
    <t>DSCN0149</t>
  </si>
  <si>
    <t>MM12_4</t>
  </si>
  <si>
    <t xml:space="preserve">Visual searching, probing </t>
  </si>
  <si>
    <t>Number of observed probes</t>
  </si>
  <si>
    <t xml:space="preserve">Number of observed gleans </t>
  </si>
  <si>
    <t>DSCN0150</t>
  </si>
  <si>
    <t>MM12_5</t>
  </si>
  <si>
    <t>DSCN0152</t>
  </si>
  <si>
    <t>MM12_6</t>
  </si>
  <si>
    <t xml:space="preserve">unknown </t>
  </si>
  <si>
    <t xml:space="preserve">Success was from exterior foliage </t>
  </si>
  <si>
    <t>WO/OS</t>
  </si>
  <si>
    <t>DSCN0157</t>
  </si>
  <si>
    <t>MM12_7</t>
  </si>
  <si>
    <t xml:space="preserve">Success observed in field, but not detectable in video </t>
  </si>
  <si>
    <t>DSCN0153</t>
  </si>
  <si>
    <t>MM12_8</t>
  </si>
  <si>
    <t>Clear, low wind</t>
  </si>
  <si>
    <t xml:space="preserve">Watched one swallow so counted that.  The second looks like a berry but perhaps I'm being too generous.  Should check.  </t>
  </si>
  <si>
    <t>DSCN0154</t>
  </si>
  <si>
    <t>MM12_9</t>
  </si>
  <si>
    <t>DSCN0155</t>
  </si>
  <si>
    <t>MM12_10</t>
  </si>
  <si>
    <t>Yellow_snow</t>
  </si>
  <si>
    <t>N/A</t>
  </si>
  <si>
    <t>urine snow</t>
  </si>
  <si>
    <t xml:space="preserve">Eating off ground, 3x yellow snow foraging bouts </t>
  </si>
  <si>
    <t>MM13_1</t>
  </si>
  <si>
    <t>DSCN0201</t>
  </si>
  <si>
    <t>animal flesh</t>
  </si>
  <si>
    <t xml:space="preserve">Assumed animal flesh based on color and manna of tearing to eat.  Should verify with someone else  </t>
  </si>
  <si>
    <t xml:space="preserve">Spruce </t>
  </si>
  <si>
    <t>Vole_cache</t>
  </si>
  <si>
    <t xml:space="preserve">Avery and I observed the bird retrieveing something froma  spruce tree, but we did not start recording until it went to aspen tree to eat it.  </t>
  </si>
  <si>
    <t>DSCN0207</t>
  </si>
  <si>
    <t>MM14_1</t>
  </si>
  <si>
    <t xml:space="preserve">Some interior foragine was not attributable to either bark or foliage due to obstruction by vegetation. </t>
  </si>
  <si>
    <t>DSCN0276</t>
  </si>
  <si>
    <t>MM17_1</t>
  </si>
  <si>
    <t>DSCN0278</t>
  </si>
  <si>
    <t>MM17_2</t>
  </si>
  <si>
    <t>Aspen, Spruce</t>
  </si>
  <si>
    <t>DSCN0355</t>
  </si>
  <si>
    <t>MM22_1</t>
  </si>
  <si>
    <t>Clear, -10</t>
  </si>
  <si>
    <t>Cache deposited?</t>
  </si>
  <si>
    <t>DSCN0013</t>
  </si>
  <si>
    <t>Horse shoe</t>
  </si>
  <si>
    <t>Partly cloudy</t>
  </si>
  <si>
    <t>Foraging</t>
  </si>
  <si>
    <t>searching</t>
  </si>
  <si>
    <t>DSCN0015</t>
  </si>
  <si>
    <t>DSCN0020</t>
  </si>
  <si>
    <t>Behavior(Foraging/Caching/Eating)</t>
  </si>
  <si>
    <t>Food handling</t>
  </si>
  <si>
    <t xml:space="preserve">Best guess is dried animal product </t>
  </si>
  <si>
    <t>DSCN0021</t>
  </si>
  <si>
    <t>DSCN0024</t>
  </si>
  <si>
    <t>Caching</t>
  </si>
  <si>
    <t>Mushroom</t>
  </si>
  <si>
    <t>Food acquisition location</t>
  </si>
  <si>
    <t>Cache location</t>
  </si>
  <si>
    <t>NA</t>
  </si>
  <si>
    <t>Spruce, exterior foliage</t>
  </si>
  <si>
    <t>Attending known food item</t>
  </si>
  <si>
    <t>Second visit to mushroom that was cached in tree.  Original cacher unknown</t>
  </si>
  <si>
    <t>DSCN0023</t>
  </si>
  <si>
    <t>First mushroom visit</t>
  </si>
  <si>
    <t>DSCN0026</t>
  </si>
  <si>
    <t>Ground</t>
  </si>
  <si>
    <t>Searching/gleaning</t>
  </si>
  <si>
    <t>DSCN0028</t>
  </si>
  <si>
    <t>ground</t>
  </si>
  <si>
    <t>na</t>
  </si>
  <si>
    <t>White item from ground.  Maybe mushroom or flower</t>
  </si>
  <si>
    <t>DSCN0031</t>
  </si>
  <si>
    <t>DSCN0032</t>
  </si>
  <si>
    <t>DSCN0034</t>
  </si>
  <si>
    <t>DSCN0035</t>
  </si>
  <si>
    <t xml:space="preserve">Pulls something and drops it.  </t>
  </si>
  <si>
    <t>DSCN0037</t>
  </si>
  <si>
    <t>Spruce foliage</t>
  </si>
  <si>
    <t>Looks like bolous</t>
  </si>
  <si>
    <t>unknown food bolous (or berry?)</t>
  </si>
  <si>
    <t>DSCN0043</t>
  </si>
  <si>
    <t>BU</t>
  </si>
  <si>
    <t>DSCN0046</t>
  </si>
  <si>
    <t>Ccamp</t>
  </si>
  <si>
    <t>CC0829_1</t>
  </si>
  <si>
    <t>DSCN0055</t>
  </si>
  <si>
    <t>CC0829_2</t>
  </si>
  <si>
    <t>CC0829_3</t>
  </si>
  <si>
    <t>CC0829_4</t>
  </si>
  <si>
    <t>DSCN0057</t>
  </si>
  <si>
    <t>DSCN0059</t>
  </si>
  <si>
    <t>CC0829_5</t>
  </si>
  <si>
    <t>GB/BS</t>
  </si>
  <si>
    <t xml:space="preserve">Gleaning, searching </t>
  </si>
  <si>
    <t>DSCN0060</t>
  </si>
  <si>
    <t>CC0829_6</t>
  </si>
  <si>
    <t xml:space="preserve">Aquired two berries, we watched it cache one in a tree, but could not follow it for the second berry.  </t>
  </si>
  <si>
    <t>DSCN0061</t>
  </si>
  <si>
    <t>CC0829_7</t>
  </si>
  <si>
    <t>Caching/foraging</t>
  </si>
  <si>
    <t>DSCN0065</t>
  </si>
  <si>
    <t>Partly cloudy; light rain</t>
  </si>
  <si>
    <t>caching</t>
  </si>
  <si>
    <t xml:space="preserve">spruce cache </t>
  </si>
  <si>
    <t>DSCN0072</t>
  </si>
  <si>
    <t>DSCN0073</t>
  </si>
  <si>
    <t>DSCN0074</t>
  </si>
  <si>
    <t>DSCN0075</t>
  </si>
  <si>
    <t>Probing</t>
  </si>
  <si>
    <t>GG/BS</t>
  </si>
  <si>
    <t>DSCN0076</t>
  </si>
  <si>
    <t xml:space="preserve">appeared to fly directly to places where food was </t>
  </si>
  <si>
    <t xml:space="preserve">Substance ID by Kaeli as slime mob.  A sample was collected in the field. </t>
  </si>
  <si>
    <t>DSCN0077</t>
  </si>
  <si>
    <t>9 second of feeding from slime mold</t>
  </si>
  <si>
    <t>DSCN0081</t>
  </si>
  <si>
    <t>GR/PS</t>
  </si>
  <si>
    <t>Searching; unknown</t>
  </si>
  <si>
    <t>DSCN0083</t>
  </si>
  <si>
    <t>Unknown</t>
  </si>
  <si>
    <t>WP/BS</t>
  </si>
  <si>
    <t>DSCN0085</t>
  </si>
  <si>
    <t>Foraging/unknown</t>
  </si>
  <si>
    <t>Spent 22 second in interior on trunk doing something…</t>
  </si>
  <si>
    <t xml:space="preserve">Eating mushroom; two locations </t>
  </si>
  <si>
    <t>DSCN0089</t>
  </si>
  <si>
    <t>BU0830_5</t>
  </si>
  <si>
    <t>Cached mushroom from BU0830_4</t>
  </si>
  <si>
    <t>DSCN0090</t>
  </si>
  <si>
    <t>BU0830_6</t>
  </si>
  <si>
    <t>Foraging/caching</t>
  </si>
  <si>
    <t>Searching</t>
  </si>
  <si>
    <t>DSCN0092</t>
  </si>
  <si>
    <t xml:space="preserve">Foraging? Looking for cache site? Unclear. </t>
  </si>
  <si>
    <t xml:space="preserve">Animal/invert flesh </t>
  </si>
  <si>
    <t>Spruce branch</t>
  </si>
  <si>
    <t xml:space="preserve">Food handling only </t>
  </si>
  <si>
    <t>DSCN0096</t>
  </si>
  <si>
    <t>BU0830_9</t>
  </si>
  <si>
    <t xml:space="preserve">Unclear if foraging or looking for cache location.  Was clearly manipulating food in bill. </t>
  </si>
  <si>
    <t>DSCN0100</t>
  </si>
  <si>
    <t>Bark FT (trunk or bare branch)</t>
  </si>
  <si>
    <t>DSCN0108</t>
  </si>
  <si>
    <t>DSCN0101</t>
  </si>
  <si>
    <t>Rock Creek</t>
  </si>
  <si>
    <t>GW/BS</t>
  </si>
  <si>
    <t xml:space="preserve">was searching a squirrel midden </t>
  </si>
  <si>
    <t>RC0831_1</t>
  </si>
  <si>
    <t>DSCN0110</t>
  </si>
  <si>
    <t>RC0831_2</t>
  </si>
  <si>
    <t>plucking berries</t>
  </si>
  <si>
    <t>DSCN0115</t>
  </si>
  <si>
    <t>RC0831_3</t>
  </si>
  <si>
    <t>(foraging obscured by veg)</t>
  </si>
  <si>
    <t>DSCN0123</t>
  </si>
  <si>
    <t>M3.50831_4</t>
  </si>
  <si>
    <t>Mile 3.5</t>
  </si>
  <si>
    <t>M3.50831_1</t>
  </si>
  <si>
    <t>DSCN0126</t>
  </si>
  <si>
    <t>M3.50831_2</t>
  </si>
  <si>
    <t>WO/RS</t>
  </si>
  <si>
    <t>DSCN0128</t>
  </si>
  <si>
    <t>M3.50831_3</t>
  </si>
  <si>
    <t>Y-/BS</t>
  </si>
  <si>
    <t>Foraging or caching</t>
  </si>
  <si>
    <t>DSCN0130</t>
  </si>
  <si>
    <t>DSCN0131</t>
  </si>
  <si>
    <t>M3.50831_5</t>
  </si>
  <si>
    <t>DSCN0133</t>
  </si>
  <si>
    <t>M3.50831_6</t>
  </si>
  <si>
    <t>Cache recovery</t>
  </si>
  <si>
    <t>Foraging/food handling</t>
  </si>
  <si>
    <t xml:space="preserve">Recovered medium sized object and took it to tree interior and then shook it around.  Full throat pouch indicates it did not cache it.  </t>
  </si>
  <si>
    <t>G-/BS</t>
  </si>
  <si>
    <t>CC0831_1</t>
  </si>
  <si>
    <t>CC0831_2</t>
  </si>
  <si>
    <t>CC0831_3</t>
  </si>
  <si>
    <t>CC0831_4</t>
  </si>
  <si>
    <t xml:space="preserve">Came from ground carrying white object. Danyan checked area and did not sign signs of eaten mushroom though. </t>
  </si>
  <si>
    <t>DSCN0158</t>
  </si>
  <si>
    <t>CC0831_5</t>
  </si>
  <si>
    <t>DSCN0160</t>
  </si>
  <si>
    <t xml:space="preserve">Grabbed at least one berry. </t>
  </si>
  <si>
    <t>DSCN0163</t>
  </si>
  <si>
    <t>Unbanded</t>
  </si>
  <si>
    <t>Food handling/caching</t>
  </si>
  <si>
    <t>Spruce, aspen</t>
  </si>
  <si>
    <t>Cached snowshoe hare leg in tree</t>
  </si>
  <si>
    <t>DSCN0164</t>
  </si>
  <si>
    <t>Did not mark (did not recognize as cache while in field)</t>
  </si>
  <si>
    <t>Searching/attenting known food item</t>
  </si>
  <si>
    <t>DSCN0165</t>
  </si>
  <si>
    <t>DSCN0166</t>
  </si>
  <si>
    <t>35s eating hare</t>
  </si>
  <si>
    <t>DSCN0167</t>
  </si>
  <si>
    <t>3 eating hare</t>
  </si>
  <si>
    <t>DSCN0172</t>
  </si>
  <si>
    <t>DSCN0180</t>
  </si>
  <si>
    <t>WL/PS</t>
  </si>
  <si>
    <t>34sec eating mystery food</t>
  </si>
  <si>
    <t>DSCN0181</t>
  </si>
  <si>
    <t>40SEC EATING MYSTERY FOOD</t>
  </si>
  <si>
    <t>DSCN0182</t>
  </si>
  <si>
    <t>WL/PS and unbanded</t>
  </si>
  <si>
    <t>1 each</t>
  </si>
  <si>
    <t>DSCN0183</t>
  </si>
  <si>
    <t>Spruce trunk</t>
  </si>
  <si>
    <t>DSCN0193</t>
  </si>
  <si>
    <t>DSCN0196</t>
  </si>
  <si>
    <t>DSCN0197</t>
  </si>
  <si>
    <t>DSCN0220</t>
  </si>
  <si>
    <t>M3.50903_1</t>
  </si>
  <si>
    <t>OB/RS</t>
  </si>
  <si>
    <t>No video</t>
  </si>
  <si>
    <t xml:space="preserve">Don't have video, but gps'd cahce location.  </t>
  </si>
  <si>
    <t>Trail Camp</t>
  </si>
  <si>
    <t>TC0903_1</t>
  </si>
  <si>
    <t>TC0903_2</t>
  </si>
  <si>
    <t>TC0903_3</t>
  </si>
  <si>
    <t>TC0903_4</t>
  </si>
  <si>
    <t>TC0903_5</t>
  </si>
  <si>
    <t>TC0903_6</t>
  </si>
  <si>
    <t>TC0903_7</t>
  </si>
  <si>
    <t>DSCN0232</t>
  </si>
  <si>
    <t>DM0904_1</t>
  </si>
  <si>
    <t>Dam</t>
  </si>
  <si>
    <t>GG/RS</t>
  </si>
  <si>
    <t>DSCN0233</t>
  </si>
  <si>
    <t>DM0904_2</t>
  </si>
  <si>
    <t>Eating</t>
  </si>
  <si>
    <t>DSCN0234</t>
  </si>
  <si>
    <t>TC0904_1</t>
  </si>
  <si>
    <t>Great cache video!!!</t>
  </si>
  <si>
    <t>DSCN0239</t>
  </si>
  <si>
    <t>RLC0904_1</t>
  </si>
  <si>
    <t>Riley Creek</t>
  </si>
  <si>
    <t>DSCN0246</t>
  </si>
  <si>
    <t>CCS0904_1</t>
  </si>
  <si>
    <t>Ccamp South</t>
  </si>
  <si>
    <t>DSCN0248</t>
  </si>
  <si>
    <t>CCS0904_2</t>
  </si>
  <si>
    <t>DSCN0250</t>
  </si>
  <si>
    <t>CCS0904_3</t>
  </si>
  <si>
    <t>DSCN0253</t>
  </si>
  <si>
    <t>CCS0904_4</t>
  </si>
  <si>
    <t>Caching, forgaging</t>
  </si>
  <si>
    <t xml:space="preserve">Searching </t>
  </si>
  <si>
    <t xml:space="preserve">Retrieved something from ground (not on video) and KS observed it place it in tree </t>
  </si>
  <si>
    <t>DSCN0254</t>
  </si>
  <si>
    <t>CCS0904_5</t>
  </si>
  <si>
    <t>DSCN0256</t>
  </si>
  <si>
    <t>CCS0904_6</t>
  </si>
  <si>
    <t>DSCN0257</t>
  </si>
  <si>
    <t xml:space="preserve">Clear placement of berry in tree </t>
  </si>
  <si>
    <t>DSCN0259</t>
  </si>
  <si>
    <t>CCS0904_8</t>
  </si>
  <si>
    <t>CCS0904_7</t>
  </si>
  <si>
    <t xml:space="preserve">Clear cache.  Very close to previoud cach location.  </t>
  </si>
  <si>
    <t>DSCN0262</t>
  </si>
  <si>
    <t>CCS0904_9</t>
  </si>
  <si>
    <t>CCS0904_10</t>
  </si>
  <si>
    <t>CCS0904_11</t>
  </si>
  <si>
    <t xml:space="preserve">Didn't capture foraging in this video but did in previous one.  Didn't keep video because bird was not in frame but used it to calculate foraging time reported here.  Unclear from video audio, but the cache location here was spotted in the field by KS. </t>
  </si>
  <si>
    <t>DSCN0269</t>
  </si>
  <si>
    <t>DSCN0263</t>
  </si>
  <si>
    <t>DSCN0265</t>
  </si>
  <si>
    <t>M2370905_1</t>
  </si>
  <si>
    <t>Mile 237</t>
  </si>
  <si>
    <t>YP/RS</t>
  </si>
  <si>
    <t>DSCN0270</t>
  </si>
  <si>
    <t>M2370905_2</t>
  </si>
  <si>
    <t>Unknown (probably bug)</t>
  </si>
  <si>
    <t>Aspen tree branch</t>
  </si>
  <si>
    <t>DSCN0272</t>
  </si>
  <si>
    <t>M2370905_3</t>
  </si>
  <si>
    <t>unknown (Looks like meat)</t>
  </si>
  <si>
    <t>Interior spruce foliage</t>
  </si>
  <si>
    <t>Camera immediately on consumption sequence</t>
  </si>
  <si>
    <t>DSCN0273</t>
  </si>
  <si>
    <t>M2370905_4</t>
  </si>
  <si>
    <t>GB/PS</t>
  </si>
  <si>
    <t>M2370905_5</t>
  </si>
  <si>
    <t>DSCN0280</t>
  </si>
  <si>
    <t>M4R0905_1</t>
  </si>
  <si>
    <t xml:space="preserve">SEARCHING </t>
  </si>
  <si>
    <t>DSCN0281</t>
  </si>
  <si>
    <t>Spruce exterior foliage</t>
  </si>
  <si>
    <t>WG/OS</t>
  </si>
  <si>
    <t>M4R0905_2</t>
  </si>
  <si>
    <t>DSCN0284</t>
  </si>
  <si>
    <t>M4R0905_3</t>
  </si>
  <si>
    <t xml:space="preserve">No video </t>
  </si>
  <si>
    <t xml:space="preserve">Tucker saw the bird cache with his binocculars </t>
  </si>
  <si>
    <t>M4R0905_4</t>
  </si>
  <si>
    <t xml:space="preserve">Caching blueberries from previous video </t>
  </si>
  <si>
    <t>DSCN0306</t>
  </si>
  <si>
    <t>DSCN0323</t>
  </si>
  <si>
    <t>CC0906_1</t>
  </si>
  <si>
    <t>DSCN0325</t>
  </si>
  <si>
    <t>CC0906_2</t>
  </si>
  <si>
    <t xml:space="preserve">Only caught food handling, not discovery </t>
  </si>
  <si>
    <t>DSCN0345</t>
  </si>
  <si>
    <t>CC0906_3</t>
  </si>
  <si>
    <t>Toilet paper</t>
  </si>
  <si>
    <t>DSCN0361</t>
  </si>
  <si>
    <t>MC0906_1</t>
  </si>
  <si>
    <t>BW/GS</t>
  </si>
  <si>
    <t>DSCN0364</t>
  </si>
  <si>
    <t>MC0906_2</t>
  </si>
  <si>
    <t xml:space="preserve">Searching/probing </t>
  </si>
  <si>
    <t>DSCN0366</t>
  </si>
  <si>
    <t>MC0906_3</t>
  </si>
  <si>
    <t>DSCN0368</t>
  </si>
  <si>
    <t>DSCN0372</t>
  </si>
  <si>
    <t>MC0906_5</t>
  </si>
  <si>
    <t>DSCN0373</t>
  </si>
  <si>
    <t>MC0906_6</t>
  </si>
  <si>
    <t>Aspen branch under bark</t>
  </si>
  <si>
    <t>probing</t>
  </si>
  <si>
    <t>DSCN0376</t>
  </si>
  <si>
    <t>MC0906_7</t>
  </si>
  <si>
    <t xml:space="preserve">Later moved by second bird.  </t>
  </si>
  <si>
    <t>DSCN0377</t>
  </si>
  <si>
    <t>MC0906_8</t>
  </si>
  <si>
    <t>Spruce branch (from MC0906_7)</t>
  </si>
  <si>
    <t>Female collected mushroo piece that had been placed on spruce branch by male (WO/OS).  She took it and went to a different spruce tree and cashed it.  That second tree is the one we took a GPS on</t>
  </si>
  <si>
    <t>DSCN0379</t>
  </si>
  <si>
    <t>MC0906_9</t>
  </si>
  <si>
    <t xml:space="preserve">Female on ground already eating at video start.  </t>
  </si>
  <si>
    <t>DSCN0380</t>
  </si>
  <si>
    <t>MC0906_10</t>
  </si>
  <si>
    <t>Attending mushroom</t>
  </si>
  <si>
    <t>DSCN0381</t>
  </si>
  <si>
    <t>MC0906_11</t>
  </si>
  <si>
    <t xml:space="preserve">Cached mushroom from previous video </t>
  </si>
  <si>
    <t>DSCN0382</t>
  </si>
  <si>
    <t>MC0906_12</t>
  </si>
  <si>
    <t xml:space="preserve">Cache is not from the observed food acquisition in video.  </t>
  </si>
  <si>
    <t>Mile 4 Roadside</t>
  </si>
  <si>
    <t xml:space="preserve">Overcast, raining </t>
  </si>
  <si>
    <t>Partly sunny</t>
  </si>
  <si>
    <t>Overcast</t>
  </si>
  <si>
    <t>DSCN0397</t>
  </si>
  <si>
    <t>M2370907_1</t>
  </si>
  <si>
    <t xml:space="preserve">KS saw it removed meat like substance from spruce foliage </t>
  </si>
  <si>
    <t>DCSN0402</t>
  </si>
  <si>
    <t>M2370907_2</t>
  </si>
  <si>
    <t>DSCN0404</t>
  </si>
  <si>
    <t>M2370907_3</t>
  </si>
  <si>
    <t>Aspen tree leaf stems</t>
  </si>
  <si>
    <t>Guessing insects based on size/location</t>
  </si>
  <si>
    <t>DSCN405</t>
  </si>
  <si>
    <t>M2370907_4</t>
  </si>
  <si>
    <t>Cache recovery/foraging</t>
  </si>
  <si>
    <t>DSCN0408</t>
  </si>
  <si>
    <t>M2370907_5</t>
  </si>
  <si>
    <t>DSCN0411</t>
  </si>
  <si>
    <t>M2370907_6</t>
  </si>
  <si>
    <t>DSCN0412</t>
  </si>
  <si>
    <t>M2370907_7</t>
  </si>
  <si>
    <t>M2370907_8</t>
  </si>
  <si>
    <t>DSCN0417</t>
  </si>
  <si>
    <t>M2370907_10</t>
  </si>
  <si>
    <t>Cache site on aspen branch</t>
  </si>
  <si>
    <t>DSCN0413</t>
  </si>
  <si>
    <t>DSCN0415</t>
  </si>
  <si>
    <t>DSCN0418</t>
  </si>
  <si>
    <t>MC0907_1</t>
  </si>
  <si>
    <t>Mushroom (amanita)</t>
  </si>
  <si>
    <t>DSCN0419</t>
  </si>
  <si>
    <t>MC0907_2</t>
  </si>
  <si>
    <t xml:space="preserve">Tearing up and caching bits of mushroom from previous video.  </t>
  </si>
  <si>
    <t>DSCN0422</t>
  </si>
  <si>
    <t>MC0907_3</t>
  </si>
  <si>
    <t>Tearing up bits of mushroom from previous video</t>
  </si>
  <si>
    <t>DSCN0423</t>
  </si>
  <si>
    <t>MC0907_4</t>
  </si>
  <si>
    <t>DSCN0424</t>
  </si>
  <si>
    <t>MC0907_5</t>
  </si>
  <si>
    <t>DSCN0427</t>
  </si>
  <si>
    <t>MC0907_6</t>
  </si>
  <si>
    <t>DSCN0437</t>
  </si>
  <si>
    <t>MC0907_7</t>
  </si>
  <si>
    <t>DSCN0439</t>
  </si>
  <si>
    <t>MC0907_8</t>
  </si>
  <si>
    <t>DSCN0440</t>
  </si>
  <si>
    <t>MC0907_9</t>
  </si>
  <si>
    <t xml:space="preserve">kKS watched her cache, bt not on video. </t>
  </si>
  <si>
    <t>DSCN0441</t>
  </si>
  <si>
    <t>MC0907_10</t>
  </si>
  <si>
    <t>DSCN0442</t>
  </si>
  <si>
    <t>MC0907_11</t>
  </si>
  <si>
    <t>DSCN0443</t>
  </si>
  <si>
    <t>MC0907_12</t>
  </si>
  <si>
    <t xml:space="preserve">Appeared to recover white object from tree, we called it a cache recovery and GPS'd.  Suspect mushroom </t>
  </si>
  <si>
    <t>DSCN0472</t>
  </si>
  <si>
    <t>M4R0907_1</t>
  </si>
  <si>
    <t>?/RS</t>
  </si>
  <si>
    <t>DSCN0747</t>
  </si>
  <si>
    <t>M4R0907_2</t>
  </si>
  <si>
    <t>DSCN0481</t>
  </si>
  <si>
    <t>DSCN0484</t>
  </si>
  <si>
    <t>Unclear from video…too blurry</t>
  </si>
  <si>
    <t>DSCN0485</t>
  </si>
  <si>
    <t>Animal flesh</t>
  </si>
  <si>
    <t xml:space="preserve">49S of food handling </t>
  </si>
  <si>
    <t>DSCN0486</t>
  </si>
  <si>
    <t>9sec food handling</t>
  </si>
  <si>
    <t>DSCN0487</t>
  </si>
  <si>
    <t>BP/PS</t>
  </si>
  <si>
    <t>DSCN0491</t>
  </si>
  <si>
    <t>DSCN0493</t>
  </si>
  <si>
    <t>DSCN0494</t>
  </si>
  <si>
    <t>DSCN0495</t>
  </si>
  <si>
    <t>DSCN0497</t>
  </si>
  <si>
    <t>BU0908_5</t>
  </si>
  <si>
    <t>DSCN0498</t>
  </si>
  <si>
    <t xml:space="preserve">Missed actually getting the mushroom on video </t>
  </si>
  <si>
    <t>DSCN0501</t>
  </si>
  <si>
    <t>BU0908_7</t>
  </si>
  <si>
    <t>DSCN0503</t>
  </si>
  <si>
    <t>BU0908_8</t>
  </si>
  <si>
    <t xml:space="preserve">Missed food acquisition an cache but narrated on video.  </t>
  </si>
  <si>
    <t>DSCN0504</t>
  </si>
  <si>
    <t>BU0908_9</t>
  </si>
  <si>
    <t>DSCN0514</t>
  </si>
  <si>
    <t>Full sun</t>
  </si>
  <si>
    <t>DSCN0515</t>
  </si>
  <si>
    <t>Pecking at mushroom</t>
  </si>
  <si>
    <t>DSCN0518</t>
  </si>
  <si>
    <t>Exterior bare spruce branch</t>
  </si>
  <si>
    <t>DSCN0519</t>
  </si>
  <si>
    <t>Interior bar spruce branches under bark</t>
  </si>
  <si>
    <t>2 (same tree)</t>
  </si>
  <si>
    <t>DSCN0520</t>
  </si>
  <si>
    <t xml:space="preserve">Branches of small dead spruce, under bark </t>
  </si>
  <si>
    <t>DSCN0521</t>
  </si>
  <si>
    <t>DSCN0522</t>
  </si>
  <si>
    <t>Exterior spruce banch under bark/witch hair</t>
  </si>
  <si>
    <t>DSCN0523</t>
  </si>
  <si>
    <t>DSCN0531</t>
  </si>
  <si>
    <t>M2370909_1</t>
  </si>
  <si>
    <t>DSCN0536</t>
  </si>
  <si>
    <t>M2370909_2</t>
  </si>
  <si>
    <t>Exterior foliated spruce</t>
  </si>
  <si>
    <t>DSCN0540</t>
  </si>
  <si>
    <t>M2370909_3</t>
  </si>
  <si>
    <t>DSCN0541</t>
  </si>
  <si>
    <t>M2370909_4</t>
  </si>
  <si>
    <t>DSCN0543</t>
  </si>
  <si>
    <t>M2370909_5</t>
  </si>
  <si>
    <t>DSCN0544</t>
  </si>
  <si>
    <t>M2370909_6</t>
  </si>
  <si>
    <t>DSCN0547</t>
  </si>
  <si>
    <t>M2370909_7</t>
  </si>
  <si>
    <t>DSCN0548</t>
  </si>
  <si>
    <t>M2370909_8</t>
  </si>
  <si>
    <t>DSCN0559</t>
  </si>
  <si>
    <t>M4R0909_1</t>
  </si>
  <si>
    <t>Alder</t>
  </si>
  <si>
    <t>Alder branch</t>
  </si>
  <si>
    <t xml:space="preserve">First food acquisition is not on film.  </t>
  </si>
  <si>
    <t>DSCN0567</t>
  </si>
  <si>
    <t>M4E0909_1</t>
  </si>
  <si>
    <t xml:space="preserve">Mile 4 East </t>
  </si>
  <si>
    <t>DSCN0568</t>
  </si>
  <si>
    <t>M4E0909_2</t>
  </si>
  <si>
    <t>DSCN0574</t>
  </si>
  <si>
    <t>M4E0909_3</t>
  </si>
  <si>
    <t>Did not catch food acquisition on tape</t>
  </si>
  <si>
    <t>DSCN0581</t>
  </si>
  <si>
    <t>M4E0909_4</t>
  </si>
  <si>
    <t>Not sure about cache but suspected in field</t>
  </si>
  <si>
    <t>DSCN0583</t>
  </si>
  <si>
    <t>M4E0909_5</t>
  </si>
  <si>
    <t>DSCN0587</t>
  </si>
  <si>
    <t>RC0911_1</t>
  </si>
  <si>
    <t>DSCN0590</t>
  </si>
  <si>
    <t>RC0911_2</t>
  </si>
  <si>
    <t>DSCN0591</t>
  </si>
  <si>
    <t>RC0911_3</t>
  </si>
  <si>
    <t>DSCN0593</t>
  </si>
  <si>
    <t>RC0911_4</t>
  </si>
  <si>
    <t xml:space="preserve">Interior spruce branch, but bare part of brach between foliage.  </t>
  </si>
  <si>
    <t xml:space="preserve">Saw bird eating unidentified food, appeared to leave some in tree so we marked it as a cache. </t>
  </si>
  <si>
    <t xml:space="preserve">Cached food item seen eating in RC0911_3 in a separate tree. </t>
  </si>
  <si>
    <t>DSCN0600</t>
  </si>
  <si>
    <t>Spruce trunk low to ground</t>
  </si>
  <si>
    <t>CC0911_1</t>
  </si>
  <si>
    <t>DSCN0601</t>
  </si>
  <si>
    <t>CC0911_2</t>
  </si>
  <si>
    <t>GR/RS</t>
  </si>
  <si>
    <t>DSCN0602</t>
  </si>
  <si>
    <t>CC0911_3</t>
  </si>
  <si>
    <t>Food item</t>
  </si>
  <si>
    <t xml:space="preserve">Caching from previous food acquisition video.  </t>
  </si>
  <si>
    <t>DSCN0605</t>
  </si>
  <si>
    <t>TC0911_1</t>
  </si>
  <si>
    <t>Unknown soft white stuff</t>
  </si>
  <si>
    <t>DSCN0606</t>
  </si>
  <si>
    <t>MC0911_1</t>
  </si>
  <si>
    <t>Aspen trunk</t>
  </si>
  <si>
    <t>DSCN0608</t>
  </si>
  <si>
    <t>MC0911_2</t>
  </si>
  <si>
    <t>DSCN0612</t>
  </si>
  <si>
    <t>MC0911_3</t>
  </si>
  <si>
    <t>Aspen branch</t>
  </si>
  <si>
    <t>DSCN0613</t>
  </si>
  <si>
    <t>MC0911_4</t>
  </si>
  <si>
    <t>DSCN0615</t>
  </si>
  <si>
    <t>MC0911_5</t>
  </si>
  <si>
    <t>Foraging and caching</t>
  </si>
  <si>
    <t>Took about four pieces of same mushroom before flying up to cache on a spruce branch</t>
  </si>
  <si>
    <t>DSCN0616</t>
  </si>
  <si>
    <t>MC0911_6</t>
  </si>
  <si>
    <t>Video started after bird had grabbed a caterpillar, looks like it caches it on an aspen branch</t>
  </si>
  <si>
    <t>DSCN0617</t>
  </si>
  <si>
    <t>MC0911_7</t>
  </si>
  <si>
    <t>Looked like a soapberry, maybe with a stem attached</t>
  </si>
  <si>
    <t>DSCN0619</t>
  </si>
  <si>
    <t>HS0912_1</t>
  </si>
  <si>
    <t>GL/PS</t>
  </si>
  <si>
    <t>Interior bare spruce branches under bark</t>
  </si>
  <si>
    <t xml:space="preserve">Unconfirmed but suspected cache. </t>
  </si>
  <si>
    <t>DSCN0622</t>
  </si>
  <si>
    <t>HS0912_2</t>
  </si>
  <si>
    <t>Not sure what they're going after here.  Maybe aphids?</t>
  </si>
  <si>
    <t>DSCN0630</t>
  </si>
  <si>
    <t>HS0912_3</t>
  </si>
  <si>
    <t>MA</t>
  </si>
  <si>
    <t>DSCN0631</t>
  </si>
  <si>
    <t>HS0912_4</t>
  </si>
  <si>
    <t>YL/OS</t>
  </si>
  <si>
    <t xml:space="preserve">Weird orange food! </t>
  </si>
  <si>
    <t>DSCN0634</t>
  </si>
  <si>
    <t>HS0912_5</t>
  </si>
  <si>
    <t xml:space="preserve">Verbal recording that it got food on the ground </t>
  </si>
  <si>
    <t>DSCN0635</t>
  </si>
  <si>
    <t>HS0912_6</t>
  </si>
  <si>
    <t>DSCN0638</t>
  </si>
  <si>
    <t>HS0912_7</t>
  </si>
  <si>
    <t>Insect</t>
  </si>
  <si>
    <t>DSCN0641</t>
  </si>
  <si>
    <t>HS0912_8</t>
  </si>
  <si>
    <t xml:space="preserve">Watched bird fly into foliage and emerge with food.  Not sure if cached some of it in the tree, or if it was retrieving the food from the tree. </t>
  </si>
  <si>
    <t>DSCN0642</t>
  </si>
  <si>
    <t>M2370912_1</t>
  </si>
  <si>
    <t>Under bare spruce branch bark</t>
  </si>
  <si>
    <t>DSCN0643</t>
  </si>
  <si>
    <t>M2370912_2</t>
  </si>
  <si>
    <t>M2370912_3</t>
  </si>
  <si>
    <t>DSCN0644</t>
  </si>
  <si>
    <t>DSCN0645</t>
  </si>
  <si>
    <t>M2370912_4</t>
  </si>
  <si>
    <t xml:space="preserve">Appeared to cache something in foliage (but unconfirmed) then went and retrieved food item. Food item is unknown but maybe congealed sap or seeds or something.    </t>
  </si>
  <si>
    <t>DSCN0647</t>
  </si>
  <si>
    <t>M2370912_5</t>
  </si>
  <si>
    <t>Bare interior spruce branch</t>
  </si>
  <si>
    <t xml:space="preserve">Working at unknown food item from M2370923_4.  left some on branch from video.  That's the marked cache tree. </t>
  </si>
  <si>
    <t>DSCN0648</t>
  </si>
  <si>
    <t>M2370912_6</t>
  </si>
  <si>
    <t>Cached part of unknown item from M2370912_4</t>
  </si>
  <si>
    <t>DSCN0652</t>
  </si>
  <si>
    <t>M2370912_7</t>
  </si>
  <si>
    <t>DSCN0660</t>
  </si>
  <si>
    <t>DSCN0664</t>
  </si>
  <si>
    <t xml:space="preserve">Collected piece of mystery food!  </t>
  </si>
  <si>
    <t>DSCN0665</t>
  </si>
  <si>
    <t>BU0912_3</t>
  </si>
  <si>
    <t xml:space="preserve">Interior foliate spruce, but placed neatly on branch. </t>
  </si>
  <si>
    <t xml:space="preserve">Same food from previous video.  </t>
  </si>
  <si>
    <t>DSCN0668</t>
  </si>
  <si>
    <t>DSCN0678</t>
  </si>
  <si>
    <t>DSCN0677</t>
  </si>
  <si>
    <t>BU0912_5</t>
  </si>
  <si>
    <t>DSCN0679</t>
  </si>
  <si>
    <t>BU0912_7</t>
  </si>
  <si>
    <t>Unconfirmed caching (observed by Noah S.)</t>
  </si>
  <si>
    <t>DSCN0686</t>
  </si>
  <si>
    <t>BU0912_8</t>
  </si>
  <si>
    <t xml:space="preserve">Notes about food acquisition based on unrecorded observations </t>
  </si>
  <si>
    <t>DSCN0692</t>
  </si>
  <si>
    <t>M4R0914_1</t>
  </si>
  <si>
    <t>Mostly sunny</t>
  </si>
  <si>
    <t>Interior top of spruce tree</t>
  </si>
  <si>
    <t>Interior bare spruce branches under bark/witch hair</t>
  </si>
  <si>
    <t xml:space="preserve">Food acquisition not captured on film but observed beforhand by KS.  </t>
  </si>
  <si>
    <t>M4R0914_2</t>
  </si>
  <si>
    <t>Interior top of spruce in foliage.</t>
  </si>
  <si>
    <t xml:space="preserve">Determined caching based on saliva trail that you can see in video.  </t>
  </si>
  <si>
    <t>DSCN0698</t>
  </si>
  <si>
    <t>DSCN0702</t>
  </si>
  <si>
    <t>M4R0914_3</t>
  </si>
  <si>
    <t>DSCN0705</t>
  </si>
  <si>
    <t>M4R0914_4</t>
  </si>
  <si>
    <t xml:space="preserve">Unclear if foraging or caching.  Check with jay crew. </t>
  </si>
  <si>
    <t>DSCN0711</t>
  </si>
  <si>
    <t>M4R0914_5</t>
  </si>
  <si>
    <t>DSCN0715</t>
  </si>
  <si>
    <t>M4R0914_6</t>
  </si>
  <si>
    <t>DSCN0716</t>
  </si>
  <si>
    <t>M4R0914_7</t>
  </si>
  <si>
    <t>M4R0914_8</t>
  </si>
  <si>
    <t>DSCN0721</t>
  </si>
  <si>
    <t>DSCN0722</t>
  </si>
  <si>
    <t>M4R0914_9</t>
  </si>
  <si>
    <t>DSN0725</t>
  </si>
  <si>
    <t>CC0914_1</t>
  </si>
  <si>
    <t>A little unclear from video if it was eating food it already had or foraging for more…</t>
  </si>
  <si>
    <t>DSCN0729</t>
  </si>
  <si>
    <t>CC0914_2</t>
  </si>
  <si>
    <t>DSCN0730</t>
  </si>
  <si>
    <t>CC0914_3</t>
  </si>
  <si>
    <t>GL/RS</t>
  </si>
  <si>
    <t>DSCN0733</t>
  </si>
  <si>
    <t>MC0914_1</t>
  </si>
  <si>
    <t>DSCN0734</t>
  </si>
  <si>
    <t>MC0914_2</t>
  </si>
  <si>
    <t>Mistletoe barmble</t>
  </si>
  <si>
    <t xml:space="preserve">Exterior spruce limbs under bark </t>
  </si>
  <si>
    <t>DSCN0736</t>
  </si>
  <si>
    <t>MC0914_3</t>
  </si>
  <si>
    <t>DSCN0739</t>
  </si>
  <si>
    <t>MC0914_4</t>
  </si>
  <si>
    <t>DSCN0742</t>
  </si>
  <si>
    <t>MC0914_5</t>
  </si>
  <si>
    <t>unknown not berry</t>
  </si>
  <si>
    <t>DSCN0749</t>
  </si>
  <si>
    <t xml:space="preserve">We decided the first 10sec were looking for a place to cache rather than foraging.  </t>
  </si>
  <si>
    <t>DSCN0750</t>
  </si>
  <si>
    <t>DSCN0751</t>
  </si>
  <si>
    <t>DSCN0755</t>
  </si>
  <si>
    <t>DSCN0765</t>
  </si>
  <si>
    <t>BU0915_1</t>
  </si>
  <si>
    <t>Foraging and caching off dead hare carcass (mostly entrails)</t>
  </si>
  <si>
    <t>DSCN0766</t>
  </si>
  <si>
    <t>DSCN0771</t>
  </si>
  <si>
    <t>BU0915_3</t>
  </si>
  <si>
    <t>Interior bare spruce</t>
  </si>
  <si>
    <t>DSCN0777</t>
  </si>
  <si>
    <t>DSCN0778</t>
  </si>
  <si>
    <t>Processing hare in tree</t>
  </si>
  <si>
    <t>DSCN0779</t>
  </si>
  <si>
    <t>BU0915_6</t>
  </si>
  <si>
    <t>DSCN0783</t>
  </si>
  <si>
    <t>Looking for a place to cache</t>
  </si>
  <si>
    <t>DSCN0784</t>
  </si>
  <si>
    <t>DSCN0786</t>
  </si>
  <si>
    <t>BU0915_9</t>
  </si>
  <si>
    <t xml:space="preserve">Did not record cache on cemera but witnessed with binoculars </t>
  </si>
  <si>
    <t>DSCN0789</t>
  </si>
  <si>
    <t>BU0915_10</t>
  </si>
  <si>
    <t>Spruce trunk under bark</t>
  </si>
  <si>
    <t>DSCN0791</t>
  </si>
  <si>
    <t>Eating from hare</t>
  </si>
  <si>
    <t>DSCN0793</t>
  </si>
  <si>
    <t>DSCN0769</t>
  </si>
  <si>
    <t>DSCN0797</t>
  </si>
  <si>
    <t>DSCN0798</t>
  </si>
  <si>
    <t>DSCN0800</t>
  </si>
  <si>
    <t>DSCN0801</t>
  </si>
  <si>
    <t>DSCN0803</t>
  </si>
  <si>
    <t>BU0915_18</t>
  </si>
  <si>
    <t>DSCN0807</t>
  </si>
  <si>
    <t xml:space="preserve">Did not catch actual foraging on video.  </t>
  </si>
  <si>
    <t>BU0915_20</t>
  </si>
  <si>
    <t>Interior tucked in foliage</t>
  </si>
  <si>
    <t>DSCN0810</t>
  </si>
  <si>
    <t>M4R0916_1</t>
  </si>
  <si>
    <t>Too blocked to tell</t>
  </si>
  <si>
    <t>DSCN0811</t>
  </si>
  <si>
    <t>M4R0916_2</t>
  </si>
  <si>
    <t xml:space="preserve">Only got food acquisition on tape, not foraging.  </t>
  </si>
  <si>
    <t>DSCN0815</t>
  </si>
  <si>
    <t>M4R0916_3</t>
  </si>
  <si>
    <t>DSCN0817</t>
  </si>
  <si>
    <t>M4R0916_4</t>
  </si>
  <si>
    <t>M4E0916_1</t>
  </si>
  <si>
    <t>GP/BS</t>
  </si>
  <si>
    <t>DSCN0820</t>
  </si>
  <si>
    <t>M3.50916_1</t>
  </si>
  <si>
    <t>WL/RS or WP/OS</t>
  </si>
  <si>
    <t>DSCN0821</t>
  </si>
  <si>
    <t xml:space="preserve">*Possible it was looking to cache rather than foraging.  </t>
  </si>
  <si>
    <t>DSCN0822</t>
  </si>
  <si>
    <t>M4R0916_5</t>
  </si>
  <si>
    <t xml:space="preserve">Continuation from previous video.  </t>
  </si>
  <si>
    <t>DSCN0825</t>
  </si>
  <si>
    <t>M4R0916_6</t>
  </si>
  <si>
    <t xml:space="preserve">Unknown (some part of spruce tree as in other videos: HS0912_8
M2370912_3) </t>
  </si>
  <si>
    <t>Spruce sapling trunk, near branch joint</t>
  </si>
  <si>
    <t>DSCN0827</t>
  </si>
  <si>
    <t>TC0916_1</t>
  </si>
  <si>
    <t>Campsite ground</t>
  </si>
  <si>
    <t>DSCN0828</t>
  </si>
  <si>
    <t>TC0916_2</t>
  </si>
  <si>
    <t xml:space="preserve">Moment of cache not caught on video but it cached what was left in the spot seen on the video of it eating.  </t>
  </si>
  <si>
    <t>DSCN0831</t>
  </si>
  <si>
    <t>TC0916_3</t>
  </si>
  <si>
    <t>DSCN0833</t>
  </si>
  <si>
    <t>MC0916_1</t>
  </si>
  <si>
    <t>Sitting on foliated spruce branch</t>
  </si>
  <si>
    <t xml:space="preserve">Left peel in tree its eating in in this video.  </t>
  </si>
  <si>
    <t>DSCN0836</t>
  </si>
  <si>
    <t>MC0916_2</t>
  </si>
  <si>
    <t>DSCN0837</t>
  </si>
  <si>
    <t>MC0916_3</t>
  </si>
  <si>
    <t>Bread</t>
  </si>
  <si>
    <t>DSCN0838</t>
  </si>
  <si>
    <t>MC0916_4</t>
  </si>
  <si>
    <t>This is the first recovered piece of bread</t>
  </si>
  <si>
    <t>This is the second recovered piece of bread</t>
  </si>
  <si>
    <t>DSCN0839</t>
  </si>
  <si>
    <t>MC0916_5</t>
  </si>
  <si>
    <t xml:space="preserve">Same piece of bread in previous video </t>
  </si>
  <si>
    <t>MC0916_6</t>
  </si>
  <si>
    <t>DSCN0840</t>
  </si>
  <si>
    <t>DSCN0841</t>
  </si>
  <si>
    <t>MC0916_7</t>
  </si>
  <si>
    <t>Sitting on bare spruce twigs</t>
  </si>
  <si>
    <t>DSCN0846</t>
  </si>
  <si>
    <t>MC0916_8</t>
  </si>
  <si>
    <t>Also pair cuteness</t>
  </si>
  <si>
    <t>DSCN0853</t>
  </si>
  <si>
    <t>MC0916_9</t>
  </si>
  <si>
    <t>DSCN0859</t>
  </si>
  <si>
    <t>BU0917_1</t>
  </si>
  <si>
    <t>DSCN0861</t>
  </si>
  <si>
    <t>Good shot of bird handling food</t>
  </si>
  <si>
    <t>DSCN0862</t>
  </si>
  <si>
    <t>BU0917_3</t>
  </si>
  <si>
    <t>DSCN0864</t>
  </si>
  <si>
    <t>DSCN0866</t>
  </si>
  <si>
    <t>AQ0917_1</t>
  </si>
  <si>
    <t>Air Quality</t>
  </si>
  <si>
    <t>DSCN0870</t>
  </si>
  <si>
    <t>RC0917_1</t>
  </si>
  <si>
    <t>DSCN0871</t>
  </si>
  <si>
    <t>RC0917_2</t>
  </si>
  <si>
    <t>Exterior spruce bare branches under bark</t>
  </si>
  <si>
    <t>DSCN0872</t>
  </si>
  <si>
    <t>CC0917_1</t>
  </si>
  <si>
    <t>Flew directly to area to retrieve food.</t>
  </si>
  <si>
    <t>DSCN0877</t>
  </si>
  <si>
    <t>CC0917_2</t>
  </si>
  <si>
    <t>Unclear from video…too obstructed</t>
  </si>
  <si>
    <t>DSCN0878</t>
  </si>
  <si>
    <t>CC0917_3</t>
  </si>
  <si>
    <t>DSCN0880</t>
  </si>
  <si>
    <t>CC0917_4</t>
  </si>
  <si>
    <t>DSCN0882</t>
  </si>
  <si>
    <t>CC0917_5</t>
  </si>
  <si>
    <t>first bird-Caching, second bird-foraging</t>
  </si>
  <si>
    <t>CC0917_6</t>
  </si>
  <si>
    <t>DSCN0834</t>
  </si>
  <si>
    <t>CC0917_7</t>
  </si>
  <si>
    <t>DSCN0888</t>
  </si>
  <si>
    <t>CC0917_8</t>
  </si>
  <si>
    <t>DSCN0895</t>
  </si>
  <si>
    <t>DSCN0292</t>
  </si>
  <si>
    <t>DSCN0056</t>
  </si>
  <si>
    <t>M2370918_1</t>
  </si>
  <si>
    <t>Aspen trunk under bark</t>
  </si>
  <si>
    <t>Observed by DL</t>
  </si>
  <si>
    <t>DSCN0901</t>
  </si>
  <si>
    <t>M2370918_2</t>
  </si>
  <si>
    <t xml:space="preserve">Strongly suspected by not 100% confident cache </t>
  </si>
  <si>
    <t>DSCN0902</t>
  </si>
  <si>
    <t>M2370918_3</t>
  </si>
  <si>
    <t>DSCN0929</t>
  </si>
  <si>
    <t>M4R0919_1</t>
  </si>
  <si>
    <t>DSCN0932</t>
  </si>
  <si>
    <t>M4R0919_2</t>
  </si>
  <si>
    <t>DSCN0934</t>
  </si>
  <si>
    <t>M4R0919_3</t>
  </si>
  <si>
    <t xml:space="preserve">Flew to ground and got it immediately </t>
  </si>
  <si>
    <t xml:space="preserve">Observed by KS, TG,  but not captured on video </t>
  </si>
  <si>
    <t>WAC West</t>
  </si>
  <si>
    <t>WW0828_1</t>
  </si>
  <si>
    <t>WW0828_10</t>
  </si>
  <si>
    <t>WW0828_11</t>
  </si>
  <si>
    <t>WW0828_12</t>
  </si>
  <si>
    <t>WW0828_13</t>
  </si>
  <si>
    <t>WW0828_2</t>
  </si>
  <si>
    <t>WW0828_3</t>
  </si>
  <si>
    <t>WW0828_4</t>
  </si>
  <si>
    <t>WW0828_5</t>
  </si>
  <si>
    <t>WW0828_6</t>
  </si>
  <si>
    <t>WW0828_7</t>
  </si>
  <si>
    <t>WW0828_8</t>
  </si>
  <si>
    <t>WW0828_9</t>
  </si>
  <si>
    <t>WW0830_1</t>
  </si>
  <si>
    <t>WW0830_2</t>
  </si>
  <si>
    <t>WW0830_3</t>
  </si>
  <si>
    <t>WW0830_4</t>
  </si>
  <si>
    <t>WW0830_5</t>
  </si>
  <si>
    <t>WW0830_6</t>
  </si>
  <si>
    <t>WW0830_7</t>
  </si>
  <si>
    <t>WW0903_1</t>
  </si>
  <si>
    <t>WW0903_2</t>
  </si>
  <si>
    <t>WW0903_3</t>
  </si>
  <si>
    <t>WW0903_4</t>
  </si>
  <si>
    <t>WW0903_5</t>
  </si>
  <si>
    <t>WW0903_6</t>
  </si>
  <si>
    <t>WW0903_7</t>
  </si>
  <si>
    <t>WW0908_1</t>
  </si>
  <si>
    <t>WW0908_2</t>
  </si>
  <si>
    <t>WW0908_3</t>
  </si>
  <si>
    <t>WW0908_4</t>
  </si>
  <si>
    <t>WW0908_5</t>
  </si>
  <si>
    <t>WW0909_1</t>
  </si>
  <si>
    <t>WW0909_2</t>
  </si>
  <si>
    <t>WW0909_3</t>
  </si>
  <si>
    <t>WW0909_4</t>
  </si>
  <si>
    <t>WW0909_5</t>
  </si>
  <si>
    <t>WW0909_6</t>
  </si>
  <si>
    <t>WW0909_7</t>
  </si>
  <si>
    <t>WW0909_8</t>
  </si>
  <si>
    <t>WW0915_1</t>
  </si>
  <si>
    <t>WW0915_2</t>
  </si>
  <si>
    <t>WW0915_3</t>
  </si>
  <si>
    <t>WW0915_4</t>
  </si>
  <si>
    <t>MC0906_4</t>
  </si>
  <si>
    <t>Same as WW0909_6  (63.73912, 148.90092)</t>
  </si>
  <si>
    <t>M2370907_9</t>
  </si>
  <si>
    <t>DSCN0949</t>
  </si>
  <si>
    <t>DSCN0952</t>
  </si>
  <si>
    <t>Overcast, light rain</t>
  </si>
  <si>
    <t>DSCN0954</t>
  </si>
  <si>
    <t xml:space="preserve">Spruce, once on trunk under bark and one in exterior foliage. </t>
  </si>
  <si>
    <t>Witnessed by DL</t>
  </si>
  <si>
    <t>DSCN0960</t>
  </si>
  <si>
    <t xml:space="preserve">Finished preening and plucked it from branch. </t>
  </si>
  <si>
    <t>DSCN0961</t>
  </si>
  <si>
    <t>DSN0966</t>
  </si>
  <si>
    <t>DSCN0967</t>
  </si>
  <si>
    <t>BU0920_7</t>
  </si>
  <si>
    <t>BU0920_6</t>
  </si>
  <si>
    <t>Very close to previous cache tree</t>
  </si>
  <si>
    <t>DSCN0970</t>
  </si>
  <si>
    <t>BU0920_8</t>
  </si>
  <si>
    <t>DSCN0972</t>
  </si>
  <si>
    <t>DSCN0974</t>
  </si>
  <si>
    <t>DSCN0981</t>
  </si>
  <si>
    <t>M2370921_1</t>
  </si>
  <si>
    <t>DSCN0982</t>
  </si>
  <si>
    <t>M2370921_2</t>
  </si>
  <si>
    <t>Interior top of foilated spruce</t>
  </si>
  <si>
    <t>DSCN0986</t>
  </si>
  <si>
    <t>TC0921_1</t>
  </si>
  <si>
    <t>Spruce branch under bark</t>
  </si>
  <si>
    <t>DSCN0989</t>
  </si>
  <si>
    <t>TC0921_2</t>
  </si>
  <si>
    <t>DSCN0990</t>
  </si>
  <si>
    <t>TC0921_3</t>
  </si>
  <si>
    <t>Distance from food acqusition site to cache site (m)</t>
  </si>
  <si>
    <t xml:space="preserve">Cached food from previous video. </t>
  </si>
  <si>
    <t>DSCN0997</t>
  </si>
  <si>
    <t>MC0921_1</t>
  </si>
  <si>
    <t>Seemed to get it from tree, but unconfirmed</t>
  </si>
  <si>
    <t>DSCN0998</t>
  </si>
  <si>
    <t>MC0921_2</t>
  </si>
  <si>
    <t>Spruce, Aspen</t>
  </si>
  <si>
    <t>DSCN1004</t>
  </si>
  <si>
    <t>M4R0924_1</t>
  </si>
  <si>
    <t>DSCN1014</t>
  </si>
  <si>
    <t>AQ0924_1</t>
  </si>
  <si>
    <t>PG/PS</t>
  </si>
  <si>
    <t>DSCN1015</t>
  </si>
  <si>
    <t>AQ0924_2</t>
  </si>
  <si>
    <t>PL/PS</t>
  </si>
  <si>
    <t>DSCN1018</t>
  </si>
  <si>
    <t>AQ0924_3</t>
  </si>
  <si>
    <t>DSCN1024</t>
  </si>
  <si>
    <t>HS0924_1</t>
  </si>
  <si>
    <t>YO/OS</t>
  </si>
  <si>
    <t>DSCN1025</t>
  </si>
  <si>
    <t xml:space="preserve">Top, interior part of foliated spruce on trunk </t>
  </si>
  <si>
    <t xml:space="preserve">Unconfirmed but suspected cache.  Bird was observed obtaining food in the previous video,  </t>
  </si>
  <si>
    <t>DSCN1026</t>
  </si>
  <si>
    <t>HS0924_2</t>
  </si>
  <si>
    <t>WW0924_1</t>
  </si>
  <si>
    <t>Interior spruce under bark</t>
  </si>
  <si>
    <t>5m</t>
  </si>
  <si>
    <t>Witnessed foraging/caching event outside of work.  Noted tree and returned later to record GPS</t>
  </si>
  <si>
    <t>DSCN1080</t>
  </si>
  <si>
    <t>MC0925_1</t>
  </si>
  <si>
    <t xml:space="preserve">Could have been retrieving a cache </t>
  </si>
  <si>
    <t>MC0925_2</t>
  </si>
  <si>
    <t>DSCN1084</t>
  </si>
  <si>
    <t>MC0925_3</t>
  </si>
  <si>
    <t>Exterior dense foliage of spruce</t>
  </si>
  <si>
    <t>DSCN1085</t>
  </si>
  <si>
    <t>MC0925_4</t>
  </si>
  <si>
    <t>MC0925_5</t>
  </si>
  <si>
    <t xml:space="preserve">Handling same bit of guts as in previors video.  </t>
  </si>
  <si>
    <t>Cached food from previous video.  Did not get in on camera but observed IRL</t>
  </si>
  <si>
    <t>DSCN1088</t>
  </si>
  <si>
    <t>MC0925_6</t>
  </si>
  <si>
    <t>New trip to hare</t>
  </si>
  <si>
    <t>DSCN1089</t>
  </si>
  <si>
    <t>MC0925_7</t>
  </si>
  <si>
    <t>Interior spruce foliage, 7m off ground</t>
  </si>
  <si>
    <t>DSCN1091</t>
  </si>
  <si>
    <t>MC0925_8</t>
  </si>
  <si>
    <t xml:space="preserve">Video does not show cache.  I had seen the female in another spruce eating the food, but could not get video on her in time.  Then she flew the featured tree and put the food there.  When I saw her fly with it it looked like human food given the color/size and shape.  </t>
  </si>
  <si>
    <t>DSCN1098</t>
  </si>
  <si>
    <t>AQ0926_1</t>
  </si>
  <si>
    <t>DSCN1099</t>
  </si>
  <si>
    <t>AQ0926_2</t>
  </si>
  <si>
    <t xml:space="preserve">Eating something while on a spruce branch. </t>
  </si>
  <si>
    <t>DSCN1100</t>
  </si>
  <si>
    <t>AQ0926_3</t>
  </si>
  <si>
    <t xml:space="preserve">On spruce trunk enclosed by semi-dense foliage.  </t>
  </si>
  <si>
    <t>DSCN1101</t>
  </si>
  <si>
    <t>AQ0926_4</t>
  </si>
  <si>
    <t xml:space="preserve">interior spruce foliage </t>
  </si>
  <si>
    <t>DSCN1102</t>
  </si>
  <si>
    <t>AQ0926_5</t>
  </si>
  <si>
    <t>AQ0926_6</t>
  </si>
  <si>
    <t>DSCN1112</t>
  </si>
  <si>
    <t>CC0926_1</t>
  </si>
  <si>
    <t>DSCN1116</t>
  </si>
  <si>
    <t>CC0926_2</t>
  </si>
  <si>
    <t xml:space="preserve">No idea what food is! </t>
  </si>
  <si>
    <t>DSCN1118</t>
  </si>
  <si>
    <t>CC0926_3</t>
  </si>
  <si>
    <t>DSCN1121</t>
  </si>
  <si>
    <t>CC0926_4</t>
  </si>
  <si>
    <t xml:space="preserve">Aspen trunk. </t>
  </si>
  <si>
    <t xml:space="preserve">Checked and could see cache! Later put camera on cache tree. </t>
  </si>
  <si>
    <t>DSCN1128</t>
  </si>
  <si>
    <t>DSCN1129</t>
  </si>
  <si>
    <t>AQ0926_7</t>
  </si>
  <si>
    <t>DSCN1131</t>
  </si>
  <si>
    <t>AQ0926_8</t>
  </si>
  <si>
    <t>interior spruce, maybe on trunk</t>
  </si>
  <si>
    <t>DSCN1133</t>
  </si>
  <si>
    <t>AQ0926_9</t>
  </si>
  <si>
    <t xml:space="preserve">Interior spruce bare branches/witches broom </t>
  </si>
  <si>
    <t>DSCN1134</t>
  </si>
  <si>
    <t>AQ0926_10</t>
  </si>
  <si>
    <t>All the same food item as in previous video</t>
  </si>
  <si>
    <t>DSCN1140</t>
  </si>
  <si>
    <t>WW0926_1</t>
  </si>
  <si>
    <t>DSCN1146</t>
  </si>
  <si>
    <t>WW0926_2</t>
  </si>
  <si>
    <t>DSCN1148</t>
  </si>
  <si>
    <t>WW0926_3</t>
  </si>
  <si>
    <t>Exterior spruce branch on bare branch and lichen</t>
  </si>
  <si>
    <t xml:space="preserve">I went an inspected tree and could see cached bluberry on branch.  Later, after we lost the bird, I could not find it though! </t>
  </si>
  <si>
    <t>DSCN1150</t>
  </si>
  <si>
    <t>WW0926_4</t>
  </si>
  <si>
    <t>DSCN1153</t>
  </si>
  <si>
    <t>WW0926_5</t>
  </si>
  <si>
    <t>Insect (worm or caterpillar)</t>
  </si>
  <si>
    <t xml:space="preserve">Interior spruce, middle of branch under bark </t>
  </si>
  <si>
    <t xml:space="preserve">about 5m </t>
  </si>
  <si>
    <t>DSCN1155</t>
  </si>
  <si>
    <t>WW0926_6</t>
  </si>
  <si>
    <t>Great cache video, especially at 0:43</t>
  </si>
  <si>
    <t>DSCN1158</t>
  </si>
  <si>
    <t>WW0926_9</t>
  </si>
  <si>
    <t>WW0926_7</t>
  </si>
  <si>
    <t>Suspected but unconfirmed cache</t>
  </si>
  <si>
    <t>DSCN1162</t>
  </si>
  <si>
    <t>WW0926_8</t>
  </si>
  <si>
    <t>DSCN1163</t>
  </si>
  <si>
    <t>DSCN1164</t>
  </si>
  <si>
    <t>WW0926_10</t>
  </si>
  <si>
    <t>Exterior aspen branch under bark</t>
  </si>
  <si>
    <t>Same food as in previous video</t>
  </si>
  <si>
    <t>DSCN1167</t>
  </si>
  <si>
    <t>WW0926_11</t>
  </si>
  <si>
    <t>Exterior spruce branch under bark/lichen</t>
  </si>
  <si>
    <t xml:space="preserve">Video picks up right after it cached. </t>
  </si>
  <si>
    <t>DSCN1173</t>
  </si>
  <si>
    <t>M4R0927_1</t>
  </si>
  <si>
    <t>Exterior spruce foliage</t>
  </si>
  <si>
    <t xml:space="preserve">Instantly picks food from branch </t>
  </si>
  <si>
    <t>DSCN1174</t>
  </si>
  <si>
    <t>M4R0927_2</t>
  </si>
  <si>
    <t>Lichen?</t>
  </si>
  <si>
    <t>DSCN1176</t>
  </si>
  <si>
    <t>M4R0927_3</t>
  </si>
  <si>
    <t>searching/Probing</t>
  </si>
  <si>
    <t>DSCN1177</t>
  </si>
  <si>
    <t>M4R0917_4</t>
  </si>
  <si>
    <t>DSCN1179</t>
  </si>
  <si>
    <t>M4R0927_5</t>
  </si>
  <si>
    <t>DSCN1182</t>
  </si>
  <si>
    <t>M4R0927_6</t>
  </si>
  <si>
    <t>DSCN1183</t>
  </si>
  <si>
    <t>M4R0927_7</t>
  </si>
  <si>
    <t>Bare aspen branch under bark</t>
  </si>
  <si>
    <t xml:space="preserve">Same food as in previous video.  </t>
  </si>
  <si>
    <t>DSCN1199</t>
  </si>
  <si>
    <t>M2370927_1</t>
  </si>
  <si>
    <t>DSCN1200</t>
  </si>
  <si>
    <t>M2370927_2</t>
  </si>
  <si>
    <t>Interior bare spruce branch under bark</t>
  </si>
  <si>
    <t>Same food as in previous video.</t>
  </si>
  <si>
    <t>DSCN1203</t>
  </si>
  <si>
    <t>M2370927_3</t>
  </si>
  <si>
    <t xml:space="preserve">Didn't catch either on video, narration only. </t>
  </si>
  <si>
    <t xml:space="preserve">Didn't catch either on video, but KS witnessed both.  We were able to visually confirm cache, though we couldn't figure out what it was! </t>
  </si>
  <si>
    <t>DSCN1210</t>
  </si>
  <si>
    <t>M2370927_4</t>
  </si>
  <si>
    <t>DSCN1212</t>
  </si>
  <si>
    <t>M2370927_5</t>
  </si>
  <si>
    <t xml:space="preserve">Suspected but unconfirmed cache </t>
  </si>
  <si>
    <t>DSCN1214</t>
  </si>
  <si>
    <t>One consecutive caching event with same food item.  Item was in the tree it cached in multiple times.</t>
  </si>
  <si>
    <t xml:space="preserve">Item from previous video was moved to focal tree in this video. </t>
  </si>
  <si>
    <t>Spruce, aspen, aspen, spruce</t>
  </si>
  <si>
    <t xml:space="preserve">1:25+0:33+0:38 FOOD HANDLING. At one point breaks piece of bark off and shoves it under other bark like a cache. The last cache tree recorded is suspected but unconfirmed. </t>
  </si>
  <si>
    <t>DSCN1234</t>
  </si>
  <si>
    <t>DSCN1241</t>
  </si>
  <si>
    <t>CC0928_2</t>
  </si>
  <si>
    <t xml:space="preserve">Within 15m </t>
  </si>
  <si>
    <t>DSCN1243</t>
  </si>
  <si>
    <t>CC0928_3</t>
  </si>
  <si>
    <t>CC0928_1</t>
  </si>
  <si>
    <t>Witche's broom.</t>
  </si>
  <si>
    <t xml:space="preserve">Food appears stored in witch's broom.  Maked two trips to retrieve food from the area. </t>
  </si>
  <si>
    <t>DSCN1244</t>
  </si>
  <si>
    <t>CC0928_4</t>
  </si>
  <si>
    <t>DSCN1245</t>
  </si>
  <si>
    <t>CC0928_5</t>
  </si>
  <si>
    <t>Food it placed in spruce tree</t>
  </si>
  <si>
    <t>Double cache tree!</t>
  </si>
  <si>
    <t>DSCN1251</t>
  </si>
  <si>
    <t xml:space="preserve">No lavendar band as indicated in video. </t>
  </si>
  <si>
    <t>DSCN1257</t>
  </si>
  <si>
    <t>M2371004_1</t>
  </si>
  <si>
    <t xml:space="preserve">Video start after bird finished foraging. </t>
  </si>
  <si>
    <t>DSCN1262</t>
  </si>
  <si>
    <t>AQ1004_1</t>
  </si>
  <si>
    <t>O-/BS</t>
  </si>
  <si>
    <t>DSCN1263</t>
  </si>
  <si>
    <t>M4R1005_1</t>
  </si>
  <si>
    <t>DSCN1276</t>
  </si>
  <si>
    <t>M4R1005_2</t>
  </si>
  <si>
    <t>DSCN1277</t>
  </si>
  <si>
    <t>M4R1005_3</t>
  </si>
  <si>
    <t>DSCN1329</t>
  </si>
  <si>
    <t>M4R1005_4</t>
  </si>
  <si>
    <t>at least 1, possibly 2 (same tree)</t>
  </si>
  <si>
    <t>DSCN1335</t>
  </si>
  <si>
    <t>M4R1005_5</t>
  </si>
  <si>
    <t xml:space="preserve">Did not observe cache with camera, but KS reasonably confident she saw it with naked eye. </t>
  </si>
  <si>
    <t>DSCN1337</t>
  </si>
  <si>
    <t>M4R1005_6</t>
  </si>
  <si>
    <t>DSCN1339</t>
  </si>
  <si>
    <t>ww1005_1</t>
  </si>
  <si>
    <t>DSCN1340</t>
  </si>
  <si>
    <t>WW1005_2</t>
  </si>
  <si>
    <t>DSCN1343</t>
  </si>
  <si>
    <t>WW1005_3</t>
  </si>
  <si>
    <t>Foraging/cache retrieval</t>
  </si>
  <si>
    <t xml:space="preserve">Counted as cache retrieval due to location of food (exterior spruce foliage) and speed at which bird got it. </t>
  </si>
  <si>
    <t>DSCN1344</t>
  </si>
  <si>
    <t>WW1005_4</t>
  </si>
  <si>
    <t>DSCN1345</t>
  </si>
  <si>
    <t>WW1005_5</t>
  </si>
  <si>
    <t>Both suspected but unconfirmed cahces</t>
  </si>
  <si>
    <t>DSCN1346</t>
  </si>
  <si>
    <t>WW1005_6</t>
  </si>
  <si>
    <t>Confirmed naked eye cache by KS</t>
  </si>
  <si>
    <t>DSCN1348</t>
  </si>
  <si>
    <t>WW1005_7</t>
  </si>
  <si>
    <t>DSCN1350</t>
  </si>
  <si>
    <t>DSCN1351</t>
  </si>
  <si>
    <t>DSCN1352</t>
  </si>
  <si>
    <t>unknown, looked like a previsouly cached bolus</t>
  </si>
  <si>
    <t xml:space="preserve">Went straight for food site.  </t>
  </si>
  <si>
    <t>DSCN1353</t>
  </si>
  <si>
    <t>Not recorded on camera</t>
  </si>
  <si>
    <t>DSCN1354</t>
  </si>
  <si>
    <t>Manipulating orange berry from previous video</t>
  </si>
  <si>
    <t>DSCN1355</t>
  </si>
  <si>
    <t>BU1006_6</t>
  </si>
  <si>
    <t>unknown, but could have included orange berry from before</t>
  </si>
  <si>
    <t>DSCN1360</t>
  </si>
  <si>
    <t>BU1006_7</t>
  </si>
  <si>
    <t xml:space="preserve">Excellent cache video.  </t>
  </si>
  <si>
    <t>DSCN1361</t>
  </si>
  <si>
    <t>BU1006_8</t>
  </si>
  <si>
    <t>DSCN1362</t>
  </si>
  <si>
    <t>BU1006_9</t>
  </si>
  <si>
    <t>Caches not recorded on video</t>
  </si>
  <si>
    <t>DSCN1369</t>
  </si>
  <si>
    <t>AQ1007_1</t>
  </si>
  <si>
    <t xml:space="preserve">Not captured on video.  </t>
  </si>
  <si>
    <t>DSCN1371</t>
  </si>
  <si>
    <t>AQ1007_2</t>
  </si>
  <si>
    <t>DSCN1373</t>
  </si>
  <si>
    <t>AQ1007_3</t>
  </si>
  <si>
    <t>Spruce branch near lichen</t>
  </si>
  <si>
    <t>DSCN1386</t>
  </si>
  <si>
    <t>AQ1007_4</t>
  </si>
  <si>
    <t>DSCN1389</t>
  </si>
  <si>
    <t>AQ1007_5</t>
  </si>
  <si>
    <t>Two birds in this video.  The first (O/BS) is the one foraging in the tree.  We did not document any food acquisitions or caches for that birds.  The rest of the data is based on the second bird (PG/PS)</t>
  </si>
  <si>
    <t>DSCN1394</t>
  </si>
  <si>
    <t>M2371007_1</t>
  </si>
  <si>
    <t xml:space="preserve">Seen by DL. Not captured on video. </t>
  </si>
  <si>
    <t>DSCN1398</t>
  </si>
  <si>
    <t>M4R1008_1</t>
  </si>
  <si>
    <t>DSCN1399</t>
  </si>
  <si>
    <t>Partly cloudy, light snow</t>
  </si>
  <si>
    <t xml:space="preserve">Video started right after acquisition </t>
  </si>
  <si>
    <t>DSCN1402</t>
  </si>
  <si>
    <t>M4R1008_3</t>
  </si>
  <si>
    <t>M4R1008_2</t>
  </si>
  <si>
    <t>Cache recovery/Caching</t>
  </si>
  <si>
    <t xml:space="preserve">Pulled food out of one tree and then went the the next tree over and appeared to recache it.  But that cache is unconfirmed.  </t>
  </si>
  <si>
    <t>DSCN1410</t>
  </si>
  <si>
    <t>M4R1008_4</t>
  </si>
  <si>
    <t>DSCN1413</t>
  </si>
  <si>
    <t>M4R1008_5</t>
  </si>
  <si>
    <t>DSCN1414</t>
  </si>
  <si>
    <t>M4R1008_6</t>
  </si>
  <si>
    <t xml:space="preserve">No video of event.  Observed by DL.  </t>
  </si>
  <si>
    <t>DSCN1428</t>
  </si>
  <si>
    <t xml:space="preserve">First cache is obviouos from video, second is more of a guess, but seems likely based on the behavior.  </t>
  </si>
  <si>
    <t>DSCN1430</t>
  </si>
  <si>
    <t>M4E1008_1</t>
  </si>
  <si>
    <t>M4E1008_2</t>
  </si>
  <si>
    <t>DSCN1431</t>
  </si>
  <si>
    <t>M4E1008_3</t>
  </si>
  <si>
    <t xml:space="preserve">Same tree as second cache tree in previous video.  Seemed like it returned to cache more, but this was unconfirmed by the video.  </t>
  </si>
  <si>
    <t>DSCN1432</t>
  </si>
  <si>
    <t>RC1008_1</t>
  </si>
  <si>
    <t xml:space="preserve">Cache not recorded on video.  Second cache found by accident in same tree.  Large piece of mushroom (based on texture and smell).  KS notcied it sticking out from under a piece of bark on the trunk.  You could see the cystalized saliva.  KS collected.  We also returned later to put a camera on this cache tree. </t>
  </si>
  <si>
    <t>DSCN1433</t>
  </si>
  <si>
    <t>RC1008_2</t>
  </si>
  <si>
    <t>DSCN1435</t>
  </si>
  <si>
    <t>RC1008_3</t>
  </si>
  <si>
    <t>Willow</t>
  </si>
  <si>
    <t xml:space="preserve">Foraging not caught on tape. </t>
  </si>
  <si>
    <t>DSCN1438</t>
  </si>
  <si>
    <t>RC1008_4</t>
  </si>
  <si>
    <t>DSCN1439</t>
  </si>
  <si>
    <t>RC1008_5</t>
  </si>
  <si>
    <t>DSCN1441</t>
  </si>
  <si>
    <t>RC1008_6</t>
  </si>
  <si>
    <t>DSCN1442</t>
  </si>
  <si>
    <t>RC1008_7</t>
  </si>
  <si>
    <t xml:space="preserve">cache from previous video. </t>
  </si>
  <si>
    <t>DSCN1443</t>
  </si>
  <si>
    <t>RC1008_8</t>
  </si>
  <si>
    <t>DSCN1445</t>
  </si>
  <si>
    <t>RC1008_9</t>
  </si>
  <si>
    <t>DSCN1446</t>
  </si>
  <si>
    <t>RC1008_10</t>
  </si>
  <si>
    <t>DSCN1447</t>
  </si>
  <si>
    <t>RC1008_11</t>
  </si>
  <si>
    <t>LB/RS</t>
  </si>
  <si>
    <t>Foraging not caught on tape</t>
  </si>
  <si>
    <t>Dead shrub, maybe an alder</t>
  </si>
  <si>
    <t>DSCN1448</t>
  </si>
  <si>
    <t>RC1008_12</t>
  </si>
  <si>
    <t>DSCN1452</t>
  </si>
  <si>
    <t>RC1008_13</t>
  </si>
  <si>
    <t xml:space="preserve">Photographed and collected beetle grub.  </t>
  </si>
  <si>
    <t>DSCN1458</t>
  </si>
  <si>
    <t>RC1009_1</t>
  </si>
  <si>
    <t xml:space="preserve">Could have either been caching or foraging.  Provided data for either possibility </t>
  </si>
  <si>
    <t>DSCN1465</t>
  </si>
  <si>
    <t>RC1009_2</t>
  </si>
  <si>
    <t>RC1009_3</t>
  </si>
  <si>
    <t>DSCN1471</t>
  </si>
  <si>
    <t xml:space="preserve">Not captured on film.  Observed by DL. </t>
  </si>
  <si>
    <t>DSCN1473</t>
  </si>
  <si>
    <t>RC1009_4</t>
  </si>
  <si>
    <t>Witch broom in exterior spruce</t>
  </si>
  <si>
    <t>DSCN1474</t>
  </si>
  <si>
    <t>RC1009_5</t>
  </si>
  <si>
    <t xml:space="preserve">Possible second cache from tree in previous video.  </t>
  </si>
  <si>
    <t xml:space="preserve">Observed by KS.  But she can't remember any details about the cache :( </t>
  </si>
  <si>
    <t>DSCN1484</t>
  </si>
  <si>
    <t>RC1009_6</t>
  </si>
  <si>
    <t>DSCN1485</t>
  </si>
  <si>
    <t>RC1009_7</t>
  </si>
  <si>
    <t>DSCN1487</t>
  </si>
  <si>
    <t>RC1009_8</t>
  </si>
  <si>
    <t>DSCN1488</t>
  </si>
  <si>
    <t>RC1009_9</t>
  </si>
  <si>
    <t>DSCN1489</t>
  </si>
  <si>
    <t>RC1009_10</t>
  </si>
  <si>
    <t>DSCN1490</t>
  </si>
  <si>
    <t>RC1009_11</t>
  </si>
  <si>
    <t>DSCN1491</t>
  </si>
  <si>
    <t>RC1009_12</t>
  </si>
  <si>
    <t>DSCN1492</t>
  </si>
  <si>
    <t>RC1009_13</t>
  </si>
  <si>
    <t>Exterior bare branch in witch hair</t>
  </si>
  <si>
    <t>DSCN1493</t>
  </si>
  <si>
    <t>RC1009_14</t>
  </si>
  <si>
    <t>Exterior bare branch under bark</t>
  </si>
  <si>
    <t>DSCN1498</t>
  </si>
  <si>
    <t>HS1009_1</t>
  </si>
  <si>
    <t xml:space="preserve">Descriptive video only. </t>
  </si>
  <si>
    <t>OB/?S</t>
  </si>
  <si>
    <t>Interior spruce branches/witch hair moss</t>
  </si>
  <si>
    <t>Exterior spruce branches/witch hair moss</t>
  </si>
  <si>
    <t xml:space="preserve">Interior spruce foliage, 20M </t>
  </si>
  <si>
    <t xml:space="preserve">Under bark of spruce trunk </t>
  </si>
  <si>
    <t xml:space="preserve">recovered large (almond sized) object from spruce needles.  Possibly previous cache? </t>
  </si>
  <si>
    <t>Cached blueberry.  Then went to feed from hare.16 at hare leg</t>
  </si>
  <si>
    <t>Food brought to branches of spruce by bird during watch</t>
  </si>
  <si>
    <t xml:space="preserve">bird has just come off the Ground at video start. </t>
  </si>
  <si>
    <t xml:space="preserve">Interior spruce on trunk or foliage </t>
  </si>
  <si>
    <t xml:space="preserve">Exterior foliage of spruce sapling </t>
  </si>
  <si>
    <t>Exterior spruce foliage (tip of branch)</t>
  </si>
  <si>
    <t>Decent cache video</t>
  </si>
  <si>
    <t xml:space="preserve">The unbanded bird foraged, the banded bird cached.  </t>
  </si>
  <si>
    <t xml:space="preserve">~10 sec each for foraging.  </t>
  </si>
  <si>
    <t>Cache breakdown for multiple trees</t>
  </si>
  <si>
    <t>Long</t>
  </si>
  <si>
    <t>Mostly cloudy</t>
  </si>
  <si>
    <t>DSCN1502</t>
  </si>
  <si>
    <t>M2371011_1</t>
  </si>
  <si>
    <t>Seen holding grub</t>
  </si>
  <si>
    <t>DSCN1503</t>
  </si>
  <si>
    <t>M2371011_2</t>
  </si>
  <si>
    <t xml:space="preserve">Under bark/witch hair in dead shrub branches.  </t>
  </si>
  <si>
    <t xml:space="preserve">Cached food from previous video. Put camera on this cache site </t>
  </si>
  <si>
    <t>DSCN1206</t>
  </si>
  <si>
    <t>M2371011_3</t>
  </si>
  <si>
    <t xml:space="preserve">Was either obtaining food from branch or placing it there.  Impossible to tell. </t>
  </si>
  <si>
    <t>DSCN1520</t>
  </si>
  <si>
    <t>M2371011_4</t>
  </si>
  <si>
    <t>Under bark of aspen on trunk</t>
  </si>
  <si>
    <t xml:space="preserve">Caching event not observed.  Cache found incidentally by TG.  Jay spit evident.  </t>
  </si>
  <si>
    <t>DSCN1526</t>
  </si>
  <si>
    <t>M2371011_5</t>
  </si>
  <si>
    <t xml:space="preserve">Observed by TG.  </t>
  </si>
  <si>
    <t>DSCN1529</t>
  </si>
  <si>
    <t>RC1012_1</t>
  </si>
  <si>
    <t xml:space="preserve">Caching event not recorded on video. </t>
  </si>
  <si>
    <t>DSCN1533</t>
  </si>
  <si>
    <t>MC1012_1</t>
  </si>
  <si>
    <t>DSCN1535</t>
  </si>
  <si>
    <t>MC1012_2</t>
  </si>
  <si>
    <t>DSCN1536</t>
  </si>
  <si>
    <t>MC1012_3</t>
  </si>
  <si>
    <t>DSCN1537</t>
  </si>
  <si>
    <t>MC1012_4</t>
  </si>
  <si>
    <t>Aspen and spruce</t>
  </si>
  <si>
    <t>DSCN1540</t>
  </si>
  <si>
    <t>MC1012_5</t>
  </si>
  <si>
    <t>Foraging (Cache recovery)</t>
  </si>
  <si>
    <t>DSCN1546</t>
  </si>
  <si>
    <t>MC1012_6</t>
  </si>
  <si>
    <t>DSCN1548</t>
  </si>
  <si>
    <t>MC1012_7</t>
  </si>
  <si>
    <t>DSCN1550</t>
  </si>
  <si>
    <t>MC1012_8</t>
  </si>
  <si>
    <t>In crevice of aspen branch</t>
  </si>
  <si>
    <t>Glued to aspen branch</t>
  </si>
  <si>
    <t>Probing/pecking</t>
  </si>
  <si>
    <t>6in</t>
  </si>
  <si>
    <t>Spends about 12 extracting food from crevice of aspen branch and then glues it (caches it) on the same branch like 6 inches away??????</t>
  </si>
  <si>
    <t>DSCN1555</t>
  </si>
  <si>
    <t>RC1012_2</t>
  </si>
  <si>
    <t>MC1012_9</t>
  </si>
  <si>
    <t>DSCN1558</t>
  </si>
  <si>
    <t>DSCN1559</t>
  </si>
  <si>
    <t>RC1012_3</t>
  </si>
  <si>
    <t>Under bark of spruce trunk (about 4ft off ground)</t>
  </si>
  <si>
    <t xml:space="preserve">Was able to find and photograph cache site.  The bird had shoved the blueberry under a bark chip.  It was very snug! </t>
  </si>
  <si>
    <t>DSCN1561</t>
  </si>
  <si>
    <t>RC1012_4</t>
  </si>
  <si>
    <t>unknown-didn't record in field</t>
  </si>
  <si>
    <t>Not captured on video by observed by KS</t>
  </si>
  <si>
    <t>DSCN1562</t>
  </si>
  <si>
    <t>RC1012_5</t>
  </si>
  <si>
    <t>DSCN1563</t>
  </si>
  <si>
    <t>RC1012_6</t>
  </si>
  <si>
    <t>DSCN1564</t>
  </si>
  <si>
    <t>RC1012_7</t>
  </si>
  <si>
    <t>DSCN1565</t>
  </si>
  <si>
    <t>RC1012_8</t>
  </si>
  <si>
    <t>Berries</t>
  </si>
  <si>
    <t xml:space="preserve">Didn’t record foraging on video. </t>
  </si>
  <si>
    <t>DSCN1566</t>
  </si>
  <si>
    <t>RC1012_9</t>
  </si>
  <si>
    <t>DSCN1568</t>
  </si>
  <si>
    <t>RC1012_10</t>
  </si>
  <si>
    <t>DSCN1569</t>
  </si>
  <si>
    <t>AQ1012_1</t>
  </si>
  <si>
    <t>DSCN1574</t>
  </si>
  <si>
    <t>M4R1015_1</t>
  </si>
  <si>
    <t>DSCN1575</t>
  </si>
  <si>
    <t>M4R1015_2</t>
  </si>
  <si>
    <t>DSCN1577</t>
  </si>
  <si>
    <t>M4R1015_3</t>
  </si>
  <si>
    <t xml:space="preserve">Followed bird from hare to tree.  Observation os cache wasn't caught on video and was obstructed from view due to delay in catching up with the bird.  But given the behavior and location upon our arrival, we felt confident marking the tree. </t>
  </si>
  <si>
    <t>DSCN1578</t>
  </si>
  <si>
    <t>M4R1015_4</t>
  </si>
  <si>
    <t>DSCN1580</t>
  </si>
  <si>
    <t>M4R1015_5</t>
  </si>
  <si>
    <t>DSCN1581</t>
  </si>
  <si>
    <t>M4R1015_6</t>
  </si>
  <si>
    <t>DSCN1582</t>
  </si>
  <si>
    <t>M4R1015_7</t>
  </si>
  <si>
    <t>DSCN1583</t>
  </si>
  <si>
    <t>M4R1015_8</t>
  </si>
  <si>
    <t>DSCN1585</t>
  </si>
  <si>
    <t>M4R1015_9</t>
  </si>
  <si>
    <t>DSCN1587</t>
  </si>
  <si>
    <t>M4R1015_10</t>
  </si>
  <si>
    <t xml:space="preserve">Confirmed cache. </t>
  </si>
  <si>
    <t>DSCN1588</t>
  </si>
  <si>
    <t>M4R1015_11</t>
  </si>
  <si>
    <t>DSCN1589</t>
  </si>
  <si>
    <t>M4R1015_12</t>
  </si>
  <si>
    <t xml:space="preserve">Cache from previous video. Followed bird from hare to tree.  Observation os cache wasn't caught on video and was obstructed from view due to delay in catching up with the bird.  But given the behavior and location upon our arrival, we felt confident marking the tree. </t>
  </si>
  <si>
    <t>DSCN1591</t>
  </si>
  <si>
    <t>M4R1015_13</t>
  </si>
  <si>
    <t xml:space="preserve">Same trees. </t>
  </si>
  <si>
    <t>Exterior alder branches</t>
  </si>
  <si>
    <t xml:space="preserve">One confirmed cache, one suspected cache. </t>
  </si>
  <si>
    <t>DSCN1590</t>
  </si>
  <si>
    <t>M4R1015_14</t>
  </si>
  <si>
    <t>DSCN1592</t>
  </si>
  <si>
    <t>M4R1015_15</t>
  </si>
  <si>
    <t>DSCN1593</t>
  </si>
  <si>
    <t>M4R1015_16</t>
  </si>
  <si>
    <t>DSCN1594</t>
  </si>
  <si>
    <t>M4R1015_17</t>
  </si>
  <si>
    <t>DSCN1595</t>
  </si>
  <si>
    <t>M451015_18</t>
  </si>
  <si>
    <t>DSCN1596</t>
  </si>
  <si>
    <t>M4R1015_19</t>
  </si>
  <si>
    <t>DSCN1597</t>
  </si>
  <si>
    <t>M4R1015_20</t>
  </si>
  <si>
    <t xml:space="preserve">First cache is confirmed.  Second cache: Followed bird from hare to tree.  Observation os cache wasn't caught on video and was obstructed from view due to delay in catching up with the bird.  But given the behavior and location upon our arrival, we felt confident marking the tree. </t>
  </si>
  <si>
    <t>DSCN1598</t>
  </si>
  <si>
    <t>M4R1015_21</t>
  </si>
  <si>
    <t>DSCN1599</t>
  </si>
  <si>
    <t>M4R1015_22</t>
  </si>
  <si>
    <t>M4R1015_23</t>
  </si>
  <si>
    <t>DSCN1602</t>
  </si>
  <si>
    <t>DSCN1603</t>
  </si>
  <si>
    <t>M4R1015_24</t>
  </si>
  <si>
    <t>DSCN1604</t>
  </si>
  <si>
    <t>M4R1015_25</t>
  </si>
  <si>
    <t>DSCN1606</t>
  </si>
  <si>
    <t>M4R1015_26</t>
  </si>
  <si>
    <t>DSCN1617</t>
  </si>
  <si>
    <t>M4R1015_27</t>
  </si>
  <si>
    <t>DSCN1624</t>
  </si>
  <si>
    <t>M4R1015_28</t>
  </si>
  <si>
    <t>DSCN1632</t>
  </si>
  <si>
    <t>M4R1015_29</t>
  </si>
  <si>
    <t>DSCN1659</t>
  </si>
  <si>
    <t>M4R1015_30</t>
  </si>
  <si>
    <t>DSCN1671</t>
  </si>
  <si>
    <t>M4R1015_31</t>
  </si>
  <si>
    <t>DSCN1672</t>
  </si>
  <si>
    <t>M4R1015_32</t>
  </si>
  <si>
    <t>DSCN1673</t>
  </si>
  <si>
    <t>M4R1015_33</t>
  </si>
  <si>
    <t>DSCN1674</t>
  </si>
  <si>
    <t>M4R1015_34</t>
  </si>
  <si>
    <t>DSCN1676</t>
  </si>
  <si>
    <t>M4R1015_35</t>
  </si>
  <si>
    <t>DSCN1677</t>
  </si>
  <si>
    <t>M4R1015_36</t>
  </si>
  <si>
    <t xml:space="preserve">Same as CT1 for this day. Followed bird from hare to tree.  Observation os cache wasn't caught on video and was obstructed from view due to delay in catching up with the bird.  But given the behavior and location upon our arrival, we felt confident marking the tree. </t>
  </si>
  <si>
    <t>DSCN1684</t>
  </si>
  <si>
    <t>M4R1015_37</t>
  </si>
  <si>
    <t>DSCN1685</t>
  </si>
  <si>
    <t>M4R1015_38</t>
  </si>
  <si>
    <t>DSCN1687</t>
  </si>
  <si>
    <t>M4R1015_39</t>
  </si>
  <si>
    <t>M4R1015_40</t>
  </si>
  <si>
    <t>DSCN1688</t>
  </si>
  <si>
    <t>DSCN1690</t>
  </si>
  <si>
    <t>M4R1015_41</t>
  </si>
  <si>
    <t>DSCN1692</t>
  </si>
  <si>
    <t>M4R1015_42</t>
  </si>
  <si>
    <t>DSCN1693</t>
  </si>
  <si>
    <t>M4R1015_43</t>
  </si>
  <si>
    <t>DSCN1695</t>
  </si>
  <si>
    <t>M4R1015_44</t>
  </si>
  <si>
    <t>DSCN1696</t>
  </si>
  <si>
    <t>M4R1015_45</t>
  </si>
  <si>
    <t>DSCN1698</t>
  </si>
  <si>
    <t>M4R1015_46</t>
  </si>
  <si>
    <t>Interior bare branch wedged in bark</t>
  </si>
  <si>
    <t xml:space="preserve">Confirmed cache, could see in tree. </t>
  </si>
  <si>
    <t>DSCN1701</t>
  </si>
  <si>
    <t>M4R1015_47</t>
  </si>
  <si>
    <t>DSCN1703</t>
  </si>
  <si>
    <t>M4R1015_48</t>
  </si>
  <si>
    <t>DSCN1721</t>
  </si>
  <si>
    <t>M4R1015_49</t>
  </si>
  <si>
    <t>DSCN1722</t>
  </si>
  <si>
    <t>M4R1015_50</t>
  </si>
  <si>
    <t xml:space="preserve">Fed alongside /BS </t>
  </si>
  <si>
    <t>DSCN1723</t>
  </si>
  <si>
    <t>M4R1015_51</t>
  </si>
  <si>
    <t xml:space="preserve">Caches observed by KS.  Confident. </t>
  </si>
  <si>
    <t>DSCN1724</t>
  </si>
  <si>
    <t>M4R1015_52</t>
  </si>
  <si>
    <t>DSCN1725</t>
  </si>
  <si>
    <t>M4R1015_53</t>
  </si>
  <si>
    <t>DSCN1728</t>
  </si>
  <si>
    <t>M4R1015_54</t>
  </si>
  <si>
    <t>DSCN1729</t>
  </si>
  <si>
    <t>M4R1015_55</t>
  </si>
  <si>
    <t>DSCN1734</t>
  </si>
  <si>
    <t>M4R1015_56</t>
  </si>
  <si>
    <t xml:space="preserve">Incidental cache.  Found byt acident.  Berry in good condition but spit dry.  </t>
  </si>
  <si>
    <t>DSCN1735</t>
  </si>
  <si>
    <t>M4R1015_57</t>
  </si>
  <si>
    <t>DSCN1736</t>
  </si>
  <si>
    <t>M4R1015_58</t>
  </si>
  <si>
    <t>DSCN1738</t>
  </si>
  <si>
    <t>M4R1015_59</t>
  </si>
  <si>
    <t>DSCN1740</t>
  </si>
  <si>
    <t>M4R1015_60</t>
  </si>
  <si>
    <t>DSCN1743</t>
  </si>
  <si>
    <t>M4R1015_61</t>
  </si>
  <si>
    <t>DSCN1748</t>
  </si>
  <si>
    <t>M4R1015_62</t>
  </si>
  <si>
    <t>DSCN1750</t>
  </si>
  <si>
    <t>M4R1015_63</t>
  </si>
  <si>
    <t>DSCN1758</t>
  </si>
  <si>
    <t>M4R1015_64</t>
  </si>
  <si>
    <t>DSCN1760</t>
  </si>
  <si>
    <t>M4R1015_65</t>
  </si>
  <si>
    <t>DSCN1761</t>
  </si>
  <si>
    <t>M4R1015_66</t>
  </si>
  <si>
    <t>DSCN1776</t>
  </si>
  <si>
    <t>M4R1015_67</t>
  </si>
  <si>
    <t>DSCN1777</t>
  </si>
  <si>
    <t>M4R1015_68</t>
  </si>
  <si>
    <t xml:space="preserve">Really nice foraging video! </t>
  </si>
  <si>
    <t>DSCN1778</t>
  </si>
  <si>
    <t>M2371016_1</t>
  </si>
  <si>
    <t xml:space="preserve">Foraging on trail.  Picking things out of gravel. </t>
  </si>
  <si>
    <t>DSCN1780</t>
  </si>
  <si>
    <t>M2371016_2</t>
  </si>
  <si>
    <t>DSCN1781</t>
  </si>
  <si>
    <t>M2371016_3</t>
  </si>
  <si>
    <t>DSCN1783</t>
  </si>
  <si>
    <t>M2371016_4</t>
  </si>
  <si>
    <t>DSCN1785</t>
  </si>
  <si>
    <t>M2371016_5</t>
  </si>
  <si>
    <t>DSCN1786</t>
  </si>
  <si>
    <t>M2371016_6</t>
  </si>
  <si>
    <t>DSCN1787</t>
  </si>
  <si>
    <t>M2371016_7</t>
  </si>
  <si>
    <t>DSCN1790</t>
  </si>
  <si>
    <t>M2371016_8</t>
  </si>
  <si>
    <t>DSCN1795</t>
  </si>
  <si>
    <t>M2371016_9</t>
  </si>
  <si>
    <t>DSCN1796</t>
  </si>
  <si>
    <t>M2371016_10</t>
  </si>
  <si>
    <t>Under bark of small willos shrub</t>
  </si>
  <si>
    <t xml:space="preserve">Incidental find.  Spotted by DL while following birds.  Obvous jay spit based on location an visible dried saliva.  </t>
  </si>
  <si>
    <t>HS1016_1</t>
  </si>
  <si>
    <t>DSCN1805</t>
  </si>
  <si>
    <t>DSCN1806</t>
  </si>
  <si>
    <t>HS1016_2</t>
  </si>
  <si>
    <t>DSCN1810</t>
  </si>
  <si>
    <t>WW1016_1</t>
  </si>
  <si>
    <t>DSCN1811</t>
  </si>
  <si>
    <t>WW1016_2</t>
  </si>
  <si>
    <t>Spruce cone</t>
  </si>
  <si>
    <t>DSCN1812</t>
  </si>
  <si>
    <t>WW1016_3</t>
  </si>
  <si>
    <t xml:space="preserve">Get plucked food from tree, no foraging time.  </t>
  </si>
  <si>
    <t>DSCN1813</t>
  </si>
  <si>
    <t>HS1016_3</t>
  </si>
  <si>
    <t>DSCN1814</t>
  </si>
  <si>
    <t>HS1016_4</t>
  </si>
  <si>
    <t>DSCN1815</t>
  </si>
  <si>
    <t>HS1016_5</t>
  </si>
  <si>
    <t>DSCN1819</t>
  </si>
  <si>
    <t>HS1016_6</t>
  </si>
  <si>
    <t>DSCN1823</t>
  </si>
  <si>
    <t>WW1016_4</t>
  </si>
  <si>
    <t>WW1016_5</t>
  </si>
  <si>
    <t>DSCN1824</t>
  </si>
  <si>
    <t>DSCN1830</t>
  </si>
  <si>
    <t>DSCN1831</t>
  </si>
  <si>
    <t>BU1017_2</t>
  </si>
  <si>
    <t>DSCN1832</t>
  </si>
  <si>
    <t>BU1017_3</t>
  </si>
  <si>
    <t>DSCN1833</t>
  </si>
  <si>
    <t xml:space="preserve">Missed foraging session. </t>
  </si>
  <si>
    <t>DSCN1835</t>
  </si>
  <si>
    <t>DSCN1847</t>
  </si>
  <si>
    <t>DSCN1848</t>
  </si>
  <si>
    <t>BU1017_7</t>
  </si>
  <si>
    <t>RC1017_1</t>
  </si>
  <si>
    <t>RC1017_2</t>
  </si>
  <si>
    <t>DSCN1849</t>
  </si>
  <si>
    <t>RC1017_3</t>
  </si>
  <si>
    <t>DSCN1850</t>
  </si>
  <si>
    <t>RC1017_4</t>
  </si>
  <si>
    <t>Foraging on gravel</t>
  </si>
  <si>
    <t>DSCB1853</t>
  </si>
  <si>
    <t>RC1017_5</t>
  </si>
  <si>
    <t>DSCN1854</t>
  </si>
  <si>
    <t>RC1017_8</t>
  </si>
  <si>
    <t>unknown. Maybe cached mushroom</t>
  </si>
  <si>
    <t>DSCN1855</t>
  </si>
  <si>
    <t>RC1017_9</t>
  </si>
  <si>
    <t>DSCN1857</t>
  </si>
  <si>
    <t>RC1017_10</t>
  </si>
  <si>
    <t>DSCN1859</t>
  </si>
  <si>
    <t>RC1017_11</t>
  </si>
  <si>
    <t>RC1017_6</t>
  </si>
  <si>
    <t>RC1017_7</t>
  </si>
  <si>
    <t>DSCN1860</t>
  </si>
  <si>
    <t>DSCN1861</t>
  </si>
  <si>
    <t>DSCN1866</t>
  </si>
  <si>
    <t>DSCN1867</t>
  </si>
  <si>
    <t>DSCN1869</t>
  </si>
  <si>
    <t>DSCN1873</t>
  </si>
  <si>
    <t>AQ1017_1</t>
  </si>
  <si>
    <t>unknown (for all)</t>
  </si>
  <si>
    <t>Ground for cached item; then on bare spruce branch under bark</t>
  </si>
  <si>
    <t xml:space="preserve">Picked something up from ground (not on film) then cached, then resumed foraging in tree. </t>
  </si>
  <si>
    <t>DSCN1881</t>
  </si>
  <si>
    <t>M4R1018_1</t>
  </si>
  <si>
    <t>DSCN1883</t>
  </si>
  <si>
    <t>M4R1018_2</t>
  </si>
  <si>
    <t>DSCN1886</t>
  </si>
  <si>
    <t>M4R1018_3</t>
  </si>
  <si>
    <t>DSCN1887</t>
  </si>
  <si>
    <t>M4R1018_4</t>
  </si>
  <si>
    <t>DSCN1888</t>
  </si>
  <si>
    <t>M4R1018_5</t>
  </si>
  <si>
    <t>DSCN1983</t>
  </si>
  <si>
    <t>AQ1018_1</t>
  </si>
  <si>
    <t xml:space="preserve">Incidental cache find.  Discovered while looking for a different cache.  Two blueberries shoved in needles of spruce.  Sticky saliva evident, they were glued in place! </t>
  </si>
  <si>
    <t>DSCN1895</t>
  </si>
  <si>
    <t>MC1019_1</t>
  </si>
  <si>
    <t>Tip of spruce foliage at top of tree</t>
  </si>
  <si>
    <t>Maybe a berry?</t>
  </si>
  <si>
    <t>DSCN1897</t>
  </si>
  <si>
    <t>MC1019_2</t>
  </si>
  <si>
    <t>DSCN1898</t>
  </si>
  <si>
    <t>MC1019_3</t>
  </si>
  <si>
    <t>DSCN1902</t>
  </si>
  <si>
    <t>MC1019_4</t>
  </si>
  <si>
    <t>DSCN1903</t>
  </si>
  <si>
    <t>MC1019_5</t>
  </si>
  <si>
    <t>DSCN1904</t>
  </si>
  <si>
    <t>MC1019_6</t>
  </si>
  <si>
    <t xml:space="preserve">Picinic table </t>
  </si>
  <si>
    <t>DSCN1907</t>
  </si>
  <si>
    <t>MC1019_7</t>
  </si>
  <si>
    <t>Human food</t>
  </si>
  <si>
    <t>Picinic table</t>
  </si>
  <si>
    <t>Campt stove and picinic table</t>
  </si>
  <si>
    <t>DSCN1913</t>
  </si>
  <si>
    <t>MC1019_8</t>
  </si>
  <si>
    <t>DSCN1918</t>
  </si>
  <si>
    <t>MC1019_9</t>
  </si>
  <si>
    <t>Curled up aspen leaf</t>
  </si>
  <si>
    <t>Food handling/Foraging</t>
  </si>
  <si>
    <t>DSCN1919</t>
  </si>
  <si>
    <t>MC1019_10</t>
  </si>
  <si>
    <t>DSCN1920</t>
  </si>
  <si>
    <t>MC1019_11</t>
  </si>
  <si>
    <t>Under aspen bark</t>
  </si>
  <si>
    <t>DSCN1922</t>
  </si>
  <si>
    <t>MC1019_12</t>
  </si>
  <si>
    <t>DSCN1925</t>
  </si>
  <si>
    <t>MC1019_13</t>
  </si>
  <si>
    <t>DSCN1926</t>
  </si>
  <si>
    <t>MC1019_14</t>
  </si>
  <si>
    <t>DSCN1928</t>
  </si>
  <si>
    <t>MC1019_15</t>
  </si>
  <si>
    <t>DSCN1930</t>
  </si>
  <si>
    <t>MC1019_16</t>
  </si>
  <si>
    <t xml:space="preserve">Starting filimg after it pcked it up </t>
  </si>
  <si>
    <t>DSCN1931</t>
  </si>
  <si>
    <t>MC1019_17</t>
  </si>
  <si>
    <t>DSCN1932</t>
  </si>
  <si>
    <t>MC1019_18</t>
  </si>
  <si>
    <t xml:space="preserve">Was wither foraging or caching.  Provided foraging time just in case. </t>
  </si>
  <si>
    <t>DSCN1934</t>
  </si>
  <si>
    <t>MC1019_19</t>
  </si>
  <si>
    <t>In mistletoe and witch hair</t>
  </si>
  <si>
    <t>DSCN1936</t>
  </si>
  <si>
    <t>MC1019_20</t>
  </si>
  <si>
    <t>DSCN1937</t>
  </si>
  <si>
    <t>MC1019_21</t>
  </si>
  <si>
    <t>DSCN1938</t>
  </si>
  <si>
    <t>MC1019_22</t>
  </si>
  <si>
    <t>DSCN1939</t>
  </si>
  <si>
    <t>MC1019_23</t>
  </si>
  <si>
    <t>DSCN1941</t>
  </si>
  <si>
    <t>MC1019_24</t>
  </si>
  <si>
    <t>DSCN1942</t>
  </si>
  <si>
    <t>MC1019_25</t>
  </si>
  <si>
    <t>DSCN1944</t>
  </si>
  <si>
    <t>MC1019_26</t>
  </si>
  <si>
    <t>DSCN1950</t>
  </si>
  <si>
    <t>MC1019_27</t>
  </si>
  <si>
    <t>DSCN1954</t>
  </si>
  <si>
    <t>MC1019_28</t>
  </si>
  <si>
    <t>DSCN1958</t>
  </si>
  <si>
    <t>M2371022_1</t>
  </si>
  <si>
    <t>Ground (parking lot)</t>
  </si>
  <si>
    <t>Picking</t>
  </si>
  <si>
    <t>DSCN1959</t>
  </si>
  <si>
    <t>M2371022_2</t>
  </si>
  <si>
    <t>DSCN1960</t>
  </si>
  <si>
    <t>M2371022_3</t>
  </si>
  <si>
    <t>DSCN1963</t>
  </si>
  <si>
    <t xml:space="preserve">Just immediately fishes it out. </t>
  </si>
  <si>
    <t>DSCN1964</t>
  </si>
  <si>
    <t>M2371022_4</t>
  </si>
  <si>
    <t>M2371022_5</t>
  </si>
  <si>
    <t>DSCN1966</t>
  </si>
  <si>
    <t>M2371022_6</t>
  </si>
  <si>
    <t xml:space="preserve">Got food from spruce then disapeared then foraged in aspen tree. </t>
  </si>
  <si>
    <t>DSCN1971</t>
  </si>
  <si>
    <t>M2371022_7</t>
  </si>
  <si>
    <t>Spruce trunk behind foliage</t>
  </si>
  <si>
    <t>Really blurry. Possible cace but unconfirmed by video.</t>
  </si>
  <si>
    <t>DSCN1973</t>
  </si>
  <si>
    <t>M2371022_8</t>
  </si>
  <si>
    <t>Immedaitely went to spot and retrieved</t>
  </si>
  <si>
    <t>DSCN1997</t>
  </si>
  <si>
    <t>M4R1023_1</t>
  </si>
  <si>
    <t>Exteriro bare spruce branch tucked under witch hair</t>
  </si>
  <si>
    <t>DSCN1998</t>
  </si>
  <si>
    <t>M4R1023_2</t>
  </si>
  <si>
    <t>DSCN1999</t>
  </si>
  <si>
    <t>M4R1023_3</t>
  </si>
  <si>
    <t>WL/RS</t>
  </si>
  <si>
    <t>DSCN2002</t>
  </si>
  <si>
    <t>M4R1023_4</t>
  </si>
  <si>
    <t>M3.51023_3</t>
  </si>
  <si>
    <t>M3.51023_1</t>
  </si>
  <si>
    <t>DSCN2003</t>
  </si>
  <si>
    <t xml:space="preserve">Possible food aqcusitions </t>
  </si>
  <si>
    <t>DSCN2004</t>
  </si>
  <si>
    <t>M4R1023_5</t>
  </si>
  <si>
    <t xml:space="preserve">Checked tree. No cache evident, but found indicental older cache of blueberries so we marked anyway.  </t>
  </si>
  <si>
    <t>DSCN2008</t>
  </si>
  <si>
    <t>M3.51023_2</t>
  </si>
  <si>
    <t>WP/OS</t>
  </si>
  <si>
    <t>Unknown probably dried blueberry</t>
  </si>
  <si>
    <t>DSCN2010</t>
  </si>
  <si>
    <t xml:space="preserve">Possibly new food item or food item it obtained in previous video. </t>
  </si>
  <si>
    <t>M4S1023_1</t>
  </si>
  <si>
    <t>Mile 4 South</t>
  </si>
  <si>
    <t>DSCN2014</t>
  </si>
  <si>
    <t>PW/PS</t>
  </si>
  <si>
    <t>DSCN2016</t>
  </si>
  <si>
    <t>MR41023_6</t>
  </si>
  <si>
    <t>DSCN2017</t>
  </si>
  <si>
    <t>M4R1023_7</t>
  </si>
  <si>
    <t xml:space="preserve">Top of spruce tree in foliage </t>
  </si>
  <si>
    <t>Caching event suspected but unconfirmed  Seen by JG</t>
  </si>
  <si>
    <t>DSCN2018</t>
  </si>
  <si>
    <t>M4R1023_8</t>
  </si>
  <si>
    <t>DSCN2019</t>
  </si>
  <si>
    <t>M4R1023_9</t>
  </si>
  <si>
    <t>Foraging not captured on video</t>
  </si>
  <si>
    <t>DSCN2021</t>
  </si>
  <si>
    <t>M4R1023_10</t>
  </si>
  <si>
    <t xml:space="preserve">Did not see cache in tree so did not mark. </t>
  </si>
  <si>
    <t>DSCN2023</t>
  </si>
  <si>
    <t>M4R1023_11</t>
  </si>
  <si>
    <t>DSCN2033</t>
  </si>
  <si>
    <t>K21023_1</t>
  </si>
  <si>
    <t>Kennel_2</t>
  </si>
  <si>
    <t>PB/RS</t>
  </si>
  <si>
    <t>DSCN2034</t>
  </si>
  <si>
    <t>K11023_1</t>
  </si>
  <si>
    <t>Kennel_1</t>
  </si>
  <si>
    <t>PW/RS</t>
  </si>
  <si>
    <t>Exterior bare spruce branch and spruce trunk under bark</t>
  </si>
  <si>
    <t>Video starts after it has first acquisition, then it forages and finds another under bark</t>
  </si>
  <si>
    <t>DSCN2036</t>
  </si>
  <si>
    <t>AQ1023_1</t>
  </si>
  <si>
    <t>DSCN2037</t>
  </si>
  <si>
    <t>AQ1023_2</t>
  </si>
  <si>
    <t>DSCN2039</t>
  </si>
  <si>
    <t>AQ1023_3</t>
  </si>
  <si>
    <t>DSCN2042</t>
  </si>
  <si>
    <t>AQ1023_4</t>
  </si>
  <si>
    <t>DSCN2043</t>
  </si>
  <si>
    <t>AQ1023_5</t>
  </si>
  <si>
    <t>Band combo determined in field</t>
  </si>
  <si>
    <t>DSCN2045</t>
  </si>
  <si>
    <t>AQ1023_6</t>
  </si>
  <si>
    <t>DSCN2048</t>
  </si>
  <si>
    <t>AQ1023_7</t>
  </si>
  <si>
    <t>DSCN2058</t>
  </si>
  <si>
    <t>MC1024_1</t>
  </si>
  <si>
    <t>DSCN2059</t>
  </si>
  <si>
    <t>MC1024_2</t>
  </si>
  <si>
    <t>DSCN2063</t>
  </si>
  <si>
    <t>HS1024_1</t>
  </si>
  <si>
    <t>DSCN2064</t>
  </si>
  <si>
    <t>HS1024_2</t>
  </si>
  <si>
    <t xml:space="preserve">Same piece in previous video </t>
  </si>
  <si>
    <t>DSCN2065</t>
  </si>
  <si>
    <t>HS1024_3</t>
  </si>
  <si>
    <t>DSCN2069</t>
  </si>
  <si>
    <t>HS1024_4</t>
  </si>
  <si>
    <t>DSCN2083</t>
  </si>
  <si>
    <t>WW1024_1</t>
  </si>
  <si>
    <t>Interior spruce near trunk behind foliage</t>
  </si>
  <si>
    <t>DSCN2084</t>
  </si>
  <si>
    <t>WW1024_2</t>
  </si>
  <si>
    <t>DSCN2086</t>
  </si>
  <si>
    <t>HS1024_5</t>
  </si>
  <si>
    <t>DSCN2090</t>
  </si>
  <si>
    <t>WW1024_3</t>
  </si>
  <si>
    <t>DSCN2091</t>
  </si>
  <si>
    <t>WW1024_4</t>
  </si>
  <si>
    <t>1 possible</t>
  </si>
  <si>
    <t>DSCN2092</t>
  </si>
  <si>
    <t>WW1024_5</t>
  </si>
  <si>
    <t>DSCN2093</t>
  </si>
  <si>
    <t>HS1024_6</t>
  </si>
  <si>
    <t>WW1024_6</t>
  </si>
  <si>
    <t>DSCN2096</t>
  </si>
  <si>
    <t>DSCN2097</t>
  </si>
  <si>
    <t>WW1024_7</t>
  </si>
  <si>
    <t>DSCN2101</t>
  </si>
  <si>
    <t>RC1024_1</t>
  </si>
  <si>
    <t>DSCN2102</t>
  </si>
  <si>
    <t>RC1024_2</t>
  </si>
  <si>
    <t>DSCN2103</t>
  </si>
  <si>
    <t>RC1024_3</t>
  </si>
  <si>
    <t>DSCN2104</t>
  </si>
  <si>
    <t>RC1024_4</t>
  </si>
  <si>
    <t>DSCN2105</t>
  </si>
  <si>
    <t>RC1024_5</t>
  </si>
  <si>
    <t>DSCN2106</t>
  </si>
  <si>
    <t>RC1024_6</t>
  </si>
  <si>
    <t>Interior crown of spruce foliage</t>
  </si>
  <si>
    <t xml:space="preserve">Strongly suspected cache.  Again, not LB/RS </t>
  </si>
  <si>
    <t>DSCN2107</t>
  </si>
  <si>
    <t>RC1024_7</t>
  </si>
  <si>
    <t>DSCN2108</t>
  </si>
  <si>
    <t>RC1024_8</t>
  </si>
  <si>
    <t>Missed foraging for the first food acquisition.  Second one we were able to find and photograph in tree. Third was too high to find. Again, not seahawk's mom</t>
  </si>
  <si>
    <t>DSCN2111</t>
  </si>
  <si>
    <t>RC1024_9</t>
  </si>
  <si>
    <t>DSCN2112</t>
  </si>
  <si>
    <t>RC1024_10</t>
  </si>
  <si>
    <t>DSCN2113</t>
  </si>
  <si>
    <t>RC1024_11</t>
  </si>
  <si>
    <t>DSCN2114</t>
  </si>
  <si>
    <t>RC1024_12</t>
  </si>
  <si>
    <t>DSCN2115</t>
  </si>
  <si>
    <t>RC1024_13</t>
  </si>
  <si>
    <t>DSCN2118</t>
  </si>
  <si>
    <t>RC1024_14</t>
  </si>
  <si>
    <t>Interior spruce</t>
  </si>
  <si>
    <t>Video started after food acqusition</t>
  </si>
  <si>
    <t>DSCN2124</t>
  </si>
  <si>
    <t>RC1024_15</t>
  </si>
  <si>
    <t>DSCN2127</t>
  </si>
  <si>
    <t>RC1024_16</t>
  </si>
  <si>
    <t xml:space="preserve">Not mom! </t>
  </si>
  <si>
    <t>DSCN2129</t>
  </si>
  <si>
    <t>RC1024_17</t>
  </si>
  <si>
    <t>DSCN2130</t>
  </si>
  <si>
    <t>RC1024_18</t>
  </si>
  <si>
    <t>Foraging (cache recovery)/food handling</t>
  </si>
  <si>
    <t>DSCN2131</t>
  </si>
  <si>
    <t>RC1024_19</t>
  </si>
  <si>
    <t>Same as previous video</t>
  </si>
  <si>
    <t>DSCN2132</t>
  </si>
  <si>
    <t>RC1024_20</t>
  </si>
  <si>
    <t>Spruce and birch</t>
  </si>
  <si>
    <t>DSCN2135</t>
  </si>
  <si>
    <t>RC1024_21</t>
  </si>
  <si>
    <t>DSCN2136</t>
  </si>
  <si>
    <t>RC1024_22</t>
  </si>
  <si>
    <t>DSCN2137</t>
  </si>
  <si>
    <t>RC1024_23</t>
  </si>
  <si>
    <t>RC1024_24</t>
  </si>
  <si>
    <t>DSCN2139</t>
  </si>
  <si>
    <t>DSCN2140</t>
  </si>
  <si>
    <t>RC1024_25</t>
  </si>
  <si>
    <t>DSCN2041</t>
  </si>
  <si>
    <t>RC1024_26</t>
  </si>
  <si>
    <t>Top of spruce in witch broom</t>
  </si>
  <si>
    <t>DSCN2142</t>
  </si>
  <si>
    <t>RC1024_27</t>
  </si>
  <si>
    <t>DSCN2145</t>
  </si>
  <si>
    <t>Trial Camp</t>
  </si>
  <si>
    <t>TC1025_1</t>
  </si>
  <si>
    <t>DSCN2152</t>
  </si>
  <si>
    <t>MC1025_1</t>
  </si>
  <si>
    <t>DSCN2153</t>
  </si>
  <si>
    <t>MC1025_2</t>
  </si>
  <si>
    <t>DSCN2154</t>
  </si>
  <si>
    <t>MC1025_3</t>
  </si>
  <si>
    <t>DSCN2156</t>
  </si>
  <si>
    <t>MC1025_4</t>
  </si>
  <si>
    <t>DSCN2157</t>
  </si>
  <si>
    <t>Under bark of aspen branch</t>
  </si>
  <si>
    <t xml:space="preserve">*Possible that female pulled food out after! But didn't catch on tape to confirm. </t>
  </si>
  <si>
    <t>DSCN2158</t>
  </si>
  <si>
    <t>MC1025_6</t>
  </si>
  <si>
    <t>MC1025_5</t>
  </si>
  <si>
    <t>DSCN2159</t>
  </si>
  <si>
    <t>MC1025_7</t>
  </si>
  <si>
    <t>DSCN2163</t>
  </si>
  <si>
    <t>MC1025_8</t>
  </si>
  <si>
    <t xml:space="preserve">Could not find cache so did not mark. </t>
  </si>
  <si>
    <t>DSCN2166</t>
  </si>
  <si>
    <t>MC1025_9</t>
  </si>
  <si>
    <t>DSCN2168</t>
  </si>
  <si>
    <t>MC1025_10</t>
  </si>
  <si>
    <t>same tree</t>
  </si>
  <si>
    <t>DSCN2169</t>
  </si>
  <si>
    <t>MC1025_11</t>
  </si>
  <si>
    <t xml:space="preserve">Same hare as before </t>
  </si>
  <si>
    <t>DSCN2170</t>
  </si>
  <si>
    <t>MC1025_12</t>
  </si>
  <si>
    <t>Caching from piece of hare it took earlier</t>
  </si>
  <si>
    <t>DSCN2178</t>
  </si>
  <si>
    <t>M2371025_1</t>
  </si>
  <si>
    <t>DSCN2179</t>
  </si>
  <si>
    <t>M2371025_2</t>
  </si>
  <si>
    <t>DSCN2180</t>
  </si>
  <si>
    <t>M2371025_3</t>
  </si>
  <si>
    <t xml:space="preserve">Moving low through trees, picking at moss on ground </t>
  </si>
  <si>
    <t>DSCN2182</t>
  </si>
  <si>
    <t>M2371025_4</t>
  </si>
  <si>
    <t>DSCN2183</t>
  </si>
  <si>
    <t>M2371025_5</t>
  </si>
  <si>
    <t>DSCN2184</t>
  </si>
  <si>
    <t>M2371025_6</t>
  </si>
  <si>
    <t>INCIDENTAL FIND. SAME CACHE TREE AS PREVIOUS.</t>
  </si>
  <si>
    <t>DSCN21</t>
  </si>
  <si>
    <t>M4R1026_1</t>
  </si>
  <si>
    <t>INCIDENTAL FIND</t>
  </si>
  <si>
    <t>DSCN2196</t>
  </si>
  <si>
    <t>View obstructed for a lot of it</t>
  </si>
  <si>
    <t>DSCN2199</t>
  </si>
  <si>
    <t>DSCN2202</t>
  </si>
  <si>
    <t>DSCN2203</t>
  </si>
  <si>
    <t>DSCN2204</t>
  </si>
  <si>
    <t>DSCN2206</t>
  </si>
  <si>
    <t>DSCN2209</t>
  </si>
  <si>
    <t>DSCN2211</t>
  </si>
  <si>
    <t>DSCN2212</t>
  </si>
  <si>
    <t>DSCN2216</t>
  </si>
  <si>
    <t>DSCN2220</t>
  </si>
  <si>
    <t>DSCN2222</t>
  </si>
  <si>
    <t>DSCN2223</t>
  </si>
  <si>
    <t>DSCN2226</t>
  </si>
  <si>
    <t>Exterior spruce</t>
  </si>
  <si>
    <t>DSCN2227</t>
  </si>
  <si>
    <t>BU1029_15</t>
  </si>
  <si>
    <t>Cached item from previous video</t>
  </si>
  <si>
    <t>DSCN2228</t>
  </si>
  <si>
    <t>DSCN2229</t>
  </si>
  <si>
    <t>DSCN2230</t>
  </si>
  <si>
    <t>DSCN2233</t>
  </si>
  <si>
    <t>DSCN2235</t>
  </si>
  <si>
    <t>DSCN2244</t>
  </si>
  <si>
    <t>AQ1029_1</t>
  </si>
  <si>
    <t>Foraging/Food handling</t>
  </si>
  <si>
    <t>DSCN2248</t>
  </si>
  <si>
    <t>AQ1029_2</t>
  </si>
  <si>
    <t xml:space="preserve">5 pecks </t>
  </si>
  <si>
    <t>Interior bare branch under witch hair</t>
  </si>
  <si>
    <t>DSCN2250</t>
  </si>
  <si>
    <t>AQ1029_3</t>
  </si>
  <si>
    <t>Interior bare spruce branch</t>
  </si>
  <si>
    <t>DSCN2251</t>
  </si>
  <si>
    <t>AQ1029_4</t>
  </si>
  <si>
    <t>DSCN2253</t>
  </si>
  <si>
    <t>AQ1029_5</t>
  </si>
  <si>
    <t>DSCN2257</t>
  </si>
  <si>
    <t>MC1029_1</t>
  </si>
  <si>
    <t>DSCN2258</t>
  </si>
  <si>
    <t>MC1029_2</t>
  </si>
  <si>
    <t>DSCN2259</t>
  </si>
  <si>
    <t>MC1029_3</t>
  </si>
  <si>
    <t>Video starts after it already got berry</t>
  </si>
  <si>
    <t>MC1029_4</t>
  </si>
  <si>
    <t>DSCN2261</t>
  </si>
  <si>
    <t>DSCN2260</t>
  </si>
  <si>
    <t>MC1029_5</t>
  </si>
  <si>
    <t>DSCN2263</t>
  </si>
  <si>
    <t>MC1029_6</t>
  </si>
  <si>
    <t>Interior spruce tree</t>
  </si>
  <si>
    <t>DSCN2264</t>
  </si>
  <si>
    <t>MC1029_7</t>
  </si>
  <si>
    <t>Interior spruce foliage near trunk</t>
  </si>
  <si>
    <t>DSCN2310</t>
  </si>
  <si>
    <t>RC1031_1</t>
  </si>
  <si>
    <t xml:space="preserve">Did not catch foraging </t>
  </si>
  <si>
    <t>DSCN2311</t>
  </si>
  <si>
    <t>RC1031_2</t>
  </si>
  <si>
    <t>DSCN2318</t>
  </si>
  <si>
    <t>RC1031_3</t>
  </si>
  <si>
    <t>DSCN2319</t>
  </si>
  <si>
    <t>RC1031_4</t>
  </si>
  <si>
    <t>DSCN2320</t>
  </si>
  <si>
    <t>RC1031_5</t>
  </si>
  <si>
    <t>DSCN2324</t>
  </si>
  <si>
    <t>RC1031_6</t>
  </si>
  <si>
    <t>DSCN2327</t>
  </si>
  <si>
    <t>RC1031_7</t>
  </si>
  <si>
    <t>DSCN2328</t>
  </si>
  <si>
    <t>RC1031_8</t>
  </si>
  <si>
    <t>DSCN2329</t>
  </si>
  <si>
    <t>RC1031_9</t>
  </si>
  <si>
    <t>DSCN2330</t>
  </si>
  <si>
    <t>RC1031_10</t>
  </si>
  <si>
    <t>DSCN2333</t>
  </si>
  <si>
    <t>RC1031_11</t>
  </si>
  <si>
    <t>Dscn2338</t>
  </si>
  <si>
    <t>TC1031_1</t>
  </si>
  <si>
    <t>W/PS</t>
  </si>
  <si>
    <t xml:space="preserve">Missed foraging event on the ground. </t>
  </si>
  <si>
    <t>DSCN2339</t>
  </si>
  <si>
    <t>TC1031_2</t>
  </si>
  <si>
    <t>DSCN2340</t>
  </si>
  <si>
    <t>TC1031_3</t>
  </si>
  <si>
    <t>BO/OS</t>
  </si>
  <si>
    <t>Exterior Aspen bare branch</t>
  </si>
  <si>
    <t xml:space="preserve">Didn't catch foraging event </t>
  </si>
  <si>
    <t>DSCN2341</t>
  </si>
  <si>
    <t>TC1031_4</t>
  </si>
  <si>
    <t xml:space="preserve">Good caching video </t>
  </si>
  <si>
    <t>DSCN2350</t>
  </si>
  <si>
    <t>TC1031_5</t>
  </si>
  <si>
    <t>DSCN2351</t>
  </si>
  <si>
    <t>TC1031_6</t>
  </si>
  <si>
    <t>DSCN2352</t>
  </si>
  <si>
    <t>TC1031_7</t>
  </si>
  <si>
    <t>DSCN2354</t>
  </si>
  <si>
    <t>TC1031_8</t>
  </si>
  <si>
    <t>DSCN2355</t>
  </si>
  <si>
    <t>TC1031_9</t>
  </si>
  <si>
    <t>First cache is suspected, but second was confirmed</t>
  </si>
  <si>
    <t>DSCN2356</t>
  </si>
  <si>
    <t>TC1031_10</t>
  </si>
  <si>
    <t>DSCN2361</t>
  </si>
  <si>
    <t>TC1031_11</t>
  </si>
  <si>
    <t>DSCN2362</t>
  </si>
  <si>
    <t>TC1031_12</t>
  </si>
  <si>
    <t>DSCN2363</t>
  </si>
  <si>
    <t>TC1031_13</t>
  </si>
  <si>
    <t>DSCN2364</t>
  </si>
  <si>
    <t>TC1031_14</t>
  </si>
  <si>
    <t>Didn't catch foraging on film</t>
  </si>
  <si>
    <t>DSCN2367</t>
  </si>
  <si>
    <t>TC1031_15</t>
  </si>
  <si>
    <t>Unsure if really from TC</t>
  </si>
  <si>
    <t>DSCN2277</t>
  </si>
  <si>
    <t>M4R1030_1</t>
  </si>
  <si>
    <t>DSCN2301</t>
  </si>
  <si>
    <t>M2371030_1</t>
  </si>
  <si>
    <t>Clear</t>
  </si>
  <si>
    <t>Partly cloudy, snowing</t>
  </si>
  <si>
    <t xml:space="preserve">Put Camera on this cache site </t>
  </si>
  <si>
    <t>low to ground Spruce branches/witch hair moss</t>
  </si>
  <si>
    <t xml:space="preserve">Great cache video.  We put a Camera on this tree as well.  </t>
  </si>
  <si>
    <t>Clip number</t>
  </si>
  <si>
    <t>Clip event number</t>
  </si>
  <si>
    <t>Sprunce trunk at base of branch joint</t>
  </si>
  <si>
    <t xml:space="preserve">Unclear if foraging or caching initially, but then picks something off trunk and places it in another part of the tree. </t>
  </si>
  <si>
    <t>Interior bare spruce branches</t>
  </si>
  <si>
    <t xml:space="preserve">Cache LAT </t>
  </si>
  <si>
    <t>Cache Long</t>
  </si>
  <si>
    <t xml:space="preserve">Multiple birds </t>
  </si>
  <si>
    <t>Exterior bare spruce branch tips</t>
  </si>
  <si>
    <t>Pulls something out of tree. Likely "soft"/temporary cache</t>
  </si>
  <si>
    <t xml:space="preserve">Caches item from earlier in clip. </t>
  </si>
  <si>
    <t>Exterior bare spruce branch under bark</t>
  </si>
  <si>
    <t>Did not mark (were not marking at this time)</t>
  </si>
  <si>
    <t>Something happens at 0:10 mark but unclear if foraging or caching. Following cache is very clear.</t>
  </si>
  <si>
    <t>Foraging followed by clear cache (spit visible)</t>
  </si>
  <si>
    <t xml:space="preserve">Slime mold? </t>
  </si>
  <si>
    <t>Slime mold?</t>
  </si>
  <si>
    <t xml:space="preserve">WL/PS </t>
  </si>
  <si>
    <t>Campstove</t>
  </si>
  <si>
    <t>Human surface</t>
  </si>
  <si>
    <t xml:space="preserve">Covered cache with bit of bark </t>
  </si>
  <si>
    <t>Exterior Aspen branch under bark</t>
  </si>
  <si>
    <t>Exterior willow branch under bark</t>
  </si>
  <si>
    <t xml:space="preserve">Exterior aspen bare branches under bark </t>
  </si>
  <si>
    <t>Clear cache</t>
  </si>
  <si>
    <t xml:space="preserve">likely cache. </t>
  </si>
  <si>
    <t xml:space="preserve">Exterior spruce foliage </t>
  </si>
  <si>
    <t>Aspen tree trunk</t>
  </si>
  <si>
    <t xml:space="preserve">Interior spruce foliage </t>
  </si>
  <si>
    <t>GPS for hare tree. 30 SEC eating hare</t>
  </si>
  <si>
    <t>Exterior aspen branch</t>
  </si>
  <si>
    <t>Exterior bare branches of shrub</t>
  </si>
  <si>
    <t xml:space="preserve">Exterior bare spruce branchs under bark </t>
  </si>
  <si>
    <t>Same tree</t>
  </si>
  <si>
    <t>Interior spruce branch uner bark</t>
  </si>
  <si>
    <t>Exterior spruce branch under bark</t>
  </si>
  <si>
    <t>Interior spruce branch under bark</t>
  </si>
  <si>
    <t>Interior spruce branch under witchhair</t>
  </si>
  <si>
    <t xml:space="preserve">Caching from previous food acquisition video.  Cached in same tree as previous event.  </t>
  </si>
  <si>
    <t>Exterior aspend branch</t>
  </si>
  <si>
    <t>Exterior bare aspen branch under bark</t>
  </si>
  <si>
    <t>Great cache video</t>
  </si>
  <si>
    <t>Trees right next to each other so same GPS</t>
  </si>
  <si>
    <t>Interior spruce tree likely on trunk</t>
  </si>
  <si>
    <t>Interior spruce near or on trunk in exposed area</t>
  </si>
  <si>
    <t>in top of stick sticking vertically from ground.  About 5ft high</t>
  </si>
  <si>
    <t>In interior spruce on branch under bark</t>
  </si>
  <si>
    <t>Exterior bare branched under bark/which hair.</t>
  </si>
  <si>
    <t xml:space="preserve">Exterior aspen branch under bark </t>
  </si>
  <si>
    <t>M2370927_6</t>
  </si>
  <si>
    <t>Unknown probably berry</t>
  </si>
  <si>
    <t>Exterior spruce foliage under witchhair</t>
  </si>
  <si>
    <t>Interior bare spruce branch near trunk</t>
  </si>
  <si>
    <t>Cached and then foraged.</t>
  </si>
  <si>
    <t>Exterior spruce foliage at tippy top of tree</t>
  </si>
  <si>
    <t>Exterior spruce branch under witch hair</t>
  </si>
  <si>
    <t xml:space="preserve">Exterior spruce banch under bark/witch hair </t>
  </si>
  <si>
    <t>Interior bare branch bark/withc hair</t>
  </si>
  <si>
    <t xml:space="preserve">Interior foliage </t>
  </si>
  <si>
    <t>Same tree as previous cache tree</t>
  </si>
  <si>
    <t>Exterior bare brach under bark</t>
  </si>
  <si>
    <t>Top of sappling from foliage</t>
  </si>
  <si>
    <t>Foraging/cache recovery</t>
  </si>
  <si>
    <t>Spruce trunk)</t>
  </si>
  <si>
    <t>Under birch bark on trunk</t>
  </si>
  <si>
    <t>Interior spruce near trunk under witch hair</t>
  </si>
  <si>
    <t>Exterior spruce under witch hair</t>
  </si>
  <si>
    <t>Spruce trunk of sapplng</t>
  </si>
  <si>
    <t xml:space="preserve">Interior bare spruce branch </t>
  </si>
  <si>
    <t>Same tree as previous cache</t>
  </si>
  <si>
    <t xml:space="preserve">Interior spruce on trunk under bark </t>
  </si>
  <si>
    <t>Exterior spruce in needles</t>
  </si>
  <si>
    <t>148. 94931</t>
  </si>
  <si>
    <t>Insect (arthropod)</t>
  </si>
  <si>
    <t>Insect (Beetle grub)</t>
  </si>
  <si>
    <t>Insect (caterpillar)</t>
  </si>
  <si>
    <t>Insect (caterpillar or worm)</t>
  </si>
  <si>
    <t>Berry (dried)</t>
  </si>
  <si>
    <t>Mushroom (dried)</t>
  </si>
  <si>
    <t>Human food (French fry)</t>
  </si>
  <si>
    <t>Insect (caterpillar?)</t>
  </si>
  <si>
    <t>Insect (grub of caterpillar)</t>
  </si>
  <si>
    <t>Unknown (Maybe aphids)</t>
  </si>
  <si>
    <t>Unknown (Maybe snowshoe hare)</t>
  </si>
  <si>
    <t>Insect (Moth)</t>
  </si>
  <si>
    <t>Animal flesh (Piece of vole)</t>
  </si>
  <si>
    <t>Unknown (possibly meat)</t>
  </si>
  <si>
    <t>Unknown (Probably insect)</t>
  </si>
  <si>
    <t xml:space="preserve">Unknown. Probably mushroom.  Something white. </t>
  </si>
  <si>
    <t>Mushroom (puffball)</t>
  </si>
  <si>
    <t>Berry (red)</t>
  </si>
  <si>
    <t>Insect (slug)</t>
  </si>
  <si>
    <t>Animal flesh (Snowshoe hare)</t>
  </si>
  <si>
    <t>unknown (Something red)</t>
  </si>
  <si>
    <t>Insect (winged insect)</t>
  </si>
  <si>
    <t>Berry (Blueberry)</t>
  </si>
  <si>
    <t>Berry (Cranberry)</t>
  </si>
  <si>
    <t>Berry (Soapberry)</t>
  </si>
  <si>
    <t>Berry (Pumpkin berry)</t>
  </si>
  <si>
    <t>Human food (Bread)</t>
  </si>
  <si>
    <t>Unkown (maybe spruce seed)</t>
  </si>
  <si>
    <t>Human food (chicken?)</t>
  </si>
  <si>
    <t>Human food, probably sausage</t>
  </si>
  <si>
    <t>Human food, seemed like fruit like apricot</t>
  </si>
  <si>
    <t>Human food (Granola, fried chicken?)</t>
  </si>
  <si>
    <t>Mushroom (Bolet)</t>
  </si>
  <si>
    <t xml:space="preserve">Birds moves to other side of trunk and emerges with food.  Unclear if it got from from trunk or is just manipulating previously aquired food though so not counted as food acquisition. </t>
  </si>
  <si>
    <t>Unknown (probably berry)</t>
  </si>
  <si>
    <t>Exterior spruce branch</t>
  </si>
  <si>
    <t xml:space="preserve">Appeared to recover white object from tree, we called it a cache recovery and GPS's (63.73207 148.89915).  Suspect mushroom </t>
  </si>
  <si>
    <t>Berry (blueberries_</t>
  </si>
  <si>
    <t>Has two blueberries in the bill</t>
  </si>
  <si>
    <t xml:space="preserve">Was able to find and photograph cache site.  The bird had shoved the blueberry under a bark chip.  It was very snug! Put trail cam on this site. </t>
  </si>
  <si>
    <t xml:space="preserve">Missed foraging and caching for event 1.  </t>
  </si>
  <si>
    <t>Second one we were able to find and photograph in tree. Third was too high to find. Again, not seahawk's mom</t>
  </si>
  <si>
    <t>Forgaing</t>
  </si>
  <si>
    <t xml:space="preserve">Missed foraging on film </t>
  </si>
  <si>
    <t>Eating food in tree</t>
  </si>
  <si>
    <t>Missed food acquisition on film</t>
  </si>
  <si>
    <t>Missed acquisition on camera</t>
  </si>
  <si>
    <t>Foraring</t>
  </si>
  <si>
    <t>unknonw</t>
  </si>
  <si>
    <t>M4R0318_1</t>
  </si>
  <si>
    <t>Mile 4 roadside</t>
  </si>
  <si>
    <t>DSCN0295</t>
  </si>
  <si>
    <t xml:space="preserve">Spruce trunk under bark </t>
  </si>
  <si>
    <t>Visual searching, gleaning</t>
  </si>
  <si>
    <t xml:space="preserve">Plucked something largish froma  branch and proceeded to tear it up.  Then appeared to cache based on cirumstantial evidence. </t>
  </si>
  <si>
    <t>DSCN0297</t>
  </si>
  <si>
    <t>M4R0318_2</t>
  </si>
  <si>
    <t>Light snowfall</t>
  </si>
  <si>
    <t>DSCN0298</t>
  </si>
  <si>
    <t>M4R0318_3</t>
  </si>
  <si>
    <t xml:space="preserve">Pulled at witch hair but did not appear to recover food. </t>
  </si>
  <si>
    <t>DSCN0301</t>
  </si>
  <si>
    <t>M4R0318_4</t>
  </si>
  <si>
    <t>M4R0318_5</t>
  </si>
  <si>
    <t>DSCN0304</t>
  </si>
  <si>
    <t>DSCN0305</t>
  </si>
  <si>
    <t>M4R0318_6</t>
  </si>
  <si>
    <t>Under bark of exterior spruce branch</t>
  </si>
  <si>
    <t>DSCN0310</t>
  </si>
  <si>
    <t>M4R0318_7</t>
  </si>
  <si>
    <t>Picked at branch but did not appear to recover food</t>
  </si>
  <si>
    <t>DSCN0312</t>
  </si>
  <si>
    <t>M4R0318_8</t>
  </si>
  <si>
    <t>Lichen</t>
  </si>
  <si>
    <t>DSCN0119</t>
  </si>
  <si>
    <t>MTV0312_1</t>
  </si>
  <si>
    <t>Mountain View</t>
  </si>
  <si>
    <t>DSCN0121</t>
  </si>
  <si>
    <t>MTV0312_2</t>
  </si>
  <si>
    <t>Modertate snowfall</t>
  </si>
  <si>
    <t xml:space="preserve">Made two probes under bark, but it's too blurry to see if it extracts or deposits food. </t>
  </si>
  <si>
    <t>DSCN0137</t>
  </si>
  <si>
    <t>MTV0312_3</t>
  </si>
  <si>
    <t>Under bark of spruce trunk</t>
  </si>
  <si>
    <t>Probing and visual searhcing</t>
  </si>
  <si>
    <t>Pulled bark off of tree</t>
  </si>
  <si>
    <t>DSCN0138</t>
  </si>
  <si>
    <t>MTV0312_4</t>
  </si>
  <si>
    <t xml:space="preserve">Gleanng </t>
  </si>
  <si>
    <t>DSCN0322</t>
  </si>
  <si>
    <t>M4R0321_1</t>
  </si>
  <si>
    <t>Appeared to be picking at the snow on the gorund but actions were obscured by tree.</t>
  </si>
  <si>
    <t>M4R0321_2</t>
  </si>
  <si>
    <t>M4R0321_3</t>
  </si>
  <si>
    <t>DSCN0326</t>
  </si>
  <si>
    <t>M4R0321_4</t>
  </si>
  <si>
    <t>DSCN0331</t>
  </si>
  <si>
    <t>M4R0321_5</t>
  </si>
  <si>
    <t>DSCN0335</t>
  </si>
  <si>
    <t>M4R0321_6</t>
  </si>
  <si>
    <t>OW/RS</t>
  </si>
  <si>
    <t>DSCN0337</t>
  </si>
  <si>
    <t>M4R0321_7</t>
  </si>
  <si>
    <t>DSCN0338</t>
  </si>
  <si>
    <t>M4R0321_8</t>
  </si>
  <si>
    <t>DSCN0339</t>
  </si>
  <si>
    <t>M4R0321_9</t>
  </si>
  <si>
    <t>Snow</t>
  </si>
  <si>
    <t>DSCN0340</t>
  </si>
  <si>
    <t>M4R0321_10</t>
  </si>
  <si>
    <t>DSCN0341</t>
  </si>
  <si>
    <t>M4R0321_11</t>
  </si>
  <si>
    <t>Unknown, maybe berry</t>
  </si>
  <si>
    <t>DSCN0351</t>
  </si>
  <si>
    <t>M4R0321_12</t>
  </si>
  <si>
    <t xml:space="preserve">Missed the immediate food acquisition. </t>
  </si>
  <si>
    <t>DSCN1087</t>
  </si>
  <si>
    <t>MTV0313_1</t>
  </si>
  <si>
    <t xml:space="preserve">Searched the trunk most often </t>
  </si>
  <si>
    <t>MTV0313_2</t>
  </si>
  <si>
    <t>DSCN0191</t>
  </si>
  <si>
    <t>MTV0313_3</t>
  </si>
  <si>
    <t>DSCN0192</t>
  </si>
  <si>
    <t>MTV0313_4</t>
  </si>
  <si>
    <t>MTV0313_5</t>
  </si>
  <si>
    <t>Interior spruce (unlear if from foliage of bare branch)</t>
  </si>
  <si>
    <t xml:space="preserve">Food success based on audio only. </t>
  </si>
  <si>
    <t>DSCN0194</t>
  </si>
  <si>
    <t>MTV0313_6</t>
  </si>
  <si>
    <t xml:space="preserve">First food item has a good view in sillouette but no clues as for specific id.  Second item there no good look at but the brids takes some care to shred it, which suggests meat.  May guess is both are meat pieces given that they were cached in the same tree. </t>
  </si>
  <si>
    <t>MTV0313_7</t>
  </si>
  <si>
    <t>Interior spruce on branch</t>
  </si>
  <si>
    <t>foraging/food handeling</t>
  </si>
  <si>
    <t xml:space="preserve">Missed foraging event on camera, but recorded where food was obtained. </t>
  </si>
  <si>
    <t>DSCN0288</t>
  </si>
  <si>
    <t>MTV0318_1</t>
  </si>
  <si>
    <t>Under bark of exterior aspen branch</t>
  </si>
  <si>
    <t>MTV0318_2</t>
  </si>
  <si>
    <t xml:space="preserve">Found birds already feeding from hare skull in tree top. </t>
  </si>
  <si>
    <t>MTV0318_3</t>
  </si>
  <si>
    <t>MTV0318_4</t>
  </si>
  <si>
    <t>Food handling, Nest material collecting</t>
  </si>
  <si>
    <t>Spruce and willow</t>
  </si>
  <si>
    <t>MTV0318_5_1</t>
  </si>
  <si>
    <t>MTV0318_5_2</t>
  </si>
  <si>
    <t>RC0311_1</t>
  </si>
  <si>
    <t>DSCN0109</t>
  </si>
  <si>
    <t>RC0311_2</t>
  </si>
  <si>
    <t>RC0311_3</t>
  </si>
  <si>
    <t>Toilet Paper</t>
  </si>
  <si>
    <t xml:space="preserve">Missed foraging event on camera, but saw it visually. </t>
  </si>
  <si>
    <t>RC0315_1</t>
  </si>
  <si>
    <t>DSCN0236</t>
  </si>
  <si>
    <t>RC0315_2</t>
  </si>
  <si>
    <t>RC0315_3</t>
  </si>
  <si>
    <t>Missed initial acquisition on film but saw it in person</t>
  </si>
  <si>
    <t>DSCN0240</t>
  </si>
  <si>
    <t>RC0315_4</t>
  </si>
  <si>
    <t>Animal flesh (maybe vole)</t>
  </si>
  <si>
    <t>DSCN0241</t>
  </si>
  <si>
    <t>RC0315_5</t>
  </si>
  <si>
    <t>DSCN0242</t>
  </si>
  <si>
    <t>RC0315_6</t>
  </si>
  <si>
    <t>DSCN0243</t>
  </si>
  <si>
    <t>RC0315_7</t>
  </si>
  <si>
    <t>DSCN0245</t>
  </si>
  <si>
    <t>RC0315_8</t>
  </si>
  <si>
    <t>Only worthwile video where you can actually see animal flesh clearly.</t>
  </si>
  <si>
    <t>RC0315_9</t>
  </si>
  <si>
    <t>Dropped it on ground off camera, but picked I back up in this video.</t>
  </si>
  <si>
    <t>DSCN0247</t>
  </si>
  <si>
    <t>RC0315_10</t>
  </si>
  <si>
    <t>DSCN0252</t>
  </si>
  <si>
    <t>RC0315_11</t>
  </si>
  <si>
    <t>RC0315_12</t>
  </si>
  <si>
    <t>number of berries</t>
  </si>
  <si>
    <t>1  each trip</t>
  </si>
  <si>
    <t>1 in first trip, 2 in second trip</t>
  </si>
  <si>
    <t>2 in one trip, 1 in second</t>
  </si>
  <si>
    <t>4 individual pecks</t>
  </si>
  <si>
    <t>5 pecks</t>
  </si>
  <si>
    <t>2 in one 3, in second</t>
  </si>
  <si>
    <t>6 pecks</t>
  </si>
  <si>
    <t>2 in one, 4 in second</t>
  </si>
  <si>
    <t>8 pecks</t>
  </si>
  <si>
    <t>5ish pecks each trip</t>
  </si>
  <si>
    <t>10 pecks</t>
  </si>
  <si>
    <t>10 pecks total</t>
  </si>
  <si>
    <t>11 pecks</t>
  </si>
  <si>
    <t>18 in one two in second</t>
  </si>
  <si>
    <t>14 pecks</t>
  </si>
  <si>
    <t>Row Labels</t>
  </si>
  <si>
    <t>(blank)</t>
  </si>
  <si>
    <t>Grand Total</t>
  </si>
  <si>
    <t>Exterior foliage</t>
  </si>
  <si>
    <t>Interior foliage</t>
  </si>
  <si>
    <t>Exterior bare spruce branch under bark/witch hair</t>
  </si>
  <si>
    <t>Interior bare spruce tree</t>
  </si>
  <si>
    <t xml:space="preserve">Interior bare spruce branches </t>
  </si>
  <si>
    <t>Interior bare branch</t>
  </si>
  <si>
    <t>Under bark of aspen trunk</t>
  </si>
  <si>
    <t>Interior spruce bare branches in witch hair</t>
  </si>
  <si>
    <t>Bare interior tree branch</t>
  </si>
  <si>
    <t>DSCN0208</t>
  </si>
  <si>
    <t>MM14_2</t>
  </si>
  <si>
    <t>DSCN0210</t>
  </si>
  <si>
    <t>MM14_3</t>
  </si>
  <si>
    <t>Missed foraging</t>
  </si>
  <si>
    <t>DSCN0211</t>
  </si>
  <si>
    <t>MM14_4</t>
  </si>
  <si>
    <t>DSCN0212</t>
  </si>
  <si>
    <t>MM14_5</t>
  </si>
  <si>
    <t>DSCN0217</t>
  </si>
  <si>
    <t>MM14_6</t>
  </si>
  <si>
    <t>DSCN0218</t>
  </si>
  <si>
    <t>MM14_7</t>
  </si>
  <si>
    <t xml:space="preserve">Possible that it's shreading for nesting material </t>
  </si>
  <si>
    <t>DSCN0222</t>
  </si>
  <si>
    <t>MM14_8</t>
  </si>
  <si>
    <t>Visual Searching, PECKING</t>
  </si>
  <si>
    <t>Interior spruce on underside of bare branches</t>
  </si>
  <si>
    <t>On spruce trunk under bark</t>
  </si>
  <si>
    <t>On interior bare spruce branch</t>
  </si>
  <si>
    <t>Unknow but probably snow</t>
  </si>
  <si>
    <t>MTV0318_5_3</t>
  </si>
  <si>
    <t>spruce cone seed</t>
  </si>
  <si>
    <t xml:space="preserve">spruce cone </t>
  </si>
  <si>
    <t>Unbanded_1</t>
  </si>
  <si>
    <t>Unbanded_2</t>
  </si>
  <si>
    <t>Cache aspect</t>
  </si>
  <si>
    <t>DSCN2374</t>
  </si>
  <si>
    <t>HS0320_1</t>
  </si>
  <si>
    <t>Horse Shoe</t>
  </si>
  <si>
    <t>Mostly overcast</t>
  </si>
  <si>
    <t>Didn't catch foraging only extraction</t>
  </si>
  <si>
    <t>DSCN2380</t>
  </si>
  <si>
    <t>TAI0320_1</t>
  </si>
  <si>
    <t>Taiga</t>
  </si>
  <si>
    <t xml:space="preserve">Did not count last acquisition since it might have been provided bread.  </t>
  </si>
  <si>
    <t>DSCN2382</t>
  </si>
  <si>
    <t>TAI0320_2</t>
  </si>
  <si>
    <t>DSCN2383</t>
  </si>
  <si>
    <t>TAI0320_3</t>
  </si>
  <si>
    <t>DSCN2384</t>
  </si>
  <si>
    <t>TAI0320_4</t>
  </si>
  <si>
    <t>DSCN2387</t>
  </si>
  <si>
    <t>TAI0320_5</t>
  </si>
  <si>
    <t>DSCN2388</t>
  </si>
  <si>
    <t>TAI0320_6</t>
  </si>
  <si>
    <t>OO/BS</t>
  </si>
  <si>
    <t>DSCN2389</t>
  </si>
  <si>
    <t>TAI0320_7</t>
  </si>
  <si>
    <t xml:space="preserve">Pecks several times but no confirmed food.  Seems to spit something out at one point. </t>
  </si>
  <si>
    <t>DSCN2391</t>
  </si>
  <si>
    <t>TAI0320_8</t>
  </si>
  <si>
    <t xml:space="preserve">Perched in tree but appears to be looking at ground.  Not sure how to label. </t>
  </si>
  <si>
    <t>DSCN2392</t>
  </si>
  <si>
    <t>TAI0320_9</t>
  </si>
  <si>
    <t xml:space="preserve">Searching ground from tree. </t>
  </si>
  <si>
    <t>DSCN2393</t>
  </si>
  <si>
    <t>TAI0320_10</t>
  </si>
  <si>
    <t>Bark of Spruce</t>
  </si>
  <si>
    <t>DSCN2394</t>
  </si>
  <si>
    <t>TAI0320_11</t>
  </si>
  <si>
    <t>DSCN2395</t>
  </si>
  <si>
    <t>TAI0320_12</t>
  </si>
  <si>
    <t>DSCN2396</t>
  </si>
  <si>
    <t>TAI0320_13</t>
  </si>
  <si>
    <t>Searching/probing</t>
  </si>
  <si>
    <t>DSCN2398</t>
  </si>
  <si>
    <t>TAI0320_14</t>
  </si>
  <si>
    <t>Insect grub</t>
  </si>
  <si>
    <t>Cache degrees</t>
  </si>
  <si>
    <t>East</t>
  </si>
  <si>
    <t xml:space="preserve">Didn't catch foraging on camera.  Placed camera trap on cache.  </t>
  </si>
  <si>
    <t>DSCN2401</t>
  </si>
  <si>
    <t>TAI0320_15</t>
  </si>
  <si>
    <t>uknown</t>
  </si>
  <si>
    <t xml:space="preserve">Was it caching? Probing? IDK! </t>
  </si>
  <si>
    <t>DSCN2403</t>
  </si>
  <si>
    <t>RAI0320_16</t>
  </si>
  <si>
    <t>DSCN2404</t>
  </si>
  <si>
    <t>TAI0320_17</t>
  </si>
  <si>
    <t>DSCN2405</t>
  </si>
  <si>
    <t>TAI0320_18</t>
  </si>
  <si>
    <t>DSCN2406</t>
  </si>
  <si>
    <t>TAI0320_19</t>
  </si>
  <si>
    <t>DSCN2408</t>
  </si>
  <si>
    <t>TAI0320_20</t>
  </si>
  <si>
    <t>DSCN2410</t>
  </si>
  <si>
    <t>TAI0320_21</t>
  </si>
  <si>
    <t>Exterior spruce bare branch under bark</t>
  </si>
  <si>
    <t>Searching/ GLEAING</t>
  </si>
  <si>
    <t>DSCN2413</t>
  </si>
  <si>
    <t>TAI0320_22</t>
  </si>
  <si>
    <t>DSCN2415</t>
  </si>
  <si>
    <t>TAI0320_23</t>
  </si>
  <si>
    <t>DSCN2418</t>
  </si>
  <si>
    <t>TAI0320_24</t>
  </si>
  <si>
    <t>Missed acquisition</t>
  </si>
  <si>
    <t>DSCN2420</t>
  </si>
  <si>
    <t>TAI0320_25</t>
  </si>
  <si>
    <t>DSCN2424</t>
  </si>
  <si>
    <t>TAI0320_26</t>
  </si>
  <si>
    <t>DSCN2427</t>
  </si>
  <si>
    <t>TAI0320_27</t>
  </si>
  <si>
    <t>DSCN2428</t>
  </si>
  <si>
    <t>TAI0320_28</t>
  </si>
  <si>
    <t>Missed search. lOOKS ROUND LIKE A BERRY</t>
  </si>
  <si>
    <t>DSCN2433</t>
  </si>
  <si>
    <t>HS0321_1</t>
  </si>
  <si>
    <t>Missed acquisition. Picking at fallen stum/branch.  Not really interior or exterior</t>
  </si>
  <si>
    <t>DSCN2434</t>
  </si>
  <si>
    <t>BL0322_1</t>
  </si>
  <si>
    <t>Boulder</t>
  </si>
  <si>
    <t>DSCN2435</t>
  </si>
  <si>
    <t>BL0322_2</t>
  </si>
  <si>
    <t>Shrubs</t>
  </si>
  <si>
    <t xml:space="preserve">Plucked a dried blueberry but then spit it up.  It did not secure it to the branch nor did it look like typical cache behavior.  So I did not score it as a cache.  </t>
  </si>
  <si>
    <t>DSCN2443</t>
  </si>
  <si>
    <t>BL0322_3</t>
  </si>
  <si>
    <t>DSCN2444</t>
  </si>
  <si>
    <t>BL0322_4</t>
  </si>
  <si>
    <t>PG/BS</t>
  </si>
  <si>
    <t>DSCN2446</t>
  </si>
  <si>
    <t>BL0322_5</t>
  </si>
  <si>
    <t>DSCN2447</t>
  </si>
  <si>
    <t>BL0322_6</t>
  </si>
  <si>
    <t>Scanning ground from tree branches</t>
  </si>
  <si>
    <t>DSCN2453</t>
  </si>
  <si>
    <t>BL0322_7</t>
  </si>
  <si>
    <t>Insect (caterpiller)</t>
  </si>
  <si>
    <t>DSCN2458</t>
  </si>
  <si>
    <t>BL0322_8</t>
  </si>
  <si>
    <t>DSCN2459</t>
  </si>
  <si>
    <t>BL0322_9</t>
  </si>
  <si>
    <t>DSCN2460</t>
  </si>
  <si>
    <t>BL0322_10</t>
  </si>
  <si>
    <t>DSCN2461</t>
  </si>
  <si>
    <t>BL0322_11</t>
  </si>
  <si>
    <t>DSCN2462</t>
  </si>
  <si>
    <t>BL0322_12</t>
  </si>
  <si>
    <t>Berry (crowberry)</t>
  </si>
  <si>
    <t>DSCN2464</t>
  </si>
  <si>
    <t>BL0322_13</t>
  </si>
  <si>
    <t>DSCN2465</t>
  </si>
  <si>
    <t>BL0322_14</t>
  </si>
  <si>
    <t>DSCN2467</t>
  </si>
  <si>
    <t>HS0322_1</t>
  </si>
  <si>
    <t>Insect (grub)</t>
  </si>
  <si>
    <t>Under bark of turned over spruce roots</t>
  </si>
  <si>
    <t>NE</t>
  </si>
  <si>
    <t>DSCN2471</t>
  </si>
  <si>
    <t>TAI0322_1</t>
  </si>
  <si>
    <t>DSCN2477</t>
  </si>
  <si>
    <t>MC0325_1</t>
  </si>
  <si>
    <t>Mercantile</t>
  </si>
  <si>
    <t>DSCN2484</t>
  </si>
  <si>
    <t>MC0325_2</t>
  </si>
  <si>
    <t>Berry (2-crowberries)</t>
  </si>
  <si>
    <t>Mushroom (squirrel cache)</t>
  </si>
  <si>
    <t xml:space="preserve">Grabbed squirrel cache and moved it to a new tree.  Did not take GPS since it did not appear to cache it itself. </t>
  </si>
  <si>
    <t>DSCN2488</t>
  </si>
  <si>
    <t>CC0325_1</t>
  </si>
  <si>
    <t>DSCN2490</t>
  </si>
  <si>
    <t>CC0325_2</t>
  </si>
  <si>
    <t>Berry (3 bluberries, 1 crowberry)</t>
  </si>
  <si>
    <t>DSCN2495</t>
  </si>
  <si>
    <t>CC0325_3</t>
  </si>
  <si>
    <t>Suspected foraging</t>
  </si>
  <si>
    <t>DSCN2496</t>
  </si>
  <si>
    <t>CC0325_4</t>
  </si>
  <si>
    <t>DSCN2497</t>
  </si>
  <si>
    <t>CC0325_5</t>
  </si>
  <si>
    <t>Missed initial acquisition</t>
  </si>
  <si>
    <t>DSCN2500</t>
  </si>
  <si>
    <t>CC0325_6</t>
  </si>
  <si>
    <t>DSCN2501</t>
  </si>
  <si>
    <t>CC0325_7</t>
  </si>
  <si>
    <t>DSCN2505</t>
  </si>
  <si>
    <t>M4R0325_1</t>
  </si>
  <si>
    <t>M4Roadside</t>
  </si>
  <si>
    <t>YO/BS</t>
  </si>
  <si>
    <t>DSCN2506</t>
  </si>
  <si>
    <t>M4R0325_2</t>
  </si>
  <si>
    <t>DSCN2507</t>
  </si>
  <si>
    <t>M4R0325_3</t>
  </si>
  <si>
    <t>DSCN2508</t>
  </si>
  <si>
    <t>M4R0325_4</t>
  </si>
  <si>
    <t>Searching in M4R1005_CT3</t>
  </si>
  <si>
    <t>DSCN2511</t>
  </si>
  <si>
    <t>M4R0325_5</t>
  </si>
  <si>
    <t>OB/YS</t>
  </si>
  <si>
    <t>DSCN2512</t>
  </si>
  <si>
    <t>M4R0325_6</t>
  </si>
  <si>
    <t>Acquisition on previous clip</t>
  </si>
  <si>
    <t>DSCN2514</t>
  </si>
  <si>
    <t>M4R0325_7</t>
  </si>
  <si>
    <t>DSCN2515</t>
  </si>
  <si>
    <t>M4R0325_8</t>
  </si>
  <si>
    <t>Insect (grub/caterpillar)</t>
  </si>
  <si>
    <t xml:space="preserve">Checked possible cache tree but did not see anything. </t>
  </si>
  <si>
    <t>DSCN2516</t>
  </si>
  <si>
    <t>M4R0325_9</t>
  </si>
  <si>
    <t>DSCN2517</t>
  </si>
  <si>
    <t>M4R0325_10</t>
  </si>
  <si>
    <t>DSCN2518</t>
  </si>
  <si>
    <t>M4R0325_11</t>
  </si>
  <si>
    <t>DSCN2519</t>
  </si>
  <si>
    <t>M4R0325_12</t>
  </si>
  <si>
    <t>DSCN2520</t>
  </si>
  <si>
    <t>M4R0325_13</t>
  </si>
  <si>
    <t>Acquisition reported on different video, but part of this foraging sequence.</t>
  </si>
  <si>
    <t>DSCN2524</t>
  </si>
  <si>
    <t>M4R0325_14</t>
  </si>
  <si>
    <t>Acquisition not recorded</t>
  </si>
  <si>
    <t>DSCN2526</t>
  </si>
  <si>
    <t>M4R0325_15</t>
  </si>
  <si>
    <t>DSCN2527</t>
  </si>
  <si>
    <t>M4R0325_16</t>
  </si>
  <si>
    <t>DSCN2529</t>
  </si>
  <si>
    <t>M4R0325_17</t>
  </si>
  <si>
    <t>DSCN2531</t>
  </si>
  <si>
    <t>M4R0325_18</t>
  </si>
  <si>
    <t>DSCN2533</t>
  </si>
  <si>
    <t>M4R0325_19</t>
  </si>
  <si>
    <t>Territory</t>
  </si>
  <si>
    <t>Foraging Lat</t>
  </si>
  <si>
    <t>Start time</t>
  </si>
  <si>
    <t>End time</t>
  </si>
  <si>
    <t>Total time</t>
  </si>
  <si>
    <t>Merc</t>
  </si>
  <si>
    <t>M4R</t>
  </si>
  <si>
    <t>Point associated with CT? (Y/N)</t>
  </si>
  <si>
    <t>Yes</t>
  </si>
  <si>
    <t>CT label</t>
  </si>
  <si>
    <t>CT1</t>
  </si>
  <si>
    <t>No</t>
  </si>
  <si>
    <t>DSCN2536</t>
  </si>
  <si>
    <t>M2370326_1</t>
  </si>
  <si>
    <t>DSCN2540</t>
  </si>
  <si>
    <t>M2370326_2</t>
  </si>
  <si>
    <t>Did not recognize as cache while in field</t>
  </si>
  <si>
    <t>DSCN2541</t>
  </si>
  <si>
    <t>M2370326_3</t>
  </si>
  <si>
    <t>N</t>
  </si>
  <si>
    <t xml:space="preserve">One other possible cache but unclear. </t>
  </si>
  <si>
    <t>DSCN2542</t>
  </si>
  <si>
    <t>M2370326_4</t>
  </si>
  <si>
    <t>DSCN2543</t>
  </si>
  <si>
    <t>M2370326_5</t>
  </si>
  <si>
    <t>Berry (cranberry)</t>
  </si>
  <si>
    <t>W</t>
  </si>
  <si>
    <t>DSCN2550</t>
  </si>
  <si>
    <t>M2370326_6</t>
  </si>
  <si>
    <t>DSCN2553</t>
  </si>
  <si>
    <t>M2370326_7</t>
  </si>
  <si>
    <t>DSCN2554</t>
  </si>
  <si>
    <t>M2370326_8</t>
  </si>
  <si>
    <t>Insect (unknown flying insect maybe brown lacewing)</t>
  </si>
  <si>
    <t>DSCN2555</t>
  </si>
  <si>
    <t>M2370326_9</t>
  </si>
  <si>
    <t>DSCN2556</t>
  </si>
  <si>
    <t>M2370326_10</t>
  </si>
  <si>
    <t>DSCN2557</t>
  </si>
  <si>
    <t>M2370326_11</t>
  </si>
  <si>
    <t>DSCN2558</t>
  </si>
  <si>
    <t>M2370326_12</t>
  </si>
  <si>
    <t>DSCN2561</t>
  </si>
  <si>
    <t>WW0326_1</t>
  </si>
  <si>
    <t>Partly Sunny</t>
  </si>
  <si>
    <t>Flew straight to cache from other branch</t>
  </si>
  <si>
    <t>DSCN2562</t>
  </si>
  <si>
    <t>WW0326_2</t>
  </si>
  <si>
    <t>DSCN2563</t>
  </si>
  <si>
    <t>WW0326_3</t>
  </si>
  <si>
    <t>Berries (3)</t>
  </si>
  <si>
    <t xml:space="preserve">Food acquisition=3 berries but presumable only cached one. </t>
  </si>
  <si>
    <t>DSCN2567</t>
  </si>
  <si>
    <t>WW0326_4</t>
  </si>
  <si>
    <t>M237</t>
  </si>
  <si>
    <t>Additional CT's</t>
  </si>
  <si>
    <t>CT2</t>
  </si>
  <si>
    <t>Associated videos</t>
  </si>
  <si>
    <t>WACW</t>
  </si>
  <si>
    <t>AQ</t>
  </si>
  <si>
    <t>DSCN2572</t>
  </si>
  <si>
    <t>AQ0326_1</t>
  </si>
  <si>
    <t>DSCN2575</t>
  </si>
  <si>
    <t>AQ0326_2</t>
  </si>
  <si>
    <t>DSCN2576</t>
  </si>
  <si>
    <t>AQ0326_3</t>
  </si>
  <si>
    <t>M2370326_2-4</t>
  </si>
  <si>
    <t>M2360326_6-12</t>
  </si>
  <si>
    <t>AQ0326_2-3</t>
  </si>
  <si>
    <t>B&amp;U</t>
  </si>
  <si>
    <t>MERC</t>
  </si>
  <si>
    <t>DSCN2580</t>
  </si>
  <si>
    <t>BU0327_1</t>
  </si>
  <si>
    <t>Animal flesh (snowshoe hare)</t>
  </si>
  <si>
    <t>Top of spruce foliage</t>
  </si>
  <si>
    <t>Recovered cache lat</t>
  </si>
  <si>
    <t>recovered cache long</t>
  </si>
  <si>
    <t xml:space="preserve">Missed acquisition on film but saw in person. </t>
  </si>
  <si>
    <t>DSCN2581</t>
  </si>
  <si>
    <t>BU0327_2</t>
  </si>
  <si>
    <t>DSCN2582</t>
  </si>
  <si>
    <t>BU0327_3</t>
  </si>
  <si>
    <t>DSCN2583</t>
  </si>
  <si>
    <t>BU0327_4</t>
  </si>
  <si>
    <t>DSCN2584</t>
  </si>
  <si>
    <t>BU0327_5</t>
  </si>
  <si>
    <t>Berries aquired during two different foraging attempts</t>
  </si>
  <si>
    <t>DSCN2587</t>
  </si>
  <si>
    <t>BU0327_6</t>
  </si>
  <si>
    <t>DSCN2589</t>
  </si>
  <si>
    <t>BU0327_7</t>
  </si>
  <si>
    <t>DSCN2593</t>
  </si>
  <si>
    <t>M4R0327_1</t>
  </si>
  <si>
    <t>Feathers and bird shit</t>
  </si>
  <si>
    <t>Interior sprice foliage in crown</t>
  </si>
  <si>
    <t xml:space="preserve">Missed acquisition.  The bird appears to be eating it but in slow motion it becomes evident that it is just flinging stuff away.  Because it's actually not food but bird shit. </t>
  </si>
  <si>
    <t>DSCN2595</t>
  </si>
  <si>
    <t>M4R0327_2</t>
  </si>
  <si>
    <t>DSCN2596</t>
  </si>
  <si>
    <t>M4R0327_3</t>
  </si>
  <si>
    <t>DSCN2598</t>
  </si>
  <si>
    <t>M4R0327_4</t>
  </si>
  <si>
    <t xml:space="preserve">Appears to collect something but then drops it. </t>
  </si>
  <si>
    <t>DSCN2600</t>
  </si>
  <si>
    <t>M4R0327_5</t>
  </si>
  <si>
    <t>DSCN2601</t>
  </si>
  <si>
    <t>M4R0237_6</t>
  </si>
  <si>
    <t>DSCN2603</t>
  </si>
  <si>
    <t>M4R0327_7</t>
  </si>
  <si>
    <t>DSCN2604</t>
  </si>
  <si>
    <t>M4R0327_8</t>
  </si>
  <si>
    <t>DSCN2606</t>
  </si>
  <si>
    <t>M4R0327_9</t>
  </si>
  <si>
    <t>DSCN2607</t>
  </si>
  <si>
    <t>M4R0327_10</t>
  </si>
  <si>
    <t>DSCN2609</t>
  </si>
  <si>
    <t>M4R0327_11</t>
  </si>
  <si>
    <t>DSCN2611</t>
  </si>
  <si>
    <t>MC0327_1</t>
  </si>
  <si>
    <t>DSCN2612</t>
  </si>
  <si>
    <t>MC0327_2</t>
  </si>
  <si>
    <t>DSCN2621</t>
  </si>
  <si>
    <t>MC0327_3</t>
  </si>
  <si>
    <t>DSCN2622</t>
  </si>
  <si>
    <t>MC0327_4</t>
  </si>
  <si>
    <t>BU0327_2-4</t>
  </si>
  <si>
    <t>BU0327_6-7</t>
  </si>
  <si>
    <t>M4R0327_1-2</t>
  </si>
  <si>
    <t>M4R0327_4-6</t>
  </si>
  <si>
    <t>M4R0327_7-11</t>
  </si>
  <si>
    <t>MC0327_1-4</t>
  </si>
  <si>
    <t>DSCN2624</t>
  </si>
  <si>
    <t>UK0328_1</t>
  </si>
  <si>
    <t>OW/BS</t>
  </si>
  <si>
    <t>DSCN2625</t>
  </si>
  <si>
    <t>UK0328_2</t>
  </si>
  <si>
    <t>Video starts just as bird extracts food.</t>
  </si>
  <si>
    <t>DSCN2626</t>
  </si>
  <si>
    <t>UK0328_3</t>
  </si>
  <si>
    <t>Unknown_territory</t>
  </si>
  <si>
    <t>UN0328_1-3</t>
  </si>
  <si>
    <t>DSCN2668</t>
  </si>
  <si>
    <t>M2370330_1</t>
  </si>
  <si>
    <t xml:space="preserve">Aspen bare branch near joint. </t>
  </si>
  <si>
    <t>Didn't get foraging on tape, just acquisition</t>
  </si>
  <si>
    <t>DSCN2671</t>
  </si>
  <si>
    <t>M2370330_2</t>
  </si>
  <si>
    <t>DSCN2672</t>
  </si>
  <si>
    <t>M2370330_3</t>
  </si>
  <si>
    <t>DSCN2673</t>
  </si>
  <si>
    <t>M2370330_4</t>
  </si>
  <si>
    <t>DSCN2674</t>
  </si>
  <si>
    <t>M2370330_5</t>
  </si>
  <si>
    <t>Interior spruce foliage near crown</t>
  </si>
  <si>
    <t xml:space="preserve">Grabbed cone and seemed to hammer at it. </t>
  </si>
  <si>
    <t>DSCN2676</t>
  </si>
  <si>
    <t>M2370330_6</t>
  </si>
  <si>
    <t>DSCN2677</t>
  </si>
  <si>
    <t>M2370330_7</t>
  </si>
  <si>
    <t>Bird arrived with food, not sure where it came from.</t>
  </si>
  <si>
    <t>DSCN2678</t>
  </si>
  <si>
    <t>M2370330_8</t>
  </si>
  <si>
    <t>Aspen branch in knotted wood</t>
  </si>
  <si>
    <t>Video starts after bird already pulled firs tfood bit out.  Not sure if cache or not so took point</t>
  </si>
  <si>
    <t>unknown (maybe plant?)</t>
  </si>
  <si>
    <t>DSCN2682</t>
  </si>
  <si>
    <t>M2370330_9</t>
  </si>
  <si>
    <t>Insect (flying insect)</t>
  </si>
  <si>
    <t>Exterior foliate spruce branch</t>
  </si>
  <si>
    <t>DSCN2683</t>
  </si>
  <si>
    <t>M2370330_10</t>
  </si>
  <si>
    <t>DSCN2686</t>
  </si>
  <si>
    <t>M2370330_11</t>
  </si>
  <si>
    <t>DSCN2687</t>
  </si>
  <si>
    <t>M2370330_12</t>
  </si>
  <si>
    <t>M2370330_13</t>
  </si>
  <si>
    <t>DSCN2689</t>
  </si>
  <si>
    <t>DSCN2688</t>
  </si>
  <si>
    <t>M2370330_14</t>
  </si>
  <si>
    <t>DSCN2691</t>
  </si>
  <si>
    <t>M2370330_15</t>
  </si>
  <si>
    <t>DSCN2694</t>
  </si>
  <si>
    <t>M2370330_16</t>
  </si>
  <si>
    <t>DSCN2685</t>
  </si>
  <si>
    <t>M2370330_17</t>
  </si>
  <si>
    <t>DSCN2696</t>
  </si>
  <si>
    <t>M2370330_18</t>
  </si>
  <si>
    <t>DSCN2697</t>
  </si>
  <si>
    <t>M2370330_19</t>
  </si>
  <si>
    <t>DSCN2698</t>
  </si>
  <si>
    <t>M2370330_20</t>
  </si>
  <si>
    <t>DSCN2699</t>
  </si>
  <si>
    <t>M2370330_21</t>
  </si>
  <si>
    <t>DSCN2700</t>
  </si>
  <si>
    <t>M2370330_22</t>
  </si>
  <si>
    <t>unknown (Probably bugs)</t>
  </si>
  <si>
    <t>DSCN2701</t>
  </si>
  <si>
    <t>WW0330_1</t>
  </si>
  <si>
    <t>DSCN2702</t>
  </si>
  <si>
    <t>WW0330_2</t>
  </si>
  <si>
    <t>DSCN2703</t>
  </si>
  <si>
    <t>WW0330_3</t>
  </si>
  <si>
    <t>DSCN2706</t>
  </si>
  <si>
    <t>WW0330_4</t>
  </si>
  <si>
    <t>DSCN2707</t>
  </si>
  <si>
    <t>WW0330_5</t>
  </si>
  <si>
    <t>WW0330_6</t>
  </si>
  <si>
    <t>DSCN2709</t>
  </si>
  <si>
    <t>WW0330_7</t>
  </si>
  <si>
    <t>Spider</t>
  </si>
  <si>
    <t>DSCN2711</t>
  </si>
  <si>
    <t>WW0330_8</t>
  </si>
  <si>
    <t>DSCN2712</t>
  </si>
  <si>
    <t>WW0330_9</t>
  </si>
  <si>
    <t>DSCN2713</t>
  </si>
  <si>
    <t>WW0330_10</t>
  </si>
  <si>
    <t>DSCN2714</t>
  </si>
  <si>
    <t>WW0330_11</t>
  </si>
  <si>
    <t>DSCN2715</t>
  </si>
  <si>
    <t>WW0330_12</t>
  </si>
  <si>
    <t>Processing kill</t>
  </si>
  <si>
    <t>DSCN2716</t>
  </si>
  <si>
    <t>WW0330_13</t>
  </si>
  <si>
    <t>Caching caterpillar from previous videos</t>
  </si>
  <si>
    <t>DSCN2717</t>
  </si>
  <si>
    <t>WW0330_14</t>
  </si>
  <si>
    <t>Did not cound any foraging time for this one because we don't know exactly when it grabbed it.  All foraging time counted in previous row. Put camera trap on cache tree.</t>
  </si>
  <si>
    <t>DSCN2718</t>
  </si>
  <si>
    <t>WW0330_15</t>
  </si>
  <si>
    <t>DSCN2719</t>
  </si>
  <si>
    <t>WW0330_16</t>
  </si>
  <si>
    <t>DSCN2720</t>
  </si>
  <si>
    <t>WW0330_17</t>
  </si>
  <si>
    <t>NW</t>
  </si>
  <si>
    <t>Cached caterpillar from previous row</t>
  </si>
  <si>
    <t>DSCN2721</t>
  </si>
  <si>
    <t>WW0330_18</t>
  </si>
  <si>
    <t>M2370330_3-8</t>
  </si>
  <si>
    <t>M2370330_9-10</t>
  </si>
  <si>
    <t>M2370330_11-15</t>
  </si>
  <si>
    <t>M237033016-22</t>
  </si>
  <si>
    <t>WW0330_1-3</t>
  </si>
  <si>
    <t>WW0330_4-18</t>
  </si>
  <si>
    <t>CT2, CT3</t>
  </si>
  <si>
    <t>There's one frame where you can see the food item.  It is a dark glossy black but doesn't look like a berry.  Looks like a bug</t>
  </si>
  <si>
    <t>DSCN2725</t>
  </si>
  <si>
    <t>M4R0401_1</t>
  </si>
  <si>
    <t>DSCN2726</t>
  </si>
  <si>
    <t>M4W0401_1</t>
  </si>
  <si>
    <t>M4West</t>
  </si>
  <si>
    <t>BR/RS</t>
  </si>
  <si>
    <t>Either made a cache or recovered food…?</t>
  </si>
  <si>
    <t>DSCN2730</t>
  </si>
  <si>
    <t>M4W0401_2</t>
  </si>
  <si>
    <t>DSCN2732</t>
  </si>
  <si>
    <t>M4W0401_3</t>
  </si>
  <si>
    <t>DSCN2736</t>
  </si>
  <si>
    <t>BU0401_1</t>
  </si>
  <si>
    <t>DSCN2738</t>
  </si>
  <si>
    <t>BU0401_2</t>
  </si>
  <si>
    <t>DSCN2740</t>
  </si>
  <si>
    <t>BU0401_3</t>
  </si>
  <si>
    <t>DSCN2741</t>
  </si>
  <si>
    <t>BU0401_4</t>
  </si>
  <si>
    <t>DSCN2742</t>
  </si>
  <si>
    <t>BU0401_5</t>
  </si>
  <si>
    <t>BU0401_6</t>
  </si>
  <si>
    <t>DSCN2746</t>
  </si>
  <si>
    <t>BU0401_7</t>
  </si>
  <si>
    <t>Insect (Black caterpiller)</t>
  </si>
  <si>
    <t>Insect (Balck caterpiller)</t>
  </si>
  <si>
    <t>Missed foraging, but Liz witnessed initial capture</t>
  </si>
  <si>
    <t>DSCN2747</t>
  </si>
  <si>
    <t>BU0401_8</t>
  </si>
  <si>
    <t>BU0401_9</t>
  </si>
  <si>
    <t>DSCN2749</t>
  </si>
  <si>
    <t>BU0401_10</t>
  </si>
  <si>
    <t>DSCN2751</t>
  </si>
  <si>
    <t>BU0401_11</t>
  </si>
  <si>
    <t>DSCN2752</t>
  </si>
  <si>
    <t>BU0401_12</t>
  </si>
  <si>
    <t>DSCN2753</t>
  </si>
  <si>
    <t>BU0401_13</t>
  </si>
  <si>
    <t>DSCN2755</t>
  </si>
  <si>
    <t>BU0401_14</t>
  </si>
  <si>
    <t>Missed food acquisition but saw it come from ground with naked eye.</t>
  </si>
  <si>
    <t>DSCN2758</t>
  </si>
  <si>
    <t>BU0401_15</t>
  </si>
  <si>
    <t xml:space="preserve">Bird flushed after camera went off, and had the big caterpillar you see in the next clip.  Counting it as acquisition here so it matches foraging time. </t>
  </si>
  <si>
    <t>DSCN2759</t>
  </si>
  <si>
    <t>BU0401_16</t>
  </si>
  <si>
    <t>DSCN2760</t>
  </si>
  <si>
    <t>BU0401_17</t>
  </si>
  <si>
    <t>E</t>
  </si>
  <si>
    <t xml:space="preserve">Confident cache based on behavior and that it just had food, but we did not get visual confirmation. </t>
  </si>
  <si>
    <t>DSCN2764</t>
  </si>
  <si>
    <t>MC0401_1</t>
  </si>
  <si>
    <t>Unknown (but it's definitely a caterpiller)</t>
  </si>
  <si>
    <t>DSCN2765</t>
  </si>
  <si>
    <t>MC0401_2</t>
  </si>
  <si>
    <t>DSCN2767</t>
  </si>
  <si>
    <t>MC0401_3</t>
  </si>
  <si>
    <t>DSCN2769</t>
  </si>
  <si>
    <t>MC0401_4</t>
  </si>
  <si>
    <t>CT1, CT2</t>
  </si>
  <si>
    <t>BU0401_1-2</t>
  </si>
  <si>
    <t>BU0401_3-10</t>
  </si>
  <si>
    <t>BU0401_11-17</t>
  </si>
  <si>
    <t>MC0401_1-4</t>
  </si>
  <si>
    <t>DSCN2802</t>
  </si>
  <si>
    <t>CC0402_1</t>
  </si>
  <si>
    <t xml:space="preserve">Flew directly to tree from perch. Camera started filming after it extracted food. </t>
  </si>
  <si>
    <t>DSCN2804</t>
  </si>
  <si>
    <t>CC0402_2</t>
  </si>
  <si>
    <t>DSCN2807</t>
  </si>
  <si>
    <t>CC0402_3</t>
  </si>
  <si>
    <t>DSCN2809</t>
  </si>
  <si>
    <t>CC0402_4</t>
  </si>
  <si>
    <t>SE</t>
  </si>
  <si>
    <t>Missed acquisition (on camera but saw IRL)</t>
  </si>
  <si>
    <t>DSCN2813</t>
  </si>
  <si>
    <t>WW0402_1</t>
  </si>
  <si>
    <t>DSCN2814</t>
  </si>
  <si>
    <t>WW0402_2</t>
  </si>
  <si>
    <t>CC</t>
  </si>
  <si>
    <t>DSCN2819</t>
  </si>
  <si>
    <t>M2370403_1</t>
  </si>
  <si>
    <t>DSCN2833</t>
  </si>
  <si>
    <t>M2370403_2</t>
  </si>
  <si>
    <t>DSCN2834</t>
  </si>
  <si>
    <t>M2370403_3</t>
  </si>
  <si>
    <t>DSCN2835</t>
  </si>
  <si>
    <t>M2370403_4</t>
  </si>
  <si>
    <t>Interior spruce branch bare bark</t>
  </si>
  <si>
    <t>DSCN2836</t>
  </si>
  <si>
    <t>M2370403_5</t>
  </si>
  <si>
    <t>DSCN2837</t>
  </si>
  <si>
    <t>M2370403_6</t>
  </si>
  <si>
    <t>DSCN2838</t>
  </si>
  <si>
    <t>M2370403_7</t>
  </si>
  <si>
    <t>DSCN2839</t>
  </si>
  <si>
    <t>M2370403_8</t>
  </si>
  <si>
    <t>DSCN2841</t>
  </si>
  <si>
    <t>M230403_9</t>
  </si>
  <si>
    <t>DSCN2844</t>
  </si>
  <si>
    <t>M2370403_10</t>
  </si>
  <si>
    <t>Spruc, Aspen</t>
  </si>
  <si>
    <t>DSCN2845</t>
  </si>
  <si>
    <t>M2370403_11</t>
  </si>
  <si>
    <t xml:space="preserve">By editing the video and lightening up the brightness I could see that it did not make a chase but rather aquired food.  </t>
  </si>
  <si>
    <t>DSCN2846</t>
  </si>
  <si>
    <t>M2370403_12</t>
  </si>
  <si>
    <t>DSCN2847</t>
  </si>
  <si>
    <t>M2370403_13</t>
  </si>
  <si>
    <t>DSCN2848</t>
  </si>
  <si>
    <t>M2370403_14</t>
  </si>
  <si>
    <t>DSCN2849</t>
  </si>
  <si>
    <t>M2370403_15</t>
  </si>
  <si>
    <t>Interior bare spruce branch on witch hair</t>
  </si>
  <si>
    <t>Recovers at least three items from the first cache. Maybe dried berries? Tough to say.</t>
  </si>
  <si>
    <t>Maybe insect?  Or plant bud?</t>
  </si>
  <si>
    <t>DSCN2850</t>
  </si>
  <si>
    <t>M2370403_16</t>
  </si>
  <si>
    <t>DSCN2851</t>
  </si>
  <si>
    <t>M2370403_17</t>
  </si>
  <si>
    <t>DSCN2852</t>
  </si>
  <si>
    <t>M2370403_18</t>
  </si>
  <si>
    <t>Exterior spruce branch stuck to witch hair</t>
  </si>
  <si>
    <t>DID NOT COLLECT</t>
  </si>
  <si>
    <t>DSCN2853</t>
  </si>
  <si>
    <t>M2370403_19</t>
  </si>
  <si>
    <t>DSCN2854</t>
  </si>
  <si>
    <t>M2370403_20</t>
  </si>
  <si>
    <t>DSCN2861</t>
  </si>
  <si>
    <t>BU0403_1</t>
  </si>
  <si>
    <t>DSCN2862</t>
  </si>
  <si>
    <t>BU0403_2</t>
  </si>
  <si>
    <t>DSCN2863</t>
  </si>
  <si>
    <t>BU0403_3</t>
  </si>
  <si>
    <t>Spider and unknown</t>
  </si>
  <si>
    <t>S</t>
  </si>
  <si>
    <t>Deployed camera. Not sure when it collected the spider, so we didn't mark a distance.  It could have been at the end of the last video, or sometime earlier</t>
  </si>
  <si>
    <t>DSCN2905</t>
  </si>
  <si>
    <t>MC0404_1</t>
  </si>
  <si>
    <t>DSCN2906</t>
  </si>
  <si>
    <t>MC0404_2</t>
  </si>
  <si>
    <t>DSCN2907</t>
  </si>
  <si>
    <t>MC0404_3</t>
  </si>
  <si>
    <t>DSCN2909</t>
  </si>
  <si>
    <t>MC0404_4</t>
  </si>
  <si>
    <t>DSCN2910</t>
  </si>
  <si>
    <t>MC0404_5</t>
  </si>
  <si>
    <t>DSCN2912</t>
  </si>
  <si>
    <t>MC0404_6</t>
  </si>
  <si>
    <t>CT1, CT2, CT3, CT4</t>
  </si>
  <si>
    <t>WR/OS</t>
  </si>
  <si>
    <t>DSCN2947</t>
  </si>
  <si>
    <t>WW0405_1</t>
  </si>
  <si>
    <t>DSCN2948</t>
  </si>
  <si>
    <t>WW0405_2</t>
  </si>
  <si>
    <t>DSCN2950</t>
  </si>
  <si>
    <t>WW0405_3</t>
  </si>
  <si>
    <t>Same piller from previous video</t>
  </si>
  <si>
    <t>DSCN2951</t>
  </si>
  <si>
    <t>WW0405_4</t>
  </si>
  <si>
    <t>Caching piller from preivous videos. Depoloyed camera on this tree.</t>
  </si>
  <si>
    <t>DSCN2953</t>
  </si>
  <si>
    <t>WW0405_5</t>
  </si>
  <si>
    <t>Missed some of the foraging time for this one</t>
  </si>
  <si>
    <t>DSCN2958</t>
  </si>
  <si>
    <t>WW0405_6</t>
  </si>
  <si>
    <t>DSCN2960</t>
  </si>
  <si>
    <t>WW0405_7</t>
  </si>
  <si>
    <t>WW0405_8</t>
  </si>
  <si>
    <t>DSCN2962</t>
  </si>
  <si>
    <t>WW0405_9</t>
  </si>
  <si>
    <t>DSCN2963</t>
  </si>
  <si>
    <t>WW0405_10</t>
  </si>
  <si>
    <t>DSCN2964</t>
  </si>
  <si>
    <t>WW0405_11</t>
  </si>
  <si>
    <t>DSCN2965</t>
  </si>
  <si>
    <t>WW0405_12</t>
  </si>
  <si>
    <t xml:space="preserve">Missed the intial tree foraing.  Not sure if she aquired anything on the gorund. </t>
  </si>
  <si>
    <t>DSCN2968</t>
  </si>
  <si>
    <t>WW0405_13</t>
  </si>
  <si>
    <t>DSCN2969</t>
  </si>
  <si>
    <t>WW0405_14</t>
  </si>
  <si>
    <t>Pillar from previous video</t>
  </si>
  <si>
    <t>DSCN2970</t>
  </si>
  <si>
    <t>WW0405_15</t>
  </si>
  <si>
    <t>DSCN2971</t>
  </si>
  <si>
    <t>WW0405_16</t>
  </si>
  <si>
    <t>DSCN2972</t>
  </si>
  <si>
    <t>WW0405_17</t>
  </si>
  <si>
    <t>DSCN2973</t>
  </si>
  <si>
    <t>WW0405_18</t>
  </si>
  <si>
    <t>DSCN2974</t>
  </si>
  <si>
    <t>WW0405_19</t>
  </si>
  <si>
    <t>DSCN2975</t>
  </si>
  <si>
    <t>WW0405_20</t>
  </si>
  <si>
    <t>DSCN2976</t>
  </si>
  <si>
    <t>WW0405_21</t>
  </si>
  <si>
    <t>DSCN2978</t>
  </si>
  <si>
    <t>WW0405_22</t>
  </si>
  <si>
    <t>DSCN2980</t>
  </si>
  <si>
    <t>WW0405_23</t>
  </si>
  <si>
    <t>DSCN2981</t>
  </si>
  <si>
    <t>WW0405_24</t>
  </si>
  <si>
    <t>DSCN2982</t>
  </si>
  <si>
    <t>WW0405_25</t>
  </si>
  <si>
    <t>DSCN2986</t>
  </si>
  <si>
    <t>WW0405_26</t>
  </si>
  <si>
    <t>DSCN2987</t>
  </si>
  <si>
    <t>WW0405_27</t>
  </si>
  <si>
    <t>DSCN2988</t>
  </si>
  <si>
    <t>WW0405_28</t>
  </si>
  <si>
    <t>DSCN2989</t>
  </si>
  <si>
    <t>WW0405_29</t>
  </si>
  <si>
    <t>DSCN2990</t>
  </si>
  <si>
    <t>WW0405_30</t>
  </si>
  <si>
    <t>DSCN2992</t>
  </si>
  <si>
    <t>WW0405_31</t>
  </si>
  <si>
    <t>DSCN2993</t>
  </si>
  <si>
    <t>WW0405_32</t>
  </si>
  <si>
    <t>DSCN2994</t>
  </si>
  <si>
    <t>WW0405_33</t>
  </si>
  <si>
    <t>DSCN2995</t>
  </si>
  <si>
    <t>WW0405_34</t>
  </si>
  <si>
    <t>WW0405_1-34</t>
  </si>
  <si>
    <t>DSCN3011</t>
  </si>
  <si>
    <t>DSCN3012</t>
  </si>
  <si>
    <t>M2370409_1</t>
  </si>
  <si>
    <t>M2370409_2</t>
  </si>
  <si>
    <t>DSCN3014</t>
  </si>
  <si>
    <t>M2370409_3</t>
  </si>
  <si>
    <t>DSCN3015</t>
  </si>
  <si>
    <t>M2370409_4</t>
  </si>
  <si>
    <t>DSCN3016</t>
  </si>
  <si>
    <t>M2370409_5</t>
  </si>
  <si>
    <t>DSCN3018</t>
  </si>
  <si>
    <t>M2370409_6</t>
  </si>
  <si>
    <t>DSCN3024</t>
  </si>
  <si>
    <t>M4R0409_1</t>
  </si>
  <si>
    <t>Placed camera on CT</t>
  </si>
  <si>
    <t>DSCN3025</t>
  </si>
  <si>
    <t>M4R0409_2</t>
  </si>
  <si>
    <t>Same pillar from previous video</t>
  </si>
  <si>
    <t>DSCN3026</t>
  </si>
  <si>
    <t>M4R0409_3</t>
  </si>
  <si>
    <t>At the time I thought this birds was YO/BS. But it's possible that YO/BS and OB/YS switched because the cache tree in the later video has a black caterpillar cache from OB/YS.  So we marked this as unknown, rather than assume it was actually ob/ys</t>
  </si>
  <si>
    <t>DSCN3027</t>
  </si>
  <si>
    <t>M4R0409_4</t>
  </si>
  <si>
    <t>Top of willow branch</t>
  </si>
  <si>
    <t>NA-top of branch</t>
  </si>
  <si>
    <t>TBD</t>
  </si>
  <si>
    <t>DSCN3029</t>
  </si>
  <si>
    <t>M4R0409_5</t>
  </si>
  <si>
    <t>DSCN3031</t>
  </si>
  <si>
    <t>M4R0409_6</t>
  </si>
  <si>
    <t xml:space="preserve">Cached two caterpillars on the same branch.  Put Camera out on this cache. Again, we thought originally that YO/BS grabbed the black caterpillar but now we aren't sure.  Maybe they switched off camera.  So we don't have a distance for the black caterpillar.  </t>
  </si>
  <si>
    <t>DSCN3032</t>
  </si>
  <si>
    <t>M4R0409_7</t>
  </si>
  <si>
    <t>DSCN3033</t>
  </si>
  <si>
    <t>M3R0409_8</t>
  </si>
  <si>
    <t>DSCN3034</t>
  </si>
  <si>
    <t>M4R0409_9</t>
  </si>
  <si>
    <t>DSCN3035</t>
  </si>
  <si>
    <t>M4R0409_10</t>
  </si>
  <si>
    <t>DSCN3037</t>
  </si>
  <si>
    <t>M4R0409_11</t>
  </si>
  <si>
    <t>DSCN3040</t>
  </si>
  <si>
    <t>M4R0409_12</t>
  </si>
  <si>
    <t xml:space="preserve">Missed aquistion.  We reviewed the videos (and out memories) very carefully to confirm that in the previous video it's YO/BS that gets the caterpiller and it's a coincidence that now this bird also has one. </t>
  </si>
  <si>
    <t>DSCN3041</t>
  </si>
  <si>
    <t>M4R0409_13</t>
  </si>
  <si>
    <t>DSCN3043</t>
  </si>
  <si>
    <t>WW0410_1</t>
  </si>
  <si>
    <t>Was perched at top of tree and immediately pulled this out.</t>
  </si>
  <si>
    <t>UNK0411_1</t>
  </si>
  <si>
    <t>unbanded</t>
  </si>
  <si>
    <t>Unknown (maybe a berry)</t>
  </si>
  <si>
    <t>DSCN3048</t>
  </si>
  <si>
    <t>UNK0411_2</t>
  </si>
  <si>
    <t>DSCN3047</t>
  </si>
  <si>
    <t>DSCN3046</t>
  </si>
  <si>
    <t>UNK0411_3</t>
  </si>
  <si>
    <t>Unknown (plant bit)</t>
  </si>
  <si>
    <t>DSCN3049</t>
  </si>
  <si>
    <t>UNK0411_4</t>
  </si>
  <si>
    <t>DSCN3050</t>
  </si>
  <si>
    <t>UNK0411_5</t>
  </si>
  <si>
    <t>DSCN3053</t>
  </si>
  <si>
    <t>UNK411_6</t>
  </si>
  <si>
    <t>DSCN3057</t>
  </si>
  <si>
    <t>UNK0411_7</t>
  </si>
  <si>
    <t>UNK0411_8</t>
  </si>
  <si>
    <t>DSCN3059</t>
  </si>
  <si>
    <t>DSCN3104</t>
  </si>
  <si>
    <t>BU0415_1</t>
  </si>
  <si>
    <t>Animal flesh (unknown)</t>
  </si>
  <si>
    <t xml:space="preserve">Perched in a tree and just pulled this out without looking for it.  </t>
  </si>
  <si>
    <t>DSCN3105</t>
  </si>
  <si>
    <t>BU0415_2</t>
  </si>
  <si>
    <t>DSCN3106</t>
  </si>
  <si>
    <t>BU0415_3</t>
  </si>
  <si>
    <t>Not postive about food acquisitions, but seems like he got at least 2, maybe even three based on post foraging behavior</t>
  </si>
  <si>
    <t>BU0415_4</t>
  </si>
  <si>
    <t>DSCN3108</t>
  </si>
  <si>
    <t>DSCN3109</t>
  </si>
  <si>
    <t>DSCN3114</t>
  </si>
  <si>
    <t>BU0415_6</t>
  </si>
  <si>
    <t>BU0415_5</t>
  </si>
  <si>
    <t>DSCN3120</t>
  </si>
  <si>
    <t>BU0415_7</t>
  </si>
  <si>
    <t>Couldn't see it for most of video.  Estimates 5s foraging time</t>
  </si>
  <si>
    <t>DSCN3121</t>
  </si>
  <si>
    <t>BU0415_8</t>
  </si>
  <si>
    <t>Insect (small Black caterpiller)</t>
  </si>
  <si>
    <t>DSCN3122</t>
  </si>
  <si>
    <t>BU0415_9</t>
  </si>
  <si>
    <t xml:space="preserve">Seemed like a temporary cache because it did not coat in spit. </t>
  </si>
  <si>
    <t>DSCN3125</t>
  </si>
  <si>
    <t>M2370415_1</t>
  </si>
  <si>
    <t>DSCN3128</t>
  </si>
  <si>
    <t>M2370415_2</t>
  </si>
  <si>
    <t>DSCN3129</t>
  </si>
  <si>
    <t>M2370415_3</t>
  </si>
  <si>
    <t xml:space="preserve">Recovered whole cached mushroom. Moved it to another tree and left.  Did not formally cache it. </t>
  </si>
  <si>
    <t>Insects (2 caterpillars, incl brown and black ones and a SPIDER)</t>
  </si>
  <si>
    <t>DSCN3132</t>
  </si>
  <si>
    <t>M2370415_4</t>
  </si>
  <si>
    <t>DSCN3135</t>
  </si>
  <si>
    <t>M2370415_5</t>
  </si>
  <si>
    <t>DSCN3136</t>
  </si>
  <si>
    <t>M2370415_6</t>
  </si>
  <si>
    <t>DSCN3137</t>
  </si>
  <si>
    <t>M2370415_7</t>
  </si>
  <si>
    <t xml:space="preserve">Looked from a tree and then went to carcass. </t>
  </si>
  <si>
    <t>DSCN3138</t>
  </si>
  <si>
    <t>M2370415_8</t>
  </si>
  <si>
    <t xml:space="preserve">Same acquisition trip as previous video so does not count as acquisition.  </t>
  </si>
  <si>
    <t>DSCN3141</t>
  </si>
  <si>
    <t>M2370415_9</t>
  </si>
  <si>
    <t>DSCN3143</t>
  </si>
  <si>
    <t>M2370415_10</t>
  </si>
  <si>
    <t>DSCN3145</t>
  </si>
  <si>
    <t>M2370415_11</t>
  </si>
  <si>
    <t>DSCN3126</t>
  </si>
  <si>
    <t>M2370415_12</t>
  </si>
  <si>
    <t>DSCN3147</t>
  </si>
  <si>
    <t>M2370415_13</t>
  </si>
  <si>
    <t>DSCN3148</t>
  </si>
  <si>
    <t>M2370415_14</t>
  </si>
  <si>
    <t>DSCN3151</t>
  </si>
  <si>
    <t>M2370415_15</t>
  </si>
  <si>
    <t>DSCN3153</t>
  </si>
  <si>
    <t>M2370415_16</t>
  </si>
  <si>
    <t>Grabs a leaf and leaves.  Maybe bug inside?</t>
  </si>
  <si>
    <t>DSCN3154</t>
  </si>
  <si>
    <t>M2370415_17</t>
  </si>
  <si>
    <t>DSCN3155</t>
  </si>
  <si>
    <t>M2370415_18</t>
  </si>
  <si>
    <t>DSCN3156</t>
  </si>
  <si>
    <t>M2370415_19</t>
  </si>
  <si>
    <t>CT3</t>
  </si>
  <si>
    <t>DSCN3158</t>
  </si>
  <si>
    <t>MC0416_1</t>
  </si>
  <si>
    <t>Berry (2- cranberry)</t>
  </si>
  <si>
    <t xml:space="preserve">Initially I thought ut had grabbed a caterpiller but wasn't confident enough to mark. </t>
  </si>
  <si>
    <t>DSCN3159</t>
  </si>
  <si>
    <t>MC0416_2</t>
  </si>
  <si>
    <t>DSCN3160</t>
  </si>
  <si>
    <t>MC0416_3</t>
  </si>
  <si>
    <t>DSCN3161</t>
  </si>
  <si>
    <t>MC0416_4</t>
  </si>
  <si>
    <t>DSCN3165</t>
  </si>
  <si>
    <t>WW0416_1</t>
  </si>
  <si>
    <t>DSCN3166</t>
  </si>
  <si>
    <t>WW0416_2</t>
  </si>
  <si>
    <t xml:space="preserve">Still working on trip to hare from previous video. </t>
  </si>
  <si>
    <t>DSCN3170</t>
  </si>
  <si>
    <t>DSCN3169</t>
  </si>
  <si>
    <t>WW0416_3</t>
  </si>
  <si>
    <t>WW0416_4</t>
  </si>
  <si>
    <t>Did not capture cache on video</t>
  </si>
  <si>
    <t>DSCN3171</t>
  </si>
  <si>
    <t>WW0416_5</t>
  </si>
  <si>
    <t xml:space="preserve">Returned to hare carcass. </t>
  </si>
  <si>
    <t>DSCN3172</t>
  </si>
  <si>
    <t>WW0416_6</t>
  </si>
  <si>
    <t>DSCN3173</t>
  </si>
  <si>
    <t>WW0416_7</t>
  </si>
  <si>
    <t>Cached hare from previous 2 videos.</t>
  </si>
  <si>
    <t>DSCN3174</t>
  </si>
  <si>
    <t>WW0416_8</t>
  </si>
  <si>
    <t>DSCN3175</t>
  </si>
  <si>
    <t>WW0416_9</t>
  </si>
  <si>
    <t>DSCN3188</t>
  </si>
  <si>
    <t>CC0416_1</t>
  </si>
  <si>
    <t>CCAMP</t>
  </si>
  <si>
    <t>DSCN3199</t>
  </si>
  <si>
    <t>CC0416_2</t>
  </si>
  <si>
    <t xml:space="preserve">In slowmo you can see that it is not caching, but rather chasing an insect.  The bug gets away </t>
  </si>
  <si>
    <t>DSCN3202</t>
  </si>
  <si>
    <t>CC0416_3</t>
  </si>
  <si>
    <t>DSCN3204</t>
  </si>
  <si>
    <t>CC0416_4</t>
  </si>
  <si>
    <t>DSCN3205</t>
  </si>
  <si>
    <t>CC0416_5</t>
  </si>
  <si>
    <t>DSCN3206</t>
  </si>
  <si>
    <t>CC0416_6</t>
  </si>
  <si>
    <t>DSCN3207</t>
  </si>
  <si>
    <t>Spruce sapling trunk</t>
  </si>
  <si>
    <t>DSCN3209</t>
  </si>
  <si>
    <t>M4R0417_1</t>
  </si>
  <si>
    <t>Overcast, light snow</t>
  </si>
  <si>
    <t>DSCN3210</t>
  </si>
  <si>
    <t>M4R0417_2</t>
  </si>
  <si>
    <t>DSCN3217</t>
  </si>
  <si>
    <t>M4R0417_3</t>
  </si>
  <si>
    <t>DSCN3220</t>
  </si>
  <si>
    <t>M4R0417_4</t>
  </si>
  <si>
    <t>DSCN3221</t>
  </si>
  <si>
    <t>M4R0417_5</t>
  </si>
  <si>
    <t>DSCN3223</t>
  </si>
  <si>
    <t>M4R0417_6</t>
  </si>
  <si>
    <t>DSCN3224</t>
  </si>
  <si>
    <t>M4R0417_7</t>
  </si>
  <si>
    <t>DSCN3225</t>
  </si>
  <si>
    <t>M4R0417_8</t>
  </si>
  <si>
    <t>DSCN3226</t>
  </si>
  <si>
    <t>M4R0417_9</t>
  </si>
  <si>
    <t xml:space="preserve">Did not capture foraging, only acquisition. </t>
  </si>
  <si>
    <t>DSCN3228</t>
  </si>
  <si>
    <t>M4R0417_10</t>
  </si>
  <si>
    <t>DSCN3229</t>
  </si>
  <si>
    <t>M4R0417_11</t>
  </si>
  <si>
    <t>DSCN3230</t>
  </si>
  <si>
    <t>M4R0417_12</t>
  </si>
  <si>
    <t>Could have been looking for a place to cache</t>
  </si>
  <si>
    <t>DSCN3231</t>
  </si>
  <si>
    <t>M4R0417_13</t>
  </si>
  <si>
    <t>DSCN3232</t>
  </si>
  <si>
    <t>M4R0417_14</t>
  </si>
  <si>
    <t>DSCN3233</t>
  </si>
  <si>
    <t>M4R0417_15</t>
  </si>
  <si>
    <t>DSCN3234</t>
  </si>
  <si>
    <t>M4R0417_16</t>
  </si>
  <si>
    <t>DSCN3235</t>
  </si>
  <si>
    <t>M4R0417_17</t>
  </si>
  <si>
    <t>If previous CT, label</t>
  </si>
  <si>
    <t>M4R100518CT3</t>
  </si>
  <si>
    <t>Searching/probing/ Bark chpping</t>
  </si>
  <si>
    <t>Repeatedly removes bark and then inserts it into palce it's trying to probe???</t>
  </si>
  <si>
    <t>DSCN3236</t>
  </si>
  <si>
    <t>M4R0417_18</t>
  </si>
  <si>
    <t>DSCN3239</t>
  </si>
  <si>
    <t>AQ0417_1</t>
  </si>
  <si>
    <t>DSCN3240</t>
  </si>
  <si>
    <t>AQ0417_2</t>
  </si>
  <si>
    <t>DSCN3241</t>
  </si>
  <si>
    <t>AQ0417_3</t>
  </si>
  <si>
    <t>AQ0417_4</t>
  </si>
  <si>
    <t>DSCN3242</t>
  </si>
  <si>
    <t>DSCN3243</t>
  </si>
  <si>
    <t>AQ0417_5</t>
  </si>
  <si>
    <t>w</t>
  </si>
  <si>
    <t>DSCN3245</t>
  </si>
  <si>
    <t>AQ0417_6</t>
  </si>
  <si>
    <t>Berry (2)</t>
  </si>
  <si>
    <t>DSCN3259</t>
  </si>
  <si>
    <t>AQ0417_8</t>
  </si>
  <si>
    <t>AQ0417_7</t>
  </si>
  <si>
    <t>DSCN3277</t>
  </si>
  <si>
    <t>MC0418_1</t>
  </si>
  <si>
    <t xml:space="preserve">Unknown orange thing. </t>
  </si>
  <si>
    <t xml:space="preserve">Had just finished caching berries and then in the same tree as the CT in the previous clip, it recovered this presumed cache and then recached it in a nearby tree. </t>
  </si>
  <si>
    <t xml:space="preserve">Had just finished caching weird thing from the previous clip and then in the same tree found what looked like another piece of it and proceeded to leave with it. </t>
  </si>
  <si>
    <t>Berries (Cranberries; 4)</t>
  </si>
  <si>
    <t>DSCN3280</t>
  </si>
  <si>
    <t>MC0418_2</t>
  </si>
  <si>
    <t>DSCN3284</t>
  </si>
  <si>
    <t>MC0418_3</t>
  </si>
  <si>
    <t>DSCN3293</t>
  </si>
  <si>
    <t>MC0418_4</t>
  </si>
  <si>
    <t>Stick</t>
  </si>
  <si>
    <t>Mangled stick on ground</t>
  </si>
  <si>
    <t>Missed initial foraging at stick</t>
  </si>
  <si>
    <t>DSCN3299</t>
  </si>
  <si>
    <t>MC0418_5</t>
  </si>
  <si>
    <t>Berry (3- cranberry)</t>
  </si>
  <si>
    <t xml:space="preserve">Eating unknown items, could have been snow.  </t>
  </si>
  <si>
    <t>DSCN3300</t>
  </si>
  <si>
    <t>MC0418_6</t>
  </si>
  <si>
    <t>DSCN3303</t>
  </si>
  <si>
    <t>MC0418_7</t>
  </si>
  <si>
    <t>DSCN3307</t>
  </si>
  <si>
    <t>MC0418_8</t>
  </si>
  <si>
    <t>DSCN3308</t>
  </si>
  <si>
    <t>MC0418_9</t>
  </si>
  <si>
    <t>DSCN3321</t>
  </si>
  <si>
    <t>MC0418_10</t>
  </si>
  <si>
    <t>DSCN3325</t>
  </si>
  <si>
    <t>DSCN3324</t>
  </si>
  <si>
    <t>BU0418_1</t>
  </si>
  <si>
    <t>Light snow</t>
  </si>
  <si>
    <t>BU0418_2</t>
  </si>
  <si>
    <t>Berry (2 Cranberries)</t>
  </si>
  <si>
    <t>DSCN3329</t>
  </si>
  <si>
    <t>BU0418_3</t>
  </si>
  <si>
    <t>DSCN3330</t>
  </si>
  <si>
    <t>BU0418_4</t>
  </si>
  <si>
    <t>DSCN3337</t>
  </si>
  <si>
    <t>M4R0419_1</t>
  </si>
  <si>
    <t>No probling on tape but had seen some earlier</t>
  </si>
  <si>
    <t>DSCN3339</t>
  </si>
  <si>
    <t>M4R0419_2</t>
  </si>
  <si>
    <t>DSCN3340</t>
  </si>
  <si>
    <t>M4R0419_3</t>
  </si>
  <si>
    <t>DSCN3341</t>
  </si>
  <si>
    <t>M4R0419_4</t>
  </si>
  <si>
    <t>DSCN3345</t>
  </si>
  <si>
    <t>M4R0419_5</t>
  </si>
  <si>
    <t>DSCN3351</t>
  </si>
  <si>
    <t>DSCN3353</t>
  </si>
  <si>
    <t>WW0422_1</t>
  </si>
  <si>
    <t>WW0422_2</t>
  </si>
  <si>
    <t>Goes to ground but not sure if acquires anything</t>
  </si>
  <si>
    <t>DSCN3354</t>
  </si>
  <si>
    <t>WW0422_3</t>
  </si>
  <si>
    <t>DSCN3356</t>
  </si>
  <si>
    <t>WW0422_4</t>
  </si>
  <si>
    <t>DSCN3358</t>
  </si>
  <si>
    <t>WW0422_5</t>
  </si>
  <si>
    <t>DSCN3359</t>
  </si>
  <si>
    <t>WW0422_6</t>
  </si>
  <si>
    <t>DSCN3362</t>
  </si>
  <si>
    <t>WW0422_7</t>
  </si>
  <si>
    <t>DSCN3363</t>
  </si>
  <si>
    <t>WW0422_8</t>
  </si>
  <si>
    <t>DSCN3364</t>
  </si>
  <si>
    <t>WW0422_9</t>
  </si>
  <si>
    <t>DSCN3365</t>
  </si>
  <si>
    <t>WW0422_10</t>
  </si>
  <si>
    <t>WW0422_11</t>
  </si>
  <si>
    <t xml:space="preserve">Insect evident in slowed video.  Can see legs/antenna </t>
  </si>
  <si>
    <t>DSCN3369</t>
  </si>
  <si>
    <t>DSCN3368</t>
  </si>
  <si>
    <t>WW0422_12</t>
  </si>
  <si>
    <t>DSCN3370</t>
  </si>
  <si>
    <t>WW0422_13</t>
  </si>
  <si>
    <t>Under bark of dead stick</t>
  </si>
  <si>
    <t>BA</t>
  </si>
  <si>
    <t>DSCN3371</t>
  </si>
  <si>
    <t>WW0422_14</t>
  </si>
  <si>
    <t>DSCN3372</t>
  </si>
  <si>
    <t>WW0422_15</t>
  </si>
  <si>
    <t>DSCN3373</t>
  </si>
  <si>
    <t>WW0422_16</t>
  </si>
  <si>
    <t>DSCN3374</t>
  </si>
  <si>
    <t>WW0422_17</t>
  </si>
  <si>
    <t>DSCN3375</t>
  </si>
  <si>
    <t>WW0422_18</t>
  </si>
  <si>
    <t>DSCN3376</t>
  </si>
  <si>
    <t>WW0422_19</t>
  </si>
  <si>
    <t>DSCN3378</t>
  </si>
  <si>
    <t>WW0422_20</t>
  </si>
  <si>
    <t>DSCN3379</t>
  </si>
  <si>
    <t>WW0422_21</t>
  </si>
  <si>
    <t xml:space="preserve">Missed first food acquisition. </t>
  </si>
  <si>
    <t>DSCN3380</t>
  </si>
  <si>
    <t>WW0422_22</t>
  </si>
  <si>
    <t>DSCN3381</t>
  </si>
  <si>
    <t>WW0422_23</t>
  </si>
  <si>
    <t>DSCN3382</t>
  </si>
  <si>
    <t>WW0422_24</t>
  </si>
  <si>
    <t>DSCN3383</t>
  </si>
  <si>
    <t>WW0422_25</t>
  </si>
  <si>
    <t>DSCN3384</t>
  </si>
  <si>
    <t>WW0422_26</t>
  </si>
  <si>
    <t>DSCN3385</t>
  </si>
  <si>
    <t>WW0422_27</t>
  </si>
  <si>
    <t>DSCN3391</t>
  </si>
  <si>
    <t>CC0422_1</t>
  </si>
  <si>
    <t>DSCN3393</t>
  </si>
  <si>
    <t>CC0422_2</t>
  </si>
  <si>
    <t>DSCN3395</t>
  </si>
  <si>
    <t>CC0422_3</t>
  </si>
  <si>
    <t>RC102418_CT7</t>
  </si>
  <si>
    <t>DSCN3396</t>
  </si>
  <si>
    <t>CC0422_4</t>
  </si>
  <si>
    <t>DSCN3397</t>
  </si>
  <si>
    <t>CC0422_5</t>
  </si>
  <si>
    <t>DSCN3398</t>
  </si>
  <si>
    <t>CC0422_6</t>
  </si>
  <si>
    <t>DSCN3400</t>
  </si>
  <si>
    <t>CC0422_7</t>
  </si>
  <si>
    <t>DSCN3401</t>
  </si>
  <si>
    <t>CC0422_8</t>
  </si>
  <si>
    <t xml:space="preserve">Looks like cache based on recovery location and appearance when in bill. </t>
  </si>
  <si>
    <t>DSCN3404</t>
  </si>
  <si>
    <t>CC0422_9</t>
  </si>
  <si>
    <t>DSCN3406</t>
  </si>
  <si>
    <t>CC0422_10</t>
  </si>
  <si>
    <t>DSCN3408</t>
  </si>
  <si>
    <t>CC0422_11</t>
  </si>
  <si>
    <t>DNM</t>
  </si>
  <si>
    <t>DSCN3409</t>
  </si>
  <si>
    <t>CC0422_12</t>
  </si>
  <si>
    <t>DSCN3410</t>
  </si>
  <si>
    <t>CC0422_13</t>
  </si>
  <si>
    <t>DSCN3411</t>
  </si>
  <si>
    <t>CC0422_14</t>
  </si>
  <si>
    <t>DSCN3412</t>
  </si>
  <si>
    <t>CC0422_15</t>
  </si>
  <si>
    <t>DSCN3415</t>
  </si>
  <si>
    <t>CC0422_16</t>
  </si>
  <si>
    <t>DSCN3417</t>
  </si>
  <si>
    <t>CC0422_17</t>
  </si>
  <si>
    <t>Processing a black caterpiller and stopped to make two separate caches in the same tree</t>
  </si>
  <si>
    <t>DSCN3418</t>
  </si>
  <si>
    <t>CC0422_18</t>
  </si>
  <si>
    <t>DSCN3419</t>
  </si>
  <si>
    <t>CC0422_19</t>
  </si>
  <si>
    <t>Exterior spruce branch under witchhair</t>
  </si>
  <si>
    <t>DSCN3420</t>
  </si>
  <si>
    <t>CC0422_20</t>
  </si>
  <si>
    <t>CC0422_21</t>
  </si>
  <si>
    <t>DSCN3424</t>
  </si>
  <si>
    <t>CC0422_22</t>
  </si>
  <si>
    <t>dscn3437</t>
  </si>
  <si>
    <t>SQ0422_1</t>
  </si>
  <si>
    <t>Sasquatch</t>
  </si>
  <si>
    <t>G/BS</t>
  </si>
  <si>
    <t>DSCN3342</t>
  </si>
  <si>
    <t>SQ0422_2</t>
  </si>
  <si>
    <t>DSCN3443</t>
  </si>
  <si>
    <t>SQ0422_3</t>
  </si>
  <si>
    <t>DSCN3445</t>
  </si>
  <si>
    <t>SQ0422_4</t>
  </si>
  <si>
    <t>DSCN3447</t>
  </si>
  <si>
    <t>SQ0422_5</t>
  </si>
  <si>
    <t>Alder leaf</t>
  </si>
  <si>
    <t xml:space="preserve">once it drops to the ground it looks like it has another buggy thing, but maybe same thing from before? </t>
  </si>
  <si>
    <t>DSCN3448</t>
  </si>
  <si>
    <t>SQ0422_6</t>
  </si>
  <si>
    <t>Manipulating the food it had already gathered</t>
  </si>
  <si>
    <t>DSCN3449</t>
  </si>
  <si>
    <t>SQ0422_7</t>
  </si>
  <si>
    <t>DSCN3450</t>
  </si>
  <si>
    <t>SQ0422_8</t>
  </si>
  <si>
    <t>DSCN3451</t>
  </si>
  <si>
    <t>SQ0422_9</t>
  </si>
  <si>
    <t>DSCN3452</t>
  </si>
  <si>
    <t>SQ0422_10</t>
  </si>
  <si>
    <t>DSCN3453</t>
  </si>
  <si>
    <t>SQ0422_11</t>
  </si>
  <si>
    <t>DSCN3454</t>
  </si>
  <si>
    <t>BU0424_1</t>
  </si>
  <si>
    <t>BU0424_2</t>
  </si>
  <si>
    <t>DSCN3457</t>
  </si>
  <si>
    <t>DSCN3458</t>
  </si>
  <si>
    <t>BU0424_3</t>
  </si>
  <si>
    <t>DSCN3459</t>
  </si>
  <si>
    <t>BU0424_4</t>
  </si>
  <si>
    <t>DSCN3463</t>
  </si>
  <si>
    <t>BU0424_5</t>
  </si>
  <si>
    <t>BU0424_6</t>
  </si>
  <si>
    <t>DSCN3465</t>
  </si>
  <si>
    <t>BU0424_7</t>
  </si>
  <si>
    <t>DSCN3466</t>
  </si>
  <si>
    <t>BU0424_8</t>
  </si>
  <si>
    <t>DSCN3467</t>
  </si>
  <si>
    <t>BU0424_9</t>
  </si>
  <si>
    <t>DSCN3469</t>
  </si>
  <si>
    <t>BU0424_10</t>
  </si>
  <si>
    <t>DSCN3470</t>
  </si>
  <si>
    <t>BU0424_11</t>
  </si>
  <si>
    <t>DSCN3475</t>
  </si>
  <si>
    <t>BU0424_12</t>
  </si>
  <si>
    <t>DSCN3476</t>
  </si>
  <si>
    <t>BU0424_13</t>
  </si>
  <si>
    <t>DSCN3477</t>
  </si>
  <si>
    <t>MC0424_1</t>
  </si>
  <si>
    <t>DSCN3478</t>
  </si>
  <si>
    <t>MC0424_2</t>
  </si>
  <si>
    <t>DSCN3479</t>
  </si>
  <si>
    <t>MC0424_3</t>
  </si>
  <si>
    <t>DSCN3481</t>
  </si>
  <si>
    <t>MC0424_4</t>
  </si>
  <si>
    <t>DSCN3482</t>
  </si>
  <si>
    <t>MC0424_5</t>
  </si>
  <si>
    <t xml:space="preserve">Looked in old nest. </t>
  </si>
  <si>
    <t>DSCN3484</t>
  </si>
  <si>
    <t>MC0424_6</t>
  </si>
  <si>
    <t>DSCN3486</t>
  </si>
  <si>
    <t>MC0424_7</t>
  </si>
  <si>
    <t>DSCN3489</t>
  </si>
  <si>
    <t>MC0424_8</t>
  </si>
  <si>
    <t>DSCN3491</t>
  </si>
  <si>
    <t>MC0424_9</t>
  </si>
  <si>
    <t>DSCN3492</t>
  </si>
  <si>
    <t>MC0424_10</t>
  </si>
  <si>
    <t>DSCN3493</t>
  </si>
  <si>
    <t>MC0424_11</t>
  </si>
  <si>
    <t>DSCN3498</t>
  </si>
  <si>
    <t>MC0424_12</t>
  </si>
  <si>
    <t xml:space="preserve">Had food at start of video.  Unclear where it got is from. </t>
  </si>
  <si>
    <t>DSCN3499</t>
  </si>
  <si>
    <t>MC0424_13</t>
  </si>
  <si>
    <t>DSCN3501</t>
  </si>
  <si>
    <t>MC0424_14</t>
  </si>
  <si>
    <t>DSCN3502</t>
  </si>
  <si>
    <t>MC0424_15</t>
  </si>
  <si>
    <t>DSCN3503</t>
  </si>
  <si>
    <t>MC0424_16</t>
  </si>
  <si>
    <t>DSCN3506</t>
  </si>
  <si>
    <t>MC0424_17</t>
  </si>
  <si>
    <t>DSCN3507</t>
  </si>
  <si>
    <t>MC0424_18</t>
  </si>
  <si>
    <t>DSCN3511</t>
  </si>
  <si>
    <t>MC0424_19</t>
  </si>
  <si>
    <t>DSCN3512</t>
  </si>
  <si>
    <t>MC0424_20</t>
  </si>
  <si>
    <t>DSCN3514</t>
  </si>
  <si>
    <t>MC0424_21</t>
  </si>
  <si>
    <t>DSCN3515</t>
  </si>
  <si>
    <t>MC0424_22</t>
  </si>
  <si>
    <t>DSCN3516</t>
  </si>
  <si>
    <t>MC0424_23</t>
  </si>
  <si>
    <t>DSCN3517</t>
  </si>
  <si>
    <t>MC0424_24</t>
  </si>
  <si>
    <t>DSCN3518</t>
  </si>
  <si>
    <t>MC0424_25</t>
  </si>
  <si>
    <t>DSCN3519</t>
  </si>
  <si>
    <t>MC0424_26</t>
  </si>
  <si>
    <t>DSCN3520</t>
  </si>
  <si>
    <t>MC0424_27</t>
  </si>
  <si>
    <t xml:space="preserve">Unknown number of probes, could not see on camera. </t>
  </si>
  <si>
    <t>DSCN3521</t>
  </si>
  <si>
    <t>MC0424_28</t>
  </si>
  <si>
    <t>DSCN3522</t>
  </si>
  <si>
    <t>MC0424_29</t>
  </si>
  <si>
    <t>DSCN3525</t>
  </si>
  <si>
    <t>CC0425_1</t>
  </si>
  <si>
    <t>DSCN3526</t>
  </si>
  <si>
    <t>CC0425_2</t>
  </si>
  <si>
    <t>DSCN3527</t>
  </si>
  <si>
    <t>CC0425_3</t>
  </si>
  <si>
    <t>DSCN3528</t>
  </si>
  <si>
    <t>CC0425_4</t>
  </si>
  <si>
    <t>DSCN3529</t>
  </si>
  <si>
    <t>CC0425_5</t>
  </si>
  <si>
    <t>DSCN3530</t>
  </si>
  <si>
    <t>CC0425_6</t>
  </si>
  <si>
    <t>DSCN3531</t>
  </si>
  <si>
    <t>CC0425_7</t>
  </si>
  <si>
    <t>DSCN3532</t>
  </si>
  <si>
    <t>CC0425_8</t>
  </si>
  <si>
    <t>DSCN3533</t>
  </si>
  <si>
    <t>CC0425_9</t>
  </si>
  <si>
    <t>DSCN3534</t>
  </si>
  <si>
    <t>CC0425_10</t>
  </si>
  <si>
    <t>DSCN3535</t>
  </si>
  <si>
    <t>CC0425_11</t>
  </si>
  <si>
    <t>DSCN3536</t>
  </si>
  <si>
    <t>CC0425_12</t>
  </si>
  <si>
    <t>DSCN3537</t>
  </si>
  <si>
    <t>CC0425_13</t>
  </si>
  <si>
    <t>DSCN3538</t>
  </si>
  <si>
    <t>CC0425_14</t>
  </si>
  <si>
    <t>DSCN3539</t>
  </si>
  <si>
    <t>CC0425_15</t>
  </si>
  <si>
    <t>DSCN3545</t>
  </si>
  <si>
    <t>CC0425_16</t>
  </si>
  <si>
    <t>DSCN3546</t>
  </si>
  <si>
    <t>CC0425_17</t>
  </si>
  <si>
    <t>DSCN3547</t>
  </si>
  <si>
    <t>CC0425_18</t>
  </si>
  <si>
    <t>DSCN3548</t>
  </si>
  <si>
    <t>CC0425_19</t>
  </si>
  <si>
    <t>DSCN3549</t>
  </si>
  <si>
    <t>CC0425_20</t>
  </si>
  <si>
    <t>DSCN3550</t>
  </si>
  <si>
    <t>CC0425_21</t>
  </si>
  <si>
    <t>DSCN3553</t>
  </si>
  <si>
    <t>CC0425_22</t>
  </si>
  <si>
    <t>DSCN3554</t>
  </si>
  <si>
    <t>CC0425_23</t>
  </si>
  <si>
    <t>DSCN3555</t>
  </si>
  <si>
    <t>CC0425_24</t>
  </si>
  <si>
    <t>DSCN3557</t>
  </si>
  <si>
    <t>CC0425_25</t>
  </si>
  <si>
    <t>Unknown (maybe mushroom?)</t>
  </si>
  <si>
    <t>DSCN3559</t>
  </si>
  <si>
    <t>CC0425_26</t>
  </si>
  <si>
    <t>DSCN3560</t>
  </si>
  <si>
    <t>CC0425_27</t>
  </si>
  <si>
    <t>DSCN3562</t>
  </si>
  <si>
    <t>CC0425_28</t>
  </si>
  <si>
    <t>DSCN3563</t>
  </si>
  <si>
    <t>CC0425_29</t>
  </si>
  <si>
    <t>DSCN3564</t>
  </si>
  <si>
    <t>CC0425_30</t>
  </si>
  <si>
    <t>DSCN3565</t>
  </si>
  <si>
    <t>CC0424_31</t>
  </si>
  <si>
    <t>DSCN3567</t>
  </si>
  <si>
    <t>CC0425_32</t>
  </si>
  <si>
    <t>DSCN3568</t>
  </si>
  <si>
    <t>CC0425_33</t>
  </si>
  <si>
    <t>DSCN3569</t>
  </si>
  <si>
    <t>CC0425_34</t>
  </si>
  <si>
    <t>DSCN3570</t>
  </si>
  <si>
    <t>CC0425_35</t>
  </si>
  <si>
    <t>DSCN3571</t>
  </si>
  <si>
    <t>CC0425_36</t>
  </si>
  <si>
    <t>DSCN3572</t>
  </si>
  <si>
    <t>CC0425_37</t>
  </si>
  <si>
    <t>Willow branch</t>
  </si>
  <si>
    <t>Exterior spruce branch on bark</t>
  </si>
  <si>
    <t xml:space="preserve">Willow branch doesn't really have interior or exterior </t>
  </si>
  <si>
    <t>DSCN3574</t>
  </si>
  <si>
    <t>CC0425_38</t>
  </si>
  <si>
    <t>DSCN3575</t>
  </si>
  <si>
    <t>CC0425_39</t>
  </si>
  <si>
    <t>DSCN3585</t>
  </si>
  <si>
    <t>AQ0426_1</t>
  </si>
  <si>
    <t xml:space="preserve">exterior spruce foliage </t>
  </si>
  <si>
    <t>Second cache was in neighboring tree, so GPS</t>
  </si>
  <si>
    <t>DSCN3594</t>
  </si>
  <si>
    <t>Exterior spruce branch inder bark</t>
  </si>
  <si>
    <t>AQ0426_2</t>
  </si>
  <si>
    <t>DSCN3596</t>
  </si>
  <si>
    <t>AQ0426_3</t>
  </si>
  <si>
    <t>AQ0426_4</t>
  </si>
  <si>
    <t xml:space="preserve">Recovered cache and ate snow. </t>
  </si>
  <si>
    <t>DSCN3600</t>
  </si>
  <si>
    <t>Joint of willow branch</t>
  </si>
  <si>
    <t>NA-just set on branch</t>
  </si>
  <si>
    <t>Deployed camera on cache site</t>
  </si>
  <si>
    <t>DSCN3601</t>
  </si>
  <si>
    <t>AQ0426_5</t>
  </si>
  <si>
    <t>DSCN3602</t>
  </si>
  <si>
    <t>AQ0426_6</t>
  </si>
  <si>
    <t xml:space="preserve">Got caterpiller as soon as camera was shut off. </t>
  </si>
  <si>
    <t>DSCN3606</t>
  </si>
  <si>
    <t>MC0426_1</t>
  </si>
  <si>
    <t>DSCN3620</t>
  </si>
  <si>
    <t>3 obvious bugs when watched in slowmo</t>
  </si>
  <si>
    <t>Bird snatched all of them.  VERY LIKELY all bugs</t>
  </si>
  <si>
    <t>DSCN3621</t>
  </si>
  <si>
    <t>First berry caught off screen.</t>
  </si>
  <si>
    <t>DSCN3622</t>
  </si>
  <si>
    <t>WW0428_1</t>
  </si>
  <si>
    <t>Clear, full sun</t>
  </si>
  <si>
    <t>WW0428_2</t>
  </si>
  <si>
    <t>WW0428_3</t>
  </si>
  <si>
    <t>DSCN3637</t>
  </si>
  <si>
    <t>M4R0430_1</t>
  </si>
  <si>
    <t>DSCN3638</t>
  </si>
  <si>
    <t>DSCN3640</t>
  </si>
  <si>
    <t>DSCN3641</t>
  </si>
  <si>
    <t>DSCN3642</t>
  </si>
  <si>
    <t>DSCN3643</t>
  </si>
  <si>
    <t xml:space="preserve">Didn't mark as additional food acquisition because he may or may not have cached a food we already documented him as aquiring.  </t>
  </si>
  <si>
    <t>M4R0430_2</t>
  </si>
  <si>
    <t>M4R0430_3</t>
  </si>
  <si>
    <t>M4R0430_4</t>
  </si>
  <si>
    <t>M4R0430_5</t>
  </si>
  <si>
    <t>M4R0430_6</t>
  </si>
  <si>
    <t>M4R0430_7</t>
  </si>
  <si>
    <t>DSCN3646</t>
  </si>
  <si>
    <t>M4R0430_8</t>
  </si>
  <si>
    <t>DSCN3647</t>
  </si>
  <si>
    <t>M4R0430_9</t>
  </si>
  <si>
    <t>M4R0430_10</t>
  </si>
  <si>
    <t>DSCN3651</t>
  </si>
  <si>
    <t xml:space="preserve">Recovered a cache in the tree next to YO/BS's cache tree so used same waypoint, but it wasn't the exact same tree. </t>
  </si>
  <si>
    <t>DSCN3652</t>
  </si>
  <si>
    <t>M4R0430_11</t>
  </si>
  <si>
    <t>DSCN3653</t>
  </si>
  <si>
    <t>SW</t>
  </si>
  <si>
    <t>DSCN3654</t>
  </si>
  <si>
    <t>M4R0430_13</t>
  </si>
  <si>
    <t xml:space="preserve">Rest of caching behavior from previous video. </t>
  </si>
  <si>
    <t>DSCN3663</t>
  </si>
  <si>
    <t>M4R0430_14</t>
  </si>
  <si>
    <t>DSCN3664</t>
  </si>
  <si>
    <t>M4R0430_15</t>
  </si>
  <si>
    <t>DSCN3666</t>
  </si>
  <si>
    <t>M4R0430_16</t>
  </si>
  <si>
    <t xml:space="preserve">Low cache, deployed </t>
  </si>
  <si>
    <t>DSCN3668</t>
  </si>
  <si>
    <t>M4R0430_17</t>
  </si>
  <si>
    <t>Fly catching</t>
  </si>
  <si>
    <t xml:space="preserve">I realized later that what he was doing was flycatching. </t>
  </si>
  <si>
    <t>DSCN3671</t>
  </si>
  <si>
    <t>M4R0430_18</t>
  </si>
  <si>
    <t>DSCN3672</t>
  </si>
  <si>
    <t>M4R0430_19</t>
  </si>
  <si>
    <t>DSCN3673</t>
  </si>
  <si>
    <t>M4R0430_20</t>
  </si>
  <si>
    <t>DSCN3678</t>
  </si>
  <si>
    <t>M4R0430_21</t>
  </si>
  <si>
    <t>DSCN3680</t>
  </si>
  <si>
    <t>M4R0430_22</t>
  </si>
  <si>
    <t>DSCN3681</t>
  </si>
  <si>
    <t>M4R0430_23</t>
  </si>
  <si>
    <t>DSCN3682</t>
  </si>
  <si>
    <t>M4R0430_24</t>
  </si>
  <si>
    <t>processing caterpiller from previous video.</t>
  </si>
  <si>
    <t>DSCN3683</t>
  </si>
  <si>
    <t>M4R0430_12</t>
  </si>
  <si>
    <t>DSCN3687</t>
  </si>
  <si>
    <t>CC0430_1</t>
  </si>
  <si>
    <t xml:space="preserve">Left nest, got caterpiller, returned to nest. </t>
  </si>
  <si>
    <t>DSCN3705</t>
  </si>
  <si>
    <t>CC0430_2</t>
  </si>
  <si>
    <t>DSCN3706</t>
  </si>
  <si>
    <t>CC0430_3</t>
  </si>
  <si>
    <t>DSCN3707</t>
  </si>
  <si>
    <t>CC0430_4</t>
  </si>
  <si>
    <t xml:space="preserve">Cache recovery does NOT match previous year's cache location in this tree. </t>
  </si>
  <si>
    <t>DSCN3708</t>
  </si>
  <si>
    <t>CC0430_5</t>
  </si>
  <si>
    <t>DSCN3709</t>
  </si>
  <si>
    <t>CC0430_6</t>
  </si>
  <si>
    <t>DSCN3710</t>
  </si>
  <si>
    <t>CC0430_7</t>
  </si>
  <si>
    <t>DSCN3711</t>
  </si>
  <si>
    <t>CC0430_8</t>
  </si>
  <si>
    <t>DSCN3712</t>
  </si>
  <si>
    <t>CC0430_9</t>
  </si>
  <si>
    <t>DSCN3715</t>
  </si>
  <si>
    <t>CC0430_10</t>
  </si>
  <si>
    <t>DSCN3716</t>
  </si>
  <si>
    <t>CC0430_11</t>
  </si>
  <si>
    <t>DSCN3718</t>
  </si>
  <si>
    <t>CC0430_12</t>
  </si>
  <si>
    <t>DSCN3719</t>
  </si>
  <si>
    <t>CC0430_13</t>
  </si>
  <si>
    <t>DSCN3723</t>
  </si>
  <si>
    <t>CC0430_14</t>
  </si>
  <si>
    <t>DSCN3725</t>
  </si>
  <si>
    <t>CC0430_15</t>
  </si>
  <si>
    <t>DSCN3727</t>
  </si>
  <si>
    <t>CC0430_16</t>
  </si>
  <si>
    <t>CC092618_CT1</t>
  </si>
  <si>
    <t>RC_1031_CT1</t>
  </si>
  <si>
    <t>RC102418CT7</t>
  </si>
  <si>
    <t>CT4</t>
  </si>
  <si>
    <t>DSCN3755</t>
  </si>
  <si>
    <t>MC0502_1</t>
  </si>
  <si>
    <t>DSCN3756</t>
  </si>
  <si>
    <t>MC0502_2</t>
  </si>
  <si>
    <t>DSCN3757</t>
  </si>
  <si>
    <t>MC0502_3</t>
  </si>
  <si>
    <t>DSCN3768</t>
  </si>
  <si>
    <t>TC0502_1</t>
  </si>
  <si>
    <t>Tcamp</t>
  </si>
  <si>
    <t>TC0502_2</t>
  </si>
  <si>
    <t>DSCN3772</t>
  </si>
  <si>
    <t>TC0502_3</t>
  </si>
  <si>
    <t>DSCN3774</t>
  </si>
  <si>
    <t>TC0502_4</t>
  </si>
  <si>
    <t>Different tree from first cache but same GPS</t>
  </si>
  <si>
    <t>DSCN3777</t>
  </si>
  <si>
    <t>BU0502_1</t>
  </si>
  <si>
    <t>DSCN3779</t>
  </si>
  <si>
    <t>BU0502_2</t>
  </si>
  <si>
    <t>DSCN3782</t>
  </si>
  <si>
    <t>BU0502_3</t>
  </si>
  <si>
    <t>interior bare spruce</t>
  </si>
  <si>
    <t>DSCN3783</t>
  </si>
  <si>
    <t>BU0502_4</t>
  </si>
  <si>
    <t>DSCN3784</t>
  </si>
  <si>
    <t>BU0502_5</t>
  </si>
  <si>
    <t>DSCN3785</t>
  </si>
  <si>
    <t>BU0502_6</t>
  </si>
  <si>
    <t>Fly catching/Searching</t>
  </si>
  <si>
    <t xml:space="preserve">Wacthed her leap up and grab something so assuming it was an insect based on her behavior.  </t>
  </si>
  <si>
    <t>TCAMP</t>
  </si>
  <si>
    <t>Deployed camera. Insect suspended from witch hair on underside of twig</t>
  </si>
  <si>
    <t>DSCN3810</t>
  </si>
  <si>
    <t>CC0503_1</t>
  </si>
  <si>
    <t>DSCN3811</t>
  </si>
  <si>
    <t>CC0503_2</t>
  </si>
  <si>
    <t>DSCN3812</t>
  </si>
  <si>
    <t>CC0503_3</t>
  </si>
  <si>
    <t>DSCN3814</t>
  </si>
  <si>
    <t>CC0503_4</t>
  </si>
  <si>
    <t xml:space="preserve">Missed initial acquisition, but it caught it near where video picks up.  We are not 100% confident about cache, but "post-cache" behavior and bill load suggests it cached it. </t>
  </si>
  <si>
    <t>DSCN3817</t>
  </si>
  <si>
    <t>CC0503_5</t>
  </si>
  <si>
    <t>DSCN3819</t>
  </si>
  <si>
    <t>CC0503_6</t>
  </si>
  <si>
    <t>DSCN3821</t>
  </si>
  <si>
    <t>CC0503_7</t>
  </si>
  <si>
    <t>DSCN3824</t>
  </si>
  <si>
    <t>CC0503_8</t>
  </si>
  <si>
    <t>DSCN3825</t>
  </si>
  <si>
    <t>CC0503_9</t>
  </si>
  <si>
    <t>DSCN3826</t>
  </si>
  <si>
    <t>CC0503_10</t>
  </si>
  <si>
    <t>DSCN3828</t>
  </si>
  <si>
    <t>CC0503_11</t>
  </si>
  <si>
    <t>DSCN3831</t>
  </si>
  <si>
    <t>CC0503_12</t>
  </si>
  <si>
    <t>DSCN3833</t>
  </si>
  <si>
    <t>CC0503_13</t>
  </si>
  <si>
    <t xml:space="preserve"> NA</t>
  </si>
  <si>
    <t>DSCN3834</t>
  </si>
  <si>
    <t>CC0503_14</t>
  </si>
  <si>
    <t>DSCN3835</t>
  </si>
  <si>
    <t>CC0503_15</t>
  </si>
  <si>
    <t>Unknown, did not recognize as cache in field</t>
  </si>
  <si>
    <t>DSCN3836</t>
  </si>
  <si>
    <t>CC0503_16</t>
  </si>
  <si>
    <t>DSCN3837</t>
  </si>
  <si>
    <t>CC0503_17</t>
  </si>
  <si>
    <t>DSCN3838</t>
  </si>
  <si>
    <t>CC0503_18</t>
  </si>
  <si>
    <t>Insect (caterpille/worm/slug-grub. IDK)</t>
  </si>
  <si>
    <t>DSCN3839</t>
  </si>
  <si>
    <t>CC0503_19</t>
  </si>
  <si>
    <t>DSCN3840</t>
  </si>
  <si>
    <t>CC0503_20</t>
  </si>
  <si>
    <t>DSCN3841</t>
  </si>
  <si>
    <t>CC0503_21</t>
  </si>
  <si>
    <t>DSCN3842</t>
  </si>
  <si>
    <t>CC0503_22</t>
  </si>
  <si>
    <t>DSCN3852</t>
  </si>
  <si>
    <t>WW0503_1</t>
  </si>
  <si>
    <t>DSCN3853</t>
  </si>
  <si>
    <t>WW0503_2</t>
  </si>
  <si>
    <t>CC0402_1-4</t>
  </si>
  <si>
    <t>WW0402_1-2</t>
  </si>
  <si>
    <t>MC0404_1-6</t>
  </si>
  <si>
    <t>None</t>
  </si>
  <si>
    <t>M2370409_1-6</t>
  </si>
  <si>
    <t>M4R0409_1-13</t>
  </si>
  <si>
    <t>WW04010_1</t>
  </si>
  <si>
    <t>UNK0411_1-4</t>
  </si>
  <si>
    <t>UNK0411_6</t>
  </si>
  <si>
    <t>BU0415_1-6</t>
  </si>
  <si>
    <t>BU0415_7-9</t>
  </si>
  <si>
    <t>M2370415_20</t>
  </si>
  <si>
    <t>M2370415_2-20</t>
  </si>
  <si>
    <t>MC0416_1-2</t>
  </si>
  <si>
    <t>WW0416_1-9</t>
  </si>
  <si>
    <t>CC0416_1-7</t>
  </si>
  <si>
    <t>M4R0417_1-2</t>
  </si>
  <si>
    <t>M4R0417_4-12</t>
  </si>
  <si>
    <t>AQ0417_1-5</t>
  </si>
  <si>
    <t>AQ0417_7-8</t>
  </si>
  <si>
    <t>MC0418_2-3</t>
  </si>
  <si>
    <t>MC0418_5-8</t>
  </si>
  <si>
    <t>BU0418_1-2</t>
  </si>
  <si>
    <t>BU0418_3-4</t>
  </si>
  <si>
    <t>M4R0418_1-3</t>
  </si>
  <si>
    <t>Notes*</t>
  </si>
  <si>
    <t>In some cases there are points without associated videos or data. These are cases where we located the bird but were unable to get a food follow for whatever reason.  In these cases Liz still took a point to mark where on the territory we found the bird</t>
  </si>
  <si>
    <t xml:space="preserve">In other cases there are data/videos that are not associated with times/GPS points on this sheet.  Those are cases where Liz was maybe already occupied with a task (ex flagging a cache tree from a previous follow) or simply forgot to mark a point.  Lots of things to juggle at once, and it just wasn't a perfect system.  </t>
  </si>
  <si>
    <t>none</t>
  </si>
  <si>
    <t>WW0422_1-16</t>
  </si>
  <si>
    <t>WW0422_17-26</t>
  </si>
  <si>
    <t>CC0422_1-2</t>
  </si>
  <si>
    <t>CC0422_3-22</t>
  </si>
  <si>
    <t>BU0424_5-9</t>
  </si>
  <si>
    <t>BU0424_10-13</t>
  </si>
  <si>
    <t>MC0424_1-2</t>
  </si>
  <si>
    <t>MC0424_3-5</t>
  </si>
  <si>
    <t>MC0424_6-12</t>
  </si>
  <si>
    <t>MC0424_13-19</t>
  </si>
  <si>
    <t>MC0424_20-29</t>
  </si>
  <si>
    <t>CC0425_1-15</t>
  </si>
  <si>
    <t>CC0425_16-39</t>
  </si>
  <si>
    <t>AQ0426_2-3</t>
  </si>
  <si>
    <t>AQ0426_4-6</t>
  </si>
  <si>
    <t>WW0428_1-3</t>
  </si>
  <si>
    <t>M4R0430_1-8</t>
  </si>
  <si>
    <t>M4R0430_9-12</t>
  </si>
  <si>
    <t>M4R0430_13-16</t>
  </si>
  <si>
    <t>M4R0430_17-23</t>
  </si>
  <si>
    <t>CC0430 _1-16</t>
  </si>
  <si>
    <t>MC0502_1-2</t>
  </si>
  <si>
    <t>TC0502_1-3</t>
  </si>
  <si>
    <t>BU0502_1-2</t>
  </si>
  <si>
    <t>BU0502_3-5</t>
  </si>
  <si>
    <t>CC0502_1-22</t>
  </si>
  <si>
    <t>DSCN3857</t>
  </si>
  <si>
    <t>BU0505_1</t>
  </si>
  <si>
    <t>DSCN3858</t>
  </si>
  <si>
    <t>BU0505_2</t>
  </si>
  <si>
    <t>Interior spruce branch in witch hair</t>
  </si>
  <si>
    <t>DSCN3861</t>
  </si>
  <si>
    <t>BU0505_3</t>
  </si>
  <si>
    <t>We could not find a cache</t>
  </si>
  <si>
    <t>DSCN3862</t>
  </si>
  <si>
    <t>BU0505_4</t>
  </si>
  <si>
    <t>DSCN3863</t>
  </si>
  <si>
    <t>BU0505_5</t>
  </si>
  <si>
    <t>DSCN3864</t>
  </si>
  <si>
    <t>BU0505_6</t>
  </si>
  <si>
    <t>DSCN3869</t>
  </si>
  <si>
    <t>CC0506_1</t>
  </si>
  <si>
    <t>DSCN3870</t>
  </si>
  <si>
    <t>CC0506_2</t>
  </si>
  <si>
    <t>DSCN3871</t>
  </si>
  <si>
    <t>CC0506_3</t>
  </si>
  <si>
    <t>DSCN3872</t>
  </si>
  <si>
    <t>CC0506_4</t>
  </si>
  <si>
    <t xml:space="preserve">3 Cached all in the same area on a single tree. </t>
  </si>
  <si>
    <t>DSCN3873</t>
  </si>
  <si>
    <t>MC0506_1</t>
  </si>
  <si>
    <t>DSCN3884</t>
  </si>
  <si>
    <t>MC0506_2</t>
  </si>
  <si>
    <t>DSCN3885</t>
  </si>
  <si>
    <t>MC0506_3</t>
  </si>
  <si>
    <t>DSCN3886</t>
  </si>
  <si>
    <t>MC0506_4</t>
  </si>
  <si>
    <t>DSCN3887</t>
  </si>
  <si>
    <t>MC0506_5</t>
  </si>
  <si>
    <t>DSCN3889</t>
  </si>
  <si>
    <t>MC0506_6</t>
  </si>
  <si>
    <t>DSCN3894</t>
  </si>
  <si>
    <t>MC0506_7</t>
  </si>
  <si>
    <t>MC0506_8</t>
  </si>
  <si>
    <t>DSCN3895</t>
  </si>
  <si>
    <t>DSCN3896</t>
  </si>
  <si>
    <t>MC0506_9</t>
  </si>
  <si>
    <t>DSCN3899</t>
  </si>
  <si>
    <t>MC0506_10</t>
  </si>
  <si>
    <t>Interior spruce dense twigs</t>
  </si>
  <si>
    <t>DSCN3900</t>
  </si>
  <si>
    <t>MC0506_11</t>
  </si>
  <si>
    <t>DSCN3901</t>
  </si>
  <si>
    <t>MC0506_12</t>
  </si>
  <si>
    <t>DSCN3902</t>
  </si>
  <si>
    <t>MC0506_13</t>
  </si>
  <si>
    <t>e</t>
  </si>
  <si>
    <t>DSCN3903</t>
  </si>
  <si>
    <t>MC0506_14</t>
  </si>
  <si>
    <t>DSCN3906</t>
  </si>
  <si>
    <t>BU0508_1</t>
  </si>
  <si>
    <t>DSCN3907</t>
  </si>
  <si>
    <t>BU0508_2</t>
  </si>
  <si>
    <t>DSCN3909</t>
  </si>
  <si>
    <t>BU0508_3</t>
  </si>
  <si>
    <t>DSCN3912</t>
  </si>
  <si>
    <t>BU0508_4</t>
  </si>
  <si>
    <t>DSCN3913</t>
  </si>
  <si>
    <t>BU0508_5</t>
  </si>
  <si>
    <t>DSCN3929</t>
  </si>
  <si>
    <t>M2370508_1</t>
  </si>
  <si>
    <t>DSCN3930</t>
  </si>
  <si>
    <t>M2370508_2</t>
  </si>
  <si>
    <t>overcast</t>
  </si>
  <si>
    <t>DSCN3933</t>
  </si>
  <si>
    <t>M2370508_3</t>
  </si>
  <si>
    <t>DSCN3934</t>
  </si>
  <si>
    <t>M2370508_4</t>
  </si>
  <si>
    <t>DSCN3935</t>
  </si>
  <si>
    <t>M2370508_5</t>
  </si>
  <si>
    <t xml:space="preserve">We didn't count the other two acquisitions as food because we suspected he was drinking. </t>
  </si>
  <si>
    <t>DSCN3936</t>
  </si>
  <si>
    <t>M2370508_6</t>
  </si>
  <si>
    <t>Exterior spruce branch Under bark</t>
  </si>
  <si>
    <t>didn’t count as arboreal foraging b/c high up, unclear direction of gaze, and doesn't return to ground in clip.</t>
  </si>
  <si>
    <t>unclear from audio/video bird is on the ground</t>
  </si>
  <si>
    <t>arboreal ground foraging</t>
  </si>
  <si>
    <t>part where could be arboreal ground foraging at beginning- unsure if vigilance or foraging so didn't count.</t>
  </si>
  <si>
    <t>some arboreal ground foraging maybe? Wasn’t sure enough to count because doesn't go to ground</t>
  </si>
  <si>
    <t>original count for ground foraging higher than I got, so im assuming K and D saw something in the moment that I couldn't know from video.</t>
  </si>
  <si>
    <t>arboreal ground foraging at end</t>
  </si>
  <si>
    <t>arboreal ground foraging. There is some time where bird is behind trunk and it is unclear if still ground foraging.</t>
  </si>
  <si>
    <t>looking at ground from tree trunk in beginning</t>
  </si>
  <si>
    <t>arboreal tree foraging</t>
  </si>
  <si>
    <t>looked like arboreal ground foraging to me</t>
  </si>
  <si>
    <t>original ground time is much longer than I calculated so assuming K&amp;D had more of a clue from being in field.</t>
  </si>
  <si>
    <t>13 Foraging for OB/YS, 4 for WG/OS</t>
  </si>
  <si>
    <t>Cache</t>
  </si>
  <si>
    <t xml:space="preserve"> G-/BS</t>
  </si>
  <si>
    <t>Misc</t>
  </si>
  <si>
    <t>Animal flesh (Hare skull)</t>
  </si>
  <si>
    <t>Animal flesh (vole)</t>
  </si>
  <si>
    <t>human food</t>
  </si>
  <si>
    <t>Fall 2018</t>
  </si>
  <si>
    <t xml:space="preserve">Cached two caterpillars and a spider on the same branch. One caterpiller was saw it aquire but the other two items we did not.  Counted as additional aquisitions  Put Camera out on this cache. Again, we thought originally that YO/BS grabbed the black caterpillar but now we aren't sure.  Maybe they switched off camera.  So we don't have a distance for the black caterpillar.  </t>
  </si>
  <si>
    <t xml:space="preserve">Aspen trunk </t>
  </si>
  <si>
    <t xml:space="preserve">Exterior bare spruce branch under bark </t>
  </si>
  <si>
    <t>Exterior spruce branch under bark/witch hair</t>
  </si>
  <si>
    <t xml:space="preserve">Exterior spruce branch under bark/witch hair </t>
  </si>
  <si>
    <t>Exterior spruce branch in witch hair</t>
  </si>
  <si>
    <t xml:space="preserve">Interior spruce branch in witch hair </t>
  </si>
  <si>
    <t>Interior spruce branch</t>
  </si>
  <si>
    <t>Interior spruce bare branch under bark</t>
  </si>
  <si>
    <t>Mistletoe baremble</t>
  </si>
  <si>
    <t>bare spruce branch</t>
  </si>
  <si>
    <t>bark FT (trunk or bare branch)</t>
  </si>
  <si>
    <t>bare aspen branch under bark</t>
  </si>
  <si>
    <t>Looking at ground from low branch</t>
  </si>
  <si>
    <t xml:space="preserve">Looking at ground from low branch.  Eventually went to ground and picked up something it had to beat against tree.  Took that as indication of insect.  </t>
  </si>
  <si>
    <t xml:space="preserve">Interior spruce bare branch/witches broom </t>
  </si>
  <si>
    <t>Spruce bare branch</t>
  </si>
  <si>
    <t>Interior spruce among bare branch</t>
  </si>
  <si>
    <t>Exterior spruce branch/witch hair moss</t>
  </si>
  <si>
    <t>bare aspen branch</t>
  </si>
  <si>
    <t xml:space="preserve">Under bark/witch hair in dead shrub branch.  </t>
  </si>
  <si>
    <t>shrub branch on ground</t>
  </si>
  <si>
    <t>Watched it poke at caches object for 7 sec.  Object was in tangle of bare spruce branch</t>
  </si>
  <si>
    <t>low to ground Spruce branch/witch hair moss</t>
  </si>
  <si>
    <t>Interior spruce branch/witch hair moss</t>
  </si>
  <si>
    <t>Interior bare spruce branch under bark/witch hair</t>
  </si>
  <si>
    <t>Exterior alder branch</t>
  </si>
  <si>
    <t>Food brought to branch of spruce by bird during watch</t>
  </si>
  <si>
    <t>Exterior bare branch of shrub</t>
  </si>
  <si>
    <t xml:space="preserve">branch of small dead spruce, under bark </t>
  </si>
  <si>
    <t xml:space="preserve">Retrieved cached mushroom from bare branch of spruce tree. </t>
  </si>
  <si>
    <t>Retrieved cached mushroom from bare branch of spruce tree (might have been the same mushroom from HS0830_2</t>
  </si>
  <si>
    <t>Retrieved cached mushroom from bare branch of spruce tree (might have been the same mushroom from HS0830_2; WAS SAME FROM HS0830_3)</t>
  </si>
  <si>
    <t>General searching from branch/perches</t>
  </si>
  <si>
    <t>Exterior bare branch under bark/which hair.</t>
  </si>
  <si>
    <t>Cache Tree</t>
  </si>
  <si>
    <t>Cache location (interior, exterior, trunk)</t>
  </si>
  <si>
    <t>Exterior</t>
  </si>
  <si>
    <t>Foliage and witch hair</t>
  </si>
  <si>
    <t>Interior</t>
  </si>
  <si>
    <t>Cache covering (foliage, bark, witchbroom)</t>
  </si>
  <si>
    <t>Branch</t>
  </si>
  <si>
    <t>Branch under witch hair</t>
  </si>
  <si>
    <t>Branch under bark</t>
  </si>
  <si>
    <t>Trunk</t>
  </si>
  <si>
    <t>Under bark</t>
  </si>
  <si>
    <t>Foliage</t>
  </si>
  <si>
    <t xml:space="preserve">Under bark and witch hair </t>
  </si>
  <si>
    <t>On bark</t>
  </si>
  <si>
    <t xml:space="preserve">Interior spruce in foliage </t>
  </si>
  <si>
    <t>Exterior spruce tree in mistletoe</t>
  </si>
  <si>
    <t>Human food (orange peel)</t>
  </si>
  <si>
    <t>Sitting on interior foliated spruce branch</t>
  </si>
  <si>
    <t>Shrub</t>
  </si>
  <si>
    <t xml:space="preserve">Behind foliage </t>
  </si>
  <si>
    <t>Interior bare branch wedged in spruce bark</t>
  </si>
  <si>
    <t>In mistoe</t>
  </si>
  <si>
    <t>Birch</t>
  </si>
  <si>
    <t xml:space="preserve">Spruce on trunk under bark. </t>
  </si>
  <si>
    <t xml:space="preserve">Spruce in exterior foliage. </t>
  </si>
  <si>
    <t>On branch</t>
  </si>
  <si>
    <t>Under witchhair</t>
  </si>
  <si>
    <t>Bark</t>
  </si>
  <si>
    <t xml:space="preserve">Winter 2018 </t>
  </si>
  <si>
    <t>Ground FT</t>
  </si>
  <si>
    <t>Month</t>
  </si>
  <si>
    <t>March</t>
  </si>
  <si>
    <t>April</t>
  </si>
  <si>
    <t>May</t>
  </si>
  <si>
    <t>Food category</t>
  </si>
  <si>
    <t>misc</t>
  </si>
  <si>
    <t>August</t>
  </si>
  <si>
    <t>September</t>
  </si>
  <si>
    <t>October</t>
  </si>
  <si>
    <t>June</t>
  </si>
  <si>
    <t>Overcast, hot, smokey</t>
  </si>
  <si>
    <t>DSCN4048</t>
  </si>
  <si>
    <t>MC0630_2</t>
  </si>
  <si>
    <t>DSCN4049</t>
  </si>
  <si>
    <t>MC0630_3</t>
  </si>
  <si>
    <t>DSCN4050</t>
  </si>
  <si>
    <t>MC0630_4</t>
  </si>
  <si>
    <t>DSCN4952</t>
  </si>
  <si>
    <t>MC0630_5</t>
  </si>
  <si>
    <t>DSCN4064</t>
  </si>
  <si>
    <t>MC0630_6</t>
  </si>
  <si>
    <t>DSCN4071</t>
  </si>
  <si>
    <t>MC0630_7</t>
  </si>
  <si>
    <t>Hornet</t>
  </si>
  <si>
    <t>DSCB4072</t>
  </si>
  <si>
    <t>MC0630_8</t>
  </si>
  <si>
    <t>DSCN4073</t>
  </si>
  <si>
    <t>MC0630_9</t>
  </si>
  <si>
    <t>Cracker</t>
  </si>
  <si>
    <t>Spruce interior foliage</t>
  </si>
  <si>
    <t xml:space="preserve">Interior </t>
  </si>
  <si>
    <t>DSCN4074</t>
  </si>
  <si>
    <t>CC0701_1</t>
  </si>
  <si>
    <t>July</t>
  </si>
  <si>
    <t>DSCN4078</t>
  </si>
  <si>
    <t>CC0701_2</t>
  </si>
  <si>
    <t>DSCN4081</t>
  </si>
  <si>
    <t>CC0701_3</t>
  </si>
  <si>
    <t>DSCN4082</t>
  </si>
  <si>
    <t>CC0701_4</t>
  </si>
  <si>
    <t>DSCN4083</t>
  </si>
  <si>
    <t>CC0701_5</t>
  </si>
  <si>
    <t>DSCN4086</t>
  </si>
  <si>
    <t>CC0701_6</t>
  </si>
  <si>
    <t>Unknown (maybe insect)</t>
  </si>
  <si>
    <t>Spruce crown foliage</t>
  </si>
  <si>
    <t>DSCN4089</t>
  </si>
  <si>
    <t>CC0701_7</t>
  </si>
  <si>
    <t>DSCN4091</t>
  </si>
  <si>
    <t>CC0701_8</t>
  </si>
  <si>
    <t>DSCN4092</t>
  </si>
  <si>
    <t>CC0701_9</t>
  </si>
  <si>
    <t>DSCN4095</t>
  </si>
  <si>
    <t>CC0701_10</t>
  </si>
  <si>
    <t>Foraging/Caching</t>
  </si>
  <si>
    <t>Spider egg sack</t>
  </si>
  <si>
    <t>CC0701_11</t>
  </si>
  <si>
    <t>DSCN4098</t>
  </si>
  <si>
    <t>CC0701_12</t>
  </si>
  <si>
    <t>Interir spruce foliage</t>
  </si>
  <si>
    <t>DSCN4099</t>
  </si>
  <si>
    <t>CC0701_13</t>
  </si>
  <si>
    <t>DSCN4104</t>
  </si>
  <si>
    <t>CC0701_14</t>
  </si>
  <si>
    <t>DSCN4110</t>
  </si>
  <si>
    <t>CC0701_15</t>
  </si>
  <si>
    <t>DSCN4112</t>
  </si>
  <si>
    <t>CC0701_16</t>
  </si>
  <si>
    <t>DSCN4113</t>
  </si>
  <si>
    <t>CC0701_17</t>
  </si>
  <si>
    <t>DSCN4115</t>
  </si>
  <si>
    <t>CC0701_18</t>
  </si>
  <si>
    <t>DSCN4116</t>
  </si>
  <si>
    <t>CC0701_19</t>
  </si>
  <si>
    <t>DSCN4117</t>
  </si>
  <si>
    <t>CC0701_20</t>
  </si>
  <si>
    <t>DSCN4121</t>
  </si>
  <si>
    <t>UNK0701_1</t>
  </si>
  <si>
    <t xml:space="preserve">Exterior spruce </t>
  </si>
  <si>
    <t>DSCN4123</t>
  </si>
  <si>
    <t>UNK0701_2</t>
  </si>
  <si>
    <t>WG/YS</t>
  </si>
  <si>
    <t>Exterior bare spruce brnach</t>
  </si>
  <si>
    <t>DSCN4124</t>
  </si>
  <si>
    <t>UNK0701_3</t>
  </si>
  <si>
    <t>DSCN4130</t>
  </si>
  <si>
    <t>UNK0701_4</t>
  </si>
  <si>
    <t>WO/??</t>
  </si>
  <si>
    <t>Deployed camera</t>
  </si>
  <si>
    <t>DSCN4131</t>
  </si>
  <si>
    <t>UNK0701_5</t>
  </si>
  <si>
    <t>DSCN4139</t>
  </si>
  <si>
    <t>M4R0702_1</t>
  </si>
  <si>
    <t>DSCN4141</t>
  </si>
  <si>
    <t>M4R0702_2</t>
  </si>
  <si>
    <t>DSCN4142</t>
  </si>
  <si>
    <t>M4R0702_3</t>
  </si>
  <si>
    <t>DSCN4143</t>
  </si>
  <si>
    <t>M4R0702_4</t>
  </si>
  <si>
    <t>DSCN4150</t>
  </si>
  <si>
    <t>M4R0702_5</t>
  </si>
  <si>
    <t>DSCN4151</t>
  </si>
  <si>
    <t>M4R0702_6</t>
  </si>
  <si>
    <t>DSCN4168</t>
  </si>
  <si>
    <t>M4R0702_7</t>
  </si>
  <si>
    <t>DSCN4171</t>
  </si>
  <si>
    <t>M4R0702_8</t>
  </si>
  <si>
    <t>DSCN4173</t>
  </si>
  <si>
    <t>M4R0702_9</t>
  </si>
  <si>
    <t>DSCN4177</t>
  </si>
  <si>
    <t>M4R0702_10</t>
  </si>
  <si>
    <t>DSCN4180</t>
  </si>
  <si>
    <t>M4R0702_11</t>
  </si>
  <si>
    <t>DSCN4181</t>
  </si>
  <si>
    <t>M4R0702_12</t>
  </si>
  <si>
    <t>DSCN4187</t>
  </si>
  <si>
    <t>M4R0702_13</t>
  </si>
  <si>
    <t>DSCN4189</t>
  </si>
  <si>
    <t>M4R0702_14</t>
  </si>
  <si>
    <t>DSCN4190</t>
  </si>
  <si>
    <t>M4R0702_15</t>
  </si>
  <si>
    <t>DSCN4193</t>
  </si>
  <si>
    <t>M4R0702_16</t>
  </si>
  <si>
    <t>DSCN4194</t>
  </si>
  <si>
    <t>M4R0702_17</t>
  </si>
  <si>
    <t>interior bare spruce bark</t>
  </si>
  <si>
    <t>DSCN4196</t>
  </si>
  <si>
    <t>M4R0702_18</t>
  </si>
  <si>
    <t>DSCN4222</t>
  </si>
  <si>
    <t>M4R0704_1</t>
  </si>
  <si>
    <t>DSCN4279</t>
  </si>
  <si>
    <t>M3.50808_1</t>
  </si>
  <si>
    <t>Sunny</t>
  </si>
  <si>
    <t>WG/RS</t>
  </si>
  <si>
    <t>Exterior spruce bark</t>
  </si>
  <si>
    <t>DSCN4293</t>
  </si>
  <si>
    <t>DSCN4288</t>
  </si>
  <si>
    <t>MC0809_1</t>
  </si>
  <si>
    <t>PL/LS</t>
  </si>
  <si>
    <t>Porc0808_1</t>
  </si>
  <si>
    <t>Porc</t>
  </si>
  <si>
    <t>DSCN4297</t>
  </si>
  <si>
    <t>MC0809_2</t>
  </si>
  <si>
    <t>Exterior spruce under bark</t>
  </si>
  <si>
    <t>DSCN4300</t>
  </si>
  <si>
    <t>MC0809_3</t>
  </si>
  <si>
    <t>DSCN4301</t>
  </si>
  <si>
    <t>MC0809_4</t>
  </si>
  <si>
    <t>DSCN4305</t>
  </si>
  <si>
    <t>MC0809_5</t>
  </si>
  <si>
    <t>Spruce tree</t>
  </si>
  <si>
    <t>Didn't catch foraging o film</t>
  </si>
  <si>
    <t>DSCN4307</t>
  </si>
  <si>
    <t>MC0809_6</t>
  </si>
  <si>
    <t>DSCN4308</t>
  </si>
  <si>
    <t>MC0809_7</t>
  </si>
  <si>
    <t xml:space="preserve">Differet trees.  GPS can't differnetiate </t>
  </si>
  <si>
    <t>DSCN4309</t>
  </si>
  <si>
    <t>MC0809_8</t>
  </si>
  <si>
    <t>DSCN4310</t>
  </si>
  <si>
    <t>MC0809_9</t>
  </si>
  <si>
    <t>DSCN4311</t>
  </si>
  <si>
    <t>MC809_10</t>
  </si>
  <si>
    <t>Exterior aspen under bark</t>
  </si>
  <si>
    <t>DSCN4317</t>
  </si>
  <si>
    <t>WW0810_1</t>
  </si>
  <si>
    <t>Wac West</t>
  </si>
  <si>
    <t>Interior spruce bark</t>
  </si>
  <si>
    <t>DSCN4321</t>
  </si>
  <si>
    <t>WW0810_2</t>
  </si>
  <si>
    <t>DSCN4322</t>
  </si>
  <si>
    <t>WW0810_3</t>
  </si>
  <si>
    <t>DSCN4323</t>
  </si>
  <si>
    <t>WW0810_4</t>
  </si>
  <si>
    <t>DSCN4324</t>
  </si>
  <si>
    <t>WW0810_5</t>
  </si>
  <si>
    <t>DSCN4326</t>
  </si>
  <si>
    <t>WW0810_6</t>
  </si>
  <si>
    <t>Some time added from previous (deleted) video</t>
  </si>
  <si>
    <t>DSCN4328</t>
  </si>
  <si>
    <t>WW0810_7</t>
  </si>
  <si>
    <t>Missed acquisition, but witnessed it in person</t>
  </si>
  <si>
    <t>DSCN4330</t>
  </si>
  <si>
    <t>WW0810_8</t>
  </si>
  <si>
    <t>DSCN4331</t>
  </si>
  <si>
    <t>WW0810_9</t>
  </si>
  <si>
    <t>Interior bark</t>
  </si>
  <si>
    <t>DSCN4332</t>
  </si>
  <si>
    <t>WW0810_10</t>
  </si>
  <si>
    <t xml:space="preserve">Mushroom </t>
  </si>
  <si>
    <t>DSCN4335</t>
  </si>
  <si>
    <t>WW0810_11</t>
  </si>
  <si>
    <t>DSCN4338</t>
  </si>
  <si>
    <t>CC0810_1</t>
  </si>
  <si>
    <t>DSCN4340</t>
  </si>
  <si>
    <t>CC0810_2</t>
  </si>
  <si>
    <t>Did not record</t>
  </si>
  <si>
    <t>DSCN4343</t>
  </si>
  <si>
    <t>CC0810_3</t>
  </si>
  <si>
    <t>DSCN4346</t>
  </si>
  <si>
    <t>CC0810_4</t>
  </si>
  <si>
    <t>GR/OS</t>
  </si>
  <si>
    <t>DSCN4348</t>
  </si>
  <si>
    <t>CC0810_5</t>
  </si>
  <si>
    <t xml:space="preserve">Food determined to have not been aquired from where it was initially perched as we suggest in the video. </t>
  </si>
  <si>
    <t>DSCN4352</t>
  </si>
  <si>
    <t>BU0810_1</t>
  </si>
  <si>
    <t>RR/OS</t>
  </si>
  <si>
    <t>DSCN4353</t>
  </si>
  <si>
    <t>BU0810_2</t>
  </si>
  <si>
    <t>Caching and foraging</t>
  </si>
  <si>
    <t>Exterior spruce on lichen</t>
  </si>
  <si>
    <t>DSCN4357</t>
  </si>
  <si>
    <t>BU0810_3</t>
  </si>
  <si>
    <t>DSCN4358</t>
  </si>
  <si>
    <t>BU0810_4</t>
  </si>
  <si>
    <t>DSCN4359</t>
  </si>
  <si>
    <t>M4R0811_1</t>
  </si>
  <si>
    <t>BY/YS</t>
  </si>
  <si>
    <t>Blueberries</t>
  </si>
  <si>
    <t>DSCN4361</t>
  </si>
  <si>
    <t>M4R0811_2</t>
  </si>
  <si>
    <t>DSCN4362</t>
  </si>
  <si>
    <t>M4R0811_3</t>
  </si>
  <si>
    <t xml:space="preserve">puffball </t>
  </si>
  <si>
    <t>BW/OS</t>
  </si>
  <si>
    <t>DSCN4363</t>
  </si>
  <si>
    <t>M4R0811_4</t>
  </si>
  <si>
    <t>DSCN4364</t>
  </si>
  <si>
    <t>M4R0811_5</t>
  </si>
  <si>
    <t>Caterpiller</t>
  </si>
  <si>
    <t>Missed acquisition but saw it in person</t>
  </si>
  <si>
    <t>DSCN4367</t>
  </si>
  <si>
    <t>OL/OS</t>
  </si>
  <si>
    <t>M3.50811_1</t>
  </si>
  <si>
    <t>DSCN4370</t>
  </si>
  <si>
    <t>M3.50811_2</t>
  </si>
  <si>
    <t>DSCN4371</t>
  </si>
  <si>
    <t>M3.50811_3</t>
  </si>
  <si>
    <t>DSCN4372</t>
  </si>
  <si>
    <t>M3.50811_4</t>
  </si>
  <si>
    <t>DSCN4373</t>
  </si>
  <si>
    <t>M3.50811_5</t>
  </si>
  <si>
    <t>DSCN4375</t>
  </si>
  <si>
    <t>M3.50811_6</t>
  </si>
  <si>
    <t>DSCN4376</t>
  </si>
  <si>
    <t>M3.50811_7</t>
  </si>
  <si>
    <t>DSCN4377</t>
  </si>
  <si>
    <t>DSCN4378</t>
  </si>
  <si>
    <t>M3.50811_8</t>
  </si>
  <si>
    <t>M3.50811_9</t>
  </si>
  <si>
    <t>DSCN4379</t>
  </si>
  <si>
    <t>M3.50811_10</t>
  </si>
  <si>
    <t>DSCN4384</t>
  </si>
  <si>
    <t>M3.50811_11</t>
  </si>
  <si>
    <t>PG/GS</t>
  </si>
  <si>
    <t>DSCN4387</t>
  </si>
  <si>
    <t>M3.50811_12</t>
  </si>
  <si>
    <t>Didn't catch acqusition on film</t>
  </si>
  <si>
    <t>DSCN4389</t>
  </si>
  <si>
    <t>M3.50811_13</t>
  </si>
  <si>
    <t>DSCN4390</t>
  </si>
  <si>
    <t>BU0812_1</t>
  </si>
  <si>
    <t>RR/YS</t>
  </si>
  <si>
    <t>DSCN4391</t>
  </si>
  <si>
    <t>BU0812_2</t>
  </si>
  <si>
    <t>DSCN4393</t>
  </si>
  <si>
    <t>BU0812_3</t>
  </si>
  <si>
    <t>DSCN4394</t>
  </si>
  <si>
    <t>BU0812_4</t>
  </si>
  <si>
    <t>Spruce trunk on bark</t>
  </si>
  <si>
    <t xml:space="preserve">Did not record-did not recognize in field </t>
  </si>
  <si>
    <t>DSCN4395</t>
  </si>
  <si>
    <t>BU0812_5</t>
  </si>
  <si>
    <t>bug or mushroom</t>
  </si>
  <si>
    <t>DSCN4400</t>
  </si>
  <si>
    <t>BU0812_6</t>
  </si>
  <si>
    <t>Exterior spruce bark/lichen</t>
  </si>
  <si>
    <t>DSCN4402</t>
  </si>
  <si>
    <t>BU0812_7</t>
  </si>
  <si>
    <t>DSCN4403</t>
  </si>
  <si>
    <t>BU0812_8</t>
  </si>
  <si>
    <t>BU0812_9</t>
  </si>
  <si>
    <t>DSCN4404</t>
  </si>
  <si>
    <t>DSCN4405</t>
  </si>
  <si>
    <t>BU0812_10</t>
  </si>
  <si>
    <t>DSCN4406</t>
  </si>
  <si>
    <t>BU0812_11</t>
  </si>
  <si>
    <t>DSCN4408</t>
  </si>
  <si>
    <t>BU0812_12</t>
  </si>
  <si>
    <t>DSCN4411</t>
  </si>
  <si>
    <t>BU0812_13</t>
  </si>
  <si>
    <t>DSCN4412</t>
  </si>
  <si>
    <t>BU0812_14</t>
  </si>
  <si>
    <t>Bolete mushroom</t>
  </si>
  <si>
    <t>DSCN4413</t>
  </si>
  <si>
    <t>BU0812_15</t>
  </si>
  <si>
    <t>deployed cameras</t>
  </si>
  <si>
    <t>DSCN4414</t>
  </si>
  <si>
    <t>BU0812_16</t>
  </si>
  <si>
    <t>DSCN4415</t>
  </si>
  <si>
    <t>BU0812_17</t>
  </si>
  <si>
    <t>DSCN4416</t>
  </si>
  <si>
    <t>BU0812_18</t>
  </si>
  <si>
    <t>Puffball</t>
  </si>
  <si>
    <t>DSCN4417</t>
  </si>
  <si>
    <t>BU0812_19</t>
  </si>
  <si>
    <t>DSCN4419</t>
  </si>
  <si>
    <t>BU0812_20</t>
  </si>
  <si>
    <t>DSCN4420</t>
  </si>
  <si>
    <t>BU0812_21</t>
  </si>
  <si>
    <t>DSCN4424</t>
  </si>
  <si>
    <t>BU0812_22</t>
  </si>
  <si>
    <t>DSCN4429</t>
  </si>
  <si>
    <t>WB/BS</t>
  </si>
  <si>
    <t>M2370813_1</t>
  </si>
  <si>
    <t>DSCN4430</t>
  </si>
  <si>
    <t>M2370813_2</t>
  </si>
  <si>
    <t>DSCN4431</t>
  </si>
  <si>
    <t>M2370813_3</t>
  </si>
  <si>
    <t>DSCN4432</t>
  </si>
  <si>
    <t>M2370813_4</t>
  </si>
  <si>
    <t>DSCN4433</t>
  </si>
  <si>
    <t>M2370813_5</t>
  </si>
  <si>
    <t>DSCN4434</t>
  </si>
  <si>
    <t>M2370813_6</t>
  </si>
  <si>
    <t>Shrub branch</t>
  </si>
  <si>
    <t>DSCN4435</t>
  </si>
  <si>
    <t>M2370813_7</t>
  </si>
  <si>
    <t>DSCN4437</t>
  </si>
  <si>
    <t>M2370813_8</t>
  </si>
  <si>
    <t>DSCN4443</t>
  </si>
  <si>
    <t>M3.50815_1</t>
  </si>
  <si>
    <t>Heavy rain</t>
  </si>
  <si>
    <t>M3.50815_2</t>
  </si>
  <si>
    <t>DSCN4446</t>
  </si>
  <si>
    <t>M3.50815_4</t>
  </si>
  <si>
    <t>DSCN4448</t>
  </si>
  <si>
    <t>DSCN4447</t>
  </si>
  <si>
    <t>M3.50815_3</t>
  </si>
  <si>
    <t>DSCN4449</t>
  </si>
  <si>
    <t>M3.50815_5</t>
  </si>
  <si>
    <t>DSCN5543</t>
  </si>
  <si>
    <t>M3.50815_6</t>
  </si>
  <si>
    <t>DSCN4454</t>
  </si>
  <si>
    <t>M3.50815_7</t>
  </si>
  <si>
    <t>DSCN4456</t>
  </si>
  <si>
    <t>M3.50815_8</t>
  </si>
  <si>
    <t>DSCN4458</t>
  </si>
  <si>
    <t>M3.50815_9</t>
  </si>
  <si>
    <t>DSCN4460</t>
  </si>
  <si>
    <t>M3.50815_10</t>
  </si>
  <si>
    <t>PY/GS</t>
  </si>
  <si>
    <t>Possibly foraging or looking for places to cache</t>
  </si>
  <si>
    <t>DSCN4461</t>
  </si>
  <si>
    <t>M3.50815_11</t>
  </si>
  <si>
    <t>DSCN4465</t>
  </si>
  <si>
    <t>M3.50815_12</t>
  </si>
  <si>
    <t>DSCN4466</t>
  </si>
  <si>
    <t>M3.50815_13</t>
  </si>
  <si>
    <t>Exterior spruce on bark</t>
  </si>
  <si>
    <t>Interior spruce on bark</t>
  </si>
  <si>
    <t>DSCN4469</t>
  </si>
  <si>
    <t>BU0816_1</t>
  </si>
  <si>
    <t>DSCN4472</t>
  </si>
  <si>
    <t>BU0816_2</t>
  </si>
  <si>
    <t>RR/?S</t>
  </si>
  <si>
    <t>DSCN4474</t>
  </si>
  <si>
    <t>BU0816_3</t>
  </si>
  <si>
    <t>DSCN4475</t>
  </si>
  <si>
    <t>BU0816_4</t>
  </si>
  <si>
    <t>DSCN4477</t>
  </si>
  <si>
    <t>M4S0817_1</t>
  </si>
  <si>
    <t>Hare guts</t>
  </si>
  <si>
    <t>GY/GS</t>
  </si>
  <si>
    <t>dscn4479</t>
  </si>
  <si>
    <t>M4R0817_2</t>
  </si>
  <si>
    <t>DSCN4481</t>
  </si>
  <si>
    <t>M4S0817_3</t>
  </si>
  <si>
    <t>M4S0817_2</t>
  </si>
  <si>
    <t>DSCN4483</t>
  </si>
  <si>
    <t>M4S0817_4</t>
  </si>
  <si>
    <t>DSCN4485</t>
  </si>
  <si>
    <t>M4S0817_5</t>
  </si>
  <si>
    <t>M4R0817_1</t>
  </si>
  <si>
    <t>DSCN4488</t>
  </si>
  <si>
    <t>GW/OS</t>
  </si>
  <si>
    <t>Food handling, caching</t>
  </si>
  <si>
    <t>DSCN4489</t>
  </si>
  <si>
    <t>M4R0817_3</t>
  </si>
  <si>
    <t>DSCN4490</t>
  </si>
  <si>
    <t>DSCN4493</t>
  </si>
  <si>
    <t>M4R0817_4</t>
  </si>
  <si>
    <t>DSCN4494</t>
  </si>
  <si>
    <t>M4R0817_5</t>
  </si>
  <si>
    <t>bare</t>
  </si>
  <si>
    <t xml:space="preserve">Continuation of food acqusition from previous video, so did not count as additional acqusition, </t>
  </si>
  <si>
    <t>M4R0817_6</t>
  </si>
  <si>
    <t xml:space="preserve">Returns to mushroom after cache in clip 1 </t>
  </si>
  <si>
    <t>DSCN4497</t>
  </si>
  <si>
    <t>NO VIDEO</t>
  </si>
  <si>
    <t>Not sure why there's no video on this.  We deployed a camera on this cache</t>
  </si>
  <si>
    <t>Exterior willow branch</t>
  </si>
  <si>
    <t>DSCN4498</t>
  </si>
  <si>
    <t>M4R0817_7</t>
  </si>
  <si>
    <t>DSCN4499</t>
  </si>
  <si>
    <t>M4R0817_8</t>
  </si>
  <si>
    <t>WORMY THING</t>
  </si>
  <si>
    <t>DSCN4500</t>
  </si>
  <si>
    <t>Bark/lichen</t>
  </si>
  <si>
    <t>MC0817_1</t>
  </si>
  <si>
    <t>DSCN4503</t>
  </si>
  <si>
    <t>MC0817_2</t>
  </si>
  <si>
    <t>DSCN4504</t>
  </si>
  <si>
    <t>MC0817_3</t>
  </si>
  <si>
    <t>RB/YS</t>
  </si>
  <si>
    <t>DSCN4508</t>
  </si>
  <si>
    <t>M3.50820_1</t>
  </si>
  <si>
    <t>DSCN4510</t>
  </si>
  <si>
    <t>M3.50820_2</t>
  </si>
  <si>
    <t xml:space="preserve">Came up from gorund with food.  Looked like it was about toc cache but did not. </t>
  </si>
  <si>
    <t>DSCN4512</t>
  </si>
  <si>
    <t>M3.50820_3</t>
  </si>
  <si>
    <t>DSCN4514</t>
  </si>
  <si>
    <t>DSCN4515</t>
  </si>
  <si>
    <t>M3.50820_5</t>
  </si>
  <si>
    <t>DSCN4516</t>
  </si>
  <si>
    <t>M3.50820_6</t>
  </si>
  <si>
    <t>DSCN4517</t>
  </si>
  <si>
    <t>M3.50820_7</t>
  </si>
  <si>
    <t>DSCN4518</t>
  </si>
  <si>
    <t>M3.50820_8</t>
  </si>
  <si>
    <t xml:space="preserve">Missed acqusition on film. </t>
  </si>
  <si>
    <t>Foraging and food handling</t>
  </si>
  <si>
    <t>Didn't recognize as cache in field</t>
  </si>
  <si>
    <t>DSCN4519</t>
  </si>
  <si>
    <t>M3.50820_9</t>
  </si>
  <si>
    <t>M3.50820_10</t>
  </si>
  <si>
    <t>Slug</t>
  </si>
  <si>
    <t>DSCN4521</t>
  </si>
  <si>
    <t>M3.50820_11</t>
  </si>
  <si>
    <t>M3.50820_12</t>
  </si>
  <si>
    <t xml:space="preserve">Caching from foraging event in previous video. </t>
  </si>
  <si>
    <t>DSCN4522</t>
  </si>
  <si>
    <t>DSCN4524</t>
  </si>
  <si>
    <t>M3.50820_13</t>
  </si>
  <si>
    <t>DSCN4525</t>
  </si>
  <si>
    <t>M3.50820_14</t>
  </si>
  <si>
    <t>DSCN4526</t>
  </si>
  <si>
    <t>M3.50820_15</t>
  </si>
  <si>
    <t xml:space="preserve">Forgot to mark.  Big day.  </t>
  </si>
  <si>
    <t>DSCN4527</t>
  </si>
  <si>
    <t>M3.50820_16</t>
  </si>
  <si>
    <t>OR/WS</t>
  </si>
  <si>
    <t>DSCN4528</t>
  </si>
  <si>
    <t>M3.50820_17</t>
  </si>
  <si>
    <t>DSCN4529</t>
  </si>
  <si>
    <t>M3.50820_18</t>
  </si>
  <si>
    <t>DSCN4511</t>
  </si>
  <si>
    <t>M3.50820_19</t>
  </si>
  <si>
    <t>DSCN4531</t>
  </si>
  <si>
    <t>M3.50820_20</t>
  </si>
  <si>
    <t>WY/GS</t>
  </si>
  <si>
    <t>DSCN4532</t>
  </si>
  <si>
    <t>M.350820_21</t>
  </si>
  <si>
    <t>DSCN4533</t>
  </si>
  <si>
    <t>M3.50820_22</t>
  </si>
  <si>
    <t>DSCN4535</t>
  </si>
  <si>
    <t>M3.50820_23</t>
  </si>
  <si>
    <t>Missed acqusition.  Seen while deploying camera</t>
  </si>
  <si>
    <t>Deployed camera on cache</t>
  </si>
  <si>
    <t xml:space="preserve"> </t>
  </si>
  <si>
    <t>DSCN4536</t>
  </si>
  <si>
    <t>WW0821_1</t>
  </si>
  <si>
    <t>DSCN4537</t>
  </si>
  <si>
    <t>WW0821_2</t>
  </si>
  <si>
    <t>DSCN4538</t>
  </si>
  <si>
    <t>WW0821_3</t>
  </si>
  <si>
    <t>DSCN4539</t>
  </si>
  <si>
    <t>WW0821_4</t>
  </si>
  <si>
    <t>DSCN4542</t>
  </si>
  <si>
    <t>WW0821_5</t>
  </si>
  <si>
    <t>DSCN4543</t>
  </si>
  <si>
    <t>WW0821_6</t>
  </si>
  <si>
    <t>Y/OS</t>
  </si>
  <si>
    <t>DSCN4544</t>
  </si>
  <si>
    <t>WW0821_7</t>
  </si>
  <si>
    <t>DSCN4545</t>
  </si>
  <si>
    <t>WW0821_8</t>
  </si>
  <si>
    <t>DSCN4546</t>
  </si>
  <si>
    <t>WW0821_9</t>
  </si>
  <si>
    <t>DSCN4548</t>
  </si>
  <si>
    <t>WW0821_10</t>
  </si>
  <si>
    <t>DSCN4551</t>
  </si>
  <si>
    <t>WW0821_11</t>
  </si>
  <si>
    <t>DSCN4554</t>
  </si>
  <si>
    <t>WW0821_12</t>
  </si>
  <si>
    <t>Missed initial cache on camera but saw in person</t>
  </si>
  <si>
    <t>DSCN4556</t>
  </si>
  <si>
    <t>WW0821_13</t>
  </si>
  <si>
    <t>DSCN4557</t>
  </si>
  <si>
    <t>WW0821_14</t>
  </si>
  <si>
    <t>DSCN4558</t>
  </si>
  <si>
    <t>WW0821_15</t>
  </si>
  <si>
    <t>Missed initial acquisition on camera</t>
  </si>
  <si>
    <t>DSCN4559</t>
  </si>
  <si>
    <t>WW0821_16</t>
  </si>
  <si>
    <t>DSCN4563</t>
  </si>
  <si>
    <t>M2370822_1</t>
  </si>
  <si>
    <t xml:space="preserve">Caching and food handling </t>
  </si>
  <si>
    <t xml:space="preserve">Has mushroom bit in tree and caching into smaller pieces.  </t>
  </si>
  <si>
    <t>DSCN4567</t>
  </si>
  <si>
    <t>M2370822_2</t>
  </si>
  <si>
    <t xml:space="preserve">Probably piece of dried mushroom from previous "temporary" cache.  But can't know for sure.  </t>
  </si>
  <si>
    <t>DSCN4568</t>
  </si>
  <si>
    <t>M2370822_3</t>
  </si>
  <si>
    <t>Missed initial acquisition on film</t>
  </si>
  <si>
    <t>DSCN4569</t>
  </si>
  <si>
    <t>M2370822_4</t>
  </si>
  <si>
    <t>DSCN4572</t>
  </si>
  <si>
    <t>M2370822_5</t>
  </si>
  <si>
    <t>DSCN4573</t>
  </si>
  <si>
    <t>M2370822_6</t>
  </si>
  <si>
    <t>DSCN4574</t>
  </si>
  <si>
    <t>M2370822_7</t>
  </si>
  <si>
    <t>Missed initial acqusition</t>
  </si>
  <si>
    <t>DSCN4575</t>
  </si>
  <si>
    <t>M2370822_8</t>
  </si>
  <si>
    <t>DSCN4579</t>
  </si>
  <si>
    <t>AQ0822_1</t>
  </si>
  <si>
    <t>DSCN4580</t>
  </si>
  <si>
    <t>AQ0822_2</t>
  </si>
  <si>
    <t>Amanita</t>
  </si>
  <si>
    <t xml:space="preserve">Missed initial acquisition </t>
  </si>
  <si>
    <t>DSCN4581</t>
  </si>
  <si>
    <t>AQ0822_3</t>
  </si>
  <si>
    <t xml:space="preserve">Missed initial acquisition, counted later acqusition in next video.   </t>
  </si>
  <si>
    <t>DSCN4583</t>
  </si>
  <si>
    <t>AQ0822_4</t>
  </si>
  <si>
    <t>Pretzels</t>
  </si>
  <si>
    <t>DSCN4584</t>
  </si>
  <si>
    <t>AQ0822_5</t>
  </si>
  <si>
    <t>DSCN4585</t>
  </si>
  <si>
    <t>AQ0822_6</t>
  </si>
  <si>
    <t>DSCN4589</t>
  </si>
  <si>
    <t>AQ0822_7</t>
  </si>
  <si>
    <t>DSCN4591</t>
  </si>
  <si>
    <t>AQ0822_8</t>
  </si>
  <si>
    <t xml:space="preserve">had mystery food in a tree, then made two caches in a neighboring tree.  Unclear if food obtrained from tree, or later taken to tree. </t>
  </si>
  <si>
    <t>DSCN4593</t>
  </si>
  <si>
    <t>AQ0822_9</t>
  </si>
  <si>
    <t>DSCN4594</t>
  </si>
  <si>
    <t>AQ0822_10</t>
  </si>
  <si>
    <t>Tree</t>
  </si>
  <si>
    <t xml:space="preserve">Eating from   squirrel cache. </t>
  </si>
  <si>
    <t>DSCN4595</t>
  </si>
  <si>
    <t>MC0823_1</t>
  </si>
  <si>
    <t>MC0823_2</t>
  </si>
  <si>
    <t>OW/OS</t>
  </si>
  <si>
    <t>Exterior aspen bark</t>
  </si>
  <si>
    <t>DSCN4600</t>
  </si>
  <si>
    <t>DSCN4601</t>
  </si>
  <si>
    <t>MC0823_3</t>
  </si>
  <si>
    <t>DSCN4603</t>
  </si>
  <si>
    <t>MC0823_4</t>
  </si>
  <si>
    <t>DSCN4604</t>
  </si>
  <si>
    <t>MC0823_5</t>
  </si>
  <si>
    <t>Slime</t>
  </si>
  <si>
    <t>DSCN4608</t>
  </si>
  <si>
    <t>MC0823_6</t>
  </si>
  <si>
    <t>DSCN4609</t>
  </si>
  <si>
    <t>M4R0824_1</t>
  </si>
  <si>
    <t>DSCN4611</t>
  </si>
  <si>
    <t>O/RS</t>
  </si>
  <si>
    <t>M4S0824_1</t>
  </si>
  <si>
    <t>DSCN4613</t>
  </si>
  <si>
    <t>BU0824_1</t>
  </si>
  <si>
    <t>DSCN4614</t>
  </si>
  <si>
    <t>BU0824_2</t>
  </si>
  <si>
    <t>Interior spruce in lichen</t>
  </si>
  <si>
    <t>DSCN4615</t>
  </si>
  <si>
    <t>CC0826_1</t>
  </si>
  <si>
    <t>DSCN4619</t>
  </si>
  <si>
    <t>CC0826_2</t>
  </si>
  <si>
    <t>DSCN4620</t>
  </si>
  <si>
    <t>CC0826_3</t>
  </si>
  <si>
    <t>DSCN4622</t>
  </si>
  <si>
    <t>M2370827_1</t>
  </si>
  <si>
    <t>DSCN4623</t>
  </si>
  <si>
    <t>M2370827_2</t>
  </si>
  <si>
    <t>DSCN4624</t>
  </si>
  <si>
    <t>M2370827_3</t>
  </si>
  <si>
    <t>DSCN4625</t>
  </si>
  <si>
    <t>M2370827_4</t>
  </si>
  <si>
    <t>same food as previous video</t>
  </si>
  <si>
    <t>Same food as previous video</t>
  </si>
  <si>
    <t>DSCN4629</t>
  </si>
  <si>
    <t>M2370827_5</t>
  </si>
  <si>
    <t>Missed acqusition on film</t>
  </si>
  <si>
    <t>DSCN4630</t>
  </si>
  <si>
    <t>M2370827_6</t>
  </si>
  <si>
    <t>Cranberries</t>
  </si>
  <si>
    <t>DSCN4632</t>
  </si>
  <si>
    <t>M2370827_7</t>
  </si>
  <si>
    <t>DSCN4634</t>
  </si>
  <si>
    <t>M2370827_8</t>
  </si>
  <si>
    <t>DSCN4639</t>
  </si>
  <si>
    <t>M2370827_9</t>
  </si>
  <si>
    <t>DSCN4640</t>
  </si>
  <si>
    <t>M2370827_10</t>
  </si>
  <si>
    <t>DSCN4645</t>
  </si>
  <si>
    <t>DSCN4646</t>
  </si>
  <si>
    <t>DSCN4649</t>
  </si>
  <si>
    <t>M4R0828_1</t>
  </si>
  <si>
    <t>M4R0828_2</t>
  </si>
  <si>
    <t>MR40828_3</t>
  </si>
  <si>
    <t>DSCN4650</t>
  </si>
  <si>
    <t>M4R0828_4</t>
  </si>
  <si>
    <t>Snail</t>
  </si>
  <si>
    <t xml:space="preserve">Missed initial acqusition </t>
  </si>
  <si>
    <t>DSCN4651</t>
  </si>
  <si>
    <t>M4R0828_5</t>
  </si>
  <si>
    <t>Camera deployed on this tree</t>
  </si>
  <si>
    <t>Incidental cache discovered with first</t>
  </si>
  <si>
    <t>DSCN4652</t>
  </si>
  <si>
    <t>M4R0828_6</t>
  </si>
  <si>
    <t xml:space="preserve">Recovered something white from tree then ground foraged </t>
  </si>
  <si>
    <t>DSCN4653</t>
  </si>
  <si>
    <t>M4R0828_7</t>
  </si>
  <si>
    <t>DSCN4654</t>
  </si>
  <si>
    <t>M4R0828_8</t>
  </si>
  <si>
    <t>DSCN4655</t>
  </si>
  <si>
    <t>M4R0828_9</t>
  </si>
  <si>
    <t xml:space="preserve">Missed initial acquisition on camera </t>
  </si>
  <si>
    <t>DSCN4657</t>
  </si>
  <si>
    <t>M4R0828_10</t>
  </si>
  <si>
    <t>DSCN4658</t>
  </si>
  <si>
    <t>M4R0828_11</t>
  </si>
  <si>
    <t>M4R0828_12</t>
  </si>
  <si>
    <t>DSCN4659</t>
  </si>
  <si>
    <t>M4R0828_13</t>
  </si>
  <si>
    <t>DSCN4660</t>
  </si>
  <si>
    <t>M4R0828_14</t>
  </si>
  <si>
    <t>DSCN4661</t>
  </si>
  <si>
    <t>M4R0828_15</t>
  </si>
  <si>
    <t>DSCN4662</t>
  </si>
  <si>
    <t>M4R0828_16</t>
  </si>
  <si>
    <t>Unknown foraging time because I got the birds mixed up</t>
  </si>
  <si>
    <t>DSCN4663</t>
  </si>
  <si>
    <t>M4R0828_17</t>
  </si>
  <si>
    <t>OG/WS</t>
  </si>
  <si>
    <t xml:space="preserve">Missed acquisition on film </t>
  </si>
  <si>
    <t>DSCN4664</t>
  </si>
  <si>
    <t>M4R0828_18</t>
  </si>
  <si>
    <t>DSCN4665</t>
  </si>
  <si>
    <t>M4R0828_19</t>
  </si>
  <si>
    <t>DSCN4666</t>
  </si>
  <si>
    <t>M3.50828_1</t>
  </si>
  <si>
    <t>WR/YS</t>
  </si>
  <si>
    <t xml:space="preserve">Missed acqusition on camera.  Then forgot to mark tree.  Fletcher was kind of a messy B.  </t>
  </si>
  <si>
    <t xml:space="preserve">Sum of Number of food acquisition successes </t>
  </si>
  <si>
    <t>Winter/Spring 2019</t>
  </si>
  <si>
    <t>June of 2019</t>
  </si>
  <si>
    <t>August of 2019</t>
  </si>
  <si>
    <t>Column Labels</t>
  </si>
  <si>
    <t>Total</t>
  </si>
  <si>
    <t>Septemner</t>
  </si>
  <si>
    <t xml:space="preserve">October </t>
  </si>
  <si>
    <t xml:space="preserve">Sum total </t>
  </si>
  <si>
    <t>Year</t>
  </si>
  <si>
    <t xml:space="preserve">Days with field data </t>
  </si>
  <si>
    <t xml:space="preserve">September </t>
  </si>
  <si>
    <t>Total field effort</t>
  </si>
  <si>
    <t>Field effort (hand counted by date)</t>
  </si>
  <si>
    <t>Total Aqusitions</t>
  </si>
  <si>
    <t xml:space="preserve">Field days </t>
  </si>
  <si>
    <t>Food acquisitions by field effort</t>
  </si>
  <si>
    <t xml:space="preserve">Animal flesh </t>
  </si>
  <si>
    <t>Orange peel</t>
  </si>
  <si>
    <t>French fry</t>
  </si>
  <si>
    <t xml:space="preserve">Suasage </t>
  </si>
  <si>
    <t>Insects</t>
  </si>
  <si>
    <t xml:space="preserve">Moth </t>
  </si>
  <si>
    <t>Mushrooms</t>
  </si>
  <si>
    <t xml:space="preserve">Snail </t>
  </si>
  <si>
    <t>Pretzel</t>
  </si>
  <si>
    <t xml:space="preserve">Urine snow </t>
  </si>
  <si>
    <t>Slime mold</t>
  </si>
  <si>
    <t xml:space="preserve">Percent of all items </t>
  </si>
  <si>
    <t xml:space="preserve">Percent of known items </t>
  </si>
  <si>
    <t>Total acquisitions</t>
  </si>
  <si>
    <t xml:space="preserve">Total caches </t>
  </si>
  <si>
    <t>Sum of Cache deposited?</t>
  </si>
  <si>
    <t>Corrected count data (count/field effort x 23 sampling days)</t>
  </si>
  <si>
    <t xml:space="preserve">Caches </t>
  </si>
  <si>
    <t xml:space="preserve">Food type </t>
  </si>
  <si>
    <t>Percent of all items</t>
  </si>
  <si>
    <t>Total known</t>
  </si>
  <si>
    <t xml:space="preserve">Spring </t>
  </si>
  <si>
    <t>Fall</t>
  </si>
  <si>
    <t xml:space="preserve">Total known </t>
  </si>
  <si>
    <t>Sum of Bark FT</t>
  </si>
  <si>
    <t>Sum of Foliage FT</t>
  </si>
  <si>
    <t>Sum of Interior FT</t>
  </si>
  <si>
    <t>Sum of Exterior FT</t>
  </si>
  <si>
    <t>Sum of Ground FT</t>
  </si>
  <si>
    <t>Sum of Total foraging time</t>
  </si>
  <si>
    <t>Spring 2018</t>
  </si>
  <si>
    <t>Sum of bark FT (trunk or bare branch)</t>
  </si>
  <si>
    <t>Sum of Ground</t>
  </si>
  <si>
    <t>Sum of Human surface</t>
  </si>
  <si>
    <t xml:space="preserve">QC check: sum of foliage+bark+ground </t>
  </si>
  <si>
    <t xml:space="preserve">QC check: sum of interior+exterior+ground </t>
  </si>
  <si>
    <t xml:space="preserve">QC check: sum of foliage+bark+ground+human surface </t>
  </si>
  <si>
    <t xml:space="preserve">QC check: sum of interior+exterior+ground+human surface </t>
  </si>
  <si>
    <t xml:space="preserve">Fall 2018 </t>
  </si>
  <si>
    <t xml:space="preserve">Spring 2019 </t>
  </si>
  <si>
    <t xml:space="preserve">Total documented foraging time: </t>
  </si>
  <si>
    <t>Second</t>
  </si>
  <si>
    <t>mintues</t>
  </si>
  <si>
    <t>hours</t>
  </si>
  <si>
    <t>QC</t>
  </si>
  <si>
    <t>Percents</t>
  </si>
  <si>
    <t xml:space="preserve">Log transformed values for stats </t>
  </si>
  <si>
    <t>Trees</t>
  </si>
  <si>
    <t xml:space="preserve">Ground </t>
  </si>
  <si>
    <t>Of times in trees</t>
  </si>
  <si>
    <t>Spring</t>
  </si>
  <si>
    <t>Spring percent</t>
  </si>
  <si>
    <t xml:space="preserve">fall percent </t>
  </si>
  <si>
    <t>tOTAL</t>
  </si>
  <si>
    <t xml:space="preserve">Spring field </t>
  </si>
  <si>
    <t xml:space="preserve">Fall field </t>
  </si>
  <si>
    <t>Fall percent</t>
  </si>
  <si>
    <t>Tree types</t>
  </si>
  <si>
    <t xml:space="preserve">Cache locations </t>
  </si>
  <si>
    <t xml:space="preserve">Trunk </t>
  </si>
  <si>
    <t>In foliage/witch hair</t>
  </si>
  <si>
    <t>Total bark</t>
  </si>
  <si>
    <t xml:space="preserve">Same tree 1=same event, 2=difference events, 3=same event different birds </t>
  </si>
  <si>
    <t>Duplicate tree</t>
  </si>
  <si>
    <t xml:space="preserve">Number of caches that were made in a tree with an existing cache (hand counted) </t>
  </si>
  <si>
    <t xml:space="preserve">Number of caches that were made in a tree with an existing cache (hand counted), but made by a different bird on the territorry  </t>
  </si>
  <si>
    <t xml:space="preserve">Number of caches that were made in a tree with an existing cache (hand counted), where the seocnd cache occurred on a different date </t>
  </si>
  <si>
    <t xml:space="preserve">Human surface </t>
  </si>
  <si>
    <t xml:space="preserve">Perched in tree B&amp;Ut appears to be looking at ground.  Not sure how to label. </t>
  </si>
  <si>
    <t xml:space="preserve">Plucked a dried blueberry B&amp;Ut then spit it up.  It did not secure it to the branch nor did it look like typical cache behavior.  So I did not score it as a cache.  </t>
  </si>
  <si>
    <t xml:space="preserve">Checked possible cache tree B&amp;Ut did not see anything. </t>
  </si>
  <si>
    <t>Acquisition reported on different video, B&amp;Ut part of this foraging sequence.</t>
  </si>
  <si>
    <t xml:space="preserve">One other possible cache B&amp;Ut unclear. </t>
  </si>
  <si>
    <t xml:space="preserve">Food acquisition=3 berries B&amp;Ut presumable only cached one. </t>
  </si>
  <si>
    <t>B&amp;U0327_7</t>
  </si>
  <si>
    <t>B&amp;U0327_5</t>
  </si>
  <si>
    <t>B&amp;U0327_4</t>
  </si>
  <si>
    <t>B&amp;U0327_1</t>
  </si>
  <si>
    <t xml:space="preserve">Missed acquisition on film B&amp;Ut saw in person. </t>
  </si>
  <si>
    <t>B&amp;U0327_3</t>
  </si>
  <si>
    <t xml:space="preserve">Missed acquisition.  The bird appears to be eating it B&amp;Ut in slow motion it becomes evident that it is just flinging stuff away.  Because it's actually not food B&amp;Ut bird shit. </t>
  </si>
  <si>
    <t>B&amp;U0327_2</t>
  </si>
  <si>
    <t>B&amp;U0327_6</t>
  </si>
  <si>
    <t xml:space="preserve">Appears to collect something B&amp;Ut then drops it. </t>
  </si>
  <si>
    <t>unknown (Probably B&amp;Ugs)</t>
  </si>
  <si>
    <t>There's one frame where you can see the food item.  It is a dark glossy black B&amp;Ut doesn't look like a berry.  Looks like a B&amp;Ug</t>
  </si>
  <si>
    <t>B&amp;U0401_14</t>
  </si>
  <si>
    <t>Missed food acquisition B&amp;Ut saw it come from ground with naked eye.</t>
  </si>
  <si>
    <t>Unknown (B&amp;Ut it's definitely a caterpiller)</t>
  </si>
  <si>
    <t>B&amp;U0401_17</t>
  </si>
  <si>
    <t xml:space="preserve">Confident cache based on behavior and that it just had food, B&amp;Ut we did not get visual confirmation. </t>
  </si>
  <si>
    <t>B&amp;U0401_15</t>
  </si>
  <si>
    <t>B&amp;U0401_7</t>
  </si>
  <si>
    <t>Missed foraging, B&amp;Ut Liz witnessed initial capture</t>
  </si>
  <si>
    <t>B&amp;U0401_11</t>
  </si>
  <si>
    <t>B&amp;U0401_16</t>
  </si>
  <si>
    <t>B&amp;U0401_4</t>
  </si>
  <si>
    <t>B&amp;U0401_5</t>
  </si>
  <si>
    <t>B&amp;U0401_6</t>
  </si>
  <si>
    <t>B&amp;U0401_8</t>
  </si>
  <si>
    <t>B&amp;U0401_9</t>
  </si>
  <si>
    <t>Missed acquisition (on camera B&amp;Ut saw IRL)</t>
  </si>
  <si>
    <t xml:space="preserve">By editing the video and lightening up the brightness I could see that it did not make a chase B&amp;Ut rather aquired food.  </t>
  </si>
  <si>
    <t>Maybe insect?  Or plant B&amp;Ud?</t>
  </si>
  <si>
    <t>B&amp;U0403_1</t>
  </si>
  <si>
    <t>B&amp;U0403_3</t>
  </si>
  <si>
    <t xml:space="preserve">Cached two caterpillars and a spider on the same branch. One caterpiller was saw it aquire B&amp;Ut the other two items we did not.  Counted as additional aquisitions  Put Camera out on this cache. Again, we thought originally that YO/BS grabbed the black caterpillar B&amp;Ut now we aren't sure.  Maybe they switched off camera.  So we don't have a distance for the black caterpillar.  </t>
  </si>
  <si>
    <t>At the time I thought this birds was YO/BS. B&amp;Ut it's possible that YO/BS and OB/YS switched because the cache tree in the later video has a black caterpillar cache from OB/YS.  So we marked this as unknown, rather than assume it was actually ob/ys</t>
  </si>
  <si>
    <t>B&amp;U0415_2</t>
  </si>
  <si>
    <t>B&amp;U0415_4</t>
  </si>
  <si>
    <t>B&amp;U0415_6</t>
  </si>
  <si>
    <t>B&amp;U0415_3</t>
  </si>
  <si>
    <t>Not postive about food acquisitions, B&amp;Ut seems like he got at least 2, maybe even three based on post foraging behavior</t>
  </si>
  <si>
    <t>B&amp;U0415_9</t>
  </si>
  <si>
    <t>B&amp;U0415_7</t>
  </si>
  <si>
    <t>B&amp;U0415_8</t>
  </si>
  <si>
    <t>B&amp;U0415_1</t>
  </si>
  <si>
    <t xml:space="preserve">Initially I thought ut had grabbed a caterpiller B&amp;Ut wasn't confident enough to mark. </t>
  </si>
  <si>
    <t xml:space="preserve">In slowmo you can see that it is not caching, B&amp;Ut rather chasing an insect.  The B&amp;Ug gets away </t>
  </si>
  <si>
    <t>B&amp;U0418_1</t>
  </si>
  <si>
    <t>B&amp;U0418_4</t>
  </si>
  <si>
    <t>B&amp;U0418_3</t>
  </si>
  <si>
    <t>B&amp;U0418_2</t>
  </si>
  <si>
    <t>No probling on tape B&amp;Ut had seen some earlier</t>
  </si>
  <si>
    <t>B&amp;U0424_1</t>
  </si>
  <si>
    <t>B&amp;U0424_9</t>
  </si>
  <si>
    <t>B&amp;U0424_12</t>
  </si>
  <si>
    <t>B&amp;U0424_6</t>
  </si>
  <si>
    <t>B&amp;U0424_8</t>
  </si>
  <si>
    <t>B&amp;U0424_5</t>
  </si>
  <si>
    <t>B&amp;U0424_10</t>
  </si>
  <si>
    <t>B&amp;U0424_2</t>
  </si>
  <si>
    <t>B&amp;U0424_7</t>
  </si>
  <si>
    <t>Bird snatched all of them.  VERY LIKELY all B&amp;Ugs</t>
  </si>
  <si>
    <t>3 obvious B&amp;Ugs when watched in slowmo</t>
  </si>
  <si>
    <t xml:space="preserve">Recovered a cache in the tree next to YO/BS's cache tree so used same waypoint, B&amp;Ut it wasn't the exact same tree. </t>
  </si>
  <si>
    <t>B&amp;U0502_1</t>
  </si>
  <si>
    <t>Different tree from first cache B&amp;Ut same GPS</t>
  </si>
  <si>
    <t>B&amp;U0502_6</t>
  </si>
  <si>
    <t xml:space="preserve">Missed initial acquisition, B&amp;Ut it caught it near where video picks up.  We are not 100% confident about cache, B&amp;Ut "post-cache" behavior and bill load suggests it cached it. </t>
  </si>
  <si>
    <t>B&amp;U0505_3</t>
  </si>
  <si>
    <t>B&amp;U0508_3</t>
  </si>
  <si>
    <t>B&amp;U0508_2</t>
  </si>
  <si>
    <t>B&amp;U0502_3</t>
  </si>
  <si>
    <t>B&amp;U0505_2</t>
  </si>
  <si>
    <t xml:space="preserve">Pecks several times B&amp;Ut no confirmed food.  Seems to spit something out at one point. </t>
  </si>
  <si>
    <t>B&amp;U0401_1</t>
  </si>
  <si>
    <t>B&amp;U0401_10</t>
  </si>
  <si>
    <t>B&amp;U0401_12</t>
  </si>
  <si>
    <t>B&amp;U0401_13</t>
  </si>
  <si>
    <t>B&amp;U0401_2</t>
  </si>
  <si>
    <t>B&amp;U0401_3</t>
  </si>
  <si>
    <t>B&amp;U0403_2</t>
  </si>
  <si>
    <t>B&amp;U0415_5</t>
  </si>
  <si>
    <t>Grabs a leaf and leaves.  Maybe B&amp;Ug inside?</t>
  </si>
  <si>
    <t xml:space="preserve">once it drops to the ground it looks like it has another B&amp;Uggy thing, B&amp;Ut maybe same thing from before? </t>
  </si>
  <si>
    <t>Goes to ground B&amp;Ut not sure if acquires anything</t>
  </si>
  <si>
    <t>B&amp;U0424_11</t>
  </si>
  <si>
    <t>B&amp;U0424_13</t>
  </si>
  <si>
    <t>B&amp;U0424_3</t>
  </si>
  <si>
    <t>B&amp;U0424_4</t>
  </si>
  <si>
    <t>B&amp;U0502_2</t>
  </si>
  <si>
    <t>B&amp;U0502_4</t>
  </si>
  <si>
    <t>B&amp;U0502_5</t>
  </si>
  <si>
    <t>B&amp;U0505_1</t>
  </si>
  <si>
    <t>B&amp;U0505_4</t>
  </si>
  <si>
    <t>B&amp;U0505_5</t>
  </si>
  <si>
    <t>B&amp;U0505_6</t>
  </si>
  <si>
    <t>B&amp;U0508_1</t>
  </si>
  <si>
    <t>B&amp;U0508_4</t>
  </si>
  <si>
    <t>B&amp;U0508_5</t>
  </si>
  <si>
    <t>B&amp;U0828_1</t>
  </si>
  <si>
    <t xml:space="preserve">Unclear if foraging or caching initially, B&amp;Ut then picks something off trunk and places it in another part of the tree. </t>
  </si>
  <si>
    <t xml:space="preserve">Aquired two berries, we watched it cache one in a tree, B&amp;Ut could not follow it for the second berry.  </t>
  </si>
  <si>
    <t>B&amp;U0830_1</t>
  </si>
  <si>
    <t xml:space="preserve">Largley blocked by foliage B&amp;Ut it was obviously B&amp;Usy. </t>
  </si>
  <si>
    <t>B&amp;U0830_2</t>
  </si>
  <si>
    <t xml:space="preserve">Was doing something in the foliated interior of a spruce B&amp;Ut who knows what?! </t>
  </si>
  <si>
    <t>B&amp;U0830_3</t>
  </si>
  <si>
    <t>B&amp;U0830_7</t>
  </si>
  <si>
    <t>B&amp;U0830_12</t>
  </si>
  <si>
    <t>B&amp;U0830_4</t>
  </si>
  <si>
    <t>B&amp;U0830_6</t>
  </si>
  <si>
    <t>B&amp;U0830_8</t>
  </si>
  <si>
    <t>B&amp;U0830_9</t>
  </si>
  <si>
    <t>B&amp;U0830_10</t>
  </si>
  <si>
    <t>B&amp;U0830_11</t>
  </si>
  <si>
    <t>B&amp;U0830_5</t>
  </si>
  <si>
    <t>Cached mushroom from B&amp;U0830_4</t>
  </si>
  <si>
    <t>Something happens at 0:10 mark B&amp;Ut unclear if foraging or caching. Following cache is very clear.</t>
  </si>
  <si>
    <t xml:space="preserve">Has piece of food while in spruce tree, B&amp;Ut unclear where it got it from.  </t>
  </si>
  <si>
    <t xml:space="preserve">1:25+0:33+0:38 FOOD HANDLING. At one point breaks piece of bark off and shoves it under other bark like a cache. The last cache tree recorded is suspected B&amp;Ut unconfirmed. </t>
  </si>
  <si>
    <t>Suspected B&amp;Ut unconfirmed cache</t>
  </si>
  <si>
    <t xml:space="preserve">Likely cached at 0:23 mark, B&amp;Ut not sure enough to count. </t>
  </si>
  <si>
    <t>Eye witnessed eating from featured mushroom B&amp;Ut did not capture on video</t>
  </si>
  <si>
    <t xml:space="preserve">Don't have video, B&amp;Ut gps'd cahce location.  </t>
  </si>
  <si>
    <t xml:space="preserve">Maybe food handling instead of foraging B&amp;Ut unclear.  </t>
  </si>
  <si>
    <t xml:space="preserve">Didn't capture foraging in this video B&amp;Ut did in previous one.  Didn't keep video because bird was not in frame B&amp;Ut used it to calculate foraging time reported here.  Unclear from video audio, B&amp;Ut the cache location here was spotted in the field by KS. </t>
  </si>
  <si>
    <t>B&amp;U0905_1</t>
  </si>
  <si>
    <t>Unknown (probably B&amp;Ug)</t>
  </si>
  <si>
    <t>In field thought it cached in tree, B&amp;Ut video does not confirm</t>
  </si>
  <si>
    <t xml:space="preserve">Observed B&amp;Ut not captured on video </t>
  </si>
  <si>
    <t>B&amp;U0908_1</t>
  </si>
  <si>
    <t>B&amp;U0908_2</t>
  </si>
  <si>
    <t>B&amp;U0908_3</t>
  </si>
  <si>
    <t>B&amp;U0908_4</t>
  </si>
  <si>
    <t>B&amp;U0908_6</t>
  </si>
  <si>
    <t>B&amp;U0908_7</t>
  </si>
  <si>
    <t>B&amp;U0908_9</t>
  </si>
  <si>
    <t>B&amp;U0908_5</t>
  </si>
  <si>
    <t>B&amp;U0908_8</t>
  </si>
  <si>
    <t xml:space="preserve">Missed food acquisition an cache B&amp;Ut narrated on video.  </t>
  </si>
  <si>
    <t>Not sure about cache B&amp;Ut suspected in field</t>
  </si>
  <si>
    <t>Hard to tell, B&amp;Ut looked like caching behavior</t>
  </si>
  <si>
    <t xml:space="preserve">Interior spruce branch, B&amp;Ut bare part of brach between foliage.  </t>
  </si>
  <si>
    <t>B&amp;U0912_4</t>
  </si>
  <si>
    <t>B&amp;U0912_1</t>
  </si>
  <si>
    <t>B&amp;U0912_2</t>
  </si>
  <si>
    <t>B&amp;U0912_5</t>
  </si>
  <si>
    <t>B&amp;U0912_6</t>
  </si>
  <si>
    <t>B&amp;U0912_8</t>
  </si>
  <si>
    <t>Unknown, B&amp;Ut some part of spruce cone, probably seeds</t>
  </si>
  <si>
    <t xml:space="preserve">Appeared to cache something in foliage (B&amp;Ut unconfirmed) then went and retrieved food item. Food item is unknown B&amp;Ut maybe congealed sap or seeds or something.    </t>
  </si>
  <si>
    <t>B&amp;U0912_3</t>
  </si>
  <si>
    <t xml:space="preserve">Interior foliate spruce, B&amp;Ut placed neatly on branch. </t>
  </si>
  <si>
    <t>B&amp;U0912_7</t>
  </si>
  <si>
    <t xml:space="preserve">Unconfirmed B&amp;Ut suspected cache. </t>
  </si>
  <si>
    <t xml:space="preserve">DL witnessed it picking up 4 berries.  We orignially marked it as caching B&amp;Ut upon review of the video we decided there was't sufficient evidence of this.  </t>
  </si>
  <si>
    <t xml:space="preserve">Food acquisition not captured on film B&amp;Ut observed beforhand by KS.  </t>
  </si>
  <si>
    <t>B&amp;U0915_8</t>
  </si>
  <si>
    <t>B&amp;U0915_12</t>
  </si>
  <si>
    <t>B&amp;U0915_14</t>
  </si>
  <si>
    <t>B&amp;U0915_15</t>
  </si>
  <si>
    <t>B&amp;U0915_1</t>
  </si>
  <si>
    <t>B&amp;U0915_9</t>
  </si>
  <si>
    <t>B&amp;U0915_17</t>
  </si>
  <si>
    <t>B&amp;U0915_2</t>
  </si>
  <si>
    <t>B&amp;U0915_3</t>
  </si>
  <si>
    <t>B&amp;U0915_4</t>
  </si>
  <si>
    <t>B&amp;U0915_5</t>
  </si>
  <si>
    <t>B&amp;U0915_11</t>
  </si>
  <si>
    <t>B&amp;U0915_13</t>
  </si>
  <si>
    <t>B&amp;U0915_16</t>
  </si>
  <si>
    <t>B&amp;U0915_19</t>
  </si>
  <si>
    <t>B&amp;U0915_6</t>
  </si>
  <si>
    <t>B&amp;U0915_7</t>
  </si>
  <si>
    <t>B&amp;U0915_10</t>
  </si>
  <si>
    <t>B&amp;U0915_18</t>
  </si>
  <si>
    <t>B&amp;U0915_20</t>
  </si>
  <si>
    <t xml:space="preserve">Did not record cache on cemera B&amp;Ut witnessed with binoculars </t>
  </si>
  <si>
    <t xml:space="preserve">Moment of cache not caught on video B&amp;Ut it cached what was left in the spot seen on the video of it eating.  </t>
  </si>
  <si>
    <t>B&amp;U0917_4</t>
  </si>
  <si>
    <t>B&amp;U0917_1</t>
  </si>
  <si>
    <t>B&amp;U0917_3</t>
  </si>
  <si>
    <t>B&amp;U0917_2</t>
  </si>
  <si>
    <t xml:space="preserve">Observed by KS, TG,  B&amp;Ut not captured on video </t>
  </si>
  <si>
    <t>B&amp;U0920_2</t>
  </si>
  <si>
    <t>B&amp;U0920_3</t>
  </si>
  <si>
    <t>B&amp;U0920_9</t>
  </si>
  <si>
    <t>B&amp;U0920_10</t>
  </si>
  <si>
    <t>B&amp;U0920_1</t>
  </si>
  <si>
    <t>B&amp;U0920_4</t>
  </si>
  <si>
    <t>B&amp;U0920_5</t>
  </si>
  <si>
    <t>B&amp;U0920_6</t>
  </si>
  <si>
    <t>B&amp;U0920_7</t>
  </si>
  <si>
    <t>B&amp;U0920_8</t>
  </si>
  <si>
    <t>Seemed to get it from tree, B&amp;Ut unconfirmed</t>
  </si>
  <si>
    <t xml:space="preserve">Darted to ground and picked up B&amp;Ug. </t>
  </si>
  <si>
    <t xml:space="preserve">Unconfirmed B&amp;Ut suspected cache.  Bird was observed obtaining food in the previous video,  </t>
  </si>
  <si>
    <t>In video I say worm, B&amp;Ut we checked later;def guts.</t>
  </si>
  <si>
    <t xml:space="preserve">Video does not show cache.  I had seen the female in another spruce eating the food, B&amp;Ut could not get video on her in time.  Then she flew the featured tree and put the food there.  When I saw her fly with it it looked like human food given the color/size and shape.  </t>
  </si>
  <si>
    <t>Cached food from previous video.  Did not get in on camera B&amp;Ut observed IRL</t>
  </si>
  <si>
    <t xml:space="preserve">Suspected B&amp;Ut unconfirmed cache </t>
  </si>
  <si>
    <t xml:space="preserve">Didn't catch either on video, B&amp;Ut KS witnessed both.  We were able to visually confirm cache, though we couldn't figure out what it was! </t>
  </si>
  <si>
    <t>B&amp;U1003_1</t>
  </si>
  <si>
    <t xml:space="preserve">Did not observe cache with camera, B&amp;Ut KS reasonably confident she saw it with naked eye. </t>
  </si>
  <si>
    <t>long period of arboreal ground foraging where bird occasionally looks up, B&amp;Ut goes to ground after.</t>
  </si>
  <si>
    <t>Both suspected B&amp;Ut unconfirmed cahces</t>
  </si>
  <si>
    <t>Unknown. Something attached to a plant (berry? B&amp;Ug?)</t>
  </si>
  <si>
    <t>Was seaching ground B&amp;Ut from low branch</t>
  </si>
  <si>
    <t>B&amp;U1006_1</t>
  </si>
  <si>
    <t>B&amp;U1006_2</t>
  </si>
  <si>
    <t xml:space="preserve">Likely B&amp;Ug B&amp;Ut not sure enough to mark.  </t>
  </si>
  <si>
    <t>B&amp;U1006_3</t>
  </si>
  <si>
    <t>B&amp;U1006_4</t>
  </si>
  <si>
    <t>B&amp;U1006_8</t>
  </si>
  <si>
    <t>B&amp;U1006_5</t>
  </si>
  <si>
    <t>B&amp;U1006_6</t>
  </si>
  <si>
    <t>unknown, B&amp;Ut could have included orange berry from before</t>
  </si>
  <si>
    <t>B&amp;U1006_7</t>
  </si>
  <si>
    <t>B&amp;U1006_9</t>
  </si>
  <si>
    <t xml:space="preserve">mostly on pavement B&amp;Ut not counted as human surface by previous reviewers. </t>
  </si>
  <si>
    <t xml:space="preserve">Pulled food out of one tree and then went the the next tree over and appeared to recache it.  B&amp;Ut that cache is unconfirmed.  </t>
  </si>
  <si>
    <t xml:space="preserve">First cache is obviouos from video, second is more of a guess, B&amp;Ut seems likely based on the behavior.  </t>
  </si>
  <si>
    <t xml:space="preserve">Same tree as second cache tree in previous video.  Seemed like it returned to cache more, B&amp;Ut this was unconfirmed by the video.  </t>
  </si>
  <si>
    <t xml:space="preserve">Called cachiing in video, B&amp;Ut after being unable to locate what should have been a very obvious  cache we concluded it was more likely foraging.  </t>
  </si>
  <si>
    <t xml:space="preserve">Video clip is 3sec, B&amp;Ut total foraging time as calculated in the field was 10.  </t>
  </si>
  <si>
    <t xml:space="preserve">Observed by KS.  B&amp;Ut she can't remember any details about the cache :( </t>
  </si>
  <si>
    <t>appears to be arboreal ground foraging B&amp;Ut then goes to forage in tree, so didn't count as ground.</t>
  </si>
  <si>
    <t>Lots of looking around B&amp;Ut can't say conservatively that any of it is arboreal ground foraging.</t>
  </si>
  <si>
    <t xml:space="preserve">Followed bird from hare to tree.  Observation os cache wasn't caught on video and was obstructed from view due to delay in catching up with the bird.  B&amp;Ut given the behavior and location upon our arrival, we felt confident marking the tree. </t>
  </si>
  <si>
    <t xml:space="preserve">Cache from previous video. Followed bird from hare to tree.  Observation os cache wasn't caught on video and was obstructed from view due to delay in catching up with the bird.  B&amp;Ut given the behavior and location upon our arrival, we felt confident marking the tree. </t>
  </si>
  <si>
    <t xml:space="preserve">First cache is confirmed.  Second cache: Followed bird from hare to tree.  Observation os cache wasn't caught on video and was obstructed from view due to delay in catching up with the bird.  B&amp;Ut given the behavior and location upon our arrival, we felt confident marking the tree. </t>
  </si>
  <si>
    <t xml:space="preserve">Same as CT1 for this day. Followed bird from hare to tree.  Observation os cache wasn't caught on video and was obstructed from view due to delay in catching up with the bird.  B&amp;Ut given the behavior and location upon our arrival, we felt confident marking the tree. </t>
  </si>
  <si>
    <t xml:space="preserve">Incidental cache.  Found byt acident.  Berry in good condition B&amp;Ut spit dry.  </t>
  </si>
  <si>
    <t xml:space="preserve">Some kind of orange stringy thing.  Missed acquisition on camera B&amp;Ut witnessed in person. </t>
  </si>
  <si>
    <t>B&amp;U1017_8</t>
  </si>
  <si>
    <t>B&amp;U1017_1</t>
  </si>
  <si>
    <t>B&amp;U1017_2</t>
  </si>
  <si>
    <t>B&amp;U1017_4</t>
  </si>
  <si>
    <t>B&amp;U1017_5</t>
  </si>
  <si>
    <t>B&amp;U1017_6</t>
  </si>
  <si>
    <t>B&amp;U1017_3</t>
  </si>
  <si>
    <t>B&amp;U1017_7</t>
  </si>
  <si>
    <t>Had a leaf at the start of the video B&amp;Ut no telling if there was food in it or not</t>
  </si>
  <si>
    <t>Really blurry. Possible cace B&amp;Ut unconfirmed by video.</t>
  </si>
  <si>
    <t>3.5 bird B&amp;Ut with M4R birds and in territory</t>
  </si>
  <si>
    <t xml:space="preserve">Checked tree. No cache evident, B&amp;Ut found indicental older cache of blueberries so we marked anyway.  </t>
  </si>
  <si>
    <t>Caching event suspected B&amp;Ut unconfirmed  Seen by JG</t>
  </si>
  <si>
    <t xml:space="preserve">Didn't see forage B&amp;Ut saw bird smacking.  </t>
  </si>
  <si>
    <t xml:space="preserve">Video start after bird finished foraging.  SIMILAR COMBO TO MOM, B&amp;UT WE SAW MOM THAT DAY AND SHE HAD ALL HER BANDS </t>
  </si>
  <si>
    <t>Video started after food acqusition, B&amp;Ut then continued to forage</t>
  </si>
  <si>
    <t xml:space="preserve">*Possible that female pulled food out after! B&amp;Ut didn't catch on tape to confirm. </t>
  </si>
  <si>
    <t>B&amp;U1029_1</t>
  </si>
  <si>
    <t>B&amp;U1029_3</t>
  </si>
  <si>
    <t>B&amp;U1029_4</t>
  </si>
  <si>
    <t>B&amp;U1029_5</t>
  </si>
  <si>
    <t>B&amp;U1029_6</t>
  </si>
  <si>
    <t>B&amp;U1029_7</t>
  </si>
  <si>
    <t>B&amp;U1029_8</t>
  </si>
  <si>
    <t>B&amp;U1029_11</t>
  </si>
  <si>
    <t>B&amp;U1029_18</t>
  </si>
  <si>
    <t>B&amp;U1029_19</t>
  </si>
  <si>
    <t>B&amp;U1029_20</t>
  </si>
  <si>
    <t>B&amp;U1029_2</t>
  </si>
  <si>
    <t>Thought it was a cache B&amp;Ut decided it wasn't.  Just in case, the GPS is 63.72587, 148.95973</t>
  </si>
  <si>
    <t>B&amp;U1029_9</t>
  </si>
  <si>
    <t>B&amp;U1029_13</t>
  </si>
  <si>
    <t>B&amp;U1029_14</t>
  </si>
  <si>
    <t>B&amp;U1029_17</t>
  </si>
  <si>
    <t xml:space="preserve">Missed seeing it pull it from tree on camera B&amp;Ut we saw IRL that's where it got it from. </t>
  </si>
  <si>
    <t>B&amp;U1029_10</t>
  </si>
  <si>
    <t>B&amp;U1029_12</t>
  </si>
  <si>
    <t>B&amp;U1029_15</t>
  </si>
  <si>
    <t>B&amp;U1029_16</t>
  </si>
  <si>
    <t>First cache is suspected, B&amp;Ut second was confirmed</t>
  </si>
  <si>
    <t>Cache rate</t>
  </si>
  <si>
    <t>Acquisition rate</t>
  </si>
  <si>
    <t xml:space="preserve">Acquisition rate per hour </t>
  </si>
  <si>
    <t xml:space="preserve">Cache rate per hour </t>
  </si>
  <si>
    <t>CCAMP South</t>
  </si>
  <si>
    <t>Average of Distance from food acqusition site to cache site (m)</t>
  </si>
  <si>
    <t xml:space="preserve">Total caches for which we have distances=233 </t>
  </si>
  <si>
    <t>StdDev of Distance from food acqusition site to cache site (m)</t>
  </si>
  <si>
    <t>Max of Distance from food acqusition site to cache site (m)</t>
  </si>
  <si>
    <t>Min of Distance from food acqusition site to cache site (m)</t>
  </si>
  <si>
    <t>Season</t>
  </si>
  <si>
    <t>Total Sum of Interior FT</t>
  </si>
  <si>
    <t>Total Sum of Exterior FT</t>
  </si>
  <si>
    <t>Total Sum of Ground</t>
  </si>
  <si>
    <t xml:space="preserve">Data from spring field seasons </t>
  </si>
  <si>
    <t xml:space="preserve">Total foraging spring foraging effort: </t>
  </si>
  <si>
    <t xml:space="preserve">Total ground time </t>
  </si>
  <si>
    <t xml:space="preserve">Total tree time </t>
  </si>
  <si>
    <t xml:space="preserve">Percent </t>
  </si>
  <si>
    <t>Spider egg sac</t>
  </si>
  <si>
    <t xml:space="preserve">Percent of identified diet </t>
  </si>
  <si>
    <r>
      <rPr>
        <sz val="12"/>
        <color theme="1"/>
        <rFont val="Times New Roman"/>
        <family val="1"/>
      </rPr>
      <t>Tiger moth caterpillar (</t>
    </r>
    <r>
      <rPr>
        <i/>
        <sz val="12"/>
        <color theme="1"/>
        <rFont val="Times New Roman"/>
        <family val="1"/>
      </rPr>
      <t>Arctiinae sps</t>
    </r>
    <r>
      <rPr>
        <sz val="12"/>
        <color theme="1"/>
        <rFont val="Times New Roman"/>
        <family val="1"/>
      </rPr>
      <t>)</t>
    </r>
  </si>
  <si>
    <r>
      <t>Snowshoe hare (</t>
    </r>
    <r>
      <rPr>
        <i/>
        <sz val="12"/>
        <color theme="1"/>
        <rFont val="Times New Roman"/>
        <family val="1"/>
      </rPr>
      <t>Lepus americanus</t>
    </r>
    <r>
      <rPr>
        <sz val="12"/>
        <color theme="1"/>
        <rFont val="Times New Roman"/>
        <family val="1"/>
      </rPr>
      <t>)</t>
    </r>
  </si>
  <si>
    <r>
      <t>Vole (</t>
    </r>
    <r>
      <rPr>
        <i/>
        <sz val="12"/>
        <color theme="1"/>
        <rFont val="Times New Roman"/>
        <family val="1"/>
      </rPr>
      <t>Cricetidae sps</t>
    </r>
    <r>
      <rPr>
        <sz val="12"/>
        <color theme="1"/>
        <rFont val="Times New Roman"/>
        <family val="1"/>
      </rPr>
      <t>)</t>
    </r>
  </si>
  <si>
    <r>
      <t>Bog bluberry (</t>
    </r>
    <r>
      <rPr>
        <i/>
        <sz val="12"/>
        <color theme="1"/>
        <rFont val="Times New Roman"/>
        <family val="1"/>
      </rPr>
      <t>Vaccinium uliginosum</t>
    </r>
    <r>
      <rPr>
        <sz val="12"/>
        <color theme="1"/>
        <rFont val="Times New Roman"/>
        <family val="1"/>
      </rPr>
      <t>)</t>
    </r>
  </si>
  <si>
    <r>
      <t>Lingonberry (</t>
    </r>
    <r>
      <rPr>
        <i/>
        <sz val="12"/>
        <color theme="1"/>
        <rFont val="Times New Roman"/>
        <family val="1"/>
      </rPr>
      <t>Vaccinium vitis-idaea</t>
    </r>
    <r>
      <rPr>
        <sz val="12"/>
        <color theme="1"/>
        <rFont val="Times New Roman"/>
        <family val="1"/>
      </rPr>
      <t>)</t>
    </r>
  </si>
  <si>
    <r>
      <t>Black crowberry (</t>
    </r>
    <r>
      <rPr>
        <i/>
        <sz val="12"/>
        <color theme="1"/>
        <rFont val="Times New Roman"/>
        <family val="1"/>
      </rPr>
      <t>Empetrum nigrum</t>
    </r>
    <r>
      <rPr>
        <sz val="12"/>
        <color theme="1"/>
        <rFont val="Times New Roman"/>
        <family val="1"/>
      </rPr>
      <t>)</t>
    </r>
  </si>
  <si>
    <r>
      <t>False toadflax (</t>
    </r>
    <r>
      <rPr>
        <i/>
        <sz val="12"/>
        <color theme="1"/>
        <rFont val="Times New Roman"/>
        <family val="1"/>
      </rPr>
      <t>Geocaulon lividum</t>
    </r>
    <r>
      <rPr>
        <sz val="12"/>
        <color theme="1"/>
        <rFont val="Times New Roman"/>
        <family val="1"/>
      </rPr>
      <t>)</t>
    </r>
  </si>
  <si>
    <r>
      <t>Soapberry (</t>
    </r>
    <r>
      <rPr>
        <i/>
        <sz val="12"/>
        <color theme="1"/>
        <rFont val="Times New Roman"/>
        <family val="1"/>
      </rPr>
      <t>Shepherdia canadensis</t>
    </r>
    <r>
      <rPr>
        <sz val="12"/>
        <color theme="1"/>
        <rFont val="Times New Roman"/>
        <family val="1"/>
      </rPr>
      <t>)</t>
    </r>
  </si>
  <si>
    <r>
      <t>Yellowjacket (</t>
    </r>
    <r>
      <rPr>
        <i/>
        <sz val="12"/>
        <color theme="1"/>
        <rFont val="Times New Roman"/>
        <family val="1"/>
      </rPr>
      <t>Vespula sps</t>
    </r>
    <r>
      <rPr>
        <sz val="12"/>
        <color theme="1"/>
        <rFont val="Times New Roman"/>
        <family val="1"/>
      </rPr>
      <t>)</t>
    </r>
  </si>
  <si>
    <r>
      <t>Fly amanita (</t>
    </r>
    <r>
      <rPr>
        <i/>
        <sz val="12"/>
        <color rgb="FF202122"/>
        <rFont val="Times New Roman"/>
        <family val="1"/>
      </rPr>
      <t>Amanita muscaria</t>
    </r>
    <r>
      <rPr>
        <sz val="12"/>
        <color rgb="FF202122"/>
        <rFont val="Times New Roman"/>
        <family val="1"/>
      </rPr>
      <t>)</t>
    </r>
  </si>
  <si>
    <r>
      <t>Bolet (</t>
    </r>
    <r>
      <rPr>
        <i/>
        <sz val="12"/>
        <color theme="1"/>
        <rFont val="Times New Roman"/>
        <family val="1"/>
      </rPr>
      <t>Boletales sps</t>
    </r>
    <r>
      <rPr>
        <sz val="12"/>
        <color theme="1"/>
        <rFont val="Times New Roman"/>
        <family val="1"/>
      </rPr>
      <t>)</t>
    </r>
  </si>
  <si>
    <r>
      <t>Puffball (</t>
    </r>
    <r>
      <rPr>
        <i/>
        <sz val="12"/>
        <color theme="1"/>
        <rFont val="Times New Roman"/>
        <family val="1"/>
      </rPr>
      <t>Agaricaceae sps</t>
    </r>
    <r>
      <rPr>
        <sz val="12"/>
        <color theme="1"/>
        <rFont val="Times New Roman"/>
        <family val="1"/>
      </rPr>
      <t>)</t>
    </r>
  </si>
  <si>
    <r>
      <t>White spruce seeds (</t>
    </r>
    <r>
      <rPr>
        <i/>
        <sz val="12"/>
        <color theme="1"/>
        <rFont val="Times New Roman"/>
        <family val="1"/>
      </rPr>
      <t>Picea glauca</t>
    </r>
    <r>
      <rPr>
        <sz val="12"/>
        <color theme="1"/>
        <rFont val="Times New Roman"/>
        <family val="1"/>
      </rPr>
      <t>)</t>
    </r>
  </si>
  <si>
    <t xml:space="preserve">Larval arthropod </t>
  </si>
  <si>
    <t xml:space="preserve">Percent of identified cached items </t>
  </si>
  <si>
    <t>Total food items N= 29</t>
  </si>
  <si>
    <t>Total identified caches N=248</t>
  </si>
  <si>
    <t>Food source</t>
  </si>
  <si>
    <t>Aquisition rate per hour</t>
  </si>
  <si>
    <t xml:space="preserve">Cache rate per minute </t>
  </si>
  <si>
    <t>WW</t>
  </si>
  <si>
    <t xml:space="preserve">Aqusition rate per territory (minute) </t>
  </si>
  <si>
    <t>Cache rate per territory (Minute)</t>
  </si>
  <si>
    <t>Average acquisition rate per terriotry per minute</t>
  </si>
  <si>
    <t>SD</t>
  </si>
  <si>
    <t>Average cache rate per territory per minute</t>
  </si>
  <si>
    <t>Clip duration</t>
  </si>
  <si>
    <t xml:space="preserve">Pivot for 2019 breeding with clips (2-8) removed. The purpose is to determine foraging time as a proportion of total camera time. Using the original 2019 breeding sheet though, I couldn't do this because it would double count the clip duration if there was more than one clip (ex WW_0908_1 and WW_09_08_2). So this pivot table can ONLY be used to quality the among of filmed material and nonthing else, as it is missing a lot of data the above table and complete 2019 breeding spreadsheet have. </t>
  </si>
  <si>
    <t>Sum of Clip duration(s)</t>
  </si>
  <si>
    <t xml:space="preserve">*Data is from a separate spread sheet (clip duration 2019 breeding) because Excel wouldn't let me make pivot tables here because it's an annoying little bitch. </t>
  </si>
  <si>
    <t>Clip duration (s)</t>
  </si>
  <si>
    <t>:1:07</t>
  </si>
  <si>
    <t>clip duration (s)</t>
  </si>
  <si>
    <t>Total identified aquisitions N=462</t>
  </si>
  <si>
    <t>M4R0824_2</t>
  </si>
  <si>
    <t>Seconds</t>
  </si>
  <si>
    <t xml:space="preserve">This data was calculated by using the filter tool to select only clip 1 from the clip event number column (to exclude duplicates) and then by summing the clip duration column for each season </t>
  </si>
  <si>
    <t>WinterSpring 2019</t>
  </si>
  <si>
    <t>Total film time</t>
  </si>
  <si>
    <r>
      <t>29% caches 0-90˚, 22% cached 91-180˚, 26% 181-270˚, 23% 271-360˚</t>
    </r>
    <r>
      <rPr>
        <sz val="8"/>
        <color theme="1"/>
        <rFont val="Times New Roman"/>
        <family val="1"/>
      </rPr>
      <t> </t>
    </r>
  </si>
  <si>
    <t>0-90</t>
  </si>
  <si>
    <r>
      <t> </t>
    </r>
    <r>
      <rPr>
        <sz val="10"/>
        <color theme="1"/>
        <rFont val="Times New Roman"/>
        <family val="1"/>
      </rPr>
      <t>Need to do rayleigh’s test of random dispersion on these.</t>
    </r>
  </si>
  <si>
    <t>91-180</t>
  </si>
  <si>
    <t>181-270</t>
  </si>
  <si>
    <t>271-360</t>
  </si>
  <si>
    <t xml:space="preserve">This data is for relating forating effot to nest data. It is restricted to the territories for which we have complete fall 2018 and spring 2019 foraging data. </t>
  </si>
  <si>
    <t xml:space="preserve">Recovered caches </t>
  </si>
  <si>
    <t>Winter 2018</t>
  </si>
  <si>
    <t>Winter/spring 2019</t>
  </si>
  <si>
    <t xml:space="preserve">*Summed by hand using filter tool on each season's spreadsheet </t>
  </si>
  <si>
    <t xml:space="preserve">Percent of acquisitions </t>
  </si>
  <si>
    <t>berry</t>
  </si>
  <si>
    <t>Sum</t>
  </si>
  <si>
    <t xml:space="preserve">Invertebrates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</si>
</sst>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m/d/yy;@"/>
    <numFmt numFmtId="165" formatCode="h:mm;@"/>
    <numFmt numFmtId="166" formatCode="0.00000"/>
    <numFmt numFmtId="167" formatCode="[h]:mm:ss;@"/>
    <numFmt numFmtId="168" formatCode="0.0"/>
    <numFmt numFmtId="169" formatCode="h:mm:ss;@"/>
  </numFmts>
  <fonts count="14" x14ac:knownFonts="1">
    <font>
      <sz val="12"/>
      <color theme="1"/>
      <name val="Calibri"/>
      <family val="2"/>
      <scheme val="minor"/>
    </font>
    <font>
      <u/>
      <sz val="12"/>
      <color theme="10"/>
      <name val="Calibri"/>
      <family val="2"/>
      <scheme val="minor"/>
    </font>
    <font>
      <u/>
      <sz val="12"/>
      <color theme="11"/>
      <name val="Calibri"/>
      <family val="2"/>
      <scheme val="minor"/>
    </font>
    <font>
      <sz val="12"/>
      <color rgb="FF000000"/>
      <name val="Calibri"/>
      <family val="2"/>
      <scheme val="minor"/>
    </font>
    <font>
      <b/>
      <sz val="12"/>
      <color theme="1"/>
      <name val="Calibri"/>
      <family val="2"/>
      <scheme val="minor"/>
    </font>
    <font>
      <sz val="12"/>
      <color theme="0"/>
      <name val="Calibri"/>
      <family val="2"/>
      <scheme val="minor"/>
    </font>
    <font>
      <u/>
      <sz val="12"/>
      <color theme="1"/>
      <name val="Calibri"/>
      <family val="2"/>
      <scheme val="minor"/>
    </font>
    <font>
      <i/>
      <sz val="12"/>
      <color theme="1"/>
      <name val="Times New Roman"/>
      <family val="1"/>
    </font>
    <font>
      <sz val="12"/>
      <color theme="1"/>
      <name val="Times New Roman"/>
      <family val="1"/>
    </font>
    <font>
      <b/>
      <sz val="12"/>
      <color theme="1"/>
      <name val="Times New Roman"/>
      <family val="1"/>
    </font>
    <font>
      <sz val="12"/>
      <color rgb="FF202122"/>
      <name val="Times New Roman"/>
      <family val="1"/>
    </font>
    <font>
      <i/>
      <sz val="12"/>
      <color rgb="FF202122"/>
      <name val="Times New Roman"/>
      <family val="1"/>
    </font>
    <font>
      <sz val="8"/>
      <color theme="1"/>
      <name val="Times New Roman"/>
      <family val="1"/>
    </font>
    <font>
      <sz val="10"/>
      <color theme="1"/>
      <name val="Times New Roman"/>
      <family val="1"/>
    </font>
  </fonts>
  <fills count="21">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rgb="FFEBF1DE"/>
        <bgColor rgb="FF000000"/>
      </patternFill>
    </fill>
    <fill>
      <patternFill patternType="solid">
        <fgColor rgb="FFFFFF00"/>
        <bgColor rgb="FF000000"/>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2" tint="-9.9978637043366805E-2"/>
        <bgColor rgb="FF000000"/>
      </patternFill>
    </fill>
    <fill>
      <patternFill patternType="solid">
        <fgColor theme="0" tint="-0.14999847407452621"/>
        <bgColor indexed="64"/>
      </patternFill>
    </fill>
    <fill>
      <patternFill patternType="solid">
        <fgColor theme="9" tint="0.39997558519241921"/>
        <bgColor indexed="64"/>
      </patternFill>
    </fill>
    <fill>
      <patternFill patternType="solid">
        <fgColor theme="9" tint="0.39997558519241921"/>
        <bgColor rgb="FF000000"/>
      </patternFill>
    </fill>
    <fill>
      <patternFill patternType="solid">
        <fgColor theme="3" tint="0.79998168889431442"/>
        <bgColor indexed="64"/>
      </patternFill>
    </fill>
    <fill>
      <patternFill patternType="solid">
        <fgColor theme="6" tint="-0.249977111117893"/>
        <bgColor theme="6" tint="-0.249977111117893"/>
      </patternFill>
    </fill>
    <fill>
      <patternFill patternType="solid">
        <fgColor theme="4" tint="0.59999389629810485"/>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6" tint="0.39997558519241921"/>
        <bgColor rgb="FF000000"/>
      </patternFill>
    </fill>
    <fill>
      <patternFill patternType="solid">
        <fgColor theme="0" tint="-0.249977111117893"/>
        <bgColor indexed="64"/>
      </patternFill>
    </fill>
  </fills>
  <borders count="26">
    <border>
      <left/>
      <right/>
      <top/>
      <bottom/>
      <diagonal/>
    </border>
    <border>
      <left/>
      <right/>
      <top style="thin">
        <color theme="6" tint="0.79998168889431442"/>
      </top>
      <bottom style="thin">
        <color theme="6" tint="0.79998168889431442"/>
      </bottom>
      <diagonal/>
    </border>
    <border>
      <left/>
      <right/>
      <top style="thin">
        <color rgb="FFEBF1DE"/>
      </top>
      <bottom style="thin">
        <color rgb="FFEBF1DE"/>
      </bottom>
      <diagonal/>
    </border>
    <border>
      <left/>
      <right/>
      <top/>
      <bottom style="thin">
        <color rgb="FFEBF1DE"/>
      </bottom>
      <diagonal/>
    </border>
    <border>
      <left/>
      <right/>
      <top/>
      <bottom style="thin">
        <color theme="6" tint="0.59999389629810485"/>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right/>
      <top style="thin">
        <color theme="6" tint="0.79998168889431442"/>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s>
  <cellStyleXfs count="4375">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190">
    <xf numFmtId="0" fontId="0" fillId="0" borderId="0" xfId="0"/>
    <xf numFmtId="14" fontId="0" fillId="0" borderId="0" xfId="0" applyNumberFormat="1"/>
    <xf numFmtId="20" fontId="0" fillId="0" borderId="0" xfId="0" applyNumberFormat="1"/>
    <xf numFmtId="21" fontId="0" fillId="0" borderId="0" xfId="0" applyNumberFormat="1"/>
    <xf numFmtId="0" fontId="0" fillId="2" borderId="0" xfId="0" applyFill="1"/>
    <xf numFmtId="0" fontId="3" fillId="0" borderId="0" xfId="0" applyFont="1"/>
    <xf numFmtId="1" fontId="0" fillId="0" borderId="0" xfId="0" applyNumberFormat="1"/>
    <xf numFmtId="0" fontId="0" fillId="0" borderId="0" xfId="0" applyFill="1"/>
    <xf numFmtId="20" fontId="0" fillId="0" borderId="0" xfId="0" applyNumberFormat="1" applyFill="1"/>
    <xf numFmtId="1" fontId="0" fillId="0" borderId="0" xfId="0" applyNumberFormat="1" applyFill="1"/>
    <xf numFmtId="14" fontId="0" fillId="0" borderId="0" xfId="0" applyNumberFormat="1" applyFill="1"/>
    <xf numFmtId="14" fontId="3" fillId="0" borderId="0" xfId="0" applyNumberFormat="1" applyFont="1"/>
    <xf numFmtId="0" fontId="0" fillId="0" borderId="0" xfId="0" applyFill="1" applyAlignment="1">
      <alignment wrapText="1"/>
    </xf>
    <xf numFmtId="14" fontId="0" fillId="2" borderId="0" xfId="0" applyNumberFormat="1" applyFill="1"/>
    <xf numFmtId="20" fontId="0" fillId="2" borderId="0" xfId="0" applyNumberFormat="1" applyFill="1"/>
    <xf numFmtId="1" fontId="0" fillId="2" borderId="0" xfId="0" applyNumberFormat="1" applyFill="1"/>
    <xf numFmtId="164" fontId="0" fillId="0" borderId="0" xfId="0" applyNumberFormat="1"/>
    <xf numFmtId="165" fontId="0" fillId="0" borderId="0" xfId="0" applyNumberFormat="1"/>
    <xf numFmtId="0" fontId="0" fillId="0" borderId="0" xfId="0" applyAlignment="1">
      <alignment horizontal="right"/>
    </xf>
    <xf numFmtId="166" fontId="0" fillId="0" borderId="0" xfId="0" applyNumberFormat="1"/>
    <xf numFmtId="166" fontId="0" fillId="0" borderId="0" xfId="0" applyNumberFormat="1" applyFill="1"/>
    <xf numFmtId="166" fontId="0" fillId="2" borderId="0" xfId="0" applyNumberFormat="1" applyFill="1"/>
    <xf numFmtId="0" fontId="3" fillId="0" borderId="0" xfId="0" applyFont="1" applyFill="1"/>
    <xf numFmtId="0" fontId="0" fillId="0" borderId="0" xfId="0" applyFill="1" applyAlignment="1">
      <alignment horizontal="right"/>
    </xf>
    <xf numFmtId="166" fontId="3" fillId="0" borderId="0" xfId="0" applyNumberFormat="1" applyFont="1"/>
    <xf numFmtId="166" fontId="3" fillId="0" borderId="0" xfId="0" applyNumberFormat="1" applyFont="1" applyAlignment="1">
      <alignment horizontal="right"/>
    </xf>
    <xf numFmtId="0" fontId="4" fillId="0" borderId="0" xfId="0" applyFont="1"/>
    <xf numFmtId="0" fontId="0" fillId="0" borderId="0" xfId="0" pivotButton="1"/>
    <xf numFmtId="0" fontId="0" fillId="0" borderId="0" xfId="0" applyAlignment="1">
      <alignment horizontal="left"/>
    </xf>
    <xf numFmtId="0" fontId="0" fillId="0" borderId="0" xfId="0" applyNumberFormat="1"/>
    <xf numFmtId="0" fontId="0" fillId="3" borderId="0" xfId="0" applyFill="1"/>
    <xf numFmtId="167" fontId="0" fillId="0" borderId="0" xfId="0" applyNumberFormat="1"/>
    <xf numFmtId="168" fontId="0" fillId="0" borderId="0" xfId="0" applyNumberFormat="1"/>
    <xf numFmtId="0" fontId="0" fillId="4" borderId="0" xfId="0" applyFill="1" applyAlignment="1">
      <alignment vertical="center"/>
    </xf>
    <xf numFmtId="0" fontId="0" fillId="5" borderId="0" xfId="0" applyFill="1" applyAlignment="1">
      <alignment vertical="center"/>
    </xf>
    <xf numFmtId="166" fontId="0" fillId="4" borderId="0" xfId="0" applyNumberFormat="1" applyFill="1" applyAlignment="1">
      <alignment vertical="center"/>
    </xf>
    <xf numFmtId="20" fontId="0" fillId="4" borderId="0" xfId="0" applyNumberFormat="1" applyFill="1" applyAlignment="1">
      <alignment vertical="center"/>
    </xf>
    <xf numFmtId="14" fontId="0" fillId="4" borderId="0" xfId="0" applyNumberFormat="1" applyFill="1" applyAlignment="1">
      <alignment vertical="center"/>
    </xf>
    <xf numFmtId="0" fontId="3" fillId="4" borderId="0" xfId="0" applyFont="1" applyFill="1" applyAlignment="1">
      <alignment vertical="center"/>
    </xf>
    <xf numFmtId="1" fontId="0" fillId="4" borderId="0" xfId="0" applyNumberFormat="1" applyFill="1" applyAlignment="1">
      <alignment vertical="center"/>
    </xf>
    <xf numFmtId="0" fontId="0" fillId="0" borderId="0" xfId="0" applyFill="1" applyAlignment="1">
      <alignment vertical="center"/>
    </xf>
    <xf numFmtId="1" fontId="0" fillId="0" borderId="0" xfId="0" applyNumberFormat="1" applyFill="1" applyAlignment="1">
      <alignment vertical="center"/>
    </xf>
    <xf numFmtId="166" fontId="0" fillId="0" borderId="0" xfId="0" applyNumberFormat="1" applyFill="1" applyAlignment="1">
      <alignment vertical="center"/>
    </xf>
    <xf numFmtId="14" fontId="0" fillId="0" borderId="0" xfId="0" applyNumberFormat="1" applyFill="1" applyAlignment="1">
      <alignment vertical="center"/>
    </xf>
    <xf numFmtId="0" fontId="3" fillId="6" borderId="0" xfId="0" applyFont="1" applyFill="1" applyAlignment="1">
      <alignment vertical="center"/>
    </xf>
    <xf numFmtId="20" fontId="3" fillId="0" borderId="0" xfId="0" applyNumberFormat="1" applyFont="1"/>
    <xf numFmtId="0" fontId="3" fillId="7" borderId="0" xfId="0" applyFont="1" applyFill="1"/>
    <xf numFmtId="0" fontId="3" fillId="2" borderId="0" xfId="0" applyFont="1" applyFill="1"/>
    <xf numFmtId="1" fontId="3" fillId="0" borderId="0" xfId="0" applyNumberFormat="1" applyFont="1"/>
    <xf numFmtId="16" fontId="0" fillId="0" borderId="0" xfId="0" applyNumberFormat="1"/>
    <xf numFmtId="17" fontId="4" fillId="0" borderId="0" xfId="0" applyNumberFormat="1" applyFont="1"/>
    <xf numFmtId="0" fontId="0" fillId="0" borderId="1" xfId="0" applyFont="1" applyBorder="1" applyAlignment="1">
      <alignment horizontal="left"/>
    </xf>
    <xf numFmtId="0" fontId="0" fillId="0" borderId="0" xfId="0" applyFont="1" applyFill="1" applyBorder="1" applyAlignment="1">
      <alignment horizontal="left"/>
    </xf>
    <xf numFmtId="0" fontId="3" fillId="0" borderId="2" xfId="0" applyFont="1" applyBorder="1" applyAlignment="1">
      <alignment horizontal="left"/>
    </xf>
    <xf numFmtId="0" fontId="3" fillId="0" borderId="3" xfId="0" applyFont="1" applyBorder="1" applyAlignment="1">
      <alignment horizontal="left"/>
    </xf>
    <xf numFmtId="0" fontId="3" fillId="0" borderId="0" xfId="0" applyFont="1" applyFill="1" applyBorder="1" applyAlignment="1">
      <alignment horizontal="left"/>
    </xf>
    <xf numFmtId="9" fontId="0" fillId="0" borderId="0" xfId="0" applyNumberFormat="1"/>
    <xf numFmtId="0" fontId="0" fillId="0" borderId="1" xfId="0" applyNumberFormat="1" applyFont="1" applyBorder="1"/>
    <xf numFmtId="2" fontId="0" fillId="0" borderId="0" xfId="0" applyNumberFormat="1"/>
    <xf numFmtId="0" fontId="0" fillId="8" borderId="0" xfId="0" applyFill="1"/>
    <xf numFmtId="14" fontId="0" fillId="8" borderId="0" xfId="0" applyNumberFormat="1" applyFill="1"/>
    <xf numFmtId="20" fontId="0" fillId="8" borderId="0" xfId="0" applyNumberFormat="1" applyFill="1"/>
    <xf numFmtId="166" fontId="0" fillId="8" borderId="0" xfId="0" applyNumberFormat="1" applyFill="1"/>
    <xf numFmtId="0" fontId="3" fillId="8" borderId="0" xfId="0" applyFont="1" applyFill="1"/>
    <xf numFmtId="16" fontId="0" fillId="8" borderId="0" xfId="0" applyNumberFormat="1" applyFill="1"/>
    <xf numFmtId="0" fontId="3" fillId="9" borderId="0" xfId="0" applyFont="1" applyFill="1"/>
    <xf numFmtId="14" fontId="3" fillId="9" borderId="0" xfId="0" applyNumberFormat="1" applyFont="1" applyFill="1"/>
    <xf numFmtId="20" fontId="3" fillId="9" borderId="0" xfId="0" applyNumberFormat="1" applyFont="1" applyFill="1"/>
    <xf numFmtId="0" fontId="0" fillId="9" borderId="0" xfId="0" applyFill="1"/>
    <xf numFmtId="0" fontId="3" fillId="10" borderId="0" xfId="0" applyFont="1" applyFill="1"/>
    <xf numFmtId="14" fontId="0" fillId="9" borderId="0" xfId="0" applyNumberFormat="1" applyFill="1"/>
    <xf numFmtId="20" fontId="0" fillId="9" borderId="0" xfId="0" applyNumberFormat="1" applyFill="1"/>
    <xf numFmtId="0" fontId="0" fillId="11" borderId="0" xfId="0" applyFill="1"/>
    <xf numFmtId="14" fontId="0" fillId="11" borderId="0" xfId="0" applyNumberFormat="1" applyFill="1"/>
    <xf numFmtId="20" fontId="0" fillId="11" borderId="0" xfId="0" applyNumberFormat="1" applyFill="1"/>
    <xf numFmtId="0" fontId="3" fillId="11" borderId="0" xfId="0" applyFont="1" applyFill="1"/>
    <xf numFmtId="168" fontId="0" fillId="11" borderId="0" xfId="0" applyNumberFormat="1" applyFill="1"/>
    <xf numFmtId="0" fontId="0" fillId="12" borderId="0" xfId="0" applyFill="1"/>
    <xf numFmtId="14" fontId="0" fillId="12" borderId="0" xfId="0" applyNumberFormat="1" applyFill="1"/>
    <xf numFmtId="20" fontId="0" fillId="12" borderId="0" xfId="0" applyNumberFormat="1" applyFill="1"/>
    <xf numFmtId="0" fontId="3" fillId="13" borderId="0" xfId="0" applyFont="1" applyFill="1" applyAlignment="1">
      <alignment vertical="center"/>
    </xf>
    <xf numFmtId="166" fontId="0" fillId="12" borderId="0" xfId="0" applyNumberFormat="1" applyFill="1"/>
    <xf numFmtId="0" fontId="0" fillId="12" borderId="0" xfId="0" applyFill="1" applyAlignment="1">
      <alignment vertical="center"/>
    </xf>
    <xf numFmtId="14" fontId="0" fillId="12" borderId="0" xfId="0" applyNumberFormat="1" applyFill="1" applyAlignment="1">
      <alignment vertical="center"/>
    </xf>
    <xf numFmtId="20" fontId="0" fillId="12" borderId="0" xfId="0" applyNumberFormat="1" applyFill="1" applyAlignment="1">
      <alignment vertical="center"/>
    </xf>
    <xf numFmtId="166" fontId="0" fillId="12" borderId="0" xfId="0" applyNumberFormat="1" applyFill="1" applyAlignment="1">
      <alignment vertical="center"/>
    </xf>
    <xf numFmtId="0" fontId="0" fillId="12" borderId="0" xfId="0" applyFill="1" applyAlignment="1">
      <alignment horizontal="right"/>
    </xf>
    <xf numFmtId="1" fontId="0" fillId="12" borderId="0" xfId="0" applyNumberFormat="1" applyFill="1"/>
    <xf numFmtId="1" fontId="0" fillId="12" borderId="0" xfId="0" applyNumberFormat="1" applyFill="1" applyAlignment="1">
      <alignment vertical="center"/>
    </xf>
    <xf numFmtId="0" fontId="3" fillId="12" borderId="0" xfId="0" applyFont="1" applyFill="1"/>
    <xf numFmtId="14" fontId="3" fillId="12" borderId="0" xfId="0" applyNumberFormat="1" applyFont="1" applyFill="1"/>
    <xf numFmtId="21" fontId="0" fillId="12" borderId="0" xfId="0" applyNumberFormat="1" applyFill="1"/>
    <xf numFmtId="164" fontId="0" fillId="12" borderId="0" xfId="0" applyNumberFormat="1" applyFill="1"/>
    <xf numFmtId="165" fontId="0" fillId="12" borderId="0" xfId="0" applyNumberFormat="1" applyFill="1"/>
    <xf numFmtId="166" fontId="3" fillId="12" borderId="0" xfId="0" applyNumberFormat="1" applyFont="1" applyFill="1"/>
    <xf numFmtId="166" fontId="3" fillId="12" borderId="0" xfId="0" applyNumberFormat="1" applyFont="1" applyFill="1" applyAlignment="1">
      <alignment horizontal="right"/>
    </xf>
    <xf numFmtId="0" fontId="0" fillId="14" borderId="0" xfId="0" applyFill="1"/>
    <xf numFmtId="1" fontId="0" fillId="14" borderId="0" xfId="0" applyNumberFormat="1" applyFill="1"/>
    <xf numFmtId="14" fontId="0" fillId="14" borderId="0" xfId="0" applyNumberFormat="1" applyFill="1"/>
    <xf numFmtId="20" fontId="0" fillId="14" borderId="0" xfId="0" applyNumberFormat="1" applyFill="1"/>
    <xf numFmtId="21" fontId="0" fillId="14" borderId="0" xfId="0" applyNumberFormat="1" applyFill="1"/>
    <xf numFmtId="0" fontId="5" fillId="15" borderId="4" xfId="0" applyFont="1" applyFill="1"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0" fillId="0" borderId="10" xfId="0" applyBorder="1"/>
    <xf numFmtId="0" fontId="0" fillId="0" borderId="11" xfId="0" applyBorder="1"/>
    <xf numFmtId="0" fontId="0" fillId="0" borderId="12" xfId="0" applyBorder="1"/>
    <xf numFmtId="0" fontId="0" fillId="0" borderId="13" xfId="0" applyBorder="1"/>
    <xf numFmtId="17" fontId="0" fillId="0" borderId="0" xfId="0" applyNumberFormat="1"/>
    <xf numFmtId="0" fontId="0" fillId="16" borderId="0" xfId="0" applyFill="1"/>
    <xf numFmtId="0" fontId="4" fillId="16" borderId="0" xfId="0" applyFont="1" applyFill="1"/>
    <xf numFmtId="0" fontId="3" fillId="16" borderId="0" xfId="0" applyFont="1" applyFill="1"/>
    <xf numFmtId="0" fontId="0" fillId="16" borderId="1" xfId="0" applyFont="1" applyFill="1" applyBorder="1" applyAlignment="1">
      <alignment horizontal="left"/>
    </xf>
    <xf numFmtId="9" fontId="0" fillId="16" borderId="0" xfId="0" applyNumberFormat="1" applyFill="1"/>
    <xf numFmtId="1" fontId="0" fillId="8" borderId="0" xfId="0" applyNumberFormat="1" applyFill="1"/>
    <xf numFmtId="1" fontId="0" fillId="11" borderId="0" xfId="0" applyNumberFormat="1" applyFill="1"/>
    <xf numFmtId="1" fontId="3" fillId="9" borderId="0" xfId="0" applyNumberFormat="1" applyFont="1" applyFill="1"/>
    <xf numFmtId="1" fontId="3" fillId="11" borderId="0" xfId="0" applyNumberFormat="1" applyFont="1" applyFill="1"/>
    <xf numFmtId="1" fontId="3" fillId="8" borderId="0" xfId="0" applyNumberFormat="1" applyFont="1" applyFill="1"/>
    <xf numFmtId="1" fontId="3" fillId="12" borderId="0" xfId="0" applyNumberFormat="1" applyFont="1" applyFill="1" applyAlignment="1">
      <alignment horizontal="right"/>
    </xf>
    <xf numFmtId="0" fontId="0" fillId="5" borderId="0" xfId="0" applyFill="1"/>
    <xf numFmtId="166" fontId="0" fillId="5" borderId="0" xfId="0" applyNumberFormat="1" applyFill="1"/>
    <xf numFmtId="14" fontId="0" fillId="5" borderId="0" xfId="0" applyNumberFormat="1" applyFill="1"/>
    <xf numFmtId="20" fontId="0" fillId="5" borderId="0" xfId="0" applyNumberFormat="1" applyFill="1"/>
    <xf numFmtId="0" fontId="3" fillId="5" borderId="0" xfId="0" applyFont="1" applyFill="1"/>
    <xf numFmtId="168" fontId="0" fillId="5" borderId="0" xfId="0" applyNumberFormat="1" applyFill="1"/>
    <xf numFmtId="1" fontId="0" fillId="5" borderId="0" xfId="0" applyNumberFormat="1" applyFill="1"/>
    <xf numFmtId="0" fontId="0" fillId="0" borderId="0" xfId="0" applyAlignment="1">
      <alignment horizontal="left" indent="1"/>
    </xf>
    <xf numFmtId="0" fontId="0" fillId="17" borderId="0" xfId="0" applyFill="1" applyAlignment="1">
      <alignment horizontal="left" indent="1"/>
    </xf>
    <xf numFmtId="0" fontId="0" fillId="17" borderId="0" xfId="0" applyNumberFormat="1" applyFill="1"/>
    <xf numFmtId="0" fontId="0" fillId="18" borderId="0" xfId="0" applyFill="1"/>
    <xf numFmtId="166" fontId="0" fillId="18" borderId="0" xfId="0" applyNumberFormat="1" applyFill="1"/>
    <xf numFmtId="0" fontId="0" fillId="18" borderId="0" xfId="0" applyFill="1" applyAlignment="1">
      <alignment vertical="center"/>
    </xf>
    <xf numFmtId="14" fontId="0" fillId="18" borderId="0" xfId="0" applyNumberFormat="1" applyFill="1" applyAlignment="1">
      <alignment vertical="center"/>
    </xf>
    <xf numFmtId="166" fontId="0" fillId="18" borderId="0" xfId="0" applyNumberFormat="1" applyFill="1" applyAlignment="1">
      <alignment vertical="center"/>
    </xf>
    <xf numFmtId="14" fontId="0" fillId="18" borderId="0" xfId="0" applyNumberFormat="1" applyFill="1"/>
    <xf numFmtId="1" fontId="0" fillId="18" borderId="0" xfId="0" applyNumberFormat="1" applyFill="1"/>
    <xf numFmtId="0" fontId="3" fillId="19" borderId="0" xfId="0" applyFont="1" applyFill="1" applyAlignment="1">
      <alignment vertical="center"/>
    </xf>
    <xf numFmtId="0" fontId="3" fillId="18" borderId="0" xfId="0" applyFont="1" applyFill="1" applyAlignment="1">
      <alignment vertical="center"/>
    </xf>
    <xf numFmtId="0" fontId="0" fillId="18" borderId="0" xfId="0" applyFill="1" applyAlignment="1">
      <alignment horizontal="right"/>
    </xf>
    <xf numFmtId="1" fontId="0" fillId="18" borderId="0" xfId="0" applyNumberFormat="1" applyFill="1" applyAlignment="1">
      <alignment vertical="center"/>
    </xf>
    <xf numFmtId="0" fontId="3" fillId="18" borderId="0" xfId="0" applyFont="1" applyFill="1"/>
    <xf numFmtId="14" fontId="3" fillId="18" borderId="0" xfId="0" applyNumberFormat="1" applyFont="1" applyFill="1"/>
    <xf numFmtId="0" fontId="0" fillId="18" borderId="0" xfId="0" applyFill="1" applyAlignment="1">
      <alignment wrapText="1"/>
    </xf>
    <xf numFmtId="164" fontId="0" fillId="18" borderId="0" xfId="0" applyNumberFormat="1" applyFill="1"/>
    <xf numFmtId="165" fontId="0" fillId="18" borderId="0" xfId="0" applyNumberFormat="1" applyFill="1"/>
    <xf numFmtId="166" fontId="3" fillId="18" borderId="0" xfId="0" applyNumberFormat="1" applyFont="1" applyFill="1"/>
    <xf numFmtId="166" fontId="3" fillId="18" borderId="0" xfId="0" applyNumberFormat="1" applyFont="1" applyFill="1" applyAlignment="1">
      <alignment horizontal="right"/>
    </xf>
    <xf numFmtId="0" fontId="6" fillId="11" borderId="0" xfId="0" applyFont="1" applyFill="1"/>
    <xf numFmtId="0" fontId="0" fillId="0" borderId="14" xfId="0" applyNumberFormat="1" applyFont="1" applyBorder="1"/>
    <xf numFmtId="0" fontId="8" fillId="0" borderId="0" xfId="0" applyFont="1"/>
    <xf numFmtId="0" fontId="9" fillId="0" borderId="15" xfId="0" applyFont="1" applyBorder="1"/>
    <xf numFmtId="0" fontId="9" fillId="0" borderId="16" xfId="0" applyFont="1" applyBorder="1"/>
    <xf numFmtId="0" fontId="8" fillId="0" borderId="0" xfId="0" applyFont="1" applyBorder="1"/>
    <xf numFmtId="9" fontId="8" fillId="0" borderId="0" xfId="0" applyNumberFormat="1" applyFont="1" applyBorder="1"/>
    <xf numFmtId="0" fontId="8" fillId="0" borderId="17" xfId="0" applyFont="1" applyBorder="1"/>
    <xf numFmtId="9" fontId="8" fillId="0" borderId="18" xfId="0" applyNumberFormat="1" applyFont="1" applyBorder="1"/>
    <xf numFmtId="9" fontId="8" fillId="0" borderId="19" xfId="0" applyNumberFormat="1" applyFont="1" applyBorder="1"/>
    <xf numFmtId="0" fontId="8" fillId="0" borderId="20" xfId="0" applyFont="1" applyBorder="1"/>
    <xf numFmtId="0" fontId="8" fillId="0" borderId="21" xfId="0" applyFont="1" applyBorder="1"/>
    <xf numFmtId="9" fontId="8" fillId="0" borderId="21" xfId="0" applyNumberFormat="1" applyFont="1" applyBorder="1"/>
    <xf numFmtId="9" fontId="8" fillId="0" borderId="22" xfId="0" applyNumberFormat="1" applyFont="1" applyBorder="1"/>
    <xf numFmtId="0" fontId="8" fillId="0" borderId="23" xfId="0" applyFont="1" applyBorder="1"/>
    <xf numFmtId="9" fontId="8" fillId="0" borderId="24" xfId="0" applyNumberFormat="1" applyFont="1" applyBorder="1"/>
    <xf numFmtId="0" fontId="9" fillId="0" borderId="0" xfId="0" applyFont="1" applyBorder="1"/>
    <xf numFmtId="0" fontId="7" fillId="0" borderId="17" xfId="0" applyFont="1" applyBorder="1"/>
    <xf numFmtId="0" fontId="10" fillId="0" borderId="17" xfId="0" applyFont="1" applyBorder="1"/>
    <xf numFmtId="0" fontId="9" fillId="20" borderId="15" xfId="0" applyFont="1" applyFill="1" applyBorder="1"/>
    <xf numFmtId="165" fontId="0" fillId="5" borderId="0" xfId="0" applyNumberFormat="1" applyFill="1"/>
    <xf numFmtId="165" fontId="0" fillId="18" borderId="0" xfId="0" applyNumberFormat="1" applyFill="1" applyAlignment="1">
      <alignment vertical="center"/>
    </xf>
    <xf numFmtId="169" fontId="0" fillId="5" borderId="0" xfId="0" applyNumberFormat="1" applyFill="1"/>
    <xf numFmtId="169" fontId="0" fillId="18" borderId="0" xfId="0" applyNumberFormat="1" applyFill="1"/>
    <xf numFmtId="169" fontId="0" fillId="18" borderId="0" xfId="0" applyNumberFormat="1" applyFill="1" applyAlignment="1">
      <alignment vertical="center"/>
    </xf>
    <xf numFmtId="169" fontId="0" fillId="0" borderId="0" xfId="0" applyNumberFormat="1"/>
    <xf numFmtId="169" fontId="0" fillId="4" borderId="0" xfId="0" applyNumberFormat="1" applyFill="1" applyAlignment="1">
      <alignment vertical="center"/>
    </xf>
    <xf numFmtId="169" fontId="0" fillId="0" borderId="0" xfId="0" applyNumberFormat="1" applyFill="1"/>
    <xf numFmtId="169" fontId="0" fillId="2" borderId="0" xfId="0" applyNumberFormat="1" applyFill="1"/>
    <xf numFmtId="169" fontId="0" fillId="0" borderId="0" xfId="0" applyNumberFormat="1" applyFill="1" applyAlignment="1">
      <alignment vertical="center"/>
    </xf>
    <xf numFmtId="169" fontId="3" fillId="0" borderId="0" xfId="0" applyNumberFormat="1" applyFont="1"/>
    <xf numFmtId="21" fontId="3" fillId="0" borderId="0" xfId="0" applyNumberFormat="1" applyFont="1"/>
    <xf numFmtId="0" fontId="12" fillId="0" borderId="0" xfId="0" applyFont="1" applyAlignment="1">
      <alignment vertical="center"/>
    </xf>
    <xf numFmtId="0" fontId="0" fillId="20" borderId="0" xfId="0" applyFill="1"/>
    <xf numFmtId="9" fontId="9" fillId="0" borderId="0" xfId="0" applyNumberFormat="1" applyFont="1" applyBorder="1"/>
    <xf numFmtId="0" fontId="9" fillId="0" borderId="23" xfId="0" applyFont="1" applyBorder="1"/>
    <xf numFmtId="9" fontId="9" fillId="0" borderId="24" xfId="0" applyNumberFormat="1" applyFont="1" applyBorder="1"/>
    <xf numFmtId="0" fontId="9" fillId="0" borderId="21" xfId="0" applyFont="1" applyBorder="1"/>
    <xf numFmtId="0" fontId="9" fillId="0" borderId="25" xfId="0" applyFont="1" applyBorder="1"/>
  </cellXfs>
  <cellStyles count="4375">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Followed Hyperlink" xfId="1242" builtinId="9" hidden="1"/>
    <cellStyle name="Followed Hyperlink" xfId="1244" builtinId="9" hidden="1"/>
    <cellStyle name="Followed Hyperlink" xfId="1246" builtinId="9" hidden="1"/>
    <cellStyle name="Followed Hyperlink" xfId="1248" builtinId="9" hidden="1"/>
    <cellStyle name="Followed Hyperlink" xfId="1250" builtinId="9" hidden="1"/>
    <cellStyle name="Followed Hyperlink" xfId="1252" builtinId="9" hidden="1"/>
    <cellStyle name="Followed Hyperlink" xfId="1254" builtinId="9" hidden="1"/>
    <cellStyle name="Followed Hyperlink" xfId="1256" builtinId="9" hidden="1"/>
    <cellStyle name="Followed Hyperlink" xfId="1258" builtinId="9" hidden="1"/>
    <cellStyle name="Followed Hyperlink" xfId="1260" builtinId="9" hidden="1"/>
    <cellStyle name="Followed Hyperlink" xfId="1262" builtinId="9" hidden="1"/>
    <cellStyle name="Followed Hyperlink" xfId="1264" builtinId="9" hidden="1"/>
    <cellStyle name="Followed Hyperlink" xfId="1266" builtinId="9" hidden="1"/>
    <cellStyle name="Followed Hyperlink" xfId="1268" builtinId="9" hidden="1"/>
    <cellStyle name="Followed Hyperlink" xfId="1270" builtinId="9" hidden="1"/>
    <cellStyle name="Followed Hyperlink" xfId="1272" builtinId="9" hidden="1"/>
    <cellStyle name="Followed Hyperlink" xfId="1274" builtinId="9" hidden="1"/>
    <cellStyle name="Followed Hyperlink" xfId="1276" builtinId="9" hidden="1"/>
    <cellStyle name="Followed Hyperlink" xfId="1278" builtinId="9" hidden="1"/>
    <cellStyle name="Followed Hyperlink" xfId="1280" builtinId="9" hidden="1"/>
    <cellStyle name="Followed Hyperlink" xfId="1282" builtinId="9" hidden="1"/>
    <cellStyle name="Followed Hyperlink" xfId="1284" builtinId="9" hidden="1"/>
    <cellStyle name="Followed Hyperlink" xfId="1286" builtinId="9" hidden="1"/>
    <cellStyle name="Followed Hyperlink" xfId="1288" builtinId="9" hidden="1"/>
    <cellStyle name="Followed Hyperlink" xfId="1290" builtinId="9" hidden="1"/>
    <cellStyle name="Followed Hyperlink" xfId="1292" builtinId="9" hidden="1"/>
    <cellStyle name="Followed Hyperlink" xfId="1294" builtinId="9" hidden="1"/>
    <cellStyle name="Followed Hyperlink" xfId="1296" builtinId="9" hidden="1"/>
    <cellStyle name="Followed Hyperlink" xfId="1298" builtinId="9" hidden="1"/>
    <cellStyle name="Followed Hyperlink" xfId="1300" builtinId="9" hidden="1"/>
    <cellStyle name="Followed Hyperlink" xfId="1302" builtinId="9" hidden="1"/>
    <cellStyle name="Followed Hyperlink" xfId="1304" builtinId="9" hidden="1"/>
    <cellStyle name="Followed Hyperlink" xfId="1306" builtinId="9" hidden="1"/>
    <cellStyle name="Followed Hyperlink" xfId="1308" builtinId="9" hidden="1"/>
    <cellStyle name="Followed Hyperlink" xfId="1310" builtinId="9" hidden="1"/>
    <cellStyle name="Followed Hyperlink" xfId="1312" builtinId="9" hidden="1"/>
    <cellStyle name="Followed Hyperlink" xfId="1314" builtinId="9" hidden="1"/>
    <cellStyle name="Followed Hyperlink" xfId="1316" builtinId="9" hidden="1"/>
    <cellStyle name="Followed Hyperlink" xfId="1318" builtinId="9" hidden="1"/>
    <cellStyle name="Followed Hyperlink" xfId="1320" builtinId="9" hidden="1"/>
    <cellStyle name="Followed Hyperlink" xfId="1322" builtinId="9" hidden="1"/>
    <cellStyle name="Followed Hyperlink" xfId="1324" builtinId="9" hidden="1"/>
    <cellStyle name="Followed Hyperlink" xfId="1326" builtinId="9" hidden="1"/>
    <cellStyle name="Followed Hyperlink" xfId="1328" builtinId="9" hidden="1"/>
    <cellStyle name="Followed Hyperlink" xfId="1330" builtinId="9" hidden="1"/>
    <cellStyle name="Followed Hyperlink" xfId="1332" builtinId="9" hidden="1"/>
    <cellStyle name="Followed Hyperlink" xfId="1334" builtinId="9" hidden="1"/>
    <cellStyle name="Followed Hyperlink" xfId="1336" builtinId="9" hidden="1"/>
    <cellStyle name="Followed Hyperlink" xfId="1338" builtinId="9" hidden="1"/>
    <cellStyle name="Followed Hyperlink" xfId="1340" builtinId="9" hidden="1"/>
    <cellStyle name="Followed Hyperlink" xfId="1342" builtinId="9" hidden="1"/>
    <cellStyle name="Followed Hyperlink" xfId="1344" builtinId="9" hidden="1"/>
    <cellStyle name="Followed Hyperlink" xfId="1346" builtinId="9" hidden="1"/>
    <cellStyle name="Followed Hyperlink" xfId="1348" builtinId="9" hidden="1"/>
    <cellStyle name="Followed Hyperlink" xfId="1350" builtinId="9" hidden="1"/>
    <cellStyle name="Followed Hyperlink" xfId="1352" builtinId="9" hidden="1"/>
    <cellStyle name="Followed Hyperlink" xfId="1354" builtinId="9" hidden="1"/>
    <cellStyle name="Followed Hyperlink" xfId="1356" builtinId="9" hidden="1"/>
    <cellStyle name="Followed Hyperlink" xfId="1358" builtinId="9" hidden="1"/>
    <cellStyle name="Followed Hyperlink" xfId="1360" builtinId="9" hidden="1"/>
    <cellStyle name="Followed Hyperlink" xfId="1362" builtinId="9" hidden="1"/>
    <cellStyle name="Followed Hyperlink" xfId="1364" builtinId="9" hidden="1"/>
    <cellStyle name="Followed Hyperlink" xfId="1366" builtinId="9" hidden="1"/>
    <cellStyle name="Followed Hyperlink" xfId="1368" builtinId="9" hidden="1"/>
    <cellStyle name="Followed Hyperlink" xfId="1370" builtinId="9" hidden="1"/>
    <cellStyle name="Followed Hyperlink" xfId="1372" builtinId="9" hidden="1"/>
    <cellStyle name="Followed Hyperlink" xfId="1374" builtinId="9" hidden="1"/>
    <cellStyle name="Followed Hyperlink" xfId="1376" builtinId="9" hidden="1"/>
    <cellStyle name="Followed Hyperlink" xfId="1378" builtinId="9" hidden="1"/>
    <cellStyle name="Followed Hyperlink" xfId="1380" builtinId="9" hidden="1"/>
    <cellStyle name="Followed Hyperlink" xfId="1382" builtinId="9" hidden="1"/>
    <cellStyle name="Followed Hyperlink" xfId="1384" builtinId="9" hidden="1"/>
    <cellStyle name="Followed Hyperlink" xfId="1386" builtinId="9" hidden="1"/>
    <cellStyle name="Followed Hyperlink" xfId="1388" builtinId="9" hidden="1"/>
    <cellStyle name="Followed Hyperlink" xfId="1390" builtinId="9" hidden="1"/>
    <cellStyle name="Followed Hyperlink" xfId="1392" builtinId="9" hidden="1"/>
    <cellStyle name="Followed Hyperlink" xfId="1394" builtinId="9" hidden="1"/>
    <cellStyle name="Followed Hyperlink" xfId="1396" builtinId="9" hidden="1"/>
    <cellStyle name="Followed Hyperlink" xfId="1398" builtinId="9" hidden="1"/>
    <cellStyle name="Followed Hyperlink" xfId="1400" builtinId="9" hidden="1"/>
    <cellStyle name="Followed Hyperlink" xfId="1402" builtinId="9" hidden="1"/>
    <cellStyle name="Followed Hyperlink" xfId="1404" builtinId="9" hidden="1"/>
    <cellStyle name="Followed Hyperlink" xfId="1406" builtinId="9" hidden="1"/>
    <cellStyle name="Followed Hyperlink" xfId="1408" builtinId="9" hidden="1"/>
    <cellStyle name="Followed Hyperlink" xfId="1410" builtinId="9" hidden="1"/>
    <cellStyle name="Followed Hyperlink" xfId="1412" builtinId="9" hidden="1"/>
    <cellStyle name="Followed Hyperlink" xfId="1414" builtinId="9" hidden="1"/>
    <cellStyle name="Followed Hyperlink" xfId="1416" builtinId="9" hidden="1"/>
    <cellStyle name="Followed Hyperlink" xfId="1418" builtinId="9" hidden="1"/>
    <cellStyle name="Followed Hyperlink" xfId="1420" builtinId="9" hidden="1"/>
    <cellStyle name="Followed Hyperlink" xfId="1422" builtinId="9" hidden="1"/>
    <cellStyle name="Followed Hyperlink" xfId="1424" builtinId="9" hidden="1"/>
    <cellStyle name="Followed Hyperlink" xfId="1426" builtinId="9" hidden="1"/>
    <cellStyle name="Followed Hyperlink" xfId="1428" builtinId="9" hidden="1"/>
    <cellStyle name="Followed Hyperlink" xfId="1430" builtinId="9" hidden="1"/>
    <cellStyle name="Followed Hyperlink" xfId="1432" builtinId="9" hidden="1"/>
    <cellStyle name="Followed Hyperlink" xfId="1434" builtinId="9" hidden="1"/>
    <cellStyle name="Followed Hyperlink" xfId="1436" builtinId="9" hidden="1"/>
    <cellStyle name="Followed Hyperlink" xfId="1438" builtinId="9" hidden="1"/>
    <cellStyle name="Followed Hyperlink" xfId="1440" builtinId="9" hidden="1"/>
    <cellStyle name="Followed Hyperlink" xfId="1442" builtinId="9" hidden="1"/>
    <cellStyle name="Followed Hyperlink" xfId="1444" builtinId="9" hidden="1"/>
    <cellStyle name="Followed Hyperlink" xfId="1446" builtinId="9" hidden="1"/>
    <cellStyle name="Followed Hyperlink" xfId="1448" builtinId="9" hidden="1"/>
    <cellStyle name="Followed Hyperlink" xfId="1450" builtinId="9" hidden="1"/>
    <cellStyle name="Followed Hyperlink" xfId="1452" builtinId="9" hidden="1"/>
    <cellStyle name="Followed Hyperlink" xfId="1454" builtinId="9" hidden="1"/>
    <cellStyle name="Followed Hyperlink" xfId="1456" builtinId="9" hidden="1"/>
    <cellStyle name="Followed Hyperlink" xfId="1458" builtinId="9" hidden="1"/>
    <cellStyle name="Followed Hyperlink" xfId="1460" builtinId="9" hidden="1"/>
    <cellStyle name="Followed Hyperlink" xfId="1462" builtinId="9" hidden="1"/>
    <cellStyle name="Followed Hyperlink" xfId="1464" builtinId="9" hidden="1"/>
    <cellStyle name="Followed Hyperlink" xfId="1466" builtinId="9" hidden="1"/>
    <cellStyle name="Followed Hyperlink" xfId="1468" builtinId="9" hidden="1"/>
    <cellStyle name="Followed Hyperlink" xfId="1470" builtinId="9" hidden="1"/>
    <cellStyle name="Followed Hyperlink" xfId="1472" builtinId="9" hidden="1"/>
    <cellStyle name="Followed Hyperlink" xfId="1474" builtinId="9" hidden="1"/>
    <cellStyle name="Followed Hyperlink" xfId="1476" builtinId="9" hidden="1"/>
    <cellStyle name="Followed Hyperlink" xfId="1478" builtinId="9" hidden="1"/>
    <cellStyle name="Followed Hyperlink" xfId="1480" builtinId="9" hidden="1"/>
    <cellStyle name="Followed Hyperlink" xfId="1482" builtinId="9" hidden="1"/>
    <cellStyle name="Followed Hyperlink" xfId="1484" builtinId="9" hidden="1"/>
    <cellStyle name="Followed Hyperlink" xfId="1486" builtinId="9" hidden="1"/>
    <cellStyle name="Followed Hyperlink" xfId="1488" builtinId="9" hidden="1"/>
    <cellStyle name="Followed Hyperlink" xfId="1490" builtinId="9" hidden="1"/>
    <cellStyle name="Followed Hyperlink" xfId="1492" builtinId="9" hidden="1"/>
    <cellStyle name="Followed Hyperlink" xfId="1494" builtinId="9" hidden="1"/>
    <cellStyle name="Followed Hyperlink" xfId="1496" builtinId="9" hidden="1"/>
    <cellStyle name="Followed Hyperlink" xfId="1498" builtinId="9" hidden="1"/>
    <cellStyle name="Followed Hyperlink" xfId="1500" builtinId="9" hidden="1"/>
    <cellStyle name="Followed Hyperlink" xfId="1502" builtinId="9" hidden="1"/>
    <cellStyle name="Followed Hyperlink" xfId="1504" builtinId="9" hidden="1"/>
    <cellStyle name="Followed Hyperlink" xfId="1506" builtinId="9" hidden="1"/>
    <cellStyle name="Followed Hyperlink" xfId="1508" builtinId="9" hidden="1"/>
    <cellStyle name="Followed Hyperlink" xfId="1510" builtinId="9" hidden="1"/>
    <cellStyle name="Followed Hyperlink" xfId="1512" builtinId="9" hidden="1"/>
    <cellStyle name="Followed Hyperlink" xfId="1514" builtinId="9" hidden="1"/>
    <cellStyle name="Followed Hyperlink" xfId="1516" builtinId="9" hidden="1"/>
    <cellStyle name="Followed Hyperlink" xfId="1518" builtinId="9" hidden="1"/>
    <cellStyle name="Followed Hyperlink" xfId="1520" builtinId="9" hidden="1"/>
    <cellStyle name="Followed Hyperlink" xfId="1522" builtinId="9" hidden="1"/>
    <cellStyle name="Followed Hyperlink" xfId="1524" builtinId="9" hidden="1"/>
    <cellStyle name="Followed Hyperlink" xfId="1526" builtinId="9" hidden="1"/>
    <cellStyle name="Followed Hyperlink" xfId="1528" builtinId="9" hidden="1"/>
    <cellStyle name="Followed Hyperlink" xfId="1530" builtinId="9" hidden="1"/>
    <cellStyle name="Followed Hyperlink" xfId="1532" builtinId="9" hidden="1"/>
    <cellStyle name="Followed Hyperlink" xfId="1534" builtinId="9" hidden="1"/>
    <cellStyle name="Followed Hyperlink" xfId="1536" builtinId="9" hidden="1"/>
    <cellStyle name="Followed Hyperlink" xfId="1538" builtinId="9" hidden="1"/>
    <cellStyle name="Followed Hyperlink" xfId="1540" builtinId="9" hidden="1"/>
    <cellStyle name="Followed Hyperlink" xfId="1542" builtinId="9" hidden="1"/>
    <cellStyle name="Followed Hyperlink" xfId="1544" builtinId="9" hidden="1"/>
    <cellStyle name="Followed Hyperlink" xfId="1546" builtinId="9" hidden="1"/>
    <cellStyle name="Followed Hyperlink" xfId="1548" builtinId="9" hidden="1"/>
    <cellStyle name="Followed Hyperlink" xfId="1550" builtinId="9" hidden="1"/>
    <cellStyle name="Followed Hyperlink" xfId="1552" builtinId="9" hidden="1"/>
    <cellStyle name="Followed Hyperlink" xfId="1554" builtinId="9" hidden="1"/>
    <cellStyle name="Followed Hyperlink" xfId="1556" builtinId="9" hidden="1"/>
    <cellStyle name="Followed Hyperlink" xfId="1558" builtinId="9" hidden="1"/>
    <cellStyle name="Followed Hyperlink" xfId="1560" builtinId="9" hidden="1"/>
    <cellStyle name="Followed Hyperlink" xfId="1562" builtinId="9" hidden="1"/>
    <cellStyle name="Followed Hyperlink" xfId="1564" builtinId="9" hidden="1"/>
    <cellStyle name="Followed Hyperlink" xfId="1566" builtinId="9" hidden="1"/>
    <cellStyle name="Followed Hyperlink" xfId="1568" builtinId="9" hidden="1"/>
    <cellStyle name="Followed Hyperlink" xfId="1570" builtinId="9" hidden="1"/>
    <cellStyle name="Followed Hyperlink" xfId="1572" builtinId="9" hidden="1"/>
    <cellStyle name="Followed Hyperlink" xfId="1574" builtinId="9" hidden="1"/>
    <cellStyle name="Followed Hyperlink" xfId="1576" builtinId="9" hidden="1"/>
    <cellStyle name="Followed Hyperlink" xfId="1578" builtinId="9" hidden="1"/>
    <cellStyle name="Followed Hyperlink" xfId="1580" builtinId="9" hidden="1"/>
    <cellStyle name="Followed Hyperlink" xfId="1582" builtinId="9" hidden="1"/>
    <cellStyle name="Followed Hyperlink" xfId="1584" builtinId="9" hidden="1"/>
    <cellStyle name="Followed Hyperlink" xfId="1586" builtinId="9" hidden="1"/>
    <cellStyle name="Followed Hyperlink" xfId="1588" builtinId="9" hidden="1"/>
    <cellStyle name="Followed Hyperlink" xfId="1590" builtinId="9" hidden="1"/>
    <cellStyle name="Followed Hyperlink" xfId="1592" builtinId="9" hidden="1"/>
    <cellStyle name="Followed Hyperlink" xfId="1594" builtinId="9" hidden="1"/>
    <cellStyle name="Followed Hyperlink" xfId="1596" builtinId="9" hidden="1"/>
    <cellStyle name="Followed Hyperlink" xfId="1598" builtinId="9" hidden="1"/>
    <cellStyle name="Followed Hyperlink" xfId="1600" builtinId="9" hidden="1"/>
    <cellStyle name="Followed Hyperlink" xfId="1602" builtinId="9" hidden="1"/>
    <cellStyle name="Followed Hyperlink" xfId="1604" builtinId="9" hidden="1"/>
    <cellStyle name="Followed Hyperlink" xfId="1606" builtinId="9" hidden="1"/>
    <cellStyle name="Followed Hyperlink" xfId="1608" builtinId="9" hidden="1"/>
    <cellStyle name="Followed Hyperlink" xfId="1610" builtinId="9" hidden="1"/>
    <cellStyle name="Followed Hyperlink" xfId="1612" builtinId="9" hidden="1"/>
    <cellStyle name="Followed Hyperlink" xfId="1614" builtinId="9" hidden="1"/>
    <cellStyle name="Followed Hyperlink" xfId="1616" builtinId="9" hidden="1"/>
    <cellStyle name="Followed Hyperlink" xfId="1618" builtinId="9" hidden="1"/>
    <cellStyle name="Followed Hyperlink" xfId="1620" builtinId="9" hidden="1"/>
    <cellStyle name="Followed Hyperlink" xfId="1622" builtinId="9" hidden="1"/>
    <cellStyle name="Followed Hyperlink" xfId="1624" builtinId="9" hidden="1"/>
    <cellStyle name="Followed Hyperlink" xfId="1626" builtinId="9" hidden="1"/>
    <cellStyle name="Followed Hyperlink" xfId="1628" builtinId="9" hidden="1"/>
    <cellStyle name="Followed Hyperlink" xfId="1630" builtinId="9" hidden="1"/>
    <cellStyle name="Followed Hyperlink" xfId="1632" builtinId="9" hidden="1"/>
    <cellStyle name="Followed Hyperlink" xfId="1634" builtinId="9" hidden="1"/>
    <cellStyle name="Followed Hyperlink" xfId="1636" builtinId="9" hidden="1"/>
    <cellStyle name="Followed Hyperlink" xfId="1638" builtinId="9" hidden="1"/>
    <cellStyle name="Followed Hyperlink" xfId="1640" builtinId="9" hidden="1"/>
    <cellStyle name="Followed Hyperlink" xfId="1642" builtinId="9" hidden="1"/>
    <cellStyle name="Followed Hyperlink" xfId="1644" builtinId="9" hidden="1"/>
    <cellStyle name="Followed Hyperlink" xfId="1646" builtinId="9" hidden="1"/>
    <cellStyle name="Followed Hyperlink" xfId="1648" builtinId="9" hidden="1"/>
    <cellStyle name="Followed Hyperlink" xfId="1650" builtinId="9" hidden="1"/>
    <cellStyle name="Followed Hyperlink" xfId="1652" builtinId="9" hidden="1"/>
    <cellStyle name="Followed Hyperlink" xfId="1654" builtinId="9" hidden="1"/>
    <cellStyle name="Followed Hyperlink" xfId="1656" builtinId="9" hidden="1"/>
    <cellStyle name="Followed Hyperlink" xfId="1658" builtinId="9" hidden="1"/>
    <cellStyle name="Followed Hyperlink" xfId="1660" builtinId="9" hidden="1"/>
    <cellStyle name="Followed Hyperlink" xfId="1662" builtinId="9" hidden="1"/>
    <cellStyle name="Followed Hyperlink" xfId="1664" builtinId="9" hidden="1"/>
    <cellStyle name="Followed Hyperlink" xfId="1666" builtinId="9" hidden="1"/>
    <cellStyle name="Followed Hyperlink" xfId="1668" builtinId="9" hidden="1"/>
    <cellStyle name="Followed Hyperlink" xfId="1670" builtinId="9" hidden="1"/>
    <cellStyle name="Followed Hyperlink" xfId="1672" builtinId="9" hidden="1"/>
    <cellStyle name="Followed Hyperlink" xfId="1674" builtinId="9" hidden="1"/>
    <cellStyle name="Followed Hyperlink" xfId="1676" builtinId="9" hidden="1"/>
    <cellStyle name="Followed Hyperlink" xfId="1678" builtinId="9" hidden="1"/>
    <cellStyle name="Followed Hyperlink" xfId="1680" builtinId="9" hidden="1"/>
    <cellStyle name="Followed Hyperlink" xfId="1682" builtinId="9" hidden="1"/>
    <cellStyle name="Followed Hyperlink" xfId="1684" builtinId="9" hidden="1"/>
    <cellStyle name="Followed Hyperlink" xfId="1686" builtinId="9" hidden="1"/>
    <cellStyle name="Followed Hyperlink" xfId="1688" builtinId="9" hidden="1"/>
    <cellStyle name="Followed Hyperlink" xfId="1690" builtinId="9" hidden="1"/>
    <cellStyle name="Followed Hyperlink" xfId="1692" builtinId="9" hidden="1"/>
    <cellStyle name="Followed Hyperlink" xfId="1694" builtinId="9" hidden="1"/>
    <cellStyle name="Followed Hyperlink" xfId="1696" builtinId="9" hidden="1"/>
    <cellStyle name="Followed Hyperlink" xfId="1698" builtinId="9" hidden="1"/>
    <cellStyle name="Followed Hyperlink" xfId="1700" builtinId="9" hidden="1"/>
    <cellStyle name="Followed Hyperlink" xfId="1702" builtinId="9" hidden="1"/>
    <cellStyle name="Followed Hyperlink" xfId="1704" builtinId="9" hidden="1"/>
    <cellStyle name="Followed Hyperlink" xfId="1706" builtinId="9" hidden="1"/>
    <cellStyle name="Followed Hyperlink" xfId="1708" builtinId="9" hidden="1"/>
    <cellStyle name="Followed Hyperlink" xfId="1710" builtinId="9" hidden="1"/>
    <cellStyle name="Followed Hyperlink" xfId="1712" builtinId="9" hidden="1"/>
    <cellStyle name="Followed Hyperlink" xfId="1714" builtinId="9" hidden="1"/>
    <cellStyle name="Followed Hyperlink" xfId="1716" builtinId="9" hidden="1"/>
    <cellStyle name="Followed Hyperlink" xfId="1718" builtinId="9" hidden="1"/>
    <cellStyle name="Followed Hyperlink" xfId="1720" builtinId="9" hidden="1"/>
    <cellStyle name="Followed Hyperlink" xfId="1722" builtinId="9" hidden="1"/>
    <cellStyle name="Followed Hyperlink" xfId="1724" builtinId="9" hidden="1"/>
    <cellStyle name="Followed Hyperlink" xfId="1726" builtinId="9" hidden="1"/>
    <cellStyle name="Followed Hyperlink" xfId="1728" builtinId="9" hidden="1"/>
    <cellStyle name="Followed Hyperlink" xfId="1730" builtinId="9" hidden="1"/>
    <cellStyle name="Followed Hyperlink" xfId="1732" builtinId="9" hidden="1"/>
    <cellStyle name="Followed Hyperlink" xfId="1734" builtinId="9" hidden="1"/>
    <cellStyle name="Followed Hyperlink" xfId="1736" builtinId="9" hidden="1"/>
    <cellStyle name="Followed Hyperlink" xfId="1738" builtinId="9" hidden="1"/>
    <cellStyle name="Followed Hyperlink" xfId="1740" builtinId="9" hidden="1"/>
    <cellStyle name="Followed Hyperlink" xfId="1742" builtinId="9" hidden="1"/>
    <cellStyle name="Followed Hyperlink" xfId="1744" builtinId="9" hidden="1"/>
    <cellStyle name="Followed Hyperlink" xfId="1746" builtinId="9" hidden="1"/>
    <cellStyle name="Followed Hyperlink" xfId="1748" builtinId="9" hidden="1"/>
    <cellStyle name="Followed Hyperlink" xfId="1750" builtinId="9" hidden="1"/>
    <cellStyle name="Followed Hyperlink" xfId="1752" builtinId="9" hidden="1"/>
    <cellStyle name="Followed Hyperlink" xfId="1754" builtinId="9" hidden="1"/>
    <cellStyle name="Followed Hyperlink" xfId="1756" builtinId="9" hidden="1"/>
    <cellStyle name="Followed Hyperlink" xfId="1758" builtinId="9" hidden="1"/>
    <cellStyle name="Followed Hyperlink" xfId="1760" builtinId="9" hidden="1"/>
    <cellStyle name="Followed Hyperlink" xfId="1762" builtinId="9" hidden="1"/>
    <cellStyle name="Followed Hyperlink" xfId="1764" builtinId="9" hidden="1"/>
    <cellStyle name="Followed Hyperlink" xfId="1766" builtinId="9" hidden="1"/>
    <cellStyle name="Followed Hyperlink" xfId="1768" builtinId="9" hidden="1"/>
    <cellStyle name="Followed Hyperlink" xfId="1770" builtinId="9" hidden="1"/>
    <cellStyle name="Followed Hyperlink" xfId="1772" builtinId="9" hidden="1"/>
    <cellStyle name="Followed Hyperlink" xfId="1774" builtinId="9" hidden="1"/>
    <cellStyle name="Followed Hyperlink" xfId="1776" builtinId="9" hidden="1"/>
    <cellStyle name="Followed Hyperlink" xfId="1778" builtinId="9" hidden="1"/>
    <cellStyle name="Followed Hyperlink" xfId="1780" builtinId="9" hidden="1"/>
    <cellStyle name="Followed Hyperlink" xfId="1782" builtinId="9" hidden="1"/>
    <cellStyle name="Followed Hyperlink" xfId="1784" builtinId="9" hidden="1"/>
    <cellStyle name="Followed Hyperlink" xfId="1786" builtinId="9" hidden="1"/>
    <cellStyle name="Followed Hyperlink" xfId="1788" builtinId="9" hidden="1"/>
    <cellStyle name="Followed Hyperlink" xfId="1790" builtinId="9" hidden="1"/>
    <cellStyle name="Followed Hyperlink" xfId="1792" builtinId="9" hidden="1"/>
    <cellStyle name="Followed Hyperlink" xfId="1794" builtinId="9" hidden="1"/>
    <cellStyle name="Followed Hyperlink" xfId="1796" builtinId="9" hidden="1"/>
    <cellStyle name="Followed Hyperlink" xfId="1798" builtinId="9" hidden="1"/>
    <cellStyle name="Followed Hyperlink" xfId="1800" builtinId="9" hidden="1"/>
    <cellStyle name="Followed Hyperlink" xfId="1802" builtinId="9" hidden="1"/>
    <cellStyle name="Followed Hyperlink" xfId="1804" builtinId="9" hidden="1"/>
    <cellStyle name="Followed Hyperlink" xfId="1806" builtinId="9" hidden="1"/>
    <cellStyle name="Followed Hyperlink" xfId="1808" builtinId="9" hidden="1"/>
    <cellStyle name="Followed Hyperlink" xfId="1810" builtinId="9" hidden="1"/>
    <cellStyle name="Followed Hyperlink" xfId="1812" builtinId="9" hidden="1"/>
    <cellStyle name="Followed Hyperlink" xfId="1814" builtinId="9" hidden="1"/>
    <cellStyle name="Followed Hyperlink" xfId="1816" builtinId="9" hidden="1"/>
    <cellStyle name="Followed Hyperlink" xfId="1818" builtinId="9" hidden="1"/>
    <cellStyle name="Followed Hyperlink" xfId="1820" builtinId="9" hidden="1"/>
    <cellStyle name="Followed Hyperlink" xfId="1822" builtinId="9" hidden="1"/>
    <cellStyle name="Followed Hyperlink" xfId="1824" builtinId="9" hidden="1"/>
    <cellStyle name="Followed Hyperlink" xfId="1826" builtinId="9" hidden="1"/>
    <cellStyle name="Followed Hyperlink" xfId="1828" builtinId="9" hidden="1"/>
    <cellStyle name="Followed Hyperlink" xfId="1830" builtinId="9" hidden="1"/>
    <cellStyle name="Followed Hyperlink" xfId="1832" builtinId="9" hidden="1"/>
    <cellStyle name="Followed Hyperlink" xfId="1834" builtinId="9" hidden="1"/>
    <cellStyle name="Followed Hyperlink" xfId="1836" builtinId="9" hidden="1"/>
    <cellStyle name="Followed Hyperlink" xfId="1838" builtinId="9" hidden="1"/>
    <cellStyle name="Followed Hyperlink" xfId="1840" builtinId="9" hidden="1"/>
    <cellStyle name="Followed Hyperlink" xfId="1842" builtinId="9" hidden="1"/>
    <cellStyle name="Followed Hyperlink" xfId="1844" builtinId="9" hidden="1"/>
    <cellStyle name="Followed Hyperlink" xfId="1846" builtinId="9" hidden="1"/>
    <cellStyle name="Followed Hyperlink" xfId="1848" builtinId="9" hidden="1"/>
    <cellStyle name="Followed Hyperlink" xfId="1850" builtinId="9" hidden="1"/>
    <cellStyle name="Followed Hyperlink" xfId="1852" builtinId="9" hidden="1"/>
    <cellStyle name="Followed Hyperlink" xfId="1854" builtinId="9" hidden="1"/>
    <cellStyle name="Followed Hyperlink" xfId="1856" builtinId="9" hidden="1"/>
    <cellStyle name="Followed Hyperlink" xfId="1858" builtinId="9" hidden="1"/>
    <cellStyle name="Followed Hyperlink" xfId="1860" builtinId="9" hidden="1"/>
    <cellStyle name="Followed Hyperlink" xfId="1862" builtinId="9" hidden="1"/>
    <cellStyle name="Followed Hyperlink" xfId="1864" builtinId="9" hidden="1"/>
    <cellStyle name="Followed Hyperlink" xfId="1866" builtinId="9" hidden="1"/>
    <cellStyle name="Followed Hyperlink" xfId="1868" builtinId="9" hidden="1"/>
    <cellStyle name="Followed Hyperlink" xfId="1870" builtinId="9" hidden="1"/>
    <cellStyle name="Followed Hyperlink" xfId="1872" builtinId="9" hidden="1"/>
    <cellStyle name="Followed Hyperlink" xfId="1874" builtinId="9" hidden="1"/>
    <cellStyle name="Followed Hyperlink" xfId="1876" builtinId="9" hidden="1"/>
    <cellStyle name="Followed Hyperlink" xfId="1878" builtinId="9" hidden="1"/>
    <cellStyle name="Followed Hyperlink" xfId="1880" builtinId="9" hidden="1"/>
    <cellStyle name="Followed Hyperlink" xfId="1882" builtinId="9" hidden="1"/>
    <cellStyle name="Followed Hyperlink" xfId="1884" builtinId="9" hidden="1"/>
    <cellStyle name="Followed Hyperlink" xfId="1886" builtinId="9" hidden="1"/>
    <cellStyle name="Followed Hyperlink" xfId="1888" builtinId="9" hidden="1"/>
    <cellStyle name="Followed Hyperlink" xfId="1890" builtinId="9" hidden="1"/>
    <cellStyle name="Followed Hyperlink" xfId="1892" builtinId="9" hidden="1"/>
    <cellStyle name="Followed Hyperlink" xfId="1894" builtinId="9" hidden="1"/>
    <cellStyle name="Followed Hyperlink" xfId="1896" builtinId="9" hidden="1"/>
    <cellStyle name="Followed Hyperlink" xfId="1898" builtinId="9" hidden="1"/>
    <cellStyle name="Followed Hyperlink" xfId="1900" builtinId="9" hidden="1"/>
    <cellStyle name="Followed Hyperlink" xfId="1902" builtinId="9" hidden="1"/>
    <cellStyle name="Followed Hyperlink" xfId="1904" builtinId="9" hidden="1"/>
    <cellStyle name="Followed Hyperlink" xfId="1906" builtinId="9" hidden="1"/>
    <cellStyle name="Followed Hyperlink" xfId="1908" builtinId="9" hidden="1"/>
    <cellStyle name="Followed Hyperlink" xfId="1910" builtinId="9" hidden="1"/>
    <cellStyle name="Followed Hyperlink" xfId="1912" builtinId="9" hidden="1"/>
    <cellStyle name="Followed Hyperlink" xfId="1914" builtinId="9" hidden="1"/>
    <cellStyle name="Followed Hyperlink" xfId="1916" builtinId="9" hidden="1"/>
    <cellStyle name="Followed Hyperlink" xfId="1918" builtinId="9" hidden="1"/>
    <cellStyle name="Followed Hyperlink" xfId="1920" builtinId="9" hidden="1"/>
    <cellStyle name="Followed Hyperlink" xfId="1922" builtinId="9" hidden="1"/>
    <cellStyle name="Followed Hyperlink" xfId="1924" builtinId="9" hidden="1"/>
    <cellStyle name="Followed Hyperlink" xfId="1926" builtinId="9" hidden="1"/>
    <cellStyle name="Followed Hyperlink" xfId="1928" builtinId="9" hidden="1"/>
    <cellStyle name="Followed Hyperlink" xfId="1930" builtinId="9" hidden="1"/>
    <cellStyle name="Followed Hyperlink" xfId="1932" builtinId="9" hidden="1"/>
    <cellStyle name="Followed Hyperlink" xfId="1934" builtinId="9" hidden="1"/>
    <cellStyle name="Followed Hyperlink" xfId="1936" builtinId="9" hidden="1"/>
    <cellStyle name="Followed Hyperlink" xfId="1938" builtinId="9" hidden="1"/>
    <cellStyle name="Followed Hyperlink" xfId="1940" builtinId="9" hidden="1"/>
    <cellStyle name="Followed Hyperlink" xfId="1942" builtinId="9" hidden="1"/>
    <cellStyle name="Followed Hyperlink" xfId="1944" builtinId="9" hidden="1"/>
    <cellStyle name="Followed Hyperlink" xfId="1946" builtinId="9" hidden="1"/>
    <cellStyle name="Followed Hyperlink" xfId="1948" builtinId="9" hidden="1"/>
    <cellStyle name="Followed Hyperlink" xfId="1950" builtinId="9" hidden="1"/>
    <cellStyle name="Followed Hyperlink" xfId="1952" builtinId="9" hidden="1"/>
    <cellStyle name="Followed Hyperlink" xfId="1954" builtinId="9" hidden="1"/>
    <cellStyle name="Followed Hyperlink" xfId="1956" builtinId="9" hidden="1"/>
    <cellStyle name="Followed Hyperlink" xfId="1958" builtinId="9" hidden="1"/>
    <cellStyle name="Followed Hyperlink" xfId="1960" builtinId="9" hidden="1"/>
    <cellStyle name="Followed Hyperlink" xfId="1962" builtinId="9" hidden="1"/>
    <cellStyle name="Followed Hyperlink" xfId="1964" builtinId="9" hidden="1"/>
    <cellStyle name="Followed Hyperlink" xfId="1966" builtinId="9" hidden="1"/>
    <cellStyle name="Followed Hyperlink" xfId="1968" builtinId="9" hidden="1"/>
    <cellStyle name="Followed Hyperlink" xfId="1970" builtinId="9" hidden="1"/>
    <cellStyle name="Followed Hyperlink" xfId="1972" builtinId="9" hidden="1"/>
    <cellStyle name="Followed Hyperlink" xfId="1974" builtinId="9" hidden="1"/>
    <cellStyle name="Followed Hyperlink" xfId="1976" builtinId="9" hidden="1"/>
    <cellStyle name="Followed Hyperlink" xfId="1978" builtinId="9" hidden="1"/>
    <cellStyle name="Followed Hyperlink" xfId="1980" builtinId="9" hidden="1"/>
    <cellStyle name="Followed Hyperlink" xfId="1982" builtinId="9" hidden="1"/>
    <cellStyle name="Followed Hyperlink" xfId="1984" builtinId="9" hidden="1"/>
    <cellStyle name="Followed Hyperlink" xfId="1986" builtinId="9" hidden="1"/>
    <cellStyle name="Followed Hyperlink" xfId="1988" builtinId="9" hidden="1"/>
    <cellStyle name="Followed Hyperlink" xfId="1990" builtinId="9" hidden="1"/>
    <cellStyle name="Followed Hyperlink" xfId="1992" builtinId="9" hidden="1"/>
    <cellStyle name="Followed Hyperlink" xfId="1994" builtinId="9" hidden="1"/>
    <cellStyle name="Followed Hyperlink" xfId="1996" builtinId="9" hidden="1"/>
    <cellStyle name="Followed Hyperlink" xfId="1998" builtinId="9" hidden="1"/>
    <cellStyle name="Followed Hyperlink" xfId="2000" builtinId="9" hidden="1"/>
    <cellStyle name="Followed Hyperlink" xfId="2002" builtinId="9" hidden="1"/>
    <cellStyle name="Followed Hyperlink" xfId="2004" builtinId="9" hidden="1"/>
    <cellStyle name="Followed Hyperlink" xfId="2006" builtinId="9" hidden="1"/>
    <cellStyle name="Followed Hyperlink" xfId="2008" builtinId="9" hidden="1"/>
    <cellStyle name="Followed Hyperlink" xfId="2010" builtinId="9" hidden="1"/>
    <cellStyle name="Followed Hyperlink" xfId="2012" builtinId="9" hidden="1"/>
    <cellStyle name="Followed Hyperlink" xfId="2014" builtinId="9" hidden="1"/>
    <cellStyle name="Followed Hyperlink" xfId="2016" builtinId="9" hidden="1"/>
    <cellStyle name="Followed Hyperlink" xfId="2018" builtinId="9" hidden="1"/>
    <cellStyle name="Followed Hyperlink" xfId="2020" builtinId="9" hidden="1"/>
    <cellStyle name="Followed Hyperlink" xfId="2022" builtinId="9" hidden="1"/>
    <cellStyle name="Followed Hyperlink" xfId="2024" builtinId="9" hidden="1"/>
    <cellStyle name="Followed Hyperlink" xfId="2026" builtinId="9" hidden="1"/>
    <cellStyle name="Followed Hyperlink" xfId="2028" builtinId="9" hidden="1"/>
    <cellStyle name="Followed Hyperlink" xfId="2030" builtinId="9" hidden="1"/>
    <cellStyle name="Followed Hyperlink" xfId="2032" builtinId="9" hidden="1"/>
    <cellStyle name="Followed Hyperlink" xfId="2034" builtinId="9" hidden="1"/>
    <cellStyle name="Followed Hyperlink" xfId="2036" builtinId="9" hidden="1"/>
    <cellStyle name="Followed Hyperlink" xfId="2038" builtinId="9" hidden="1"/>
    <cellStyle name="Followed Hyperlink" xfId="2040" builtinId="9" hidden="1"/>
    <cellStyle name="Followed Hyperlink" xfId="2042" builtinId="9" hidden="1"/>
    <cellStyle name="Followed Hyperlink" xfId="2044" builtinId="9" hidden="1"/>
    <cellStyle name="Followed Hyperlink" xfId="2046" builtinId="9" hidden="1"/>
    <cellStyle name="Followed Hyperlink" xfId="2048" builtinId="9" hidden="1"/>
    <cellStyle name="Followed Hyperlink" xfId="2050" builtinId="9" hidden="1"/>
    <cellStyle name="Followed Hyperlink" xfId="2052" builtinId="9" hidden="1"/>
    <cellStyle name="Followed Hyperlink" xfId="2054" builtinId="9" hidden="1"/>
    <cellStyle name="Followed Hyperlink" xfId="2056" builtinId="9" hidden="1"/>
    <cellStyle name="Followed Hyperlink" xfId="2058" builtinId="9" hidden="1"/>
    <cellStyle name="Followed Hyperlink" xfId="2060" builtinId="9" hidden="1"/>
    <cellStyle name="Followed Hyperlink" xfId="2062" builtinId="9" hidden="1"/>
    <cellStyle name="Followed Hyperlink" xfId="2064" builtinId="9" hidden="1"/>
    <cellStyle name="Followed Hyperlink" xfId="2066" builtinId="9" hidden="1"/>
    <cellStyle name="Followed Hyperlink" xfId="2068" builtinId="9" hidden="1"/>
    <cellStyle name="Followed Hyperlink" xfId="2070" builtinId="9" hidden="1"/>
    <cellStyle name="Followed Hyperlink" xfId="2072" builtinId="9" hidden="1"/>
    <cellStyle name="Followed Hyperlink" xfId="2074" builtinId="9" hidden="1"/>
    <cellStyle name="Followed Hyperlink" xfId="2076" builtinId="9" hidden="1"/>
    <cellStyle name="Followed Hyperlink" xfId="2078" builtinId="9" hidden="1"/>
    <cellStyle name="Followed Hyperlink" xfId="2080" builtinId="9" hidden="1"/>
    <cellStyle name="Followed Hyperlink" xfId="2082" builtinId="9" hidden="1"/>
    <cellStyle name="Followed Hyperlink" xfId="2084" builtinId="9" hidden="1"/>
    <cellStyle name="Followed Hyperlink" xfId="2086" builtinId="9" hidden="1"/>
    <cellStyle name="Followed Hyperlink" xfId="2088" builtinId="9" hidden="1"/>
    <cellStyle name="Followed Hyperlink" xfId="2090" builtinId="9" hidden="1"/>
    <cellStyle name="Followed Hyperlink" xfId="2092" builtinId="9" hidden="1"/>
    <cellStyle name="Followed Hyperlink" xfId="2094" builtinId="9" hidden="1"/>
    <cellStyle name="Followed Hyperlink" xfId="2096" builtinId="9" hidden="1"/>
    <cellStyle name="Followed Hyperlink" xfId="2098" builtinId="9" hidden="1"/>
    <cellStyle name="Followed Hyperlink" xfId="2100" builtinId="9" hidden="1"/>
    <cellStyle name="Followed Hyperlink" xfId="2102" builtinId="9" hidden="1"/>
    <cellStyle name="Followed Hyperlink" xfId="2104" builtinId="9" hidden="1"/>
    <cellStyle name="Followed Hyperlink" xfId="2106" builtinId="9" hidden="1"/>
    <cellStyle name="Followed Hyperlink" xfId="2108" builtinId="9" hidden="1"/>
    <cellStyle name="Followed Hyperlink" xfId="2110" builtinId="9" hidden="1"/>
    <cellStyle name="Followed Hyperlink" xfId="2112" builtinId="9" hidden="1"/>
    <cellStyle name="Followed Hyperlink" xfId="2114" builtinId="9" hidden="1"/>
    <cellStyle name="Followed Hyperlink" xfId="2116" builtinId="9" hidden="1"/>
    <cellStyle name="Followed Hyperlink" xfId="2118" builtinId="9" hidden="1"/>
    <cellStyle name="Followed Hyperlink" xfId="2120" builtinId="9" hidden="1"/>
    <cellStyle name="Followed Hyperlink" xfId="2122" builtinId="9" hidden="1"/>
    <cellStyle name="Followed Hyperlink" xfId="2124" builtinId="9" hidden="1"/>
    <cellStyle name="Followed Hyperlink" xfId="2126" builtinId="9" hidden="1"/>
    <cellStyle name="Followed Hyperlink" xfId="2128" builtinId="9" hidden="1"/>
    <cellStyle name="Followed Hyperlink" xfId="2130" builtinId="9" hidden="1"/>
    <cellStyle name="Followed Hyperlink" xfId="2132" builtinId="9" hidden="1"/>
    <cellStyle name="Followed Hyperlink" xfId="2134" builtinId="9" hidden="1"/>
    <cellStyle name="Followed Hyperlink" xfId="2136" builtinId="9" hidden="1"/>
    <cellStyle name="Followed Hyperlink" xfId="2138" builtinId="9" hidden="1"/>
    <cellStyle name="Followed Hyperlink" xfId="2140" builtinId="9" hidden="1"/>
    <cellStyle name="Followed Hyperlink" xfId="2142" builtinId="9" hidden="1"/>
    <cellStyle name="Followed Hyperlink" xfId="2144" builtinId="9" hidden="1"/>
    <cellStyle name="Followed Hyperlink" xfId="2146" builtinId="9" hidden="1"/>
    <cellStyle name="Followed Hyperlink" xfId="2148" builtinId="9" hidden="1"/>
    <cellStyle name="Followed Hyperlink" xfId="2150" builtinId="9" hidden="1"/>
    <cellStyle name="Followed Hyperlink" xfId="2152" builtinId="9" hidden="1"/>
    <cellStyle name="Followed Hyperlink" xfId="2154" builtinId="9" hidden="1"/>
    <cellStyle name="Followed Hyperlink" xfId="2156" builtinId="9" hidden="1"/>
    <cellStyle name="Followed Hyperlink" xfId="2158" builtinId="9" hidden="1"/>
    <cellStyle name="Followed Hyperlink" xfId="2160" builtinId="9" hidden="1"/>
    <cellStyle name="Followed Hyperlink" xfId="2162" builtinId="9" hidden="1"/>
    <cellStyle name="Followed Hyperlink" xfId="2164" builtinId="9" hidden="1"/>
    <cellStyle name="Followed Hyperlink" xfId="2166" builtinId="9" hidden="1"/>
    <cellStyle name="Followed Hyperlink" xfId="2168" builtinId="9" hidden="1"/>
    <cellStyle name="Followed Hyperlink" xfId="2170" builtinId="9" hidden="1"/>
    <cellStyle name="Followed Hyperlink" xfId="2172" builtinId="9" hidden="1"/>
    <cellStyle name="Followed Hyperlink" xfId="2174" builtinId="9" hidden="1"/>
    <cellStyle name="Followed Hyperlink" xfId="2176" builtinId="9" hidden="1"/>
    <cellStyle name="Followed Hyperlink" xfId="2178" builtinId="9" hidden="1"/>
    <cellStyle name="Followed Hyperlink" xfId="2180" builtinId="9" hidden="1"/>
    <cellStyle name="Followed Hyperlink" xfId="2182" builtinId="9" hidden="1"/>
    <cellStyle name="Followed Hyperlink" xfId="2184" builtinId="9" hidden="1"/>
    <cellStyle name="Followed Hyperlink" xfId="2186" builtinId="9" hidden="1"/>
    <cellStyle name="Followed Hyperlink" xfId="2188" builtinId="9" hidden="1"/>
    <cellStyle name="Followed Hyperlink" xfId="2190" builtinId="9" hidden="1"/>
    <cellStyle name="Followed Hyperlink" xfId="2192" builtinId="9" hidden="1"/>
    <cellStyle name="Followed Hyperlink" xfId="2194" builtinId="9" hidden="1"/>
    <cellStyle name="Followed Hyperlink" xfId="2196" builtinId="9" hidden="1"/>
    <cellStyle name="Followed Hyperlink" xfId="2198" builtinId="9" hidden="1"/>
    <cellStyle name="Followed Hyperlink" xfId="2200" builtinId="9" hidden="1"/>
    <cellStyle name="Followed Hyperlink" xfId="2202" builtinId="9" hidden="1"/>
    <cellStyle name="Followed Hyperlink" xfId="2204" builtinId="9" hidden="1"/>
    <cellStyle name="Followed Hyperlink" xfId="2206" builtinId="9" hidden="1"/>
    <cellStyle name="Followed Hyperlink" xfId="2208" builtinId="9" hidden="1"/>
    <cellStyle name="Followed Hyperlink" xfId="2210" builtinId="9" hidden="1"/>
    <cellStyle name="Followed Hyperlink" xfId="2212" builtinId="9" hidden="1"/>
    <cellStyle name="Followed Hyperlink" xfId="2214" builtinId="9" hidden="1"/>
    <cellStyle name="Followed Hyperlink" xfId="2216" builtinId="9" hidden="1"/>
    <cellStyle name="Followed Hyperlink" xfId="2218" builtinId="9" hidden="1"/>
    <cellStyle name="Followed Hyperlink" xfId="2220" builtinId="9" hidden="1"/>
    <cellStyle name="Followed Hyperlink" xfId="2222" builtinId="9" hidden="1"/>
    <cellStyle name="Followed Hyperlink" xfId="2224" builtinId="9" hidden="1"/>
    <cellStyle name="Followed Hyperlink" xfId="2226" builtinId="9" hidden="1"/>
    <cellStyle name="Followed Hyperlink" xfId="2228" builtinId="9" hidden="1"/>
    <cellStyle name="Followed Hyperlink" xfId="2230" builtinId="9" hidden="1"/>
    <cellStyle name="Followed Hyperlink" xfId="2232" builtinId="9" hidden="1"/>
    <cellStyle name="Followed Hyperlink" xfId="2234" builtinId="9" hidden="1"/>
    <cellStyle name="Followed Hyperlink" xfId="2236" builtinId="9" hidden="1"/>
    <cellStyle name="Followed Hyperlink" xfId="2238" builtinId="9" hidden="1"/>
    <cellStyle name="Followed Hyperlink" xfId="2240" builtinId="9" hidden="1"/>
    <cellStyle name="Followed Hyperlink" xfId="2242" builtinId="9" hidden="1"/>
    <cellStyle name="Followed Hyperlink" xfId="2244" builtinId="9" hidden="1"/>
    <cellStyle name="Followed Hyperlink" xfId="2246" builtinId="9" hidden="1"/>
    <cellStyle name="Followed Hyperlink" xfId="2248" builtinId="9" hidden="1"/>
    <cellStyle name="Followed Hyperlink" xfId="2250" builtinId="9" hidden="1"/>
    <cellStyle name="Followed Hyperlink" xfId="2252" builtinId="9" hidden="1"/>
    <cellStyle name="Followed Hyperlink" xfId="2254" builtinId="9" hidden="1"/>
    <cellStyle name="Followed Hyperlink" xfId="2256" builtinId="9" hidden="1"/>
    <cellStyle name="Followed Hyperlink" xfId="2258" builtinId="9" hidden="1"/>
    <cellStyle name="Followed Hyperlink" xfId="2260" builtinId="9" hidden="1"/>
    <cellStyle name="Followed Hyperlink" xfId="2262" builtinId="9" hidden="1"/>
    <cellStyle name="Followed Hyperlink" xfId="2264" builtinId="9" hidden="1"/>
    <cellStyle name="Followed Hyperlink" xfId="2266" builtinId="9" hidden="1"/>
    <cellStyle name="Followed Hyperlink" xfId="2268" builtinId="9" hidden="1"/>
    <cellStyle name="Followed Hyperlink" xfId="2270" builtinId="9" hidden="1"/>
    <cellStyle name="Followed Hyperlink" xfId="2272" builtinId="9" hidden="1"/>
    <cellStyle name="Followed Hyperlink" xfId="2274" builtinId="9" hidden="1"/>
    <cellStyle name="Followed Hyperlink" xfId="2276" builtinId="9" hidden="1"/>
    <cellStyle name="Followed Hyperlink" xfId="2278" builtinId="9" hidden="1"/>
    <cellStyle name="Followed Hyperlink" xfId="2280" builtinId="9" hidden="1"/>
    <cellStyle name="Followed Hyperlink" xfId="2282" builtinId="9" hidden="1"/>
    <cellStyle name="Followed Hyperlink" xfId="2284" builtinId="9" hidden="1"/>
    <cellStyle name="Followed Hyperlink" xfId="2286" builtinId="9" hidden="1"/>
    <cellStyle name="Followed Hyperlink" xfId="2288" builtinId="9" hidden="1"/>
    <cellStyle name="Followed Hyperlink" xfId="2290" builtinId="9" hidden="1"/>
    <cellStyle name="Followed Hyperlink" xfId="2292" builtinId="9" hidden="1"/>
    <cellStyle name="Followed Hyperlink" xfId="2294" builtinId="9" hidden="1"/>
    <cellStyle name="Followed Hyperlink" xfId="2296" builtinId="9" hidden="1"/>
    <cellStyle name="Followed Hyperlink" xfId="2298" builtinId="9" hidden="1"/>
    <cellStyle name="Followed Hyperlink" xfId="2300" builtinId="9" hidden="1"/>
    <cellStyle name="Followed Hyperlink" xfId="2302" builtinId="9" hidden="1"/>
    <cellStyle name="Followed Hyperlink" xfId="2304" builtinId="9" hidden="1"/>
    <cellStyle name="Followed Hyperlink" xfId="2306" builtinId="9" hidden="1"/>
    <cellStyle name="Followed Hyperlink" xfId="2308" builtinId="9" hidden="1"/>
    <cellStyle name="Followed Hyperlink" xfId="2310" builtinId="9" hidden="1"/>
    <cellStyle name="Followed Hyperlink" xfId="2312" builtinId="9" hidden="1"/>
    <cellStyle name="Followed Hyperlink" xfId="2314" builtinId="9" hidden="1"/>
    <cellStyle name="Followed Hyperlink" xfId="2316" builtinId="9" hidden="1"/>
    <cellStyle name="Followed Hyperlink" xfId="2318" builtinId="9" hidden="1"/>
    <cellStyle name="Followed Hyperlink" xfId="2320" builtinId="9" hidden="1"/>
    <cellStyle name="Followed Hyperlink" xfId="2322" builtinId="9" hidden="1"/>
    <cellStyle name="Followed Hyperlink" xfId="2324" builtinId="9" hidden="1"/>
    <cellStyle name="Followed Hyperlink" xfId="2326" builtinId="9" hidden="1"/>
    <cellStyle name="Followed Hyperlink" xfId="2328" builtinId="9" hidden="1"/>
    <cellStyle name="Followed Hyperlink" xfId="2330" builtinId="9" hidden="1"/>
    <cellStyle name="Followed Hyperlink" xfId="2332" builtinId="9" hidden="1"/>
    <cellStyle name="Followed Hyperlink" xfId="2334" builtinId="9" hidden="1"/>
    <cellStyle name="Followed Hyperlink" xfId="2336" builtinId="9" hidden="1"/>
    <cellStyle name="Followed Hyperlink" xfId="2338" builtinId="9" hidden="1"/>
    <cellStyle name="Followed Hyperlink" xfId="2340" builtinId="9" hidden="1"/>
    <cellStyle name="Followed Hyperlink" xfId="2342" builtinId="9" hidden="1"/>
    <cellStyle name="Followed Hyperlink" xfId="2344" builtinId="9" hidden="1"/>
    <cellStyle name="Followed Hyperlink" xfId="2346" builtinId="9" hidden="1"/>
    <cellStyle name="Followed Hyperlink" xfId="2348" builtinId="9" hidden="1"/>
    <cellStyle name="Followed Hyperlink" xfId="2350" builtinId="9" hidden="1"/>
    <cellStyle name="Followed Hyperlink" xfId="2352" builtinId="9" hidden="1"/>
    <cellStyle name="Followed Hyperlink" xfId="2354" builtinId="9" hidden="1"/>
    <cellStyle name="Followed Hyperlink" xfId="2356" builtinId="9" hidden="1"/>
    <cellStyle name="Followed Hyperlink" xfId="2358" builtinId="9" hidden="1"/>
    <cellStyle name="Followed Hyperlink" xfId="2360" builtinId="9" hidden="1"/>
    <cellStyle name="Followed Hyperlink" xfId="2362" builtinId="9" hidden="1"/>
    <cellStyle name="Followed Hyperlink" xfId="2364" builtinId="9" hidden="1"/>
    <cellStyle name="Followed Hyperlink" xfId="2366" builtinId="9" hidden="1"/>
    <cellStyle name="Followed Hyperlink" xfId="2368" builtinId="9" hidden="1"/>
    <cellStyle name="Followed Hyperlink" xfId="2370" builtinId="9" hidden="1"/>
    <cellStyle name="Followed Hyperlink" xfId="2372" builtinId="9" hidden="1"/>
    <cellStyle name="Followed Hyperlink" xfId="2374" builtinId="9" hidden="1"/>
    <cellStyle name="Followed Hyperlink" xfId="2376" builtinId="9" hidden="1"/>
    <cellStyle name="Followed Hyperlink" xfId="2378" builtinId="9" hidden="1"/>
    <cellStyle name="Followed Hyperlink" xfId="2380" builtinId="9" hidden="1"/>
    <cellStyle name="Followed Hyperlink" xfId="2382" builtinId="9" hidden="1"/>
    <cellStyle name="Followed Hyperlink" xfId="2384" builtinId="9" hidden="1"/>
    <cellStyle name="Followed Hyperlink" xfId="2386" builtinId="9" hidden="1"/>
    <cellStyle name="Followed Hyperlink" xfId="2388" builtinId="9" hidden="1"/>
    <cellStyle name="Followed Hyperlink" xfId="2390" builtinId="9" hidden="1"/>
    <cellStyle name="Followed Hyperlink" xfId="2392" builtinId="9" hidden="1"/>
    <cellStyle name="Followed Hyperlink" xfId="2394" builtinId="9" hidden="1"/>
    <cellStyle name="Followed Hyperlink" xfId="2396" builtinId="9" hidden="1"/>
    <cellStyle name="Followed Hyperlink" xfId="2398" builtinId="9" hidden="1"/>
    <cellStyle name="Followed Hyperlink" xfId="2400" builtinId="9" hidden="1"/>
    <cellStyle name="Followed Hyperlink" xfId="2402" builtinId="9" hidden="1"/>
    <cellStyle name="Followed Hyperlink" xfId="2404" builtinId="9" hidden="1"/>
    <cellStyle name="Followed Hyperlink" xfId="2406" builtinId="9" hidden="1"/>
    <cellStyle name="Followed Hyperlink" xfId="2408" builtinId="9" hidden="1"/>
    <cellStyle name="Followed Hyperlink" xfId="2410" builtinId="9" hidden="1"/>
    <cellStyle name="Followed Hyperlink" xfId="2412" builtinId="9" hidden="1"/>
    <cellStyle name="Followed Hyperlink" xfId="2414" builtinId="9" hidden="1"/>
    <cellStyle name="Followed Hyperlink" xfId="2416" builtinId="9" hidden="1"/>
    <cellStyle name="Followed Hyperlink" xfId="2418" builtinId="9" hidden="1"/>
    <cellStyle name="Followed Hyperlink" xfId="2420" builtinId="9" hidden="1"/>
    <cellStyle name="Followed Hyperlink" xfId="2422" builtinId="9" hidden="1"/>
    <cellStyle name="Followed Hyperlink" xfId="2424" builtinId="9" hidden="1"/>
    <cellStyle name="Followed Hyperlink" xfId="2426" builtinId="9" hidden="1"/>
    <cellStyle name="Followed Hyperlink" xfId="2428" builtinId="9" hidden="1"/>
    <cellStyle name="Followed Hyperlink" xfId="2430" builtinId="9" hidden="1"/>
    <cellStyle name="Followed Hyperlink" xfId="2432" builtinId="9" hidden="1"/>
    <cellStyle name="Followed Hyperlink" xfId="2434" builtinId="9" hidden="1"/>
    <cellStyle name="Followed Hyperlink" xfId="2436" builtinId="9" hidden="1"/>
    <cellStyle name="Followed Hyperlink" xfId="2438" builtinId="9" hidden="1"/>
    <cellStyle name="Followed Hyperlink" xfId="2440" builtinId="9" hidden="1"/>
    <cellStyle name="Followed Hyperlink" xfId="2442" builtinId="9" hidden="1"/>
    <cellStyle name="Followed Hyperlink" xfId="2444" builtinId="9" hidden="1"/>
    <cellStyle name="Followed Hyperlink" xfId="2446" builtinId="9" hidden="1"/>
    <cellStyle name="Followed Hyperlink" xfId="2448" builtinId="9" hidden="1"/>
    <cellStyle name="Followed Hyperlink" xfId="2450" builtinId="9" hidden="1"/>
    <cellStyle name="Followed Hyperlink" xfId="2452" builtinId="9" hidden="1"/>
    <cellStyle name="Followed Hyperlink" xfId="2454" builtinId="9" hidden="1"/>
    <cellStyle name="Followed Hyperlink" xfId="2456" builtinId="9" hidden="1"/>
    <cellStyle name="Followed Hyperlink" xfId="2458" builtinId="9" hidden="1"/>
    <cellStyle name="Followed Hyperlink" xfId="2460" builtinId="9" hidden="1"/>
    <cellStyle name="Followed Hyperlink" xfId="2462" builtinId="9" hidden="1"/>
    <cellStyle name="Followed Hyperlink" xfId="2464" builtinId="9" hidden="1"/>
    <cellStyle name="Followed Hyperlink" xfId="2466" builtinId="9" hidden="1"/>
    <cellStyle name="Followed Hyperlink" xfId="2468" builtinId="9" hidden="1"/>
    <cellStyle name="Followed Hyperlink" xfId="2470" builtinId="9" hidden="1"/>
    <cellStyle name="Followed Hyperlink" xfId="2472" builtinId="9" hidden="1"/>
    <cellStyle name="Followed Hyperlink" xfId="2474" builtinId="9" hidden="1"/>
    <cellStyle name="Followed Hyperlink" xfId="2476" builtinId="9" hidden="1"/>
    <cellStyle name="Followed Hyperlink" xfId="2478" builtinId="9" hidden="1"/>
    <cellStyle name="Followed Hyperlink" xfId="2480" builtinId="9" hidden="1"/>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2" builtinId="9" hidden="1"/>
    <cellStyle name="Followed Hyperlink" xfId="2754" builtinId="9" hidden="1"/>
    <cellStyle name="Followed Hyperlink" xfId="2756" builtinId="9" hidden="1"/>
    <cellStyle name="Followed Hyperlink" xfId="2758" builtinId="9" hidden="1"/>
    <cellStyle name="Followed Hyperlink" xfId="2760" builtinId="9" hidden="1"/>
    <cellStyle name="Followed Hyperlink" xfId="2762" builtinId="9" hidden="1"/>
    <cellStyle name="Followed Hyperlink" xfId="2764" builtinId="9" hidden="1"/>
    <cellStyle name="Followed Hyperlink" xfId="2766" builtinId="9" hidden="1"/>
    <cellStyle name="Followed Hyperlink" xfId="2768"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8" builtinId="9" hidden="1"/>
    <cellStyle name="Followed Hyperlink" xfId="2790" builtinId="9" hidden="1"/>
    <cellStyle name="Followed Hyperlink" xfId="2792" builtinId="9" hidden="1"/>
    <cellStyle name="Followed Hyperlink" xfId="2794" builtinId="9" hidden="1"/>
    <cellStyle name="Followed Hyperlink" xfId="2796" builtinId="9" hidden="1"/>
    <cellStyle name="Followed Hyperlink" xfId="2798" builtinId="9" hidden="1"/>
    <cellStyle name="Followed Hyperlink" xfId="2800" builtinId="9" hidden="1"/>
    <cellStyle name="Followed Hyperlink" xfId="2802" builtinId="9" hidden="1"/>
    <cellStyle name="Followed Hyperlink" xfId="2804" builtinId="9" hidden="1"/>
    <cellStyle name="Followed Hyperlink" xfId="2806" builtinId="9" hidden="1"/>
    <cellStyle name="Followed Hyperlink" xfId="2808" builtinId="9" hidden="1"/>
    <cellStyle name="Followed Hyperlink" xfId="2810" builtinId="9" hidden="1"/>
    <cellStyle name="Followed Hyperlink" xfId="2812" builtinId="9" hidden="1"/>
    <cellStyle name="Followed Hyperlink" xfId="2814" builtinId="9" hidden="1"/>
    <cellStyle name="Followed Hyperlink" xfId="2816" builtinId="9" hidden="1"/>
    <cellStyle name="Followed Hyperlink" xfId="2818" builtinId="9" hidden="1"/>
    <cellStyle name="Followed Hyperlink" xfId="2820" builtinId="9" hidden="1"/>
    <cellStyle name="Followed Hyperlink" xfId="2822" builtinId="9" hidden="1"/>
    <cellStyle name="Followed Hyperlink" xfId="2824" builtinId="9" hidden="1"/>
    <cellStyle name="Followed Hyperlink" xfId="2826" builtinId="9" hidden="1"/>
    <cellStyle name="Followed Hyperlink" xfId="2828" builtinId="9" hidden="1"/>
    <cellStyle name="Followed Hyperlink" xfId="2830" builtinId="9" hidden="1"/>
    <cellStyle name="Followed Hyperlink" xfId="2832" builtinId="9" hidden="1"/>
    <cellStyle name="Followed Hyperlink" xfId="2834" builtinId="9" hidden="1"/>
    <cellStyle name="Followed Hyperlink" xfId="2836" builtinId="9" hidden="1"/>
    <cellStyle name="Followed Hyperlink" xfId="2838" builtinId="9" hidden="1"/>
    <cellStyle name="Followed Hyperlink" xfId="2840" builtinId="9" hidden="1"/>
    <cellStyle name="Followed Hyperlink" xfId="2842" builtinId="9" hidden="1"/>
    <cellStyle name="Followed Hyperlink" xfId="2844" builtinId="9" hidden="1"/>
    <cellStyle name="Followed Hyperlink" xfId="2846" builtinId="9" hidden="1"/>
    <cellStyle name="Followed Hyperlink" xfId="2848" builtinId="9" hidden="1"/>
    <cellStyle name="Followed Hyperlink" xfId="2850" builtinId="9" hidden="1"/>
    <cellStyle name="Followed Hyperlink" xfId="2852" builtinId="9" hidden="1"/>
    <cellStyle name="Followed Hyperlink" xfId="2854" builtinId="9" hidden="1"/>
    <cellStyle name="Followed Hyperlink" xfId="2856" builtinId="9" hidden="1"/>
    <cellStyle name="Followed Hyperlink" xfId="2858" builtinId="9" hidden="1"/>
    <cellStyle name="Followed Hyperlink" xfId="2860" builtinId="9" hidden="1"/>
    <cellStyle name="Followed Hyperlink" xfId="2862" builtinId="9" hidden="1"/>
    <cellStyle name="Followed Hyperlink" xfId="2864" builtinId="9" hidden="1"/>
    <cellStyle name="Followed Hyperlink" xfId="2866" builtinId="9" hidden="1"/>
    <cellStyle name="Followed Hyperlink" xfId="2868" builtinId="9" hidden="1"/>
    <cellStyle name="Followed Hyperlink" xfId="2870" builtinId="9" hidden="1"/>
    <cellStyle name="Followed Hyperlink" xfId="2872" builtinId="9" hidden="1"/>
    <cellStyle name="Followed Hyperlink" xfId="2874" builtinId="9" hidden="1"/>
    <cellStyle name="Followed Hyperlink" xfId="2876" builtinId="9" hidden="1"/>
    <cellStyle name="Followed Hyperlink" xfId="2878" builtinId="9" hidden="1"/>
    <cellStyle name="Followed Hyperlink" xfId="2880" builtinId="9" hidden="1"/>
    <cellStyle name="Followed Hyperlink" xfId="2882" builtinId="9" hidden="1"/>
    <cellStyle name="Followed Hyperlink" xfId="2884" builtinId="9" hidden="1"/>
    <cellStyle name="Followed Hyperlink" xfId="2886" builtinId="9" hidden="1"/>
    <cellStyle name="Followed Hyperlink" xfId="2888" builtinId="9" hidden="1"/>
    <cellStyle name="Followed Hyperlink" xfId="2890" builtinId="9" hidden="1"/>
    <cellStyle name="Followed Hyperlink" xfId="2892" builtinId="9" hidden="1"/>
    <cellStyle name="Followed Hyperlink" xfId="2894" builtinId="9" hidden="1"/>
    <cellStyle name="Followed Hyperlink" xfId="2896" builtinId="9" hidden="1"/>
    <cellStyle name="Followed Hyperlink" xfId="2898"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0" builtinId="9" hidden="1"/>
    <cellStyle name="Followed Hyperlink" xfId="3152" builtinId="9" hidden="1"/>
    <cellStyle name="Followed Hyperlink" xfId="3154" builtinId="9" hidden="1"/>
    <cellStyle name="Followed Hyperlink" xfId="3156" builtinId="9" hidden="1"/>
    <cellStyle name="Followed Hyperlink" xfId="3158" builtinId="9" hidden="1"/>
    <cellStyle name="Followed Hyperlink" xfId="3160" builtinId="9" hidden="1"/>
    <cellStyle name="Followed Hyperlink" xfId="3162" builtinId="9" hidden="1"/>
    <cellStyle name="Followed Hyperlink" xfId="3164" builtinId="9" hidden="1"/>
    <cellStyle name="Followed Hyperlink" xfId="3166" builtinId="9" hidden="1"/>
    <cellStyle name="Followed Hyperlink" xfId="3168" builtinId="9" hidden="1"/>
    <cellStyle name="Followed Hyperlink" xfId="3170" builtinId="9" hidden="1"/>
    <cellStyle name="Followed Hyperlink" xfId="3172" builtinId="9" hidden="1"/>
    <cellStyle name="Followed Hyperlink" xfId="3174" builtinId="9" hidden="1"/>
    <cellStyle name="Followed Hyperlink" xfId="3176" builtinId="9" hidden="1"/>
    <cellStyle name="Followed Hyperlink" xfId="3178" builtinId="9" hidden="1"/>
    <cellStyle name="Followed Hyperlink" xfId="3180" builtinId="9" hidden="1"/>
    <cellStyle name="Followed Hyperlink" xfId="3182" builtinId="9" hidden="1"/>
    <cellStyle name="Followed Hyperlink" xfId="3184" builtinId="9" hidden="1"/>
    <cellStyle name="Followed Hyperlink" xfId="3186" builtinId="9" hidden="1"/>
    <cellStyle name="Followed Hyperlink" xfId="3188" builtinId="9" hidden="1"/>
    <cellStyle name="Followed Hyperlink" xfId="3190" builtinId="9" hidden="1"/>
    <cellStyle name="Followed Hyperlink" xfId="3192" builtinId="9" hidden="1"/>
    <cellStyle name="Followed Hyperlink" xfId="3194" builtinId="9" hidden="1"/>
    <cellStyle name="Followed Hyperlink" xfId="3196" builtinId="9" hidden="1"/>
    <cellStyle name="Followed Hyperlink" xfId="3198" builtinId="9" hidden="1"/>
    <cellStyle name="Followed Hyperlink" xfId="3200" builtinId="9" hidden="1"/>
    <cellStyle name="Followed Hyperlink" xfId="3202" builtinId="9" hidden="1"/>
    <cellStyle name="Followed Hyperlink" xfId="3204" builtinId="9" hidden="1"/>
    <cellStyle name="Followed Hyperlink" xfId="3206" builtinId="9" hidden="1"/>
    <cellStyle name="Followed Hyperlink" xfId="3208" builtinId="9" hidden="1"/>
    <cellStyle name="Followed Hyperlink" xfId="3210" builtinId="9" hidden="1"/>
    <cellStyle name="Followed Hyperlink" xfId="3212" builtinId="9" hidden="1"/>
    <cellStyle name="Followed Hyperlink" xfId="3214" builtinId="9" hidden="1"/>
    <cellStyle name="Followed Hyperlink" xfId="3216" builtinId="9" hidden="1"/>
    <cellStyle name="Followed Hyperlink" xfId="3218" builtinId="9" hidden="1"/>
    <cellStyle name="Followed Hyperlink" xfId="3220" builtinId="9" hidden="1"/>
    <cellStyle name="Followed Hyperlink" xfId="3222" builtinId="9" hidden="1"/>
    <cellStyle name="Followed Hyperlink" xfId="3224" builtinId="9" hidden="1"/>
    <cellStyle name="Followed Hyperlink" xfId="3226" builtinId="9" hidden="1"/>
    <cellStyle name="Followed Hyperlink" xfId="3228" builtinId="9" hidden="1"/>
    <cellStyle name="Followed Hyperlink" xfId="3230" builtinId="9" hidden="1"/>
    <cellStyle name="Followed Hyperlink" xfId="3232" builtinId="9" hidden="1"/>
    <cellStyle name="Followed Hyperlink" xfId="3234" builtinId="9" hidden="1"/>
    <cellStyle name="Followed Hyperlink" xfId="3236" builtinId="9" hidden="1"/>
    <cellStyle name="Followed Hyperlink" xfId="3238" builtinId="9" hidden="1"/>
    <cellStyle name="Followed Hyperlink" xfId="3240" builtinId="9" hidden="1"/>
    <cellStyle name="Followed Hyperlink" xfId="3242" builtinId="9" hidden="1"/>
    <cellStyle name="Followed Hyperlink" xfId="3244" builtinId="9" hidden="1"/>
    <cellStyle name="Followed Hyperlink" xfId="3246" builtinId="9" hidden="1"/>
    <cellStyle name="Followed Hyperlink" xfId="3248" builtinId="9" hidden="1"/>
    <cellStyle name="Followed Hyperlink" xfId="3250" builtinId="9" hidden="1"/>
    <cellStyle name="Followed Hyperlink" xfId="3252" builtinId="9" hidden="1"/>
    <cellStyle name="Followed Hyperlink" xfId="3254" builtinId="9" hidden="1"/>
    <cellStyle name="Followed Hyperlink" xfId="3256" builtinId="9" hidden="1"/>
    <cellStyle name="Followed Hyperlink" xfId="3258" builtinId="9" hidden="1"/>
    <cellStyle name="Followed Hyperlink" xfId="3260" builtinId="9" hidden="1"/>
    <cellStyle name="Followed Hyperlink" xfId="3262" builtinId="9" hidden="1"/>
    <cellStyle name="Followed Hyperlink" xfId="3264" builtinId="9" hidden="1"/>
    <cellStyle name="Followed Hyperlink" xfId="3266" builtinId="9" hidden="1"/>
    <cellStyle name="Followed Hyperlink" xfId="3268" builtinId="9" hidden="1"/>
    <cellStyle name="Followed Hyperlink" xfId="3270" builtinId="9" hidden="1"/>
    <cellStyle name="Followed Hyperlink" xfId="3272" builtinId="9" hidden="1"/>
    <cellStyle name="Followed Hyperlink" xfId="3274" builtinId="9" hidden="1"/>
    <cellStyle name="Followed Hyperlink" xfId="3276" builtinId="9" hidden="1"/>
    <cellStyle name="Followed Hyperlink" xfId="3278" builtinId="9" hidden="1"/>
    <cellStyle name="Followed Hyperlink" xfId="3280" builtinId="9" hidden="1"/>
    <cellStyle name="Followed Hyperlink" xfId="3282" builtinId="9" hidden="1"/>
    <cellStyle name="Followed Hyperlink" xfId="3284" builtinId="9" hidden="1"/>
    <cellStyle name="Followed Hyperlink" xfId="3286" builtinId="9" hidden="1"/>
    <cellStyle name="Followed Hyperlink" xfId="3288" builtinId="9" hidden="1"/>
    <cellStyle name="Followed Hyperlink" xfId="3290" builtinId="9" hidden="1"/>
    <cellStyle name="Followed Hyperlink" xfId="3292" builtinId="9" hidden="1"/>
    <cellStyle name="Followed Hyperlink" xfId="3294" builtinId="9" hidden="1"/>
    <cellStyle name="Followed Hyperlink" xfId="3296" builtinId="9" hidden="1"/>
    <cellStyle name="Followed Hyperlink" xfId="3298" builtinId="9" hidden="1"/>
    <cellStyle name="Followed Hyperlink" xfId="3300" builtinId="9" hidden="1"/>
    <cellStyle name="Followed Hyperlink" xfId="3302" builtinId="9" hidden="1"/>
    <cellStyle name="Followed Hyperlink" xfId="3304" builtinId="9" hidden="1"/>
    <cellStyle name="Followed Hyperlink" xfId="3306" builtinId="9" hidden="1"/>
    <cellStyle name="Followed Hyperlink" xfId="3308" builtinId="9" hidden="1"/>
    <cellStyle name="Followed Hyperlink" xfId="3310" builtinId="9" hidden="1"/>
    <cellStyle name="Followed Hyperlink" xfId="3312" builtinId="9" hidden="1"/>
    <cellStyle name="Followed Hyperlink" xfId="3314" builtinId="9" hidden="1"/>
    <cellStyle name="Followed Hyperlink" xfId="3316" builtinId="9" hidden="1"/>
    <cellStyle name="Followed Hyperlink" xfId="3318" builtinId="9" hidden="1"/>
    <cellStyle name="Followed Hyperlink" xfId="3320" builtinId="9" hidden="1"/>
    <cellStyle name="Followed Hyperlink" xfId="3322" builtinId="9" hidden="1"/>
    <cellStyle name="Followed Hyperlink" xfId="3324" builtinId="9" hidden="1"/>
    <cellStyle name="Followed Hyperlink" xfId="3326" builtinId="9" hidden="1"/>
    <cellStyle name="Followed Hyperlink" xfId="3328" builtinId="9" hidden="1"/>
    <cellStyle name="Followed Hyperlink" xfId="3330" builtinId="9" hidden="1"/>
    <cellStyle name="Followed Hyperlink" xfId="3332" builtinId="9" hidden="1"/>
    <cellStyle name="Followed Hyperlink" xfId="3334" builtinId="9" hidden="1"/>
    <cellStyle name="Followed Hyperlink" xfId="3336" builtinId="9" hidden="1"/>
    <cellStyle name="Followed Hyperlink" xfId="3338" builtinId="9" hidden="1"/>
    <cellStyle name="Followed Hyperlink" xfId="3340" builtinId="9" hidden="1"/>
    <cellStyle name="Followed Hyperlink" xfId="3342" builtinId="9" hidden="1"/>
    <cellStyle name="Followed Hyperlink" xfId="3344" builtinId="9" hidden="1"/>
    <cellStyle name="Followed Hyperlink" xfId="3346" builtinId="9" hidden="1"/>
    <cellStyle name="Followed Hyperlink" xfId="3348" builtinId="9" hidden="1"/>
    <cellStyle name="Followed Hyperlink" xfId="3350" builtinId="9" hidden="1"/>
    <cellStyle name="Followed Hyperlink" xfId="3352" builtinId="9" hidden="1"/>
    <cellStyle name="Followed Hyperlink" xfId="3354" builtinId="9" hidden="1"/>
    <cellStyle name="Followed Hyperlink" xfId="3356" builtinId="9" hidden="1"/>
    <cellStyle name="Followed Hyperlink" xfId="3358" builtinId="9" hidden="1"/>
    <cellStyle name="Followed Hyperlink" xfId="3360" builtinId="9" hidden="1"/>
    <cellStyle name="Followed Hyperlink" xfId="3362" builtinId="9" hidden="1"/>
    <cellStyle name="Followed Hyperlink" xfId="3364" builtinId="9" hidden="1"/>
    <cellStyle name="Followed Hyperlink" xfId="3366" builtinId="9" hidden="1"/>
    <cellStyle name="Followed Hyperlink" xfId="3368" builtinId="9" hidden="1"/>
    <cellStyle name="Followed Hyperlink" xfId="3370" builtinId="9" hidden="1"/>
    <cellStyle name="Followed Hyperlink" xfId="3372" builtinId="9" hidden="1"/>
    <cellStyle name="Followed Hyperlink" xfId="3374" builtinId="9" hidden="1"/>
    <cellStyle name="Followed Hyperlink" xfId="3376" builtinId="9" hidden="1"/>
    <cellStyle name="Followed Hyperlink" xfId="3378" builtinId="9" hidden="1"/>
    <cellStyle name="Followed Hyperlink" xfId="3380" builtinId="9" hidden="1"/>
    <cellStyle name="Followed Hyperlink" xfId="3382" builtinId="9" hidden="1"/>
    <cellStyle name="Followed Hyperlink" xfId="3384" builtinId="9" hidden="1"/>
    <cellStyle name="Followed Hyperlink" xfId="3386" builtinId="9" hidden="1"/>
    <cellStyle name="Followed Hyperlink" xfId="3388" builtinId="9" hidden="1"/>
    <cellStyle name="Followed Hyperlink" xfId="3390" builtinId="9" hidden="1"/>
    <cellStyle name="Followed Hyperlink" xfId="3392" builtinId="9" hidden="1"/>
    <cellStyle name="Followed Hyperlink" xfId="3394" builtinId="9" hidden="1"/>
    <cellStyle name="Followed Hyperlink" xfId="3396" builtinId="9" hidden="1"/>
    <cellStyle name="Followed Hyperlink" xfId="3398" builtinId="9" hidden="1"/>
    <cellStyle name="Followed Hyperlink" xfId="3400" builtinId="9" hidden="1"/>
    <cellStyle name="Followed Hyperlink" xfId="3402" builtinId="9" hidden="1"/>
    <cellStyle name="Followed Hyperlink" xfId="3404" builtinId="9" hidden="1"/>
    <cellStyle name="Followed Hyperlink" xfId="3406" builtinId="9" hidden="1"/>
    <cellStyle name="Followed Hyperlink" xfId="3408" builtinId="9" hidden="1"/>
    <cellStyle name="Followed Hyperlink" xfId="3410" builtinId="9" hidden="1"/>
    <cellStyle name="Followed Hyperlink" xfId="3412" builtinId="9" hidden="1"/>
    <cellStyle name="Followed Hyperlink" xfId="3414" builtinId="9" hidden="1"/>
    <cellStyle name="Followed Hyperlink" xfId="3416" builtinId="9" hidden="1"/>
    <cellStyle name="Followed Hyperlink" xfId="3418" builtinId="9" hidden="1"/>
    <cellStyle name="Followed Hyperlink" xfId="3420" builtinId="9" hidden="1"/>
    <cellStyle name="Followed Hyperlink" xfId="3422" builtinId="9" hidden="1"/>
    <cellStyle name="Followed Hyperlink" xfId="3424" builtinId="9" hidden="1"/>
    <cellStyle name="Followed Hyperlink" xfId="3426" builtinId="9" hidden="1"/>
    <cellStyle name="Followed Hyperlink" xfId="3428" builtinId="9" hidden="1"/>
    <cellStyle name="Followed Hyperlink" xfId="3430" builtinId="9" hidden="1"/>
    <cellStyle name="Followed Hyperlink" xfId="3432" builtinId="9" hidden="1"/>
    <cellStyle name="Followed Hyperlink" xfId="3434" builtinId="9" hidden="1"/>
    <cellStyle name="Followed Hyperlink" xfId="3436" builtinId="9" hidden="1"/>
    <cellStyle name="Followed Hyperlink" xfId="3438" builtinId="9" hidden="1"/>
    <cellStyle name="Followed Hyperlink" xfId="3440" builtinId="9" hidden="1"/>
    <cellStyle name="Followed Hyperlink" xfId="3442" builtinId="9" hidden="1"/>
    <cellStyle name="Followed Hyperlink" xfId="3444" builtinId="9" hidden="1"/>
    <cellStyle name="Followed Hyperlink" xfId="3446" builtinId="9" hidden="1"/>
    <cellStyle name="Followed Hyperlink" xfId="3448" builtinId="9" hidden="1"/>
    <cellStyle name="Followed Hyperlink" xfId="3450" builtinId="9" hidden="1"/>
    <cellStyle name="Followed Hyperlink" xfId="3452" builtinId="9" hidden="1"/>
    <cellStyle name="Followed Hyperlink" xfId="3454" builtinId="9" hidden="1"/>
    <cellStyle name="Followed Hyperlink" xfId="3456" builtinId="9" hidden="1"/>
    <cellStyle name="Followed Hyperlink" xfId="3458" builtinId="9" hidden="1"/>
    <cellStyle name="Followed Hyperlink" xfId="3460" builtinId="9" hidden="1"/>
    <cellStyle name="Followed Hyperlink" xfId="3462" builtinId="9" hidden="1"/>
    <cellStyle name="Followed Hyperlink" xfId="3464" builtinId="9" hidden="1"/>
    <cellStyle name="Followed Hyperlink" xfId="3466" builtinId="9" hidden="1"/>
    <cellStyle name="Followed Hyperlink" xfId="3468" builtinId="9" hidden="1"/>
    <cellStyle name="Followed Hyperlink" xfId="3470" builtinId="9" hidden="1"/>
    <cellStyle name="Followed Hyperlink" xfId="3472" builtinId="9" hidden="1"/>
    <cellStyle name="Followed Hyperlink" xfId="3474" builtinId="9" hidden="1"/>
    <cellStyle name="Followed Hyperlink" xfId="3476" builtinId="9" hidden="1"/>
    <cellStyle name="Followed Hyperlink" xfId="3478" builtinId="9" hidden="1"/>
    <cellStyle name="Followed Hyperlink" xfId="3480" builtinId="9" hidden="1"/>
    <cellStyle name="Followed Hyperlink" xfId="3482" builtinId="9" hidden="1"/>
    <cellStyle name="Followed Hyperlink" xfId="3484" builtinId="9" hidden="1"/>
    <cellStyle name="Followed Hyperlink" xfId="3486" builtinId="9" hidden="1"/>
    <cellStyle name="Followed Hyperlink" xfId="3488" builtinId="9" hidden="1"/>
    <cellStyle name="Followed Hyperlink" xfId="3490" builtinId="9" hidden="1"/>
    <cellStyle name="Followed Hyperlink" xfId="3492" builtinId="9" hidden="1"/>
    <cellStyle name="Followed Hyperlink" xfId="3494" builtinId="9" hidden="1"/>
    <cellStyle name="Followed Hyperlink" xfId="3496" builtinId="9" hidden="1"/>
    <cellStyle name="Followed Hyperlink" xfId="3498" builtinId="9" hidden="1"/>
    <cellStyle name="Followed Hyperlink" xfId="3500" builtinId="9" hidden="1"/>
    <cellStyle name="Followed Hyperlink" xfId="3502" builtinId="9" hidden="1"/>
    <cellStyle name="Followed Hyperlink" xfId="3504" builtinId="9" hidden="1"/>
    <cellStyle name="Followed Hyperlink" xfId="3506" builtinId="9" hidden="1"/>
    <cellStyle name="Followed Hyperlink" xfId="3508" builtinId="9" hidden="1"/>
    <cellStyle name="Followed Hyperlink" xfId="3510" builtinId="9" hidden="1"/>
    <cellStyle name="Followed Hyperlink" xfId="3512" builtinId="9" hidden="1"/>
    <cellStyle name="Followed Hyperlink" xfId="3514" builtinId="9" hidden="1"/>
    <cellStyle name="Followed Hyperlink" xfId="3516" builtinId="9" hidden="1"/>
    <cellStyle name="Followed Hyperlink" xfId="3518" builtinId="9" hidden="1"/>
    <cellStyle name="Followed Hyperlink" xfId="3520" builtinId="9" hidden="1"/>
    <cellStyle name="Followed Hyperlink" xfId="3522" builtinId="9" hidden="1"/>
    <cellStyle name="Followed Hyperlink" xfId="3524" builtinId="9" hidden="1"/>
    <cellStyle name="Followed Hyperlink" xfId="3526" builtinId="9" hidden="1"/>
    <cellStyle name="Followed Hyperlink" xfId="3528" builtinId="9" hidden="1"/>
    <cellStyle name="Followed Hyperlink" xfId="3530" builtinId="9" hidden="1"/>
    <cellStyle name="Followed Hyperlink" xfId="3532" builtinId="9" hidden="1"/>
    <cellStyle name="Followed Hyperlink" xfId="3534" builtinId="9" hidden="1"/>
    <cellStyle name="Followed Hyperlink" xfId="3536" builtinId="9" hidden="1"/>
    <cellStyle name="Followed Hyperlink" xfId="3538" builtinId="9" hidden="1"/>
    <cellStyle name="Followed Hyperlink" xfId="3540" builtinId="9" hidden="1"/>
    <cellStyle name="Followed Hyperlink" xfId="3542" builtinId="9" hidden="1"/>
    <cellStyle name="Followed Hyperlink" xfId="3544" builtinId="9" hidden="1"/>
    <cellStyle name="Followed Hyperlink" xfId="3546" builtinId="9" hidden="1"/>
    <cellStyle name="Followed Hyperlink" xfId="3548" builtinId="9" hidden="1"/>
    <cellStyle name="Followed Hyperlink" xfId="3550" builtinId="9" hidden="1"/>
    <cellStyle name="Followed Hyperlink" xfId="3552" builtinId="9" hidden="1"/>
    <cellStyle name="Followed Hyperlink" xfId="3554" builtinId="9" hidden="1"/>
    <cellStyle name="Followed Hyperlink" xfId="3556" builtinId="9" hidden="1"/>
    <cellStyle name="Followed Hyperlink" xfId="3558" builtinId="9" hidden="1"/>
    <cellStyle name="Followed Hyperlink" xfId="3560" builtinId="9" hidden="1"/>
    <cellStyle name="Followed Hyperlink" xfId="3562" builtinId="9" hidden="1"/>
    <cellStyle name="Followed Hyperlink" xfId="3564" builtinId="9" hidden="1"/>
    <cellStyle name="Followed Hyperlink" xfId="3566" builtinId="9" hidden="1"/>
    <cellStyle name="Followed Hyperlink" xfId="3568" builtinId="9" hidden="1"/>
    <cellStyle name="Followed Hyperlink" xfId="3570" builtinId="9" hidden="1"/>
    <cellStyle name="Followed Hyperlink" xfId="3572" builtinId="9" hidden="1"/>
    <cellStyle name="Followed Hyperlink" xfId="3574" builtinId="9" hidden="1"/>
    <cellStyle name="Followed Hyperlink" xfId="3576" builtinId="9" hidden="1"/>
    <cellStyle name="Followed Hyperlink" xfId="3578" builtinId="9" hidden="1"/>
    <cellStyle name="Followed Hyperlink" xfId="3580" builtinId="9" hidden="1"/>
    <cellStyle name="Followed Hyperlink" xfId="3582" builtinId="9" hidden="1"/>
    <cellStyle name="Followed Hyperlink" xfId="3584" builtinId="9" hidden="1"/>
    <cellStyle name="Followed Hyperlink" xfId="3586" builtinId="9" hidden="1"/>
    <cellStyle name="Followed Hyperlink" xfId="3588" builtinId="9" hidden="1"/>
    <cellStyle name="Followed Hyperlink" xfId="3590" builtinId="9" hidden="1"/>
    <cellStyle name="Followed Hyperlink" xfId="3592" builtinId="9" hidden="1"/>
    <cellStyle name="Followed Hyperlink" xfId="3594" builtinId="9" hidden="1"/>
    <cellStyle name="Followed Hyperlink" xfId="3596" builtinId="9" hidden="1"/>
    <cellStyle name="Followed Hyperlink" xfId="3598" builtinId="9" hidden="1"/>
    <cellStyle name="Followed Hyperlink" xfId="3600" builtinId="9" hidden="1"/>
    <cellStyle name="Followed Hyperlink" xfId="3602" builtinId="9" hidden="1"/>
    <cellStyle name="Followed Hyperlink" xfId="3604" builtinId="9" hidden="1"/>
    <cellStyle name="Followed Hyperlink" xfId="3606" builtinId="9" hidden="1"/>
    <cellStyle name="Followed Hyperlink" xfId="3608" builtinId="9" hidden="1"/>
    <cellStyle name="Followed Hyperlink" xfId="3610" builtinId="9" hidden="1"/>
    <cellStyle name="Followed Hyperlink" xfId="3612" builtinId="9" hidden="1"/>
    <cellStyle name="Followed Hyperlink" xfId="3614" builtinId="9" hidden="1"/>
    <cellStyle name="Followed Hyperlink" xfId="3616" builtinId="9" hidden="1"/>
    <cellStyle name="Followed Hyperlink" xfId="3618" builtinId="9" hidden="1"/>
    <cellStyle name="Followed Hyperlink" xfId="3620" builtinId="9" hidden="1"/>
    <cellStyle name="Followed Hyperlink" xfId="3622" builtinId="9" hidden="1"/>
    <cellStyle name="Followed Hyperlink" xfId="3624" builtinId="9" hidden="1"/>
    <cellStyle name="Followed Hyperlink" xfId="3626" builtinId="9" hidden="1"/>
    <cellStyle name="Followed Hyperlink" xfId="3628" builtinId="9" hidden="1"/>
    <cellStyle name="Followed Hyperlink" xfId="3630" builtinId="9" hidden="1"/>
    <cellStyle name="Followed Hyperlink" xfId="3632" builtinId="9" hidden="1"/>
    <cellStyle name="Followed Hyperlink" xfId="3634" builtinId="9" hidden="1"/>
    <cellStyle name="Followed Hyperlink" xfId="3636" builtinId="9" hidden="1"/>
    <cellStyle name="Followed Hyperlink" xfId="3638" builtinId="9" hidden="1"/>
    <cellStyle name="Followed Hyperlink" xfId="3640" builtinId="9" hidden="1"/>
    <cellStyle name="Followed Hyperlink" xfId="3642" builtinId="9" hidden="1"/>
    <cellStyle name="Followed Hyperlink" xfId="3644" builtinId="9" hidden="1"/>
    <cellStyle name="Followed Hyperlink" xfId="3646" builtinId="9" hidden="1"/>
    <cellStyle name="Followed Hyperlink" xfId="3648" builtinId="9" hidden="1"/>
    <cellStyle name="Followed Hyperlink" xfId="3650" builtinId="9" hidden="1"/>
    <cellStyle name="Followed Hyperlink" xfId="3652" builtinId="9" hidden="1"/>
    <cellStyle name="Followed Hyperlink" xfId="3654" builtinId="9" hidden="1"/>
    <cellStyle name="Followed Hyperlink" xfId="3656" builtinId="9" hidden="1"/>
    <cellStyle name="Followed Hyperlink" xfId="3658" builtinId="9" hidden="1"/>
    <cellStyle name="Followed Hyperlink" xfId="3660" builtinId="9" hidden="1"/>
    <cellStyle name="Followed Hyperlink" xfId="3662" builtinId="9" hidden="1"/>
    <cellStyle name="Followed Hyperlink" xfId="3664" builtinId="9" hidden="1"/>
    <cellStyle name="Followed Hyperlink" xfId="3666" builtinId="9" hidden="1"/>
    <cellStyle name="Followed Hyperlink" xfId="3668" builtinId="9" hidden="1"/>
    <cellStyle name="Followed Hyperlink" xfId="3670" builtinId="9" hidden="1"/>
    <cellStyle name="Followed Hyperlink" xfId="3672" builtinId="9" hidden="1"/>
    <cellStyle name="Followed Hyperlink" xfId="3674" builtinId="9" hidden="1"/>
    <cellStyle name="Followed Hyperlink" xfId="3676" builtinId="9" hidden="1"/>
    <cellStyle name="Followed Hyperlink" xfId="3678" builtinId="9" hidden="1"/>
    <cellStyle name="Followed Hyperlink" xfId="3680" builtinId="9" hidden="1"/>
    <cellStyle name="Followed Hyperlink" xfId="3682" builtinId="9" hidden="1"/>
    <cellStyle name="Followed Hyperlink" xfId="3684" builtinId="9" hidden="1"/>
    <cellStyle name="Followed Hyperlink" xfId="3686" builtinId="9" hidden="1"/>
    <cellStyle name="Followed Hyperlink" xfId="3688" builtinId="9" hidden="1"/>
    <cellStyle name="Followed Hyperlink" xfId="3690" builtinId="9" hidden="1"/>
    <cellStyle name="Followed Hyperlink" xfId="3692" builtinId="9" hidden="1"/>
    <cellStyle name="Followed Hyperlink" xfId="3694" builtinId="9" hidden="1"/>
    <cellStyle name="Followed Hyperlink" xfId="3696" builtinId="9" hidden="1"/>
    <cellStyle name="Followed Hyperlink" xfId="3698" builtinId="9" hidden="1"/>
    <cellStyle name="Followed Hyperlink" xfId="3700" builtinId="9" hidden="1"/>
    <cellStyle name="Followed Hyperlink" xfId="3702" builtinId="9" hidden="1"/>
    <cellStyle name="Followed Hyperlink" xfId="3704" builtinId="9" hidden="1"/>
    <cellStyle name="Followed Hyperlink" xfId="3706" builtinId="9" hidden="1"/>
    <cellStyle name="Followed Hyperlink" xfId="3708" builtinId="9" hidden="1"/>
    <cellStyle name="Followed Hyperlink" xfId="3710" builtinId="9" hidden="1"/>
    <cellStyle name="Followed Hyperlink" xfId="3712" builtinId="9" hidden="1"/>
    <cellStyle name="Followed Hyperlink" xfId="3714" builtinId="9" hidden="1"/>
    <cellStyle name="Followed Hyperlink" xfId="3716" builtinId="9" hidden="1"/>
    <cellStyle name="Followed Hyperlink" xfId="3718" builtinId="9" hidden="1"/>
    <cellStyle name="Followed Hyperlink" xfId="3720" builtinId="9" hidden="1"/>
    <cellStyle name="Followed Hyperlink" xfId="3722" builtinId="9" hidden="1"/>
    <cellStyle name="Followed Hyperlink" xfId="3724" builtinId="9" hidden="1"/>
    <cellStyle name="Followed Hyperlink" xfId="3726" builtinId="9" hidden="1"/>
    <cellStyle name="Followed Hyperlink" xfId="3728" builtinId="9" hidden="1"/>
    <cellStyle name="Followed Hyperlink" xfId="3730" builtinId="9" hidden="1"/>
    <cellStyle name="Followed Hyperlink" xfId="3732" builtinId="9" hidden="1"/>
    <cellStyle name="Followed Hyperlink" xfId="3734" builtinId="9" hidden="1"/>
    <cellStyle name="Followed Hyperlink" xfId="3736" builtinId="9" hidden="1"/>
    <cellStyle name="Followed Hyperlink" xfId="3738" builtinId="9" hidden="1"/>
    <cellStyle name="Followed Hyperlink" xfId="3740" builtinId="9" hidden="1"/>
    <cellStyle name="Followed Hyperlink" xfId="3742" builtinId="9" hidden="1"/>
    <cellStyle name="Followed Hyperlink" xfId="3744" builtinId="9" hidden="1"/>
    <cellStyle name="Followed Hyperlink" xfId="3746" builtinId="9" hidden="1"/>
    <cellStyle name="Followed Hyperlink" xfId="3748" builtinId="9" hidden="1"/>
    <cellStyle name="Followed Hyperlink" xfId="3750" builtinId="9" hidden="1"/>
    <cellStyle name="Followed Hyperlink" xfId="3752" builtinId="9" hidden="1"/>
    <cellStyle name="Followed Hyperlink" xfId="3754" builtinId="9" hidden="1"/>
    <cellStyle name="Followed Hyperlink" xfId="3756" builtinId="9" hidden="1"/>
    <cellStyle name="Followed Hyperlink" xfId="3758" builtinId="9" hidden="1"/>
    <cellStyle name="Followed Hyperlink" xfId="3760" builtinId="9" hidden="1"/>
    <cellStyle name="Followed Hyperlink" xfId="3762" builtinId="9" hidden="1"/>
    <cellStyle name="Followed Hyperlink" xfId="3764" builtinId="9" hidden="1"/>
    <cellStyle name="Followed Hyperlink" xfId="3766" builtinId="9" hidden="1"/>
    <cellStyle name="Followed Hyperlink" xfId="3768" builtinId="9" hidden="1"/>
    <cellStyle name="Followed Hyperlink" xfId="3770" builtinId="9" hidden="1"/>
    <cellStyle name="Followed Hyperlink" xfId="3772" builtinId="9" hidden="1"/>
    <cellStyle name="Followed Hyperlink" xfId="3774" builtinId="9" hidden="1"/>
    <cellStyle name="Followed Hyperlink" xfId="3776" builtinId="9" hidden="1"/>
    <cellStyle name="Followed Hyperlink" xfId="3778" builtinId="9" hidden="1"/>
    <cellStyle name="Followed Hyperlink" xfId="3780" builtinId="9" hidden="1"/>
    <cellStyle name="Followed Hyperlink" xfId="3782" builtinId="9" hidden="1"/>
    <cellStyle name="Followed Hyperlink" xfId="3784" builtinId="9" hidden="1"/>
    <cellStyle name="Followed Hyperlink" xfId="3786" builtinId="9" hidden="1"/>
    <cellStyle name="Followed Hyperlink" xfId="3788" builtinId="9" hidden="1"/>
    <cellStyle name="Followed Hyperlink" xfId="3790" builtinId="9" hidden="1"/>
    <cellStyle name="Followed Hyperlink" xfId="3792" builtinId="9" hidden="1"/>
    <cellStyle name="Followed Hyperlink" xfId="3794" builtinId="9" hidden="1"/>
    <cellStyle name="Followed Hyperlink" xfId="3796" builtinId="9" hidden="1"/>
    <cellStyle name="Followed Hyperlink" xfId="3798" builtinId="9" hidden="1"/>
    <cellStyle name="Followed Hyperlink" xfId="3800" builtinId="9" hidden="1"/>
    <cellStyle name="Followed Hyperlink" xfId="3802" builtinId="9" hidden="1"/>
    <cellStyle name="Followed Hyperlink" xfId="3804" builtinId="9" hidden="1"/>
    <cellStyle name="Followed Hyperlink" xfId="3806" builtinId="9" hidden="1"/>
    <cellStyle name="Followed Hyperlink" xfId="3808" builtinId="9" hidden="1"/>
    <cellStyle name="Followed Hyperlink" xfId="3810" builtinId="9" hidden="1"/>
    <cellStyle name="Followed Hyperlink" xfId="3812" builtinId="9" hidden="1"/>
    <cellStyle name="Followed Hyperlink" xfId="3814" builtinId="9" hidden="1"/>
    <cellStyle name="Followed Hyperlink" xfId="3816" builtinId="9" hidden="1"/>
    <cellStyle name="Followed Hyperlink" xfId="3818" builtinId="9" hidden="1"/>
    <cellStyle name="Followed Hyperlink" xfId="3820" builtinId="9" hidden="1"/>
    <cellStyle name="Followed Hyperlink" xfId="3822" builtinId="9" hidden="1"/>
    <cellStyle name="Followed Hyperlink" xfId="3824" builtinId="9" hidden="1"/>
    <cellStyle name="Followed Hyperlink" xfId="3826" builtinId="9" hidden="1"/>
    <cellStyle name="Followed Hyperlink" xfId="3828" builtinId="9" hidden="1"/>
    <cellStyle name="Followed Hyperlink" xfId="3830" builtinId="9" hidden="1"/>
    <cellStyle name="Followed Hyperlink" xfId="3832" builtinId="9" hidden="1"/>
    <cellStyle name="Followed Hyperlink" xfId="3834" builtinId="9" hidden="1"/>
    <cellStyle name="Followed Hyperlink" xfId="3836" builtinId="9" hidden="1"/>
    <cellStyle name="Followed Hyperlink" xfId="3838" builtinId="9" hidden="1"/>
    <cellStyle name="Followed Hyperlink" xfId="3840" builtinId="9" hidden="1"/>
    <cellStyle name="Followed Hyperlink" xfId="3842" builtinId="9" hidden="1"/>
    <cellStyle name="Followed Hyperlink" xfId="3844" builtinId="9" hidden="1"/>
    <cellStyle name="Followed Hyperlink" xfId="3846" builtinId="9" hidden="1"/>
    <cellStyle name="Followed Hyperlink" xfId="3848" builtinId="9" hidden="1"/>
    <cellStyle name="Followed Hyperlink" xfId="3850" builtinId="9" hidden="1"/>
    <cellStyle name="Followed Hyperlink" xfId="3852" builtinId="9" hidden="1"/>
    <cellStyle name="Followed Hyperlink" xfId="3854" builtinId="9" hidden="1"/>
    <cellStyle name="Followed Hyperlink" xfId="3856" builtinId="9" hidden="1"/>
    <cellStyle name="Followed Hyperlink" xfId="3858" builtinId="9" hidden="1"/>
    <cellStyle name="Followed Hyperlink" xfId="3860" builtinId="9" hidden="1"/>
    <cellStyle name="Followed Hyperlink" xfId="3862" builtinId="9" hidden="1"/>
    <cellStyle name="Followed Hyperlink" xfId="3864" builtinId="9" hidden="1"/>
    <cellStyle name="Followed Hyperlink" xfId="3866" builtinId="9" hidden="1"/>
    <cellStyle name="Followed Hyperlink" xfId="3868" builtinId="9" hidden="1"/>
    <cellStyle name="Followed Hyperlink" xfId="3870" builtinId="9" hidden="1"/>
    <cellStyle name="Followed Hyperlink" xfId="3872" builtinId="9" hidden="1"/>
    <cellStyle name="Followed Hyperlink" xfId="3874" builtinId="9" hidden="1"/>
    <cellStyle name="Followed Hyperlink" xfId="3876" builtinId="9" hidden="1"/>
    <cellStyle name="Followed Hyperlink" xfId="3878" builtinId="9" hidden="1"/>
    <cellStyle name="Followed Hyperlink" xfId="3880" builtinId="9" hidden="1"/>
    <cellStyle name="Followed Hyperlink" xfId="3882" builtinId="9" hidden="1"/>
    <cellStyle name="Followed Hyperlink" xfId="3884" builtinId="9" hidden="1"/>
    <cellStyle name="Followed Hyperlink" xfId="3886" builtinId="9" hidden="1"/>
    <cellStyle name="Followed Hyperlink" xfId="3888" builtinId="9" hidden="1"/>
    <cellStyle name="Followed Hyperlink" xfId="3890" builtinId="9" hidden="1"/>
    <cellStyle name="Followed Hyperlink" xfId="3892" builtinId="9" hidden="1"/>
    <cellStyle name="Followed Hyperlink" xfId="3894" builtinId="9" hidden="1"/>
    <cellStyle name="Followed Hyperlink" xfId="3896" builtinId="9" hidden="1"/>
    <cellStyle name="Followed Hyperlink" xfId="3898" builtinId="9" hidden="1"/>
    <cellStyle name="Followed Hyperlink" xfId="3900" builtinId="9" hidden="1"/>
    <cellStyle name="Followed Hyperlink" xfId="3902" builtinId="9" hidden="1"/>
    <cellStyle name="Followed Hyperlink" xfId="3904" builtinId="9" hidden="1"/>
    <cellStyle name="Followed Hyperlink" xfId="3906" builtinId="9" hidden="1"/>
    <cellStyle name="Followed Hyperlink" xfId="3908" builtinId="9" hidden="1"/>
    <cellStyle name="Followed Hyperlink" xfId="3910" builtinId="9" hidden="1"/>
    <cellStyle name="Followed Hyperlink" xfId="3912" builtinId="9" hidden="1"/>
    <cellStyle name="Followed Hyperlink" xfId="3914" builtinId="9" hidden="1"/>
    <cellStyle name="Followed Hyperlink" xfId="3916" builtinId="9" hidden="1"/>
    <cellStyle name="Followed Hyperlink" xfId="3918" builtinId="9" hidden="1"/>
    <cellStyle name="Followed Hyperlink" xfId="3920" builtinId="9" hidden="1"/>
    <cellStyle name="Followed Hyperlink" xfId="3922" builtinId="9" hidden="1"/>
    <cellStyle name="Followed Hyperlink" xfId="3924" builtinId="9" hidden="1"/>
    <cellStyle name="Followed Hyperlink" xfId="3926" builtinId="9" hidden="1"/>
    <cellStyle name="Followed Hyperlink" xfId="3928" builtinId="9" hidden="1"/>
    <cellStyle name="Followed Hyperlink" xfId="3930" builtinId="9" hidden="1"/>
    <cellStyle name="Followed Hyperlink" xfId="3932" builtinId="9" hidden="1"/>
    <cellStyle name="Followed Hyperlink" xfId="3934" builtinId="9" hidden="1"/>
    <cellStyle name="Followed Hyperlink" xfId="3936" builtinId="9" hidden="1"/>
    <cellStyle name="Followed Hyperlink" xfId="3938" builtinId="9" hidden="1"/>
    <cellStyle name="Followed Hyperlink" xfId="3940" builtinId="9" hidden="1"/>
    <cellStyle name="Followed Hyperlink" xfId="3942" builtinId="9" hidden="1"/>
    <cellStyle name="Followed Hyperlink" xfId="3944" builtinId="9" hidden="1"/>
    <cellStyle name="Followed Hyperlink" xfId="3946" builtinId="9" hidden="1"/>
    <cellStyle name="Followed Hyperlink" xfId="3948" builtinId="9" hidden="1"/>
    <cellStyle name="Followed Hyperlink" xfId="3950" builtinId="9" hidden="1"/>
    <cellStyle name="Followed Hyperlink" xfId="3952" builtinId="9" hidden="1"/>
    <cellStyle name="Followed Hyperlink" xfId="3954" builtinId="9" hidden="1"/>
    <cellStyle name="Followed Hyperlink" xfId="3956" builtinId="9" hidden="1"/>
    <cellStyle name="Followed Hyperlink" xfId="3958" builtinId="9" hidden="1"/>
    <cellStyle name="Followed Hyperlink" xfId="3960" builtinId="9" hidden="1"/>
    <cellStyle name="Followed Hyperlink" xfId="3962" builtinId="9" hidden="1"/>
    <cellStyle name="Followed Hyperlink" xfId="3964" builtinId="9" hidden="1"/>
    <cellStyle name="Followed Hyperlink" xfId="3966" builtinId="9" hidden="1"/>
    <cellStyle name="Followed Hyperlink" xfId="3968" builtinId="9" hidden="1"/>
    <cellStyle name="Followed Hyperlink" xfId="3970" builtinId="9" hidden="1"/>
    <cellStyle name="Followed Hyperlink" xfId="3972" builtinId="9" hidden="1"/>
    <cellStyle name="Followed Hyperlink" xfId="3974" builtinId="9" hidden="1"/>
    <cellStyle name="Followed Hyperlink" xfId="3976" builtinId="9" hidden="1"/>
    <cellStyle name="Followed Hyperlink" xfId="3978" builtinId="9" hidden="1"/>
    <cellStyle name="Followed Hyperlink" xfId="3980" builtinId="9" hidden="1"/>
    <cellStyle name="Followed Hyperlink" xfId="3982" builtinId="9" hidden="1"/>
    <cellStyle name="Followed Hyperlink" xfId="3984" builtinId="9" hidden="1"/>
    <cellStyle name="Followed Hyperlink" xfId="3986" builtinId="9" hidden="1"/>
    <cellStyle name="Followed Hyperlink" xfId="3988" builtinId="9" hidden="1"/>
    <cellStyle name="Followed Hyperlink" xfId="3990" builtinId="9" hidden="1"/>
    <cellStyle name="Followed Hyperlink" xfId="3992" builtinId="9" hidden="1"/>
    <cellStyle name="Followed Hyperlink" xfId="3994" builtinId="9" hidden="1"/>
    <cellStyle name="Followed Hyperlink" xfId="3996" builtinId="9" hidden="1"/>
    <cellStyle name="Followed Hyperlink" xfId="3998" builtinId="9" hidden="1"/>
    <cellStyle name="Followed Hyperlink" xfId="4000" builtinId="9" hidden="1"/>
    <cellStyle name="Followed Hyperlink" xfId="4002" builtinId="9" hidden="1"/>
    <cellStyle name="Followed Hyperlink" xfId="4004" builtinId="9" hidden="1"/>
    <cellStyle name="Followed Hyperlink" xfId="4006" builtinId="9" hidden="1"/>
    <cellStyle name="Followed Hyperlink" xfId="4008" builtinId="9" hidden="1"/>
    <cellStyle name="Followed Hyperlink" xfId="4010" builtinId="9" hidden="1"/>
    <cellStyle name="Followed Hyperlink" xfId="4012" builtinId="9" hidden="1"/>
    <cellStyle name="Followed Hyperlink" xfId="4014" builtinId="9" hidden="1"/>
    <cellStyle name="Followed Hyperlink" xfId="4016" builtinId="9" hidden="1"/>
    <cellStyle name="Followed Hyperlink" xfId="4018" builtinId="9" hidden="1"/>
    <cellStyle name="Followed Hyperlink" xfId="4020" builtinId="9" hidden="1"/>
    <cellStyle name="Followed Hyperlink" xfId="4022" builtinId="9" hidden="1"/>
    <cellStyle name="Followed Hyperlink" xfId="4024" builtinId="9" hidden="1"/>
    <cellStyle name="Followed Hyperlink" xfId="4026" builtinId="9" hidden="1"/>
    <cellStyle name="Followed Hyperlink" xfId="4028" builtinId="9" hidden="1"/>
    <cellStyle name="Followed Hyperlink" xfId="4030" builtinId="9" hidden="1"/>
    <cellStyle name="Followed Hyperlink" xfId="4032" builtinId="9" hidden="1"/>
    <cellStyle name="Followed Hyperlink" xfId="4034" builtinId="9" hidden="1"/>
    <cellStyle name="Followed Hyperlink" xfId="4036" builtinId="9" hidden="1"/>
    <cellStyle name="Followed Hyperlink" xfId="4038" builtinId="9" hidden="1"/>
    <cellStyle name="Followed Hyperlink" xfId="4040" builtinId="9" hidden="1"/>
    <cellStyle name="Followed Hyperlink" xfId="4042" builtinId="9" hidden="1"/>
    <cellStyle name="Followed Hyperlink" xfId="4044" builtinId="9" hidden="1"/>
    <cellStyle name="Followed Hyperlink" xfId="4046" builtinId="9" hidden="1"/>
    <cellStyle name="Followed Hyperlink" xfId="4048" builtinId="9" hidden="1"/>
    <cellStyle name="Followed Hyperlink" xfId="4050" builtinId="9" hidden="1"/>
    <cellStyle name="Followed Hyperlink" xfId="4052" builtinId="9" hidden="1"/>
    <cellStyle name="Followed Hyperlink" xfId="4054" builtinId="9" hidden="1"/>
    <cellStyle name="Followed Hyperlink" xfId="4056" builtinId="9" hidden="1"/>
    <cellStyle name="Followed Hyperlink" xfId="4058" builtinId="9" hidden="1"/>
    <cellStyle name="Followed Hyperlink" xfId="4060" builtinId="9" hidden="1"/>
    <cellStyle name="Followed Hyperlink" xfId="4062" builtinId="9" hidden="1"/>
    <cellStyle name="Followed Hyperlink" xfId="4064" builtinId="9" hidden="1"/>
    <cellStyle name="Followed Hyperlink" xfId="4066" builtinId="9" hidden="1"/>
    <cellStyle name="Followed Hyperlink" xfId="4068" builtinId="9" hidden="1"/>
    <cellStyle name="Followed Hyperlink" xfId="4070" builtinId="9" hidden="1"/>
    <cellStyle name="Followed Hyperlink" xfId="4072" builtinId="9" hidden="1"/>
    <cellStyle name="Followed Hyperlink" xfId="4074" builtinId="9" hidden="1"/>
    <cellStyle name="Followed Hyperlink" xfId="4076" builtinId="9" hidden="1"/>
    <cellStyle name="Followed Hyperlink" xfId="4078" builtinId="9" hidden="1"/>
    <cellStyle name="Followed Hyperlink" xfId="4080" builtinId="9" hidden="1"/>
    <cellStyle name="Followed Hyperlink" xfId="4082" builtinId="9" hidden="1"/>
    <cellStyle name="Followed Hyperlink" xfId="4084" builtinId="9" hidden="1"/>
    <cellStyle name="Followed Hyperlink" xfId="4086" builtinId="9" hidden="1"/>
    <cellStyle name="Followed Hyperlink" xfId="4088" builtinId="9" hidden="1"/>
    <cellStyle name="Followed Hyperlink" xfId="4090" builtinId="9" hidden="1"/>
    <cellStyle name="Followed Hyperlink" xfId="4092" builtinId="9" hidden="1"/>
    <cellStyle name="Followed Hyperlink" xfId="4094" builtinId="9" hidden="1"/>
    <cellStyle name="Followed Hyperlink" xfId="4096" builtinId="9" hidden="1"/>
    <cellStyle name="Followed Hyperlink" xfId="4098" builtinId="9" hidden="1"/>
    <cellStyle name="Followed Hyperlink" xfId="4100" builtinId="9" hidden="1"/>
    <cellStyle name="Followed Hyperlink" xfId="4102" builtinId="9" hidden="1"/>
    <cellStyle name="Followed Hyperlink" xfId="4104" builtinId="9" hidden="1"/>
    <cellStyle name="Followed Hyperlink" xfId="4106" builtinId="9" hidden="1"/>
    <cellStyle name="Followed Hyperlink" xfId="4108" builtinId="9" hidden="1"/>
    <cellStyle name="Followed Hyperlink" xfId="4110" builtinId="9" hidden="1"/>
    <cellStyle name="Followed Hyperlink" xfId="4112" builtinId="9" hidden="1"/>
    <cellStyle name="Followed Hyperlink" xfId="4114" builtinId="9" hidden="1"/>
    <cellStyle name="Followed Hyperlink" xfId="4116" builtinId="9" hidden="1"/>
    <cellStyle name="Followed Hyperlink" xfId="4118" builtinId="9" hidden="1"/>
    <cellStyle name="Followed Hyperlink" xfId="4120" builtinId="9" hidden="1"/>
    <cellStyle name="Followed Hyperlink" xfId="4122" builtinId="9" hidden="1"/>
    <cellStyle name="Followed Hyperlink" xfId="4124" builtinId="9" hidden="1"/>
    <cellStyle name="Followed Hyperlink" xfId="4126" builtinId="9" hidden="1"/>
    <cellStyle name="Followed Hyperlink" xfId="4128" builtinId="9" hidden="1"/>
    <cellStyle name="Followed Hyperlink" xfId="4130" builtinId="9" hidden="1"/>
    <cellStyle name="Followed Hyperlink" xfId="4132" builtinId="9" hidden="1"/>
    <cellStyle name="Followed Hyperlink" xfId="4134" builtinId="9" hidden="1"/>
    <cellStyle name="Followed Hyperlink" xfId="4136" builtinId="9" hidden="1"/>
    <cellStyle name="Followed Hyperlink" xfId="4138" builtinId="9" hidden="1"/>
    <cellStyle name="Followed Hyperlink" xfId="4140" builtinId="9" hidden="1"/>
    <cellStyle name="Followed Hyperlink" xfId="4142" builtinId="9" hidden="1"/>
    <cellStyle name="Followed Hyperlink" xfId="4144" builtinId="9" hidden="1"/>
    <cellStyle name="Followed Hyperlink" xfId="4146" builtinId="9" hidden="1"/>
    <cellStyle name="Followed Hyperlink" xfId="4148" builtinId="9" hidden="1"/>
    <cellStyle name="Followed Hyperlink" xfId="4150" builtinId="9" hidden="1"/>
    <cellStyle name="Followed Hyperlink" xfId="4152" builtinId="9" hidden="1"/>
    <cellStyle name="Followed Hyperlink" xfId="4154" builtinId="9" hidden="1"/>
    <cellStyle name="Followed Hyperlink" xfId="4156" builtinId="9" hidden="1"/>
    <cellStyle name="Followed Hyperlink" xfId="4158" builtinId="9" hidden="1"/>
    <cellStyle name="Followed Hyperlink" xfId="4160" builtinId="9" hidden="1"/>
    <cellStyle name="Followed Hyperlink" xfId="4162" builtinId="9" hidden="1"/>
    <cellStyle name="Followed Hyperlink" xfId="4164" builtinId="9" hidden="1"/>
    <cellStyle name="Followed Hyperlink" xfId="4166" builtinId="9" hidden="1"/>
    <cellStyle name="Followed Hyperlink" xfId="4168" builtinId="9" hidden="1"/>
    <cellStyle name="Followed Hyperlink" xfId="4170" builtinId="9" hidden="1"/>
    <cellStyle name="Followed Hyperlink" xfId="4172" builtinId="9" hidden="1"/>
    <cellStyle name="Followed Hyperlink" xfId="4174" builtinId="9" hidden="1"/>
    <cellStyle name="Followed Hyperlink" xfId="4176" builtinId="9" hidden="1"/>
    <cellStyle name="Followed Hyperlink" xfId="4178" builtinId="9" hidden="1"/>
    <cellStyle name="Followed Hyperlink" xfId="4180" builtinId="9" hidden="1"/>
    <cellStyle name="Followed Hyperlink" xfId="4182" builtinId="9" hidden="1"/>
    <cellStyle name="Followed Hyperlink" xfId="4184" builtinId="9" hidden="1"/>
    <cellStyle name="Followed Hyperlink" xfId="4186" builtinId="9" hidden="1"/>
    <cellStyle name="Followed Hyperlink" xfId="4188" builtinId="9" hidden="1"/>
    <cellStyle name="Followed Hyperlink" xfId="4190" builtinId="9" hidden="1"/>
    <cellStyle name="Followed Hyperlink" xfId="4192" builtinId="9" hidden="1"/>
    <cellStyle name="Followed Hyperlink" xfId="4194" builtinId="9" hidden="1"/>
    <cellStyle name="Followed Hyperlink" xfId="4196" builtinId="9" hidden="1"/>
    <cellStyle name="Followed Hyperlink" xfId="4198" builtinId="9" hidden="1"/>
    <cellStyle name="Followed Hyperlink" xfId="4200" builtinId="9" hidden="1"/>
    <cellStyle name="Followed Hyperlink" xfId="4202" builtinId="9" hidden="1"/>
    <cellStyle name="Followed Hyperlink" xfId="4204" builtinId="9" hidden="1"/>
    <cellStyle name="Followed Hyperlink" xfId="4206" builtinId="9" hidden="1"/>
    <cellStyle name="Followed Hyperlink" xfId="4208" builtinId="9" hidden="1"/>
    <cellStyle name="Followed Hyperlink" xfId="4210" builtinId="9" hidden="1"/>
    <cellStyle name="Followed Hyperlink" xfId="4212" builtinId="9" hidden="1"/>
    <cellStyle name="Followed Hyperlink" xfId="4214" builtinId="9" hidden="1"/>
    <cellStyle name="Followed Hyperlink" xfId="4216" builtinId="9" hidden="1"/>
    <cellStyle name="Followed Hyperlink" xfId="4218" builtinId="9" hidden="1"/>
    <cellStyle name="Followed Hyperlink" xfId="4220" builtinId="9" hidden="1"/>
    <cellStyle name="Followed Hyperlink" xfId="4222" builtinId="9" hidden="1"/>
    <cellStyle name="Followed Hyperlink" xfId="4224" builtinId="9" hidden="1"/>
    <cellStyle name="Followed Hyperlink" xfId="4226" builtinId="9" hidden="1"/>
    <cellStyle name="Followed Hyperlink" xfId="4228" builtinId="9" hidden="1"/>
    <cellStyle name="Followed Hyperlink" xfId="4230" builtinId="9" hidden="1"/>
    <cellStyle name="Followed Hyperlink" xfId="4232" builtinId="9" hidden="1"/>
    <cellStyle name="Followed Hyperlink" xfId="4234" builtinId="9" hidden="1"/>
    <cellStyle name="Followed Hyperlink" xfId="4236" builtinId="9" hidden="1"/>
    <cellStyle name="Followed Hyperlink" xfId="4238" builtinId="9" hidden="1"/>
    <cellStyle name="Followed Hyperlink" xfId="4240" builtinId="9" hidden="1"/>
    <cellStyle name="Followed Hyperlink" xfId="4242" builtinId="9" hidden="1"/>
    <cellStyle name="Followed Hyperlink" xfId="4244" builtinId="9" hidden="1"/>
    <cellStyle name="Followed Hyperlink" xfId="4246" builtinId="9" hidden="1"/>
    <cellStyle name="Followed Hyperlink" xfId="4248" builtinId="9" hidden="1"/>
    <cellStyle name="Followed Hyperlink" xfId="4250" builtinId="9" hidden="1"/>
    <cellStyle name="Followed Hyperlink" xfId="4252" builtinId="9" hidden="1"/>
    <cellStyle name="Followed Hyperlink" xfId="4254" builtinId="9" hidden="1"/>
    <cellStyle name="Followed Hyperlink" xfId="4256" builtinId="9" hidden="1"/>
    <cellStyle name="Followed Hyperlink" xfId="4258" builtinId="9" hidden="1"/>
    <cellStyle name="Followed Hyperlink" xfId="4260" builtinId="9" hidden="1"/>
    <cellStyle name="Followed Hyperlink" xfId="4262" builtinId="9" hidden="1"/>
    <cellStyle name="Followed Hyperlink" xfId="4264" builtinId="9" hidden="1"/>
    <cellStyle name="Followed Hyperlink" xfId="4266" builtinId="9" hidden="1"/>
    <cellStyle name="Followed Hyperlink" xfId="4268" builtinId="9" hidden="1"/>
    <cellStyle name="Followed Hyperlink" xfId="4270" builtinId="9" hidden="1"/>
    <cellStyle name="Followed Hyperlink" xfId="4272" builtinId="9" hidden="1"/>
    <cellStyle name="Followed Hyperlink" xfId="4274" builtinId="9" hidden="1"/>
    <cellStyle name="Followed Hyperlink" xfId="4276" builtinId="9" hidden="1"/>
    <cellStyle name="Followed Hyperlink" xfId="4278" builtinId="9" hidden="1"/>
    <cellStyle name="Followed Hyperlink" xfId="4280" builtinId="9" hidden="1"/>
    <cellStyle name="Followed Hyperlink" xfId="4282" builtinId="9" hidden="1"/>
    <cellStyle name="Followed Hyperlink" xfId="4284" builtinId="9" hidden="1"/>
    <cellStyle name="Followed Hyperlink" xfId="4286" builtinId="9" hidden="1"/>
    <cellStyle name="Followed Hyperlink" xfId="4288" builtinId="9" hidden="1"/>
    <cellStyle name="Followed Hyperlink" xfId="4290" builtinId="9" hidden="1"/>
    <cellStyle name="Followed Hyperlink" xfId="4292" builtinId="9" hidden="1"/>
    <cellStyle name="Followed Hyperlink" xfId="4294" builtinId="9" hidden="1"/>
    <cellStyle name="Followed Hyperlink" xfId="4296" builtinId="9" hidden="1"/>
    <cellStyle name="Followed Hyperlink" xfId="4298" builtinId="9" hidden="1"/>
    <cellStyle name="Followed Hyperlink" xfId="4300" builtinId="9" hidden="1"/>
    <cellStyle name="Followed Hyperlink" xfId="4302" builtinId="9" hidden="1"/>
    <cellStyle name="Followed Hyperlink" xfId="4304" builtinId="9" hidden="1"/>
    <cellStyle name="Followed Hyperlink" xfId="4306" builtinId="9" hidden="1"/>
    <cellStyle name="Followed Hyperlink" xfId="4308" builtinId="9" hidden="1"/>
    <cellStyle name="Followed Hyperlink" xfId="4310" builtinId="9" hidden="1"/>
    <cellStyle name="Followed Hyperlink" xfId="4312" builtinId="9" hidden="1"/>
    <cellStyle name="Followed Hyperlink" xfId="4314" builtinId="9" hidden="1"/>
    <cellStyle name="Followed Hyperlink" xfId="4316" builtinId="9" hidden="1"/>
    <cellStyle name="Followed Hyperlink" xfId="4318" builtinId="9" hidden="1"/>
    <cellStyle name="Followed Hyperlink" xfId="4320" builtinId="9" hidden="1"/>
    <cellStyle name="Followed Hyperlink" xfId="4322" builtinId="9" hidden="1"/>
    <cellStyle name="Followed Hyperlink" xfId="4324" builtinId="9" hidden="1"/>
    <cellStyle name="Followed Hyperlink" xfId="4326" builtinId="9" hidden="1"/>
    <cellStyle name="Followed Hyperlink" xfId="4328" builtinId="9" hidden="1"/>
    <cellStyle name="Followed Hyperlink" xfId="4330" builtinId="9" hidden="1"/>
    <cellStyle name="Followed Hyperlink" xfId="4332" builtinId="9" hidden="1"/>
    <cellStyle name="Followed Hyperlink" xfId="4334" builtinId="9" hidden="1"/>
    <cellStyle name="Followed Hyperlink" xfId="4336" builtinId="9" hidden="1"/>
    <cellStyle name="Followed Hyperlink" xfId="4338" builtinId="9" hidden="1"/>
    <cellStyle name="Followed Hyperlink" xfId="4340" builtinId="9" hidden="1"/>
    <cellStyle name="Followed Hyperlink" xfId="4342" builtinId="9" hidden="1"/>
    <cellStyle name="Followed Hyperlink" xfId="4344" builtinId="9" hidden="1"/>
    <cellStyle name="Followed Hyperlink" xfId="4346" builtinId="9" hidden="1"/>
    <cellStyle name="Followed Hyperlink" xfId="4348" builtinId="9" hidden="1"/>
    <cellStyle name="Followed Hyperlink" xfId="4350" builtinId="9" hidden="1"/>
    <cellStyle name="Followed Hyperlink" xfId="4352" builtinId="9" hidden="1"/>
    <cellStyle name="Followed Hyperlink" xfId="4354" builtinId="9" hidden="1"/>
    <cellStyle name="Followed Hyperlink" xfId="4356" builtinId="9" hidden="1"/>
    <cellStyle name="Followed Hyperlink" xfId="4358" builtinId="9" hidden="1"/>
    <cellStyle name="Followed Hyperlink" xfId="4360" builtinId="9" hidden="1"/>
    <cellStyle name="Followed Hyperlink" xfId="4362" builtinId="9" hidden="1"/>
    <cellStyle name="Followed Hyperlink" xfId="4364" builtinId="9" hidden="1"/>
    <cellStyle name="Followed Hyperlink" xfId="4366" builtinId="9" hidden="1"/>
    <cellStyle name="Followed Hyperlink" xfId="4368" builtinId="9" hidden="1"/>
    <cellStyle name="Followed Hyperlink" xfId="4370" builtinId="9" hidden="1"/>
    <cellStyle name="Followed Hyperlink" xfId="4372" builtinId="9" hidden="1"/>
    <cellStyle name="Followed Hyperlink" xfId="437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Hyperlink" xfId="1241" builtinId="8" hidden="1"/>
    <cellStyle name="Hyperlink" xfId="1243" builtinId="8" hidden="1"/>
    <cellStyle name="Hyperlink" xfId="1245" builtinId="8" hidden="1"/>
    <cellStyle name="Hyperlink" xfId="1247" builtinId="8" hidden="1"/>
    <cellStyle name="Hyperlink" xfId="1249" builtinId="8" hidden="1"/>
    <cellStyle name="Hyperlink" xfId="1251" builtinId="8" hidden="1"/>
    <cellStyle name="Hyperlink" xfId="1253" builtinId="8" hidden="1"/>
    <cellStyle name="Hyperlink" xfId="1255" builtinId="8" hidden="1"/>
    <cellStyle name="Hyperlink" xfId="1257" builtinId="8" hidden="1"/>
    <cellStyle name="Hyperlink" xfId="1259" builtinId="8" hidden="1"/>
    <cellStyle name="Hyperlink" xfId="1261" builtinId="8" hidden="1"/>
    <cellStyle name="Hyperlink" xfId="1263" builtinId="8" hidden="1"/>
    <cellStyle name="Hyperlink" xfId="1265" builtinId="8" hidden="1"/>
    <cellStyle name="Hyperlink" xfId="1267" builtinId="8" hidden="1"/>
    <cellStyle name="Hyperlink" xfId="1269" builtinId="8" hidden="1"/>
    <cellStyle name="Hyperlink" xfId="1271" builtinId="8" hidden="1"/>
    <cellStyle name="Hyperlink" xfId="1273" builtinId="8" hidden="1"/>
    <cellStyle name="Hyperlink" xfId="1275" builtinId="8" hidden="1"/>
    <cellStyle name="Hyperlink" xfId="1277" builtinId="8" hidden="1"/>
    <cellStyle name="Hyperlink" xfId="1279" builtinId="8" hidden="1"/>
    <cellStyle name="Hyperlink" xfId="1281" builtinId="8" hidden="1"/>
    <cellStyle name="Hyperlink" xfId="1283" builtinId="8" hidden="1"/>
    <cellStyle name="Hyperlink" xfId="1285" builtinId="8" hidden="1"/>
    <cellStyle name="Hyperlink" xfId="1287" builtinId="8" hidden="1"/>
    <cellStyle name="Hyperlink" xfId="1289" builtinId="8" hidden="1"/>
    <cellStyle name="Hyperlink" xfId="1291" builtinId="8" hidden="1"/>
    <cellStyle name="Hyperlink" xfId="1293" builtinId="8" hidden="1"/>
    <cellStyle name="Hyperlink" xfId="1295" builtinId="8" hidden="1"/>
    <cellStyle name="Hyperlink" xfId="1297" builtinId="8" hidden="1"/>
    <cellStyle name="Hyperlink" xfId="1299" builtinId="8" hidden="1"/>
    <cellStyle name="Hyperlink" xfId="1301" builtinId="8" hidden="1"/>
    <cellStyle name="Hyperlink" xfId="1303" builtinId="8" hidden="1"/>
    <cellStyle name="Hyperlink" xfId="1305" builtinId="8" hidden="1"/>
    <cellStyle name="Hyperlink" xfId="1307" builtinId="8" hidden="1"/>
    <cellStyle name="Hyperlink" xfId="1309" builtinId="8" hidden="1"/>
    <cellStyle name="Hyperlink" xfId="1311" builtinId="8" hidden="1"/>
    <cellStyle name="Hyperlink" xfId="1313" builtinId="8" hidden="1"/>
    <cellStyle name="Hyperlink" xfId="1315" builtinId="8" hidden="1"/>
    <cellStyle name="Hyperlink" xfId="1317" builtinId="8" hidden="1"/>
    <cellStyle name="Hyperlink" xfId="1319" builtinId="8" hidden="1"/>
    <cellStyle name="Hyperlink" xfId="1321" builtinId="8" hidden="1"/>
    <cellStyle name="Hyperlink" xfId="1323" builtinId="8" hidden="1"/>
    <cellStyle name="Hyperlink" xfId="1325" builtinId="8" hidden="1"/>
    <cellStyle name="Hyperlink" xfId="1327" builtinId="8" hidden="1"/>
    <cellStyle name="Hyperlink" xfId="1329" builtinId="8" hidden="1"/>
    <cellStyle name="Hyperlink" xfId="1331" builtinId="8" hidden="1"/>
    <cellStyle name="Hyperlink" xfId="1333" builtinId="8" hidden="1"/>
    <cellStyle name="Hyperlink" xfId="1335" builtinId="8" hidden="1"/>
    <cellStyle name="Hyperlink" xfId="1337" builtinId="8" hidden="1"/>
    <cellStyle name="Hyperlink" xfId="1339" builtinId="8" hidden="1"/>
    <cellStyle name="Hyperlink" xfId="1341" builtinId="8" hidden="1"/>
    <cellStyle name="Hyperlink" xfId="1343" builtinId="8" hidden="1"/>
    <cellStyle name="Hyperlink" xfId="1345" builtinId="8" hidden="1"/>
    <cellStyle name="Hyperlink" xfId="1347" builtinId="8" hidden="1"/>
    <cellStyle name="Hyperlink" xfId="1349" builtinId="8" hidden="1"/>
    <cellStyle name="Hyperlink" xfId="1351" builtinId="8" hidden="1"/>
    <cellStyle name="Hyperlink" xfId="1353" builtinId="8" hidden="1"/>
    <cellStyle name="Hyperlink" xfId="1355" builtinId="8" hidden="1"/>
    <cellStyle name="Hyperlink" xfId="1357" builtinId="8" hidden="1"/>
    <cellStyle name="Hyperlink" xfId="1359" builtinId="8" hidden="1"/>
    <cellStyle name="Hyperlink" xfId="1361" builtinId="8" hidden="1"/>
    <cellStyle name="Hyperlink" xfId="1363" builtinId="8" hidden="1"/>
    <cellStyle name="Hyperlink" xfId="1365" builtinId="8" hidden="1"/>
    <cellStyle name="Hyperlink" xfId="1367" builtinId="8" hidden="1"/>
    <cellStyle name="Hyperlink" xfId="1369" builtinId="8" hidden="1"/>
    <cellStyle name="Hyperlink" xfId="1371" builtinId="8" hidden="1"/>
    <cellStyle name="Hyperlink" xfId="1373" builtinId="8" hidden="1"/>
    <cellStyle name="Hyperlink" xfId="1375" builtinId="8" hidden="1"/>
    <cellStyle name="Hyperlink" xfId="1377" builtinId="8" hidden="1"/>
    <cellStyle name="Hyperlink" xfId="1379" builtinId="8" hidden="1"/>
    <cellStyle name="Hyperlink" xfId="1381" builtinId="8" hidden="1"/>
    <cellStyle name="Hyperlink" xfId="1383" builtinId="8" hidden="1"/>
    <cellStyle name="Hyperlink" xfId="1385" builtinId="8" hidden="1"/>
    <cellStyle name="Hyperlink" xfId="1387" builtinId="8" hidden="1"/>
    <cellStyle name="Hyperlink" xfId="1389" builtinId="8" hidden="1"/>
    <cellStyle name="Hyperlink" xfId="1391" builtinId="8" hidden="1"/>
    <cellStyle name="Hyperlink" xfId="1393" builtinId="8" hidden="1"/>
    <cellStyle name="Hyperlink" xfId="1395" builtinId="8" hidden="1"/>
    <cellStyle name="Hyperlink" xfId="1397" builtinId="8" hidden="1"/>
    <cellStyle name="Hyperlink" xfId="1399" builtinId="8" hidden="1"/>
    <cellStyle name="Hyperlink" xfId="1401" builtinId="8" hidden="1"/>
    <cellStyle name="Hyperlink" xfId="1403" builtinId="8" hidden="1"/>
    <cellStyle name="Hyperlink" xfId="1405" builtinId="8" hidden="1"/>
    <cellStyle name="Hyperlink" xfId="1407" builtinId="8" hidden="1"/>
    <cellStyle name="Hyperlink" xfId="1409" builtinId="8" hidden="1"/>
    <cellStyle name="Hyperlink" xfId="1411" builtinId="8" hidden="1"/>
    <cellStyle name="Hyperlink" xfId="1413" builtinId="8" hidden="1"/>
    <cellStyle name="Hyperlink" xfId="1415" builtinId="8" hidden="1"/>
    <cellStyle name="Hyperlink" xfId="1417" builtinId="8" hidden="1"/>
    <cellStyle name="Hyperlink" xfId="1419" builtinId="8" hidden="1"/>
    <cellStyle name="Hyperlink" xfId="1421" builtinId="8" hidden="1"/>
    <cellStyle name="Hyperlink" xfId="1423" builtinId="8" hidden="1"/>
    <cellStyle name="Hyperlink" xfId="1425" builtinId="8" hidden="1"/>
    <cellStyle name="Hyperlink" xfId="1427" builtinId="8" hidden="1"/>
    <cellStyle name="Hyperlink" xfId="1429" builtinId="8" hidden="1"/>
    <cellStyle name="Hyperlink" xfId="1431" builtinId="8" hidden="1"/>
    <cellStyle name="Hyperlink" xfId="1433" builtinId="8" hidden="1"/>
    <cellStyle name="Hyperlink" xfId="1435" builtinId="8" hidden="1"/>
    <cellStyle name="Hyperlink" xfId="1437" builtinId="8" hidden="1"/>
    <cellStyle name="Hyperlink" xfId="1439" builtinId="8" hidden="1"/>
    <cellStyle name="Hyperlink" xfId="1441" builtinId="8" hidden="1"/>
    <cellStyle name="Hyperlink" xfId="1443" builtinId="8" hidden="1"/>
    <cellStyle name="Hyperlink" xfId="1445" builtinId="8" hidden="1"/>
    <cellStyle name="Hyperlink" xfId="1447" builtinId="8" hidden="1"/>
    <cellStyle name="Hyperlink" xfId="1449" builtinId="8" hidden="1"/>
    <cellStyle name="Hyperlink" xfId="1451" builtinId="8" hidden="1"/>
    <cellStyle name="Hyperlink" xfId="1453" builtinId="8" hidden="1"/>
    <cellStyle name="Hyperlink" xfId="1455" builtinId="8" hidden="1"/>
    <cellStyle name="Hyperlink" xfId="1457" builtinId="8" hidden="1"/>
    <cellStyle name="Hyperlink" xfId="1459" builtinId="8" hidden="1"/>
    <cellStyle name="Hyperlink" xfId="1461" builtinId="8" hidden="1"/>
    <cellStyle name="Hyperlink" xfId="1463" builtinId="8" hidden="1"/>
    <cellStyle name="Hyperlink" xfId="1465" builtinId="8" hidden="1"/>
    <cellStyle name="Hyperlink" xfId="1467" builtinId="8" hidden="1"/>
    <cellStyle name="Hyperlink" xfId="1469" builtinId="8" hidden="1"/>
    <cellStyle name="Hyperlink" xfId="1471" builtinId="8" hidden="1"/>
    <cellStyle name="Hyperlink" xfId="1473" builtinId="8" hidden="1"/>
    <cellStyle name="Hyperlink" xfId="1475" builtinId="8" hidden="1"/>
    <cellStyle name="Hyperlink" xfId="1477" builtinId="8" hidden="1"/>
    <cellStyle name="Hyperlink" xfId="1479" builtinId="8" hidden="1"/>
    <cellStyle name="Hyperlink" xfId="1481" builtinId="8" hidden="1"/>
    <cellStyle name="Hyperlink" xfId="1483" builtinId="8" hidden="1"/>
    <cellStyle name="Hyperlink" xfId="1485" builtinId="8" hidden="1"/>
    <cellStyle name="Hyperlink" xfId="1487" builtinId="8" hidden="1"/>
    <cellStyle name="Hyperlink" xfId="1489" builtinId="8" hidden="1"/>
    <cellStyle name="Hyperlink" xfId="1491" builtinId="8" hidden="1"/>
    <cellStyle name="Hyperlink" xfId="1493" builtinId="8" hidden="1"/>
    <cellStyle name="Hyperlink" xfId="1495" builtinId="8" hidden="1"/>
    <cellStyle name="Hyperlink" xfId="1497" builtinId="8" hidden="1"/>
    <cellStyle name="Hyperlink" xfId="1499" builtinId="8" hidden="1"/>
    <cellStyle name="Hyperlink" xfId="1501" builtinId="8" hidden="1"/>
    <cellStyle name="Hyperlink" xfId="1503" builtinId="8" hidden="1"/>
    <cellStyle name="Hyperlink" xfId="1505" builtinId="8" hidden="1"/>
    <cellStyle name="Hyperlink" xfId="1507" builtinId="8" hidden="1"/>
    <cellStyle name="Hyperlink" xfId="1509" builtinId="8" hidden="1"/>
    <cellStyle name="Hyperlink" xfId="1511" builtinId="8" hidden="1"/>
    <cellStyle name="Hyperlink" xfId="1513" builtinId="8" hidden="1"/>
    <cellStyle name="Hyperlink" xfId="1515" builtinId="8" hidden="1"/>
    <cellStyle name="Hyperlink" xfId="1517" builtinId="8" hidden="1"/>
    <cellStyle name="Hyperlink" xfId="1519" builtinId="8" hidden="1"/>
    <cellStyle name="Hyperlink" xfId="1521" builtinId="8" hidden="1"/>
    <cellStyle name="Hyperlink" xfId="1523" builtinId="8" hidden="1"/>
    <cellStyle name="Hyperlink" xfId="1525" builtinId="8" hidden="1"/>
    <cellStyle name="Hyperlink" xfId="1527" builtinId="8" hidden="1"/>
    <cellStyle name="Hyperlink" xfId="1529" builtinId="8" hidden="1"/>
    <cellStyle name="Hyperlink" xfId="1531" builtinId="8" hidden="1"/>
    <cellStyle name="Hyperlink" xfId="1533" builtinId="8" hidden="1"/>
    <cellStyle name="Hyperlink" xfId="1535" builtinId="8" hidden="1"/>
    <cellStyle name="Hyperlink" xfId="1537" builtinId="8" hidden="1"/>
    <cellStyle name="Hyperlink" xfId="1539" builtinId="8" hidden="1"/>
    <cellStyle name="Hyperlink" xfId="1541" builtinId="8" hidden="1"/>
    <cellStyle name="Hyperlink" xfId="1543" builtinId="8" hidden="1"/>
    <cellStyle name="Hyperlink" xfId="1545" builtinId="8" hidden="1"/>
    <cellStyle name="Hyperlink" xfId="1547" builtinId="8" hidden="1"/>
    <cellStyle name="Hyperlink" xfId="1549" builtinId="8" hidden="1"/>
    <cellStyle name="Hyperlink" xfId="1551" builtinId="8" hidden="1"/>
    <cellStyle name="Hyperlink" xfId="1553" builtinId="8" hidden="1"/>
    <cellStyle name="Hyperlink" xfId="1555" builtinId="8" hidden="1"/>
    <cellStyle name="Hyperlink" xfId="1557" builtinId="8" hidden="1"/>
    <cellStyle name="Hyperlink" xfId="1559" builtinId="8" hidden="1"/>
    <cellStyle name="Hyperlink" xfId="1561" builtinId="8" hidden="1"/>
    <cellStyle name="Hyperlink" xfId="1563" builtinId="8" hidden="1"/>
    <cellStyle name="Hyperlink" xfId="1565" builtinId="8" hidden="1"/>
    <cellStyle name="Hyperlink" xfId="1567" builtinId="8" hidden="1"/>
    <cellStyle name="Hyperlink" xfId="1569" builtinId="8" hidden="1"/>
    <cellStyle name="Hyperlink" xfId="1571" builtinId="8" hidden="1"/>
    <cellStyle name="Hyperlink" xfId="1573" builtinId="8" hidden="1"/>
    <cellStyle name="Hyperlink" xfId="1575" builtinId="8" hidden="1"/>
    <cellStyle name="Hyperlink" xfId="1577" builtinId="8" hidden="1"/>
    <cellStyle name="Hyperlink" xfId="1579" builtinId="8" hidden="1"/>
    <cellStyle name="Hyperlink" xfId="1581" builtinId="8" hidden="1"/>
    <cellStyle name="Hyperlink" xfId="1583" builtinId="8" hidden="1"/>
    <cellStyle name="Hyperlink" xfId="1585" builtinId="8" hidden="1"/>
    <cellStyle name="Hyperlink" xfId="1587" builtinId="8" hidden="1"/>
    <cellStyle name="Hyperlink" xfId="1589" builtinId="8" hidden="1"/>
    <cellStyle name="Hyperlink" xfId="1591" builtinId="8" hidden="1"/>
    <cellStyle name="Hyperlink" xfId="1593" builtinId="8" hidden="1"/>
    <cellStyle name="Hyperlink" xfId="1595" builtinId="8" hidden="1"/>
    <cellStyle name="Hyperlink" xfId="1597" builtinId="8" hidden="1"/>
    <cellStyle name="Hyperlink" xfId="1599" builtinId="8" hidden="1"/>
    <cellStyle name="Hyperlink" xfId="1601" builtinId="8" hidden="1"/>
    <cellStyle name="Hyperlink" xfId="1603" builtinId="8" hidden="1"/>
    <cellStyle name="Hyperlink" xfId="1605" builtinId="8" hidden="1"/>
    <cellStyle name="Hyperlink" xfId="1607" builtinId="8" hidden="1"/>
    <cellStyle name="Hyperlink" xfId="1609" builtinId="8" hidden="1"/>
    <cellStyle name="Hyperlink" xfId="1611" builtinId="8" hidden="1"/>
    <cellStyle name="Hyperlink" xfId="1613" builtinId="8" hidden="1"/>
    <cellStyle name="Hyperlink" xfId="1615" builtinId="8" hidden="1"/>
    <cellStyle name="Hyperlink" xfId="1617" builtinId="8" hidden="1"/>
    <cellStyle name="Hyperlink" xfId="1619" builtinId="8" hidden="1"/>
    <cellStyle name="Hyperlink" xfId="1621" builtinId="8" hidden="1"/>
    <cellStyle name="Hyperlink" xfId="1623" builtinId="8" hidden="1"/>
    <cellStyle name="Hyperlink" xfId="1625" builtinId="8" hidden="1"/>
    <cellStyle name="Hyperlink" xfId="1627" builtinId="8" hidden="1"/>
    <cellStyle name="Hyperlink" xfId="1629" builtinId="8" hidden="1"/>
    <cellStyle name="Hyperlink" xfId="1631" builtinId="8" hidden="1"/>
    <cellStyle name="Hyperlink" xfId="1633" builtinId="8" hidden="1"/>
    <cellStyle name="Hyperlink" xfId="1635" builtinId="8" hidden="1"/>
    <cellStyle name="Hyperlink" xfId="1637" builtinId="8" hidden="1"/>
    <cellStyle name="Hyperlink" xfId="1639" builtinId="8" hidden="1"/>
    <cellStyle name="Hyperlink" xfId="1641" builtinId="8" hidden="1"/>
    <cellStyle name="Hyperlink" xfId="1643" builtinId="8" hidden="1"/>
    <cellStyle name="Hyperlink" xfId="1645" builtinId="8" hidden="1"/>
    <cellStyle name="Hyperlink" xfId="1647" builtinId="8" hidden="1"/>
    <cellStyle name="Hyperlink" xfId="1649" builtinId="8" hidden="1"/>
    <cellStyle name="Hyperlink" xfId="1651" builtinId="8" hidden="1"/>
    <cellStyle name="Hyperlink" xfId="1653" builtinId="8" hidden="1"/>
    <cellStyle name="Hyperlink" xfId="1655" builtinId="8" hidden="1"/>
    <cellStyle name="Hyperlink" xfId="1657" builtinId="8" hidden="1"/>
    <cellStyle name="Hyperlink" xfId="1659" builtinId="8" hidden="1"/>
    <cellStyle name="Hyperlink" xfId="1661" builtinId="8" hidden="1"/>
    <cellStyle name="Hyperlink" xfId="1663" builtinId="8" hidden="1"/>
    <cellStyle name="Hyperlink" xfId="1665" builtinId="8" hidden="1"/>
    <cellStyle name="Hyperlink" xfId="1667" builtinId="8" hidden="1"/>
    <cellStyle name="Hyperlink" xfId="1669" builtinId="8" hidden="1"/>
    <cellStyle name="Hyperlink" xfId="1671" builtinId="8" hidden="1"/>
    <cellStyle name="Hyperlink" xfId="1673" builtinId="8" hidden="1"/>
    <cellStyle name="Hyperlink" xfId="1675" builtinId="8" hidden="1"/>
    <cellStyle name="Hyperlink" xfId="1677" builtinId="8" hidden="1"/>
    <cellStyle name="Hyperlink" xfId="1679" builtinId="8" hidden="1"/>
    <cellStyle name="Hyperlink" xfId="1681" builtinId="8" hidden="1"/>
    <cellStyle name="Hyperlink" xfId="1683" builtinId="8" hidden="1"/>
    <cellStyle name="Hyperlink" xfId="1685" builtinId="8" hidden="1"/>
    <cellStyle name="Hyperlink" xfId="1687" builtinId="8" hidden="1"/>
    <cellStyle name="Hyperlink" xfId="1689" builtinId="8" hidden="1"/>
    <cellStyle name="Hyperlink" xfId="1691" builtinId="8" hidden="1"/>
    <cellStyle name="Hyperlink" xfId="1693" builtinId="8" hidden="1"/>
    <cellStyle name="Hyperlink" xfId="1695" builtinId="8" hidden="1"/>
    <cellStyle name="Hyperlink" xfId="1697" builtinId="8" hidden="1"/>
    <cellStyle name="Hyperlink" xfId="1699" builtinId="8" hidden="1"/>
    <cellStyle name="Hyperlink" xfId="1701" builtinId="8" hidden="1"/>
    <cellStyle name="Hyperlink" xfId="1703" builtinId="8" hidden="1"/>
    <cellStyle name="Hyperlink" xfId="1705" builtinId="8" hidden="1"/>
    <cellStyle name="Hyperlink" xfId="1707" builtinId="8" hidden="1"/>
    <cellStyle name="Hyperlink" xfId="1709" builtinId="8" hidden="1"/>
    <cellStyle name="Hyperlink" xfId="1711" builtinId="8" hidden="1"/>
    <cellStyle name="Hyperlink" xfId="1713" builtinId="8" hidden="1"/>
    <cellStyle name="Hyperlink" xfId="1715" builtinId="8" hidden="1"/>
    <cellStyle name="Hyperlink" xfId="1717" builtinId="8" hidden="1"/>
    <cellStyle name="Hyperlink" xfId="1719" builtinId="8" hidden="1"/>
    <cellStyle name="Hyperlink" xfId="1721" builtinId="8" hidden="1"/>
    <cellStyle name="Hyperlink" xfId="1723" builtinId="8" hidden="1"/>
    <cellStyle name="Hyperlink" xfId="1725" builtinId="8" hidden="1"/>
    <cellStyle name="Hyperlink" xfId="1727" builtinId="8" hidden="1"/>
    <cellStyle name="Hyperlink" xfId="1729" builtinId="8" hidden="1"/>
    <cellStyle name="Hyperlink" xfId="1731" builtinId="8" hidden="1"/>
    <cellStyle name="Hyperlink" xfId="1733" builtinId="8" hidden="1"/>
    <cellStyle name="Hyperlink" xfId="1735" builtinId="8" hidden="1"/>
    <cellStyle name="Hyperlink" xfId="1737" builtinId="8" hidden="1"/>
    <cellStyle name="Hyperlink" xfId="1739" builtinId="8" hidden="1"/>
    <cellStyle name="Hyperlink" xfId="1741" builtinId="8" hidden="1"/>
    <cellStyle name="Hyperlink" xfId="1743" builtinId="8" hidden="1"/>
    <cellStyle name="Hyperlink" xfId="1745" builtinId="8" hidden="1"/>
    <cellStyle name="Hyperlink" xfId="1747" builtinId="8" hidden="1"/>
    <cellStyle name="Hyperlink" xfId="1749" builtinId="8" hidden="1"/>
    <cellStyle name="Hyperlink" xfId="1751" builtinId="8" hidden="1"/>
    <cellStyle name="Hyperlink" xfId="1753" builtinId="8" hidden="1"/>
    <cellStyle name="Hyperlink" xfId="1755" builtinId="8" hidden="1"/>
    <cellStyle name="Hyperlink" xfId="1757" builtinId="8" hidden="1"/>
    <cellStyle name="Hyperlink" xfId="1759" builtinId="8" hidden="1"/>
    <cellStyle name="Hyperlink" xfId="1761" builtinId="8" hidden="1"/>
    <cellStyle name="Hyperlink" xfId="1763" builtinId="8" hidden="1"/>
    <cellStyle name="Hyperlink" xfId="1765" builtinId="8" hidden="1"/>
    <cellStyle name="Hyperlink" xfId="1767" builtinId="8" hidden="1"/>
    <cellStyle name="Hyperlink" xfId="1769" builtinId="8" hidden="1"/>
    <cellStyle name="Hyperlink" xfId="1771" builtinId="8" hidden="1"/>
    <cellStyle name="Hyperlink" xfId="1773" builtinId="8" hidden="1"/>
    <cellStyle name="Hyperlink" xfId="1775" builtinId="8" hidden="1"/>
    <cellStyle name="Hyperlink" xfId="1777" builtinId="8" hidden="1"/>
    <cellStyle name="Hyperlink" xfId="1779" builtinId="8" hidden="1"/>
    <cellStyle name="Hyperlink" xfId="1781" builtinId="8" hidden="1"/>
    <cellStyle name="Hyperlink" xfId="1783" builtinId="8" hidden="1"/>
    <cellStyle name="Hyperlink" xfId="1785" builtinId="8" hidden="1"/>
    <cellStyle name="Hyperlink" xfId="1787" builtinId="8" hidden="1"/>
    <cellStyle name="Hyperlink" xfId="1789" builtinId="8" hidden="1"/>
    <cellStyle name="Hyperlink" xfId="1791" builtinId="8" hidden="1"/>
    <cellStyle name="Hyperlink" xfId="1793" builtinId="8" hidden="1"/>
    <cellStyle name="Hyperlink" xfId="1795" builtinId="8" hidden="1"/>
    <cellStyle name="Hyperlink" xfId="1797" builtinId="8" hidden="1"/>
    <cellStyle name="Hyperlink" xfId="1799" builtinId="8" hidden="1"/>
    <cellStyle name="Hyperlink" xfId="1801" builtinId="8" hidden="1"/>
    <cellStyle name="Hyperlink" xfId="1803" builtinId="8" hidden="1"/>
    <cellStyle name="Hyperlink" xfId="1805" builtinId="8" hidden="1"/>
    <cellStyle name="Hyperlink" xfId="1807" builtinId="8" hidden="1"/>
    <cellStyle name="Hyperlink" xfId="1809" builtinId="8" hidden="1"/>
    <cellStyle name="Hyperlink" xfId="1811" builtinId="8" hidden="1"/>
    <cellStyle name="Hyperlink" xfId="1813" builtinId="8" hidden="1"/>
    <cellStyle name="Hyperlink" xfId="1815" builtinId="8" hidden="1"/>
    <cellStyle name="Hyperlink" xfId="1817" builtinId="8" hidden="1"/>
    <cellStyle name="Hyperlink" xfId="1819" builtinId="8" hidden="1"/>
    <cellStyle name="Hyperlink" xfId="1821" builtinId="8" hidden="1"/>
    <cellStyle name="Hyperlink" xfId="1823" builtinId="8" hidden="1"/>
    <cellStyle name="Hyperlink" xfId="1825" builtinId="8" hidden="1"/>
    <cellStyle name="Hyperlink" xfId="1827" builtinId="8" hidden="1"/>
    <cellStyle name="Hyperlink" xfId="1829" builtinId="8" hidden="1"/>
    <cellStyle name="Hyperlink" xfId="1831" builtinId="8" hidden="1"/>
    <cellStyle name="Hyperlink" xfId="1833" builtinId="8" hidden="1"/>
    <cellStyle name="Hyperlink" xfId="1835" builtinId="8" hidden="1"/>
    <cellStyle name="Hyperlink" xfId="1837" builtinId="8" hidden="1"/>
    <cellStyle name="Hyperlink" xfId="1839" builtinId="8" hidden="1"/>
    <cellStyle name="Hyperlink" xfId="1841" builtinId="8" hidden="1"/>
    <cellStyle name="Hyperlink" xfId="1843" builtinId="8" hidden="1"/>
    <cellStyle name="Hyperlink" xfId="1845" builtinId="8" hidden="1"/>
    <cellStyle name="Hyperlink" xfId="1847" builtinId="8" hidden="1"/>
    <cellStyle name="Hyperlink" xfId="1849" builtinId="8" hidden="1"/>
    <cellStyle name="Hyperlink" xfId="1851" builtinId="8" hidden="1"/>
    <cellStyle name="Hyperlink" xfId="1853" builtinId="8" hidden="1"/>
    <cellStyle name="Hyperlink" xfId="1855" builtinId="8" hidden="1"/>
    <cellStyle name="Hyperlink" xfId="1857" builtinId="8" hidden="1"/>
    <cellStyle name="Hyperlink" xfId="1859" builtinId="8" hidden="1"/>
    <cellStyle name="Hyperlink" xfId="1861" builtinId="8" hidden="1"/>
    <cellStyle name="Hyperlink" xfId="1863" builtinId="8" hidden="1"/>
    <cellStyle name="Hyperlink" xfId="1865" builtinId="8" hidden="1"/>
    <cellStyle name="Hyperlink" xfId="1867" builtinId="8" hidden="1"/>
    <cellStyle name="Hyperlink" xfId="1869" builtinId="8" hidden="1"/>
    <cellStyle name="Hyperlink" xfId="1871" builtinId="8" hidden="1"/>
    <cellStyle name="Hyperlink" xfId="1873" builtinId="8" hidden="1"/>
    <cellStyle name="Hyperlink" xfId="1875" builtinId="8" hidden="1"/>
    <cellStyle name="Hyperlink" xfId="1877" builtinId="8" hidden="1"/>
    <cellStyle name="Hyperlink" xfId="1879" builtinId="8" hidden="1"/>
    <cellStyle name="Hyperlink" xfId="1881" builtinId="8" hidden="1"/>
    <cellStyle name="Hyperlink" xfId="1883" builtinId="8" hidden="1"/>
    <cellStyle name="Hyperlink" xfId="1885" builtinId="8" hidden="1"/>
    <cellStyle name="Hyperlink" xfId="1887" builtinId="8" hidden="1"/>
    <cellStyle name="Hyperlink" xfId="1889" builtinId="8" hidden="1"/>
    <cellStyle name="Hyperlink" xfId="1891" builtinId="8" hidden="1"/>
    <cellStyle name="Hyperlink" xfId="1893" builtinId="8" hidden="1"/>
    <cellStyle name="Hyperlink" xfId="1895" builtinId="8" hidden="1"/>
    <cellStyle name="Hyperlink" xfId="1897" builtinId="8" hidden="1"/>
    <cellStyle name="Hyperlink" xfId="1899" builtinId="8" hidden="1"/>
    <cellStyle name="Hyperlink" xfId="1901" builtinId="8" hidden="1"/>
    <cellStyle name="Hyperlink" xfId="1903" builtinId="8" hidden="1"/>
    <cellStyle name="Hyperlink" xfId="1905" builtinId="8" hidden="1"/>
    <cellStyle name="Hyperlink" xfId="1907" builtinId="8" hidden="1"/>
    <cellStyle name="Hyperlink" xfId="1909" builtinId="8" hidden="1"/>
    <cellStyle name="Hyperlink" xfId="1911" builtinId="8" hidden="1"/>
    <cellStyle name="Hyperlink" xfId="1913" builtinId="8" hidden="1"/>
    <cellStyle name="Hyperlink" xfId="1915" builtinId="8" hidden="1"/>
    <cellStyle name="Hyperlink" xfId="1917" builtinId="8" hidden="1"/>
    <cellStyle name="Hyperlink" xfId="1919" builtinId="8" hidden="1"/>
    <cellStyle name="Hyperlink" xfId="1921" builtinId="8" hidden="1"/>
    <cellStyle name="Hyperlink" xfId="1923" builtinId="8" hidden="1"/>
    <cellStyle name="Hyperlink" xfId="1925" builtinId="8" hidden="1"/>
    <cellStyle name="Hyperlink" xfId="1927" builtinId="8" hidden="1"/>
    <cellStyle name="Hyperlink" xfId="1929" builtinId="8" hidden="1"/>
    <cellStyle name="Hyperlink" xfId="1931" builtinId="8" hidden="1"/>
    <cellStyle name="Hyperlink" xfId="1933" builtinId="8" hidden="1"/>
    <cellStyle name="Hyperlink" xfId="1935" builtinId="8" hidden="1"/>
    <cellStyle name="Hyperlink" xfId="1937" builtinId="8" hidden="1"/>
    <cellStyle name="Hyperlink" xfId="1939" builtinId="8" hidden="1"/>
    <cellStyle name="Hyperlink" xfId="1941" builtinId="8" hidden="1"/>
    <cellStyle name="Hyperlink" xfId="1943" builtinId="8" hidden="1"/>
    <cellStyle name="Hyperlink" xfId="1945" builtinId="8" hidden="1"/>
    <cellStyle name="Hyperlink" xfId="1947" builtinId="8" hidden="1"/>
    <cellStyle name="Hyperlink" xfId="1949" builtinId="8" hidden="1"/>
    <cellStyle name="Hyperlink" xfId="1951" builtinId="8" hidden="1"/>
    <cellStyle name="Hyperlink" xfId="1953" builtinId="8" hidden="1"/>
    <cellStyle name="Hyperlink" xfId="1955" builtinId="8" hidden="1"/>
    <cellStyle name="Hyperlink" xfId="1957" builtinId="8" hidden="1"/>
    <cellStyle name="Hyperlink" xfId="1959" builtinId="8" hidden="1"/>
    <cellStyle name="Hyperlink" xfId="1961" builtinId="8" hidden="1"/>
    <cellStyle name="Hyperlink" xfId="1963" builtinId="8" hidden="1"/>
    <cellStyle name="Hyperlink" xfId="1965" builtinId="8" hidden="1"/>
    <cellStyle name="Hyperlink" xfId="1967" builtinId="8" hidden="1"/>
    <cellStyle name="Hyperlink" xfId="1969" builtinId="8" hidden="1"/>
    <cellStyle name="Hyperlink" xfId="1971" builtinId="8" hidden="1"/>
    <cellStyle name="Hyperlink" xfId="1973" builtinId="8" hidden="1"/>
    <cellStyle name="Hyperlink" xfId="1975" builtinId="8" hidden="1"/>
    <cellStyle name="Hyperlink" xfId="1977" builtinId="8" hidden="1"/>
    <cellStyle name="Hyperlink" xfId="1979" builtinId="8" hidden="1"/>
    <cellStyle name="Hyperlink" xfId="1981" builtinId="8" hidden="1"/>
    <cellStyle name="Hyperlink" xfId="1983" builtinId="8" hidden="1"/>
    <cellStyle name="Hyperlink" xfId="1985" builtinId="8" hidden="1"/>
    <cellStyle name="Hyperlink" xfId="1987" builtinId="8" hidden="1"/>
    <cellStyle name="Hyperlink" xfId="1989" builtinId="8" hidden="1"/>
    <cellStyle name="Hyperlink" xfId="1991" builtinId="8" hidden="1"/>
    <cellStyle name="Hyperlink" xfId="1993" builtinId="8" hidden="1"/>
    <cellStyle name="Hyperlink" xfId="1995" builtinId="8" hidden="1"/>
    <cellStyle name="Hyperlink" xfId="1997" builtinId="8" hidden="1"/>
    <cellStyle name="Hyperlink" xfId="1999" builtinId="8" hidden="1"/>
    <cellStyle name="Hyperlink" xfId="2001" builtinId="8" hidden="1"/>
    <cellStyle name="Hyperlink" xfId="2003" builtinId="8" hidden="1"/>
    <cellStyle name="Hyperlink" xfId="2005" builtinId="8" hidden="1"/>
    <cellStyle name="Hyperlink" xfId="2007" builtinId="8" hidden="1"/>
    <cellStyle name="Hyperlink" xfId="2009" builtinId="8" hidden="1"/>
    <cellStyle name="Hyperlink" xfId="2011" builtinId="8" hidden="1"/>
    <cellStyle name="Hyperlink" xfId="2013" builtinId="8" hidden="1"/>
    <cellStyle name="Hyperlink" xfId="2015" builtinId="8" hidden="1"/>
    <cellStyle name="Hyperlink" xfId="2017" builtinId="8" hidden="1"/>
    <cellStyle name="Hyperlink" xfId="2019" builtinId="8" hidden="1"/>
    <cellStyle name="Hyperlink" xfId="2021" builtinId="8" hidden="1"/>
    <cellStyle name="Hyperlink" xfId="2023" builtinId="8" hidden="1"/>
    <cellStyle name="Hyperlink" xfId="2025" builtinId="8" hidden="1"/>
    <cellStyle name="Hyperlink" xfId="2027" builtinId="8" hidden="1"/>
    <cellStyle name="Hyperlink" xfId="2029" builtinId="8" hidden="1"/>
    <cellStyle name="Hyperlink" xfId="2031" builtinId="8" hidden="1"/>
    <cellStyle name="Hyperlink" xfId="2033" builtinId="8" hidden="1"/>
    <cellStyle name="Hyperlink" xfId="2035" builtinId="8" hidden="1"/>
    <cellStyle name="Hyperlink" xfId="2037" builtinId="8" hidden="1"/>
    <cellStyle name="Hyperlink" xfId="2039" builtinId="8" hidden="1"/>
    <cellStyle name="Hyperlink" xfId="2041" builtinId="8" hidden="1"/>
    <cellStyle name="Hyperlink" xfId="2043" builtinId="8" hidden="1"/>
    <cellStyle name="Hyperlink" xfId="2045" builtinId="8" hidden="1"/>
    <cellStyle name="Hyperlink" xfId="2047" builtinId="8" hidden="1"/>
    <cellStyle name="Hyperlink" xfId="2049" builtinId="8" hidden="1"/>
    <cellStyle name="Hyperlink" xfId="2051" builtinId="8" hidden="1"/>
    <cellStyle name="Hyperlink" xfId="2053" builtinId="8" hidden="1"/>
    <cellStyle name="Hyperlink" xfId="2055" builtinId="8" hidden="1"/>
    <cellStyle name="Hyperlink" xfId="2057" builtinId="8" hidden="1"/>
    <cellStyle name="Hyperlink" xfId="2059" builtinId="8" hidden="1"/>
    <cellStyle name="Hyperlink" xfId="2061" builtinId="8" hidden="1"/>
    <cellStyle name="Hyperlink" xfId="2063" builtinId="8" hidden="1"/>
    <cellStyle name="Hyperlink" xfId="2065" builtinId="8" hidden="1"/>
    <cellStyle name="Hyperlink" xfId="2067" builtinId="8" hidden="1"/>
    <cellStyle name="Hyperlink" xfId="2069" builtinId="8" hidden="1"/>
    <cellStyle name="Hyperlink" xfId="2071" builtinId="8" hidden="1"/>
    <cellStyle name="Hyperlink" xfId="2073" builtinId="8" hidden="1"/>
    <cellStyle name="Hyperlink" xfId="2075" builtinId="8" hidden="1"/>
    <cellStyle name="Hyperlink" xfId="2077" builtinId="8" hidden="1"/>
    <cellStyle name="Hyperlink" xfId="2079" builtinId="8" hidden="1"/>
    <cellStyle name="Hyperlink" xfId="2081" builtinId="8" hidden="1"/>
    <cellStyle name="Hyperlink" xfId="2083" builtinId="8" hidden="1"/>
    <cellStyle name="Hyperlink" xfId="2085" builtinId="8" hidden="1"/>
    <cellStyle name="Hyperlink" xfId="2087" builtinId="8" hidden="1"/>
    <cellStyle name="Hyperlink" xfId="2089" builtinId="8" hidden="1"/>
    <cellStyle name="Hyperlink" xfId="2091" builtinId="8" hidden="1"/>
    <cellStyle name="Hyperlink" xfId="2093" builtinId="8" hidden="1"/>
    <cellStyle name="Hyperlink" xfId="2095" builtinId="8" hidden="1"/>
    <cellStyle name="Hyperlink" xfId="2097" builtinId="8" hidden="1"/>
    <cellStyle name="Hyperlink" xfId="2099" builtinId="8" hidden="1"/>
    <cellStyle name="Hyperlink" xfId="2101" builtinId="8" hidden="1"/>
    <cellStyle name="Hyperlink" xfId="2103" builtinId="8" hidden="1"/>
    <cellStyle name="Hyperlink" xfId="2105" builtinId="8" hidden="1"/>
    <cellStyle name="Hyperlink" xfId="2107" builtinId="8" hidden="1"/>
    <cellStyle name="Hyperlink" xfId="2109" builtinId="8" hidden="1"/>
    <cellStyle name="Hyperlink" xfId="2111" builtinId="8" hidden="1"/>
    <cellStyle name="Hyperlink" xfId="2113" builtinId="8" hidden="1"/>
    <cellStyle name="Hyperlink" xfId="2115" builtinId="8" hidden="1"/>
    <cellStyle name="Hyperlink" xfId="2117" builtinId="8" hidden="1"/>
    <cellStyle name="Hyperlink" xfId="2119" builtinId="8" hidden="1"/>
    <cellStyle name="Hyperlink" xfId="2121" builtinId="8" hidden="1"/>
    <cellStyle name="Hyperlink" xfId="2123" builtinId="8" hidden="1"/>
    <cellStyle name="Hyperlink" xfId="2125" builtinId="8" hidden="1"/>
    <cellStyle name="Hyperlink" xfId="2127" builtinId="8" hidden="1"/>
    <cellStyle name="Hyperlink" xfId="2129" builtinId="8" hidden="1"/>
    <cellStyle name="Hyperlink" xfId="2131" builtinId="8" hidden="1"/>
    <cellStyle name="Hyperlink" xfId="2133" builtinId="8" hidden="1"/>
    <cellStyle name="Hyperlink" xfId="2135" builtinId="8" hidden="1"/>
    <cellStyle name="Hyperlink" xfId="2137" builtinId="8" hidden="1"/>
    <cellStyle name="Hyperlink" xfId="2139" builtinId="8" hidden="1"/>
    <cellStyle name="Hyperlink" xfId="2141" builtinId="8" hidden="1"/>
    <cellStyle name="Hyperlink" xfId="2143" builtinId="8" hidden="1"/>
    <cellStyle name="Hyperlink" xfId="2145" builtinId="8" hidden="1"/>
    <cellStyle name="Hyperlink" xfId="2147" builtinId="8" hidden="1"/>
    <cellStyle name="Hyperlink" xfId="2149" builtinId="8" hidden="1"/>
    <cellStyle name="Hyperlink" xfId="2151" builtinId="8" hidden="1"/>
    <cellStyle name="Hyperlink" xfId="2153" builtinId="8" hidden="1"/>
    <cellStyle name="Hyperlink" xfId="2155" builtinId="8" hidden="1"/>
    <cellStyle name="Hyperlink" xfId="2157" builtinId="8" hidden="1"/>
    <cellStyle name="Hyperlink" xfId="2159" builtinId="8" hidden="1"/>
    <cellStyle name="Hyperlink" xfId="2161" builtinId="8" hidden="1"/>
    <cellStyle name="Hyperlink" xfId="2163" builtinId="8" hidden="1"/>
    <cellStyle name="Hyperlink" xfId="2165" builtinId="8" hidden="1"/>
    <cellStyle name="Hyperlink" xfId="2167" builtinId="8" hidden="1"/>
    <cellStyle name="Hyperlink" xfId="2169" builtinId="8" hidden="1"/>
    <cellStyle name="Hyperlink" xfId="2171" builtinId="8" hidden="1"/>
    <cellStyle name="Hyperlink" xfId="2173" builtinId="8" hidden="1"/>
    <cellStyle name="Hyperlink" xfId="2175" builtinId="8" hidden="1"/>
    <cellStyle name="Hyperlink" xfId="2177" builtinId="8" hidden="1"/>
    <cellStyle name="Hyperlink" xfId="2179" builtinId="8" hidden="1"/>
    <cellStyle name="Hyperlink" xfId="2181" builtinId="8" hidden="1"/>
    <cellStyle name="Hyperlink" xfId="2183" builtinId="8" hidden="1"/>
    <cellStyle name="Hyperlink" xfId="2185" builtinId="8" hidden="1"/>
    <cellStyle name="Hyperlink" xfId="2187" builtinId="8" hidden="1"/>
    <cellStyle name="Hyperlink" xfId="2189" builtinId="8" hidden="1"/>
    <cellStyle name="Hyperlink" xfId="2191" builtinId="8" hidden="1"/>
    <cellStyle name="Hyperlink" xfId="2193" builtinId="8" hidden="1"/>
    <cellStyle name="Hyperlink" xfId="2195" builtinId="8" hidden="1"/>
    <cellStyle name="Hyperlink" xfId="2197" builtinId="8" hidden="1"/>
    <cellStyle name="Hyperlink" xfId="2199" builtinId="8" hidden="1"/>
    <cellStyle name="Hyperlink" xfId="2201" builtinId="8" hidden="1"/>
    <cellStyle name="Hyperlink" xfId="2203" builtinId="8" hidden="1"/>
    <cellStyle name="Hyperlink" xfId="2205" builtinId="8" hidden="1"/>
    <cellStyle name="Hyperlink" xfId="2207" builtinId="8" hidden="1"/>
    <cellStyle name="Hyperlink" xfId="2209" builtinId="8" hidden="1"/>
    <cellStyle name="Hyperlink" xfId="2211" builtinId="8" hidden="1"/>
    <cellStyle name="Hyperlink" xfId="2213" builtinId="8" hidden="1"/>
    <cellStyle name="Hyperlink" xfId="2215" builtinId="8" hidden="1"/>
    <cellStyle name="Hyperlink" xfId="2217" builtinId="8" hidden="1"/>
    <cellStyle name="Hyperlink" xfId="2219" builtinId="8" hidden="1"/>
    <cellStyle name="Hyperlink" xfId="2221" builtinId="8" hidden="1"/>
    <cellStyle name="Hyperlink" xfId="2223" builtinId="8" hidden="1"/>
    <cellStyle name="Hyperlink" xfId="2225" builtinId="8" hidden="1"/>
    <cellStyle name="Hyperlink" xfId="2227" builtinId="8" hidden="1"/>
    <cellStyle name="Hyperlink" xfId="2229" builtinId="8" hidden="1"/>
    <cellStyle name="Hyperlink" xfId="2231" builtinId="8" hidden="1"/>
    <cellStyle name="Hyperlink" xfId="2233" builtinId="8" hidden="1"/>
    <cellStyle name="Hyperlink" xfId="2235" builtinId="8" hidden="1"/>
    <cellStyle name="Hyperlink" xfId="2237" builtinId="8" hidden="1"/>
    <cellStyle name="Hyperlink" xfId="2239" builtinId="8" hidden="1"/>
    <cellStyle name="Hyperlink" xfId="2241" builtinId="8" hidden="1"/>
    <cellStyle name="Hyperlink" xfId="2243" builtinId="8" hidden="1"/>
    <cellStyle name="Hyperlink" xfId="2245" builtinId="8" hidden="1"/>
    <cellStyle name="Hyperlink" xfId="2247" builtinId="8" hidden="1"/>
    <cellStyle name="Hyperlink" xfId="2249" builtinId="8" hidden="1"/>
    <cellStyle name="Hyperlink" xfId="2251" builtinId="8" hidden="1"/>
    <cellStyle name="Hyperlink" xfId="2253" builtinId="8" hidden="1"/>
    <cellStyle name="Hyperlink" xfId="2255" builtinId="8" hidden="1"/>
    <cellStyle name="Hyperlink" xfId="2257" builtinId="8" hidden="1"/>
    <cellStyle name="Hyperlink" xfId="2259" builtinId="8" hidden="1"/>
    <cellStyle name="Hyperlink" xfId="2261" builtinId="8" hidden="1"/>
    <cellStyle name="Hyperlink" xfId="2263" builtinId="8" hidden="1"/>
    <cellStyle name="Hyperlink" xfId="2265" builtinId="8" hidden="1"/>
    <cellStyle name="Hyperlink" xfId="2267" builtinId="8" hidden="1"/>
    <cellStyle name="Hyperlink" xfId="2269" builtinId="8" hidden="1"/>
    <cellStyle name="Hyperlink" xfId="2271" builtinId="8" hidden="1"/>
    <cellStyle name="Hyperlink" xfId="2273" builtinId="8" hidden="1"/>
    <cellStyle name="Hyperlink" xfId="2275" builtinId="8" hidden="1"/>
    <cellStyle name="Hyperlink" xfId="2277" builtinId="8" hidden="1"/>
    <cellStyle name="Hyperlink" xfId="2279" builtinId="8" hidden="1"/>
    <cellStyle name="Hyperlink" xfId="2281" builtinId="8" hidden="1"/>
    <cellStyle name="Hyperlink" xfId="2283" builtinId="8" hidden="1"/>
    <cellStyle name="Hyperlink" xfId="2285" builtinId="8" hidden="1"/>
    <cellStyle name="Hyperlink" xfId="2287" builtinId="8" hidden="1"/>
    <cellStyle name="Hyperlink" xfId="2289" builtinId="8" hidden="1"/>
    <cellStyle name="Hyperlink" xfId="2291" builtinId="8" hidden="1"/>
    <cellStyle name="Hyperlink" xfId="2293" builtinId="8" hidden="1"/>
    <cellStyle name="Hyperlink" xfId="2295" builtinId="8" hidden="1"/>
    <cellStyle name="Hyperlink" xfId="2297" builtinId="8" hidden="1"/>
    <cellStyle name="Hyperlink" xfId="2299" builtinId="8" hidden="1"/>
    <cellStyle name="Hyperlink" xfId="2301" builtinId="8" hidden="1"/>
    <cellStyle name="Hyperlink" xfId="2303" builtinId="8" hidden="1"/>
    <cellStyle name="Hyperlink" xfId="2305" builtinId="8" hidden="1"/>
    <cellStyle name="Hyperlink" xfId="2307" builtinId="8" hidden="1"/>
    <cellStyle name="Hyperlink" xfId="2309" builtinId="8" hidden="1"/>
    <cellStyle name="Hyperlink" xfId="2311" builtinId="8" hidden="1"/>
    <cellStyle name="Hyperlink" xfId="2313" builtinId="8" hidden="1"/>
    <cellStyle name="Hyperlink" xfId="2315" builtinId="8" hidden="1"/>
    <cellStyle name="Hyperlink" xfId="2317" builtinId="8" hidden="1"/>
    <cellStyle name="Hyperlink" xfId="2319" builtinId="8" hidden="1"/>
    <cellStyle name="Hyperlink" xfId="2321" builtinId="8" hidden="1"/>
    <cellStyle name="Hyperlink" xfId="2323" builtinId="8" hidden="1"/>
    <cellStyle name="Hyperlink" xfId="2325" builtinId="8" hidden="1"/>
    <cellStyle name="Hyperlink" xfId="2327" builtinId="8" hidden="1"/>
    <cellStyle name="Hyperlink" xfId="2329" builtinId="8" hidden="1"/>
    <cellStyle name="Hyperlink" xfId="2331" builtinId="8" hidden="1"/>
    <cellStyle name="Hyperlink" xfId="2333" builtinId="8" hidden="1"/>
    <cellStyle name="Hyperlink" xfId="2335" builtinId="8" hidden="1"/>
    <cellStyle name="Hyperlink" xfId="2337" builtinId="8" hidden="1"/>
    <cellStyle name="Hyperlink" xfId="2339" builtinId="8" hidden="1"/>
    <cellStyle name="Hyperlink" xfId="2341" builtinId="8" hidden="1"/>
    <cellStyle name="Hyperlink" xfId="2343" builtinId="8" hidden="1"/>
    <cellStyle name="Hyperlink" xfId="2345" builtinId="8" hidden="1"/>
    <cellStyle name="Hyperlink" xfId="2347" builtinId="8" hidden="1"/>
    <cellStyle name="Hyperlink" xfId="2349" builtinId="8" hidden="1"/>
    <cellStyle name="Hyperlink" xfId="2351" builtinId="8" hidden="1"/>
    <cellStyle name="Hyperlink" xfId="2353" builtinId="8" hidden="1"/>
    <cellStyle name="Hyperlink" xfId="2355" builtinId="8" hidden="1"/>
    <cellStyle name="Hyperlink" xfId="2357" builtinId="8" hidden="1"/>
    <cellStyle name="Hyperlink" xfId="2359" builtinId="8" hidden="1"/>
    <cellStyle name="Hyperlink" xfId="2361" builtinId="8" hidden="1"/>
    <cellStyle name="Hyperlink" xfId="2363" builtinId="8" hidden="1"/>
    <cellStyle name="Hyperlink" xfId="2365" builtinId="8" hidden="1"/>
    <cellStyle name="Hyperlink" xfId="2367" builtinId="8" hidden="1"/>
    <cellStyle name="Hyperlink" xfId="2369" builtinId="8" hidden="1"/>
    <cellStyle name="Hyperlink" xfId="2371" builtinId="8" hidden="1"/>
    <cellStyle name="Hyperlink" xfId="2373" builtinId="8" hidden="1"/>
    <cellStyle name="Hyperlink" xfId="2375" builtinId="8" hidden="1"/>
    <cellStyle name="Hyperlink" xfId="2377" builtinId="8" hidden="1"/>
    <cellStyle name="Hyperlink" xfId="2379" builtinId="8" hidden="1"/>
    <cellStyle name="Hyperlink" xfId="2381" builtinId="8" hidden="1"/>
    <cellStyle name="Hyperlink" xfId="2383" builtinId="8" hidden="1"/>
    <cellStyle name="Hyperlink" xfId="2385" builtinId="8" hidden="1"/>
    <cellStyle name="Hyperlink" xfId="2387" builtinId="8" hidden="1"/>
    <cellStyle name="Hyperlink" xfId="2389" builtinId="8" hidden="1"/>
    <cellStyle name="Hyperlink" xfId="2391" builtinId="8" hidden="1"/>
    <cellStyle name="Hyperlink" xfId="2393" builtinId="8" hidden="1"/>
    <cellStyle name="Hyperlink" xfId="2395" builtinId="8" hidden="1"/>
    <cellStyle name="Hyperlink" xfId="2397" builtinId="8" hidden="1"/>
    <cellStyle name="Hyperlink" xfId="2399" builtinId="8" hidden="1"/>
    <cellStyle name="Hyperlink" xfId="2401" builtinId="8" hidden="1"/>
    <cellStyle name="Hyperlink" xfId="2403" builtinId="8" hidden="1"/>
    <cellStyle name="Hyperlink" xfId="2405" builtinId="8" hidden="1"/>
    <cellStyle name="Hyperlink" xfId="2407" builtinId="8" hidden="1"/>
    <cellStyle name="Hyperlink" xfId="2409" builtinId="8" hidden="1"/>
    <cellStyle name="Hyperlink" xfId="2411" builtinId="8" hidden="1"/>
    <cellStyle name="Hyperlink" xfId="2413" builtinId="8" hidden="1"/>
    <cellStyle name="Hyperlink" xfId="2415" builtinId="8" hidden="1"/>
    <cellStyle name="Hyperlink" xfId="2417" builtinId="8" hidden="1"/>
    <cellStyle name="Hyperlink" xfId="2419" builtinId="8" hidden="1"/>
    <cellStyle name="Hyperlink" xfId="2421" builtinId="8" hidden="1"/>
    <cellStyle name="Hyperlink" xfId="2423" builtinId="8" hidden="1"/>
    <cellStyle name="Hyperlink" xfId="2425" builtinId="8" hidden="1"/>
    <cellStyle name="Hyperlink" xfId="2427" builtinId="8" hidden="1"/>
    <cellStyle name="Hyperlink" xfId="2429" builtinId="8" hidden="1"/>
    <cellStyle name="Hyperlink" xfId="2431" builtinId="8" hidden="1"/>
    <cellStyle name="Hyperlink" xfId="2433" builtinId="8" hidden="1"/>
    <cellStyle name="Hyperlink" xfId="2435" builtinId="8" hidden="1"/>
    <cellStyle name="Hyperlink" xfId="2437" builtinId="8" hidden="1"/>
    <cellStyle name="Hyperlink" xfId="2439" builtinId="8" hidden="1"/>
    <cellStyle name="Hyperlink" xfId="2441" builtinId="8" hidden="1"/>
    <cellStyle name="Hyperlink" xfId="2443" builtinId="8" hidden="1"/>
    <cellStyle name="Hyperlink" xfId="2445" builtinId="8" hidden="1"/>
    <cellStyle name="Hyperlink" xfId="2447" builtinId="8" hidden="1"/>
    <cellStyle name="Hyperlink" xfId="2449" builtinId="8" hidden="1"/>
    <cellStyle name="Hyperlink" xfId="2451" builtinId="8" hidden="1"/>
    <cellStyle name="Hyperlink" xfId="2453" builtinId="8" hidden="1"/>
    <cellStyle name="Hyperlink" xfId="2455" builtinId="8" hidden="1"/>
    <cellStyle name="Hyperlink" xfId="2457" builtinId="8" hidden="1"/>
    <cellStyle name="Hyperlink" xfId="2459" builtinId="8" hidden="1"/>
    <cellStyle name="Hyperlink" xfId="2461" builtinId="8" hidden="1"/>
    <cellStyle name="Hyperlink" xfId="2463" builtinId="8" hidden="1"/>
    <cellStyle name="Hyperlink" xfId="2465" builtinId="8" hidden="1"/>
    <cellStyle name="Hyperlink" xfId="2467" builtinId="8" hidden="1"/>
    <cellStyle name="Hyperlink" xfId="2469" builtinId="8" hidden="1"/>
    <cellStyle name="Hyperlink" xfId="2471" builtinId="8" hidden="1"/>
    <cellStyle name="Hyperlink" xfId="2473" builtinId="8" hidden="1"/>
    <cellStyle name="Hyperlink" xfId="2475" builtinId="8" hidden="1"/>
    <cellStyle name="Hyperlink" xfId="2477" builtinId="8" hidden="1"/>
    <cellStyle name="Hyperlink" xfId="2479" builtinId="8"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1" builtinId="8" hidden="1"/>
    <cellStyle name="Hyperlink" xfId="2753" builtinId="8" hidden="1"/>
    <cellStyle name="Hyperlink" xfId="2755" builtinId="8" hidden="1"/>
    <cellStyle name="Hyperlink" xfId="2757" builtinId="8" hidden="1"/>
    <cellStyle name="Hyperlink" xfId="2759" builtinId="8" hidden="1"/>
    <cellStyle name="Hyperlink" xfId="2761" builtinId="8" hidden="1"/>
    <cellStyle name="Hyperlink" xfId="2763" builtinId="8" hidden="1"/>
    <cellStyle name="Hyperlink" xfId="2765" builtinId="8" hidden="1"/>
    <cellStyle name="Hyperlink" xfId="2767" builtinId="8" hidden="1"/>
    <cellStyle name="Hyperlink" xfId="2769"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2787" builtinId="8" hidden="1"/>
    <cellStyle name="Hyperlink" xfId="2789" builtinId="8" hidden="1"/>
    <cellStyle name="Hyperlink" xfId="2791" builtinId="8" hidden="1"/>
    <cellStyle name="Hyperlink" xfId="2793" builtinId="8" hidden="1"/>
    <cellStyle name="Hyperlink" xfId="2795" builtinId="8" hidden="1"/>
    <cellStyle name="Hyperlink" xfId="2797" builtinId="8" hidden="1"/>
    <cellStyle name="Hyperlink" xfId="2799" builtinId="8" hidden="1"/>
    <cellStyle name="Hyperlink" xfId="2801" builtinId="8" hidden="1"/>
    <cellStyle name="Hyperlink" xfId="2803" builtinId="8" hidden="1"/>
    <cellStyle name="Hyperlink" xfId="2805" builtinId="8" hidden="1"/>
    <cellStyle name="Hyperlink" xfId="2807" builtinId="8" hidden="1"/>
    <cellStyle name="Hyperlink" xfId="2809" builtinId="8" hidden="1"/>
    <cellStyle name="Hyperlink" xfId="2811" builtinId="8" hidden="1"/>
    <cellStyle name="Hyperlink" xfId="2813" builtinId="8" hidden="1"/>
    <cellStyle name="Hyperlink" xfId="2815" builtinId="8" hidden="1"/>
    <cellStyle name="Hyperlink" xfId="2817" builtinId="8" hidden="1"/>
    <cellStyle name="Hyperlink" xfId="2819" builtinId="8" hidden="1"/>
    <cellStyle name="Hyperlink" xfId="2821" builtinId="8" hidden="1"/>
    <cellStyle name="Hyperlink" xfId="2823" builtinId="8" hidden="1"/>
    <cellStyle name="Hyperlink" xfId="2825" builtinId="8" hidden="1"/>
    <cellStyle name="Hyperlink" xfId="2827" builtinId="8" hidden="1"/>
    <cellStyle name="Hyperlink" xfId="2829" builtinId="8" hidden="1"/>
    <cellStyle name="Hyperlink" xfId="2831" builtinId="8" hidden="1"/>
    <cellStyle name="Hyperlink" xfId="2833" builtinId="8" hidden="1"/>
    <cellStyle name="Hyperlink" xfId="2835" builtinId="8" hidden="1"/>
    <cellStyle name="Hyperlink" xfId="2837" builtinId="8" hidden="1"/>
    <cellStyle name="Hyperlink" xfId="2839" builtinId="8" hidden="1"/>
    <cellStyle name="Hyperlink" xfId="2841" builtinId="8" hidden="1"/>
    <cellStyle name="Hyperlink" xfId="2843" builtinId="8" hidden="1"/>
    <cellStyle name="Hyperlink" xfId="2845" builtinId="8" hidden="1"/>
    <cellStyle name="Hyperlink" xfId="2847" builtinId="8" hidden="1"/>
    <cellStyle name="Hyperlink" xfId="2849" builtinId="8" hidden="1"/>
    <cellStyle name="Hyperlink" xfId="2851" builtinId="8" hidden="1"/>
    <cellStyle name="Hyperlink" xfId="2853" builtinId="8" hidden="1"/>
    <cellStyle name="Hyperlink" xfId="2855" builtinId="8" hidden="1"/>
    <cellStyle name="Hyperlink" xfId="2857" builtinId="8" hidden="1"/>
    <cellStyle name="Hyperlink" xfId="2859" builtinId="8" hidden="1"/>
    <cellStyle name="Hyperlink" xfId="2861" builtinId="8" hidden="1"/>
    <cellStyle name="Hyperlink" xfId="2863" builtinId="8" hidden="1"/>
    <cellStyle name="Hyperlink" xfId="2865" builtinId="8" hidden="1"/>
    <cellStyle name="Hyperlink" xfId="2867" builtinId="8" hidden="1"/>
    <cellStyle name="Hyperlink" xfId="2869" builtinId="8" hidden="1"/>
    <cellStyle name="Hyperlink" xfId="2871" builtinId="8" hidden="1"/>
    <cellStyle name="Hyperlink" xfId="2873" builtinId="8" hidden="1"/>
    <cellStyle name="Hyperlink" xfId="2875" builtinId="8" hidden="1"/>
    <cellStyle name="Hyperlink" xfId="2877" builtinId="8" hidden="1"/>
    <cellStyle name="Hyperlink" xfId="2879" builtinId="8" hidden="1"/>
    <cellStyle name="Hyperlink" xfId="2881" builtinId="8" hidden="1"/>
    <cellStyle name="Hyperlink" xfId="2883" builtinId="8" hidden="1"/>
    <cellStyle name="Hyperlink" xfId="2885" builtinId="8" hidden="1"/>
    <cellStyle name="Hyperlink" xfId="2887" builtinId="8" hidden="1"/>
    <cellStyle name="Hyperlink" xfId="2889" builtinId="8" hidden="1"/>
    <cellStyle name="Hyperlink" xfId="2891" builtinId="8" hidden="1"/>
    <cellStyle name="Hyperlink" xfId="2893" builtinId="8" hidden="1"/>
    <cellStyle name="Hyperlink" xfId="2895" builtinId="8" hidden="1"/>
    <cellStyle name="Hyperlink" xfId="2897"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49" builtinId="8" hidden="1"/>
    <cellStyle name="Hyperlink" xfId="3151" builtinId="8" hidden="1"/>
    <cellStyle name="Hyperlink" xfId="3153" builtinId="8" hidden="1"/>
    <cellStyle name="Hyperlink" xfId="3155" builtinId="8" hidden="1"/>
    <cellStyle name="Hyperlink" xfId="3157" builtinId="8" hidden="1"/>
    <cellStyle name="Hyperlink" xfId="3159" builtinId="8" hidden="1"/>
    <cellStyle name="Hyperlink" xfId="3161" builtinId="8" hidden="1"/>
    <cellStyle name="Hyperlink" xfId="3163" builtinId="8" hidden="1"/>
    <cellStyle name="Hyperlink" xfId="3165" builtinId="8" hidden="1"/>
    <cellStyle name="Hyperlink" xfId="3167" builtinId="8" hidden="1"/>
    <cellStyle name="Hyperlink" xfId="3169" builtinId="8" hidden="1"/>
    <cellStyle name="Hyperlink" xfId="3171" builtinId="8" hidden="1"/>
    <cellStyle name="Hyperlink" xfId="3173" builtinId="8" hidden="1"/>
    <cellStyle name="Hyperlink" xfId="3175" builtinId="8" hidden="1"/>
    <cellStyle name="Hyperlink" xfId="3177" builtinId="8" hidden="1"/>
    <cellStyle name="Hyperlink" xfId="3179" builtinId="8" hidden="1"/>
    <cellStyle name="Hyperlink" xfId="3181" builtinId="8" hidden="1"/>
    <cellStyle name="Hyperlink" xfId="3183" builtinId="8" hidden="1"/>
    <cellStyle name="Hyperlink" xfId="3185" builtinId="8" hidden="1"/>
    <cellStyle name="Hyperlink" xfId="3187" builtinId="8" hidden="1"/>
    <cellStyle name="Hyperlink" xfId="3189" builtinId="8" hidden="1"/>
    <cellStyle name="Hyperlink" xfId="3191" builtinId="8" hidden="1"/>
    <cellStyle name="Hyperlink" xfId="3193" builtinId="8" hidden="1"/>
    <cellStyle name="Hyperlink" xfId="3195" builtinId="8" hidden="1"/>
    <cellStyle name="Hyperlink" xfId="3197" builtinId="8" hidden="1"/>
    <cellStyle name="Hyperlink" xfId="3199" builtinId="8" hidden="1"/>
    <cellStyle name="Hyperlink" xfId="3201" builtinId="8" hidden="1"/>
    <cellStyle name="Hyperlink" xfId="3203" builtinId="8" hidden="1"/>
    <cellStyle name="Hyperlink" xfId="3205" builtinId="8" hidden="1"/>
    <cellStyle name="Hyperlink" xfId="3207" builtinId="8" hidden="1"/>
    <cellStyle name="Hyperlink" xfId="3209" builtinId="8" hidden="1"/>
    <cellStyle name="Hyperlink" xfId="3211" builtinId="8" hidden="1"/>
    <cellStyle name="Hyperlink" xfId="3213" builtinId="8" hidden="1"/>
    <cellStyle name="Hyperlink" xfId="3215" builtinId="8" hidden="1"/>
    <cellStyle name="Hyperlink" xfId="3217" builtinId="8" hidden="1"/>
    <cellStyle name="Hyperlink" xfId="3219" builtinId="8" hidden="1"/>
    <cellStyle name="Hyperlink" xfId="3221" builtinId="8" hidden="1"/>
    <cellStyle name="Hyperlink" xfId="3223" builtinId="8" hidden="1"/>
    <cellStyle name="Hyperlink" xfId="3225" builtinId="8" hidden="1"/>
    <cellStyle name="Hyperlink" xfId="3227" builtinId="8" hidden="1"/>
    <cellStyle name="Hyperlink" xfId="3229" builtinId="8" hidden="1"/>
    <cellStyle name="Hyperlink" xfId="3231" builtinId="8" hidden="1"/>
    <cellStyle name="Hyperlink" xfId="3233" builtinId="8" hidden="1"/>
    <cellStyle name="Hyperlink" xfId="3235" builtinId="8" hidden="1"/>
    <cellStyle name="Hyperlink" xfId="3237" builtinId="8" hidden="1"/>
    <cellStyle name="Hyperlink" xfId="3239" builtinId="8" hidden="1"/>
    <cellStyle name="Hyperlink" xfId="3241" builtinId="8" hidden="1"/>
    <cellStyle name="Hyperlink" xfId="3243" builtinId="8" hidden="1"/>
    <cellStyle name="Hyperlink" xfId="3245" builtinId="8" hidden="1"/>
    <cellStyle name="Hyperlink" xfId="3247" builtinId="8" hidden="1"/>
    <cellStyle name="Hyperlink" xfId="3249" builtinId="8" hidden="1"/>
    <cellStyle name="Hyperlink" xfId="3251" builtinId="8" hidden="1"/>
    <cellStyle name="Hyperlink" xfId="3253" builtinId="8" hidden="1"/>
    <cellStyle name="Hyperlink" xfId="3255" builtinId="8" hidden="1"/>
    <cellStyle name="Hyperlink" xfId="3257" builtinId="8" hidden="1"/>
    <cellStyle name="Hyperlink" xfId="3259" builtinId="8" hidden="1"/>
    <cellStyle name="Hyperlink" xfId="3261" builtinId="8" hidden="1"/>
    <cellStyle name="Hyperlink" xfId="3263" builtinId="8" hidden="1"/>
    <cellStyle name="Hyperlink" xfId="3265" builtinId="8" hidden="1"/>
    <cellStyle name="Hyperlink" xfId="3267" builtinId="8" hidden="1"/>
    <cellStyle name="Hyperlink" xfId="3269" builtinId="8" hidden="1"/>
    <cellStyle name="Hyperlink" xfId="3271" builtinId="8" hidden="1"/>
    <cellStyle name="Hyperlink" xfId="3273" builtinId="8" hidden="1"/>
    <cellStyle name="Hyperlink" xfId="3275" builtinId="8" hidden="1"/>
    <cellStyle name="Hyperlink" xfId="3277" builtinId="8" hidden="1"/>
    <cellStyle name="Hyperlink" xfId="3279" builtinId="8" hidden="1"/>
    <cellStyle name="Hyperlink" xfId="3281" builtinId="8" hidden="1"/>
    <cellStyle name="Hyperlink" xfId="3283" builtinId="8" hidden="1"/>
    <cellStyle name="Hyperlink" xfId="3285" builtinId="8" hidden="1"/>
    <cellStyle name="Hyperlink" xfId="3287" builtinId="8" hidden="1"/>
    <cellStyle name="Hyperlink" xfId="3289" builtinId="8" hidden="1"/>
    <cellStyle name="Hyperlink" xfId="3291" builtinId="8" hidden="1"/>
    <cellStyle name="Hyperlink" xfId="3293" builtinId="8" hidden="1"/>
    <cellStyle name="Hyperlink" xfId="3295" builtinId="8" hidden="1"/>
    <cellStyle name="Hyperlink" xfId="3297" builtinId="8" hidden="1"/>
    <cellStyle name="Hyperlink" xfId="3299" builtinId="8" hidden="1"/>
    <cellStyle name="Hyperlink" xfId="3301" builtinId="8" hidden="1"/>
    <cellStyle name="Hyperlink" xfId="3303" builtinId="8" hidden="1"/>
    <cellStyle name="Hyperlink" xfId="3305" builtinId="8" hidden="1"/>
    <cellStyle name="Hyperlink" xfId="3307" builtinId="8" hidden="1"/>
    <cellStyle name="Hyperlink" xfId="3309" builtinId="8" hidden="1"/>
    <cellStyle name="Hyperlink" xfId="3311" builtinId="8" hidden="1"/>
    <cellStyle name="Hyperlink" xfId="3313" builtinId="8" hidden="1"/>
    <cellStyle name="Hyperlink" xfId="3315" builtinId="8" hidden="1"/>
    <cellStyle name="Hyperlink" xfId="3317" builtinId="8" hidden="1"/>
    <cellStyle name="Hyperlink" xfId="3319" builtinId="8" hidden="1"/>
    <cellStyle name="Hyperlink" xfId="3321" builtinId="8" hidden="1"/>
    <cellStyle name="Hyperlink" xfId="3323" builtinId="8" hidden="1"/>
    <cellStyle name="Hyperlink" xfId="3325" builtinId="8" hidden="1"/>
    <cellStyle name="Hyperlink" xfId="3327" builtinId="8" hidden="1"/>
    <cellStyle name="Hyperlink" xfId="3329" builtinId="8" hidden="1"/>
    <cellStyle name="Hyperlink" xfId="3331" builtinId="8" hidden="1"/>
    <cellStyle name="Hyperlink" xfId="3333" builtinId="8" hidden="1"/>
    <cellStyle name="Hyperlink" xfId="3335" builtinId="8" hidden="1"/>
    <cellStyle name="Hyperlink" xfId="3337" builtinId="8" hidden="1"/>
    <cellStyle name="Hyperlink" xfId="3339" builtinId="8" hidden="1"/>
    <cellStyle name="Hyperlink" xfId="3341" builtinId="8" hidden="1"/>
    <cellStyle name="Hyperlink" xfId="3343" builtinId="8" hidden="1"/>
    <cellStyle name="Hyperlink" xfId="3345" builtinId="8" hidden="1"/>
    <cellStyle name="Hyperlink" xfId="3347" builtinId="8" hidden="1"/>
    <cellStyle name="Hyperlink" xfId="3349" builtinId="8" hidden="1"/>
    <cellStyle name="Hyperlink" xfId="3351" builtinId="8" hidden="1"/>
    <cellStyle name="Hyperlink" xfId="3353" builtinId="8" hidden="1"/>
    <cellStyle name="Hyperlink" xfId="3355" builtinId="8" hidden="1"/>
    <cellStyle name="Hyperlink" xfId="3357" builtinId="8" hidden="1"/>
    <cellStyle name="Hyperlink" xfId="3359" builtinId="8" hidden="1"/>
    <cellStyle name="Hyperlink" xfId="3361" builtinId="8" hidden="1"/>
    <cellStyle name="Hyperlink" xfId="3363" builtinId="8" hidden="1"/>
    <cellStyle name="Hyperlink" xfId="3365" builtinId="8" hidden="1"/>
    <cellStyle name="Hyperlink" xfId="3367" builtinId="8" hidden="1"/>
    <cellStyle name="Hyperlink" xfId="3369" builtinId="8" hidden="1"/>
    <cellStyle name="Hyperlink" xfId="3371" builtinId="8" hidden="1"/>
    <cellStyle name="Hyperlink" xfId="3373" builtinId="8" hidden="1"/>
    <cellStyle name="Hyperlink" xfId="3375" builtinId="8" hidden="1"/>
    <cellStyle name="Hyperlink" xfId="3377" builtinId="8" hidden="1"/>
    <cellStyle name="Hyperlink" xfId="3379" builtinId="8" hidden="1"/>
    <cellStyle name="Hyperlink" xfId="3381" builtinId="8" hidden="1"/>
    <cellStyle name="Hyperlink" xfId="3383" builtinId="8" hidden="1"/>
    <cellStyle name="Hyperlink" xfId="3385" builtinId="8" hidden="1"/>
    <cellStyle name="Hyperlink" xfId="3387" builtinId="8" hidden="1"/>
    <cellStyle name="Hyperlink" xfId="3389" builtinId="8" hidden="1"/>
    <cellStyle name="Hyperlink" xfId="3391" builtinId="8" hidden="1"/>
    <cellStyle name="Hyperlink" xfId="3393" builtinId="8" hidden="1"/>
    <cellStyle name="Hyperlink" xfId="3395" builtinId="8" hidden="1"/>
    <cellStyle name="Hyperlink" xfId="3397" builtinId="8" hidden="1"/>
    <cellStyle name="Hyperlink" xfId="3399" builtinId="8" hidden="1"/>
    <cellStyle name="Hyperlink" xfId="3401" builtinId="8" hidden="1"/>
    <cellStyle name="Hyperlink" xfId="3403" builtinId="8" hidden="1"/>
    <cellStyle name="Hyperlink" xfId="3405" builtinId="8" hidden="1"/>
    <cellStyle name="Hyperlink" xfId="3407" builtinId="8" hidden="1"/>
    <cellStyle name="Hyperlink" xfId="3409" builtinId="8" hidden="1"/>
    <cellStyle name="Hyperlink" xfId="3411" builtinId="8" hidden="1"/>
    <cellStyle name="Hyperlink" xfId="3413" builtinId="8" hidden="1"/>
    <cellStyle name="Hyperlink" xfId="3415" builtinId="8" hidden="1"/>
    <cellStyle name="Hyperlink" xfId="3417" builtinId="8" hidden="1"/>
    <cellStyle name="Hyperlink" xfId="3419" builtinId="8" hidden="1"/>
    <cellStyle name="Hyperlink" xfId="3421" builtinId="8" hidden="1"/>
    <cellStyle name="Hyperlink" xfId="3423" builtinId="8" hidden="1"/>
    <cellStyle name="Hyperlink" xfId="3425" builtinId="8" hidden="1"/>
    <cellStyle name="Hyperlink" xfId="3427" builtinId="8" hidden="1"/>
    <cellStyle name="Hyperlink" xfId="3429" builtinId="8" hidden="1"/>
    <cellStyle name="Hyperlink" xfId="3431" builtinId="8" hidden="1"/>
    <cellStyle name="Hyperlink" xfId="3433" builtinId="8" hidden="1"/>
    <cellStyle name="Hyperlink" xfId="3435" builtinId="8" hidden="1"/>
    <cellStyle name="Hyperlink" xfId="3437" builtinId="8" hidden="1"/>
    <cellStyle name="Hyperlink" xfId="3439" builtinId="8" hidden="1"/>
    <cellStyle name="Hyperlink" xfId="3441" builtinId="8" hidden="1"/>
    <cellStyle name="Hyperlink" xfId="3443" builtinId="8" hidden="1"/>
    <cellStyle name="Hyperlink" xfId="3445" builtinId="8" hidden="1"/>
    <cellStyle name="Hyperlink" xfId="3447" builtinId="8" hidden="1"/>
    <cellStyle name="Hyperlink" xfId="3449" builtinId="8" hidden="1"/>
    <cellStyle name="Hyperlink" xfId="3451" builtinId="8" hidden="1"/>
    <cellStyle name="Hyperlink" xfId="3453" builtinId="8" hidden="1"/>
    <cellStyle name="Hyperlink" xfId="3455" builtinId="8" hidden="1"/>
    <cellStyle name="Hyperlink" xfId="3457" builtinId="8" hidden="1"/>
    <cellStyle name="Hyperlink" xfId="3459" builtinId="8" hidden="1"/>
    <cellStyle name="Hyperlink" xfId="3461" builtinId="8" hidden="1"/>
    <cellStyle name="Hyperlink" xfId="3463" builtinId="8" hidden="1"/>
    <cellStyle name="Hyperlink" xfId="3465" builtinId="8" hidden="1"/>
    <cellStyle name="Hyperlink" xfId="3467" builtinId="8" hidden="1"/>
    <cellStyle name="Hyperlink" xfId="3469" builtinId="8" hidden="1"/>
    <cellStyle name="Hyperlink" xfId="3471" builtinId="8" hidden="1"/>
    <cellStyle name="Hyperlink" xfId="3473" builtinId="8" hidden="1"/>
    <cellStyle name="Hyperlink" xfId="3475" builtinId="8" hidden="1"/>
    <cellStyle name="Hyperlink" xfId="3477" builtinId="8" hidden="1"/>
    <cellStyle name="Hyperlink" xfId="3479" builtinId="8" hidden="1"/>
    <cellStyle name="Hyperlink" xfId="3481" builtinId="8" hidden="1"/>
    <cellStyle name="Hyperlink" xfId="3483" builtinId="8" hidden="1"/>
    <cellStyle name="Hyperlink" xfId="3485" builtinId="8" hidden="1"/>
    <cellStyle name="Hyperlink" xfId="3487" builtinId="8" hidden="1"/>
    <cellStyle name="Hyperlink" xfId="3489" builtinId="8" hidden="1"/>
    <cellStyle name="Hyperlink" xfId="3491" builtinId="8" hidden="1"/>
    <cellStyle name="Hyperlink" xfId="3493" builtinId="8" hidden="1"/>
    <cellStyle name="Hyperlink" xfId="3495" builtinId="8" hidden="1"/>
    <cellStyle name="Hyperlink" xfId="3497" builtinId="8" hidden="1"/>
    <cellStyle name="Hyperlink" xfId="3499" builtinId="8" hidden="1"/>
    <cellStyle name="Hyperlink" xfId="3501" builtinId="8" hidden="1"/>
    <cellStyle name="Hyperlink" xfId="3503" builtinId="8" hidden="1"/>
    <cellStyle name="Hyperlink" xfId="3505" builtinId="8" hidden="1"/>
    <cellStyle name="Hyperlink" xfId="3507" builtinId="8" hidden="1"/>
    <cellStyle name="Hyperlink" xfId="3509" builtinId="8" hidden="1"/>
    <cellStyle name="Hyperlink" xfId="3511" builtinId="8" hidden="1"/>
    <cellStyle name="Hyperlink" xfId="3513" builtinId="8" hidden="1"/>
    <cellStyle name="Hyperlink" xfId="3515" builtinId="8" hidden="1"/>
    <cellStyle name="Hyperlink" xfId="3517" builtinId="8" hidden="1"/>
    <cellStyle name="Hyperlink" xfId="3519" builtinId="8" hidden="1"/>
    <cellStyle name="Hyperlink" xfId="3521" builtinId="8" hidden="1"/>
    <cellStyle name="Hyperlink" xfId="3523" builtinId="8" hidden="1"/>
    <cellStyle name="Hyperlink" xfId="3525" builtinId="8" hidden="1"/>
    <cellStyle name="Hyperlink" xfId="3527" builtinId="8" hidden="1"/>
    <cellStyle name="Hyperlink" xfId="3529" builtinId="8" hidden="1"/>
    <cellStyle name="Hyperlink" xfId="3531" builtinId="8" hidden="1"/>
    <cellStyle name="Hyperlink" xfId="3533" builtinId="8" hidden="1"/>
    <cellStyle name="Hyperlink" xfId="3535" builtinId="8" hidden="1"/>
    <cellStyle name="Hyperlink" xfId="3537" builtinId="8" hidden="1"/>
    <cellStyle name="Hyperlink" xfId="3539" builtinId="8" hidden="1"/>
    <cellStyle name="Hyperlink" xfId="3541" builtinId="8" hidden="1"/>
    <cellStyle name="Hyperlink" xfId="3543" builtinId="8" hidden="1"/>
    <cellStyle name="Hyperlink" xfId="3545" builtinId="8" hidden="1"/>
    <cellStyle name="Hyperlink" xfId="3547" builtinId="8" hidden="1"/>
    <cellStyle name="Hyperlink" xfId="3549" builtinId="8" hidden="1"/>
    <cellStyle name="Hyperlink" xfId="3551" builtinId="8" hidden="1"/>
    <cellStyle name="Hyperlink" xfId="3553" builtinId="8" hidden="1"/>
    <cellStyle name="Hyperlink" xfId="3555" builtinId="8" hidden="1"/>
    <cellStyle name="Hyperlink" xfId="3557" builtinId="8" hidden="1"/>
    <cellStyle name="Hyperlink" xfId="3559" builtinId="8" hidden="1"/>
    <cellStyle name="Hyperlink" xfId="3561" builtinId="8" hidden="1"/>
    <cellStyle name="Hyperlink" xfId="3563" builtinId="8" hidden="1"/>
    <cellStyle name="Hyperlink" xfId="3565" builtinId="8" hidden="1"/>
    <cellStyle name="Hyperlink" xfId="3567" builtinId="8" hidden="1"/>
    <cellStyle name="Hyperlink" xfId="3569" builtinId="8" hidden="1"/>
    <cellStyle name="Hyperlink" xfId="3571" builtinId="8" hidden="1"/>
    <cellStyle name="Hyperlink" xfId="3573" builtinId="8" hidden="1"/>
    <cellStyle name="Hyperlink" xfId="3575" builtinId="8" hidden="1"/>
    <cellStyle name="Hyperlink" xfId="3577" builtinId="8" hidden="1"/>
    <cellStyle name="Hyperlink" xfId="3579" builtinId="8" hidden="1"/>
    <cellStyle name="Hyperlink" xfId="3581" builtinId="8" hidden="1"/>
    <cellStyle name="Hyperlink" xfId="3583" builtinId="8" hidden="1"/>
    <cellStyle name="Hyperlink" xfId="3585" builtinId="8" hidden="1"/>
    <cellStyle name="Hyperlink" xfId="3587" builtinId="8" hidden="1"/>
    <cellStyle name="Hyperlink" xfId="3589" builtinId="8" hidden="1"/>
    <cellStyle name="Hyperlink" xfId="3591" builtinId="8" hidden="1"/>
    <cellStyle name="Hyperlink" xfId="3593" builtinId="8" hidden="1"/>
    <cellStyle name="Hyperlink" xfId="3595" builtinId="8" hidden="1"/>
    <cellStyle name="Hyperlink" xfId="3597" builtinId="8" hidden="1"/>
    <cellStyle name="Hyperlink" xfId="3599" builtinId="8" hidden="1"/>
    <cellStyle name="Hyperlink" xfId="3601" builtinId="8" hidden="1"/>
    <cellStyle name="Hyperlink" xfId="3603" builtinId="8" hidden="1"/>
    <cellStyle name="Hyperlink" xfId="3605" builtinId="8" hidden="1"/>
    <cellStyle name="Hyperlink" xfId="3607" builtinId="8" hidden="1"/>
    <cellStyle name="Hyperlink" xfId="3609" builtinId="8" hidden="1"/>
    <cellStyle name="Hyperlink" xfId="3611" builtinId="8" hidden="1"/>
    <cellStyle name="Hyperlink" xfId="3613" builtinId="8" hidden="1"/>
    <cellStyle name="Hyperlink" xfId="3615" builtinId="8" hidden="1"/>
    <cellStyle name="Hyperlink" xfId="3617" builtinId="8" hidden="1"/>
    <cellStyle name="Hyperlink" xfId="3619" builtinId="8" hidden="1"/>
    <cellStyle name="Hyperlink" xfId="3621" builtinId="8" hidden="1"/>
    <cellStyle name="Hyperlink" xfId="3623" builtinId="8" hidden="1"/>
    <cellStyle name="Hyperlink" xfId="3625" builtinId="8" hidden="1"/>
    <cellStyle name="Hyperlink" xfId="3627" builtinId="8" hidden="1"/>
    <cellStyle name="Hyperlink" xfId="3629" builtinId="8" hidden="1"/>
    <cellStyle name="Hyperlink" xfId="3631" builtinId="8" hidden="1"/>
    <cellStyle name="Hyperlink" xfId="3633" builtinId="8" hidden="1"/>
    <cellStyle name="Hyperlink" xfId="3635" builtinId="8" hidden="1"/>
    <cellStyle name="Hyperlink" xfId="3637" builtinId="8" hidden="1"/>
    <cellStyle name="Hyperlink" xfId="3639" builtinId="8" hidden="1"/>
    <cellStyle name="Hyperlink" xfId="3641" builtinId="8" hidden="1"/>
    <cellStyle name="Hyperlink" xfId="3643" builtinId="8" hidden="1"/>
    <cellStyle name="Hyperlink" xfId="3645" builtinId="8" hidden="1"/>
    <cellStyle name="Hyperlink" xfId="3647" builtinId="8" hidden="1"/>
    <cellStyle name="Hyperlink" xfId="3649" builtinId="8" hidden="1"/>
    <cellStyle name="Hyperlink" xfId="3651" builtinId="8" hidden="1"/>
    <cellStyle name="Hyperlink" xfId="3653" builtinId="8" hidden="1"/>
    <cellStyle name="Hyperlink" xfId="3655" builtinId="8" hidden="1"/>
    <cellStyle name="Hyperlink" xfId="3657" builtinId="8" hidden="1"/>
    <cellStyle name="Hyperlink" xfId="3659" builtinId="8" hidden="1"/>
    <cellStyle name="Hyperlink" xfId="3661" builtinId="8" hidden="1"/>
    <cellStyle name="Hyperlink" xfId="3663" builtinId="8" hidden="1"/>
    <cellStyle name="Hyperlink" xfId="3665" builtinId="8" hidden="1"/>
    <cellStyle name="Hyperlink" xfId="3667" builtinId="8" hidden="1"/>
    <cellStyle name="Hyperlink" xfId="3669" builtinId="8" hidden="1"/>
    <cellStyle name="Hyperlink" xfId="3671" builtinId="8" hidden="1"/>
    <cellStyle name="Hyperlink" xfId="3673" builtinId="8" hidden="1"/>
    <cellStyle name="Hyperlink" xfId="3675" builtinId="8" hidden="1"/>
    <cellStyle name="Hyperlink" xfId="3677" builtinId="8" hidden="1"/>
    <cellStyle name="Hyperlink" xfId="3679" builtinId="8" hidden="1"/>
    <cellStyle name="Hyperlink" xfId="3681" builtinId="8" hidden="1"/>
    <cellStyle name="Hyperlink" xfId="3683" builtinId="8" hidden="1"/>
    <cellStyle name="Hyperlink" xfId="3685" builtinId="8" hidden="1"/>
    <cellStyle name="Hyperlink" xfId="3687" builtinId="8" hidden="1"/>
    <cellStyle name="Hyperlink" xfId="3689" builtinId="8" hidden="1"/>
    <cellStyle name="Hyperlink" xfId="3691" builtinId="8" hidden="1"/>
    <cellStyle name="Hyperlink" xfId="3693" builtinId="8" hidden="1"/>
    <cellStyle name="Hyperlink" xfId="3695" builtinId="8" hidden="1"/>
    <cellStyle name="Hyperlink" xfId="3697" builtinId="8" hidden="1"/>
    <cellStyle name="Hyperlink" xfId="3699" builtinId="8" hidden="1"/>
    <cellStyle name="Hyperlink" xfId="3701" builtinId="8" hidden="1"/>
    <cellStyle name="Hyperlink" xfId="3703" builtinId="8" hidden="1"/>
    <cellStyle name="Hyperlink" xfId="3705" builtinId="8" hidden="1"/>
    <cellStyle name="Hyperlink" xfId="3707" builtinId="8" hidden="1"/>
    <cellStyle name="Hyperlink" xfId="3709" builtinId="8" hidden="1"/>
    <cellStyle name="Hyperlink" xfId="3711" builtinId="8" hidden="1"/>
    <cellStyle name="Hyperlink" xfId="3713" builtinId="8" hidden="1"/>
    <cellStyle name="Hyperlink" xfId="3715" builtinId="8" hidden="1"/>
    <cellStyle name="Hyperlink" xfId="3717" builtinId="8" hidden="1"/>
    <cellStyle name="Hyperlink" xfId="3719" builtinId="8" hidden="1"/>
    <cellStyle name="Hyperlink" xfId="3721" builtinId="8" hidden="1"/>
    <cellStyle name="Hyperlink" xfId="3723" builtinId="8" hidden="1"/>
    <cellStyle name="Hyperlink" xfId="3725" builtinId="8" hidden="1"/>
    <cellStyle name="Hyperlink" xfId="3727" builtinId="8" hidden="1"/>
    <cellStyle name="Hyperlink" xfId="3729" builtinId="8" hidden="1"/>
    <cellStyle name="Hyperlink" xfId="3731" builtinId="8" hidden="1"/>
    <cellStyle name="Hyperlink" xfId="3733" builtinId="8" hidden="1"/>
    <cellStyle name="Hyperlink" xfId="3735" builtinId="8" hidden="1"/>
    <cellStyle name="Hyperlink" xfId="3737" builtinId="8" hidden="1"/>
    <cellStyle name="Hyperlink" xfId="3739" builtinId="8" hidden="1"/>
    <cellStyle name="Hyperlink" xfId="3741" builtinId="8" hidden="1"/>
    <cellStyle name="Hyperlink" xfId="3743" builtinId="8" hidden="1"/>
    <cellStyle name="Hyperlink" xfId="3745" builtinId="8" hidden="1"/>
    <cellStyle name="Hyperlink" xfId="3747" builtinId="8" hidden="1"/>
    <cellStyle name="Hyperlink" xfId="3749" builtinId="8" hidden="1"/>
    <cellStyle name="Hyperlink" xfId="3751" builtinId="8" hidden="1"/>
    <cellStyle name="Hyperlink" xfId="3753" builtinId="8" hidden="1"/>
    <cellStyle name="Hyperlink" xfId="3755" builtinId="8" hidden="1"/>
    <cellStyle name="Hyperlink" xfId="3757" builtinId="8" hidden="1"/>
    <cellStyle name="Hyperlink" xfId="3759" builtinId="8" hidden="1"/>
    <cellStyle name="Hyperlink" xfId="3761" builtinId="8" hidden="1"/>
    <cellStyle name="Hyperlink" xfId="3763" builtinId="8" hidden="1"/>
    <cellStyle name="Hyperlink" xfId="3765" builtinId="8" hidden="1"/>
    <cellStyle name="Hyperlink" xfId="3767" builtinId="8" hidden="1"/>
    <cellStyle name="Hyperlink" xfId="3769" builtinId="8" hidden="1"/>
    <cellStyle name="Hyperlink" xfId="3771" builtinId="8" hidden="1"/>
    <cellStyle name="Hyperlink" xfId="3773" builtinId="8" hidden="1"/>
    <cellStyle name="Hyperlink" xfId="3775" builtinId="8" hidden="1"/>
    <cellStyle name="Hyperlink" xfId="3777" builtinId="8" hidden="1"/>
    <cellStyle name="Hyperlink" xfId="3779" builtinId="8" hidden="1"/>
    <cellStyle name="Hyperlink" xfId="3781" builtinId="8" hidden="1"/>
    <cellStyle name="Hyperlink" xfId="3783" builtinId="8" hidden="1"/>
    <cellStyle name="Hyperlink" xfId="3785" builtinId="8" hidden="1"/>
    <cellStyle name="Hyperlink" xfId="3787" builtinId="8" hidden="1"/>
    <cellStyle name="Hyperlink" xfId="3789" builtinId="8" hidden="1"/>
    <cellStyle name="Hyperlink" xfId="3791" builtinId="8" hidden="1"/>
    <cellStyle name="Hyperlink" xfId="3793" builtinId="8" hidden="1"/>
    <cellStyle name="Hyperlink" xfId="3795" builtinId="8" hidden="1"/>
    <cellStyle name="Hyperlink" xfId="3797" builtinId="8" hidden="1"/>
    <cellStyle name="Hyperlink" xfId="3799" builtinId="8" hidden="1"/>
    <cellStyle name="Hyperlink" xfId="3801" builtinId="8" hidden="1"/>
    <cellStyle name="Hyperlink" xfId="3803" builtinId="8" hidden="1"/>
    <cellStyle name="Hyperlink" xfId="3805" builtinId="8" hidden="1"/>
    <cellStyle name="Hyperlink" xfId="3807" builtinId="8" hidden="1"/>
    <cellStyle name="Hyperlink" xfId="3809" builtinId="8" hidden="1"/>
    <cellStyle name="Hyperlink" xfId="3811" builtinId="8" hidden="1"/>
    <cellStyle name="Hyperlink" xfId="3813" builtinId="8" hidden="1"/>
    <cellStyle name="Hyperlink" xfId="3815" builtinId="8" hidden="1"/>
    <cellStyle name="Hyperlink" xfId="3817" builtinId="8" hidden="1"/>
    <cellStyle name="Hyperlink" xfId="3819" builtinId="8" hidden="1"/>
    <cellStyle name="Hyperlink" xfId="3821" builtinId="8" hidden="1"/>
    <cellStyle name="Hyperlink" xfId="3823" builtinId="8" hidden="1"/>
    <cellStyle name="Hyperlink" xfId="3825" builtinId="8" hidden="1"/>
    <cellStyle name="Hyperlink" xfId="3827" builtinId="8" hidden="1"/>
    <cellStyle name="Hyperlink" xfId="3829" builtinId="8" hidden="1"/>
    <cellStyle name="Hyperlink" xfId="3831" builtinId="8" hidden="1"/>
    <cellStyle name="Hyperlink" xfId="3833" builtinId="8" hidden="1"/>
    <cellStyle name="Hyperlink" xfId="3835" builtinId="8" hidden="1"/>
    <cellStyle name="Hyperlink" xfId="3837" builtinId="8" hidden="1"/>
    <cellStyle name="Hyperlink" xfId="3839" builtinId="8" hidden="1"/>
    <cellStyle name="Hyperlink" xfId="3841" builtinId="8" hidden="1"/>
    <cellStyle name="Hyperlink" xfId="3843" builtinId="8" hidden="1"/>
    <cellStyle name="Hyperlink" xfId="3845" builtinId="8" hidden="1"/>
    <cellStyle name="Hyperlink" xfId="3847" builtinId="8" hidden="1"/>
    <cellStyle name="Hyperlink" xfId="3849" builtinId="8" hidden="1"/>
    <cellStyle name="Hyperlink" xfId="3851" builtinId="8" hidden="1"/>
    <cellStyle name="Hyperlink" xfId="3853" builtinId="8" hidden="1"/>
    <cellStyle name="Hyperlink" xfId="3855" builtinId="8" hidden="1"/>
    <cellStyle name="Hyperlink" xfId="3857" builtinId="8" hidden="1"/>
    <cellStyle name="Hyperlink" xfId="3859" builtinId="8" hidden="1"/>
    <cellStyle name="Hyperlink" xfId="3861" builtinId="8" hidden="1"/>
    <cellStyle name="Hyperlink" xfId="3863" builtinId="8" hidden="1"/>
    <cellStyle name="Hyperlink" xfId="3865" builtinId="8" hidden="1"/>
    <cellStyle name="Hyperlink" xfId="3867" builtinId="8" hidden="1"/>
    <cellStyle name="Hyperlink" xfId="3869" builtinId="8" hidden="1"/>
    <cellStyle name="Hyperlink" xfId="3871" builtinId="8" hidden="1"/>
    <cellStyle name="Hyperlink" xfId="3873" builtinId="8" hidden="1"/>
    <cellStyle name="Hyperlink" xfId="3875" builtinId="8" hidden="1"/>
    <cellStyle name="Hyperlink" xfId="3877" builtinId="8" hidden="1"/>
    <cellStyle name="Hyperlink" xfId="3879" builtinId="8" hidden="1"/>
    <cellStyle name="Hyperlink" xfId="3881" builtinId="8" hidden="1"/>
    <cellStyle name="Hyperlink" xfId="3883" builtinId="8" hidden="1"/>
    <cellStyle name="Hyperlink" xfId="3885" builtinId="8" hidden="1"/>
    <cellStyle name="Hyperlink" xfId="3887" builtinId="8" hidden="1"/>
    <cellStyle name="Hyperlink" xfId="3889" builtinId="8" hidden="1"/>
    <cellStyle name="Hyperlink" xfId="3891" builtinId="8" hidden="1"/>
    <cellStyle name="Hyperlink" xfId="3893" builtinId="8" hidden="1"/>
    <cellStyle name="Hyperlink" xfId="3895" builtinId="8" hidden="1"/>
    <cellStyle name="Hyperlink" xfId="3897" builtinId="8" hidden="1"/>
    <cellStyle name="Hyperlink" xfId="3899" builtinId="8" hidden="1"/>
    <cellStyle name="Hyperlink" xfId="3901" builtinId="8" hidden="1"/>
    <cellStyle name="Hyperlink" xfId="3903" builtinId="8" hidden="1"/>
    <cellStyle name="Hyperlink" xfId="3905" builtinId="8" hidden="1"/>
    <cellStyle name="Hyperlink" xfId="3907" builtinId="8" hidden="1"/>
    <cellStyle name="Hyperlink" xfId="3909" builtinId="8" hidden="1"/>
    <cellStyle name="Hyperlink" xfId="3911" builtinId="8" hidden="1"/>
    <cellStyle name="Hyperlink" xfId="3913" builtinId="8" hidden="1"/>
    <cellStyle name="Hyperlink" xfId="3915" builtinId="8" hidden="1"/>
    <cellStyle name="Hyperlink" xfId="3917" builtinId="8" hidden="1"/>
    <cellStyle name="Hyperlink" xfId="3919" builtinId="8" hidden="1"/>
    <cellStyle name="Hyperlink" xfId="3921" builtinId="8" hidden="1"/>
    <cellStyle name="Hyperlink" xfId="3923" builtinId="8" hidden="1"/>
    <cellStyle name="Hyperlink" xfId="3925" builtinId="8" hidden="1"/>
    <cellStyle name="Hyperlink" xfId="3927" builtinId="8" hidden="1"/>
    <cellStyle name="Hyperlink" xfId="3929" builtinId="8" hidden="1"/>
    <cellStyle name="Hyperlink" xfId="3931" builtinId="8" hidden="1"/>
    <cellStyle name="Hyperlink" xfId="3933" builtinId="8" hidden="1"/>
    <cellStyle name="Hyperlink" xfId="3935" builtinId="8" hidden="1"/>
    <cellStyle name="Hyperlink" xfId="3937" builtinId="8" hidden="1"/>
    <cellStyle name="Hyperlink" xfId="3939" builtinId="8" hidden="1"/>
    <cellStyle name="Hyperlink" xfId="3941" builtinId="8" hidden="1"/>
    <cellStyle name="Hyperlink" xfId="3943" builtinId="8" hidden="1"/>
    <cellStyle name="Hyperlink" xfId="3945" builtinId="8" hidden="1"/>
    <cellStyle name="Hyperlink" xfId="3947" builtinId="8" hidden="1"/>
    <cellStyle name="Hyperlink" xfId="3949" builtinId="8" hidden="1"/>
    <cellStyle name="Hyperlink" xfId="3951" builtinId="8" hidden="1"/>
    <cellStyle name="Hyperlink" xfId="3953" builtinId="8" hidden="1"/>
    <cellStyle name="Hyperlink" xfId="3955" builtinId="8" hidden="1"/>
    <cellStyle name="Hyperlink" xfId="3957" builtinId="8" hidden="1"/>
    <cellStyle name="Hyperlink" xfId="3959" builtinId="8" hidden="1"/>
    <cellStyle name="Hyperlink" xfId="3961" builtinId="8" hidden="1"/>
    <cellStyle name="Hyperlink" xfId="3963" builtinId="8" hidden="1"/>
    <cellStyle name="Hyperlink" xfId="3965" builtinId="8" hidden="1"/>
    <cellStyle name="Hyperlink" xfId="3967" builtinId="8" hidden="1"/>
    <cellStyle name="Hyperlink" xfId="3969" builtinId="8" hidden="1"/>
    <cellStyle name="Hyperlink" xfId="3971" builtinId="8" hidden="1"/>
    <cellStyle name="Hyperlink" xfId="3973" builtinId="8" hidden="1"/>
    <cellStyle name="Hyperlink" xfId="3975" builtinId="8" hidden="1"/>
    <cellStyle name="Hyperlink" xfId="3977" builtinId="8" hidden="1"/>
    <cellStyle name="Hyperlink" xfId="3979" builtinId="8" hidden="1"/>
    <cellStyle name="Hyperlink" xfId="3981" builtinId="8" hidden="1"/>
    <cellStyle name="Hyperlink" xfId="3983" builtinId="8" hidden="1"/>
    <cellStyle name="Hyperlink" xfId="3985" builtinId="8" hidden="1"/>
    <cellStyle name="Hyperlink" xfId="3987" builtinId="8" hidden="1"/>
    <cellStyle name="Hyperlink" xfId="3989" builtinId="8" hidden="1"/>
    <cellStyle name="Hyperlink" xfId="3991" builtinId="8" hidden="1"/>
    <cellStyle name="Hyperlink" xfId="3993" builtinId="8" hidden="1"/>
    <cellStyle name="Hyperlink" xfId="3995" builtinId="8" hidden="1"/>
    <cellStyle name="Hyperlink" xfId="3997" builtinId="8" hidden="1"/>
    <cellStyle name="Hyperlink" xfId="3999" builtinId="8" hidden="1"/>
    <cellStyle name="Hyperlink" xfId="4001" builtinId="8" hidden="1"/>
    <cellStyle name="Hyperlink" xfId="4003" builtinId="8" hidden="1"/>
    <cellStyle name="Hyperlink" xfId="4005" builtinId="8" hidden="1"/>
    <cellStyle name="Hyperlink" xfId="4007" builtinId="8" hidden="1"/>
    <cellStyle name="Hyperlink" xfId="4009" builtinId="8" hidden="1"/>
    <cellStyle name="Hyperlink" xfId="4011" builtinId="8" hidden="1"/>
    <cellStyle name="Hyperlink" xfId="4013" builtinId="8" hidden="1"/>
    <cellStyle name="Hyperlink" xfId="4015" builtinId="8" hidden="1"/>
    <cellStyle name="Hyperlink" xfId="4017" builtinId="8" hidden="1"/>
    <cellStyle name="Hyperlink" xfId="4019" builtinId="8" hidden="1"/>
    <cellStyle name="Hyperlink" xfId="4021" builtinId="8" hidden="1"/>
    <cellStyle name="Hyperlink" xfId="4023" builtinId="8" hidden="1"/>
    <cellStyle name="Hyperlink" xfId="4025" builtinId="8" hidden="1"/>
    <cellStyle name="Hyperlink" xfId="4027" builtinId="8" hidden="1"/>
    <cellStyle name="Hyperlink" xfId="4029" builtinId="8" hidden="1"/>
    <cellStyle name="Hyperlink" xfId="4031" builtinId="8" hidden="1"/>
    <cellStyle name="Hyperlink" xfId="4033" builtinId="8" hidden="1"/>
    <cellStyle name="Hyperlink" xfId="4035" builtinId="8" hidden="1"/>
    <cellStyle name="Hyperlink" xfId="4037" builtinId="8" hidden="1"/>
    <cellStyle name="Hyperlink" xfId="4039" builtinId="8" hidden="1"/>
    <cellStyle name="Hyperlink" xfId="4041" builtinId="8" hidden="1"/>
    <cellStyle name="Hyperlink" xfId="4043" builtinId="8" hidden="1"/>
    <cellStyle name="Hyperlink" xfId="4045" builtinId="8" hidden="1"/>
    <cellStyle name="Hyperlink" xfId="4047" builtinId="8" hidden="1"/>
    <cellStyle name="Hyperlink" xfId="4049" builtinId="8" hidden="1"/>
    <cellStyle name="Hyperlink" xfId="4051" builtinId="8" hidden="1"/>
    <cellStyle name="Hyperlink" xfId="4053" builtinId="8" hidden="1"/>
    <cellStyle name="Hyperlink" xfId="4055" builtinId="8" hidden="1"/>
    <cellStyle name="Hyperlink" xfId="4057" builtinId="8" hidden="1"/>
    <cellStyle name="Hyperlink" xfId="4059" builtinId="8" hidden="1"/>
    <cellStyle name="Hyperlink" xfId="4061" builtinId="8" hidden="1"/>
    <cellStyle name="Hyperlink" xfId="4063" builtinId="8" hidden="1"/>
    <cellStyle name="Hyperlink" xfId="4065" builtinId="8" hidden="1"/>
    <cellStyle name="Hyperlink" xfId="4067" builtinId="8" hidden="1"/>
    <cellStyle name="Hyperlink" xfId="4069" builtinId="8" hidden="1"/>
    <cellStyle name="Hyperlink" xfId="4071" builtinId="8" hidden="1"/>
    <cellStyle name="Hyperlink" xfId="4073" builtinId="8" hidden="1"/>
    <cellStyle name="Hyperlink" xfId="4075" builtinId="8" hidden="1"/>
    <cellStyle name="Hyperlink" xfId="4077" builtinId="8" hidden="1"/>
    <cellStyle name="Hyperlink" xfId="4079" builtinId="8" hidden="1"/>
    <cellStyle name="Hyperlink" xfId="4081" builtinId="8" hidden="1"/>
    <cellStyle name="Hyperlink" xfId="4083" builtinId="8" hidden="1"/>
    <cellStyle name="Hyperlink" xfId="4085" builtinId="8" hidden="1"/>
    <cellStyle name="Hyperlink" xfId="4087" builtinId="8" hidden="1"/>
    <cellStyle name="Hyperlink" xfId="4089" builtinId="8" hidden="1"/>
    <cellStyle name="Hyperlink" xfId="4091" builtinId="8" hidden="1"/>
    <cellStyle name="Hyperlink" xfId="4093" builtinId="8" hidden="1"/>
    <cellStyle name="Hyperlink" xfId="4095" builtinId="8" hidden="1"/>
    <cellStyle name="Hyperlink" xfId="4097" builtinId="8" hidden="1"/>
    <cellStyle name="Hyperlink" xfId="4099" builtinId="8" hidden="1"/>
    <cellStyle name="Hyperlink" xfId="4101" builtinId="8" hidden="1"/>
    <cellStyle name="Hyperlink" xfId="4103" builtinId="8" hidden="1"/>
    <cellStyle name="Hyperlink" xfId="4105" builtinId="8" hidden="1"/>
    <cellStyle name="Hyperlink" xfId="4107" builtinId="8" hidden="1"/>
    <cellStyle name="Hyperlink" xfId="4109" builtinId="8" hidden="1"/>
    <cellStyle name="Hyperlink" xfId="4111" builtinId="8" hidden="1"/>
    <cellStyle name="Hyperlink" xfId="4113" builtinId="8" hidden="1"/>
    <cellStyle name="Hyperlink" xfId="4115" builtinId="8" hidden="1"/>
    <cellStyle name="Hyperlink" xfId="4117" builtinId="8" hidden="1"/>
    <cellStyle name="Hyperlink" xfId="4119" builtinId="8" hidden="1"/>
    <cellStyle name="Hyperlink" xfId="4121" builtinId="8" hidden="1"/>
    <cellStyle name="Hyperlink" xfId="4123" builtinId="8" hidden="1"/>
    <cellStyle name="Hyperlink" xfId="4125" builtinId="8" hidden="1"/>
    <cellStyle name="Hyperlink" xfId="4127" builtinId="8" hidden="1"/>
    <cellStyle name="Hyperlink" xfId="4129" builtinId="8" hidden="1"/>
    <cellStyle name="Hyperlink" xfId="4131" builtinId="8" hidden="1"/>
    <cellStyle name="Hyperlink" xfId="4133" builtinId="8" hidden="1"/>
    <cellStyle name="Hyperlink" xfId="4135" builtinId="8" hidden="1"/>
    <cellStyle name="Hyperlink" xfId="4137" builtinId="8" hidden="1"/>
    <cellStyle name="Hyperlink" xfId="4139" builtinId="8" hidden="1"/>
    <cellStyle name="Hyperlink" xfId="4141" builtinId="8" hidden="1"/>
    <cellStyle name="Hyperlink" xfId="4143" builtinId="8" hidden="1"/>
    <cellStyle name="Hyperlink" xfId="4145" builtinId="8" hidden="1"/>
    <cellStyle name="Hyperlink" xfId="4147" builtinId="8" hidden="1"/>
    <cellStyle name="Hyperlink" xfId="4149" builtinId="8" hidden="1"/>
    <cellStyle name="Hyperlink" xfId="4151" builtinId="8" hidden="1"/>
    <cellStyle name="Hyperlink" xfId="4153" builtinId="8" hidden="1"/>
    <cellStyle name="Hyperlink" xfId="4155" builtinId="8" hidden="1"/>
    <cellStyle name="Hyperlink" xfId="4157" builtinId="8" hidden="1"/>
    <cellStyle name="Hyperlink" xfId="4159" builtinId="8" hidden="1"/>
    <cellStyle name="Hyperlink" xfId="4161" builtinId="8" hidden="1"/>
    <cellStyle name="Hyperlink" xfId="4163" builtinId="8" hidden="1"/>
    <cellStyle name="Hyperlink" xfId="4165" builtinId="8" hidden="1"/>
    <cellStyle name="Hyperlink" xfId="4167" builtinId="8" hidden="1"/>
    <cellStyle name="Hyperlink" xfId="4169" builtinId="8" hidden="1"/>
    <cellStyle name="Hyperlink" xfId="4171" builtinId="8" hidden="1"/>
    <cellStyle name="Hyperlink" xfId="4173" builtinId="8" hidden="1"/>
    <cellStyle name="Hyperlink" xfId="4175" builtinId="8" hidden="1"/>
    <cellStyle name="Hyperlink" xfId="4177" builtinId="8" hidden="1"/>
    <cellStyle name="Hyperlink" xfId="4179" builtinId="8" hidden="1"/>
    <cellStyle name="Hyperlink" xfId="4181" builtinId="8" hidden="1"/>
    <cellStyle name="Hyperlink" xfId="4183" builtinId="8" hidden="1"/>
    <cellStyle name="Hyperlink" xfId="4185" builtinId="8" hidden="1"/>
    <cellStyle name="Hyperlink" xfId="4187" builtinId="8" hidden="1"/>
    <cellStyle name="Hyperlink" xfId="4189" builtinId="8" hidden="1"/>
    <cellStyle name="Hyperlink" xfId="4191" builtinId="8" hidden="1"/>
    <cellStyle name="Hyperlink" xfId="4193" builtinId="8" hidden="1"/>
    <cellStyle name="Hyperlink" xfId="4195" builtinId="8" hidden="1"/>
    <cellStyle name="Hyperlink" xfId="4197" builtinId="8" hidden="1"/>
    <cellStyle name="Hyperlink" xfId="4199" builtinId="8" hidden="1"/>
    <cellStyle name="Hyperlink" xfId="4201" builtinId="8" hidden="1"/>
    <cellStyle name="Hyperlink" xfId="4203" builtinId="8" hidden="1"/>
    <cellStyle name="Hyperlink" xfId="4205" builtinId="8" hidden="1"/>
    <cellStyle name="Hyperlink" xfId="4207" builtinId="8" hidden="1"/>
    <cellStyle name="Hyperlink" xfId="4209" builtinId="8" hidden="1"/>
    <cellStyle name="Hyperlink" xfId="4211" builtinId="8" hidden="1"/>
    <cellStyle name="Hyperlink" xfId="4213" builtinId="8" hidden="1"/>
    <cellStyle name="Hyperlink" xfId="4215" builtinId="8" hidden="1"/>
    <cellStyle name="Hyperlink" xfId="4217" builtinId="8" hidden="1"/>
    <cellStyle name="Hyperlink" xfId="4219" builtinId="8" hidden="1"/>
    <cellStyle name="Hyperlink" xfId="4221" builtinId="8" hidden="1"/>
    <cellStyle name="Hyperlink" xfId="4223" builtinId="8" hidden="1"/>
    <cellStyle name="Hyperlink" xfId="4225" builtinId="8" hidden="1"/>
    <cellStyle name="Hyperlink" xfId="4227" builtinId="8" hidden="1"/>
    <cellStyle name="Hyperlink" xfId="4229" builtinId="8" hidden="1"/>
    <cellStyle name="Hyperlink" xfId="4231" builtinId="8" hidden="1"/>
    <cellStyle name="Hyperlink" xfId="4233" builtinId="8" hidden="1"/>
    <cellStyle name="Hyperlink" xfId="4235" builtinId="8" hidden="1"/>
    <cellStyle name="Hyperlink" xfId="4237" builtinId="8" hidden="1"/>
    <cellStyle name="Hyperlink" xfId="4239" builtinId="8" hidden="1"/>
    <cellStyle name="Hyperlink" xfId="4241" builtinId="8" hidden="1"/>
    <cellStyle name="Hyperlink" xfId="4243" builtinId="8" hidden="1"/>
    <cellStyle name="Hyperlink" xfId="4245" builtinId="8" hidden="1"/>
    <cellStyle name="Hyperlink" xfId="4247" builtinId="8" hidden="1"/>
    <cellStyle name="Hyperlink" xfId="4249" builtinId="8" hidden="1"/>
    <cellStyle name="Hyperlink" xfId="4251" builtinId="8" hidden="1"/>
    <cellStyle name="Hyperlink" xfId="4253" builtinId="8" hidden="1"/>
    <cellStyle name="Hyperlink" xfId="4255" builtinId="8" hidden="1"/>
    <cellStyle name="Hyperlink" xfId="4257" builtinId="8" hidden="1"/>
    <cellStyle name="Hyperlink" xfId="4259" builtinId="8" hidden="1"/>
    <cellStyle name="Hyperlink" xfId="4261" builtinId="8" hidden="1"/>
    <cellStyle name="Hyperlink" xfId="4263" builtinId="8" hidden="1"/>
    <cellStyle name="Hyperlink" xfId="4265" builtinId="8" hidden="1"/>
    <cellStyle name="Hyperlink" xfId="4267" builtinId="8" hidden="1"/>
    <cellStyle name="Hyperlink" xfId="4269" builtinId="8" hidden="1"/>
    <cellStyle name="Hyperlink" xfId="4271" builtinId="8" hidden="1"/>
    <cellStyle name="Hyperlink" xfId="4273" builtinId="8" hidden="1"/>
    <cellStyle name="Hyperlink" xfId="4275" builtinId="8" hidden="1"/>
    <cellStyle name="Hyperlink" xfId="4277" builtinId="8" hidden="1"/>
    <cellStyle name="Hyperlink" xfId="4279" builtinId="8" hidden="1"/>
    <cellStyle name="Hyperlink" xfId="4281" builtinId="8" hidden="1"/>
    <cellStyle name="Hyperlink" xfId="4283" builtinId="8" hidden="1"/>
    <cellStyle name="Hyperlink" xfId="4285" builtinId="8" hidden="1"/>
    <cellStyle name="Hyperlink" xfId="4287" builtinId="8" hidden="1"/>
    <cellStyle name="Hyperlink" xfId="4289" builtinId="8" hidden="1"/>
    <cellStyle name="Hyperlink" xfId="4291" builtinId="8" hidden="1"/>
    <cellStyle name="Hyperlink" xfId="4293" builtinId="8" hidden="1"/>
    <cellStyle name="Hyperlink" xfId="4295" builtinId="8" hidden="1"/>
    <cellStyle name="Hyperlink" xfId="4297" builtinId="8" hidden="1"/>
    <cellStyle name="Hyperlink" xfId="4299" builtinId="8" hidden="1"/>
    <cellStyle name="Hyperlink" xfId="4301" builtinId="8" hidden="1"/>
    <cellStyle name="Hyperlink" xfId="4303" builtinId="8" hidden="1"/>
    <cellStyle name="Hyperlink" xfId="4305" builtinId="8" hidden="1"/>
    <cellStyle name="Hyperlink" xfId="4307" builtinId="8" hidden="1"/>
    <cellStyle name="Hyperlink" xfId="4309" builtinId="8" hidden="1"/>
    <cellStyle name="Hyperlink" xfId="4311" builtinId="8" hidden="1"/>
    <cellStyle name="Hyperlink" xfId="4313" builtinId="8" hidden="1"/>
    <cellStyle name="Hyperlink" xfId="4315" builtinId="8" hidden="1"/>
    <cellStyle name="Hyperlink" xfId="4317" builtinId="8" hidden="1"/>
    <cellStyle name="Hyperlink" xfId="4319" builtinId="8" hidden="1"/>
    <cellStyle name="Hyperlink" xfId="4321" builtinId="8" hidden="1"/>
    <cellStyle name="Hyperlink" xfId="4323" builtinId="8" hidden="1"/>
    <cellStyle name="Hyperlink" xfId="4325" builtinId="8" hidden="1"/>
    <cellStyle name="Hyperlink" xfId="4327" builtinId="8" hidden="1"/>
    <cellStyle name="Hyperlink" xfId="4329" builtinId="8" hidden="1"/>
    <cellStyle name="Hyperlink" xfId="4331" builtinId="8" hidden="1"/>
    <cellStyle name="Hyperlink" xfId="4333" builtinId="8" hidden="1"/>
    <cellStyle name="Hyperlink" xfId="4335" builtinId="8" hidden="1"/>
    <cellStyle name="Hyperlink" xfId="4337" builtinId="8" hidden="1"/>
    <cellStyle name="Hyperlink" xfId="4339" builtinId="8" hidden="1"/>
    <cellStyle name="Hyperlink" xfId="4341" builtinId="8" hidden="1"/>
    <cellStyle name="Hyperlink" xfId="4343" builtinId="8" hidden="1"/>
    <cellStyle name="Hyperlink" xfId="4345" builtinId="8" hidden="1"/>
    <cellStyle name="Hyperlink" xfId="4347" builtinId="8" hidden="1"/>
    <cellStyle name="Hyperlink" xfId="4349" builtinId="8" hidden="1"/>
    <cellStyle name="Hyperlink" xfId="4351" builtinId="8" hidden="1"/>
    <cellStyle name="Hyperlink" xfId="4353" builtinId="8" hidden="1"/>
    <cellStyle name="Hyperlink" xfId="4355" builtinId="8" hidden="1"/>
    <cellStyle name="Hyperlink" xfId="4357" builtinId="8" hidden="1"/>
    <cellStyle name="Hyperlink" xfId="4359" builtinId="8" hidden="1"/>
    <cellStyle name="Hyperlink" xfId="4361" builtinId="8" hidden="1"/>
    <cellStyle name="Hyperlink" xfId="4363" builtinId="8" hidden="1"/>
    <cellStyle name="Hyperlink" xfId="4365" builtinId="8" hidden="1"/>
    <cellStyle name="Hyperlink" xfId="4367" builtinId="8" hidden="1"/>
    <cellStyle name="Hyperlink" xfId="4369" builtinId="8" hidden="1"/>
    <cellStyle name="Hyperlink" xfId="4371" builtinId="8" hidden="1"/>
    <cellStyle name="Hyperlink" xfId="4373" builtinId="8" hidden="1"/>
    <cellStyle name="Normal" xfId="0" builtinId="0"/>
  </cellStyles>
  <dxfs count="24">
    <dxf>
      <font>
        <color rgb="FF9C0006"/>
      </font>
      <fill>
        <patternFill>
          <bgColor rgb="FFFFC7CE"/>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
      <fill>
        <patternFill patternType="solid">
          <bgColor theme="8" tint="0.39997558519241921"/>
        </patternFill>
      </fill>
    </dxf>
  </dxfs>
  <tableStyles count="0" defaultTableStyle="TableStyleMedium9" defaultPivotStyle="PivotStyleMedium4"/>
  <colors>
    <mruColors>
      <color rgb="FFD364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7.xml"/><Relationship Id="rId3" Type="http://schemas.openxmlformats.org/officeDocument/2006/relationships/worksheet" Target="worksheets/sheet3.xml"/><Relationship Id="rId21" Type="http://schemas.openxmlformats.org/officeDocument/2006/relationships/pivotCacheDefinition" Target="pivotCache/pivotCacheDefinition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6.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pivotCacheDefinition" Target="pivotCache/pivotCacheDefinition1.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5.xml"/><Relationship Id="rId32"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4.xml"/><Relationship Id="rId28" Type="http://schemas.openxmlformats.org/officeDocument/2006/relationships/pivotCacheDefinition" Target="pivotCache/pivotCacheDefinition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3.xml"/><Relationship Id="rId27" Type="http://schemas.openxmlformats.org/officeDocument/2006/relationships/pivotCacheDefinition" Target="pivotCache/pivotCacheDefinition8.xml"/><Relationship Id="rId30" Type="http://schemas.openxmlformats.org/officeDocument/2006/relationships/styles" Target="styles.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All season food breakdown</a:t>
            </a:r>
          </a:p>
        </c:rich>
      </c:tx>
      <c:layout>
        <c:manualLayout>
          <c:xMode val="edge"/>
          <c:yMode val="edge"/>
          <c:x val="0.28995122484689412"/>
          <c:y val="6.94444444444444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540C-7544-BB3F-AB473370175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540C-7544-BB3F-AB473370175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540C-7544-BB3F-AB473370175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540C-7544-BB3F-AB473370175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540C-7544-BB3F-AB473370175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540C-7544-BB3F-AB473370175B}"/>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540C-7544-BB3F-AB473370175B}"/>
              </c:ext>
            </c:extLst>
          </c:dPt>
          <c:cat>
            <c:strRef>
              <c:f>'All season aquisition'!$M$3:$M$9</c:f>
              <c:strCache>
                <c:ptCount val="7"/>
                <c:pt idx="0">
                  <c:v>Animal flesh</c:v>
                </c:pt>
                <c:pt idx="1">
                  <c:v>Berry</c:v>
                </c:pt>
                <c:pt idx="2">
                  <c:v>Human food</c:v>
                </c:pt>
                <c:pt idx="3">
                  <c:v>Insect</c:v>
                </c:pt>
                <c:pt idx="4">
                  <c:v>Misc</c:v>
                </c:pt>
                <c:pt idx="5">
                  <c:v>Mushroom</c:v>
                </c:pt>
                <c:pt idx="6">
                  <c:v>Unknown</c:v>
                </c:pt>
              </c:strCache>
            </c:strRef>
          </c:cat>
          <c:val>
            <c:numRef>
              <c:f>'All season aquisition'!$N$3:$N$9</c:f>
              <c:numCache>
                <c:formatCode>General</c:formatCode>
                <c:ptCount val="7"/>
                <c:pt idx="0">
                  <c:v>103</c:v>
                </c:pt>
                <c:pt idx="1">
                  <c:v>131</c:v>
                </c:pt>
                <c:pt idx="2">
                  <c:v>26</c:v>
                </c:pt>
                <c:pt idx="3">
                  <c:v>121</c:v>
                </c:pt>
                <c:pt idx="4">
                  <c:v>11</c:v>
                </c:pt>
                <c:pt idx="5">
                  <c:v>70</c:v>
                </c:pt>
                <c:pt idx="6">
                  <c:v>682</c:v>
                </c:pt>
              </c:numCache>
            </c:numRef>
          </c:val>
          <c:extLst>
            <c:ext xmlns:c16="http://schemas.microsoft.com/office/drawing/2014/chart" uri="{C3380CC4-5D6E-409C-BE32-E72D297353CC}">
              <c16:uniqueId val="{00000000-4DD2-7C42-B9BB-86952994373E}"/>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season aquisition'!$U$33</c:f>
              <c:strCache>
                <c:ptCount val="1"/>
                <c:pt idx="0">
                  <c:v>Animal flesh</c:v>
                </c:pt>
              </c:strCache>
            </c:strRef>
          </c:tx>
          <c:spPr>
            <a:solidFill>
              <a:schemeClr val="accent1"/>
            </a:solidFill>
            <a:ln>
              <a:noFill/>
            </a:ln>
            <a:effectLst/>
          </c:spPr>
          <c:invertIfNegative val="0"/>
          <c:cat>
            <c:strRef>
              <c:f>'All season aquisition'!$V$32:$AC$32</c:f>
              <c:strCache>
                <c:ptCount val="8"/>
                <c:pt idx="0">
                  <c:v>March</c:v>
                </c:pt>
                <c:pt idx="1">
                  <c:v>April</c:v>
                </c:pt>
                <c:pt idx="2">
                  <c:v>May</c:v>
                </c:pt>
                <c:pt idx="3">
                  <c:v>June</c:v>
                </c:pt>
                <c:pt idx="4">
                  <c:v>July</c:v>
                </c:pt>
                <c:pt idx="5">
                  <c:v>August</c:v>
                </c:pt>
                <c:pt idx="6">
                  <c:v>September</c:v>
                </c:pt>
                <c:pt idx="7">
                  <c:v>October </c:v>
                </c:pt>
              </c:strCache>
            </c:strRef>
          </c:cat>
          <c:val>
            <c:numRef>
              <c:f>'All season aquisition'!$V$33:$AC$33</c:f>
              <c:numCache>
                <c:formatCode>General</c:formatCode>
                <c:ptCount val="8"/>
                <c:pt idx="0">
                  <c:v>10.823529411764707</c:v>
                </c:pt>
                <c:pt idx="1">
                  <c:v>6.3888888888888893</c:v>
                </c:pt>
                <c:pt idx="2">
                  <c:v>0</c:v>
                </c:pt>
                <c:pt idx="3">
                  <c:v>23</c:v>
                </c:pt>
                <c:pt idx="4">
                  <c:v>0</c:v>
                </c:pt>
                <c:pt idx="5">
                  <c:v>5.4761904761904763</c:v>
                </c:pt>
                <c:pt idx="6">
                  <c:v>25</c:v>
                </c:pt>
                <c:pt idx="7">
                  <c:v>65.714285714285722</c:v>
                </c:pt>
              </c:numCache>
            </c:numRef>
          </c:val>
          <c:extLst>
            <c:ext xmlns:c16="http://schemas.microsoft.com/office/drawing/2014/chart" uri="{C3380CC4-5D6E-409C-BE32-E72D297353CC}">
              <c16:uniqueId val="{00000000-ADB2-8146-A58C-0DD96E61338A}"/>
            </c:ext>
          </c:extLst>
        </c:ser>
        <c:ser>
          <c:idx val="1"/>
          <c:order val="1"/>
          <c:tx>
            <c:strRef>
              <c:f>'All season aquisition'!$U$34</c:f>
              <c:strCache>
                <c:ptCount val="1"/>
                <c:pt idx="0">
                  <c:v>Berries</c:v>
                </c:pt>
              </c:strCache>
            </c:strRef>
          </c:tx>
          <c:spPr>
            <a:solidFill>
              <a:schemeClr val="accent2"/>
            </a:solidFill>
            <a:ln>
              <a:noFill/>
            </a:ln>
            <a:effectLst/>
          </c:spPr>
          <c:invertIfNegative val="0"/>
          <c:cat>
            <c:strRef>
              <c:f>'All season aquisition'!$V$32:$AC$32</c:f>
              <c:strCache>
                <c:ptCount val="8"/>
                <c:pt idx="0">
                  <c:v>March</c:v>
                </c:pt>
                <c:pt idx="1">
                  <c:v>April</c:v>
                </c:pt>
                <c:pt idx="2">
                  <c:v>May</c:v>
                </c:pt>
                <c:pt idx="3">
                  <c:v>June</c:v>
                </c:pt>
                <c:pt idx="4">
                  <c:v>July</c:v>
                </c:pt>
                <c:pt idx="5">
                  <c:v>August</c:v>
                </c:pt>
                <c:pt idx="6">
                  <c:v>September</c:v>
                </c:pt>
                <c:pt idx="7">
                  <c:v>October </c:v>
                </c:pt>
              </c:strCache>
            </c:strRef>
          </c:cat>
          <c:val>
            <c:numRef>
              <c:f>'All season aquisition'!$V$34:$AC$34</c:f>
              <c:numCache>
                <c:formatCode>General</c:formatCode>
                <c:ptCount val="8"/>
                <c:pt idx="0">
                  <c:v>25.705882352941178</c:v>
                </c:pt>
                <c:pt idx="1">
                  <c:v>23</c:v>
                </c:pt>
                <c:pt idx="2">
                  <c:v>3.2857142857142856</c:v>
                </c:pt>
                <c:pt idx="3">
                  <c:v>23</c:v>
                </c:pt>
                <c:pt idx="4">
                  <c:v>0</c:v>
                </c:pt>
                <c:pt idx="5">
                  <c:v>17.523809523809522</c:v>
                </c:pt>
                <c:pt idx="6">
                  <c:v>28</c:v>
                </c:pt>
                <c:pt idx="7">
                  <c:v>53.666666666666671</c:v>
                </c:pt>
              </c:numCache>
            </c:numRef>
          </c:val>
          <c:extLst>
            <c:ext xmlns:c16="http://schemas.microsoft.com/office/drawing/2014/chart" uri="{C3380CC4-5D6E-409C-BE32-E72D297353CC}">
              <c16:uniqueId val="{00000001-ADB2-8146-A58C-0DD96E61338A}"/>
            </c:ext>
          </c:extLst>
        </c:ser>
        <c:ser>
          <c:idx val="2"/>
          <c:order val="2"/>
          <c:tx>
            <c:strRef>
              <c:f>'All season aquisition'!$U$35</c:f>
              <c:strCache>
                <c:ptCount val="1"/>
                <c:pt idx="0">
                  <c:v>Human food</c:v>
                </c:pt>
              </c:strCache>
            </c:strRef>
          </c:tx>
          <c:spPr>
            <a:solidFill>
              <a:schemeClr val="accent3"/>
            </a:solidFill>
            <a:ln>
              <a:noFill/>
            </a:ln>
            <a:effectLst/>
          </c:spPr>
          <c:invertIfNegative val="0"/>
          <c:cat>
            <c:strRef>
              <c:f>'All season aquisition'!$V$32:$AC$32</c:f>
              <c:strCache>
                <c:ptCount val="8"/>
                <c:pt idx="0">
                  <c:v>March</c:v>
                </c:pt>
                <c:pt idx="1">
                  <c:v>April</c:v>
                </c:pt>
                <c:pt idx="2">
                  <c:v>May</c:v>
                </c:pt>
                <c:pt idx="3">
                  <c:v>June</c:v>
                </c:pt>
                <c:pt idx="4">
                  <c:v>July</c:v>
                </c:pt>
                <c:pt idx="5">
                  <c:v>August</c:v>
                </c:pt>
                <c:pt idx="6">
                  <c:v>September</c:v>
                </c:pt>
                <c:pt idx="7">
                  <c:v>October </c:v>
                </c:pt>
              </c:strCache>
            </c:strRef>
          </c:cat>
          <c:val>
            <c:numRef>
              <c:f>'All season aquisition'!$V$35:$AC$35</c:f>
              <c:numCache>
                <c:formatCode>General</c:formatCode>
                <c:ptCount val="8"/>
                <c:pt idx="0">
                  <c:v>0</c:v>
                </c:pt>
                <c:pt idx="1">
                  <c:v>2.5555555555555554</c:v>
                </c:pt>
                <c:pt idx="2">
                  <c:v>0</c:v>
                </c:pt>
                <c:pt idx="3">
                  <c:v>0</c:v>
                </c:pt>
                <c:pt idx="4">
                  <c:v>0</c:v>
                </c:pt>
                <c:pt idx="5">
                  <c:v>3.2857142857142856</c:v>
                </c:pt>
                <c:pt idx="6">
                  <c:v>18</c:v>
                </c:pt>
                <c:pt idx="7">
                  <c:v>2.1904761904761902</c:v>
                </c:pt>
              </c:numCache>
            </c:numRef>
          </c:val>
          <c:extLst>
            <c:ext xmlns:c16="http://schemas.microsoft.com/office/drawing/2014/chart" uri="{C3380CC4-5D6E-409C-BE32-E72D297353CC}">
              <c16:uniqueId val="{00000002-ADB2-8146-A58C-0DD96E61338A}"/>
            </c:ext>
          </c:extLst>
        </c:ser>
        <c:ser>
          <c:idx val="3"/>
          <c:order val="3"/>
          <c:tx>
            <c:strRef>
              <c:f>'All season aquisition'!$U$36</c:f>
              <c:strCache>
                <c:ptCount val="1"/>
                <c:pt idx="0">
                  <c:v>Insects</c:v>
                </c:pt>
              </c:strCache>
            </c:strRef>
          </c:tx>
          <c:spPr>
            <a:solidFill>
              <a:schemeClr val="accent4"/>
            </a:solidFill>
            <a:ln>
              <a:noFill/>
            </a:ln>
            <a:effectLst/>
          </c:spPr>
          <c:invertIfNegative val="0"/>
          <c:cat>
            <c:strRef>
              <c:f>'All season aquisition'!$V$32:$AC$32</c:f>
              <c:strCache>
                <c:ptCount val="8"/>
                <c:pt idx="0">
                  <c:v>March</c:v>
                </c:pt>
                <c:pt idx="1">
                  <c:v>April</c:v>
                </c:pt>
                <c:pt idx="2">
                  <c:v>May</c:v>
                </c:pt>
                <c:pt idx="3">
                  <c:v>June</c:v>
                </c:pt>
                <c:pt idx="4">
                  <c:v>July</c:v>
                </c:pt>
                <c:pt idx="5">
                  <c:v>August</c:v>
                </c:pt>
                <c:pt idx="6">
                  <c:v>September</c:v>
                </c:pt>
                <c:pt idx="7">
                  <c:v>October </c:v>
                </c:pt>
              </c:strCache>
            </c:strRef>
          </c:cat>
          <c:val>
            <c:numRef>
              <c:f>'All season aquisition'!$V$36:$AC$36</c:f>
              <c:numCache>
                <c:formatCode>General</c:formatCode>
                <c:ptCount val="8"/>
                <c:pt idx="0">
                  <c:v>14.882352941176471</c:v>
                </c:pt>
                <c:pt idx="1">
                  <c:v>61.333333333333329</c:v>
                </c:pt>
                <c:pt idx="2">
                  <c:v>39.428571428571423</c:v>
                </c:pt>
                <c:pt idx="3">
                  <c:v>23</c:v>
                </c:pt>
                <c:pt idx="4">
                  <c:v>7.6666666666666661</c:v>
                </c:pt>
                <c:pt idx="5">
                  <c:v>21.904761904761905</c:v>
                </c:pt>
                <c:pt idx="6">
                  <c:v>21</c:v>
                </c:pt>
                <c:pt idx="7">
                  <c:v>7.6666666666666661</c:v>
                </c:pt>
              </c:numCache>
            </c:numRef>
          </c:val>
          <c:extLst>
            <c:ext xmlns:c16="http://schemas.microsoft.com/office/drawing/2014/chart" uri="{C3380CC4-5D6E-409C-BE32-E72D297353CC}">
              <c16:uniqueId val="{00000003-ADB2-8146-A58C-0DD96E61338A}"/>
            </c:ext>
          </c:extLst>
        </c:ser>
        <c:ser>
          <c:idx val="4"/>
          <c:order val="4"/>
          <c:tx>
            <c:strRef>
              <c:f>'All season aquisition'!$U$37</c:f>
              <c:strCache>
                <c:ptCount val="1"/>
                <c:pt idx="0">
                  <c:v>Misc</c:v>
                </c:pt>
              </c:strCache>
            </c:strRef>
          </c:tx>
          <c:spPr>
            <a:solidFill>
              <a:schemeClr val="accent5"/>
            </a:solidFill>
            <a:ln>
              <a:noFill/>
            </a:ln>
            <a:effectLst/>
          </c:spPr>
          <c:invertIfNegative val="0"/>
          <c:cat>
            <c:strRef>
              <c:f>'All season aquisition'!$V$32:$AC$32</c:f>
              <c:strCache>
                <c:ptCount val="8"/>
                <c:pt idx="0">
                  <c:v>March</c:v>
                </c:pt>
                <c:pt idx="1">
                  <c:v>April</c:v>
                </c:pt>
                <c:pt idx="2">
                  <c:v>May</c:v>
                </c:pt>
                <c:pt idx="3">
                  <c:v>June</c:v>
                </c:pt>
                <c:pt idx="4">
                  <c:v>July</c:v>
                </c:pt>
                <c:pt idx="5">
                  <c:v>August</c:v>
                </c:pt>
                <c:pt idx="6">
                  <c:v>September</c:v>
                </c:pt>
                <c:pt idx="7">
                  <c:v>October </c:v>
                </c:pt>
              </c:strCache>
            </c:strRef>
          </c:cat>
          <c:val>
            <c:numRef>
              <c:f>'All season aquisition'!$V$37:$AC$37</c:f>
              <c:numCache>
                <c:formatCode>General</c:formatCode>
                <c:ptCount val="8"/>
                <c:pt idx="0">
                  <c:v>6.7647058823529411</c:v>
                </c:pt>
                <c:pt idx="1">
                  <c:v>0</c:v>
                </c:pt>
                <c:pt idx="2">
                  <c:v>0</c:v>
                </c:pt>
                <c:pt idx="3">
                  <c:v>0</c:v>
                </c:pt>
                <c:pt idx="4">
                  <c:v>0</c:v>
                </c:pt>
                <c:pt idx="5">
                  <c:v>4.3809523809523805</c:v>
                </c:pt>
                <c:pt idx="6">
                  <c:v>2</c:v>
                </c:pt>
                <c:pt idx="7">
                  <c:v>0</c:v>
                </c:pt>
              </c:numCache>
            </c:numRef>
          </c:val>
          <c:extLst>
            <c:ext xmlns:c16="http://schemas.microsoft.com/office/drawing/2014/chart" uri="{C3380CC4-5D6E-409C-BE32-E72D297353CC}">
              <c16:uniqueId val="{00000004-ADB2-8146-A58C-0DD96E61338A}"/>
            </c:ext>
          </c:extLst>
        </c:ser>
        <c:ser>
          <c:idx val="5"/>
          <c:order val="5"/>
          <c:tx>
            <c:strRef>
              <c:f>'All season aquisition'!$U$38</c:f>
              <c:strCache>
                <c:ptCount val="1"/>
                <c:pt idx="0">
                  <c:v>Mushrooms</c:v>
                </c:pt>
              </c:strCache>
            </c:strRef>
          </c:tx>
          <c:spPr>
            <a:solidFill>
              <a:schemeClr val="accent6"/>
            </a:solidFill>
            <a:ln>
              <a:noFill/>
            </a:ln>
            <a:effectLst/>
          </c:spPr>
          <c:invertIfNegative val="0"/>
          <c:cat>
            <c:strRef>
              <c:f>'All season aquisition'!$V$32:$AC$32</c:f>
              <c:strCache>
                <c:ptCount val="8"/>
                <c:pt idx="0">
                  <c:v>March</c:v>
                </c:pt>
                <c:pt idx="1">
                  <c:v>April</c:v>
                </c:pt>
                <c:pt idx="2">
                  <c:v>May</c:v>
                </c:pt>
                <c:pt idx="3">
                  <c:v>June</c:v>
                </c:pt>
                <c:pt idx="4">
                  <c:v>July</c:v>
                </c:pt>
                <c:pt idx="5">
                  <c:v>August</c:v>
                </c:pt>
                <c:pt idx="6">
                  <c:v>September</c:v>
                </c:pt>
                <c:pt idx="7">
                  <c:v>October </c:v>
                </c:pt>
              </c:strCache>
            </c:strRef>
          </c:cat>
          <c:val>
            <c:numRef>
              <c:f>'All season aquisition'!$V$38:$AC$38</c:f>
              <c:numCache>
                <c:formatCode>General</c:formatCode>
                <c:ptCount val="8"/>
                <c:pt idx="0">
                  <c:v>1.3529411764705883</c:v>
                </c:pt>
                <c:pt idx="1">
                  <c:v>1.2777777777777777</c:v>
                </c:pt>
                <c:pt idx="2">
                  <c:v>0</c:v>
                </c:pt>
                <c:pt idx="3">
                  <c:v>23</c:v>
                </c:pt>
                <c:pt idx="4">
                  <c:v>0</c:v>
                </c:pt>
                <c:pt idx="5">
                  <c:v>48.19047619047619</c:v>
                </c:pt>
                <c:pt idx="6">
                  <c:v>22</c:v>
                </c:pt>
                <c:pt idx="7">
                  <c:v>1.0952380952380951</c:v>
                </c:pt>
              </c:numCache>
            </c:numRef>
          </c:val>
          <c:extLst>
            <c:ext xmlns:c16="http://schemas.microsoft.com/office/drawing/2014/chart" uri="{C3380CC4-5D6E-409C-BE32-E72D297353CC}">
              <c16:uniqueId val="{00000005-ADB2-8146-A58C-0DD96E61338A}"/>
            </c:ext>
          </c:extLst>
        </c:ser>
        <c:dLbls>
          <c:showLegendKey val="0"/>
          <c:showVal val="0"/>
          <c:showCatName val="0"/>
          <c:showSerName val="0"/>
          <c:showPercent val="0"/>
          <c:showBubbleSize val="0"/>
        </c:dLbls>
        <c:gapWidth val="219"/>
        <c:overlap val="-27"/>
        <c:axId val="277911711"/>
        <c:axId val="277958111"/>
      </c:barChart>
      <c:catAx>
        <c:axId val="2779117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7958111"/>
        <c:crosses val="autoZero"/>
        <c:auto val="1"/>
        <c:lblAlgn val="ctr"/>
        <c:lblOffset val="100"/>
        <c:noMultiLvlLbl val="0"/>
      </c:catAx>
      <c:valAx>
        <c:axId val="27795811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Aquisitions</a:t>
                </a:r>
                <a:r>
                  <a:rPr lang="en-US" baseline="0"/>
                  <a:t> relative to days in field</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7791171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'All season aquisition'!$AG$43</c:f>
              <c:strCache>
                <c:ptCount val="1"/>
                <c:pt idx="0">
                  <c:v>Spring </c:v>
                </c:pt>
              </c:strCache>
            </c:strRef>
          </c:tx>
          <c:spPr>
            <a:solidFill>
              <a:schemeClr val="tx1"/>
            </a:solidFill>
            <a:ln>
              <a:noFill/>
            </a:ln>
            <a:effectLst/>
          </c:spPr>
          <c:invertIfNegative val="0"/>
          <c:cat>
            <c:strRef>
              <c:f>'All season aquisition'!$AF$44:$AF$49</c:f>
              <c:strCache>
                <c:ptCount val="6"/>
                <c:pt idx="0">
                  <c:v>Animal flesh</c:v>
                </c:pt>
                <c:pt idx="1">
                  <c:v>Berries</c:v>
                </c:pt>
                <c:pt idx="2">
                  <c:v>Human food</c:v>
                </c:pt>
                <c:pt idx="3">
                  <c:v>Insects</c:v>
                </c:pt>
                <c:pt idx="4">
                  <c:v>Misc</c:v>
                </c:pt>
                <c:pt idx="5">
                  <c:v>Mushrooms</c:v>
                </c:pt>
              </c:strCache>
            </c:strRef>
          </c:cat>
          <c:val>
            <c:numRef>
              <c:f>'All season aquisition'!$AG$44:$AG$49</c:f>
              <c:numCache>
                <c:formatCode>0.00</c:formatCode>
                <c:ptCount val="6"/>
                <c:pt idx="0">
                  <c:v>17.212418300653596</c:v>
                </c:pt>
                <c:pt idx="1">
                  <c:v>51.991596638655459</c:v>
                </c:pt>
                <c:pt idx="2">
                  <c:v>2.5555555555555554</c:v>
                </c:pt>
                <c:pt idx="3">
                  <c:v>115.64425770308122</c:v>
                </c:pt>
                <c:pt idx="4">
                  <c:v>6.7647058823529411</c:v>
                </c:pt>
                <c:pt idx="5">
                  <c:v>2.630718954248366</c:v>
                </c:pt>
              </c:numCache>
            </c:numRef>
          </c:val>
          <c:extLst>
            <c:ext xmlns:c16="http://schemas.microsoft.com/office/drawing/2014/chart" uri="{C3380CC4-5D6E-409C-BE32-E72D297353CC}">
              <c16:uniqueId val="{00000000-7A98-C841-9207-0285AD5565DE}"/>
            </c:ext>
          </c:extLst>
        </c:ser>
        <c:ser>
          <c:idx val="1"/>
          <c:order val="1"/>
          <c:tx>
            <c:strRef>
              <c:f>'All season aquisition'!$AH$43</c:f>
              <c:strCache>
                <c:ptCount val="1"/>
                <c:pt idx="0">
                  <c:v>Fall</c:v>
                </c:pt>
              </c:strCache>
            </c:strRef>
          </c:tx>
          <c:spPr>
            <a:solidFill>
              <a:schemeClr val="bg1">
                <a:lumMod val="75000"/>
              </a:schemeClr>
            </a:solidFill>
            <a:ln>
              <a:noFill/>
            </a:ln>
            <a:effectLst/>
          </c:spPr>
          <c:invertIfNegative val="0"/>
          <c:cat>
            <c:strRef>
              <c:f>'All season aquisition'!$AF$44:$AF$49</c:f>
              <c:strCache>
                <c:ptCount val="6"/>
                <c:pt idx="0">
                  <c:v>Animal flesh</c:v>
                </c:pt>
                <c:pt idx="1">
                  <c:v>Berries</c:v>
                </c:pt>
                <c:pt idx="2">
                  <c:v>Human food</c:v>
                </c:pt>
                <c:pt idx="3">
                  <c:v>Insects</c:v>
                </c:pt>
                <c:pt idx="4">
                  <c:v>Misc</c:v>
                </c:pt>
                <c:pt idx="5">
                  <c:v>Mushrooms</c:v>
                </c:pt>
              </c:strCache>
            </c:strRef>
          </c:cat>
          <c:val>
            <c:numRef>
              <c:f>'All season aquisition'!$AH$44:$AH$49</c:f>
              <c:numCache>
                <c:formatCode>0.00</c:formatCode>
                <c:ptCount val="6"/>
                <c:pt idx="0">
                  <c:v>96.190476190476204</c:v>
                </c:pt>
                <c:pt idx="1">
                  <c:v>99.19047619047619</c:v>
                </c:pt>
                <c:pt idx="2">
                  <c:v>23.476190476190474</c:v>
                </c:pt>
                <c:pt idx="3">
                  <c:v>50.571428571428569</c:v>
                </c:pt>
                <c:pt idx="4">
                  <c:v>6.3809523809523805</c:v>
                </c:pt>
                <c:pt idx="5">
                  <c:v>71.285714285714292</c:v>
                </c:pt>
              </c:numCache>
            </c:numRef>
          </c:val>
          <c:extLst>
            <c:ext xmlns:c16="http://schemas.microsoft.com/office/drawing/2014/chart" uri="{C3380CC4-5D6E-409C-BE32-E72D297353CC}">
              <c16:uniqueId val="{00000001-7A98-C841-9207-0285AD5565DE}"/>
            </c:ext>
          </c:extLst>
        </c:ser>
        <c:dLbls>
          <c:showLegendKey val="0"/>
          <c:showVal val="0"/>
          <c:showCatName val="0"/>
          <c:showSerName val="0"/>
          <c:showPercent val="0"/>
          <c:showBubbleSize val="0"/>
        </c:dLbls>
        <c:gapWidth val="300"/>
        <c:axId val="731100415"/>
        <c:axId val="721089999"/>
      </c:barChart>
      <c:catAx>
        <c:axId val="73110041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Food type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21089999"/>
        <c:crosses val="autoZero"/>
        <c:auto val="1"/>
        <c:lblAlgn val="ctr"/>
        <c:lblOffset val="100"/>
        <c:noMultiLvlLbl val="0"/>
      </c:catAx>
      <c:valAx>
        <c:axId val="7210899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Corrected aquisition counts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7311004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Seasonal</a:t>
            </a:r>
            <a:r>
              <a:rPr lang="en-US" baseline="0"/>
              <a:t> differences in food type</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'All season aquisition'!$AE$17</c:f>
              <c:strCache>
                <c:ptCount val="1"/>
                <c:pt idx="0">
                  <c:v>Spring</c:v>
                </c:pt>
              </c:strCache>
            </c:strRef>
          </c:tx>
          <c:spPr>
            <a:solidFill>
              <a:schemeClr val="accent6">
                <a:lumMod val="50000"/>
              </a:schemeClr>
            </a:solidFill>
            <a:ln>
              <a:noFill/>
            </a:ln>
            <a:effectLst/>
          </c:spPr>
          <c:invertIfNegative val="0"/>
          <c:cat>
            <c:strRef>
              <c:f>'All season aquisition'!$AD$18:$AD$23</c:f>
              <c:strCache>
                <c:ptCount val="6"/>
                <c:pt idx="0">
                  <c:v>Animal flesh</c:v>
                </c:pt>
                <c:pt idx="1">
                  <c:v>Berry</c:v>
                </c:pt>
                <c:pt idx="2">
                  <c:v>Human food</c:v>
                </c:pt>
                <c:pt idx="3">
                  <c:v>Insect</c:v>
                </c:pt>
                <c:pt idx="4">
                  <c:v>Misc</c:v>
                </c:pt>
                <c:pt idx="5">
                  <c:v>Mushroom</c:v>
                </c:pt>
              </c:strCache>
            </c:strRef>
          </c:cat>
          <c:val>
            <c:numRef>
              <c:f>'All season aquisition'!$AE$18:$AE$23</c:f>
              <c:numCache>
                <c:formatCode>0%</c:formatCode>
                <c:ptCount val="6"/>
                <c:pt idx="0">
                  <c:v>9.9236641221374045E-2</c:v>
                </c:pt>
                <c:pt idx="1">
                  <c:v>0.29007633587786258</c:v>
                </c:pt>
                <c:pt idx="2">
                  <c:v>1.5267175572519083E-2</c:v>
                </c:pt>
                <c:pt idx="3">
                  <c:v>0.5419847328244275</c:v>
                </c:pt>
                <c:pt idx="4">
                  <c:v>3.8167938931297711E-2</c:v>
                </c:pt>
                <c:pt idx="5">
                  <c:v>1.5267175572519083E-2</c:v>
                </c:pt>
              </c:numCache>
            </c:numRef>
          </c:val>
          <c:extLst>
            <c:ext xmlns:c16="http://schemas.microsoft.com/office/drawing/2014/chart" uri="{C3380CC4-5D6E-409C-BE32-E72D297353CC}">
              <c16:uniqueId val="{00000000-8BBB-DA4F-A783-24679D168F3A}"/>
            </c:ext>
          </c:extLst>
        </c:ser>
        <c:ser>
          <c:idx val="1"/>
          <c:order val="1"/>
          <c:tx>
            <c:strRef>
              <c:f>'All season aquisition'!$AF$17</c:f>
              <c:strCache>
                <c:ptCount val="1"/>
                <c:pt idx="0">
                  <c:v>Fall</c:v>
                </c:pt>
              </c:strCache>
            </c:strRef>
          </c:tx>
          <c:spPr>
            <a:solidFill>
              <a:schemeClr val="tx2">
                <a:lumMod val="50000"/>
              </a:schemeClr>
            </a:solidFill>
            <a:ln>
              <a:solidFill>
                <a:schemeClr val="tx1"/>
              </a:solidFill>
            </a:ln>
            <a:effectLst/>
          </c:spPr>
          <c:invertIfNegative val="0"/>
          <c:cat>
            <c:strRef>
              <c:f>'All season aquisition'!$AD$18:$AD$23</c:f>
              <c:strCache>
                <c:ptCount val="6"/>
                <c:pt idx="0">
                  <c:v>Animal flesh</c:v>
                </c:pt>
                <c:pt idx="1">
                  <c:v>Berry</c:v>
                </c:pt>
                <c:pt idx="2">
                  <c:v>Human food</c:v>
                </c:pt>
                <c:pt idx="3">
                  <c:v>Insect</c:v>
                </c:pt>
                <c:pt idx="4">
                  <c:v>Misc</c:v>
                </c:pt>
                <c:pt idx="5">
                  <c:v>Mushroom</c:v>
                </c:pt>
              </c:strCache>
            </c:strRef>
          </c:cat>
          <c:val>
            <c:numRef>
              <c:f>'All season aquisition'!$AF$18:$AF$23</c:f>
              <c:numCache>
                <c:formatCode>0%</c:formatCode>
                <c:ptCount val="6"/>
                <c:pt idx="0">
                  <c:v>0.27522935779816515</c:v>
                </c:pt>
                <c:pt idx="1">
                  <c:v>0.28440366972477066</c:v>
                </c:pt>
                <c:pt idx="2">
                  <c:v>7.0336391437308868E-2</c:v>
                </c:pt>
                <c:pt idx="3">
                  <c:v>0.14678899082568808</c:v>
                </c:pt>
                <c:pt idx="4">
                  <c:v>1.834862385321101E-2</c:v>
                </c:pt>
                <c:pt idx="5">
                  <c:v>0.20489296636085627</c:v>
                </c:pt>
              </c:numCache>
            </c:numRef>
          </c:val>
          <c:extLst>
            <c:ext xmlns:c16="http://schemas.microsoft.com/office/drawing/2014/chart" uri="{C3380CC4-5D6E-409C-BE32-E72D297353CC}">
              <c16:uniqueId val="{00000001-8BBB-DA4F-A783-24679D168F3A}"/>
            </c:ext>
          </c:extLst>
        </c:ser>
        <c:dLbls>
          <c:showLegendKey val="0"/>
          <c:showVal val="0"/>
          <c:showCatName val="0"/>
          <c:showSerName val="0"/>
          <c:showPercent val="0"/>
          <c:showBubbleSize val="0"/>
        </c:dLbls>
        <c:gapWidth val="219"/>
        <c:overlap val="-27"/>
        <c:axId val="122923999"/>
        <c:axId val="122925631"/>
      </c:barChart>
      <c:catAx>
        <c:axId val="122923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925631"/>
        <c:crosses val="autoZero"/>
        <c:auto val="1"/>
        <c:lblAlgn val="ctr"/>
        <c:lblOffset val="100"/>
        <c:noMultiLvlLbl val="0"/>
      </c:catAx>
      <c:valAx>
        <c:axId val="122925631"/>
        <c:scaling>
          <c:orientation val="minMax"/>
          <c:max val="1"/>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known food items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92399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tx>
            <c:strRef>
              <c:f>'All season caches_pivot'!$N$3</c:f>
              <c:strCache>
                <c:ptCount val="1"/>
                <c:pt idx="0">
                  <c:v>Percent of known items </c:v>
                </c:pt>
              </c:strCache>
            </c:strRef>
          </c:tx>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644-EC4F-B83D-E2D507B1AAD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644-EC4F-B83D-E2D507B1AAD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644-EC4F-B83D-E2D507B1AAD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644-EC4F-B83D-E2D507B1AAD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644-EC4F-B83D-E2D507B1AADB}"/>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644-EC4F-B83D-E2D507B1AADB}"/>
              </c:ext>
            </c:extLst>
          </c:dPt>
          <c:cat>
            <c:strRef>
              <c:f>'All season caches_pivot'!$M$4:$M$9</c:f>
              <c:strCache>
                <c:ptCount val="6"/>
                <c:pt idx="0">
                  <c:v>Animal flesh</c:v>
                </c:pt>
                <c:pt idx="1">
                  <c:v>Berry</c:v>
                </c:pt>
                <c:pt idx="2">
                  <c:v>Human food</c:v>
                </c:pt>
                <c:pt idx="3">
                  <c:v>Insect</c:v>
                </c:pt>
                <c:pt idx="4">
                  <c:v>Misc</c:v>
                </c:pt>
                <c:pt idx="5">
                  <c:v>Mushroom</c:v>
                </c:pt>
              </c:strCache>
            </c:strRef>
          </c:cat>
          <c:val>
            <c:numRef>
              <c:f>'All season caches_pivot'!$N$4:$N$9</c:f>
              <c:numCache>
                <c:formatCode>0%</c:formatCode>
                <c:ptCount val="6"/>
                <c:pt idx="0">
                  <c:v>0.20564516129032259</c:v>
                </c:pt>
                <c:pt idx="1">
                  <c:v>0.24193548387096775</c:v>
                </c:pt>
                <c:pt idx="2">
                  <c:v>0.16935483870967741</c:v>
                </c:pt>
                <c:pt idx="3">
                  <c:v>4.0322580645161289E-3</c:v>
                </c:pt>
                <c:pt idx="4">
                  <c:v>4.0322580645161289E-3</c:v>
                </c:pt>
                <c:pt idx="5">
                  <c:v>0.16532258064516128</c:v>
                </c:pt>
              </c:numCache>
            </c:numRef>
          </c:val>
          <c:extLst>
            <c:ext xmlns:c16="http://schemas.microsoft.com/office/drawing/2014/chart" uri="{C3380CC4-5D6E-409C-BE32-E72D297353CC}">
              <c16:uniqueId val="{00000000-FFA2-274A-8A39-E64FFD78B825}"/>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'All season caches_pivot'!$V$30</c:f>
              <c:strCache>
                <c:ptCount val="1"/>
                <c:pt idx="0">
                  <c:v>Spring</c:v>
                </c:pt>
              </c:strCache>
            </c:strRef>
          </c:tx>
          <c:spPr>
            <a:solidFill>
              <a:schemeClr val="tx1"/>
            </a:solidFill>
            <a:ln>
              <a:noFill/>
            </a:ln>
            <a:effectLst/>
          </c:spPr>
          <c:invertIfNegative val="0"/>
          <c:cat>
            <c:strRef>
              <c:f>'All season caches_pivot'!$U$31:$U$36</c:f>
              <c:strCache>
                <c:ptCount val="6"/>
                <c:pt idx="0">
                  <c:v>Animal flesh</c:v>
                </c:pt>
                <c:pt idx="1">
                  <c:v>Berries</c:v>
                </c:pt>
                <c:pt idx="2">
                  <c:v>Human food</c:v>
                </c:pt>
                <c:pt idx="3">
                  <c:v>Insects</c:v>
                </c:pt>
                <c:pt idx="4">
                  <c:v>Misc</c:v>
                </c:pt>
                <c:pt idx="5">
                  <c:v>Mushrooms</c:v>
                </c:pt>
              </c:strCache>
            </c:strRef>
          </c:cat>
          <c:val>
            <c:numRef>
              <c:f>'All season caches_pivot'!$V$31:$V$36</c:f>
              <c:numCache>
                <c:formatCode>General</c:formatCode>
                <c:ptCount val="6"/>
                <c:pt idx="0">
                  <c:v>3.833333333333333</c:v>
                </c:pt>
                <c:pt idx="1">
                  <c:v>7.8921568627450984</c:v>
                </c:pt>
                <c:pt idx="2">
                  <c:v>2.5555555555555554</c:v>
                </c:pt>
                <c:pt idx="3">
                  <c:v>34.328197945845005</c:v>
                </c:pt>
                <c:pt idx="4">
                  <c:v>1.3529411764705883</c:v>
                </c:pt>
                <c:pt idx="5">
                  <c:v>0</c:v>
                </c:pt>
              </c:numCache>
            </c:numRef>
          </c:val>
          <c:extLst>
            <c:ext xmlns:c16="http://schemas.microsoft.com/office/drawing/2014/chart" uri="{C3380CC4-5D6E-409C-BE32-E72D297353CC}">
              <c16:uniqueId val="{00000000-F7BF-2146-A3E3-3D99BD59DDCC}"/>
            </c:ext>
          </c:extLst>
        </c:ser>
        <c:ser>
          <c:idx val="1"/>
          <c:order val="1"/>
          <c:tx>
            <c:strRef>
              <c:f>'All season caches_pivot'!$W$30</c:f>
              <c:strCache>
                <c:ptCount val="1"/>
                <c:pt idx="0">
                  <c:v>Fall</c:v>
                </c:pt>
              </c:strCache>
            </c:strRef>
          </c:tx>
          <c:spPr>
            <a:solidFill>
              <a:schemeClr val="bg1">
                <a:lumMod val="75000"/>
              </a:schemeClr>
            </a:solidFill>
            <a:ln>
              <a:noFill/>
            </a:ln>
            <a:effectLst/>
          </c:spPr>
          <c:invertIfNegative val="0"/>
          <c:cat>
            <c:strRef>
              <c:f>'All season caches_pivot'!$U$31:$U$36</c:f>
              <c:strCache>
                <c:ptCount val="6"/>
                <c:pt idx="0">
                  <c:v>Animal flesh</c:v>
                </c:pt>
                <c:pt idx="1">
                  <c:v>Berries</c:v>
                </c:pt>
                <c:pt idx="2">
                  <c:v>Human food</c:v>
                </c:pt>
                <c:pt idx="3">
                  <c:v>Insects</c:v>
                </c:pt>
                <c:pt idx="4">
                  <c:v>Misc</c:v>
                </c:pt>
                <c:pt idx="5">
                  <c:v>Mushrooms</c:v>
                </c:pt>
              </c:strCache>
            </c:strRef>
          </c:cat>
          <c:val>
            <c:numRef>
              <c:f>'All season caches_pivot'!$W$31:$W$36</c:f>
              <c:numCache>
                <c:formatCode>General</c:formatCode>
                <c:ptCount val="6"/>
                <c:pt idx="0">
                  <c:v>51.428571428571423</c:v>
                </c:pt>
                <c:pt idx="1">
                  <c:v>57.714285714285715</c:v>
                </c:pt>
                <c:pt idx="2">
                  <c:v>39.095238095238095</c:v>
                </c:pt>
                <c:pt idx="3">
                  <c:v>23.523809523809522</c:v>
                </c:pt>
                <c:pt idx="4">
                  <c:v>0</c:v>
                </c:pt>
                <c:pt idx="5">
                  <c:v>44.142857142857139</c:v>
                </c:pt>
              </c:numCache>
            </c:numRef>
          </c:val>
          <c:extLst>
            <c:ext xmlns:c16="http://schemas.microsoft.com/office/drawing/2014/chart" uri="{C3380CC4-5D6E-409C-BE32-E72D297353CC}">
              <c16:uniqueId val="{00000001-F7BF-2146-A3E3-3D99BD59DDCC}"/>
            </c:ext>
          </c:extLst>
        </c:ser>
        <c:dLbls>
          <c:showLegendKey val="0"/>
          <c:showVal val="0"/>
          <c:showCatName val="0"/>
          <c:showSerName val="0"/>
          <c:showPercent val="0"/>
          <c:showBubbleSize val="0"/>
        </c:dLbls>
        <c:gapWidth val="150"/>
        <c:axId val="114334880"/>
        <c:axId val="114343344"/>
      </c:barChart>
      <c:catAx>
        <c:axId val="1143348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Food type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14343344"/>
        <c:crosses val="autoZero"/>
        <c:auto val="1"/>
        <c:lblAlgn val="ctr"/>
        <c:lblOffset val="100"/>
        <c:noMultiLvlLbl val="0"/>
      </c:catAx>
      <c:valAx>
        <c:axId val="11434334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r>
                  <a:rPr lang="en-US"/>
                  <a:t>Corrected cache counts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crossAx val="11433488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17</xdr:col>
      <xdr:colOff>1145566</xdr:colOff>
      <xdr:row>0</xdr:row>
      <xdr:rowOff>187037</xdr:rowOff>
    </xdr:from>
    <xdr:to>
      <xdr:col>23</xdr:col>
      <xdr:colOff>419485</xdr:colOff>
      <xdr:row>14</xdr:row>
      <xdr:rowOff>56702</xdr:rowOff>
    </xdr:to>
    <xdr:graphicFrame macro="">
      <xdr:nvGraphicFramePr>
        <xdr:cNvPr id="2" name="Chart 1">
          <a:extLst>
            <a:ext uri="{FF2B5EF4-FFF2-40B4-BE49-F238E27FC236}">
              <a16:creationId xmlns:a16="http://schemas.microsoft.com/office/drawing/2014/main" id="{6819B997-31CF-0D4A-9EB7-5F04773F22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273241</xdr:colOff>
      <xdr:row>42</xdr:row>
      <xdr:rowOff>0</xdr:rowOff>
    </xdr:from>
    <xdr:to>
      <xdr:col>29</xdr:col>
      <xdr:colOff>12828</xdr:colOff>
      <xdr:row>61</xdr:row>
      <xdr:rowOff>31044</xdr:rowOff>
    </xdr:to>
    <xdr:graphicFrame macro="">
      <xdr:nvGraphicFramePr>
        <xdr:cNvPr id="4" name="Chart 3">
          <a:extLst>
            <a:ext uri="{FF2B5EF4-FFF2-40B4-BE49-F238E27FC236}">
              <a16:creationId xmlns:a16="http://schemas.microsoft.com/office/drawing/2014/main" id="{CCFDBD61-17D4-344E-B4FF-1099851B8F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37</xdr:col>
      <xdr:colOff>23894</xdr:colOff>
      <xdr:row>44</xdr:row>
      <xdr:rowOff>170207</xdr:rowOff>
    </xdr:from>
    <xdr:to>
      <xdr:col>43</xdr:col>
      <xdr:colOff>353505</xdr:colOff>
      <xdr:row>61</xdr:row>
      <xdr:rowOff>82158</xdr:rowOff>
    </xdr:to>
    <xdr:graphicFrame macro="">
      <xdr:nvGraphicFramePr>
        <xdr:cNvPr id="5" name="Chart 4">
          <a:extLst>
            <a:ext uri="{FF2B5EF4-FFF2-40B4-BE49-F238E27FC236}">
              <a16:creationId xmlns:a16="http://schemas.microsoft.com/office/drawing/2014/main" id="{DDB7892B-471E-744E-90AC-877221EE6D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28</xdr:col>
      <xdr:colOff>456938</xdr:colOff>
      <xdr:row>0</xdr:row>
      <xdr:rowOff>0</xdr:rowOff>
    </xdr:from>
    <xdr:to>
      <xdr:col>34</xdr:col>
      <xdr:colOff>117834</xdr:colOff>
      <xdr:row>14</xdr:row>
      <xdr:rowOff>193248</xdr:rowOff>
    </xdr:to>
    <xdr:graphicFrame macro="">
      <xdr:nvGraphicFramePr>
        <xdr:cNvPr id="6" name="Chart 5">
          <a:extLst>
            <a:ext uri="{FF2B5EF4-FFF2-40B4-BE49-F238E27FC236}">
              <a16:creationId xmlns:a16="http://schemas.microsoft.com/office/drawing/2014/main" id="{5859E267-C4E5-DA4C-9F0C-D470077AEF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1107082</xdr:colOff>
      <xdr:row>1</xdr:row>
      <xdr:rowOff>110067</xdr:rowOff>
    </xdr:from>
    <xdr:to>
      <xdr:col>21</xdr:col>
      <xdr:colOff>239889</xdr:colOff>
      <xdr:row>14</xdr:row>
      <xdr:rowOff>184985</xdr:rowOff>
    </xdr:to>
    <xdr:graphicFrame macro="">
      <xdr:nvGraphicFramePr>
        <xdr:cNvPr id="4" name="Chart 3">
          <a:extLst>
            <a:ext uri="{FF2B5EF4-FFF2-40B4-BE49-F238E27FC236}">
              <a16:creationId xmlns:a16="http://schemas.microsoft.com/office/drawing/2014/main" id="{A3C410A4-9C59-CF41-AF10-F9FAA640D7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166768</xdr:colOff>
      <xdr:row>40</xdr:row>
      <xdr:rowOff>110067</xdr:rowOff>
    </xdr:from>
    <xdr:to>
      <xdr:col>28</xdr:col>
      <xdr:colOff>513131</xdr:colOff>
      <xdr:row>53</xdr:row>
      <xdr:rowOff>184984</xdr:rowOff>
    </xdr:to>
    <xdr:graphicFrame macro="">
      <xdr:nvGraphicFramePr>
        <xdr:cNvPr id="3" name="Chart 2">
          <a:extLst>
            <a:ext uri="{FF2B5EF4-FFF2-40B4-BE49-F238E27FC236}">
              <a16:creationId xmlns:a16="http://schemas.microsoft.com/office/drawing/2014/main" id="{500E509B-91E8-0947-9F71-811C10BDD3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_rels/pivotCacheDefinition8.xml.rels><?xml version="1.0" encoding="UTF-8" standalone="yes"?>
<Relationships xmlns="http://schemas.openxmlformats.org/package/2006/relationships"><Relationship Id="rId1" Type="http://schemas.openxmlformats.org/officeDocument/2006/relationships/pivotCacheRecords" Target="pivotCacheRecords8.xml"/></Relationships>
</file>

<file path=xl/pivotCache/_rels/pivotCacheDefinition9.xml.rels><?xml version="1.0" encoding="UTF-8" standalone="yes"?>
<Relationships xmlns="http://schemas.openxmlformats.org/package/2006/relationships"><Relationship Id="rId1" Type="http://schemas.openxmlformats.org/officeDocument/2006/relationships/pivotCacheRecords" Target="pivotCacheRecords9.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elis" refreshedDate="44053.711296759262" createdVersion="6" refreshedVersion="6" minRefreshableVersion="3" recordCount="479" xr:uid="{FEC733C8-08CD-BB4D-8F1D-65309D784FB7}">
  <cacheSource type="worksheet">
    <worksheetSource ref="A1:AR1048576" sheet="All caches"/>
  </cacheSource>
  <cacheFields count="41">
    <cacheField name="Original name" numFmtId="0">
      <sharedItems containsBlank="1"/>
    </cacheField>
    <cacheField name="Clip name" numFmtId="0">
      <sharedItems containsBlank="1"/>
    </cacheField>
    <cacheField name="Clip number" numFmtId="0">
      <sharedItems containsString="0" containsBlank="1" containsNumber="1" containsInteger="1" minValue="1" maxValue="65" count="40">
        <n v="1"/>
        <n v="3"/>
        <n v="7"/>
        <n v="2"/>
        <n v="10"/>
        <n v="5"/>
        <n v="8"/>
        <n v="9"/>
        <n v="11"/>
        <n v="12"/>
        <n v="4"/>
        <n v="6"/>
        <n v="14"/>
        <n v="13"/>
        <m/>
        <n v="22"/>
        <n v="16"/>
        <n v="17"/>
        <n v="20"/>
        <n v="23"/>
        <n v="19"/>
        <n v="21"/>
        <n v="15"/>
        <n v="29"/>
        <n v="24"/>
        <n v="18"/>
        <n v="41"/>
        <n v="46"/>
        <n v="31"/>
        <n v="65"/>
        <n v="26"/>
        <n v="28"/>
        <n v="33"/>
        <n v="36"/>
        <n v="43"/>
        <n v="45"/>
        <n v="51"/>
        <n v="53"/>
        <n v="56"/>
        <n v="64"/>
      </sharedItems>
    </cacheField>
    <cacheField name="Clip event number" numFmtId="0">
      <sharedItems containsString="0" containsBlank="1" containsNumber="1" containsInteger="1" minValue="1" maxValue="8"/>
    </cacheField>
    <cacheField name="Territory name" numFmtId="0">
      <sharedItems containsBlank="1"/>
    </cacheField>
    <cacheField name="Date" numFmtId="0">
      <sharedItems containsNonDate="0" containsDate="1" containsString="0" containsBlank="1" minDate="2018-03-11T00:00:00" maxDate="2019-08-29T00:00:00"/>
    </cacheField>
    <cacheField name="Month" numFmtId="0">
      <sharedItems containsBlank="1" count="9">
        <s v="August"/>
        <s v="June"/>
        <s v="July"/>
        <s v="March"/>
        <s v="April"/>
        <s v="May"/>
        <s v="September"/>
        <s v="October"/>
        <m/>
      </sharedItems>
    </cacheField>
    <cacheField name="clip duration" numFmtId="0">
      <sharedItems containsDate="1" containsBlank="1" containsMixedTypes="1" minDate="1899-12-30T00:00:07" maxDate="1899-12-30T07:01:00"/>
    </cacheField>
    <cacheField name="Weather conditions" numFmtId="0">
      <sharedItems containsBlank="1"/>
    </cacheField>
    <cacheField name="Band combo " numFmtId="0">
      <sharedItems containsBlank="1"/>
    </cacheField>
    <cacheField name="Behavior(Foraging/Caching/Eating)" numFmtId="0">
      <sharedItems containsBlank="1"/>
    </cacheField>
    <cacheField name="Tree species" numFmtId="0">
      <sharedItems containsBlank="1"/>
    </cacheField>
    <cacheField name="Number of food acquisition successes " numFmtId="0">
      <sharedItems containsBlank="1" containsMixedTypes="1" containsNumber="1" containsInteger="1" minValue="0" maxValue="3"/>
    </cacheField>
    <cacheField name="Cache retrieved?" numFmtId="0">
      <sharedItems containsBlank="1" containsMixedTypes="1" containsNumber="1" containsInteger="1" minValue="0" maxValue="1"/>
    </cacheField>
    <cacheField name="Cache deposited?" numFmtId="0">
      <sharedItems containsString="0" containsBlank="1" containsNumber="1" containsInteger="1" minValue="1" maxValue="3" count="4">
        <n v="1"/>
        <n v="2"/>
        <n v="3"/>
        <m/>
      </sharedItems>
    </cacheField>
    <cacheField name="Food category" numFmtId="0">
      <sharedItems containsBlank="1" count="9">
        <s v="Unknown"/>
        <s v="Animal flesh"/>
        <s v="Mushroom"/>
        <s v="Insect"/>
        <s v="Berries"/>
        <s v="Human food"/>
        <s v="Berry"/>
        <s v="misc"/>
        <m/>
      </sharedItems>
    </cacheField>
    <cacheField name="Food item" numFmtId="0">
      <sharedItems containsBlank="1" count="65">
        <s v="Unknown"/>
        <s v="Animal flesh"/>
        <s v="puffball "/>
        <s v="Caterpiller"/>
        <s v="Blueberries"/>
        <s v="Bolete mushroom"/>
        <s v="Mushroom "/>
        <s v="Puffball"/>
        <s v="Hare guts"/>
        <s v="Slug"/>
        <s v="Insect"/>
        <s v="Berry"/>
        <s v="WORMY THING"/>
        <s v="Amanita"/>
        <s v="Pretzels"/>
        <s v="Cranberries"/>
        <s v="Snail"/>
        <s v="Hornet"/>
        <s v="Cracker"/>
        <s v="Insect grub"/>
        <s v="Insect (grub)"/>
        <s v="Berry (cranberry)"/>
        <s v="Berries (3)"/>
        <s v="Insect (Balck caterpiller)"/>
        <s v="Insect (caterpiller)"/>
        <s v="Spider"/>
        <s v="Spider and unknown"/>
        <s v="Insect (Black caterpiller)"/>
        <s v="Insects (2 caterpillars, incl brown and black ones and a SPIDER)"/>
        <s v="Insect (grub/caterpillar)"/>
        <s v="Insect (small Black caterpiller)"/>
        <s v="Berry (2- cranberry)"/>
        <s v="Animal flesh (snowshoe hare)"/>
        <s v="Unknown orange thing. "/>
        <s v="Berries (Cranberries; 4)"/>
        <s v="Bread"/>
        <s v="Berry (2 Cranberries)"/>
        <s v="Insect (caterpille/worm/slug-grub. IDK)"/>
        <s v="Berry (Blueberry)"/>
        <s v="Mushroom"/>
        <s v="Unknown (probably berry)"/>
        <s v="Mushroom (amanita)"/>
        <s v="Unknown (Probably insect)"/>
        <s v="Human food (Granola, fried chicken?)"/>
        <s v="Unknown soft white stuff"/>
        <s v="Berry (Soapberry)"/>
        <s v="Insect (caterpillar)"/>
        <s v="Human food"/>
        <s v="Human food (orange peel)"/>
        <s v="Unknown (probably bug)"/>
        <s v="Human food, seemed like fruit like apricot"/>
        <s v="Human food (Bread)"/>
        <s v="Human food (French fry)"/>
        <s v="Human food, probably sausage"/>
        <s v="Insect (worm or caterpillar)"/>
        <s v="unknown, but could have included orange berry from before"/>
        <s v="Berry (dried)"/>
        <s v="Insect (Beetle grub)"/>
        <s v="unknown (for all)"/>
        <s v="Animal flesh (Piece of vole)"/>
        <s v="Mushroom (dried)"/>
        <s v="Berry (red)"/>
        <s v="Unknown (Maybe snowshoe hare)"/>
        <s v="Toilet Paper"/>
        <m/>
      </sharedItems>
    </cacheField>
    <cacheField name="Food acquisition location" numFmtId="0">
      <sharedItems containsBlank="1"/>
    </cacheField>
    <cacheField name="Cache location" numFmtId="0">
      <sharedItems containsBlank="1"/>
    </cacheField>
    <cacheField name="Cache Tree" numFmtId="0">
      <sharedItems containsBlank="1" count="10">
        <s v="Spruce"/>
        <s v="Aspen"/>
        <s v="Willow"/>
        <s v="Unknown"/>
        <m/>
        <s v="Shrub"/>
        <s v="Stick"/>
        <s v="Alder"/>
        <s v="Spruce "/>
        <s v="Birch"/>
      </sharedItems>
    </cacheField>
    <cacheField name="Cache location (interior, exterior, trunk)" numFmtId="0">
      <sharedItems containsBlank="1" count="6">
        <s v="Interior"/>
        <s v="Trunk"/>
        <s v="Exterior"/>
        <s v="Unknown"/>
        <s v="Interior "/>
        <m/>
      </sharedItems>
    </cacheField>
    <cacheField name="Cache covering (foliage, bark, witchbroom)" numFmtId="0">
      <sharedItems containsBlank="1" count="19">
        <s v="Bark"/>
        <s v="Lichen"/>
        <s v="Foliage"/>
        <s v="None"/>
        <s v="Unknown"/>
        <s v="Bark/lichen"/>
        <s v="bare"/>
        <s v="Under witchhair"/>
        <s v="Under bark"/>
        <m/>
        <s v="On branch"/>
        <s v="Branch"/>
        <s v="Branch under witch hair"/>
        <s v="Under bark and witch hair "/>
        <s v="On bark"/>
        <s v="Branch under bark"/>
        <s v="In mistoe"/>
        <s v="Foliage and witch hair"/>
        <s v="Behind foliage "/>
      </sharedItems>
    </cacheField>
    <cacheField name="Cache aspect" numFmtId="0">
      <sharedItems containsBlank="1" containsMixedTypes="1" containsNumber="1" containsInteger="1" minValue="0" maxValue="315"/>
    </cacheField>
    <cacheField name="Cache degrees" numFmtId="0">
      <sharedItems containsBlank="1" containsMixedTypes="1" containsNumber="1" containsInteger="1" minValue="0" maxValue="358"/>
    </cacheField>
    <cacheField name="Distance from food acqusition site to cache site (m)" numFmtId="0">
      <sharedItems containsBlank="1" containsMixedTypes="1" containsNumber="1" minValue="0" maxValue="101" count="46">
        <s v="Unknown"/>
        <n v="10"/>
        <n v="12"/>
        <n v="0"/>
        <s v="Did not record"/>
        <n v="35"/>
        <n v="5"/>
        <n v="3"/>
        <n v="11"/>
        <n v="9"/>
        <n v="2"/>
        <n v="4"/>
        <n v="7"/>
        <s v="NA"/>
        <n v="20"/>
        <n v="18"/>
        <n v="1"/>
        <m/>
        <n v="17"/>
        <n v="8"/>
        <n v="6"/>
        <n v="13"/>
        <n v="19"/>
        <n v="30"/>
        <n v="21"/>
        <n v="15"/>
        <s v="TBD"/>
        <n v="40"/>
        <n v="26"/>
        <n v="10.9"/>
        <s v="Unknown, did not recognize as cache in field"/>
        <n v="29"/>
        <n v="14"/>
        <n v="28"/>
        <n v="25"/>
        <n v="101"/>
        <s v="unknown-didn't record in field"/>
        <n v="45"/>
        <n v="32"/>
        <n v="22"/>
        <n v="16"/>
        <n v="31"/>
        <n v="23"/>
        <n v="60"/>
        <n v="37"/>
        <n v="46"/>
      </sharedItems>
    </cacheField>
    <cacheField name="Cache LAT " numFmtId="0">
      <sharedItems containsBlank="1" containsMixedTypes="1" containsNumber="1" minValue="63.717759999999998" maxValue="63.740699999999997"/>
    </cacheField>
    <cacheField name="Cache Long" numFmtId="0">
      <sharedItems containsBlank="1" containsMixedTypes="1" containsNumber="1" minValue="148.88453999999999" maxValue="148.98979"/>
    </cacheField>
    <cacheField name="Recovered cache lat" numFmtId="0">
      <sharedItems containsBlank="1" containsMixedTypes="1" containsNumber="1" minValue="0" maxValue="63.735770000000002"/>
    </cacheField>
    <cacheField name="recovered cache long" numFmtId="0">
      <sharedItems containsBlank="1" containsMixedTypes="1" containsNumber="1" minValue="0" maxValue="148.89854"/>
    </cacheField>
    <cacheField name="If previous CT, label" numFmtId="0">
      <sharedItems containsBlank="1"/>
    </cacheField>
    <cacheField name="Bark FT" numFmtId="0">
      <sharedItems containsBlank="1" containsMixedTypes="1" containsNumber="1" containsInteger="1" minValue="0" maxValue="65"/>
    </cacheField>
    <cacheField name="Foliage FT" numFmtId="0">
      <sharedItems containsBlank="1" containsMixedTypes="1" containsNumber="1" containsInteger="1" minValue="0" maxValue="80"/>
    </cacheField>
    <cacheField name="Interior FT" numFmtId="0">
      <sharedItems containsBlank="1" containsMixedTypes="1" containsNumber="1" containsInteger="1" minValue="0" maxValue="80"/>
    </cacheField>
    <cacheField name="Exterior FT" numFmtId="0">
      <sharedItems containsBlank="1" containsMixedTypes="1" containsNumber="1" containsInteger="1" minValue="0" maxValue="44"/>
    </cacheField>
    <cacheField name="Ground" numFmtId="0">
      <sharedItems containsString="0" containsBlank="1" containsNumber="1" containsInteger="1" minValue="0" maxValue="253"/>
    </cacheField>
    <cacheField name="Human surface" numFmtId="0">
      <sharedItems containsString="0" containsBlank="1" containsNumber="1" containsInteger="1" minValue="0" maxValue="253"/>
    </cacheField>
    <cacheField name="Total foraging time" numFmtId="0">
      <sharedItems containsBlank="1" containsMixedTypes="1" containsNumber="1" containsInteger="1" minValue="0" maxValue="252"/>
    </cacheField>
    <cacheField name="Foraging style" numFmtId="0">
      <sharedItems containsBlank="1" longText="1"/>
    </cacheField>
    <cacheField name="Notes" numFmtId="0">
      <sharedItems containsBlank="1" longText="1"/>
    </cacheField>
    <cacheField name="Number of observed probes" numFmtId="0">
      <sharedItems containsString="0" containsBlank="1" containsNumber="1" containsInteger="1" minValue="0" maxValue="5"/>
    </cacheField>
    <cacheField name="Number of observed gleans " numFmtId="0">
      <sharedItems containsString="0" containsBlank="1" containsNumber="1" containsInteger="1" minValue="0" maxValue="1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elis" refreshedDate="44069.561716550925" createdVersion="6" refreshedVersion="6" minRefreshableVersion="3" recordCount="1538" xr:uid="{92B22142-2DEC-0A4C-952E-F9512F905C92}">
  <cacheSource type="worksheet">
    <worksheetSource ref="A1:AR1539" sheet="2019 breeding"/>
  </cacheSource>
  <cacheFields count="42">
    <cacheField name="Original name" numFmtId="0">
      <sharedItems containsBlank="1"/>
    </cacheField>
    <cacheField name="Clip name" numFmtId="0">
      <sharedItems containsBlank="1"/>
    </cacheField>
    <cacheField name="Clip number" numFmtId="0">
      <sharedItems containsString="0" containsBlank="1" containsNumber="1" containsInteger="1" minValue="1" maxValue="68"/>
    </cacheField>
    <cacheField name="Clip event number" numFmtId="0">
      <sharedItems containsString="0" containsBlank="1" containsNumber="1" containsInteger="1" minValue="1" maxValue="8"/>
    </cacheField>
    <cacheField name="Territory name" numFmtId="0">
      <sharedItems/>
    </cacheField>
    <cacheField name="Date" numFmtId="0">
      <sharedItems containsSemiMixedTypes="0" containsNonDate="0" containsDate="1" containsString="0" minDate="2018-08-28T00:00:00" maxDate="2019-05-09T00:00:00"/>
    </cacheField>
    <cacheField name="Month" numFmtId="14">
      <sharedItems/>
    </cacheField>
    <cacheField name="Season" numFmtId="14">
      <sharedItems count="2">
        <s v="Spring"/>
        <s v="Fall"/>
      </sharedItems>
    </cacheField>
    <cacheField name="clip duration" numFmtId="0">
      <sharedItems containsDate="1" containsBlank="1" containsMixedTypes="1" minDate="1899-12-30T00:00:04" maxDate="1899-12-30T07:01:00"/>
    </cacheField>
    <cacheField name="Weather conditions" numFmtId="0">
      <sharedItems containsBlank="1"/>
    </cacheField>
    <cacheField name="Band combo " numFmtId="0">
      <sharedItems containsBlank="1" count="51">
        <s v="BP/PS"/>
        <s v="BR/RS"/>
        <s v="BW/GS"/>
        <s v="G/BS"/>
        <s v="GB/BS"/>
        <s v="GL/RS"/>
        <s v="GR/PS"/>
        <s v="OB/YS"/>
        <s v="PG/PS"/>
        <s v="PL/PS"/>
        <s v="unbanded"/>
        <s v="unknown"/>
        <s v="WG/OS"/>
        <s v="WO/OS"/>
        <s v="WP/BS"/>
        <s v="YO/BS"/>
        <s v="YP/RS"/>
        <s v="G-/BS"/>
        <s v="GG/BS"/>
        <s v="GW/BS"/>
        <s v="OB/?S"/>
        <s v="WO/RS"/>
        <s v="Y-/BS"/>
        <m/>
        <s v="OO/BS"/>
        <s v="OW/BS"/>
        <s v="PG/BS"/>
        <s v="WR/OS"/>
        <s v="YL/OS"/>
        <s v="YO/OS"/>
        <s v="GB/PS"/>
        <s v="WL/PS"/>
        <s v="BO/OS"/>
        <s v="GL/PS"/>
        <s v="LB/RS"/>
        <s v="O-/BS"/>
        <s v="PB/RS"/>
        <s v="PW/PS"/>
        <s v="PW/RS"/>
        <s v="W/PS"/>
        <s v="WL/RS"/>
        <s v="WP/OS"/>
        <s v=" G-/BS"/>
        <s v="?/RS"/>
        <s v="GG/RS"/>
        <s v="GP/BS"/>
        <s v="GR/RS"/>
        <s v="NA"/>
        <s v="WL/PS "/>
        <s v="WL/PS and unbanded"/>
        <s v="WL/RS or WP/OS"/>
      </sharedItems>
    </cacheField>
    <cacheField name="Behavior(Foraging/Caching/Eating)" numFmtId="0">
      <sharedItems containsBlank="1"/>
    </cacheField>
    <cacheField name="Tree species" numFmtId="0">
      <sharedItems/>
    </cacheField>
    <cacheField name="Number of food acquisition successes " numFmtId="0">
      <sharedItems containsMixedTypes="1" containsNumber="1" containsInteger="1" minValue="0" maxValue="8"/>
    </cacheField>
    <cacheField name="Cache retrieved?" numFmtId="0">
      <sharedItems containsBlank="1" containsMixedTypes="1" containsNumber="1" containsInteger="1" minValue="0" maxValue="1"/>
    </cacheField>
    <cacheField name="Cache deposited?" numFmtId="0">
      <sharedItems containsMixedTypes="1" containsNumber="1" containsInteger="1" minValue="0" maxValue="3"/>
    </cacheField>
    <cacheField name="Food category" numFmtId="0">
      <sharedItems containsBlank="1"/>
    </cacheField>
    <cacheField name="Food item" numFmtId="0">
      <sharedItems/>
    </cacheField>
    <cacheField name="Food acquisition location" numFmtId="0">
      <sharedItems containsBlank="1" containsMixedTypes="1" containsNumber="1" containsInteger="1" minValue="0" maxValue="0"/>
    </cacheField>
    <cacheField name="Cache location" numFmtId="0">
      <sharedItems containsBlank="1" containsMixedTypes="1" containsNumber="1" containsInteger="1" minValue="0" maxValue="0"/>
    </cacheField>
    <cacheField name="Cache Tree" numFmtId="0">
      <sharedItems containsBlank="1"/>
    </cacheField>
    <cacheField name="Cache location (interior, exterior, trunk)" numFmtId="0">
      <sharedItems containsBlank="1"/>
    </cacheField>
    <cacheField name="Cache covering (foliage, bark, witchbroom)" numFmtId="0">
      <sharedItems containsBlank="1"/>
    </cacheField>
    <cacheField name="Cache aspect" numFmtId="0">
      <sharedItems containsBlank="1" containsMixedTypes="1" containsNumber="1" containsInteger="1" minValue="0" maxValue="315"/>
    </cacheField>
    <cacheField name="Cache degrees" numFmtId="0">
      <sharedItems containsBlank="1" containsMixedTypes="1" containsNumber="1" containsInteger="1" minValue="0" maxValue="355"/>
    </cacheField>
    <cacheField name="Distance from food acqusition site to cache site (m)" numFmtId="0">
      <sharedItems containsBlank="1" containsMixedTypes="1" containsNumber="1" minValue="0" maxValue="101"/>
    </cacheField>
    <cacheField name="Cache LAT " numFmtId="0">
      <sharedItems containsBlank="1" containsMixedTypes="1" containsNumber="1" minValue="63.718719999999998" maxValue="63.740699999999997"/>
    </cacheField>
    <cacheField name="Cache Long" numFmtId="0">
      <sharedItems containsBlank="1" containsMixedTypes="1" containsNumber="1" minValue="148.88453999999999" maxValue="148.99030999999999"/>
    </cacheField>
    <cacheField name="Recovered cache lat" numFmtId="0">
      <sharedItems containsBlank="1" containsMixedTypes="1" containsNumber="1" minValue="0" maxValue="63.740810000000003"/>
    </cacheField>
    <cacheField name="recovered cache long" numFmtId="0">
      <sharedItems containsBlank="1" containsMixedTypes="1" containsNumber="1" minValue="0" maxValue="148.98885999999999"/>
    </cacheField>
    <cacheField name="If previous CT, label" numFmtId="0">
      <sharedItems containsBlank="1"/>
    </cacheField>
    <cacheField name="Bark FT" numFmtId="0">
      <sharedItems containsDate="1" containsBlank="1" containsMixedTypes="1" minDate="1899-12-31T00:00:00" maxDate="1899-12-31T01:27:04"/>
    </cacheField>
    <cacheField name="Foliage FT" numFmtId="0">
      <sharedItems containsBlank="1" containsMixedTypes="1" containsNumber="1" containsInteger="1" minValue="0" maxValue="67"/>
    </cacheField>
    <cacheField name="Interior FT" numFmtId="0">
      <sharedItems containsBlank="1" containsMixedTypes="1" containsNumber="1" containsInteger="1" minValue="0" maxValue="108"/>
    </cacheField>
    <cacheField name="Exterior FT" numFmtId="0">
      <sharedItems containsBlank="1" containsMixedTypes="1" containsNumber="1" containsInteger="1" minValue="0" maxValue="88"/>
    </cacheField>
    <cacheField name="Ground" numFmtId="0">
      <sharedItems containsDate="1" containsBlank="1" containsMixedTypes="1" minDate="1899-12-31T00:00:00" maxDate="1900-01-01T09:45:04"/>
    </cacheField>
    <cacheField name="Human surface " numFmtId="0">
      <sharedItems containsString="0" containsBlank="1" containsNumber="1" containsInteger="1" minValue="0" maxValue="22"/>
    </cacheField>
    <cacheField name="Total foraging time" numFmtId="0">
      <sharedItems containsSemiMixedTypes="0" containsString="0" containsNumber="1" containsInteger="1" minValue="0" maxValue="269"/>
    </cacheField>
    <cacheField name="Foraging style" numFmtId="0">
      <sharedItems containsBlank="1" containsMixedTypes="1" containsNumber="1" containsInteger="1" minValue="0" maxValue="0"/>
    </cacheField>
    <cacheField name="Notes" numFmtId="0">
      <sharedItems containsBlank="1" containsMixedTypes="1" containsNumber="1" containsInteger="1" minValue="0" maxValue="0" longText="1"/>
    </cacheField>
    <cacheField name="Number of observed probes" numFmtId="0">
      <sharedItems containsBlank="1" containsMixedTypes="1" containsNumber="1" containsInteger="1" minValue="0" maxValue="10"/>
    </cacheField>
    <cacheField name="Number of observed gleans " numFmtId="0">
      <sharedItems containsBlank="1" containsMixedTypes="1" containsNumber="1" containsInteger="1" minValue="0" maxValue="19"/>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elis" refreshedDate="44111.453844444448" createdVersion="6" refreshedVersion="6" minRefreshableVersion="3" recordCount="869" xr:uid="{81DF5D44-567C-5846-891F-174254AC6C09}">
  <cacheSource type="worksheet">
    <worksheetSource ref="A1:AN1048576" sheet="Fall_2018"/>
  </cacheSource>
  <cacheFields count="38">
    <cacheField name="Original name" numFmtId="0">
      <sharedItems containsBlank="1"/>
    </cacheField>
    <cacheField name="Clip name" numFmtId="0">
      <sharedItems containsBlank="1"/>
    </cacheField>
    <cacheField name="Clip number" numFmtId="0">
      <sharedItems containsString="0" containsBlank="1" containsNumber="1" containsInteger="1" minValue="1" maxValue="68"/>
    </cacheField>
    <cacheField name="Clip event number" numFmtId="0">
      <sharedItems containsString="0" containsBlank="1" containsNumber="1" containsInteger="1" minValue="1" maxValue="8"/>
    </cacheField>
    <cacheField name="Territory name" numFmtId="0">
      <sharedItems containsBlank="1"/>
    </cacheField>
    <cacheField name="Date" numFmtId="0">
      <sharedItems containsNonDate="0" containsDate="1" containsString="0" containsBlank="1" minDate="2018-08-28T00:00:00" maxDate="2018-11-01T00:00:00"/>
    </cacheField>
    <cacheField name="Month" numFmtId="0">
      <sharedItems containsBlank="1" count="4">
        <s v="September"/>
        <s v="October"/>
        <s v="August"/>
        <m/>
      </sharedItems>
    </cacheField>
    <cacheField name="Season" numFmtId="0">
      <sharedItems containsBlank="1"/>
    </cacheField>
    <cacheField name="clip duration" numFmtId="0">
      <sharedItems containsDate="1" containsBlank="1" containsMixedTypes="1" minDate="1899-12-30T00:00:04" maxDate="1899-12-30T07:01:00"/>
    </cacheField>
    <cacheField name="Weather conditions" numFmtId="0">
      <sharedItems containsBlank="1"/>
    </cacheField>
    <cacheField name="Band combo " numFmtId="0">
      <sharedItems containsBlank="1"/>
    </cacheField>
    <cacheField name="Behavior(Foraging/Caching/Eating)" numFmtId="0">
      <sharedItems containsBlank="1"/>
    </cacheField>
    <cacheField name="Tree species" numFmtId="0">
      <sharedItems containsBlank="1"/>
    </cacheField>
    <cacheField name="Number of food acquisition successes " numFmtId="0">
      <sharedItems containsBlank="1" containsMixedTypes="1" containsNumber="1" containsInteger="1" minValue="0" maxValue="7"/>
    </cacheField>
    <cacheField name="number of berries" numFmtId="0">
      <sharedItems containsBlank="1" containsMixedTypes="1" containsNumber="1" containsInteger="1" minValue="0" maxValue="6"/>
    </cacheField>
    <cacheField name="Cache deposited?" numFmtId="0">
      <sharedItems containsBlank="1" containsMixedTypes="1" containsNumber="1" containsInteger="1" minValue="0" maxValue="3"/>
    </cacheField>
    <cacheField name="Cache breakdown for multiple trees" numFmtId="0">
      <sharedItems containsBlank="1" containsMixedTypes="1" containsNumber="1" containsInteger="1" minValue="0" maxValue="1"/>
    </cacheField>
    <cacheField name="Food category" numFmtId="0">
      <sharedItems containsBlank="1" count="8">
        <s v="Mushroom"/>
        <m/>
        <s v="Unknown"/>
        <s v="Berry"/>
        <s v="Insect"/>
        <s v="Misc"/>
        <s v="Animal flesh"/>
        <s v="Human food"/>
      </sharedItems>
    </cacheField>
    <cacheField name="Food item" numFmtId="0">
      <sharedItems containsBlank="1" count="69">
        <s v="Mushroom"/>
        <s v="NA"/>
        <s v="Unknown"/>
        <s v="unknown food bolous (or berry?)"/>
        <s v="Berry (Blueberry)"/>
        <s v="Insect (slug)"/>
        <s v="Slime mold? "/>
        <s v="Slime mold?"/>
        <s v="Animal/invert flesh "/>
        <s v="Insect (grub of caterpillar)"/>
        <s v="Insect (Moth)"/>
        <s v="Unknown. Probably mushroom.  Something white. "/>
        <s v="Berry"/>
        <s v="Animal flesh (Snowshoe hare)"/>
        <s v="Human food"/>
        <s v="Unknown (probably berry)"/>
        <s v="Mushroom (Bolet)"/>
        <s v="Animal flesh"/>
        <s v="Insect (caterpillar)"/>
        <s v="Insect (caterpillar?)"/>
        <s v="Unknown (probably B&amp;Ug)"/>
        <s v="unknown (Looks like meat)"/>
        <s v="Mushroom (puffball)"/>
        <s v="Insect"/>
        <s v="Toilet paper"/>
        <s v="Unknown (Maybe aphids)"/>
        <s v="Berry (Soapberry)"/>
        <s v="Mushroom (amanita)"/>
        <s v="unknown (Something red)"/>
        <s v="Unknown (Probably insect)"/>
        <s v="Human food (Granola, fried chicken?)"/>
        <s v="Insect (winged insect)"/>
        <s v="Unknown soft white stuff"/>
        <s v="Unknown, B&amp;Ut some part of spruce cone, probably seeds"/>
        <s v="Berry (blueberries_"/>
        <s v="unknown not berry"/>
        <s v="Unknown (some part of spruce tree as in other videos: HS0912_8_x000a_M2370912_3) "/>
        <s v="Human food, seemed like fruit like apricot"/>
        <s v="Human food (orange peel)"/>
        <s v="Insect (arthropod)"/>
        <s v="Human food (Bread)"/>
        <s v="Human food (French fry)"/>
        <s v="Insect (caterpillar or worm)"/>
        <s v="Human food, probably sausage"/>
        <s v="Insect (worm or caterpillar)"/>
        <s v="Lichen?"/>
        <s v="Unknown probably berry"/>
        <s v="Unknown. Something attached to a plant (berry? B&amp;Ug?)"/>
        <s v="unknown, looked like a previsouly cached bolus"/>
        <s v="Berry (Pumpkin berry)"/>
        <s v="unknown, B&amp;Ut could have included orange berry from before"/>
        <s v="Berry (dried)"/>
        <s v="Insect (Beetle grub)"/>
        <s v="Berry (Cranberry)"/>
        <s v="Unkown (maybe spruce seed)"/>
        <s v="unknown. Maybe cached mushroom"/>
        <s v="unknown (for all)"/>
        <s v="Human food (chicken?)"/>
        <s v="Unknown probably dried blueberry"/>
        <s v="Animal flesh (Piece of vole)"/>
        <s v="Mushroom (dried)"/>
        <s v="Berry (red)"/>
        <s v="Unknown (possibly meat)"/>
        <s v="Unknown (Maybe snowshoe hare)"/>
        <m/>
        <s v="Unknown. Something attached to a plant (berry? Bug?)" u="1"/>
        <s v="Unknown (probably bug)" u="1"/>
        <s v="Unknown, but some part of spruce cone, probably seeds" u="1"/>
        <s v="unknown, but could have included orange berry from before" u="1"/>
      </sharedItems>
    </cacheField>
    <cacheField name="Food acquisition location" numFmtId="0">
      <sharedItems containsBlank="1" containsMixedTypes="1" containsNumber="1" containsInteger="1" minValue="0" maxValue="0"/>
    </cacheField>
    <cacheField name="Cache location" numFmtId="0">
      <sharedItems containsBlank="1"/>
    </cacheField>
    <cacheField name="Cache Tree" numFmtId="0">
      <sharedItems containsBlank="1"/>
    </cacheField>
    <cacheField name="Cache location (interior, exterior, trunk)" numFmtId="0">
      <sharedItems containsBlank="1"/>
    </cacheField>
    <cacheField name="Cache covering (foliage, bark, witchbroom)" numFmtId="0">
      <sharedItems containsBlank="1"/>
    </cacheField>
    <cacheField name="Distance from food acqusition site to cache site (m)" numFmtId="0">
      <sharedItems containsBlank="1" containsMixedTypes="1" containsNumber="1" containsInteger="1" minValue="0" maxValue="101"/>
    </cacheField>
    <cacheField name="Cache LAT " numFmtId="0">
      <sharedItems containsBlank="1" containsMixedTypes="1" containsNumber="1" minValue="63.718719999999998" maxValue="63.74024"/>
    </cacheField>
    <cacheField name="Cache Long" numFmtId="166">
      <sharedItems containsBlank="1" containsMixedTypes="1" containsNumber="1" minValue="148.88453999999999" maxValue="148.99030999999999"/>
    </cacheField>
    <cacheField name="bark FT (trunk or bare branch)" numFmtId="0">
      <sharedItems containsBlank="1" containsMixedTypes="1" containsNumber="1" containsInteger="1" minValue="0" maxValue="88"/>
    </cacheField>
    <cacheField name="Foliage FT" numFmtId="0">
      <sharedItems containsBlank="1" containsMixedTypes="1" containsNumber="1" containsInteger="1" minValue="0" maxValue="67"/>
    </cacheField>
    <cacheField name="Interior FT" numFmtId="0">
      <sharedItems containsBlank="1" containsMixedTypes="1" containsNumber="1" containsInteger="1" minValue="0" maxValue="68"/>
    </cacheField>
    <cacheField name="Exterior FT" numFmtId="0">
      <sharedItems containsBlank="1" containsMixedTypes="1" containsNumber="1" containsInteger="1" minValue="0" maxValue="88"/>
    </cacheField>
    <cacheField name="Ground" numFmtId="0">
      <sharedItems containsBlank="1" containsMixedTypes="1" containsNumber="1" containsInteger="1" minValue="0" maxValue="193"/>
    </cacheField>
    <cacheField name="Human surface" numFmtId="0">
      <sharedItems containsString="0" containsBlank="1" containsNumber="1" containsInteger="1" minValue="0" maxValue="22"/>
    </cacheField>
    <cacheField name="Total foraging time" numFmtId="0">
      <sharedItems containsString="0" containsBlank="1" containsNumber="1" containsInteger="1" minValue="0" maxValue="193"/>
    </cacheField>
    <cacheField name="Foraging style" numFmtId="0">
      <sharedItems containsBlank="1" containsMixedTypes="1" containsNumber="1" containsInteger="1" minValue="0" maxValue="0"/>
    </cacheField>
    <cacheField name="Notes" numFmtId="0">
      <sharedItems containsBlank="1" containsMixedTypes="1" containsNumber="1" containsInteger="1" minValue="0" maxValue="0" longText="1"/>
    </cacheField>
    <cacheField name="Number of observed probes" numFmtId="0">
      <sharedItems containsString="0" containsBlank="1" containsNumber="1" containsInteger="1" minValue="0" maxValue="6"/>
    </cacheField>
    <cacheField name="Number of observed gleans " numFmtId="0">
      <sharedItems containsBlank="1" containsMixedTypes="1" containsNumber="1" containsInteger="1" minValue="0" maxValue="19"/>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elis" refreshedDate="44111.453865740739" createdVersion="6" refreshedVersion="6" minRefreshableVersion="3" recordCount="285" xr:uid="{2E251D5D-B7AA-D244-834F-9CC87E29D330}">
  <cacheSource type="worksheet">
    <worksheetSource ref="A1:AR1048576" sheet="August_2019"/>
  </cacheSource>
  <cacheFields count="42">
    <cacheField name="Original name" numFmtId="0">
      <sharedItems containsBlank="1"/>
    </cacheField>
    <cacheField name="Clip name" numFmtId="0">
      <sharedItems containsBlank="1"/>
    </cacheField>
    <cacheField name="Clip number" numFmtId="0">
      <sharedItems containsString="0" containsBlank="1" containsNumber="1" containsInteger="1" minValue="1" maxValue="23"/>
    </cacheField>
    <cacheField name="Clip event number" numFmtId="0">
      <sharedItems containsString="0" containsBlank="1" containsNumber="1" containsInteger="1" minValue="1" maxValue="4"/>
    </cacheField>
    <cacheField name="Territory name" numFmtId="0">
      <sharedItems containsBlank="1"/>
    </cacheField>
    <cacheField name="Date" numFmtId="0">
      <sharedItems containsNonDate="0" containsDate="1" containsString="0" containsBlank="1" minDate="2019-08-08T00:00:00" maxDate="2019-08-29T00:00:00"/>
    </cacheField>
    <cacheField name="Month" numFmtId="0">
      <sharedItems containsBlank="1" count="2">
        <s v="August"/>
        <m/>
      </sharedItems>
    </cacheField>
    <cacheField name="Season" numFmtId="0">
      <sharedItems containsBlank="1"/>
    </cacheField>
    <cacheField name="clip duration" numFmtId="0">
      <sharedItems containsNonDate="0" containsDate="1" containsString="0" containsBlank="1" minDate="1899-12-30T00:03:00" maxDate="1899-12-30T03:13:00"/>
    </cacheField>
    <cacheField name="Weather conditions" numFmtId="0">
      <sharedItems containsBlank="1"/>
    </cacheField>
    <cacheField name="Band combo " numFmtId="0">
      <sharedItems containsBlank="1"/>
    </cacheField>
    <cacheField name="Behavior(Foraging/Caching/Eating)" numFmtId="0">
      <sharedItems containsBlank="1"/>
    </cacheField>
    <cacheField name="Tree species" numFmtId="0">
      <sharedItems containsBlank="1"/>
    </cacheField>
    <cacheField name="Number of food acquisition successes " numFmtId="0">
      <sharedItems containsBlank="1" containsMixedTypes="1" containsNumber="1" containsInteger="1" minValue="0" maxValue="2"/>
    </cacheField>
    <cacheField name="Cache retrieved?" numFmtId="0">
      <sharedItems containsBlank="1" containsMixedTypes="1" containsNumber="1" containsInteger="1" minValue="0" maxValue="1"/>
    </cacheField>
    <cacheField name="Cache deposited?" numFmtId="0">
      <sharedItems containsBlank="1" containsMixedTypes="1" containsNumber="1" containsInteger="1" minValue="0" maxValue="1"/>
    </cacheField>
    <cacheField name="Food category" numFmtId="0">
      <sharedItems containsBlank="1" count="11">
        <s v="Unknown"/>
        <s v="Mushroom"/>
        <s v="Human food"/>
        <s v="NA"/>
        <s v="Animal flesh"/>
        <s v="Insect"/>
        <s v="Berries"/>
        <s v="Misc"/>
        <m/>
        <s v="Slime" u="1"/>
        <s v="Plant" u="1"/>
      </sharedItems>
    </cacheField>
    <cacheField name="Food item" numFmtId="0">
      <sharedItems containsBlank="1" count="23">
        <s v="Unknown"/>
        <s v="Mushroom (squirrel cache)"/>
        <s v="NA"/>
        <s v="Mushroom "/>
        <s v="Animal flesh"/>
        <s v="puffball "/>
        <s v="Caterpiller"/>
        <s v="Blueberries"/>
        <s v="bug or mushroom"/>
        <s v="Spruce cone"/>
        <s v="Bolete mushroom"/>
        <s v="Puffball"/>
        <s v="WORMY THING"/>
        <s v="Hare guts"/>
        <s v="Slug"/>
        <s v="Insect"/>
        <s v="Berry"/>
        <s v="Amanita"/>
        <s v="Pretzels"/>
        <s v="Slime"/>
        <s v="Cranberries"/>
        <s v="Snail"/>
        <m/>
      </sharedItems>
    </cacheField>
    <cacheField name="Food acquisition location" numFmtId="0">
      <sharedItems containsBlank="1"/>
    </cacheField>
    <cacheField name="Cache location" numFmtId="0">
      <sharedItems containsBlank="1"/>
    </cacheField>
    <cacheField name="Cache Tree" numFmtId="0">
      <sharedItems containsBlank="1"/>
    </cacheField>
    <cacheField name="Cache location (interior, exterior, trunk)" numFmtId="0">
      <sharedItems containsBlank="1"/>
    </cacheField>
    <cacheField name="Cache covering (foliage, bark, witchbroom)" numFmtId="0">
      <sharedItems containsBlank="1"/>
    </cacheField>
    <cacheField name="Cache aspect" numFmtId="0">
      <sharedItems containsBlank="1" containsMixedTypes="1" containsNumber="1" containsInteger="1" minValue="0" maxValue="0"/>
    </cacheField>
    <cacheField name="Cache degrees" numFmtId="0">
      <sharedItems containsBlank="1" containsMixedTypes="1" containsNumber="1" containsInteger="1" minValue="6" maxValue="358"/>
    </cacheField>
    <cacheField name="Distance from food acqusition site to cache site (m)" numFmtId="0">
      <sharedItems containsBlank="1" containsMixedTypes="1" containsNumber="1" containsInteger="1" minValue="0" maxValue="35"/>
    </cacheField>
    <cacheField name="Cache LAT " numFmtId="0">
      <sharedItems containsBlank="1" containsMixedTypes="1" containsNumber="1" minValue="63.717759999999998" maxValue="63.740549999999999"/>
    </cacheField>
    <cacheField name="Cache Long" numFmtId="0">
      <sharedItems containsBlank="1" containsMixedTypes="1" containsNumber="1" minValue="148.88607999999999" maxValue="148.98737"/>
    </cacheField>
    <cacheField name="Recovered cache lat" numFmtId="0">
      <sharedItems containsBlank="1"/>
    </cacheField>
    <cacheField name="recovered cache long" numFmtId="0">
      <sharedItems containsBlank="1"/>
    </cacheField>
    <cacheField name="If previous CT, label" numFmtId="0">
      <sharedItems containsBlank="1"/>
    </cacheField>
    <cacheField name="Bark FT" numFmtId="0">
      <sharedItems containsString="0" containsBlank="1" containsNumber="1" containsInteger="1" minValue="0" maxValue="51"/>
    </cacheField>
    <cacheField name="Foliage FT" numFmtId="0">
      <sharedItems containsString="0" containsBlank="1" containsNumber="1" containsInteger="1" minValue="0" maxValue="90"/>
    </cacheField>
    <cacheField name="Interior FT" numFmtId="0">
      <sharedItems containsString="0" containsBlank="1" containsNumber="1" containsInteger="1" minValue="0" maxValue="78"/>
    </cacheField>
    <cacheField name="Exterior FT" numFmtId="0">
      <sharedItems containsString="0" containsBlank="1" containsNumber="1" containsInteger="1" minValue="0" maxValue="79"/>
    </cacheField>
    <cacheField name="Ground" numFmtId="0">
      <sharedItems containsString="0" containsBlank="1" containsNumber="1" containsInteger="1" minValue="0" maxValue="91"/>
    </cacheField>
    <cacheField name="Human surface" numFmtId="0">
      <sharedItems containsString="0" containsBlank="1" containsNumber="1" containsInteger="1" minValue="0" maxValue="17"/>
    </cacheField>
    <cacheField name="Total foraging time" numFmtId="0">
      <sharedItems containsString="0" containsBlank="1" containsNumber="1" containsInteger="1" minValue="0" maxValue="91"/>
    </cacheField>
    <cacheField name="Foraging style" numFmtId="0">
      <sharedItems containsBlank="1"/>
    </cacheField>
    <cacheField name="Notes" numFmtId="0">
      <sharedItems containsBlank="1"/>
    </cacheField>
    <cacheField name="Number of observed probes" numFmtId="0">
      <sharedItems containsString="0" containsBlank="1" containsNumber="1" containsInteger="1" minValue="0" maxValue="2"/>
    </cacheField>
    <cacheField name="Number of observed gleans " numFmtId="0">
      <sharedItems containsString="0" containsBlank="1" containsNumber="1" containsInteger="1" minValue="1" maxValue="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elis" refreshedDate="44111.453866898148" createdVersion="6" refreshedVersion="6" minRefreshableVersion="3" recordCount="689" xr:uid="{1FA4A21A-4773-154A-B758-14275EE5F6A4}">
  <cacheSource type="worksheet">
    <worksheetSource ref="A1:AQ1048576" sheet="WinterSpring_2019_"/>
  </cacheSource>
  <cacheFields count="41">
    <cacheField name="Original name" numFmtId="0">
      <sharedItems containsBlank="1"/>
    </cacheField>
    <cacheField name="Clip name" numFmtId="0">
      <sharedItems containsBlank="1"/>
    </cacheField>
    <cacheField name="Clip number" numFmtId="0">
      <sharedItems containsString="0" containsBlank="1" containsNumber="1" containsInteger="1" minValue="1" maxValue="39"/>
    </cacheField>
    <cacheField name="Clip event number" numFmtId="0">
      <sharedItems containsString="0" containsBlank="1" containsNumber="1" containsInteger="1" minValue="1" maxValue="3"/>
    </cacheField>
    <cacheField name="Territory name" numFmtId="0">
      <sharedItems containsBlank="1"/>
    </cacheField>
    <cacheField name="Date" numFmtId="0">
      <sharedItems containsNonDate="0" containsDate="1" containsString="0" containsBlank="1" minDate="2019-03-20T00:00:00" maxDate="2019-05-09T00:00:00"/>
    </cacheField>
    <cacheField name="Month" numFmtId="0">
      <sharedItems containsBlank="1" count="4">
        <s v="April"/>
        <s v="March"/>
        <s v="May"/>
        <m/>
      </sharedItems>
    </cacheField>
    <cacheField name="Season" numFmtId="0">
      <sharedItems containsBlank="1"/>
    </cacheField>
    <cacheField name="clip duration" numFmtId="0">
      <sharedItems containsNonDate="0" containsDate="1" containsString="0" containsBlank="1" minDate="1899-12-30T00:03:00" maxDate="1899-12-30T06:01:00"/>
    </cacheField>
    <cacheField name="Weather conditions" numFmtId="0">
      <sharedItems containsBlank="1"/>
    </cacheField>
    <cacheField name="Band combo " numFmtId="0">
      <sharedItems containsBlank="1"/>
    </cacheField>
    <cacheField name="Behavior(Foraging/Caching/Eating)" numFmtId="0">
      <sharedItems containsBlank="1"/>
    </cacheField>
    <cacheField name="Tree species" numFmtId="0">
      <sharedItems containsBlank="1"/>
    </cacheField>
    <cacheField name="Number of food acquisition successes " numFmtId="0">
      <sharedItems containsBlank="1" containsMixedTypes="1" containsNumber="1" containsInteger="1" minValue="0" maxValue="8"/>
    </cacheField>
    <cacheField name="Cache retrieved?" numFmtId="0">
      <sharedItems containsBlank="1" containsMixedTypes="1" containsNumber="1" containsInteger="1" minValue="0" maxValue="1"/>
    </cacheField>
    <cacheField name="Cache deposited?" numFmtId="0">
      <sharedItems containsBlank="1" containsMixedTypes="1" containsNumber="1" containsInteger="1" minValue="0" maxValue="3"/>
    </cacheField>
    <cacheField name="Food category" numFmtId="0">
      <sharedItems containsBlank="1" count="8">
        <m/>
        <s v="Insect"/>
        <s v="Unknown"/>
        <s v="Berry"/>
        <s v="Animal flesh"/>
        <s v="Misc"/>
        <s v="Mushroom"/>
        <s v="Human food"/>
      </sharedItems>
    </cacheField>
    <cacheField name="Food item" numFmtId="0">
      <sharedItems containsBlank="1" count="42">
        <s v="NA"/>
        <s v="Insect (caterpiller)"/>
        <s v="unknown"/>
        <s v="Berry (crowberry)"/>
        <s v="Insect (grub/caterpillar)"/>
        <s v="Unknown (maybe mushroom?)"/>
        <s v="Berry (2 Cranberries)"/>
        <s v="Insect (Black caterpiller)"/>
        <s v="Berry"/>
        <s v="Berry (cranberry)"/>
        <s v="unknown (Probably bugs)"/>
        <s v="Animal flesh (snowshoe hare)"/>
        <s v="Insects (2 caterpillars, incl brown and black ones and a SPIDER)"/>
        <s v="Insect"/>
        <s v="Berry (2)"/>
        <s v="Insect (unknown flying insect maybe brown lacewing)"/>
        <s v="Unknown (plant bit)"/>
        <s v="Berries (3)"/>
        <s v="Berry (2- cranberry)"/>
        <s v="Spruce cone"/>
        <s v="Berry (3- cranberry)"/>
        <s v="Insect (Balck caterpiller)"/>
        <s v="Unknown (maybe a berry)"/>
        <s v="Unknown (but it's definitely a caterpiller)"/>
        <s v="Mushroom (squirrel cache)"/>
        <s v="Berry (2-crowberries)"/>
        <s v="Animal flesh (unknown)"/>
        <s v="Unknown orange thing. "/>
        <s v="Berries (Cranberries; 4)"/>
        <s v="Berry (3 bluberries, 1 crowberry)"/>
        <s v="Insect (small Black caterpiller)"/>
        <s v="Insect (flying insect)"/>
        <s v="Human food (Bread)"/>
        <s v="Insect grub"/>
        <s v="Insect (grub)"/>
        <s v="Feathers and bird shit"/>
        <s v="unknown (maybe plant?)"/>
        <s v="Spider"/>
        <s v="Spider and unknown"/>
        <s v="Bread"/>
        <s v="Insect (caterpille/worm/slug-grub. IDK)"/>
        <m/>
      </sharedItems>
    </cacheField>
    <cacheField name="Food acquisition location" numFmtId="0">
      <sharedItems containsBlank="1"/>
    </cacheField>
    <cacheField name="Cache location" numFmtId="0">
      <sharedItems containsBlank="1" containsMixedTypes="1" containsNumber="1" containsInteger="1" minValue="0" maxValue="0"/>
    </cacheField>
    <cacheField name="Cache Tree" numFmtId="0">
      <sharedItems containsBlank="1"/>
    </cacheField>
    <cacheField name="Cache location (interior, exterior, trunk)" numFmtId="0">
      <sharedItems containsBlank="1"/>
    </cacheField>
    <cacheField name="Cache covering (foliage, bark, witchbroom)" numFmtId="0">
      <sharedItems containsBlank="1"/>
    </cacheField>
    <cacheField name="Cache aspect" numFmtId="0">
      <sharedItems containsBlank="1" containsMixedTypes="1" containsNumber="1" containsInteger="1" minValue="0" maxValue="315"/>
    </cacheField>
    <cacheField name="Cache degrees" numFmtId="0">
      <sharedItems containsBlank="1" containsMixedTypes="1" containsNumber="1" containsInteger="1" minValue="0" maxValue="355"/>
    </cacheField>
    <cacheField name="Distance from food acqusition site to cache site (m)" numFmtId="0">
      <sharedItems containsBlank="1" containsMixedTypes="1" containsNumber="1" minValue="1" maxValue="40"/>
    </cacheField>
    <cacheField name="Cache LAT " numFmtId="0">
      <sharedItems containsBlank="1" containsMixedTypes="1" containsNumber="1" minValue="63.71922" maxValue="63.740699999999997"/>
    </cacheField>
    <cacheField name="Cache Long" numFmtId="0">
      <sharedItems containsBlank="1" containsMixedTypes="1" containsNumber="1" minValue="148.89055999999999" maxValue="148.98961"/>
    </cacheField>
    <cacheField name="Recovered cache lat" numFmtId="0">
      <sharedItems containsBlank="1" containsMixedTypes="1" containsNumber="1" minValue="0" maxValue="63.740810000000003"/>
    </cacheField>
    <cacheField name="recovered cache long" numFmtId="0">
      <sharedItems containsBlank="1" containsMixedTypes="1" containsNumber="1" minValue="0" maxValue="148.98885999999999"/>
    </cacheField>
    <cacheField name="If previous CT, label" numFmtId="0">
      <sharedItems containsBlank="1"/>
    </cacheField>
    <cacheField name="Bark FT" numFmtId="0">
      <sharedItems containsDate="1" containsString="0" containsBlank="1" containsMixedTypes="1" minDate="1899-12-31T00:00:00" maxDate="1899-12-31T00:47:04"/>
    </cacheField>
    <cacheField name="Foliage FT" numFmtId="0">
      <sharedItems containsString="0" containsBlank="1" containsNumber="1" containsInteger="1" minValue="0" maxValue="28"/>
    </cacheField>
    <cacheField name="Interior FT" numFmtId="0">
      <sharedItems containsString="0" containsBlank="1" containsNumber="1" containsInteger="1" minValue="0" maxValue="108"/>
    </cacheField>
    <cacheField name="Exterior FT" numFmtId="0">
      <sharedItems containsString="0" containsBlank="1" containsNumber="1" containsInteger="1" minValue="0" maxValue="41"/>
    </cacheField>
    <cacheField name="Ground" numFmtId="0">
      <sharedItems containsDate="1" containsString="0" containsBlank="1" containsMixedTypes="1" minDate="1899-12-31T00:00:00" maxDate="1899-12-31T01:01:04"/>
    </cacheField>
    <cacheField name="Total foraging time" numFmtId="0">
      <sharedItems containsString="0" containsBlank="1" containsNumber="1" containsInteger="1" minValue="0" maxValue="253"/>
    </cacheField>
    <cacheField name="Foraging style" numFmtId="0">
      <sharedItems containsBlank="1"/>
    </cacheField>
    <cacheField name="Notes" numFmtId="0">
      <sharedItems containsBlank="1" longText="1"/>
    </cacheField>
    <cacheField name="Number of observed probes" numFmtId="0">
      <sharedItems containsBlank="1" containsMixedTypes="1" containsNumber="1" containsInteger="1" minValue="0" maxValue="10"/>
    </cacheField>
    <cacheField name="Number of observed gleans " numFmtId="0">
      <sharedItems containsString="0" containsBlank="1" containsNumber="1" containsInteger="1" minValue="0" maxValue="4"/>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elis" refreshedDate="44111.453868634257" createdVersion="6" refreshedVersion="6" minRefreshableVersion="3" recordCount="61" xr:uid="{A39AFD90-D9E0-3947-8FD8-3F8AA91D29F9}">
  <cacheSource type="worksheet">
    <worksheetSource ref="A1:AF62" sheet="Winter 2018"/>
  </cacheSource>
  <cacheFields count="30">
    <cacheField name="Original name" numFmtId="0">
      <sharedItems containsBlank="1"/>
    </cacheField>
    <cacheField name="Clip name" numFmtId="0">
      <sharedItems/>
    </cacheField>
    <cacheField name="Clip number" numFmtId="0">
      <sharedItems containsString="0" containsBlank="1" containsNumber="1" containsInteger="1" minValue="1" maxValue="12"/>
    </cacheField>
    <cacheField name="Clip event number" numFmtId="0">
      <sharedItems containsSemiMixedTypes="0" containsString="0" containsNumber="1" containsInteger="1" minValue="1" maxValue="2"/>
    </cacheField>
    <cacheField name="Territory name" numFmtId="0">
      <sharedItems/>
    </cacheField>
    <cacheField name="Date" numFmtId="14">
      <sharedItems containsSemiMixedTypes="0" containsNonDate="0" containsDate="1" containsString="0" minDate="2018-03-10T00:00:00" maxDate="2018-03-18T00:00:00"/>
    </cacheField>
    <cacheField name="Month" numFmtId="14">
      <sharedItems/>
    </cacheField>
    <cacheField name="Season" numFmtId="14">
      <sharedItems/>
    </cacheField>
    <cacheField name="clip duration" numFmtId="0">
      <sharedItems containsSemiMixedTypes="0" containsNonDate="0" containsDate="1" containsString="0" minDate="1899-12-30T00:00:05" maxDate="1899-12-30T03:08:00"/>
    </cacheField>
    <cacheField name="Weather conditions" numFmtId="0">
      <sharedItems containsBlank="1"/>
    </cacheField>
    <cacheField name="Band combo " numFmtId="0">
      <sharedItems/>
    </cacheField>
    <cacheField name="Behavior(Foraging/Caching/Eating)" numFmtId="0">
      <sharedItems containsBlank="1"/>
    </cacheField>
    <cacheField name="Tree species" numFmtId="0">
      <sharedItems/>
    </cacheField>
    <cacheField name="Number of food acquisition successes " numFmtId="0">
      <sharedItems containsMixedTypes="1" containsNumber="1" containsInteger="1" minValue="0" maxValue="1"/>
    </cacheField>
    <cacheField name="Cache retrieved?" numFmtId="0">
      <sharedItems containsMixedTypes="1" containsNumber="1" containsInteger="1" minValue="0" maxValue="1"/>
    </cacheField>
    <cacheField name="Cache deposited?" numFmtId="0">
      <sharedItems containsBlank="1" containsMixedTypes="1" containsNumber="1" containsInteger="1" minValue="0" maxValue="1"/>
    </cacheField>
    <cacheField name="Food category" numFmtId="0">
      <sharedItems containsBlank="1"/>
    </cacheField>
    <cacheField name="Food item" numFmtId="0">
      <sharedItems/>
    </cacheField>
    <cacheField name="Food acquisition location" numFmtId="0">
      <sharedItems containsBlank="1"/>
    </cacheField>
    <cacheField name="Cache location" numFmtId="0">
      <sharedItems containsBlank="1"/>
    </cacheField>
    <cacheField name="Bark FT" numFmtId="1">
      <sharedItems containsSemiMixedTypes="0" containsString="0" containsNumber="1" containsInteger="1" minValue="0" maxValue="183"/>
    </cacheField>
    <cacheField name="Foliage FT" numFmtId="1">
      <sharedItems containsSemiMixedTypes="0" containsString="0" containsNumber="1" containsInteger="1" minValue="0" maxValue="80"/>
    </cacheField>
    <cacheField name="Interior FT" numFmtId="1">
      <sharedItems containsSemiMixedTypes="0" containsString="0" containsNumber="1" containsInteger="1" minValue="0" maxValue="92"/>
    </cacheField>
    <cacheField name="Exterior FT" numFmtId="1">
      <sharedItems containsSemiMixedTypes="0" containsString="0" containsNumber="1" containsInteger="1" minValue="0" maxValue="91"/>
    </cacheField>
    <cacheField name="Ground FT" numFmtId="1">
      <sharedItems containsSemiMixedTypes="0" containsString="0" containsNumber="1" containsInteger="1" minValue="0" maxValue="2"/>
    </cacheField>
    <cacheField name="Total foraging time" numFmtId="1">
      <sharedItems containsSemiMixedTypes="0" containsString="0" containsNumber="1" containsInteger="1" minValue="0" maxValue="183"/>
    </cacheField>
    <cacheField name="Foraging style" numFmtId="0">
      <sharedItems containsBlank="1"/>
    </cacheField>
    <cacheField name="Notes" numFmtId="0">
      <sharedItems containsBlank="1" longText="1"/>
    </cacheField>
    <cacheField name="Number of observed probes" numFmtId="0">
      <sharedItems containsString="0" containsBlank="1" containsNumber="1" containsInteger="1" minValue="0" maxValue="21"/>
    </cacheField>
    <cacheField name="Number of observed gleans " numFmtId="0">
      <sharedItems containsString="0" containsBlank="1" containsNumber="1" containsInteger="1" minValue="0" maxValue="1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elis" refreshedDate="44111.453899074077" createdVersion="6" refreshedVersion="6" minRefreshableVersion="3" recordCount="92" xr:uid="{CF37C0A9-E33B-F645-85B7-3D223116B09C}">
  <cacheSource type="worksheet">
    <worksheetSource ref="A1:AF1048576" sheet="Winter 2018"/>
  </cacheSource>
  <cacheFields count="32">
    <cacheField name="Original name" numFmtId="0">
      <sharedItems containsBlank="1"/>
    </cacheField>
    <cacheField name="Clip name" numFmtId="0">
      <sharedItems containsBlank="1"/>
    </cacheField>
    <cacheField name="Clip number" numFmtId="0">
      <sharedItems containsString="0" containsBlank="1" containsNumber="1" containsInteger="1" minValue="1" maxValue="12"/>
    </cacheField>
    <cacheField name="Clip event number" numFmtId="0">
      <sharedItems containsString="0" containsBlank="1" containsNumber="1" containsInteger="1" minValue="1" maxValue="3"/>
    </cacheField>
    <cacheField name="Territory name" numFmtId="0">
      <sharedItems containsBlank="1"/>
    </cacheField>
    <cacheField name="Date" numFmtId="0">
      <sharedItems containsNonDate="0" containsDate="1" containsString="0" containsBlank="1" minDate="2018-03-10T00:00:00" maxDate="2018-03-23T00:00:00" count="11">
        <d v="2018-03-10T00:00:00"/>
        <d v="2018-03-11T00:00:00"/>
        <d v="2018-03-12T00:00:00"/>
        <d v="2018-03-13T00:00:00"/>
        <d v="2018-03-14T00:00:00"/>
        <d v="2018-03-15T00:00:00"/>
        <d v="2018-03-17T00:00:00"/>
        <d v="2018-03-18T00:00:00"/>
        <d v="2018-03-21T00:00:00"/>
        <d v="2018-03-22T00:00:00"/>
        <m/>
      </sharedItems>
      <fieldGroup par="31" base="5">
        <rangePr groupBy="months" startDate="2018-03-10T00:00:00" endDate="2018-03-23T00:00:00"/>
        <groupItems count="14">
          <s v="(blank)"/>
          <s v="Jan"/>
          <s v="Feb"/>
          <s v="Mar"/>
          <s v="Apr"/>
          <s v="May"/>
          <s v="Jun"/>
          <s v="Jul"/>
          <s v="Aug"/>
          <s v="Sep"/>
          <s v="Oct"/>
          <s v="Nov"/>
          <s v="Dec"/>
          <s v="&gt;3/23/18"/>
        </groupItems>
      </fieldGroup>
    </cacheField>
    <cacheField name="Month" numFmtId="0">
      <sharedItems containsBlank="1" count="2">
        <s v="March"/>
        <m/>
      </sharedItems>
    </cacheField>
    <cacheField name="Season" numFmtId="0">
      <sharedItems containsBlank="1"/>
    </cacheField>
    <cacheField name="clip duration" numFmtId="0">
      <sharedItems containsNonDate="0" containsDate="1" containsString="0" containsBlank="1" minDate="1899-12-30T00:00:05" maxDate="1899-12-30T03:20:00"/>
    </cacheField>
    <cacheField name="Weather conditions" numFmtId="0">
      <sharedItems containsBlank="1"/>
    </cacheField>
    <cacheField name="Band combo " numFmtId="0">
      <sharedItems containsBlank="1"/>
    </cacheField>
    <cacheField name="Behavior(Foraging/Caching/Eating)" numFmtId="0">
      <sharedItems containsBlank="1"/>
    </cacheField>
    <cacheField name="Tree species" numFmtId="0">
      <sharedItems containsBlank="1"/>
    </cacheField>
    <cacheField name="Number of food acquisition successes " numFmtId="0">
      <sharedItems containsBlank="1" containsMixedTypes="1" containsNumber="1" containsInteger="1" minValue="0" maxValue="2"/>
    </cacheField>
    <cacheField name="Cache retrieved?" numFmtId="0">
      <sharedItems containsBlank="1" containsMixedTypes="1" containsNumber="1" containsInteger="1" minValue="0" maxValue="1"/>
    </cacheField>
    <cacheField name="Cache deposited?" numFmtId="0">
      <sharedItems containsBlank="1" containsMixedTypes="1" containsNumber="1" containsInteger="1" minValue="0" maxValue="1"/>
    </cacheField>
    <cacheField name="Food category" numFmtId="0">
      <sharedItems containsBlank="1" count="6">
        <s v="Unknown"/>
        <s v="misc"/>
        <s v="Berry"/>
        <m/>
        <s v="Animal flesh"/>
        <s v="Human food"/>
      </sharedItems>
    </cacheField>
    <cacheField name="Food item" numFmtId="0">
      <sharedItems containsBlank="1" count="18">
        <s v="unknown"/>
        <s v="Toilet Paper"/>
        <s v="Berry"/>
        <s v="NA"/>
        <s v="urine snow"/>
        <s v="animal flesh"/>
        <s v="Animal flesh (vole)"/>
        <s v="Animal flesh (Snowshoe hare)"/>
        <s v="Unknow but probably snow"/>
        <s v="unknown "/>
        <s v="Animal flesh (maybe vole)"/>
        <s v="human food"/>
        <s v="Animal flesh (Hare skull)"/>
        <s v="Lichen"/>
        <s v="spruce cone seed"/>
        <s v="Unknown, maybe berry"/>
        <s v="Snow"/>
        <m/>
      </sharedItems>
    </cacheField>
    <cacheField name="Food acquisition location" numFmtId="0">
      <sharedItems containsBlank="1"/>
    </cacheField>
    <cacheField name="Cache location" numFmtId="0">
      <sharedItems containsBlank="1"/>
    </cacheField>
    <cacheField name="Bark FT" numFmtId="1">
      <sharedItems containsString="0" containsBlank="1" containsNumber="1" containsInteger="1" minValue="0" maxValue="183"/>
    </cacheField>
    <cacheField name="Foliage FT" numFmtId="1">
      <sharedItems containsString="0" containsBlank="1" containsNumber="1" containsInteger="1" minValue="0" maxValue="98"/>
    </cacheField>
    <cacheField name="Interior FT" numFmtId="1">
      <sharedItems containsString="0" containsBlank="1" containsNumber="1" containsInteger="1" minValue="0" maxValue="98"/>
    </cacheField>
    <cacheField name="Exterior FT" numFmtId="1">
      <sharedItems containsString="0" containsBlank="1" containsNumber="1" containsInteger="1" minValue="0" maxValue="91"/>
    </cacheField>
    <cacheField name="Ground FT" numFmtId="1">
      <sharedItems containsString="0" containsBlank="1" containsNumber="1" containsInteger="1" minValue="0" maxValue="19"/>
    </cacheField>
    <cacheField name="Total foraging time" numFmtId="1">
      <sharedItems containsString="0" containsBlank="1" containsNumber="1" containsInteger="1" minValue="0" maxValue="183"/>
    </cacheField>
    <cacheField name="Foraging style" numFmtId="0">
      <sharedItems containsBlank="1"/>
    </cacheField>
    <cacheField name="Notes" numFmtId="0">
      <sharedItems containsBlank="1" containsMixedTypes="1" containsNumber="1" containsInteger="1" minValue="1" maxValue="1" longText="1"/>
    </cacheField>
    <cacheField name="Number of observed probes" numFmtId="0">
      <sharedItems containsString="0" containsBlank="1" containsNumber="1" containsInteger="1" minValue="0" maxValue="21"/>
    </cacheField>
    <cacheField name="Number of observed gleans " numFmtId="0">
      <sharedItems containsString="0" containsBlank="1" containsNumber="1" containsInteger="1" minValue="0" maxValue="11"/>
    </cacheField>
    <cacheField name="Quarters" numFmtId="0" databaseField="0">
      <fieldGroup base="5">
        <rangePr groupBy="quarters" startDate="2018-03-10T00:00:00" endDate="2018-03-23T00:00:00"/>
        <groupItems count="6">
          <s v="&lt;3/10/18"/>
          <s v="Qtr1"/>
          <s v="Qtr2"/>
          <s v="Qtr3"/>
          <s v="Qtr4"/>
          <s v="&gt;3/23/18"/>
        </groupItems>
      </fieldGroup>
    </cacheField>
    <cacheField name="Years" numFmtId="0" databaseField="0">
      <fieldGroup base="5">
        <rangePr groupBy="years" startDate="2018-03-10T00:00:00" endDate="2018-03-23T00:00:00"/>
        <groupItems count="3">
          <s v="&lt;3/10/18"/>
          <s v="2018"/>
          <s v="&gt;3/23/18"/>
        </groupItems>
      </fieldGroup>
    </cacheField>
  </cacheFields>
  <extLst>
    <ext xmlns:x14="http://schemas.microsoft.com/office/spreadsheetml/2009/9/main" uri="{725AE2AE-9491-48be-B2B4-4EB974FC3084}">
      <x14:pivotCacheDefinition/>
    </ext>
  </extLst>
</pivotCacheDefinition>
</file>

<file path=xl/pivotCache/pivotCacheDefinition8.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elis" refreshedDate="44111.455222800927" createdVersion="6" refreshedVersion="6" minRefreshableVersion="3" recordCount="1539" xr:uid="{A8C03D6F-9EE4-3A48-838F-D2E829A149A7}">
  <cacheSource type="worksheet">
    <worksheetSource ref="A1:AR1048576" sheet="2019 breeding"/>
  </cacheSource>
  <cacheFields count="44">
    <cacheField name="Original name" numFmtId="0">
      <sharedItems containsBlank="1"/>
    </cacheField>
    <cacheField name="Clip name" numFmtId="0">
      <sharedItems containsBlank="1"/>
    </cacheField>
    <cacheField name="Clip number" numFmtId="0">
      <sharedItems containsString="0" containsBlank="1" containsNumber="1" containsInteger="1" minValue="1" maxValue="68"/>
    </cacheField>
    <cacheField name="Clip event number" numFmtId="0">
      <sharedItems containsString="0" containsBlank="1" containsNumber="1" containsInteger="1" minValue="1" maxValue="8"/>
    </cacheField>
    <cacheField name="Territory name" numFmtId="0">
      <sharedItems containsBlank="1" count="31">
        <s v="WAC West"/>
        <s v="M4West"/>
        <s v="Mercantile"/>
        <s v="Sasquatch"/>
        <s v="CCAMP"/>
        <s v="B&amp;U"/>
        <s v="M4Roadside"/>
        <s v="Air Quality"/>
        <s v="Unknown"/>
        <s v="Mile 237"/>
        <s v="Rock Creek"/>
        <s v="Mile 3.5"/>
        <s v="Taiga"/>
        <s v="Boulder"/>
        <s v="Horse Shoe"/>
        <s v="Tcamp"/>
        <s v="Trail Camp"/>
        <s v="Kennel_2"/>
        <s v="Mile 4 South"/>
        <s v="Kennel_1"/>
        <s v="Trial Camp"/>
        <s v="Mile 4 East "/>
        <s v="Dam"/>
        <s v="CCAMP South"/>
        <s v="Riley Creek"/>
        <m/>
        <s v="Mercentile " u="1"/>
        <s v="BU" u="1"/>
        <s v="Mile 4 Roadside" u="1"/>
        <s v="Mercantile " u="1"/>
        <s v="Mil3 237" u="1"/>
      </sharedItems>
    </cacheField>
    <cacheField name="Date" numFmtId="0">
      <sharedItems containsNonDate="0" containsDate="1" containsString="0" containsBlank="1" minDate="2018-08-28T00:00:00" maxDate="2019-05-09T00:00:00"/>
    </cacheField>
    <cacheField name="Month" numFmtId="0">
      <sharedItems containsBlank="1"/>
    </cacheField>
    <cacheField name="Season" numFmtId="0">
      <sharedItems containsBlank="1"/>
    </cacheField>
    <cacheField name="clip duration" numFmtId="165">
      <sharedItems containsDate="1" containsBlank="1" containsMixedTypes="1" minDate="1899-12-30T00:00:05" maxDate="1899-12-30T07:01:00"/>
    </cacheField>
    <cacheField name="Clip duration2" numFmtId="169">
      <sharedItems containsNonDate="0" containsDate="1" containsString="0" containsBlank="1" minDate="1899-12-30T00:00:00" maxDate="1899-12-30T01:00:06"/>
    </cacheField>
    <cacheField name="Clip duration (s)" numFmtId="1">
      <sharedItems containsString="0" containsBlank="1" containsNumber="1" containsInteger="1" minValue="0" maxValue="480" count="123">
        <n v="77"/>
        <n v="39"/>
        <n v="143"/>
        <n v="36"/>
        <n v="48"/>
        <n v="111"/>
        <n v="61"/>
        <n v="98"/>
        <n v="33"/>
        <n v="126"/>
        <n v="7"/>
        <n v="11"/>
        <n v="17"/>
        <n v="18"/>
        <n v="15"/>
        <n v="25"/>
        <n v="64"/>
        <n v="19"/>
        <n v="34"/>
        <n v="41"/>
        <n v="57"/>
        <n v="32"/>
        <n v="47"/>
        <n v="40"/>
        <n v="70"/>
        <n v="45"/>
        <n v="42"/>
        <n v="82"/>
        <n v="52"/>
        <n v="51"/>
        <n v="125"/>
        <n v="87"/>
        <n v="73"/>
        <n v="67"/>
        <n v="37"/>
        <n v="74"/>
        <n v="99"/>
        <n v="44"/>
        <n v="20"/>
        <n v="69"/>
        <n v="72"/>
        <n v="154"/>
        <n v="159"/>
        <n v="139"/>
        <n v="26"/>
        <n v="31"/>
        <n v="56"/>
        <n v="16"/>
        <n v="63"/>
        <n v="10"/>
        <n v="130"/>
        <n v="55"/>
        <n v="27"/>
        <n v="9"/>
        <n v="50"/>
        <n v="38"/>
        <n v="81"/>
        <n v="94"/>
        <n v="29"/>
        <n v="14"/>
        <n v="58"/>
        <n v="12"/>
        <n v="35"/>
        <n v="62"/>
        <n v="13"/>
        <n v="102"/>
        <n v="91"/>
        <n v="8"/>
        <n v="28"/>
        <n v="30"/>
        <n v="66"/>
        <n v="24"/>
        <n v="5"/>
        <n v="92"/>
        <n v="151"/>
        <n v="53"/>
        <n v="114"/>
        <n v="22"/>
        <n v="122"/>
        <n v="60"/>
        <n v="169"/>
        <n v="96"/>
        <n v="112"/>
        <n v="84"/>
        <n v="49"/>
        <n v="23"/>
        <n v="88"/>
        <n v="65"/>
        <n v="97"/>
        <n v="21"/>
        <n v="132"/>
        <n v="140"/>
        <n v="46"/>
        <n v="86"/>
        <n v="6"/>
        <n v="83"/>
        <n v="54"/>
        <n v="110"/>
        <n v="59"/>
        <n v="361"/>
        <n v="127"/>
        <n v="103"/>
        <n v="108"/>
        <n v="153"/>
        <n v="68"/>
        <n v="107"/>
        <n v="43"/>
        <n v="119"/>
        <n v="75"/>
        <n v="4"/>
        <n v="222"/>
        <n v="115"/>
        <n v="145"/>
        <n v="480"/>
        <n v="131"/>
        <n v="90"/>
        <n v="79"/>
        <n v="113"/>
        <n v="0"/>
        <n v="163"/>
        <n v="168"/>
        <n v="164"/>
        <m/>
      </sharedItems>
    </cacheField>
    <cacheField name="Weather conditions" numFmtId="0">
      <sharedItems containsBlank="1"/>
    </cacheField>
    <cacheField name="Band combo " numFmtId="0">
      <sharedItems containsBlank="1" count="51">
        <s v="BP/PS"/>
        <s v="BR/RS"/>
        <s v="BW/GS"/>
        <s v="G/BS"/>
        <s v="GB/BS"/>
        <s v="GL/RS"/>
        <s v="GR/PS"/>
        <s v="OB/YS"/>
        <s v="PG/PS"/>
        <s v="PL/PS"/>
        <s v="unbanded"/>
        <s v="unknown"/>
        <s v="WG/OS"/>
        <s v="WO/OS"/>
        <s v="WP/BS"/>
        <s v="YO/BS"/>
        <s v="YP/RS"/>
        <s v="G-/BS"/>
        <s v="GG/BS"/>
        <s v="GW/BS"/>
        <s v="OB/?S"/>
        <s v="WO/RS"/>
        <s v="Y-/BS"/>
        <m/>
        <s v="OO/BS"/>
        <s v="OW/BS"/>
        <s v="PG/BS"/>
        <s v="WR/OS"/>
        <s v="YL/OS"/>
        <s v="YO/OS"/>
        <s v="GB/PS"/>
        <s v="WL/PS"/>
        <s v="BO/OS"/>
        <s v="GL/PS"/>
        <s v="LB/RS"/>
        <s v="O-/BS"/>
        <s v="PB/RS"/>
        <s v="PW/PS"/>
        <s v="PW/RS"/>
        <s v="W/PS"/>
        <s v="WL/RS"/>
        <s v="WP/OS"/>
        <s v=" G-/BS"/>
        <s v="?/RS"/>
        <s v="GG/RS"/>
        <s v="GP/BS"/>
        <s v="GR/RS"/>
        <s v="NA"/>
        <s v="WL/PS "/>
        <s v="WL/PS and unbanded"/>
        <s v="WL/RS or WP/OS"/>
      </sharedItems>
    </cacheField>
    <cacheField name="Behavior(Foraging/Caching/Eating)" numFmtId="0">
      <sharedItems containsBlank="1"/>
    </cacheField>
    <cacheField name="Tree species" numFmtId="0">
      <sharedItems containsBlank="1"/>
    </cacheField>
    <cacheField name="Number of food acquisition successes " numFmtId="0">
      <sharedItems containsBlank="1" containsMixedTypes="1" containsNumber="1" containsInteger="1" minValue="0" maxValue="8"/>
    </cacheField>
    <cacheField name="Cache retrieved?" numFmtId="0">
      <sharedItems containsBlank="1" containsMixedTypes="1" containsNumber="1" containsInteger="1" minValue="0" maxValue="1"/>
    </cacheField>
    <cacheField name="Cache deposited?" numFmtId="0">
      <sharedItems containsBlank="1" containsMixedTypes="1" containsNumber="1" containsInteger="1" minValue="0" maxValue="3"/>
    </cacheField>
    <cacheField name="Food category" numFmtId="0">
      <sharedItems containsBlank="1"/>
    </cacheField>
    <cacheField name="Food item" numFmtId="0">
      <sharedItems containsBlank="1"/>
    </cacheField>
    <cacheField name="Food acquisition location" numFmtId="0">
      <sharedItems containsBlank="1" containsMixedTypes="1" containsNumber="1" containsInteger="1" minValue="0" maxValue="0"/>
    </cacheField>
    <cacheField name="Cache location" numFmtId="0">
      <sharedItems containsBlank="1" containsMixedTypes="1" containsNumber="1" containsInteger="1" minValue="0" maxValue="0"/>
    </cacheField>
    <cacheField name="Cache Tree" numFmtId="0">
      <sharedItems containsBlank="1"/>
    </cacheField>
    <cacheField name="Cache location (interior, exterior, trunk)" numFmtId="0">
      <sharedItems containsBlank="1"/>
    </cacheField>
    <cacheField name="Cache covering (foliage, bark, witchbroom)" numFmtId="0">
      <sharedItems containsBlank="1"/>
    </cacheField>
    <cacheField name="Cache aspect" numFmtId="0">
      <sharedItems containsBlank="1" containsMixedTypes="1" containsNumber="1" containsInteger="1" minValue="0" maxValue="315"/>
    </cacheField>
    <cacheField name="Cache degrees" numFmtId="0">
      <sharedItems containsBlank="1" containsMixedTypes="1" containsNumber="1" containsInteger="1" minValue="0" maxValue="355"/>
    </cacheField>
    <cacheField name="Distance from food acqusition site to cache site (m)" numFmtId="0">
      <sharedItems containsBlank="1" containsMixedTypes="1" containsNumber="1" minValue="0" maxValue="101"/>
    </cacheField>
    <cacheField name="Cache LAT " numFmtId="0">
      <sharedItems containsBlank="1" containsMixedTypes="1" containsNumber="1" minValue="63.718719999999998" maxValue="63.740699999999997"/>
    </cacheField>
    <cacheField name="Cache Long" numFmtId="0">
      <sharedItems containsBlank="1" containsMixedTypes="1" containsNumber="1" minValue="148.88453999999999" maxValue="148.99030999999999"/>
    </cacheField>
    <cacheField name="Recovered cache lat" numFmtId="0">
      <sharedItems containsBlank="1" containsMixedTypes="1" containsNumber="1" minValue="0" maxValue="63.740810000000003"/>
    </cacheField>
    <cacheField name="recovered cache long" numFmtId="0">
      <sharedItems containsBlank="1" containsMixedTypes="1" containsNumber="1" minValue="0" maxValue="148.98885999999999"/>
    </cacheField>
    <cacheField name="If previous CT, label" numFmtId="0">
      <sharedItems containsBlank="1"/>
    </cacheField>
    <cacheField name="Bark FT" numFmtId="0">
      <sharedItems containsDate="1" containsBlank="1" containsMixedTypes="1" minDate="1899-12-31T00:00:00" maxDate="1899-12-31T01:27:04"/>
    </cacheField>
    <cacheField name="Foliage FT" numFmtId="0">
      <sharedItems containsBlank="1" containsMixedTypes="1" containsNumber="1" containsInteger="1" minValue="0" maxValue="67"/>
    </cacheField>
    <cacheField name="Interior FT" numFmtId="0">
      <sharedItems containsBlank="1" containsMixedTypes="1" containsNumber="1" containsInteger="1" minValue="0" maxValue="108"/>
    </cacheField>
    <cacheField name="Exterior FT" numFmtId="0">
      <sharedItems containsBlank="1" containsMixedTypes="1" containsNumber="1" containsInteger="1" minValue="0" maxValue="88"/>
    </cacheField>
    <cacheField name="Ground" numFmtId="0">
      <sharedItems containsDate="1" containsBlank="1" containsMixedTypes="1" minDate="1899-12-31T00:00:00" maxDate="1900-01-01T09:45:04"/>
    </cacheField>
    <cacheField name="Human surface " numFmtId="0">
      <sharedItems containsString="0" containsBlank="1" containsNumber="1" containsInteger="1" minValue="0" maxValue="22"/>
    </cacheField>
    <cacheField name="Total foraging time" numFmtId="0">
      <sharedItems containsString="0" containsBlank="1" containsNumber="1" containsInteger="1" minValue="0" maxValue="269"/>
    </cacheField>
    <cacheField name="Foraging style" numFmtId="0">
      <sharedItems containsBlank="1" containsMixedTypes="1" containsNumber="1" containsInteger="1" minValue="0" maxValue="0"/>
    </cacheField>
    <cacheField name="Notes" numFmtId="0">
      <sharedItems containsBlank="1" containsMixedTypes="1" containsNumber="1" containsInteger="1" minValue="0" maxValue="0" longText="1"/>
    </cacheField>
    <cacheField name="Number of observed probes" numFmtId="0">
      <sharedItems containsBlank="1" containsMixedTypes="1" containsNumber="1" containsInteger="1" minValue="0" maxValue="10"/>
    </cacheField>
    <cacheField name="Number of observed gleans " numFmtId="0">
      <sharedItems containsBlank="1" containsMixedTypes="1" containsNumber="1" containsInteger="1" minValue="0" maxValue="19"/>
    </cacheField>
  </cacheFields>
  <extLst>
    <ext xmlns:x14="http://schemas.microsoft.com/office/spreadsheetml/2009/9/main" uri="{725AE2AE-9491-48be-B2B4-4EB974FC3084}">
      <x14:pivotCacheDefinition/>
    </ext>
  </extLst>
</pivotCacheDefinition>
</file>

<file path=xl/pivotCache/pivotCacheDefinition9.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kaelis" refreshedDate="44132.567902777781" createdVersion="6" refreshedVersion="6" minRefreshableVersion="3" recordCount="55" xr:uid="{1C35593F-7D66-354A-89EF-D5C046581500}">
  <cacheSource type="worksheet">
    <worksheetSource ref="A1:AP1048576" sheet="June_2019_data"/>
  </cacheSource>
  <cacheFields count="41">
    <cacheField name="Original name" numFmtId="0">
      <sharedItems containsBlank="1"/>
    </cacheField>
    <cacheField name="Clip name" numFmtId="0">
      <sharedItems containsBlank="1"/>
    </cacheField>
    <cacheField name="Clip number" numFmtId="0">
      <sharedItems containsString="0" containsBlank="1" containsNumber="1" containsInteger="1" minValue="1" maxValue="20"/>
    </cacheField>
    <cacheField name="Clip event number" numFmtId="0">
      <sharedItems containsString="0" containsBlank="1" containsNumber="1" containsInteger="1" minValue="1" maxValue="3"/>
    </cacheField>
    <cacheField name="Territory name" numFmtId="0">
      <sharedItems containsBlank="1"/>
    </cacheField>
    <cacheField name="Date" numFmtId="0">
      <sharedItems containsNonDate="0" containsDate="1" containsString="0" containsBlank="1" minDate="2019-06-30T00:00:00" maxDate="2019-07-05T00:00:00"/>
    </cacheField>
    <cacheField name="Month" numFmtId="0">
      <sharedItems containsBlank="1" count="3">
        <s v="June"/>
        <s v="July"/>
        <m/>
      </sharedItems>
    </cacheField>
    <cacheField name="clip duration" numFmtId="0">
      <sharedItems containsNonDate="0" containsDate="1" containsString="0" containsBlank="1" minDate="1899-12-30T00:00:43" maxDate="1899-12-30T01:58:00"/>
    </cacheField>
    <cacheField name="clip duration2" numFmtId="169">
      <sharedItems containsNonDate="0" containsDate="1" containsString="0" containsBlank="1" minDate="1899-12-30T00:00:02" maxDate="1899-12-30T00:01:58"/>
    </cacheField>
    <cacheField name="Weather conditions" numFmtId="0">
      <sharedItems containsBlank="1"/>
    </cacheField>
    <cacheField name="Band combo " numFmtId="0">
      <sharedItems containsBlank="1"/>
    </cacheField>
    <cacheField name="Behavior(Foraging/Caching/Eating)" numFmtId="0">
      <sharedItems containsBlank="1"/>
    </cacheField>
    <cacheField name="Tree species" numFmtId="0">
      <sharedItems containsBlank="1"/>
    </cacheField>
    <cacheField name="Number of food acquisition successes " numFmtId="0">
      <sharedItems containsBlank="1" containsMixedTypes="1" containsNumber="1" containsInteger="1" minValue="0" maxValue="2"/>
    </cacheField>
    <cacheField name="Cache retrieved?" numFmtId="0">
      <sharedItems containsBlank="1" containsMixedTypes="1" containsNumber="1" containsInteger="1" minValue="0" maxValue="0"/>
    </cacheField>
    <cacheField name="Cache deposited?" numFmtId="0">
      <sharedItems containsBlank="1" containsMixedTypes="1" containsNumber="1" containsInteger="1" minValue="0" maxValue="1"/>
    </cacheField>
    <cacheField name="Food category" numFmtId="0">
      <sharedItems containsBlank="1" count="7">
        <s v="NA"/>
        <s v="Unknown"/>
        <s v="Insect"/>
        <s v="Human food"/>
        <s v="Unknown (maybe insect)"/>
        <s v="Mushroom"/>
        <m/>
      </sharedItems>
    </cacheField>
    <cacheField name="Food item" numFmtId="0">
      <sharedItems containsBlank="1" count="8">
        <s v="NA"/>
        <s v="Unknown"/>
        <s v="Hornet"/>
        <s v="Cracker"/>
        <s v="Spider egg sack"/>
        <s v="Unknown (maybe insect)"/>
        <s v="Mushroom"/>
        <m/>
      </sharedItems>
    </cacheField>
    <cacheField name="Food acquisition location" numFmtId="0">
      <sharedItems containsBlank="1"/>
    </cacheField>
    <cacheField name="Cache location" numFmtId="0">
      <sharedItems containsBlank="1"/>
    </cacheField>
    <cacheField name="Cache Tree" numFmtId="0">
      <sharedItems containsBlank="1"/>
    </cacheField>
    <cacheField name="Cache location (interior, exterior, trunk)" numFmtId="0">
      <sharedItems containsBlank="1"/>
    </cacheField>
    <cacheField name="Cache covering (foliage, bark, witchbroom)" numFmtId="0">
      <sharedItems containsBlank="1"/>
    </cacheField>
    <cacheField name="Cache aspect" numFmtId="0">
      <sharedItems containsBlank="1"/>
    </cacheField>
    <cacheField name="Cache degrees" numFmtId="0">
      <sharedItems containsBlank="1" containsMixedTypes="1" containsNumber="1" containsInteger="1" minValue="34" maxValue="201"/>
    </cacheField>
    <cacheField name="Distance from food acqusition site to cache site (m)" numFmtId="0">
      <sharedItems containsBlank="1" containsMixedTypes="1" containsNumber="1" containsInteger="1" minValue="2" maxValue="2"/>
    </cacheField>
    <cacheField name="Cache LAT " numFmtId="0">
      <sharedItems containsBlank="1" containsMixedTypes="1" containsNumber="1" minValue="63.720939999999999" maxValue="63.737050000000004"/>
    </cacheField>
    <cacheField name="Cache Long" numFmtId="0">
      <sharedItems containsBlank="1" containsMixedTypes="1" containsNumber="1" minValue="148.89067" maxValue="148.98759000000001"/>
    </cacheField>
    <cacheField name="Recovered cache lat" numFmtId="0">
      <sharedItems containsBlank="1"/>
    </cacheField>
    <cacheField name="recovered cache long" numFmtId="0">
      <sharedItems containsBlank="1"/>
    </cacheField>
    <cacheField name="If previous CT, label" numFmtId="0">
      <sharedItems containsBlank="1"/>
    </cacheField>
    <cacheField name="Bark FT" numFmtId="0">
      <sharedItems containsString="0" containsBlank="1" containsNumber="1" containsInteger="1" minValue="0" maxValue="78"/>
    </cacheField>
    <cacheField name="Foliage FT" numFmtId="0">
      <sharedItems containsString="0" containsBlank="1" containsNumber="1" containsInteger="1" minValue="0" maxValue="78"/>
    </cacheField>
    <cacheField name="Interior FT" numFmtId="0">
      <sharedItems containsString="0" containsBlank="1" containsNumber="1" containsInteger="1" minValue="0" maxValue="78"/>
    </cacheField>
    <cacheField name="Exterior FT" numFmtId="0">
      <sharedItems containsString="0" containsBlank="1" containsNumber="1" containsInteger="1" minValue="0" maxValue="78"/>
    </cacheField>
    <cacheField name="Ground" numFmtId="0">
      <sharedItems containsString="0" containsBlank="1" containsNumber="1" containsInteger="1" minValue="0" maxValue="96"/>
    </cacheField>
    <cacheField name="Total foraging time" numFmtId="0">
      <sharedItems containsString="0" containsBlank="1" containsNumber="1" containsInteger="1" minValue="0" maxValue="130"/>
    </cacheField>
    <cacheField name="Foraging style" numFmtId="0">
      <sharedItems containsBlank="1"/>
    </cacheField>
    <cacheField name="Notes" numFmtId="0">
      <sharedItems containsBlank="1"/>
    </cacheField>
    <cacheField name="Number of observed probes" numFmtId="0">
      <sharedItems containsBlank="1" containsMixedTypes="1" containsNumber="1" containsInteger="1" minValue="1" maxValue="1"/>
    </cacheField>
    <cacheField name="Number of observed gleans " numFmtId="0">
      <sharedItems containsString="0" containsBlank="1" containsNumber="1" containsInteger="1" minValue="1" maxValue="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9">
  <r>
    <s v="DSCN4288"/>
    <s v="Porc0808_1"/>
    <x v="0"/>
    <n v="1"/>
    <s v="Porc"/>
    <d v="2019-08-08T00:00:00"/>
    <x v="0"/>
    <d v="1899-12-30T00:29:00"/>
    <s v="Sunny"/>
    <s v="PL/LS"/>
    <s v="Caching"/>
    <s v="Spruce"/>
    <n v="0"/>
    <s v="NA"/>
    <x v="0"/>
    <x v="0"/>
    <x v="0"/>
    <s v="Unknown"/>
    <s v="Interior spruce under bark"/>
    <x v="0"/>
    <x v="0"/>
    <x v="0"/>
    <s v="NE"/>
    <n v="62"/>
    <x v="0"/>
    <n v="63.720280000000002"/>
    <n v="148.97528"/>
    <s v="NA"/>
    <s v="NA"/>
    <s v="NA"/>
    <n v="0"/>
    <n v="0"/>
    <n v="0"/>
    <n v="0"/>
    <n v="0"/>
    <n v="0"/>
    <n v="0"/>
    <m/>
    <m/>
    <m/>
    <m/>
  </r>
  <r>
    <s v="DSCN4300"/>
    <s v="MC0809_3"/>
    <x v="1"/>
    <n v="1"/>
    <s v="Merc"/>
    <d v="2019-08-09T00:00:00"/>
    <x v="0"/>
    <d v="1899-12-30T00:07:00"/>
    <s v="Mostly cloudy"/>
    <s v="BW/GS"/>
    <s v="Caching"/>
    <s v="Spruce"/>
    <n v="0"/>
    <n v="1"/>
    <x v="0"/>
    <x v="0"/>
    <x v="0"/>
    <s v="Unknown"/>
    <s v="Spruce trunk under bark"/>
    <x v="0"/>
    <x v="1"/>
    <x v="0"/>
    <m/>
    <n v="246"/>
    <x v="0"/>
    <n v="63.731619999999999"/>
    <n v="148.90079"/>
    <s v="NA"/>
    <s v="NA"/>
    <s v="NA"/>
    <n v="0"/>
    <n v="0"/>
    <n v="0"/>
    <n v="0"/>
    <n v="0"/>
    <n v="0"/>
    <n v="0"/>
    <m/>
    <s v="Missed acquisition"/>
    <m/>
    <m/>
  </r>
  <r>
    <s v="DSCN4308"/>
    <s v="MC0809_7"/>
    <x v="2"/>
    <n v="1"/>
    <s v="Merc"/>
    <d v="2019-08-09T00:00:00"/>
    <x v="0"/>
    <d v="1899-12-30T00:22:00"/>
    <s v="Mostly cloudy"/>
    <s v="BW/GS"/>
    <s v="Caching"/>
    <s v="Spruce"/>
    <n v="0"/>
    <n v="0"/>
    <x v="0"/>
    <x v="0"/>
    <x v="0"/>
    <s v="Unknown"/>
    <s v="Exterior spruce under bark"/>
    <x v="0"/>
    <x v="2"/>
    <x v="0"/>
    <m/>
    <n v="215"/>
    <x v="0"/>
    <n v="63.733350000000002"/>
    <n v="148.89823999999999"/>
    <s v="NA"/>
    <s v="NA"/>
    <s v="NA"/>
    <n v="0"/>
    <n v="0"/>
    <n v="0"/>
    <n v="0"/>
    <n v="0"/>
    <n v="0"/>
    <n v="0"/>
    <m/>
    <m/>
    <m/>
    <m/>
  </r>
  <r>
    <s v="DSCN4308"/>
    <s v="MC0809_7"/>
    <x v="2"/>
    <n v="1"/>
    <s v="Merc"/>
    <d v="2019-08-09T00:00:00"/>
    <x v="0"/>
    <d v="1899-12-30T00:22:00"/>
    <s v="Mostly cloudy"/>
    <s v="BW/GS"/>
    <s v="Caching"/>
    <s v="Spruce"/>
    <n v="0"/>
    <n v="0"/>
    <x v="0"/>
    <x v="0"/>
    <x v="0"/>
    <s v="Unknown"/>
    <s v="Interior spruce under bark"/>
    <x v="0"/>
    <x v="0"/>
    <x v="0"/>
    <m/>
    <n v="215"/>
    <x v="0"/>
    <n v="63.733350000000002"/>
    <n v="148.89823999999999"/>
    <s v="NA"/>
    <s v="NA"/>
    <s v="NA"/>
    <n v="0"/>
    <n v="0"/>
    <n v="0"/>
    <n v="0"/>
    <n v="0"/>
    <n v="0"/>
    <n v="0"/>
    <m/>
    <s v="Differet trees.  GPS can't differnetiate "/>
    <m/>
    <m/>
  </r>
  <r>
    <s v="DSCN4297"/>
    <s v="MC0809_2"/>
    <x v="3"/>
    <n v="1"/>
    <s v="Merc"/>
    <d v="2019-08-09T00:00:00"/>
    <x v="0"/>
    <d v="1899-12-30T00:27:00"/>
    <s v="Mostly cloudy"/>
    <s v="BW/GS"/>
    <s v="Caching"/>
    <s v="Spruce"/>
    <n v="0"/>
    <n v="0"/>
    <x v="0"/>
    <x v="0"/>
    <x v="0"/>
    <s v="Unknown"/>
    <s v="Exterior spruce under bark"/>
    <x v="0"/>
    <x v="2"/>
    <x v="0"/>
    <m/>
    <n v="300"/>
    <x v="0"/>
    <n v="63.733980000000003"/>
    <n v="148.89940000000001"/>
    <s v="NA"/>
    <s v="NA"/>
    <s v="NA"/>
    <n v="0"/>
    <n v="0"/>
    <n v="0"/>
    <n v="0"/>
    <n v="0"/>
    <n v="0"/>
    <n v="0"/>
    <m/>
    <s v="Missed acquisition"/>
    <m/>
    <m/>
  </r>
  <r>
    <s v="DSCN4311"/>
    <s v="MC809_10"/>
    <x v="4"/>
    <n v="1"/>
    <s v="Merc"/>
    <d v="2019-08-09T00:00:00"/>
    <x v="0"/>
    <d v="1899-12-30T00:22:00"/>
    <s v="Mostly cloudy"/>
    <s v="WO/OS"/>
    <s v="Caching"/>
    <s v="Aspen"/>
    <n v="0"/>
    <n v="0"/>
    <x v="0"/>
    <x v="0"/>
    <x v="0"/>
    <s v="Unknown"/>
    <s v="Exterior aspen under bark"/>
    <x v="1"/>
    <x v="2"/>
    <x v="0"/>
    <m/>
    <n v="65"/>
    <x v="0"/>
    <n v="63.734540000000003"/>
    <n v="148.89734000000001"/>
    <s v="NA"/>
    <s v="NA"/>
    <s v="NA"/>
    <n v="0"/>
    <n v="0"/>
    <n v="0"/>
    <n v="0"/>
    <n v="0"/>
    <n v="0"/>
    <n v="0"/>
    <m/>
    <m/>
    <m/>
    <m/>
  </r>
  <r>
    <s v="DSCN4353"/>
    <s v="BU0810_2"/>
    <x v="3"/>
    <n v="1"/>
    <s v="BU"/>
    <d v="2019-08-10T00:00:00"/>
    <x v="0"/>
    <d v="1899-12-30T00:47:00"/>
    <s v="Overcast"/>
    <s v="RR/OS"/>
    <s v="Caching and foraging"/>
    <s v="Spruce"/>
    <n v="0"/>
    <n v="0"/>
    <x v="0"/>
    <x v="0"/>
    <x v="0"/>
    <s v="Unknown"/>
    <s v="Exterior spruce on lichen"/>
    <x v="0"/>
    <x v="2"/>
    <x v="1"/>
    <m/>
    <n v="335"/>
    <x v="0"/>
    <n v="63.723979999999997"/>
    <n v="148.95451"/>
    <s v="NA"/>
    <s v="NA"/>
    <s v="NA"/>
    <n v="11"/>
    <n v="0"/>
    <n v="11"/>
    <n v="0"/>
    <n v="0"/>
    <n v="0"/>
    <n v="11"/>
    <m/>
    <m/>
    <m/>
    <m/>
  </r>
  <r>
    <s v="DSCN4357"/>
    <s v="BU0810_3"/>
    <x v="1"/>
    <n v="1"/>
    <s v="BU"/>
    <d v="2019-08-10T00:00:00"/>
    <x v="0"/>
    <d v="1899-12-30T00:14:00"/>
    <s v="Overcast"/>
    <s v="RR/OS"/>
    <s v="Caching"/>
    <s v="Spruce"/>
    <n v="0"/>
    <n v="0"/>
    <x v="0"/>
    <x v="0"/>
    <x v="0"/>
    <s v="Unknown"/>
    <s v="Exterior spruce on lichen"/>
    <x v="0"/>
    <x v="2"/>
    <x v="1"/>
    <m/>
    <n v="24"/>
    <x v="0"/>
    <n v="63.724029999999999"/>
    <n v="148.95576"/>
    <s v="NA"/>
    <s v="NA"/>
    <s v="NA"/>
    <n v="0"/>
    <n v="0"/>
    <n v="0"/>
    <n v="0"/>
    <n v="0"/>
    <n v="0"/>
    <n v="0"/>
    <m/>
    <m/>
    <m/>
    <m/>
  </r>
  <r>
    <s v="DSCN4340"/>
    <s v="CC0810_2"/>
    <x v="3"/>
    <n v="1"/>
    <s v="Ccamp"/>
    <d v="2019-08-10T00:00:00"/>
    <x v="0"/>
    <d v="1899-12-30T00:47:00"/>
    <s v="Overcast"/>
    <s v="GB/BS"/>
    <s v="Caching"/>
    <s v="Spruce"/>
    <n v="1"/>
    <n v="0"/>
    <x v="0"/>
    <x v="0"/>
    <x v="0"/>
    <s v="Unknown"/>
    <s v="Exterior foliage"/>
    <x v="0"/>
    <x v="2"/>
    <x v="2"/>
    <m/>
    <n v="352"/>
    <x v="0"/>
    <n v="63.724060000000001"/>
    <n v="148.94916000000001"/>
    <s v="NA"/>
    <s v="NA"/>
    <s v="NA"/>
    <n v="0"/>
    <n v="0"/>
    <n v="0"/>
    <n v="0"/>
    <n v="0"/>
    <n v="0"/>
    <n v="0"/>
    <m/>
    <m/>
    <m/>
    <m/>
  </r>
  <r>
    <s v="DSCN4348"/>
    <s v="CC0810_5"/>
    <x v="5"/>
    <n v="1"/>
    <s v="Ccamp"/>
    <d v="2019-08-10T00:00:00"/>
    <x v="0"/>
    <d v="1899-12-30T00:55:00"/>
    <s v="Overcast"/>
    <s v="GR/OS"/>
    <s v="Foraging"/>
    <s v="Spruce"/>
    <n v="1"/>
    <n v="0"/>
    <x v="0"/>
    <x v="0"/>
    <x v="0"/>
    <s v="Unknown"/>
    <s v="Interior spruce under bark"/>
    <x v="0"/>
    <x v="0"/>
    <x v="0"/>
    <m/>
    <n v="250"/>
    <x v="0"/>
    <n v="63.724339999999998"/>
    <n v="148.94852"/>
    <s v="NA"/>
    <s v="NA"/>
    <s v="NA"/>
    <n v="0"/>
    <n v="0"/>
    <n v="0"/>
    <n v="0"/>
    <n v="0"/>
    <n v="0"/>
    <n v="0"/>
    <m/>
    <s v="Food determined to have not been aquired from where it was initially perched as we suggest in the video. "/>
    <m/>
    <m/>
  </r>
  <r>
    <s v="DSCN4322"/>
    <s v="WW0810_3"/>
    <x v="1"/>
    <n v="1"/>
    <s v="Wac West"/>
    <d v="2019-08-10T00:00:00"/>
    <x v="0"/>
    <d v="1899-12-30T00:12:00"/>
    <s v="Overcast"/>
    <s v="Unbanded"/>
    <s v="Caching"/>
    <s v="Spruce"/>
    <n v="0"/>
    <n v="0"/>
    <x v="0"/>
    <x v="0"/>
    <x v="0"/>
    <s v="Unknown"/>
    <s v="Spruce trunk under bark"/>
    <x v="0"/>
    <x v="1"/>
    <x v="0"/>
    <m/>
    <n v="302"/>
    <x v="0"/>
    <n v="63.739220000000003"/>
    <n v="148.90398999999999"/>
    <s v="NA"/>
    <s v="NA"/>
    <s v="NA"/>
    <n v="0"/>
    <n v="0"/>
    <n v="0"/>
    <n v="0"/>
    <n v="0"/>
    <n v="0"/>
    <n v="0"/>
    <m/>
    <m/>
    <m/>
    <m/>
  </r>
  <r>
    <s v="DSCN4330"/>
    <s v="WW0810_8"/>
    <x v="6"/>
    <n v="1"/>
    <s v="Wac West"/>
    <d v="2019-08-10T00:00:00"/>
    <x v="0"/>
    <d v="1899-12-30T00:23:00"/>
    <s v="Overcast"/>
    <s v="Unbanded"/>
    <s v="Caching"/>
    <s v="Spruce"/>
    <n v="1"/>
    <n v="0"/>
    <x v="0"/>
    <x v="0"/>
    <x v="0"/>
    <s v="Interior spruce bark"/>
    <s v="Interior foliage"/>
    <x v="0"/>
    <x v="0"/>
    <x v="2"/>
    <m/>
    <n v="30"/>
    <x v="1"/>
    <n v="63.739519999999999"/>
    <n v="148.89788999999999"/>
    <s v="NA"/>
    <s v="NA"/>
    <s v="NA"/>
    <n v="12"/>
    <n v="0"/>
    <n v="12"/>
    <n v="0"/>
    <n v="0"/>
    <n v="0"/>
    <n v="12"/>
    <m/>
    <m/>
    <m/>
    <m/>
  </r>
  <r>
    <s v="DSCN4331"/>
    <s v="WW0810_9"/>
    <x v="7"/>
    <n v="1"/>
    <s v="Wac West"/>
    <d v="2019-08-10T00:00:00"/>
    <x v="0"/>
    <d v="1899-12-30T00:51:00"/>
    <s v="Overcast"/>
    <s v="Unbanded"/>
    <s v="Caching"/>
    <s v="Spruce"/>
    <n v="0"/>
    <n v="0"/>
    <x v="0"/>
    <x v="0"/>
    <x v="0"/>
    <s v="NA"/>
    <s v="Exterior spruce under bark"/>
    <x v="0"/>
    <x v="2"/>
    <x v="0"/>
    <m/>
    <n v="123"/>
    <x v="1"/>
    <n v="63.739519999999999"/>
    <n v="148.89788999999999"/>
    <s v="NA"/>
    <s v="NA"/>
    <s v="NA"/>
    <n v="0"/>
    <n v="0"/>
    <n v="0"/>
    <n v="0"/>
    <n v="0"/>
    <n v="0"/>
    <n v="0"/>
    <m/>
    <m/>
    <m/>
    <m/>
  </r>
  <r>
    <s v="DSCN4331"/>
    <s v="WW0810_9"/>
    <x v="7"/>
    <n v="2"/>
    <s v="Wac West"/>
    <d v="2019-08-10T00:00:00"/>
    <x v="0"/>
    <d v="1899-12-30T00:51:00"/>
    <s v="Overcast"/>
    <s v="Unbanded"/>
    <s v="Caching"/>
    <s v="Spruce"/>
    <n v="0"/>
    <n v="0"/>
    <x v="0"/>
    <x v="0"/>
    <x v="0"/>
    <s v="NA"/>
    <s v="Interior bark"/>
    <x v="0"/>
    <x v="0"/>
    <x v="0"/>
    <m/>
    <n v="30"/>
    <x v="1"/>
    <n v="63.739519999999999"/>
    <n v="148.89788999999999"/>
    <s v="NA"/>
    <s v="NA"/>
    <s v="NA"/>
    <n v="0"/>
    <n v="0"/>
    <n v="0"/>
    <n v="0"/>
    <n v="0"/>
    <n v="0"/>
    <n v="0"/>
    <m/>
    <m/>
    <m/>
    <m/>
  </r>
  <r>
    <s v="DSCN4331"/>
    <s v="WW0810_9"/>
    <x v="7"/>
    <n v="3"/>
    <s v="Wac West"/>
    <d v="2019-08-10T00:00:00"/>
    <x v="0"/>
    <d v="1899-12-30T00:51:00"/>
    <s v="Overcast"/>
    <s v="Unbanded"/>
    <s v="Caching"/>
    <s v="Spruce"/>
    <n v="0"/>
    <n v="0"/>
    <x v="0"/>
    <x v="0"/>
    <x v="0"/>
    <s v="NA"/>
    <s v="Interior bark"/>
    <x v="0"/>
    <x v="0"/>
    <x v="0"/>
    <m/>
    <n v="223"/>
    <x v="2"/>
    <n v="63.739730000000002"/>
    <n v="148.89786000000001"/>
    <s v="NA"/>
    <s v="NA"/>
    <s v="NA"/>
    <n v="0"/>
    <n v="0"/>
    <n v="0"/>
    <n v="0"/>
    <n v="0"/>
    <n v="0"/>
    <n v="0"/>
    <m/>
    <m/>
    <m/>
    <m/>
  </r>
  <r>
    <s v="DSCN4335"/>
    <s v="WW0810_11"/>
    <x v="8"/>
    <n v="2"/>
    <s v="Wac West"/>
    <d v="2019-08-10T00:00:00"/>
    <x v="0"/>
    <d v="1899-12-30T01:01:00"/>
    <s v="Overcast"/>
    <s v="Unbanded"/>
    <s v="Foraging"/>
    <s v="Spruce"/>
    <n v="1"/>
    <n v="0"/>
    <x v="0"/>
    <x v="0"/>
    <x v="0"/>
    <s v="Exterior spruce bark"/>
    <s v="Spruce trunk under bark"/>
    <x v="0"/>
    <x v="1"/>
    <x v="0"/>
    <m/>
    <n v="123"/>
    <x v="3"/>
    <n v="63.740020000000001"/>
    <n v="148.89968999999999"/>
    <s v="NA"/>
    <s v="NA"/>
    <s v="NA"/>
    <n v="4"/>
    <n v="0"/>
    <n v="0"/>
    <n v="4"/>
    <n v="0"/>
    <n v="0"/>
    <n v="4"/>
    <m/>
    <m/>
    <m/>
    <m/>
  </r>
  <r>
    <s v="DSCN4335"/>
    <s v="WW0810_11"/>
    <x v="8"/>
    <n v="1"/>
    <s v="Wac West"/>
    <d v="2019-08-10T00:00:00"/>
    <x v="0"/>
    <d v="1899-12-30T01:01:00"/>
    <s v="Overcast"/>
    <s v="Unbanded"/>
    <s v="Foraging"/>
    <s v="Spruce"/>
    <n v="0"/>
    <n v="0"/>
    <x v="0"/>
    <x v="0"/>
    <x v="0"/>
    <s v="Unknown"/>
    <s v="Spruce trunk under bark"/>
    <x v="0"/>
    <x v="1"/>
    <x v="0"/>
    <m/>
    <n v="72"/>
    <x v="0"/>
    <n v="63.740099999999998"/>
    <n v="148.89954"/>
    <s v="NA"/>
    <s v="NA"/>
    <s v="NA"/>
    <n v="0"/>
    <n v="0"/>
    <n v="0"/>
    <n v="0"/>
    <n v="0"/>
    <n v="0"/>
    <n v="0"/>
    <m/>
    <m/>
    <m/>
    <m/>
  </r>
  <r>
    <s v="DSCN4340"/>
    <s v="CC0810_2"/>
    <x v="3"/>
    <n v="2"/>
    <s v="Ccamp"/>
    <d v="2019-08-10T00:00:00"/>
    <x v="0"/>
    <d v="1899-12-30T00:47:00"/>
    <s v="Overcast"/>
    <s v="GB/BS"/>
    <s v="Foraging and caching"/>
    <s v="Spruce"/>
    <n v="1"/>
    <n v="0"/>
    <x v="0"/>
    <x v="0"/>
    <x v="0"/>
    <s v="Exterior spruce foliage"/>
    <s v="Exterior foliage"/>
    <x v="0"/>
    <x v="2"/>
    <x v="2"/>
    <m/>
    <s v="Did not record"/>
    <x v="4"/>
    <s v="Did not record"/>
    <s v="Did not record"/>
    <s v="NA"/>
    <s v="NA"/>
    <s v="NA"/>
    <n v="0"/>
    <n v="16"/>
    <n v="0"/>
    <n v="16"/>
    <n v="0"/>
    <n v="0"/>
    <n v="16"/>
    <m/>
    <m/>
    <m/>
    <m/>
  </r>
  <r>
    <s v="DSCN4328"/>
    <s v="WW0810_7"/>
    <x v="2"/>
    <n v="1"/>
    <s v="Wac West"/>
    <d v="2019-08-10T00:00:00"/>
    <x v="0"/>
    <d v="1899-12-30T00:19:00"/>
    <s v="Overcast"/>
    <s v="Unbanded"/>
    <s v="Caching"/>
    <s v="Spruce"/>
    <n v="1"/>
    <n v="0"/>
    <x v="0"/>
    <x v="1"/>
    <x v="1"/>
    <s v="Spruce tree"/>
    <s v="Exterior spruce under bark"/>
    <x v="0"/>
    <x v="2"/>
    <x v="0"/>
    <m/>
    <n v="47"/>
    <x v="5"/>
    <n v="63.73856"/>
    <n v="148.89789999999999"/>
    <s v="NA"/>
    <s v="NA"/>
    <s v="NA"/>
    <m/>
    <n v="0"/>
    <n v="0"/>
    <n v="0"/>
    <n v="0"/>
    <n v="0"/>
    <n v="0"/>
    <m/>
    <s v="Missed acquisition, but witnessed it in person"/>
    <m/>
    <m/>
  </r>
  <r>
    <s v="DSCN4378"/>
    <s v="M3.50811_9"/>
    <x v="7"/>
    <n v="1"/>
    <s v="Mile 3.5"/>
    <d v="2019-08-11T00:00:00"/>
    <x v="0"/>
    <d v="1899-12-30T01:39:00"/>
    <s v="Mostly sunny"/>
    <s v="OL/OS"/>
    <s v="Foraging and caching"/>
    <s v="Spruce"/>
    <n v="1"/>
    <n v="0"/>
    <x v="0"/>
    <x v="0"/>
    <x v="0"/>
    <s v="Unknown"/>
    <s v="Exterior spruce under bark"/>
    <x v="0"/>
    <x v="2"/>
    <x v="0"/>
    <m/>
    <n v="119"/>
    <x v="0"/>
    <n v="63.718780000000002"/>
    <n v="148.97704999999999"/>
    <s v="NA"/>
    <s v="NA"/>
    <s v="NA"/>
    <n v="0"/>
    <n v="0"/>
    <n v="0"/>
    <n v="0"/>
    <n v="0"/>
    <n v="0"/>
    <n v="0"/>
    <m/>
    <m/>
    <m/>
    <m/>
  </r>
  <r>
    <s v="DSCN4378"/>
    <s v="M3.50811_9"/>
    <x v="7"/>
    <n v="2"/>
    <s v="Mile 3.5"/>
    <d v="2019-08-11T00:00:00"/>
    <x v="0"/>
    <d v="1899-12-30T01:39:00"/>
    <s v="Mostly sunny"/>
    <s v="OL/OS"/>
    <s v="Caching"/>
    <s v="Spruce"/>
    <n v="0"/>
    <n v="0"/>
    <x v="0"/>
    <x v="0"/>
    <x v="0"/>
    <s v="Unknown"/>
    <s v="Exterior spruce under bark"/>
    <x v="0"/>
    <x v="2"/>
    <x v="0"/>
    <m/>
    <n v="6"/>
    <x v="0"/>
    <n v="63.718780000000002"/>
    <n v="148.97704999999999"/>
    <s v="NA"/>
    <s v="NA"/>
    <s v="NA"/>
    <n v="0"/>
    <n v="0"/>
    <n v="0"/>
    <n v="0"/>
    <n v="0"/>
    <n v="0"/>
    <n v="0"/>
    <m/>
    <m/>
    <m/>
    <m/>
  </r>
  <r>
    <s v="DSCN4378"/>
    <s v="M3.50811_9"/>
    <x v="7"/>
    <n v="3"/>
    <s v="Mile 3.5"/>
    <d v="2019-08-11T00:00:00"/>
    <x v="0"/>
    <d v="1899-12-30T01:39:00"/>
    <s v="Mostly sunny"/>
    <s v="OL/OS"/>
    <s v="Caching"/>
    <s v="Spruce"/>
    <n v="0"/>
    <n v="0"/>
    <x v="0"/>
    <x v="0"/>
    <x v="0"/>
    <s v="Unknown"/>
    <s v="Exterior spruce under bark"/>
    <x v="0"/>
    <x v="2"/>
    <x v="0"/>
    <m/>
    <n v="260"/>
    <x v="0"/>
    <n v="63.718780000000002"/>
    <n v="148.97704999999999"/>
    <s v="NA"/>
    <s v="NA"/>
    <s v="NA"/>
    <n v="0"/>
    <n v="0"/>
    <n v="0"/>
    <n v="0"/>
    <n v="0"/>
    <n v="0"/>
    <n v="0"/>
    <m/>
    <m/>
    <m/>
    <m/>
  </r>
  <r>
    <s v="DSCN4387"/>
    <s v="M3.50811_12"/>
    <x v="9"/>
    <n v="2"/>
    <s v="Mile 3.5"/>
    <d v="2019-08-11T00:00:00"/>
    <x v="0"/>
    <d v="1899-12-30T00:37:00"/>
    <s v="Mostly sunny"/>
    <s v="PG/GS"/>
    <s v="Foraging"/>
    <s v="Spruce"/>
    <n v="1"/>
    <s v="Unknown"/>
    <x v="0"/>
    <x v="0"/>
    <x v="0"/>
    <s v="Exterior spruce bark"/>
    <s v="Spruce trunk under bark"/>
    <x v="0"/>
    <x v="1"/>
    <x v="0"/>
    <s v="NA"/>
    <n v="80"/>
    <x v="1"/>
    <n v="63.718910000000001"/>
    <n v="148.97681"/>
    <s v="NA"/>
    <s v="NA"/>
    <s v="NA"/>
    <n v="10"/>
    <n v="0"/>
    <n v="0"/>
    <n v="10"/>
    <n v="0"/>
    <n v="0"/>
    <n v="10"/>
    <m/>
    <m/>
    <m/>
    <m/>
  </r>
  <r>
    <s v="DSCN4376"/>
    <s v="M3.50811_7"/>
    <x v="2"/>
    <n v="1"/>
    <s v="Mile 3.5"/>
    <d v="2019-08-11T00:00:00"/>
    <x v="0"/>
    <d v="1899-12-30T00:33:00"/>
    <s v="Mostly sunny"/>
    <s v="OL/OS"/>
    <s v="Foraging"/>
    <s v="Spruce"/>
    <n v="0"/>
    <n v="0"/>
    <x v="0"/>
    <x v="0"/>
    <x v="0"/>
    <s v="Unknown"/>
    <s v="NA"/>
    <x v="0"/>
    <x v="1"/>
    <x v="0"/>
    <m/>
    <n v="284"/>
    <x v="0"/>
    <n v="63.718960000000003"/>
    <n v="148.97684000000001"/>
    <s v="NA"/>
    <s v="NA"/>
    <s v="NA"/>
    <n v="0"/>
    <n v="0"/>
    <n v="0"/>
    <n v="0"/>
    <n v="0"/>
    <n v="0"/>
    <n v="0"/>
    <m/>
    <m/>
    <m/>
    <m/>
  </r>
  <r>
    <s v="DSCN4361"/>
    <s v="M4R0811_2"/>
    <x v="3"/>
    <n v="1"/>
    <s v="Mile 4 Roadside"/>
    <d v="2019-08-11T00:00:00"/>
    <x v="0"/>
    <d v="1899-12-30T00:29:00"/>
    <s v="Mostly sunny"/>
    <s v="BY/YS"/>
    <s v="Caching"/>
    <s v="Spruce"/>
    <n v="0"/>
    <n v="0"/>
    <x v="0"/>
    <x v="0"/>
    <x v="0"/>
    <s v="Unknown"/>
    <s v="Spruce trunk under bark"/>
    <x v="0"/>
    <x v="1"/>
    <x v="0"/>
    <m/>
    <n v="288"/>
    <x v="0"/>
    <n v="63.721469999999997"/>
    <n v="148.98651000000001"/>
    <s v="NA"/>
    <s v="NA"/>
    <s v="NA"/>
    <n v="0"/>
    <n v="0"/>
    <n v="0"/>
    <n v="0"/>
    <n v="0"/>
    <n v="0"/>
    <n v="0"/>
    <m/>
    <m/>
    <m/>
    <m/>
  </r>
  <r>
    <s v="DSCN4363"/>
    <s v="M4R0811_4"/>
    <x v="10"/>
    <n v="1"/>
    <s v="Mile 4 Roadside"/>
    <d v="2019-08-11T00:00:00"/>
    <x v="0"/>
    <d v="1899-12-30T01:17:00"/>
    <s v="Mostly sunny"/>
    <s v="BW/OS"/>
    <s v="Foraging and caching"/>
    <s v="Spruce"/>
    <n v="1"/>
    <n v="0"/>
    <x v="0"/>
    <x v="2"/>
    <x v="2"/>
    <s v="Ground"/>
    <s v="Exterior spruce under bark"/>
    <x v="0"/>
    <x v="2"/>
    <x v="0"/>
    <m/>
    <n v="287"/>
    <x v="6"/>
    <n v="63.721490000000003"/>
    <n v="148.98625000000001"/>
    <s v="NA"/>
    <s v="NA"/>
    <s v="NA"/>
    <n v="0"/>
    <n v="0"/>
    <n v="0"/>
    <n v="0"/>
    <n v="11"/>
    <n v="0"/>
    <n v="11"/>
    <m/>
    <m/>
    <m/>
    <m/>
  </r>
  <r>
    <s v="DSCN4362"/>
    <s v="M4R0811_3"/>
    <x v="1"/>
    <n v="2"/>
    <s v="Mile 4 Roadside"/>
    <d v="2019-08-11T00:00:00"/>
    <x v="0"/>
    <d v="1899-12-30T00:38:00"/>
    <s v="Mostly sunny"/>
    <s v="BW/OS"/>
    <s v="Foraging"/>
    <s v="Spruce"/>
    <n v="1"/>
    <n v="0"/>
    <x v="0"/>
    <x v="2"/>
    <x v="2"/>
    <s v="Ground"/>
    <s v="Exterior spruce under bark"/>
    <x v="0"/>
    <x v="2"/>
    <x v="0"/>
    <m/>
    <n v="340"/>
    <x v="3"/>
    <n v="63.721499999999999"/>
    <n v="148.98625000000001"/>
    <s v="NA"/>
    <s v="NA"/>
    <s v="NA"/>
    <n v="0"/>
    <n v="0"/>
    <n v="0"/>
    <n v="0"/>
    <n v="12"/>
    <n v="0"/>
    <n v="12"/>
    <m/>
    <m/>
    <m/>
    <m/>
  </r>
  <r>
    <s v="DSCN4363"/>
    <s v="M4R0811_4"/>
    <x v="10"/>
    <n v="2"/>
    <s v="Mile 4 Roadside"/>
    <d v="2019-08-11T00:00:00"/>
    <x v="0"/>
    <d v="1899-12-30T01:17:00"/>
    <s v="Mostly sunny"/>
    <s v="BW/OS"/>
    <s v="Foraging and caching"/>
    <s v="Spruce"/>
    <n v="1"/>
    <n v="0"/>
    <x v="0"/>
    <x v="2"/>
    <x v="2"/>
    <s v="Ground"/>
    <s v="Exterior spruce under bark"/>
    <x v="0"/>
    <x v="2"/>
    <x v="0"/>
    <m/>
    <n v="256"/>
    <x v="3"/>
    <n v="63.721499999999999"/>
    <n v="148.98625000000001"/>
    <s v="NA"/>
    <s v="NA"/>
    <s v="NA"/>
    <n v="0"/>
    <n v="0"/>
    <n v="0"/>
    <n v="0"/>
    <n v="10"/>
    <n v="0"/>
    <n v="10"/>
    <m/>
    <m/>
    <m/>
    <m/>
  </r>
  <r>
    <s v="DSCN4364"/>
    <s v="M4R0811_5"/>
    <x v="5"/>
    <n v="1"/>
    <s v="Mile 4 Roadside"/>
    <d v="2019-08-11T00:00:00"/>
    <x v="0"/>
    <d v="1899-12-30T00:13:00"/>
    <s v="Mostly sunny"/>
    <s v="BW/OS"/>
    <s v="Caching"/>
    <s v="Spruce"/>
    <n v="1"/>
    <n v="0"/>
    <x v="0"/>
    <x v="3"/>
    <x v="3"/>
    <s v="Ground"/>
    <s v="Exterior spruce under bark"/>
    <x v="0"/>
    <x v="2"/>
    <x v="0"/>
    <m/>
    <n v="142"/>
    <x v="7"/>
    <n v="63.721490000000003"/>
    <n v="148.98643000000001"/>
    <s v="NA"/>
    <s v="NA"/>
    <s v="NA"/>
    <n v="0"/>
    <n v="0"/>
    <n v="0"/>
    <n v="0"/>
    <n v="0"/>
    <n v="0"/>
    <n v="0"/>
    <m/>
    <s v="Missed acquisition but saw it in person"/>
    <m/>
    <m/>
  </r>
  <r>
    <s v="DSCN4378"/>
    <s v="M3.50811_9"/>
    <x v="7"/>
    <n v="4"/>
    <s v="Mile 3.5"/>
    <d v="2019-08-11T00:00:00"/>
    <x v="0"/>
    <d v="1899-12-30T01:39:00"/>
    <s v="Mostly sunny"/>
    <s v="OL/OS"/>
    <s v="Foraging and caching"/>
    <s v="Spruce"/>
    <n v="1"/>
    <n v="0"/>
    <x v="0"/>
    <x v="4"/>
    <x v="4"/>
    <s v="Ground"/>
    <s v="Exterior spruce under bark"/>
    <x v="0"/>
    <x v="2"/>
    <x v="0"/>
    <m/>
    <n v="343"/>
    <x v="8"/>
    <n v="63.718699999999998"/>
    <n v="148.97682"/>
    <s v="NA"/>
    <s v="NA"/>
    <s v="NA"/>
    <n v="0"/>
    <n v="0"/>
    <n v="0"/>
    <n v="0"/>
    <n v="24"/>
    <n v="0"/>
    <n v="24"/>
    <m/>
    <m/>
    <m/>
    <m/>
  </r>
  <r>
    <s v="DSCN4375"/>
    <s v="M3.50811_6"/>
    <x v="11"/>
    <n v="1"/>
    <s v="Mile 3.5"/>
    <d v="2019-08-11T00:00:00"/>
    <x v="0"/>
    <d v="1899-12-30T00:48:00"/>
    <s v="Mostly sunny"/>
    <s v="OL/OS"/>
    <s v="Foraging and caching"/>
    <s v="Spruce"/>
    <n v="1"/>
    <n v="0"/>
    <x v="0"/>
    <x v="4"/>
    <x v="4"/>
    <s v="Ground"/>
    <s v="Spruce trunk under bark"/>
    <x v="0"/>
    <x v="1"/>
    <x v="0"/>
    <m/>
    <n v="95"/>
    <x v="9"/>
    <n v="63.718960000000003"/>
    <n v="148.97684000000001"/>
    <s v="NA"/>
    <s v="NA"/>
    <s v="NA"/>
    <n v="0"/>
    <n v="0"/>
    <n v="0"/>
    <n v="0"/>
    <n v="27"/>
    <n v="0"/>
    <n v="27"/>
    <m/>
    <m/>
    <m/>
    <m/>
  </r>
  <r>
    <s v="DSCN4394"/>
    <s v="BU0812_4"/>
    <x v="10"/>
    <n v="1"/>
    <s v="BU"/>
    <d v="2019-08-12T00:00:00"/>
    <x v="0"/>
    <d v="1899-12-30T00:13:00"/>
    <s v="Mostly sunny"/>
    <s v="RR/YS"/>
    <s v="Foraging"/>
    <s v="Spruce"/>
    <n v="0"/>
    <n v="0"/>
    <x v="0"/>
    <x v="0"/>
    <x v="0"/>
    <s v="Unknown"/>
    <s v="Spruce trunk on bark"/>
    <x v="0"/>
    <x v="1"/>
    <x v="0"/>
    <s v="Did not record-did not recognize in field "/>
    <s v="Did not record-did not recognize in field "/>
    <x v="0"/>
    <s v="Did not record-did not recognize in field "/>
    <s v="Did not record-did not recognize in field "/>
    <s v="NA"/>
    <s v="NA"/>
    <s v="NA"/>
    <n v="0"/>
    <n v="0"/>
    <n v="0"/>
    <n v="0"/>
    <n v="0"/>
    <n v="0"/>
    <n v="0"/>
    <m/>
    <m/>
    <m/>
    <m/>
  </r>
  <r>
    <s v="DSCN4412"/>
    <s v="BU0812_14"/>
    <x v="12"/>
    <n v="1"/>
    <s v="BU"/>
    <d v="2019-08-12T00:00:00"/>
    <x v="0"/>
    <d v="1899-12-30T00:14:00"/>
    <s v="Mostly sunny"/>
    <s v="RR/YS"/>
    <s v="Foraging and caching"/>
    <s v="Spruce"/>
    <n v="1"/>
    <n v="0"/>
    <x v="0"/>
    <x v="2"/>
    <x v="5"/>
    <s v="Ground"/>
    <s v="Exterior spruce foliage"/>
    <x v="0"/>
    <x v="2"/>
    <x v="2"/>
    <m/>
    <n v="54"/>
    <x v="10"/>
    <n v="63.724769999999999"/>
    <n v="148.95863"/>
    <s v="NA"/>
    <s v="NA"/>
    <s v="NA"/>
    <n v="0"/>
    <n v="0"/>
    <n v="0"/>
    <n v="0"/>
    <n v="1"/>
    <n v="0"/>
    <n v="1"/>
    <m/>
    <s v="deployed cameras"/>
    <m/>
    <m/>
  </r>
  <r>
    <s v="DSCN4429"/>
    <s v="M2370813_1"/>
    <x v="0"/>
    <n v="1"/>
    <s v="M237"/>
    <d v="2019-08-13T00:00:00"/>
    <x v="0"/>
    <d v="1899-12-30T00:16:00"/>
    <s v="Overcast, light rain"/>
    <s v="WB/BS"/>
    <s v="Foraging"/>
    <s v="Aspen"/>
    <n v="0"/>
    <n v="0"/>
    <x v="0"/>
    <x v="0"/>
    <x v="0"/>
    <s v="Ground"/>
    <s v="Aspen branch under bark"/>
    <x v="1"/>
    <x v="2"/>
    <x v="0"/>
    <m/>
    <n v="237"/>
    <x v="11"/>
    <n v="63.726990000000001"/>
    <n v="148.88686999999999"/>
    <s v="NA"/>
    <s v="NA"/>
    <s v="NA"/>
    <n v="0"/>
    <n v="0"/>
    <n v="0"/>
    <n v="0"/>
    <n v="0"/>
    <n v="0"/>
    <n v="0"/>
    <m/>
    <s v="Missed acquisition"/>
    <m/>
    <m/>
  </r>
  <r>
    <s v="DSCN4434"/>
    <s v="M2370813_6"/>
    <x v="11"/>
    <n v="1"/>
    <s v="M237"/>
    <d v="2019-08-13T00:00:00"/>
    <x v="0"/>
    <d v="1899-12-30T01:33:00"/>
    <s v="Overcast, light rain"/>
    <s v="WB/BS"/>
    <s v="Foraging"/>
    <s v="NA"/>
    <n v="1"/>
    <n v="0"/>
    <x v="0"/>
    <x v="2"/>
    <x v="6"/>
    <s v="Ground"/>
    <s v="Spruce trunk on bark"/>
    <x v="0"/>
    <x v="1"/>
    <x v="3"/>
    <m/>
    <n v="244"/>
    <x v="10"/>
    <n v="63.725720000000003"/>
    <n v="148.88728"/>
    <s v="NA"/>
    <s v="NA"/>
    <s v="NA"/>
    <n v="0"/>
    <n v="0"/>
    <n v="0"/>
    <n v="0"/>
    <n v="0"/>
    <n v="0"/>
    <n v="0"/>
    <m/>
    <m/>
    <m/>
    <m/>
  </r>
  <r>
    <s v="DSCN4461"/>
    <s v="M3.50815_11"/>
    <x v="8"/>
    <n v="1"/>
    <s v="Mile 3.5"/>
    <d v="2019-08-15T00:00:00"/>
    <x v="0"/>
    <d v="1899-12-30T00:31:00"/>
    <s v="Heavy rain"/>
    <s v="OL/OS"/>
    <s v="Caching"/>
    <s v="Spruce"/>
    <n v="0"/>
    <n v="0"/>
    <x v="0"/>
    <x v="0"/>
    <x v="0"/>
    <s v="Ground"/>
    <s v="Exterior spruce under bark"/>
    <x v="0"/>
    <x v="2"/>
    <x v="0"/>
    <m/>
    <n v="321"/>
    <x v="12"/>
    <n v="63.717759999999998"/>
    <n v="148.97272000000001"/>
    <s v="NA"/>
    <s v="NA"/>
    <s v="NA"/>
    <n v="0"/>
    <n v="0"/>
    <n v="0"/>
    <n v="0"/>
    <n v="0"/>
    <n v="0"/>
    <n v="0"/>
    <m/>
    <m/>
    <m/>
    <m/>
  </r>
  <r>
    <s v="DSCN4454"/>
    <s v="M3.50815_7"/>
    <x v="2"/>
    <n v="1"/>
    <s v="Mile 3.5"/>
    <d v="2019-08-15T00:00:00"/>
    <x v="0"/>
    <d v="1899-12-30T00:24:00"/>
    <s v="Heavy rain"/>
    <s v="Unknown"/>
    <s v="Caching"/>
    <s v="Spruce"/>
    <n v="1"/>
    <n v="0"/>
    <x v="0"/>
    <x v="0"/>
    <x v="0"/>
    <s v="Unknown"/>
    <s v="Exterior spruce under bark"/>
    <x v="0"/>
    <x v="2"/>
    <x v="0"/>
    <m/>
    <n v="208"/>
    <x v="0"/>
    <n v="63.717779999999998"/>
    <n v="148.97417999999999"/>
    <s v="NA"/>
    <s v="NA"/>
    <s v="NA"/>
    <n v="0"/>
    <n v="0"/>
    <n v="0"/>
    <n v="0"/>
    <n v="0"/>
    <n v="0"/>
    <n v="0"/>
    <m/>
    <m/>
    <m/>
    <m/>
  </r>
  <r>
    <s v="DSCN4454"/>
    <s v="M3.50815_7"/>
    <x v="2"/>
    <n v="2"/>
    <s v="Mile 3.5"/>
    <d v="2019-08-15T00:00:00"/>
    <x v="0"/>
    <d v="1899-12-30T00:24:00"/>
    <s v="Heavy rain"/>
    <s v="Unknown"/>
    <s v="Caching"/>
    <s v="Spruce"/>
    <n v="1"/>
    <n v="0"/>
    <x v="0"/>
    <x v="0"/>
    <x v="0"/>
    <s v="Unknown"/>
    <s v="Exterior spruce under bark"/>
    <x v="0"/>
    <x v="2"/>
    <x v="0"/>
    <m/>
    <n v="22"/>
    <x v="0"/>
    <n v="63.717779999999998"/>
    <n v="148.97417999999999"/>
    <s v="NA"/>
    <s v="NA"/>
    <s v="NA"/>
    <n v="0"/>
    <n v="0"/>
    <n v="0"/>
    <n v="0"/>
    <n v="0"/>
    <n v="0"/>
    <n v="0"/>
    <m/>
    <m/>
    <m/>
    <m/>
  </r>
  <r>
    <s v="DSCN4458"/>
    <s v="M3.50815_9"/>
    <x v="7"/>
    <n v="1"/>
    <s v="Mile 3.5"/>
    <d v="2019-08-15T00:00:00"/>
    <x v="0"/>
    <d v="1899-12-30T00:34:00"/>
    <s v="Heavy rain"/>
    <s v="PL/LS"/>
    <s v="Caching"/>
    <s v="Spruce"/>
    <n v="0"/>
    <n v="0"/>
    <x v="0"/>
    <x v="0"/>
    <x v="0"/>
    <s v="Unknown"/>
    <s v="Spruce trunk on bark"/>
    <x v="0"/>
    <x v="1"/>
    <x v="0"/>
    <m/>
    <n v="274"/>
    <x v="13"/>
    <n v="63.717779999999998"/>
    <n v="148.97417999999999"/>
    <s v="NA"/>
    <s v="NA"/>
    <s v="NA"/>
    <n v="0"/>
    <n v="0"/>
    <n v="0"/>
    <n v="0"/>
    <n v="0"/>
    <n v="0"/>
    <n v="0"/>
    <m/>
    <m/>
    <m/>
    <m/>
  </r>
  <r>
    <s v="DSCN4466"/>
    <s v="M3.50815_13"/>
    <x v="13"/>
    <n v="1"/>
    <s v="Mile 3.5"/>
    <d v="2019-08-15T00:00:00"/>
    <x v="0"/>
    <d v="1899-12-30T01:31:00"/>
    <s v="Heavy rain"/>
    <s v="OL/OS"/>
    <s v="Caching"/>
    <s v="Spruce"/>
    <n v="0"/>
    <n v="0"/>
    <x v="0"/>
    <x v="0"/>
    <x v="0"/>
    <s v="Ground"/>
    <s v="Exterior spruce on bark"/>
    <x v="0"/>
    <x v="2"/>
    <x v="3"/>
    <m/>
    <n v="6"/>
    <x v="14"/>
    <n v="63.718119999999999"/>
    <n v="148.97382999999999"/>
    <s v="NA"/>
    <s v="NA"/>
    <s v="NA"/>
    <n v="0"/>
    <n v="0"/>
    <n v="0"/>
    <n v="0"/>
    <n v="0"/>
    <n v="0"/>
    <n v="0"/>
    <m/>
    <m/>
    <m/>
    <m/>
  </r>
  <r>
    <s v="DSCN4466"/>
    <s v="M3.50815_13"/>
    <x v="13"/>
    <n v="1"/>
    <s v="Mile 3.5"/>
    <d v="2019-08-15T00:00:00"/>
    <x v="0"/>
    <d v="1899-12-30T01:31:00"/>
    <s v="Heavy rain"/>
    <s v="OL/OS"/>
    <s v="Caching"/>
    <s v="Spruce"/>
    <n v="0"/>
    <n v="0"/>
    <x v="0"/>
    <x v="0"/>
    <x v="0"/>
    <s v="Ground"/>
    <s v="Interior spruce on bark"/>
    <x v="0"/>
    <x v="2"/>
    <x v="3"/>
    <m/>
    <n v="187"/>
    <x v="14"/>
    <n v="63.718119999999999"/>
    <n v="148.97382999999999"/>
    <s v="NA"/>
    <s v="NA"/>
    <s v="NA"/>
    <n v="0"/>
    <n v="0"/>
    <n v="0"/>
    <n v="0"/>
    <n v="0"/>
    <n v="0"/>
    <n v="0"/>
    <m/>
    <m/>
    <m/>
    <m/>
  </r>
  <r>
    <s v="DSCN4466"/>
    <s v="M3.50815_13"/>
    <x v="13"/>
    <n v="1"/>
    <s v="Mile 3.5"/>
    <d v="2019-08-15T00:00:00"/>
    <x v="0"/>
    <d v="1899-12-30T01:31:00"/>
    <s v="Heavy rain"/>
    <s v="OL/OS"/>
    <s v="Caching"/>
    <s v="Spruce"/>
    <n v="0"/>
    <n v="0"/>
    <x v="0"/>
    <x v="0"/>
    <x v="0"/>
    <s v="Ground"/>
    <s v="Interior spruce on bark"/>
    <x v="0"/>
    <x v="2"/>
    <x v="3"/>
    <m/>
    <n v="222"/>
    <x v="14"/>
    <n v="63.718119999999999"/>
    <n v="148.97382999999999"/>
    <s v="NA"/>
    <s v="NA"/>
    <s v="NA"/>
    <n v="0"/>
    <n v="0"/>
    <n v="0"/>
    <n v="0"/>
    <n v="0"/>
    <n v="0"/>
    <n v="0"/>
    <m/>
    <m/>
    <m/>
    <m/>
  </r>
  <r>
    <s v="DSCN4448"/>
    <s v="M3.50815_4"/>
    <x v="10"/>
    <n v="1"/>
    <s v="Mile 3.5"/>
    <d v="2019-08-15T00:00:00"/>
    <x v="0"/>
    <d v="1899-12-30T00:12:00"/>
    <s v="Heavy rain"/>
    <s v="Unbanded"/>
    <s v="Caching"/>
    <s v="Spruce"/>
    <n v="1"/>
    <n v="0"/>
    <x v="0"/>
    <x v="0"/>
    <x v="0"/>
    <s v="Ground"/>
    <s v="Spruce trunk under bark"/>
    <x v="0"/>
    <x v="1"/>
    <x v="0"/>
    <m/>
    <n v="265"/>
    <x v="0"/>
    <n v="63.718510000000002"/>
    <n v="148.97434999999999"/>
    <s v="NA"/>
    <s v="NA"/>
    <s v="NA"/>
    <n v="0"/>
    <n v="0"/>
    <n v="0"/>
    <n v="0"/>
    <n v="0"/>
    <n v="0"/>
    <n v="0"/>
    <m/>
    <m/>
    <m/>
    <m/>
  </r>
  <r>
    <s v="DSCN4447"/>
    <s v="M3.50815_3"/>
    <x v="1"/>
    <n v="1"/>
    <s v="Mile 3.5"/>
    <d v="2019-08-15T00:00:00"/>
    <x v="0"/>
    <d v="1899-12-30T00:55:00"/>
    <s v="Heavy rain"/>
    <s v="Unbanded"/>
    <s v="Caching"/>
    <s v="Spruce"/>
    <n v="1"/>
    <n v="0"/>
    <x v="0"/>
    <x v="0"/>
    <x v="0"/>
    <s v="Unknown"/>
    <s v="Spruce trunk under bark"/>
    <x v="0"/>
    <x v="1"/>
    <x v="0"/>
    <m/>
    <n v="243"/>
    <x v="0"/>
    <n v="63.718699999999998"/>
    <n v="148.97443000000001"/>
    <s v="NA"/>
    <s v="NA"/>
    <s v="NA"/>
    <n v="0"/>
    <n v="0"/>
    <n v="0"/>
    <n v="0"/>
    <n v="0"/>
    <n v="0"/>
    <n v="0"/>
    <m/>
    <m/>
    <m/>
    <m/>
  </r>
  <r>
    <s v="DSCN4443"/>
    <s v="M3.50815_1"/>
    <x v="0"/>
    <n v="1"/>
    <s v="Mile 3.5"/>
    <d v="2019-08-15T00:00:00"/>
    <x v="0"/>
    <d v="1899-12-30T00:39:00"/>
    <s v="Heavy rain"/>
    <s v="PW/RS"/>
    <s v="Caching"/>
    <s v="Spruce"/>
    <n v="1"/>
    <m/>
    <x v="0"/>
    <x v="0"/>
    <x v="0"/>
    <s v="Ground"/>
    <s v="Spruce trunk under bark"/>
    <x v="0"/>
    <x v="1"/>
    <x v="0"/>
    <m/>
    <n v="288"/>
    <x v="0"/>
    <n v="63.73507"/>
    <n v="148.91918999999999"/>
    <s v="NA"/>
    <s v="NA"/>
    <s v="NA"/>
    <n v="0"/>
    <n v="0"/>
    <n v="0"/>
    <n v="0"/>
    <n v="0"/>
    <n v="0"/>
    <n v="0"/>
    <m/>
    <m/>
    <m/>
    <m/>
  </r>
  <r>
    <s v="DSCN4460"/>
    <s v="M3.50815_10"/>
    <x v="4"/>
    <n v="1"/>
    <s v="Mile 3.5"/>
    <d v="2019-08-15T00:00:00"/>
    <x v="0"/>
    <d v="1899-12-30T00:33:00"/>
    <s v="Heavy rain"/>
    <s v="PY/GS"/>
    <s v="Caching"/>
    <s v="Spruce"/>
    <n v="0"/>
    <n v="0"/>
    <x v="0"/>
    <x v="0"/>
    <x v="0"/>
    <s v="Unknown"/>
    <s v="Exterior spruce under bark"/>
    <x v="0"/>
    <x v="2"/>
    <x v="0"/>
    <m/>
    <s v="Unknown"/>
    <x v="0"/>
    <s v="Unknown"/>
    <s v="Unknown"/>
    <s v="NA"/>
    <s v="NA"/>
    <s v="NA"/>
    <n v="0"/>
    <n v="0"/>
    <n v="0"/>
    <n v="0"/>
    <n v="0"/>
    <n v="0"/>
    <n v="0"/>
    <m/>
    <s v="Possibly foraging or looking for places to cache"/>
    <m/>
    <m/>
  </r>
  <r>
    <s v="DSCN4469"/>
    <s v="BU0816_1"/>
    <x v="0"/>
    <n v="1"/>
    <s v="BU"/>
    <d v="2019-08-16T00:00:00"/>
    <x v="0"/>
    <d v="1899-12-30T00:24:00"/>
    <s v="Heavy rain"/>
    <s v="Unknown"/>
    <s v="Caching"/>
    <s v="Spruce"/>
    <n v="1"/>
    <n v="0"/>
    <x v="0"/>
    <x v="0"/>
    <x v="0"/>
    <s v="Unknown"/>
    <s v="Interior spruce on bark"/>
    <x v="0"/>
    <x v="0"/>
    <x v="4"/>
    <m/>
    <n v="169"/>
    <x v="0"/>
    <n v="63.72495"/>
    <n v="148.95622"/>
    <s v="NA"/>
    <s v="NA"/>
    <s v="NA"/>
    <n v="0"/>
    <n v="0"/>
    <n v="0"/>
    <n v="0"/>
    <n v="0"/>
    <n v="0"/>
    <n v="0"/>
    <m/>
    <m/>
    <m/>
    <m/>
  </r>
  <r>
    <s v="DSCN4488"/>
    <s v="M4R0817_1"/>
    <x v="0"/>
    <n v="1"/>
    <s v="Mile 4 Roadside"/>
    <d v="2019-08-17T00:00:00"/>
    <x v="0"/>
    <d v="1899-12-30T01:02:00"/>
    <s v="Overcast"/>
    <s v="GW/OS"/>
    <s v="Food handling, caching"/>
    <s v="Spruce"/>
    <n v="1"/>
    <n v="0"/>
    <x v="0"/>
    <x v="0"/>
    <x v="0"/>
    <s v="Unknown"/>
    <s v="Spruce trunk under bark"/>
    <x v="0"/>
    <x v="1"/>
    <x v="0"/>
    <m/>
    <n v="79"/>
    <x v="0"/>
    <n v="63.719410000000003"/>
    <n v="148.98576"/>
    <s v="NA"/>
    <s v="NA"/>
    <s v="NA"/>
    <n v="0"/>
    <n v="0"/>
    <n v="0"/>
    <n v="0"/>
    <n v="0"/>
    <n v="0"/>
    <n v="0"/>
    <m/>
    <m/>
    <m/>
    <m/>
  </r>
  <r>
    <s v="DSCN4503"/>
    <s v="MC0817_2"/>
    <x v="3"/>
    <n v="1"/>
    <s v="Merc"/>
    <d v="2019-08-17T00:00:00"/>
    <x v="0"/>
    <d v="1899-12-30T00:41:00"/>
    <s v="Overcast"/>
    <s v="Unbanded"/>
    <s v="Foraging and caching"/>
    <s v="Spruce"/>
    <n v="1"/>
    <n v="0"/>
    <x v="0"/>
    <x v="0"/>
    <x v="0"/>
    <s v="Ground"/>
    <s v="Exterior spruce on bark"/>
    <x v="0"/>
    <x v="2"/>
    <x v="0"/>
    <n v="0"/>
    <n v="305"/>
    <x v="15"/>
    <n v="63.731560000000002"/>
    <n v="148.9014"/>
    <s v="NA"/>
    <s v="NA"/>
    <s v="NA"/>
    <n v="0"/>
    <n v="0"/>
    <n v="0"/>
    <n v="0"/>
    <n v="0"/>
    <n v="0"/>
    <n v="0"/>
    <m/>
    <m/>
    <m/>
    <m/>
  </r>
  <r>
    <s v="DSCN4500"/>
    <s v="MC0817_1"/>
    <x v="0"/>
    <n v="1"/>
    <s v="Merc"/>
    <d v="2019-08-17T00:00:00"/>
    <x v="0"/>
    <d v="1899-12-30T00:46:00"/>
    <s v="Overcast"/>
    <s v="Unbanded"/>
    <s v="Foraging and caching"/>
    <s v="Spruce"/>
    <n v="1"/>
    <n v="0"/>
    <x v="0"/>
    <x v="0"/>
    <x v="0"/>
    <s v="Ground"/>
    <s v="Interior spruce under bark"/>
    <x v="0"/>
    <x v="0"/>
    <x v="5"/>
    <m/>
    <n v="358"/>
    <x v="16"/>
    <n v="63.7318"/>
    <n v="148.90196"/>
    <s v="NA"/>
    <s v="NA"/>
    <s v="NA"/>
    <n v="0"/>
    <n v="0"/>
    <n v="0"/>
    <n v="0"/>
    <n v="4"/>
    <n v="0"/>
    <n v="4"/>
    <m/>
    <m/>
    <m/>
    <m/>
  </r>
  <r>
    <s v="DSCN4500"/>
    <s v="MC0817_1"/>
    <x v="0"/>
    <n v="2"/>
    <s v="Merc"/>
    <d v="2019-08-17T00:00:00"/>
    <x v="0"/>
    <d v="1899-12-30T00:46:00"/>
    <s v="Overcast"/>
    <s v="Unbanded"/>
    <s v="Foraging and caching"/>
    <s v="Spruce"/>
    <n v="1"/>
    <n v="0"/>
    <x v="0"/>
    <x v="0"/>
    <x v="0"/>
    <s v="Exterior foliage"/>
    <s v="Exterior spruce on lichen"/>
    <x v="0"/>
    <x v="0"/>
    <x v="5"/>
    <m/>
    <n v="47"/>
    <x v="3"/>
    <n v="63.7318"/>
    <n v="148.90195"/>
    <s v="NA"/>
    <s v="NA"/>
    <s v="NA"/>
    <n v="0"/>
    <n v="0"/>
    <n v="0"/>
    <n v="0"/>
    <n v="4"/>
    <n v="0"/>
    <n v="4"/>
    <m/>
    <m/>
    <m/>
    <m/>
  </r>
  <r>
    <s v="DSCN4503"/>
    <s v="MC0817_2"/>
    <x v="3"/>
    <n v="2"/>
    <s v="Merc"/>
    <d v="2019-08-17T00:00:00"/>
    <x v="0"/>
    <d v="1899-12-30T00:41:00"/>
    <s v="Overcast"/>
    <s v="Unbanded"/>
    <s v="Caching"/>
    <s v="Spruce"/>
    <n v="0"/>
    <n v="0"/>
    <x v="0"/>
    <x v="0"/>
    <x v="0"/>
    <s v="Ground"/>
    <s v="Exterior spruce on bark"/>
    <x v="0"/>
    <x v="2"/>
    <x v="0"/>
    <n v="0"/>
    <n v="232"/>
    <x v="17"/>
    <m/>
    <m/>
    <s v="NA"/>
    <s v="NA"/>
    <s v="NA"/>
    <n v="0"/>
    <n v="0"/>
    <n v="0"/>
    <n v="0"/>
    <n v="0"/>
    <n v="0"/>
    <n v="0"/>
    <m/>
    <m/>
    <m/>
    <m/>
  </r>
  <r>
    <s v="DSCN4494"/>
    <s v="M4R0817_5"/>
    <x v="5"/>
    <n v="1"/>
    <s v="Mile 4 Roadside"/>
    <d v="2019-08-17T00:00:00"/>
    <x v="0"/>
    <d v="1899-12-30T00:27:00"/>
    <s v="Overcast"/>
    <s v="BW/OS"/>
    <s v="Foraging and caching"/>
    <s v="Spruce"/>
    <n v="0"/>
    <n v="0"/>
    <x v="0"/>
    <x v="2"/>
    <x v="7"/>
    <s v="Ground"/>
    <s v="Exterior spruce on bark"/>
    <x v="0"/>
    <x v="2"/>
    <x v="6"/>
    <m/>
    <n v="28"/>
    <x v="10"/>
    <n v="63.721559999999997"/>
    <n v="148.98737"/>
    <s v="NA"/>
    <s v="NA"/>
    <s v="NA"/>
    <n v="0"/>
    <n v="0"/>
    <n v="0"/>
    <n v="0"/>
    <n v="6"/>
    <n v="0"/>
    <n v="6"/>
    <m/>
    <s v="Continuation of food acqusition from previous video, so did not count as additional acqusition, "/>
    <m/>
    <m/>
  </r>
  <r>
    <s v="DSCN4497"/>
    <s v="M4R0817_6"/>
    <x v="11"/>
    <n v="1"/>
    <s v="Mile 4 Roadside"/>
    <d v="2019-08-17T00:00:00"/>
    <x v="0"/>
    <d v="1899-12-30T00:08:00"/>
    <s v="Overcast"/>
    <s v="BW/OS"/>
    <s v="Caching"/>
    <s v="Spruce"/>
    <n v="0"/>
    <n v="0"/>
    <x v="0"/>
    <x v="2"/>
    <x v="7"/>
    <s v="NA"/>
    <s v="Interior spruce foliage"/>
    <x v="0"/>
    <x v="0"/>
    <x v="2"/>
    <m/>
    <n v="281"/>
    <x v="10"/>
    <n v="63.721559999999997"/>
    <n v="148.98737"/>
    <s v="NA"/>
    <s v="NA"/>
    <s v="NA"/>
    <n v="0"/>
    <n v="0"/>
    <n v="0"/>
    <n v="0"/>
    <n v="0"/>
    <n v="0"/>
    <n v="0"/>
    <m/>
    <m/>
    <m/>
    <m/>
  </r>
  <r>
    <m/>
    <s v="NO VIDEO"/>
    <x v="14"/>
    <m/>
    <s v="Mile 4 Roadside"/>
    <d v="2019-08-17T00:00:00"/>
    <x v="0"/>
    <m/>
    <m/>
    <s v="BW/OS"/>
    <s v="Caching"/>
    <s v="Spruce"/>
    <n v="0"/>
    <n v="0"/>
    <x v="0"/>
    <x v="2"/>
    <x v="7"/>
    <s v="Ground"/>
    <s v="Exterior spruce on bark"/>
    <x v="0"/>
    <x v="2"/>
    <x v="6"/>
    <m/>
    <n v="148"/>
    <x v="10"/>
    <n v="63.721739999999997"/>
    <n v="148.98727"/>
    <s v="NA"/>
    <s v="NA"/>
    <s v="NA"/>
    <n v="0"/>
    <n v="0"/>
    <n v="0"/>
    <n v="0"/>
    <n v="0"/>
    <n v="0"/>
    <n v="0"/>
    <m/>
    <s v="Not sure why there's no video on this.  We deployed a camera on this cache"/>
    <m/>
    <m/>
  </r>
  <r>
    <s v="DSCN4498"/>
    <s v="M4R0817_7"/>
    <x v="2"/>
    <n v="1"/>
    <s v="Mile 4 Roadside"/>
    <d v="2019-08-17T00:00:00"/>
    <x v="0"/>
    <d v="1899-12-30T00:41:00"/>
    <s v="Overcast"/>
    <s v="BW/OS"/>
    <s v="Foraging and caching"/>
    <s v="Willow"/>
    <n v="1"/>
    <n v="0"/>
    <x v="0"/>
    <x v="2"/>
    <x v="5"/>
    <s v="Ground"/>
    <s v="Exterior willow branch"/>
    <x v="2"/>
    <x v="2"/>
    <x v="6"/>
    <m/>
    <n v="156"/>
    <x v="11"/>
    <m/>
    <m/>
    <s v="NA"/>
    <s v="NA"/>
    <s v="NA"/>
    <n v="0"/>
    <n v="0"/>
    <n v="0"/>
    <n v="0"/>
    <n v="15"/>
    <n v="0"/>
    <n v="15"/>
    <m/>
    <m/>
    <m/>
    <m/>
  </r>
  <r>
    <s v="DSCN4483"/>
    <s v="M4S0817_4"/>
    <x v="10"/>
    <n v="1"/>
    <s v="Mile 4 South"/>
    <d v="2019-08-17T00:00:00"/>
    <x v="0"/>
    <d v="1899-12-30T00:56:00"/>
    <s v="Overcast"/>
    <s v="GY/GS"/>
    <s v="Foraging and caching"/>
    <s v="Spruce"/>
    <n v="1"/>
    <n v="0"/>
    <x v="0"/>
    <x v="1"/>
    <x v="8"/>
    <s v="Ground"/>
    <s v="Exterior foliage"/>
    <x v="0"/>
    <x v="2"/>
    <x v="2"/>
    <m/>
    <n v="147"/>
    <x v="18"/>
    <n v="63.719070000000002"/>
    <n v="148.98415"/>
    <s v="NA"/>
    <s v="NA"/>
    <s v="NA"/>
    <n v="0"/>
    <n v="0"/>
    <n v="0"/>
    <n v="0"/>
    <n v="22"/>
    <n v="9"/>
    <n v="31"/>
    <m/>
    <m/>
    <m/>
    <m/>
  </r>
  <r>
    <s v="DSCN4514"/>
    <s v="M3.50820_5"/>
    <x v="5"/>
    <n v="1"/>
    <s v="Mile 3.5"/>
    <d v="2019-08-20T00:00:00"/>
    <x v="0"/>
    <d v="1899-12-30T01:40:00"/>
    <s v="Mostly sunny"/>
    <s v="PG/GS"/>
    <s v="Foraging and caching"/>
    <s v="Spruce"/>
    <n v="1"/>
    <n v="0"/>
    <x v="0"/>
    <x v="0"/>
    <x v="0"/>
    <s v="Ground"/>
    <s v="Exterior spruce under bark"/>
    <x v="0"/>
    <x v="2"/>
    <x v="0"/>
    <m/>
    <n v="311"/>
    <x v="7"/>
    <n v="63.719830000000002"/>
    <n v="148.97626"/>
    <s v="NA"/>
    <s v="NA"/>
    <s v="NA"/>
    <n v="0"/>
    <n v="0"/>
    <n v="0"/>
    <n v="0"/>
    <n v="10"/>
    <n v="0"/>
    <n v="10"/>
    <m/>
    <m/>
    <m/>
    <m/>
  </r>
  <r>
    <s v="DSCN4514"/>
    <s v="M3.50820_5"/>
    <x v="5"/>
    <n v="2"/>
    <s v="Mile 3.5"/>
    <d v="2019-08-20T00:00:00"/>
    <x v="0"/>
    <d v="1899-12-30T01:40:00"/>
    <s v="Mostly sunny"/>
    <s v="PG/GS"/>
    <s v="Foraging and caching"/>
    <s v="Spruce"/>
    <n v="0"/>
    <n v="0"/>
    <x v="0"/>
    <x v="0"/>
    <x v="0"/>
    <s v="Ground"/>
    <s v="Exterior spruce under bark"/>
    <x v="0"/>
    <x v="2"/>
    <x v="0"/>
    <m/>
    <n v="311"/>
    <x v="7"/>
    <n v="63.719830000000002"/>
    <n v="148.97626"/>
    <s v="NA"/>
    <s v="NA"/>
    <s v="NA"/>
    <n v="0"/>
    <n v="0"/>
    <n v="0"/>
    <n v="0"/>
    <n v="64"/>
    <n v="0"/>
    <n v="64"/>
    <m/>
    <m/>
    <m/>
    <m/>
  </r>
  <r>
    <s v="DSCN4522"/>
    <s v="M3.50820_13"/>
    <x v="13"/>
    <n v="1"/>
    <s v="Mile 3.5"/>
    <d v="2019-08-20T00:00:00"/>
    <x v="0"/>
    <d v="1899-12-30T01:35:00"/>
    <s v="Mostly sunny"/>
    <s v="PG/GS"/>
    <s v="Caching"/>
    <s v="Spruce"/>
    <n v="1"/>
    <n v="0"/>
    <x v="0"/>
    <x v="0"/>
    <x v="0"/>
    <s v="Ground"/>
    <s v="Interior spruce on bark"/>
    <x v="0"/>
    <x v="0"/>
    <x v="4"/>
    <m/>
    <n v="323"/>
    <x v="19"/>
    <n v="63.719900000000003"/>
    <n v="148.97828999999999"/>
    <s v="NA"/>
    <s v="NA"/>
    <s v="NA"/>
    <n v="0"/>
    <n v="0"/>
    <n v="0"/>
    <n v="0"/>
    <n v="0"/>
    <n v="0"/>
    <n v="0"/>
    <m/>
    <s v="Caching from foraging event in previous video. "/>
    <m/>
    <m/>
  </r>
  <r>
    <s v="DSCN4533"/>
    <s v="M3.50820_22"/>
    <x v="15"/>
    <n v="1"/>
    <s v="Mile 3.5"/>
    <d v="2019-08-20T00:00:00"/>
    <x v="0"/>
    <m/>
    <s v="Mostly sunny"/>
    <s v="WY/GS"/>
    <s v="Foraging"/>
    <s v="Spruce"/>
    <n v="1"/>
    <n v="0"/>
    <x v="0"/>
    <x v="0"/>
    <x v="0"/>
    <s v="Ground"/>
    <s v="Exterior spruce under bark"/>
    <x v="0"/>
    <x v="2"/>
    <x v="4"/>
    <m/>
    <n v="167"/>
    <x v="11"/>
    <n v="63.719920000000002"/>
    <n v="148.97591"/>
    <s v="NA"/>
    <s v="NA"/>
    <s v="NA"/>
    <n v="0"/>
    <n v="0"/>
    <n v="0"/>
    <n v="0"/>
    <n v="19"/>
    <n v="0"/>
    <n v="19"/>
    <m/>
    <m/>
    <m/>
    <m/>
  </r>
  <r>
    <s v="DSCN4518"/>
    <s v="M3.50820_9"/>
    <x v="7"/>
    <n v="2"/>
    <s v="Mile 3.5"/>
    <d v="2019-08-20T00:00:00"/>
    <x v="0"/>
    <d v="1899-12-30T01:47:00"/>
    <s v="Mostly sunny"/>
    <s v="PG/GS"/>
    <s v="Foraging and caching"/>
    <s v="Spruce"/>
    <n v="1"/>
    <n v="0"/>
    <x v="0"/>
    <x v="0"/>
    <x v="0"/>
    <s v="Ground"/>
    <s v="Exterior spruce under bark"/>
    <x v="0"/>
    <x v="2"/>
    <x v="6"/>
    <m/>
    <n v="15"/>
    <x v="11"/>
    <n v="63.71998"/>
    <n v="148.97801000000001"/>
    <s v="NA"/>
    <s v="NA"/>
    <s v="NA"/>
    <n v="0"/>
    <n v="0"/>
    <n v="0"/>
    <n v="0"/>
    <n v="28"/>
    <n v="0"/>
    <n v="28"/>
    <m/>
    <m/>
    <m/>
    <m/>
  </r>
  <r>
    <s v="DSCN4516"/>
    <s v="M3.50820_7"/>
    <x v="2"/>
    <n v="1"/>
    <s v="Mile 3.5"/>
    <d v="2019-08-20T00:00:00"/>
    <x v="0"/>
    <d v="1899-12-30T00:10:00"/>
    <s v="Mostly sunny"/>
    <s v="PG/GS"/>
    <s v="Foraging and caching"/>
    <s v="Spruce"/>
    <n v="1"/>
    <n v="0"/>
    <x v="0"/>
    <x v="0"/>
    <x v="0"/>
    <s v="Ground"/>
    <s v="Unknown"/>
    <x v="0"/>
    <x v="3"/>
    <x v="4"/>
    <s v="NA"/>
    <n v="308"/>
    <x v="6"/>
    <n v="63.720039999999997"/>
    <n v="148.97745"/>
    <s v="NA"/>
    <s v="NA"/>
    <s v="NA"/>
    <n v="0"/>
    <n v="0"/>
    <n v="0"/>
    <n v="0"/>
    <n v="2"/>
    <m/>
    <n v="2"/>
    <m/>
    <m/>
    <m/>
    <m/>
  </r>
  <r>
    <s v="DSCN4518"/>
    <s v="M3.50820_9"/>
    <x v="7"/>
    <n v="1"/>
    <s v="Mile 3.5"/>
    <d v="2019-08-20T00:00:00"/>
    <x v="0"/>
    <d v="1899-12-30T01:47:00"/>
    <s v="Mostly sunny"/>
    <s v="PG/GS"/>
    <s v="Caching and foraging"/>
    <s v="Spruce"/>
    <n v="1"/>
    <n v="0"/>
    <x v="0"/>
    <x v="0"/>
    <x v="0"/>
    <s v="Ground"/>
    <s v="Interior spruce foliage"/>
    <x v="0"/>
    <x v="0"/>
    <x v="2"/>
    <m/>
    <n v="119"/>
    <x v="7"/>
    <n v="63.720059999999997"/>
    <n v="148.97708"/>
    <s v="NA"/>
    <s v="NA"/>
    <s v="NA"/>
    <n v="0"/>
    <n v="0"/>
    <n v="0"/>
    <n v="0"/>
    <n v="0"/>
    <n v="0"/>
    <n v="0"/>
    <m/>
    <s v="Missed acqusition on film. "/>
    <m/>
    <m/>
  </r>
  <r>
    <s v="DSCN4518"/>
    <s v="M3.50820_9"/>
    <x v="7"/>
    <n v="2"/>
    <s v="Mile 3.5"/>
    <d v="2019-08-20T00:00:00"/>
    <x v="0"/>
    <d v="1899-12-30T01:47:00"/>
    <s v="Mostly sunny"/>
    <s v="PG/GS"/>
    <s v="Foraging and caching"/>
    <s v="Spruce"/>
    <n v="1"/>
    <n v="0"/>
    <x v="0"/>
    <x v="0"/>
    <x v="0"/>
    <s v="Ground"/>
    <s v="Spruce trunk under bark"/>
    <x v="0"/>
    <x v="1"/>
    <x v="0"/>
    <m/>
    <s v="Unknown"/>
    <x v="0"/>
    <s v="Unknown"/>
    <s v="Unknown"/>
    <s v="NA"/>
    <s v="NA"/>
    <s v="NA"/>
    <n v="0"/>
    <n v="0"/>
    <n v="0"/>
    <n v="0"/>
    <n v="23"/>
    <n v="0"/>
    <n v="23"/>
    <m/>
    <s v="Didn't recognize as cache in field"/>
    <m/>
    <m/>
  </r>
  <r>
    <s v="DSCN4526"/>
    <s v="M3.50820_16"/>
    <x v="16"/>
    <n v="1"/>
    <s v="Mile 3.5"/>
    <d v="2019-08-20T00:00:00"/>
    <x v="0"/>
    <d v="1899-12-30T00:33:00"/>
    <m/>
    <s v="PL/LS"/>
    <s v="Foraging and caching"/>
    <s v="Spruce"/>
    <n v="1"/>
    <n v="0"/>
    <x v="0"/>
    <x v="0"/>
    <x v="0"/>
    <s v="Ground"/>
    <s v="Unknown"/>
    <x v="3"/>
    <x v="3"/>
    <x v="4"/>
    <s v="Unknown"/>
    <s v="Unknown"/>
    <x v="0"/>
    <s v="Unknown"/>
    <s v="Unknown"/>
    <s v="NA"/>
    <s v="NA"/>
    <s v="NA"/>
    <n v="0"/>
    <n v="0"/>
    <n v="0"/>
    <n v="0"/>
    <n v="14"/>
    <n v="0"/>
    <n v="14"/>
    <m/>
    <s v="Forgot to mark.  Big day.  "/>
    <m/>
    <m/>
  </r>
  <r>
    <s v="DSCN4527"/>
    <s v="M3.50820_17"/>
    <x v="17"/>
    <n v="2"/>
    <s v="Mile 3.5"/>
    <d v="2019-08-20T00:00:00"/>
    <x v="0"/>
    <d v="1899-12-30T00:52:00"/>
    <s v="Mostly sunny"/>
    <s v="OR/WS"/>
    <s v="Foraging and caching"/>
    <s v="Spruce"/>
    <n v="1"/>
    <n v="0"/>
    <x v="0"/>
    <x v="2"/>
    <x v="6"/>
    <s v="Ground"/>
    <s v="Interior foliage"/>
    <x v="0"/>
    <x v="0"/>
    <x v="2"/>
    <m/>
    <n v="41"/>
    <x v="8"/>
    <n v="63.719990000000003"/>
    <n v="148.97823"/>
    <s v="NA"/>
    <s v="NA"/>
    <s v="NA"/>
    <n v="0"/>
    <n v="0"/>
    <n v="0"/>
    <n v="0"/>
    <n v="8"/>
    <n v="0"/>
    <n v="8"/>
    <m/>
    <m/>
    <m/>
    <m/>
  </r>
  <r>
    <s v="DSCN4527"/>
    <s v="M3.50820_17"/>
    <x v="17"/>
    <n v="1"/>
    <s v="Mile 3.5"/>
    <d v="2019-08-20T00:00:00"/>
    <x v="0"/>
    <d v="1899-12-30T00:52:00"/>
    <s v="Mostly sunny"/>
    <s v="OR/WS"/>
    <s v="Foraging and caching"/>
    <s v="Spruce"/>
    <n v="1"/>
    <n v="0"/>
    <x v="0"/>
    <x v="2"/>
    <x v="6"/>
    <s v="Ground"/>
    <s v="Exterior foliage"/>
    <x v="0"/>
    <x v="2"/>
    <x v="2"/>
    <m/>
    <n v="45"/>
    <x v="19"/>
    <n v="63.72"/>
    <n v="148.97820999999999"/>
    <s v="NA"/>
    <s v="NA"/>
    <s v="NA"/>
    <n v="0"/>
    <n v="0"/>
    <n v="0"/>
    <n v="0"/>
    <n v="8"/>
    <n v="0"/>
    <n v="8"/>
    <m/>
    <m/>
    <m/>
    <m/>
  </r>
  <r>
    <s v="DSCN4531"/>
    <s v="M3.50820_20"/>
    <x v="18"/>
    <n v="1"/>
    <s v="Mile 3.5"/>
    <d v="2019-08-20T00:00:00"/>
    <x v="0"/>
    <d v="1899-12-30T00:44:00"/>
    <s v="Mostly sunny"/>
    <s v="WY/GS"/>
    <s v="Foraging and caching"/>
    <s v="Spruce"/>
    <n v="1"/>
    <n v="0"/>
    <x v="0"/>
    <x v="3"/>
    <x v="9"/>
    <s v="Ground"/>
    <s v="Exterior spruce on bark"/>
    <x v="0"/>
    <x v="2"/>
    <x v="3"/>
    <m/>
    <n v="235"/>
    <x v="16"/>
    <n v="63.719729999999998"/>
    <n v="148.97708"/>
    <s v="NA"/>
    <s v="NA"/>
    <s v="NA"/>
    <n v="0"/>
    <n v="0"/>
    <n v="0"/>
    <n v="0"/>
    <n v="35"/>
    <n v="0"/>
    <n v="35"/>
    <m/>
    <s v="Deployed camera on cache"/>
    <m/>
    <m/>
  </r>
  <r>
    <s v="DSCN4535"/>
    <s v="M3.50820_23"/>
    <x v="19"/>
    <n v="1"/>
    <s v="Mile 3.5"/>
    <d v="2019-08-20T00:00:00"/>
    <x v="0"/>
    <d v="1899-12-30T00:29:00"/>
    <s v="Mostly sunny"/>
    <s v="OL/OS"/>
    <s v="Foraging and caching"/>
    <s v="Spruce"/>
    <n v="1"/>
    <n v="0"/>
    <x v="0"/>
    <x v="3"/>
    <x v="9"/>
    <s v="Ground"/>
    <s v="Exterior spruce on bark"/>
    <x v="0"/>
    <x v="2"/>
    <x v="3"/>
    <m/>
    <n v="121"/>
    <x v="7"/>
    <n v="63.719799999999999"/>
    <n v="148.97701000000001"/>
    <s v="NA"/>
    <s v="NA"/>
    <s v="NA"/>
    <n v="0"/>
    <n v="0"/>
    <n v="0"/>
    <n v="0"/>
    <n v="0"/>
    <n v="0"/>
    <n v="0"/>
    <m/>
    <s v="Missed acqusition.  Seen while deploying camera"/>
    <m/>
    <m/>
  </r>
  <r>
    <s v="DSCN4529"/>
    <s v="M3.50820_19"/>
    <x v="20"/>
    <n v="1"/>
    <s v="Mile 3.5"/>
    <d v="2019-08-20T00:00:00"/>
    <x v="0"/>
    <d v="1899-12-30T00:18:00"/>
    <s v="Mostly sunny"/>
    <s v="OR/WS"/>
    <s v="Foraging and caching"/>
    <s v="Spruce"/>
    <n v="1"/>
    <n v="0"/>
    <x v="0"/>
    <x v="3"/>
    <x v="9"/>
    <s v="Ground"/>
    <s v="Interior spruce foliage"/>
    <x v="0"/>
    <x v="0"/>
    <x v="2"/>
    <m/>
    <n v="75"/>
    <x v="11"/>
    <n v="63.720140000000001"/>
    <n v="148.97776999999999"/>
    <s v="NA"/>
    <s v="NA"/>
    <s v="NA"/>
    <n v="0"/>
    <n v="0"/>
    <n v="0"/>
    <n v="0"/>
    <n v="2"/>
    <n v="0"/>
    <n v="2"/>
    <m/>
    <m/>
    <m/>
    <m/>
  </r>
  <r>
    <s v="DSCN4512"/>
    <s v="M3.50820_3"/>
    <x v="10"/>
    <n v="1"/>
    <s v="Mile 3.5"/>
    <d v="2019-08-20T00:00:00"/>
    <x v="0"/>
    <d v="1899-12-30T00:48:00"/>
    <s v="Mostly sunny"/>
    <s v="PW/RS"/>
    <s v="Foraging and caching"/>
    <s v="Spruce"/>
    <n v="1"/>
    <n v="0"/>
    <x v="0"/>
    <x v="3"/>
    <x v="10"/>
    <s v="Ground"/>
    <s v="Interior spruce foliage"/>
    <x v="0"/>
    <x v="0"/>
    <x v="2"/>
    <m/>
    <n v="103"/>
    <x v="17"/>
    <n v="63.720759999999999"/>
    <n v="148.97354000000001"/>
    <s v="NA"/>
    <s v="NA"/>
    <s v="NA"/>
    <n v="0"/>
    <n v="0"/>
    <n v="0"/>
    <n v="0"/>
    <n v="33"/>
    <n v="0"/>
    <n v="33"/>
    <m/>
    <m/>
    <m/>
    <m/>
  </r>
  <r>
    <s v="DSCN4532"/>
    <s v="M.350820_21"/>
    <x v="21"/>
    <n v="2"/>
    <s v="Mile 3.5"/>
    <d v="2019-08-20T00:00:00"/>
    <x v="0"/>
    <m/>
    <s v="Mostly sunny"/>
    <s v="WY/GS"/>
    <s v="Foraging"/>
    <s v="NA"/>
    <n v="1"/>
    <n v="0"/>
    <x v="0"/>
    <x v="4"/>
    <x v="11"/>
    <s v="Ground"/>
    <s v="Exterior spruce on bark"/>
    <x v="0"/>
    <x v="2"/>
    <x v="4"/>
    <s v="NA"/>
    <n v="58"/>
    <x v="0"/>
    <n v="63.719900000000003"/>
    <n v="148.97597999999999"/>
    <s v="NA"/>
    <s v="NA"/>
    <s v="NA"/>
    <n v="0"/>
    <n v="0"/>
    <n v="0"/>
    <n v="0"/>
    <n v="14"/>
    <n v="0"/>
    <n v="14"/>
    <m/>
    <m/>
    <m/>
    <m/>
  </r>
  <r>
    <s v="DSCN4548"/>
    <s v="WW0821_10"/>
    <x v="4"/>
    <n v="1"/>
    <s v="Wac West"/>
    <d v="2019-08-21T00:00:00"/>
    <x v="0"/>
    <d v="1899-12-30T00:40:00"/>
    <s v="Overcast"/>
    <s v="Unbanded"/>
    <s v="Caching"/>
    <s v="Spruce"/>
    <n v="0"/>
    <n v="0"/>
    <x v="0"/>
    <x v="0"/>
    <x v="0"/>
    <s v="Unknown"/>
    <s v="Exterior spruce on bark"/>
    <x v="0"/>
    <x v="2"/>
    <x v="4"/>
    <m/>
    <n v="145"/>
    <x v="0"/>
    <n v="63.738219999999998"/>
    <n v="148.90351999999999"/>
    <s v="NA"/>
    <s v="NA"/>
    <s v="NA"/>
    <n v="0"/>
    <n v="0"/>
    <n v="0"/>
    <n v="0"/>
    <n v="0"/>
    <n v="0"/>
    <n v="0"/>
    <m/>
    <m/>
    <m/>
    <m/>
  </r>
  <r>
    <s v="DSCN4539"/>
    <s v="WW0821_4"/>
    <x v="10"/>
    <n v="1"/>
    <s v="Wac West"/>
    <d v="2019-08-21T00:00:00"/>
    <x v="0"/>
    <m/>
    <s v="Overcast, light rain"/>
    <s v="BP/PS"/>
    <s v="Foraging and caching"/>
    <s v="Spruce"/>
    <n v="1"/>
    <n v="0"/>
    <x v="0"/>
    <x v="0"/>
    <x v="0"/>
    <s v="Ground"/>
    <s v="Interior spruce foliage"/>
    <x v="0"/>
    <x v="0"/>
    <x v="2"/>
    <m/>
    <n v="142"/>
    <x v="7"/>
    <n v="63.738419999999998"/>
    <n v="148.90115"/>
    <s v="NA"/>
    <s v="NA"/>
    <s v="NA"/>
    <n v="0"/>
    <n v="0"/>
    <n v="0"/>
    <n v="0"/>
    <n v="20"/>
    <n v="0"/>
    <n v="20"/>
    <m/>
    <m/>
    <m/>
    <m/>
  </r>
  <r>
    <s v="DSCN4546"/>
    <s v="WW0821_9"/>
    <x v="7"/>
    <n v="1"/>
    <s v="Wac West"/>
    <d v="2019-08-21T00:00:00"/>
    <x v="0"/>
    <d v="1899-12-30T00:33:00"/>
    <s v="Overcast"/>
    <s v="Y/OS"/>
    <s v="Caching and foraging"/>
    <s v="Spruce"/>
    <n v="0"/>
    <n v="0"/>
    <x v="0"/>
    <x v="0"/>
    <x v="0"/>
    <s v="Unknown"/>
    <s v="Interior spruce on bark"/>
    <x v="0"/>
    <x v="0"/>
    <x v="4"/>
    <m/>
    <n v="212"/>
    <x v="0"/>
    <n v="63.73854"/>
    <n v="148.90338"/>
    <s v="NA"/>
    <s v="NA"/>
    <s v="NA"/>
    <n v="0"/>
    <n v="0"/>
    <n v="0"/>
    <n v="0"/>
    <n v="13"/>
    <n v="0"/>
    <n v="13"/>
    <m/>
    <m/>
    <m/>
    <m/>
  </r>
  <r>
    <s v="DSCN4545"/>
    <s v="WW0821_8"/>
    <x v="6"/>
    <n v="1"/>
    <s v="Wac West"/>
    <d v="2019-08-21T00:00:00"/>
    <x v="0"/>
    <d v="1899-12-30T01:18:00"/>
    <s v="Overcast"/>
    <s v="Y/OS"/>
    <s v="Foraging and caching"/>
    <s v="Spruce"/>
    <n v="1"/>
    <n v="0"/>
    <x v="0"/>
    <x v="0"/>
    <x v="0"/>
    <s v="Ground"/>
    <s v="Exterior spruce on bark"/>
    <x v="0"/>
    <x v="2"/>
    <x v="4"/>
    <m/>
    <n v="202"/>
    <x v="11"/>
    <n v="63.738610000000001"/>
    <n v="148.90358000000001"/>
    <s v="NA"/>
    <s v="NA"/>
    <s v="NA"/>
    <n v="0"/>
    <n v="0"/>
    <n v="0"/>
    <n v="0"/>
    <n v="70"/>
    <n v="0"/>
    <n v="70"/>
    <m/>
    <m/>
    <m/>
    <m/>
  </r>
  <r>
    <s v="DSCN4551"/>
    <s v="WW0821_11"/>
    <x v="8"/>
    <n v="1"/>
    <s v="Wac West"/>
    <d v="2019-08-21T00:00:00"/>
    <x v="0"/>
    <d v="1899-12-30T00:40:00"/>
    <s v="Overcast"/>
    <s v="Unbanded"/>
    <s v="Food handling, caching"/>
    <s v="Spruce"/>
    <n v="1"/>
    <n v="0"/>
    <x v="0"/>
    <x v="0"/>
    <x v="0"/>
    <s v="Unknown"/>
    <s v="Exterior spruce foliage"/>
    <x v="0"/>
    <x v="2"/>
    <x v="2"/>
    <m/>
    <n v="130"/>
    <x v="0"/>
    <n v="63.740549999999999"/>
    <n v="148.89922000000001"/>
    <s v="NA"/>
    <s v="NA"/>
    <s v="NA"/>
    <n v="0"/>
    <n v="0"/>
    <n v="0"/>
    <n v="0"/>
    <n v="0"/>
    <n v="0"/>
    <n v="0"/>
    <m/>
    <m/>
    <m/>
    <m/>
  </r>
  <r>
    <s v="DSCN4554"/>
    <s v="WW0821_12"/>
    <x v="9"/>
    <n v="1"/>
    <s v="Wac West"/>
    <d v="2019-08-21T00:00:00"/>
    <x v="0"/>
    <d v="1899-12-30T00:32:00"/>
    <s v="Overcast"/>
    <s v="Unbanded"/>
    <s v="Caching"/>
    <s v="Spruce"/>
    <n v="1"/>
    <n v="0"/>
    <x v="0"/>
    <x v="2"/>
    <x v="5"/>
    <s v="Ground"/>
    <s v="Exterior spruce foliage"/>
    <x v="0"/>
    <x v="2"/>
    <x v="2"/>
    <m/>
    <n v="226"/>
    <x v="7"/>
    <n v="63.740259999999999"/>
    <n v="148.89783"/>
    <s v="NA"/>
    <s v="NA"/>
    <s v="NA"/>
    <n v="0"/>
    <n v="0"/>
    <n v="0"/>
    <n v="0"/>
    <n v="0"/>
    <n v="0"/>
    <n v="0"/>
    <m/>
    <s v="Missed initial cache on camera but saw in person"/>
    <m/>
    <m/>
  </r>
  <r>
    <s v="DSCN4559"/>
    <s v="WW0821_16"/>
    <x v="16"/>
    <n v="1"/>
    <s v="Wac West"/>
    <d v="2019-08-21T00:00:00"/>
    <x v="0"/>
    <d v="1899-12-30T00:33:00"/>
    <s v="Overcast"/>
    <s v="Unbanded"/>
    <s v="Foraging and caching"/>
    <s v="Spruce"/>
    <n v="1"/>
    <n v="0"/>
    <x v="0"/>
    <x v="2"/>
    <x v="5"/>
    <s v="Ground"/>
    <s v="Exterior spruce on bark"/>
    <x v="0"/>
    <x v="2"/>
    <x v="3"/>
    <m/>
    <n v="232"/>
    <x v="9"/>
    <n v="63.740270000000002"/>
    <n v="148.89796000000001"/>
    <s v="NA"/>
    <s v="NA"/>
    <s v="NA"/>
    <n v="0"/>
    <n v="0"/>
    <n v="0"/>
    <n v="0"/>
    <n v="4"/>
    <n v="0"/>
    <n v="4"/>
    <m/>
    <m/>
    <m/>
    <m/>
  </r>
  <r>
    <s v="DSCN4554"/>
    <s v="WW0821_12"/>
    <x v="9"/>
    <n v="2"/>
    <s v="Wac West"/>
    <d v="2019-08-21T00:00:00"/>
    <x v="0"/>
    <d v="1899-12-30T00:32:00"/>
    <s v="Overcast"/>
    <s v="Unbanded"/>
    <s v="Foraging and caching"/>
    <s v="Spruce"/>
    <n v="1"/>
    <n v="0"/>
    <x v="0"/>
    <x v="2"/>
    <x v="5"/>
    <s v="Ground"/>
    <s v="Exterior spruce foliage"/>
    <x v="0"/>
    <x v="2"/>
    <x v="2"/>
    <m/>
    <n v="192"/>
    <x v="11"/>
    <n v="63.740279999999998"/>
    <n v="148.89796000000001"/>
    <s v="NA"/>
    <s v="NA"/>
    <s v="NA"/>
    <n v="0"/>
    <n v="0"/>
    <n v="0"/>
    <n v="0"/>
    <n v="8"/>
    <n v="0"/>
    <n v="8"/>
    <m/>
    <s v="Missed initial cache on camera but saw in person"/>
    <m/>
    <m/>
  </r>
  <r>
    <s v="DSCN4558"/>
    <s v="WW0821_15"/>
    <x v="22"/>
    <n v="2"/>
    <s v="Wac West"/>
    <d v="2019-08-21T00:00:00"/>
    <x v="0"/>
    <d v="1899-12-30T00:45:00"/>
    <s v="Overcast"/>
    <s v="Unbanded"/>
    <s v="Caching"/>
    <s v="Spruce"/>
    <n v="1"/>
    <n v="0"/>
    <x v="0"/>
    <x v="2"/>
    <x v="5"/>
    <s v="Ground"/>
    <s v="Exterior spruce foliage"/>
    <x v="0"/>
    <x v="2"/>
    <x v="2"/>
    <m/>
    <n v="250"/>
    <x v="11"/>
    <n v="63.740279999999998"/>
    <n v="148.89796000000001"/>
    <s v="NA"/>
    <s v="NA"/>
    <s v="NA"/>
    <n v="0"/>
    <n v="0"/>
    <n v="0"/>
    <n v="0"/>
    <n v="4"/>
    <n v="0"/>
    <n v="4"/>
    <m/>
    <s v="Missed initial acquisition on camera"/>
    <m/>
    <m/>
  </r>
  <r>
    <s v="DSCN4556"/>
    <s v="WW0821_13"/>
    <x v="13"/>
    <n v="1"/>
    <s v="Wac West"/>
    <d v="2019-08-21T00:00:00"/>
    <x v="0"/>
    <d v="1899-12-30T00:39:00"/>
    <s v="Overcast"/>
    <s v="Unbanded"/>
    <s v="Foraging and caching"/>
    <s v="Spruce"/>
    <n v="1"/>
    <n v="0"/>
    <x v="0"/>
    <x v="2"/>
    <x v="5"/>
    <s v="Ground"/>
    <s v="Exterior spruce foliage"/>
    <x v="0"/>
    <x v="2"/>
    <x v="2"/>
    <m/>
    <n v="254"/>
    <x v="9"/>
    <n v="63.740310000000001"/>
    <n v="148.89779999999999"/>
    <s v="NA"/>
    <s v="NA"/>
    <s v="NA"/>
    <n v="0"/>
    <n v="0"/>
    <n v="0"/>
    <n v="0"/>
    <n v="9"/>
    <n v="0"/>
    <n v="9"/>
    <m/>
    <m/>
    <m/>
    <m/>
  </r>
  <r>
    <s v="DSCN4557"/>
    <s v="WW0821_14"/>
    <x v="12"/>
    <n v="2"/>
    <s v="Wac West"/>
    <d v="2019-08-21T00:00:00"/>
    <x v="0"/>
    <d v="1899-12-30T01:01:00"/>
    <s v="Overcast"/>
    <s v="Unbanded"/>
    <s v="Foraging and caching"/>
    <s v="Spruce"/>
    <n v="1"/>
    <n v="0"/>
    <x v="0"/>
    <x v="2"/>
    <x v="5"/>
    <s v="Ground"/>
    <s v="Exterior spruce foliage"/>
    <x v="0"/>
    <x v="2"/>
    <x v="2"/>
    <m/>
    <n v="318"/>
    <x v="20"/>
    <n v="63.740319999999997"/>
    <n v="148.89780999999999"/>
    <s v="NA"/>
    <s v="NA"/>
    <s v="NA"/>
    <n v="0"/>
    <n v="0"/>
    <n v="0"/>
    <n v="0"/>
    <n v="4"/>
    <n v="0"/>
    <n v="4"/>
    <m/>
    <m/>
    <m/>
    <m/>
  </r>
  <r>
    <s v="DSCN4558"/>
    <s v="WW0821_15"/>
    <x v="22"/>
    <n v="1"/>
    <s v="Wac West"/>
    <d v="2019-08-21T00:00:00"/>
    <x v="0"/>
    <d v="1899-12-30T00:45:00"/>
    <s v="Overcast"/>
    <s v="Unbanded"/>
    <s v="Caching"/>
    <s v="Spruce"/>
    <n v="1"/>
    <n v="0"/>
    <x v="0"/>
    <x v="2"/>
    <x v="5"/>
    <s v="Ground"/>
    <s v="Interior spruce foliage"/>
    <x v="0"/>
    <x v="0"/>
    <x v="2"/>
    <m/>
    <n v="300"/>
    <x v="11"/>
    <n v="63.740340000000003"/>
    <n v="148.89777000000001"/>
    <s v="NA"/>
    <s v="NA"/>
    <s v="NA"/>
    <n v="0"/>
    <n v="0"/>
    <n v="0"/>
    <n v="0"/>
    <n v="0"/>
    <n v="0"/>
    <n v="0"/>
    <m/>
    <s v="Missed initial acquisition on camera"/>
    <m/>
    <m/>
  </r>
  <r>
    <s v="DSCN4557"/>
    <s v="WW0821_14"/>
    <x v="12"/>
    <n v="3"/>
    <s v="Wac West"/>
    <d v="2019-08-21T00:00:00"/>
    <x v="0"/>
    <d v="1899-12-30T01:01:00"/>
    <s v="Overcast"/>
    <s v="Unbanded"/>
    <s v="Foraging and caching"/>
    <s v="Spruce"/>
    <n v="1"/>
    <n v="0"/>
    <x v="0"/>
    <x v="2"/>
    <x v="5"/>
    <s v="Ground"/>
    <s v="Interior spruce on bark"/>
    <x v="0"/>
    <x v="0"/>
    <x v="3"/>
    <m/>
    <n v="254"/>
    <x v="1"/>
    <n v="63.740360000000003"/>
    <n v="148.89764"/>
    <s v="NA"/>
    <s v="NA"/>
    <s v="NA"/>
    <n v="0"/>
    <n v="0"/>
    <n v="0"/>
    <n v="0"/>
    <n v="4"/>
    <n v="0"/>
    <n v="4"/>
    <m/>
    <m/>
    <m/>
    <m/>
  </r>
  <r>
    <s v="DSCN4557"/>
    <s v="WW0821_14"/>
    <x v="12"/>
    <n v="1"/>
    <s v="Wac West"/>
    <d v="2019-08-21T00:00:00"/>
    <x v="0"/>
    <d v="1899-12-30T01:01:00"/>
    <s v="Overcast"/>
    <s v="Unbanded"/>
    <s v="Foraging and caching"/>
    <s v="Spruce"/>
    <n v="1"/>
    <n v="0"/>
    <x v="0"/>
    <x v="2"/>
    <x v="5"/>
    <s v="Ground"/>
    <s v="Exterior spruce foliage"/>
    <x v="0"/>
    <x v="2"/>
    <x v="2"/>
    <m/>
    <n v="112"/>
    <x v="10"/>
    <n v="63.740389999999998"/>
    <n v="148.89777000000001"/>
    <s v="NA"/>
    <s v="NA"/>
    <s v="NA"/>
    <n v="0"/>
    <n v="0"/>
    <n v="0"/>
    <n v="0"/>
    <n v="7"/>
    <n v="0"/>
    <n v="7"/>
    <m/>
    <m/>
    <m/>
    <m/>
  </r>
  <r>
    <s v="DSCN4556"/>
    <s v="WW0821_13"/>
    <x v="13"/>
    <n v="2"/>
    <s v="Wac West"/>
    <d v="2019-08-21T00:00:00"/>
    <x v="0"/>
    <d v="1899-12-30T00:39:00"/>
    <s v="Overcast"/>
    <s v="Unbanded"/>
    <s v="Foraging and caching"/>
    <s v="Spruce"/>
    <n v="1"/>
    <n v="0"/>
    <x v="0"/>
    <x v="2"/>
    <x v="5"/>
    <s v="Ground"/>
    <s v="Interior spruce foliage"/>
    <x v="0"/>
    <x v="0"/>
    <x v="2"/>
    <m/>
    <n v="221"/>
    <x v="19"/>
    <n v="63.740409999999997"/>
    <n v="148.89762999999999"/>
    <s v="NA"/>
    <s v="NA"/>
    <s v="NA"/>
    <n v="0"/>
    <n v="0"/>
    <n v="0"/>
    <n v="0"/>
    <n v="5"/>
    <n v="0"/>
    <n v="5"/>
    <m/>
    <m/>
    <m/>
    <m/>
  </r>
  <r>
    <s v="DSCN4538"/>
    <s v="WW0821_3"/>
    <x v="1"/>
    <n v="1"/>
    <s v="Wac West"/>
    <d v="2019-08-21T00:00:00"/>
    <x v="0"/>
    <d v="1899-12-30T02:19:00"/>
    <s v="Overcast, light rain"/>
    <s v="BP/PS"/>
    <s v="Foraging and caching"/>
    <s v="Spruce"/>
    <n v="1"/>
    <n v="0"/>
    <x v="0"/>
    <x v="3"/>
    <x v="12"/>
    <s v="Ground"/>
    <s v="Interior spruce on bark"/>
    <x v="0"/>
    <x v="0"/>
    <x v="4"/>
    <m/>
    <n v="47"/>
    <x v="9"/>
    <n v="63.739420000000003"/>
    <n v="148.90110999999999"/>
    <s v="NA"/>
    <s v="NA"/>
    <s v="NA"/>
    <n v="0"/>
    <n v="0"/>
    <n v="0"/>
    <n v="0"/>
    <n v="32"/>
    <n v="0"/>
    <n v="32"/>
    <m/>
    <m/>
    <m/>
    <m/>
  </r>
  <r>
    <s v="DSCN4573"/>
    <s v="M2370822_6"/>
    <x v="11"/>
    <n v="1"/>
    <s v="M237"/>
    <d v="2019-08-22T00:00:00"/>
    <x v="0"/>
    <d v="1899-12-30T01:07:00"/>
    <s v="Overcast"/>
    <s v="WB/BS"/>
    <s v="Food handling, caching"/>
    <s v="Spruce"/>
    <n v="1"/>
    <n v="0"/>
    <x v="0"/>
    <x v="0"/>
    <x v="0"/>
    <s v="Interior spruce foliage"/>
    <s v="Exterior spruce foliage"/>
    <x v="0"/>
    <x v="2"/>
    <x v="2"/>
    <m/>
    <n v="263"/>
    <x v="3"/>
    <n v="63.723080000000003"/>
    <n v="148.88818000000001"/>
    <s v="NA"/>
    <s v="NA"/>
    <s v="NA"/>
    <n v="0"/>
    <n v="0"/>
    <n v="0"/>
    <n v="0"/>
    <n v="0"/>
    <n v="0"/>
    <n v="0"/>
    <m/>
    <m/>
    <m/>
    <m/>
  </r>
  <r>
    <s v="DSCN4573"/>
    <s v="M2370822_6"/>
    <x v="11"/>
    <n v="1"/>
    <s v="M237"/>
    <d v="2019-08-22T00:00:00"/>
    <x v="0"/>
    <d v="1899-12-30T01:07:00"/>
    <s v="Overcast"/>
    <s v="WB/BS"/>
    <s v="Food handling, caching"/>
    <s v="Spruce"/>
    <n v="0"/>
    <n v="0"/>
    <x v="0"/>
    <x v="0"/>
    <x v="0"/>
    <s v="Interior spruce foliage"/>
    <s v="Exterior spruce foliage"/>
    <x v="0"/>
    <x v="2"/>
    <x v="2"/>
    <m/>
    <n v="88"/>
    <x v="11"/>
    <n v="63.723080000000003"/>
    <n v="148.88820000000001"/>
    <s v="NA"/>
    <s v="NA"/>
    <s v="NA"/>
    <n v="0"/>
    <n v="0"/>
    <n v="0"/>
    <n v="0"/>
    <n v="0"/>
    <n v="0"/>
    <n v="0"/>
    <m/>
    <m/>
    <m/>
    <m/>
  </r>
  <r>
    <s v="DSCN4591"/>
    <s v="AQ0822_8"/>
    <x v="6"/>
    <n v="1"/>
    <s v="Air Quality"/>
    <d v="2019-08-22T00:00:00"/>
    <x v="0"/>
    <d v="1899-12-30T00:33:00"/>
    <s v="Overcast"/>
    <s v="Unbanded"/>
    <s v="Caching"/>
    <s v="Spruce"/>
    <n v="0"/>
    <n v="0"/>
    <x v="0"/>
    <x v="0"/>
    <x v="0"/>
    <s v="Unknown"/>
    <s v="Exterior spruce foliage"/>
    <x v="0"/>
    <x v="2"/>
    <x v="2"/>
    <m/>
    <n v="302"/>
    <x v="11"/>
    <n v="63.723129999999998"/>
    <n v="148.96812"/>
    <s v="NA"/>
    <s v="NA"/>
    <s v="NA"/>
    <n v="0"/>
    <n v="0"/>
    <n v="0"/>
    <n v="0"/>
    <n v="0"/>
    <m/>
    <n v="0"/>
    <m/>
    <m/>
    <m/>
    <m/>
  </r>
  <r>
    <s v="DSCN4591"/>
    <s v="AQ0822_8"/>
    <x v="6"/>
    <n v="2"/>
    <s v="Air Quality"/>
    <d v="2019-08-22T00:00:00"/>
    <x v="0"/>
    <d v="1899-12-30T00:33:00"/>
    <s v="Overcast"/>
    <s v="Unbanded"/>
    <s v="Caching"/>
    <s v="Spruce"/>
    <n v="0"/>
    <n v="0"/>
    <x v="0"/>
    <x v="0"/>
    <x v="0"/>
    <s v="Unknown"/>
    <s v="Exterior spruce foliage"/>
    <x v="0"/>
    <x v="2"/>
    <x v="2"/>
    <m/>
    <n v="58"/>
    <x v="11"/>
    <n v="63.723129999999998"/>
    <n v="148.96812"/>
    <s v="NA"/>
    <s v="NA"/>
    <s v="NA"/>
    <n v="0"/>
    <n v="0"/>
    <n v="0"/>
    <n v="0"/>
    <n v="0"/>
    <m/>
    <n v="0"/>
    <m/>
    <s v="had mystery food in a tree, then made two caches in a neighboring tree.  Unclear if food obtrained from tree, or later taken to tree. "/>
    <m/>
    <m/>
  </r>
  <r>
    <s v="DSCN4572"/>
    <s v="M2370822_5"/>
    <x v="5"/>
    <n v="1"/>
    <s v="M237"/>
    <d v="2019-08-22T00:00:00"/>
    <x v="0"/>
    <d v="1899-12-30T00:19:00"/>
    <s v="Overcast"/>
    <s v="WB/BS"/>
    <s v="Caching"/>
    <s v="Spruce"/>
    <n v="0"/>
    <n v="0"/>
    <x v="0"/>
    <x v="0"/>
    <x v="0"/>
    <s v="Unknown"/>
    <s v="Interior spruce foliage"/>
    <x v="0"/>
    <x v="0"/>
    <x v="2"/>
    <m/>
    <n v="47"/>
    <x v="0"/>
    <n v="63.725569999999998"/>
    <n v="148.88607999999999"/>
    <s v="NA"/>
    <s v="NA"/>
    <s v="NA"/>
    <n v="0"/>
    <n v="0"/>
    <n v="0"/>
    <n v="0"/>
    <n v="0"/>
    <n v="0"/>
    <n v="0"/>
    <m/>
    <m/>
    <m/>
    <m/>
  </r>
  <r>
    <s v="DSCN4580"/>
    <s v="AQ0822_2"/>
    <x v="3"/>
    <n v="1"/>
    <s v="Air Quality"/>
    <d v="2019-08-22T00:00:00"/>
    <x v="0"/>
    <d v="1899-12-30T00:25:00"/>
    <s v="Overcast"/>
    <s v="PG/PS"/>
    <s v="Foraging and caching"/>
    <s v="Spruce"/>
    <n v="1"/>
    <n v="0"/>
    <x v="0"/>
    <x v="2"/>
    <x v="13"/>
    <s v="Ground"/>
    <s v="Exterior spruce foliage"/>
    <x v="0"/>
    <x v="2"/>
    <x v="2"/>
    <m/>
    <n v="96"/>
    <x v="10"/>
    <n v="63.72128"/>
    <n v="148.96617000000001"/>
    <s v="NA"/>
    <s v="NA"/>
    <s v="NA"/>
    <n v="0"/>
    <n v="0"/>
    <n v="0"/>
    <n v="0"/>
    <n v="0"/>
    <n v="0"/>
    <n v="0"/>
    <m/>
    <s v="Missed initial acquisition "/>
    <m/>
    <m/>
  </r>
  <r>
    <s v="DSCN4581"/>
    <s v="AQ0822_3"/>
    <x v="1"/>
    <n v="1"/>
    <s v="Air Quality"/>
    <d v="2019-08-22T00:00:00"/>
    <x v="0"/>
    <d v="1899-12-30T01:07:00"/>
    <s v="Overcast"/>
    <s v="PG/GS"/>
    <s v="Foraging"/>
    <s v="Spruce"/>
    <n v="1"/>
    <n v="0"/>
    <x v="0"/>
    <x v="2"/>
    <x v="13"/>
    <s v="Ground"/>
    <s v="Exterior spruce on bark"/>
    <x v="0"/>
    <x v="2"/>
    <x v="3"/>
    <m/>
    <n v="260"/>
    <x v="19"/>
    <n v="63.72137"/>
    <n v="148.96625"/>
    <s v="NA"/>
    <s v="NA"/>
    <s v="NA"/>
    <n v="0"/>
    <n v="0"/>
    <n v="0"/>
    <n v="0"/>
    <n v="19"/>
    <n v="0"/>
    <n v="19"/>
    <m/>
    <m/>
    <m/>
    <m/>
  </r>
  <r>
    <s v="DSCN4575"/>
    <s v="M2370822_8"/>
    <x v="6"/>
    <n v="1"/>
    <s v="M237"/>
    <d v="2019-08-22T00:00:00"/>
    <x v="0"/>
    <d v="1899-12-30T00:38:00"/>
    <s v="Overcast"/>
    <s v="Unknown"/>
    <s v="Caching"/>
    <s v="Spruce"/>
    <n v="0"/>
    <n v="0"/>
    <x v="0"/>
    <x v="2"/>
    <x v="6"/>
    <s v="Unknown"/>
    <s v="Interior spruce foliage"/>
    <x v="0"/>
    <x v="0"/>
    <x v="2"/>
    <m/>
    <n v="96"/>
    <x v="0"/>
    <n v="63.722659999999998"/>
    <n v="148.88942"/>
    <s v="NA"/>
    <s v="NA"/>
    <s v="NA"/>
    <n v="0"/>
    <n v="0"/>
    <n v="0"/>
    <n v="0"/>
    <n v="0"/>
    <n v="0"/>
    <n v="0"/>
    <m/>
    <m/>
    <m/>
    <m/>
  </r>
  <r>
    <s v="DSCN4575"/>
    <s v="M2370822_8"/>
    <x v="6"/>
    <n v="2"/>
    <s v="M237"/>
    <d v="2019-08-22T00:00:00"/>
    <x v="0"/>
    <d v="1899-12-30T00:38:00"/>
    <s v="Overcast"/>
    <s v="Unknown"/>
    <s v="Caching"/>
    <s v="Spruce"/>
    <n v="1"/>
    <n v="0"/>
    <x v="0"/>
    <x v="2"/>
    <x v="6"/>
    <s v="Ground"/>
    <s v="Interior spruce foliage"/>
    <x v="0"/>
    <x v="0"/>
    <x v="2"/>
    <m/>
    <n v="240"/>
    <x v="20"/>
    <n v="63.722819999999999"/>
    <n v="148.88938999999999"/>
    <s v="NA"/>
    <s v="NA"/>
    <s v="NA"/>
    <n v="0"/>
    <n v="0"/>
    <n v="0"/>
    <n v="0"/>
    <n v="6"/>
    <n v="0"/>
    <n v="6"/>
    <m/>
    <m/>
    <m/>
    <m/>
  </r>
  <r>
    <s v="DSCN4594"/>
    <s v="AQ0822_10"/>
    <x v="4"/>
    <n v="1"/>
    <s v="Air Quality"/>
    <d v="2019-08-22T00:00:00"/>
    <x v="0"/>
    <d v="1899-12-30T00:45:00"/>
    <s v="Overcast"/>
    <s v="Unbanded"/>
    <s v="Foraging and caching"/>
    <s v="Spruce"/>
    <n v="1"/>
    <n v="0"/>
    <x v="0"/>
    <x v="2"/>
    <x v="5"/>
    <s v="Tree"/>
    <s v="Exterior spruce foliage"/>
    <x v="0"/>
    <x v="2"/>
    <x v="2"/>
    <m/>
    <n v="339"/>
    <x v="21"/>
    <n v="63.723280000000003"/>
    <n v="148.96852000000001"/>
    <s v="NA"/>
    <s v="NA"/>
    <s v="NA"/>
    <n v="0"/>
    <n v="0"/>
    <n v="0"/>
    <n v="0"/>
    <n v="5"/>
    <n v="0"/>
    <n v="5"/>
    <m/>
    <s v="Eating from   squirrel cache. "/>
    <m/>
    <m/>
  </r>
  <r>
    <s v="DSCN4593"/>
    <s v="AQ0822_9"/>
    <x v="7"/>
    <n v="1"/>
    <s v="Air Quality"/>
    <d v="2019-08-22T00:00:00"/>
    <x v="0"/>
    <d v="1899-12-30T00:31:00"/>
    <s v="Overcast"/>
    <s v="Unbanded"/>
    <s v="Foraging and caching"/>
    <s v="Spruce"/>
    <n v="1"/>
    <n v="0"/>
    <x v="0"/>
    <x v="2"/>
    <x v="5"/>
    <s v="Ground"/>
    <s v="Interior spruce foliage"/>
    <x v="0"/>
    <x v="0"/>
    <x v="2"/>
    <m/>
    <n v="57"/>
    <x v="19"/>
    <n v="63.723329999999997"/>
    <n v="148.96884"/>
    <s v="NA"/>
    <s v="NA"/>
    <s v="NA"/>
    <n v="0"/>
    <n v="0"/>
    <n v="0"/>
    <n v="0"/>
    <n v="13"/>
    <n v="0"/>
    <n v="13"/>
    <m/>
    <m/>
    <m/>
    <m/>
  </r>
  <r>
    <s v="DSCN4563"/>
    <s v="M2370822_1"/>
    <x v="0"/>
    <n v="1"/>
    <s v="M237"/>
    <d v="2019-08-22T00:00:00"/>
    <x v="0"/>
    <d v="1899-12-30T00:44:00"/>
    <s v="Overcast"/>
    <s v="WB/BS"/>
    <s v="Caching and food handling "/>
    <s v="Spruce"/>
    <n v="1"/>
    <n v="0"/>
    <x v="0"/>
    <x v="2"/>
    <x v="6"/>
    <s v="Unknown"/>
    <s v="Interior spruce on bark"/>
    <x v="0"/>
    <x v="0"/>
    <x v="4"/>
    <m/>
    <n v="249"/>
    <x v="0"/>
    <n v="63.724719999999998"/>
    <n v="148.88774000000001"/>
    <s v="NA"/>
    <s v="NA"/>
    <s v="NA"/>
    <n v="0"/>
    <n v="0"/>
    <n v="0"/>
    <n v="0"/>
    <n v="0"/>
    <n v="0"/>
    <n v="0"/>
    <m/>
    <s v="Has mushroom bit in tree and caching into smaller pieces.  "/>
    <m/>
    <m/>
  </r>
  <r>
    <s v="DSCN4584"/>
    <s v="AQ0822_5"/>
    <x v="5"/>
    <n v="1"/>
    <s v="Air Quality"/>
    <d v="2019-08-22T00:00:00"/>
    <x v="0"/>
    <d v="1899-12-30T00:24:00"/>
    <s v="Overcast"/>
    <s v="PG/GS"/>
    <s v="Caching"/>
    <s v="Spruce"/>
    <n v="0"/>
    <n v="0"/>
    <x v="0"/>
    <x v="5"/>
    <x v="14"/>
    <s v="Ground"/>
    <s v="Spruce trunk under bark"/>
    <x v="0"/>
    <x v="1"/>
    <x v="0"/>
    <m/>
    <n v="337"/>
    <x v="1"/>
    <n v="63.721580000000003"/>
    <n v="148.96747999999999"/>
    <s v="NA"/>
    <s v="NA"/>
    <s v="NA"/>
    <n v="0"/>
    <n v="0"/>
    <n v="0"/>
    <n v="0"/>
    <n v="0"/>
    <n v="0"/>
    <n v="0"/>
    <m/>
    <m/>
    <m/>
    <m/>
  </r>
  <r>
    <s v="DSCN4603"/>
    <s v="MC0823_4"/>
    <x v="10"/>
    <n v="1"/>
    <s v="Merc"/>
    <d v="2019-08-23T00:00:00"/>
    <x v="0"/>
    <d v="1899-12-30T00:32:00"/>
    <s v="Overcast"/>
    <s v="Unbanded"/>
    <s v="Foraging and caching"/>
    <s v="Spruce"/>
    <n v="1"/>
    <n v="1"/>
    <x v="0"/>
    <x v="0"/>
    <x v="0"/>
    <s v="Spruce trunk"/>
    <s v="Exterior spruce foliage"/>
    <x v="0"/>
    <x v="2"/>
    <x v="2"/>
    <m/>
    <n v="49"/>
    <x v="16"/>
    <n v="63.731850000000001"/>
    <n v="148.89995999999999"/>
    <s v="NA"/>
    <s v="NA"/>
    <s v="NA"/>
    <n v="4"/>
    <n v="0"/>
    <n v="4"/>
    <n v="0"/>
    <n v="0"/>
    <n v="0"/>
    <n v="4"/>
    <m/>
    <m/>
    <m/>
    <m/>
  </r>
  <r>
    <s v="DSCN4600"/>
    <s v="MC0823_2"/>
    <x v="3"/>
    <n v="1"/>
    <s v="Merc"/>
    <d v="2019-08-23T00:00:00"/>
    <x v="0"/>
    <d v="1899-12-30T00:09:00"/>
    <s v="Overcast"/>
    <s v="OW/OS"/>
    <s v="Caching"/>
    <s v="Spruce"/>
    <n v="0"/>
    <n v="0"/>
    <x v="0"/>
    <x v="0"/>
    <x v="0"/>
    <s v="Unknown"/>
    <s v="Exterior aspen bark"/>
    <x v="1"/>
    <x v="2"/>
    <x v="0"/>
    <m/>
    <n v="125"/>
    <x v="0"/>
    <n v="63.732019999999999"/>
    <n v="148.90084999999999"/>
    <s v="NA"/>
    <s v="NA"/>
    <s v="NA"/>
    <n v="0"/>
    <n v="0"/>
    <n v="0"/>
    <n v="0"/>
    <n v="0"/>
    <n v="0"/>
    <n v="0"/>
    <m/>
    <m/>
    <m/>
    <m/>
  </r>
  <r>
    <s v="DSCN4595"/>
    <s v="MC0823_1"/>
    <x v="0"/>
    <n v="1"/>
    <s v="Merc"/>
    <d v="2019-08-23T00:00:00"/>
    <x v="0"/>
    <d v="1899-12-30T00:43:00"/>
    <s v="Overcast"/>
    <s v="Unknown"/>
    <s v="Caching"/>
    <s v="Spruce"/>
    <n v="0"/>
    <n v="0"/>
    <x v="0"/>
    <x v="0"/>
    <x v="0"/>
    <s v="Unknown"/>
    <s v="Interior spruce under bark"/>
    <x v="0"/>
    <x v="0"/>
    <x v="0"/>
    <m/>
    <n v="194"/>
    <x v="0"/>
    <n v="63.732770000000002"/>
    <n v="148.89841000000001"/>
    <s v="NA"/>
    <s v="NA"/>
    <s v="NA"/>
    <n v="0"/>
    <n v="0"/>
    <n v="0"/>
    <n v="0"/>
    <n v="0"/>
    <n v="0"/>
    <n v="0"/>
    <m/>
    <m/>
    <m/>
    <m/>
  </r>
  <r>
    <s v="DSCN4613"/>
    <s v="BU0824_1"/>
    <x v="0"/>
    <n v="1"/>
    <s v="BU"/>
    <d v="2019-08-24T00:00:00"/>
    <x v="0"/>
    <d v="1899-12-30T00:32:00"/>
    <s v="Partly cloudy"/>
    <s v="RR/OS"/>
    <s v="Foraging and caching"/>
    <s v="Spruce"/>
    <n v="1"/>
    <n v="0"/>
    <x v="0"/>
    <x v="0"/>
    <x v="0"/>
    <s v="Ground"/>
    <s v="Interior spruce on bark"/>
    <x v="0"/>
    <x v="0"/>
    <x v="0"/>
    <m/>
    <n v="61"/>
    <x v="0"/>
    <n v="63.722810000000003"/>
    <n v="148.95544000000001"/>
    <s v="NA"/>
    <s v="NA"/>
    <s v="NA"/>
    <n v="0"/>
    <n v="0"/>
    <n v="0"/>
    <n v="0"/>
    <n v="10"/>
    <n v="0"/>
    <n v="10"/>
    <m/>
    <m/>
    <m/>
    <m/>
  </r>
  <r>
    <s v="DSCN4614"/>
    <s v="BU0824_2"/>
    <x v="3"/>
    <n v="1"/>
    <s v="BU"/>
    <d v="2019-08-24T00:00:00"/>
    <x v="0"/>
    <d v="1899-12-30T01:05:00"/>
    <s v="Partly cloudy"/>
    <s v="RR/OS"/>
    <s v="Caching"/>
    <s v="Spruce"/>
    <n v="1"/>
    <n v="0"/>
    <x v="0"/>
    <x v="0"/>
    <x v="0"/>
    <s v="Exterior spruce"/>
    <s v="Unknown"/>
    <x v="0"/>
    <x v="3"/>
    <x v="4"/>
    <m/>
    <n v="27"/>
    <x v="0"/>
    <n v="63.722839999999998"/>
    <n v="148.95546999999999"/>
    <s v="NA"/>
    <s v="NA"/>
    <s v="NA"/>
    <n v="0"/>
    <n v="0"/>
    <n v="0"/>
    <n v="0"/>
    <n v="0"/>
    <n v="0"/>
    <n v="0"/>
    <m/>
    <s v="Missed acquisition on camera"/>
    <m/>
    <m/>
  </r>
  <r>
    <s v="DSCN4611"/>
    <s v="M4S0824_1"/>
    <x v="3"/>
    <n v="1"/>
    <s v="Mile 4 Roadside"/>
    <d v="2019-08-24T00:00:00"/>
    <x v="0"/>
    <m/>
    <s v="Overcast"/>
    <s v="O/RS"/>
    <s v="Foraging and caching"/>
    <s v="Spruce"/>
    <n v="1"/>
    <s v="Unknown"/>
    <x v="0"/>
    <x v="0"/>
    <x v="0"/>
    <s v="Exterior spruce bark/lichen"/>
    <s v="Exterior spruce on lichen"/>
    <x v="0"/>
    <x v="2"/>
    <x v="1"/>
    <m/>
    <n v="54"/>
    <x v="16"/>
    <n v="63.725929999999998"/>
    <n v="148.98235"/>
    <s v="NA"/>
    <s v="NA"/>
    <s v="NA"/>
    <n v="11"/>
    <n v="0"/>
    <n v="9"/>
    <n v="11"/>
    <n v="0"/>
    <n v="0"/>
    <n v="11"/>
    <m/>
    <m/>
    <m/>
    <m/>
  </r>
  <r>
    <s v="DSCN4614"/>
    <s v="BU0824_2"/>
    <x v="3"/>
    <n v="2"/>
    <s v="BU"/>
    <d v="2019-08-24T00:00:00"/>
    <x v="0"/>
    <d v="1899-12-30T01:05:00"/>
    <s v="Partly cloudy"/>
    <s v="RR/OS"/>
    <s v="Foraging and caching"/>
    <s v="Spruce"/>
    <n v="1"/>
    <n v="0"/>
    <x v="0"/>
    <x v="3"/>
    <x v="10"/>
    <s v="Ground"/>
    <s v="Interior spruce in lichen"/>
    <x v="0"/>
    <x v="0"/>
    <x v="1"/>
    <m/>
    <n v="343"/>
    <x v="7"/>
    <n v="63.722969999999997"/>
    <n v="148.95541"/>
    <s v="NA"/>
    <s v="NA"/>
    <s v="NA"/>
    <n v="0"/>
    <n v="0"/>
    <n v="0"/>
    <n v="0"/>
    <n v="13"/>
    <n v="0"/>
    <n v="13"/>
    <m/>
    <m/>
    <m/>
    <m/>
  </r>
  <r>
    <s v="DSCN4614"/>
    <s v="BU0824_2"/>
    <x v="3"/>
    <n v="3"/>
    <s v="BU"/>
    <d v="2019-08-24T00:00:00"/>
    <x v="0"/>
    <d v="1899-12-30T01:05:00"/>
    <s v="Partly cloudy"/>
    <s v="RR/OS"/>
    <s v="Foraging and caching"/>
    <s v="Spruce"/>
    <n v="1"/>
    <n v="0"/>
    <x v="0"/>
    <x v="3"/>
    <x v="10"/>
    <s v="Ground"/>
    <s v="Exterior spruce on bark"/>
    <x v="0"/>
    <x v="2"/>
    <x v="4"/>
    <m/>
    <n v="306"/>
    <x v="6"/>
    <n v="63.722999999999999"/>
    <n v="148.95535000000001"/>
    <s v="NA"/>
    <s v="NA"/>
    <s v="NA"/>
    <n v="0"/>
    <n v="0"/>
    <n v="0"/>
    <n v="0"/>
    <n v="9"/>
    <n v="0"/>
    <n v="9"/>
    <m/>
    <s v="Deployed camera on cache"/>
    <m/>
    <m/>
  </r>
  <r>
    <s v="DSCN4622"/>
    <s v="M2370827_1"/>
    <x v="0"/>
    <n v="1"/>
    <s v="M237"/>
    <d v="2019-08-27T00:00:00"/>
    <x v="0"/>
    <d v="1899-12-30T00:44:00"/>
    <s v="Overcast"/>
    <s v="WB/BS"/>
    <s v="Food handling, caching"/>
    <s v="Spruce"/>
    <n v="1"/>
    <n v="0"/>
    <x v="0"/>
    <x v="0"/>
    <x v="0"/>
    <s v="Unknown"/>
    <s v="Interior spruce on bark"/>
    <x v="0"/>
    <x v="0"/>
    <x v="0"/>
    <m/>
    <n v="19"/>
    <x v="0"/>
    <n v="63.723489999999998"/>
    <n v="148.88754"/>
    <s v="NA"/>
    <s v="NA"/>
    <s v="NA"/>
    <n v="0"/>
    <n v="0"/>
    <n v="0"/>
    <n v="0"/>
    <n v="0"/>
    <n v="0"/>
    <n v="0"/>
    <m/>
    <s v="Missed initial acquisition "/>
    <m/>
    <m/>
  </r>
  <r>
    <s v="DSCN4623"/>
    <s v="M2370827_2"/>
    <x v="3"/>
    <n v="1"/>
    <s v="M237"/>
    <d v="2019-08-27T00:00:00"/>
    <x v="0"/>
    <d v="1899-12-30T00:25:00"/>
    <s v="Overcast"/>
    <s v="WB/BS"/>
    <s v="Caching"/>
    <s v="Spruce"/>
    <n v="0"/>
    <n v="0"/>
    <x v="0"/>
    <x v="0"/>
    <x v="0"/>
    <s v="Unknown"/>
    <s v="Spruce trunk"/>
    <x v="0"/>
    <x v="1"/>
    <x v="4"/>
    <m/>
    <n v="157"/>
    <x v="17"/>
    <n v="63.723489999999998"/>
    <n v="148.88754"/>
    <s v="NA"/>
    <s v="NA"/>
    <s v="NA"/>
    <n v="0"/>
    <n v="0"/>
    <n v="0"/>
    <n v="0"/>
    <n v="0"/>
    <n v="0"/>
    <n v="0"/>
    <m/>
    <m/>
    <m/>
    <m/>
  </r>
  <r>
    <s v="DSCN4623"/>
    <s v="M2370827_2"/>
    <x v="3"/>
    <n v="2"/>
    <s v="M237"/>
    <d v="2019-08-27T00:00:00"/>
    <x v="0"/>
    <d v="1899-12-30T00:25:00"/>
    <s v="Overcast"/>
    <s v="WB/BS"/>
    <s v="Caching"/>
    <s v="Spruce"/>
    <n v="0"/>
    <n v="0"/>
    <x v="0"/>
    <x v="0"/>
    <x v="0"/>
    <s v="Unknown"/>
    <s v="Spruce trunk"/>
    <x v="0"/>
    <x v="1"/>
    <x v="4"/>
    <m/>
    <n v="309"/>
    <x v="17"/>
    <n v="63.723489999999998"/>
    <n v="148.88757000000001"/>
    <s v="NA"/>
    <s v="NA"/>
    <s v="NA"/>
    <n v="0"/>
    <n v="0"/>
    <n v="0"/>
    <n v="0"/>
    <n v="0"/>
    <n v="0"/>
    <n v="0"/>
    <m/>
    <s v="Same food as previous video"/>
    <m/>
    <m/>
  </r>
  <r>
    <s v="DSCN4625"/>
    <s v="M2370827_4"/>
    <x v="10"/>
    <n v="1"/>
    <s v="M237"/>
    <d v="2019-08-27T00:00:00"/>
    <x v="0"/>
    <d v="1899-12-30T00:27:00"/>
    <s v="Overcast"/>
    <s v="WB/BS"/>
    <s v="Caching"/>
    <s v="Spruce"/>
    <n v="0"/>
    <n v="0"/>
    <x v="0"/>
    <x v="0"/>
    <x v="0"/>
    <s v="Unknown"/>
    <s v="Spruce trunk"/>
    <x v="0"/>
    <x v="1"/>
    <x v="4"/>
    <m/>
    <n v="70"/>
    <x v="0"/>
    <n v="63.723500000000001"/>
    <n v="148.88756000000001"/>
    <s v="NA"/>
    <s v="NA"/>
    <s v="NA"/>
    <n v="0"/>
    <n v="0"/>
    <n v="0"/>
    <n v="0"/>
    <n v="0"/>
    <n v="0"/>
    <n v="0"/>
    <m/>
    <s v="Same food as previous video"/>
    <m/>
    <m/>
  </r>
  <r>
    <s v="DSCN4632"/>
    <s v="M2370827_7"/>
    <x v="2"/>
    <n v="1"/>
    <s v="M237"/>
    <d v="2019-08-27T00:00:00"/>
    <x v="0"/>
    <d v="1899-12-30T00:26:00"/>
    <s v="Overcast"/>
    <s v="WB/BS"/>
    <s v="Caching"/>
    <s v="Spruce"/>
    <n v="0"/>
    <n v="0"/>
    <x v="0"/>
    <x v="0"/>
    <x v="0"/>
    <s v="Unknown"/>
    <s v="Exterior spruce foliage"/>
    <x v="0"/>
    <x v="2"/>
    <x v="2"/>
    <m/>
    <n v="156"/>
    <x v="0"/>
    <n v="63.724739999999997"/>
    <n v="148.89146"/>
    <s v="NA"/>
    <s v="NA"/>
    <s v="NA"/>
    <n v="0"/>
    <n v="0"/>
    <n v="0"/>
    <n v="0"/>
    <n v="0"/>
    <n v="0"/>
    <n v="0"/>
    <m/>
    <m/>
    <m/>
    <m/>
  </r>
  <r>
    <s v="DSCN4639"/>
    <s v="M2370827_9"/>
    <x v="7"/>
    <n v="1"/>
    <s v="M237"/>
    <d v="2019-08-27T00:00:00"/>
    <x v="0"/>
    <d v="1899-12-30T00:47:00"/>
    <s v="Overcast"/>
    <s v="WB/BS"/>
    <s v="Foraging and caching"/>
    <s v="Spruce"/>
    <n v="1"/>
    <n v="0"/>
    <x v="0"/>
    <x v="2"/>
    <x v="6"/>
    <s v="Ground"/>
    <s v="Exterior spruce on bark"/>
    <x v="0"/>
    <x v="2"/>
    <x v="3"/>
    <m/>
    <n v="341"/>
    <x v="11"/>
    <n v="63.723219999999998"/>
    <n v="148.88901999999999"/>
    <s v="NA"/>
    <s v="NA"/>
    <s v="NA"/>
    <n v="0"/>
    <n v="0"/>
    <n v="0"/>
    <n v="0"/>
    <n v="5"/>
    <n v="0"/>
    <n v="5"/>
    <m/>
    <m/>
    <m/>
    <m/>
  </r>
  <r>
    <s v="DSCN4639"/>
    <s v="M2370827_9"/>
    <x v="7"/>
    <n v="1"/>
    <s v="M237"/>
    <d v="2019-08-27T00:00:00"/>
    <x v="0"/>
    <d v="1899-12-30T00:47:00"/>
    <s v="Overcast"/>
    <s v="WB/BS"/>
    <s v="Foraging and caching"/>
    <s v="Spruce"/>
    <n v="1"/>
    <n v="0"/>
    <x v="0"/>
    <x v="2"/>
    <x v="5"/>
    <s v="Ground"/>
    <s v="Exterior spruce on bark"/>
    <x v="0"/>
    <x v="2"/>
    <x v="3"/>
    <m/>
    <n v="194"/>
    <x v="10"/>
    <n v="63.723239999999997"/>
    <n v="148.88898"/>
    <s v="NA"/>
    <s v="NA"/>
    <s v="NA"/>
    <n v="0"/>
    <n v="0"/>
    <n v="0"/>
    <n v="0"/>
    <n v="20"/>
    <n v="0"/>
    <n v="20"/>
    <m/>
    <m/>
    <m/>
    <m/>
  </r>
  <r>
    <s v="DSCN4630"/>
    <s v="M2370827_6"/>
    <x v="11"/>
    <n v="2"/>
    <s v="M237"/>
    <d v="2019-08-27T00:00:00"/>
    <x v="0"/>
    <d v="1899-12-30T01:11:00"/>
    <s v="Overcast"/>
    <s v="Unknown"/>
    <s v="Foraging"/>
    <s v="Spruce"/>
    <n v="1"/>
    <n v="0"/>
    <x v="0"/>
    <x v="4"/>
    <x v="15"/>
    <s v="Ground"/>
    <s v="Interior spruce under bark"/>
    <x v="0"/>
    <x v="0"/>
    <x v="0"/>
    <m/>
    <n v="164"/>
    <x v="10"/>
    <n v="63.72401"/>
    <n v="148.88971000000001"/>
    <s v="NA"/>
    <s v="NA"/>
    <s v="NA"/>
    <n v="0"/>
    <n v="0"/>
    <n v="0"/>
    <n v="0"/>
    <n v="14"/>
    <n v="0"/>
    <n v="14"/>
    <m/>
    <m/>
    <m/>
    <m/>
  </r>
  <r>
    <s v="DSCN4630"/>
    <s v="M2370827_6"/>
    <x v="11"/>
    <n v="3"/>
    <s v="M237"/>
    <d v="2019-08-27T00:00:00"/>
    <x v="0"/>
    <d v="1899-12-30T01:11:00"/>
    <s v="Overcast"/>
    <s v="Unknown"/>
    <s v="Foraging"/>
    <s v="Spruce"/>
    <n v="0"/>
    <n v="0"/>
    <x v="0"/>
    <x v="4"/>
    <x v="15"/>
    <s v="Ground"/>
    <s v="Interior spruce under bark"/>
    <x v="0"/>
    <x v="0"/>
    <x v="0"/>
    <m/>
    <n v="202"/>
    <x v="10"/>
    <n v="63.72401"/>
    <n v="148.88971000000001"/>
    <s v="NA"/>
    <s v="NA"/>
    <s v="NA"/>
    <n v="0"/>
    <n v="0"/>
    <n v="0"/>
    <n v="0"/>
    <n v="0"/>
    <n v="0"/>
    <n v="0"/>
    <m/>
    <m/>
    <m/>
    <m/>
  </r>
  <r>
    <s v="DSCN4630"/>
    <s v="M2370827_6"/>
    <x v="11"/>
    <n v="4"/>
    <s v="M237"/>
    <d v="2019-08-27T00:00:00"/>
    <x v="0"/>
    <d v="1899-12-30T01:11:00"/>
    <s v="Overcast"/>
    <s v="Unknown"/>
    <s v="Foraging"/>
    <s v="Spruce"/>
    <n v="0"/>
    <n v="0"/>
    <x v="0"/>
    <x v="4"/>
    <x v="15"/>
    <s v="Ground"/>
    <s v="Interior spruce under bark"/>
    <x v="0"/>
    <x v="0"/>
    <x v="0"/>
    <m/>
    <n v="226"/>
    <x v="10"/>
    <n v="63.72401"/>
    <n v="148.88971000000001"/>
    <s v="NA"/>
    <s v="NA"/>
    <s v="NA"/>
    <n v="0"/>
    <n v="0"/>
    <n v="0"/>
    <n v="0"/>
    <n v="0"/>
    <n v="0"/>
    <n v="0"/>
    <m/>
    <m/>
    <m/>
    <m/>
  </r>
  <r>
    <s v="DSCN4629"/>
    <s v="M2370827_5"/>
    <x v="5"/>
    <n v="1"/>
    <s v="M237"/>
    <d v="2019-08-27T00:00:00"/>
    <x v="0"/>
    <d v="1899-12-30T00:17:00"/>
    <s v="Overcast"/>
    <s v="WB/BS"/>
    <s v="Caching"/>
    <s v="Spruce"/>
    <n v="1"/>
    <n v="1"/>
    <x v="0"/>
    <x v="1"/>
    <x v="1"/>
    <s v="Exterior spruce foliage"/>
    <s v="Exterior spruce on bark"/>
    <x v="0"/>
    <x v="2"/>
    <x v="4"/>
    <m/>
    <n v="165"/>
    <x v="16"/>
    <n v="63.723939999999999"/>
    <n v="148.88972000000001"/>
    <s v="NA"/>
    <s v="NA"/>
    <s v="NA"/>
    <n v="0"/>
    <n v="0"/>
    <n v="0"/>
    <n v="0"/>
    <n v="0"/>
    <n v="0"/>
    <n v="0"/>
    <m/>
    <s v="Missed acqusition on film"/>
    <m/>
    <m/>
  </r>
  <r>
    <s v="DSCN4651"/>
    <s v="M4R0828_5"/>
    <x v="5"/>
    <n v="1"/>
    <s v="Mile 4 Roadside"/>
    <d v="2019-08-28T00:00:00"/>
    <x v="0"/>
    <d v="1899-12-30T00:46:00"/>
    <s v="Overcast"/>
    <s v="OB/YS"/>
    <s v="Foraging and caching"/>
    <s v="Spruce"/>
    <n v="1"/>
    <n v="0"/>
    <x v="0"/>
    <x v="0"/>
    <x v="0"/>
    <s v="Ground"/>
    <s v="Interior spruce in lichen"/>
    <x v="0"/>
    <x v="0"/>
    <x v="1"/>
    <m/>
    <n v="275"/>
    <x v="21"/>
    <n v="63.720410000000001"/>
    <n v="148.98446999999999"/>
    <s v="NA"/>
    <s v="NA"/>
    <s v="NA"/>
    <n v="0"/>
    <n v="0"/>
    <n v="0"/>
    <n v="0"/>
    <n v="8"/>
    <n v="0"/>
    <n v="8"/>
    <m/>
    <m/>
    <m/>
    <m/>
  </r>
  <r>
    <s v="DSCN4660"/>
    <s v="M4R0828_14"/>
    <x v="12"/>
    <n v="1"/>
    <s v="Mile 4 Roadside"/>
    <d v="2019-08-28T00:00:00"/>
    <x v="0"/>
    <d v="1899-12-30T01:07:00"/>
    <s v="Overcast"/>
    <s v="OG/WS"/>
    <s v="Foraging and caching"/>
    <s v="Spruce"/>
    <n v="1"/>
    <n v="0"/>
    <x v="0"/>
    <x v="0"/>
    <x v="0"/>
    <s v="Ground"/>
    <s v="Interior spruce in lichen"/>
    <x v="0"/>
    <x v="0"/>
    <x v="1"/>
    <m/>
    <n v="343"/>
    <x v="10"/>
    <n v="63.720950000000002"/>
    <n v="148.98137"/>
    <s v="NA"/>
    <s v="NA"/>
    <s v="NA"/>
    <n v="0"/>
    <n v="0"/>
    <n v="0"/>
    <n v="0"/>
    <n v="45"/>
    <n v="0"/>
    <n v="45"/>
    <m/>
    <m/>
    <m/>
    <m/>
  </r>
  <r>
    <s v="DSCN4662"/>
    <s v="M4R0828_16"/>
    <x v="16"/>
    <n v="1"/>
    <s v="Mile 4 Roadside"/>
    <d v="2019-08-28T00:00:00"/>
    <x v="0"/>
    <d v="1899-12-30T01:22:00"/>
    <s v="Overcast"/>
    <s v="OG/WS"/>
    <s v="Foraging and caching"/>
    <s v="Spruce"/>
    <n v="1"/>
    <n v="0"/>
    <x v="0"/>
    <x v="0"/>
    <x v="0"/>
    <s v="Ground"/>
    <s v="Exterior spruce on bark"/>
    <x v="0"/>
    <x v="2"/>
    <x v="3"/>
    <m/>
    <n v="135"/>
    <x v="6"/>
    <n v="63.721499999999999"/>
    <n v="148.98240999999999"/>
    <s v="NA"/>
    <s v="NA"/>
    <s v="NA"/>
    <n v="0"/>
    <n v="0"/>
    <n v="0"/>
    <n v="0"/>
    <n v="16"/>
    <n v="0"/>
    <n v="16"/>
    <m/>
    <m/>
    <m/>
    <m/>
  </r>
  <r>
    <s v="DSCN4662"/>
    <s v="M4R0828_16"/>
    <x v="16"/>
    <n v="2"/>
    <s v="Mile 4 Roadside"/>
    <d v="2019-08-28T00:00:00"/>
    <x v="0"/>
    <d v="1899-12-30T01:22:00"/>
    <s v="Overcast"/>
    <s v="BY/YS"/>
    <s v="Foraging and caching"/>
    <s v="Spruce"/>
    <n v="1"/>
    <n v="0"/>
    <x v="0"/>
    <x v="0"/>
    <x v="0"/>
    <s v="Ground"/>
    <s v="Exterior spruce on bark"/>
    <x v="0"/>
    <x v="2"/>
    <x v="3"/>
    <m/>
    <n v="182"/>
    <x v="6"/>
    <n v="63.721499999999999"/>
    <n v="148.98240999999999"/>
    <s v="NA"/>
    <s v="NA"/>
    <s v="NA"/>
    <n v="0"/>
    <n v="0"/>
    <n v="0"/>
    <n v="0"/>
    <n v="0"/>
    <n v="0"/>
    <n v="0"/>
    <m/>
    <s v="Unknown foraging time because I got the birds mixed up"/>
    <m/>
    <m/>
  </r>
  <r>
    <s v="DSCN4655"/>
    <s v="M4R0828_9"/>
    <x v="7"/>
    <n v="1"/>
    <s v="Mile 4 Roadside"/>
    <d v="2019-08-28T00:00:00"/>
    <x v="0"/>
    <d v="1899-12-30T00:25:00"/>
    <s v="Overcast"/>
    <s v="OG/WS"/>
    <s v="Caching"/>
    <s v="Spruce"/>
    <n v="1"/>
    <n v="0"/>
    <x v="0"/>
    <x v="0"/>
    <x v="0"/>
    <s v="Ground"/>
    <s v="Exterior spruce on bark"/>
    <x v="0"/>
    <x v="2"/>
    <x v="4"/>
    <m/>
    <n v="259"/>
    <x v="12"/>
    <n v="63.721550000000001"/>
    <n v="148.98175000000001"/>
    <s v="NA"/>
    <s v="NA"/>
    <s v="NA"/>
    <n v="0"/>
    <n v="0"/>
    <n v="0"/>
    <n v="0"/>
    <n v="0"/>
    <n v="0"/>
    <n v="0"/>
    <m/>
    <s v="Missed initial acquisition on camera "/>
    <m/>
    <m/>
  </r>
  <r>
    <s v="DSCN4650"/>
    <s v="M4R0828_4"/>
    <x v="10"/>
    <n v="1"/>
    <s v="Mile 4 Roadside"/>
    <d v="2019-08-28T00:00:00"/>
    <x v="0"/>
    <d v="1899-12-30T00:26:00"/>
    <s v="Overcast"/>
    <s v="BW/OS"/>
    <s v="Caching"/>
    <s v="NA"/>
    <n v="1"/>
    <n v="0"/>
    <x v="0"/>
    <x v="3"/>
    <x v="16"/>
    <s v="Ground"/>
    <s v="Interior spruce in lichen"/>
    <x v="0"/>
    <x v="0"/>
    <x v="1"/>
    <m/>
    <n v="291"/>
    <x v="0"/>
    <n v="63.720359999999999"/>
    <n v="148.98394999999999"/>
    <s v="NA"/>
    <s v="NA"/>
    <s v="NA"/>
    <n v="0"/>
    <n v="0"/>
    <n v="0"/>
    <n v="0"/>
    <n v="0"/>
    <n v="0"/>
    <n v="0"/>
    <m/>
    <s v="Missed initial acqusition "/>
    <m/>
    <m/>
  </r>
  <r>
    <s v="DSCN4651"/>
    <s v="M4R0828_5"/>
    <x v="5"/>
    <n v="2"/>
    <s v="Mile 4 Roadside"/>
    <d v="2019-08-28T00:00:00"/>
    <x v="0"/>
    <d v="1899-12-30T00:46:00"/>
    <s v="Overcast"/>
    <s v="BW/OS"/>
    <s v="Foraging and caching"/>
    <s v="Spruce"/>
    <n v="1"/>
    <n v="0"/>
    <x v="0"/>
    <x v="3"/>
    <x v="16"/>
    <s v="Ground"/>
    <s v="Interior spruce in lichen"/>
    <x v="0"/>
    <x v="0"/>
    <x v="1"/>
    <m/>
    <n v="249"/>
    <x v="16"/>
    <n v="63.720410000000001"/>
    <n v="148.98446999999999"/>
    <s v="NA"/>
    <s v="NA"/>
    <s v="NA"/>
    <n v="0"/>
    <n v="0"/>
    <n v="0"/>
    <n v="0"/>
    <n v="8"/>
    <n v="0"/>
    <n v="8"/>
    <m/>
    <s v="Camera deployed on this tree"/>
    <m/>
    <m/>
  </r>
  <r>
    <s v="DSCN4651"/>
    <s v="M4R0828_5"/>
    <x v="5"/>
    <n v="3"/>
    <s v="Mile 4 Roadside"/>
    <d v="2019-08-28T00:00:00"/>
    <x v="0"/>
    <d v="1899-12-30T00:46:00"/>
    <s v="Overcast"/>
    <s v="Unknown"/>
    <s v="Foraging and caching"/>
    <s v="Spruce"/>
    <n v="0"/>
    <n v="0"/>
    <x v="0"/>
    <x v="3"/>
    <x v="16"/>
    <s v="Unknown"/>
    <s v="Interior spruce in lichen"/>
    <x v="0"/>
    <x v="0"/>
    <x v="1"/>
    <m/>
    <n v="307"/>
    <x v="0"/>
    <n v="63.720410000000001"/>
    <n v="148.98446999999999"/>
    <s v="NA"/>
    <s v="NA"/>
    <s v="NA"/>
    <n v="0"/>
    <n v="0"/>
    <n v="0"/>
    <n v="0"/>
    <n v="0"/>
    <n v="0"/>
    <n v="0"/>
    <m/>
    <s v="Incidental cache discovered with first"/>
    <m/>
    <m/>
  </r>
  <r>
    <s v="DSCN4666"/>
    <s v="M3.50828_1"/>
    <x v="0"/>
    <n v="1"/>
    <s v="Mile 3.5"/>
    <d v="2019-08-28T00:00:00"/>
    <x v="0"/>
    <d v="1899-12-30T00:03:00"/>
    <s v="Partly sunny"/>
    <s v="WR/YS"/>
    <s v="Caching"/>
    <s v="Spruce"/>
    <n v="1"/>
    <n v="0"/>
    <x v="0"/>
    <x v="3"/>
    <x v="16"/>
    <s v="Ground"/>
    <s v="Interior spruce on bark"/>
    <x v="0"/>
    <x v="0"/>
    <x v="3"/>
    <m/>
    <n v="162"/>
    <x v="7"/>
    <n v="63.720649999999999"/>
    <n v="148.96965"/>
    <s v="NA"/>
    <s v="NA"/>
    <s v="NA"/>
    <n v="0"/>
    <n v="0"/>
    <n v="0"/>
    <n v="0"/>
    <n v="0"/>
    <n v="0"/>
    <n v="0"/>
    <m/>
    <s v="Missed acqusition on camera.  Then forgot to mark tree.  Fletcher was kind of a messy B.  "/>
    <m/>
    <m/>
  </r>
  <r>
    <s v="DSCN4659"/>
    <s v="M4R0828_13"/>
    <x v="13"/>
    <n v="1"/>
    <s v="Mile 4 Roadside"/>
    <d v="2019-08-28T00:00:00"/>
    <x v="0"/>
    <d v="1899-12-30T00:27:00"/>
    <s v="Overcast"/>
    <s v="OG/WS"/>
    <s v="Foraging and caching"/>
    <s v="Spruce"/>
    <n v="1"/>
    <n v="0"/>
    <x v="0"/>
    <x v="3"/>
    <x v="12"/>
    <s v="Ground"/>
    <s v="Exterior spruce foliage"/>
    <x v="0"/>
    <x v="2"/>
    <x v="2"/>
    <m/>
    <n v="133"/>
    <x v="11"/>
    <n v="63.721130000000002"/>
    <n v="148.98087000000001"/>
    <s v="NA"/>
    <s v="NA"/>
    <s v="NA"/>
    <n v="0"/>
    <n v="0"/>
    <n v="0"/>
    <n v="0"/>
    <n v="13"/>
    <n v="0"/>
    <n v="13"/>
    <m/>
    <m/>
    <m/>
    <m/>
  </r>
  <r>
    <s v="DSCN4663"/>
    <s v="M4R0828_17"/>
    <x v="17"/>
    <n v="1"/>
    <s v="Mile 4 Roadside"/>
    <d v="2019-08-28T00:00:00"/>
    <x v="0"/>
    <d v="1899-12-30T00:17:00"/>
    <s v="Overcast"/>
    <s v="OG/WS"/>
    <s v="Food handling, caching"/>
    <s v="Spruce"/>
    <n v="1"/>
    <n v="0"/>
    <x v="0"/>
    <x v="3"/>
    <x v="12"/>
    <s v="Ground"/>
    <s v="Exterior spruce on bark"/>
    <x v="0"/>
    <x v="2"/>
    <x v="4"/>
    <m/>
    <n v="290"/>
    <x v="8"/>
    <n v="63.721820000000001"/>
    <n v="148.98206999999999"/>
    <s v="NA"/>
    <s v="NA"/>
    <s v="NA"/>
    <n v="0"/>
    <n v="0"/>
    <n v="0"/>
    <n v="0"/>
    <n v="0"/>
    <n v="0"/>
    <n v="0"/>
    <m/>
    <s v="Missed acquisition on film "/>
    <m/>
    <m/>
  </r>
  <r>
    <s v="DSCN4071"/>
    <s v="MC0630_7"/>
    <x v="2"/>
    <n v="1"/>
    <s v="Mercantile"/>
    <d v="2019-06-30T00:00:00"/>
    <x v="1"/>
    <d v="1899-12-30T01:03:00"/>
    <s v="Overcast, hot, smokey"/>
    <s v="BW/GS"/>
    <s v="Foraging/Caching"/>
    <s v="Spruce"/>
    <n v="1"/>
    <n v="0"/>
    <x v="0"/>
    <x v="3"/>
    <x v="17"/>
    <s v="Ground"/>
    <s v="Spruce trunk"/>
    <x v="0"/>
    <x v="1"/>
    <x v="0"/>
    <s v="S"/>
    <n v="190"/>
    <x v="10"/>
    <n v="63.73545"/>
    <n v="148.89067"/>
    <s v="NA"/>
    <s v="NA"/>
    <s v="NA"/>
    <n v="0"/>
    <n v="0"/>
    <n v="0"/>
    <n v="0"/>
    <n v="38"/>
    <n v="0"/>
    <n v="38"/>
    <s v="Searching"/>
    <s v="Deployed camera"/>
    <m/>
    <m/>
  </r>
  <r>
    <s v="DSCN4073"/>
    <s v="MC0630_9"/>
    <x v="7"/>
    <n v="1"/>
    <s v="Mercantile"/>
    <d v="2019-06-30T00:00:00"/>
    <x v="1"/>
    <d v="1899-12-30T00:20:00"/>
    <s v="Overcast, hot, smokey"/>
    <s v="WO/OS"/>
    <s v="Foraging"/>
    <s v="Spruce"/>
    <n v="1"/>
    <s v="NA"/>
    <x v="0"/>
    <x v="5"/>
    <x v="18"/>
    <s v="Unknown"/>
    <s v="Spruce interior foliage"/>
    <x v="0"/>
    <x v="4"/>
    <x v="2"/>
    <m/>
    <m/>
    <x v="0"/>
    <n v="63.737050000000004"/>
    <n v="148.89748"/>
    <s v="NA"/>
    <s v="NA"/>
    <s v="NA"/>
    <n v="0"/>
    <n v="0"/>
    <n v="0"/>
    <n v="0"/>
    <n v="0"/>
    <n v="0"/>
    <n v="0"/>
    <m/>
    <m/>
    <m/>
    <m/>
  </r>
  <r>
    <s v="DSCN4099"/>
    <s v="CC0701_13"/>
    <x v="13"/>
    <n v="1"/>
    <s v="Ccamp"/>
    <d v="2019-07-01T00:00:00"/>
    <x v="2"/>
    <d v="1899-12-30T00:40:00"/>
    <s v="Overcast"/>
    <s v="GL/RS"/>
    <s v="Foraging/Caching"/>
    <s v="Spruce"/>
    <n v="1"/>
    <n v="0"/>
    <x v="0"/>
    <x v="0"/>
    <x v="0"/>
    <s v="Interir spruce foliage"/>
    <s v="Exterior bare spruce branch"/>
    <x v="0"/>
    <x v="2"/>
    <x v="0"/>
    <s v="NE"/>
    <n v="34"/>
    <x v="0"/>
    <n v="63.724420000000002"/>
    <n v="148.94866999999999"/>
    <s v="NA"/>
    <s v="NA"/>
    <s v="NA"/>
    <n v="0"/>
    <n v="26"/>
    <n v="26"/>
    <n v="0"/>
    <n v="0"/>
    <n v="0"/>
    <n v="26"/>
    <s v="Searching"/>
    <m/>
    <m/>
    <m/>
  </r>
  <r>
    <s v="DSCN4095"/>
    <s v="CC0701_10"/>
    <x v="4"/>
    <n v="2"/>
    <s v="Ccamp"/>
    <d v="2019-07-01T00:00:00"/>
    <x v="2"/>
    <d v="1899-12-30T01:38:00"/>
    <s v="Overcast"/>
    <s v="GL/RS"/>
    <s v="Foraging/Caching"/>
    <s v="Spruce"/>
    <n v="0"/>
    <n v="0"/>
    <x v="0"/>
    <x v="0"/>
    <x v="0"/>
    <s v="Unknown"/>
    <s v="Interior bare spruce branch"/>
    <x v="0"/>
    <x v="4"/>
    <x v="0"/>
    <m/>
    <m/>
    <x v="0"/>
    <n v="63.724249999999998"/>
    <n v="148.94682"/>
    <s v="NA"/>
    <s v="NA"/>
    <s v="NA"/>
    <n v="65"/>
    <n v="0"/>
    <n v="65"/>
    <n v="0"/>
    <n v="0"/>
    <n v="0"/>
    <n v="65"/>
    <s v="Searching"/>
    <m/>
    <m/>
    <n v="1"/>
  </r>
  <r>
    <s v="DSCN4112"/>
    <s v="CC0701_16"/>
    <x v="16"/>
    <n v="1"/>
    <s v="Ccamp"/>
    <d v="2019-07-01T00:00:00"/>
    <x v="2"/>
    <d v="1899-12-30T00:31:00"/>
    <s v="Overcast"/>
    <s v="GB/BS"/>
    <s v="Caching"/>
    <s v="Spruce"/>
    <n v="0"/>
    <n v="0"/>
    <x v="0"/>
    <x v="0"/>
    <x v="0"/>
    <s v="Unknown"/>
    <s v="Spruce trunk"/>
    <x v="0"/>
    <x v="1"/>
    <x v="0"/>
    <m/>
    <n v="201"/>
    <x v="0"/>
    <n v="63.725879999999997"/>
    <n v="148.94893999999999"/>
    <s v="NA"/>
    <s v="NA"/>
    <s v="NA"/>
    <n v="0"/>
    <n v="0"/>
    <n v="0"/>
    <n v="0"/>
    <n v="0"/>
    <n v="0"/>
    <n v="0"/>
    <m/>
    <m/>
    <m/>
    <m/>
  </r>
  <r>
    <s v="DSCN4121"/>
    <s v="UNK0701_1"/>
    <x v="0"/>
    <n v="1"/>
    <s v="Unknown"/>
    <d v="2019-07-01T00:00:00"/>
    <x v="2"/>
    <d v="1899-12-30T00:24:00"/>
    <s v="Overcast"/>
    <s v="WO/??"/>
    <s v="Caching"/>
    <s v="Spruce"/>
    <n v="0"/>
    <n v="0"/>
    <x v="0"/>
    <x v="0"/>
    <x v="0"/>
    <s v="Exterior spruce "/>
    <s v="Exterior bare spruce branch"/>
    <x v="0"/>
    <x v="2"/>
    <x v="0"/>
    <m/>
    <n v="70"/>
    <x v="0"/>
    <n v="63.727580000000003"/>
    <n v="148.95523"/>
    <s v="NA"/>
    <s v="NA"/>
    <s v="NA"/>
    <n v="0"/>
    <n v="0"/>
    <n v="0"/>
    <n v="0"/>
    <n v="0"/>
    <n v="0"/>
    <n v="0"/>
    <m/>
    <m/>
    <m/>
    <m/>
  </r>
  <r>
    <s v="DSCN4194"/>
    <s v="M4R0702_17"/>
    <x v="17"/>
    <n v="1"/>
    <s v="Mile 4 Roadside"/>
    <d v="2019-07-02T00:00:00"/>
    <x v="2"/>
    <d v="1899-12-30T00:21:00"/>
    <s v="Overcast"/>
    <s v="YO/BS"/>
    <s v="Caching"/>
    <s v="Spruce"/>
    <n v="0"/>
    <m/>
    <x v="0"/>
    <x v="0"/>
    <x v="0"/>
    <s v="interior bare spruce bark"/>
    <s v="Exterior bare spruce branch"/>
    <x v="0"/>
    <x v="2"/>
    <x v="0"/>
    <m/>
    <n v="87"/>
    <x v="0"/>
    <n v="63.720939999999999"/>
    <n v="148.98759000000001"/>
    <s v="NA"/>
    <s v="NA"/>
    <s v="NA"/>
    <n v="7"/>
    <n v="0"/>
    <n v="7"/>
    <n v="0"/>
    <n v="0"/>
    <n v="0"/>
    <n v="7"/>
    <m/>
    <m/>
    <m/>
    <m/>
  </r>
  <r>
    <s v="DSCN2398"/>
    <s v="TAI0320_14"/>
    <x v="12"/>
    <n v="1"/>
    <s v="Taiga"/>
    <d v="2019-03-20T00:00:00"/>
    <x v="3"/>
    <d v="1899-12-30T00:06:00"/>
    <s v="Partly cloudy"/>
    <s v="WR/OS"/>
    <s v="Caching"/>
    <s v="Spruce"/>
    <n v="1"/>
    <n v="0"/>
    <x v="0"/>
    <x v="3"/>
    <x v="19"/>
    <s v="Ground"/>
    <s v="Exterior spruce branch under witch hair"/>
    <x v="0"/>
    <x v="2"/>
    <x v="7"/>
    <s v="East"/>
    <n v="82"/>
    <x v="0"/>
    <n v="63.739370000000001"/>
    <n v="148.91734"/>
    <m/>
    <m/>
    <m/>
    <n v="0"/>
    <n v="0"/>
    <n v="0"/>
    <n v="0"/>
    <n v="0"/>
    <n v="0"/>
    <s v="NA"/>
    <s v="Didn't catch foraging on camera.  Placed camera trap on cache.  "/>
    <m/>
    <m/>
    <m/>
  </r>
  <r>
    <s v="DSCN2467"/>
    <s v="HS0322_1"/>
    <x v="0"/>
    <n v="1"/>
    <s v="Horse Shoe"/>
    <d v="2019-03-22T00:00:00"/>
    <x v="3"/>
    <d v="1899-12-30T00:23:00"/>
    <s v="Partly cloudy"/>
    <s v="YL/OS"/>
    <s v="Foraging"/>
    <s v="Spruce"/>
    <n v="1"/>
    <n v="0"/>
    <x v="0"/>
    <x v="3"/>
    <x v="20"/>
    <s v="Ground"/>
    <s v="Under bark of turned over spruce roots"/>
    <x v="0"/>
    <x v="2"/>
    <x v="8"/>
    <s v="NE"/>
    <m/>
    <x v="16"/>
    <n v="63.738889999999998"/>
    <n v="148.9128"/>
    <m/>
    <m/>
    <m/>
    <n v="0"/>
    <n v="0"/>
    <n v="0"/>
    <n v="0"/>
    <n v="0"/>
    <n v="0"/>
    <m/>
    <s v="Missed acquisition"/>
    <m/>
    <m/>
    <m/>
  </r>
  <r>
    <s v="DSCN2512"/>
    <s v="M4R0325_6"/>
    <x v="11"/>
    <n v="1"/>
    <s v="M4Roadside"/>
    <d v="2019-03-25T00:00:00"/>
    <x v="3"/>
    <d v="1899-12-30T00:31:00"/>
    <s v="Overcast"/>
    <s v="OB/YS"/>
    <s v="Caching"/>
    <s v="Spruce"/>
    <n v="0"/>
    <n v="0"/>
    <x v="0"/>
    <x v="6"/>
    <x v="11"/>
    <s v="Ground"/>
    <s v="Exterior spruce branch under witch hair"/>
    <x v="0"/>
    <x v="2"/>
    <x v="7"/>
    <m/>
    <m/>
    <x v="1"/>
    <n v="63.72101"/>
    <n v="148.98340999999999"/>
    <m/>
    <m/>
    <m/>
    <n v="0"/>
    <n v="0"/>
    <n v="0"/>
    <n v="0"/>
    <n v="0"/>
    <n v="0"/>
    <m/>
    <s v="Acquisition on previous clip"/>
    <m/>
    <m/>
    <m/>
  </r>
  <r>
    <s v="DSCN2541"/>
    <s v="M2370326_3"/>
    <x v="1"/>
    <n v="1"/>
    <s v="Mile 237"/>
    <d v="2019-03-26T00:00:00"/>
    <x v="3"/>
    <d v="1899-12-30T01:11:00"/>
    <s v="Mostly sunny"/>
    <s v="YP/RS"/>
    <s v="Caching/foraging"/>
    <s v="Spruce"/>
    <n v="0"/>
    <n v="0"/>
    <x v="0"/>
    <x v="0"/>
    <x v="0"/>
    <s v="uknown"/>
    <s v="Exterior spruce branch under witch hair"/>
    <x v="0"/>
    <x v="2"/>
    <x v="7"/>
    <s v="N"/>
    <n v="0"/>
    <x v="0"/>
    <n v="63.723170000000003"/>
    <n v="148.89055999999999"/>
    <m/>
    <m/>
    <m/>
    <n v="0"/>
    <n v="0"/>
    <n v="0"/>
    <n v="0"/>
    <n v="0"/>
    <n v="0"/>
    <m/>
    <m/>
    <m/>
    <m/>
    <m/>
  </r>
  <r>
    <s v="DSCN2543"/>
    <s v="M2370326_5"/>
    <x v="5"/>
    <n v="1"/>
    <s v="Mile 237"/>
    <d v="2019-03-26T00:00:00"/>
    <x v="3"/>
    <d v="1899-12-30T01:06:00"/>
    <s v="Mostly sunny"/>
    <s v="YP/RS"/>
    <s v="Foraging/Caching"/>
    <s v="Spruce"/>
    <n v="1"/>
    <n v="0"/>
    <x v="0"/>
    <x v="6"/>
    <x v="21"/>
    <s v="Ground"/>
    <s v="Exterior spruce foliage"/>
    <x v="0"/>
    <x v="2"/>
    <x v="2"/>
    <s v="W"/>
    <n v="270"/>
    <x v="1"/>
    <n v="63.723640000000003"/>
    <n v="148.89089999999999"/>
    <m/>
    <m/>
    <m/>
    <n v="0"/>
    <n v="0"/>
    <n v="0"/>
    <n v="0"/>
    <n v="4"/>
    <n v="4"/>
    <s v="Searching"/>
    <m/>
    <m/>
    <m/>
    <m/>
  </r>
  <r>
    <s v="DSCN2563"/>
    <s v="WW0326_3"/>
    <x v="1"/>
    <n v="1"/>
    <s v="Wac West"/>
    <d v="2019-03-26T00:00:00"/>
    <x v="3"/>
    <d v="1899-12-30T00:56:00"/>
    <s v="Partly sunny"/>
    <s v="BP/PS"/>
    <s v="Foraging/Caching"/>
    <s v="Spruce"/>
    <n v="1"/>
    <n v="0"/>
    <x v="0"/>
    <x v="6"/>
    <x v="22"/>
    <s v="Ground"/>
    <s v="Exterior spruce branch under witch hair"/>
    <x v="0"/>
    <x v="2"/>
    <x v="7"/>
    <s v="N"/>
    <n v="335"/>
    <x v="7"/>
    <n v="63.73948"/>
    <n v="148.89815999999999"/>
    <m/>
    <m/>
    <m/>
    <n v="0"/>
    <n v="0"/>
    <n v="0"/>
    <n v="0"/>
    <n v="34"/>
    <n v="34"/>
    <m/>
    <s v="Food acquisition=3 berries but presumable only cached one. "/>
    <m/>
    <m/>
    <m/>
  </r>
  <r>
    <s v="DSCN2540"/>
    <s v="M2370326_2"/>
    <x v="3"/>
    <n v="1"/>
    <s v="Mile 237"/>
    <d v="2019-03-26T00:00:00"/>
    <x v="3"/>
    <d v="1899-12-30T00:35:00"/>
    <s v="Mostly sunny"/>
    <s v="YP/RS"/>
    <s v="Caching/foraging"/>
    <s v="Aspen"/>
    <n v="0"/>
    <n v="0"/>
    <x v="1"/>
    <x v="0"/>
    <x v="0"/>
    <s v="Unknown"/>
    <s v="Exterior aspen branch under bark"/>
    <x v="1"/>
    <x v="2"/>
    <x v="8"/>
    <s v="Unknown"/>
    <s v="unknown"/>
    <x v="0"/>
    <s v="unknown"/>
    <s v="unknown"/>
    <m/>
    <m/>
    <m/>
    <n v="0"/>
    <n v="0"/>
    <n v="0"/>
    <n v="0"/>
    <n v="0"/>
    <n v="0"/>
    <m/>
    <s v="Did not recognize as cache while in field"/>
    <m/>
    <m/>
    <m/>
  </r>
  <r>
    <s v="DSCN2716"/>
    <s v="WW0330_13"/>
    <x v="13"/>
    <n v="1"/>
    <s v="Wac West"/>
    <d v="2019-03-30T00:00:00"/>
    <x v="3"/>
    <d v="1899-12-30T01:17:00"/>
    <m/>
    <s v="BP/PS"/>
    <s v="Food handling/caching"/>
    <s v="NA"/>
    <n v="0"/>
    <n v="0"/>
    <x v="0"/>
    <x v="3"/>
    <x v="23"/>
    <s v="NA"/>
    <s v="Exterior spruce branch under witch hair"/>
    <x v="0"/>
    <x v="2"/>
    <x v="7"/>
    <s v="W"/>
    <n v="280"/>
    <x v="22"/>
    <n v="63.740380000000002"/>
    <n v="148.90360999999999"/>
    <s v="NA"/>
    <s v="NA"/>
    <m/>
    <n v="0"/>
    <n v="0"/>
    <n v="0"/>
    <n v="0"/>
    <n v="0"/>
    <n v="0"/>
    <m/>
    <s v="Caching caterpillar from previous videos"/>
    <m/>
    <m/>
    <m/>
  </r>
  <r>
    <s v="DSCN2720"/>
    <s v="WW0330_17"/>
    <x v="17"/>
    <n v="1"/>
    <s v="Wac West"/>
    <d v="2019-03-30T00:00:00"/>
    <x v="3"/>
    <d v="1899-12-30T00:09:00"/>
    <m/>
    <s v="BP/PS"/>
    <s v="Caching"/>
    <s v="NA"/>
    <n v="0"/>
    <n v="0"/>
    <x v="0"/>
    <x v="3"/>
    <x v="24"/>
    <s v="Ground"/>
    <s v="Exterior spruce branch under witch hair"/>
    <x v="4"/>
    <x v="5"/>
    <x v="9"/>
    <n v="315"/>
    <s v="NW"/>
    <x v="14"/>
    <n v="63.740479999999998"/>
    <n v="148.90235999999999"/>
    <s v="NA"/>
    <s v="NA"/>
    <m/>
    <n v="0"/>
    <n v="0"/>
    <n v="0"/>
    <n v="0"/>
    <n v="0"/>
    <n v="0"/>
    <m/>
    <s v="Cached caterpillar from previous row"/>
    <m/>
    <m/>
    <m/>
  </r>
  <r>
    <s v="DSCN2709"/>
    <s v="WW0330_7"/>
    <x v="2"/>
    <n v="2"/>
    <s v="Wac West"/>
    <d v="2019-03-30T00:00:00"/>
    <x v="3"/>
    <d v="1899-12-30T02:43:00"/>
    <m/>
    <s v="BP/PS"/>
    <s v="Foraging/Caching"/>
    <s v="NA"/>
    <n v="1"/>
    <n v="0"/>
    <x v="0"/>
    <x v="3"/>
    <x v="25"/>
    <s v="Ground"/>
    <s v="Exterior spruce branch under witch hair"/>
    <x v="0"/>
    <x v="2"/>
    <x v="7"/>
    <s v="NE"/>
    <n v="40"/>
    <x v="0"/>
    <n v="63.739150000000002"/>
    <n v="148.90440000000001"/>
    <s v="NA"/>
    <s v="NA"/>
    <m/>
    <n v="0"/>
    <n v="0"/>
    <n v="0"/>
    <n v="0"/>
    <n v="0"/>
    <n v="0"/>
    <s v="Searching"/>
    <s v="Did not cound any foraging time for this one because we don't know exactly when it grabbed it.  All foraging time counted in previous row. Put camera trap on cache tree."/>
    <m/>
    <m/>
    <m/>
  </r>
  <r>
    <s v="DSCN2755"/>
    <s v="BU0401_14"/>
    <x v="12"/>
    <n v="1"/>
    <s v="BU"/>
    <d v="2019-04-01T00:00:00"/>
    <x v="4"/>
    <d v="1899-12-30T02:12:00"/>
    <m/>
    <s v="GR/PS"/>
    <s v="Foraging/Caching"/>
    <s v="Spruce"/>
    <n v="1"/>
    <n v="0"/>
    <x v="0"/>
    <x v="0"/>
    <x v="0"/>
    <s v="Ground"/>
    <s v="Exterior spruce branch under witch hair"/>
    <x v="0"/>
    <x v="2"/>
    <x v="7"/>
    <s v="W"/>
    <n v="280"/>
    <x v="6"/>
    <n v="63.724850000000004"/>
    <n v="148.95644999999999"/>
    <n v="0"/>
    <n v="0"/>
    <m/>
    <n v="0"/>
    <n v="0"/>
    <n v="0"/>
    <n v="0"/>
    <n v="0"/>
    <n v="0"/>
    <m/>
    <s v="Missed food acquisition but saw it come from ground with naked eye."/>
    <m/>
    <m/>
    <m/>
  </r>
  <r>
    <s v="DSCN2732"/>
    <s v="M4W0401_3"/>
    <x v="1"/>
    <n v="1"/>
    <s v="M4West"/>
    <d v="2019-04-01T00:00:00"/>
    <x v="4"/>
    <d v="1899-12-30T01:34:00"/>
    <m/>
    <s v="BR/RS"/>
    <s v="Caching"/>
    <s v="Spruce"/>
    <n v="1"/>
    <n v="0"/>
    <x v="0"/>
    <x v="0"/>
    <x v="0"/>
    <s v="uknown"/>
    <s v="Exterior spruce foliage"/>
    <x v="0"/>
    <x v="2"/>
    <x v="2"/>
    <s v="NE"/>
    <n v="50"/>
    <x v="0"/>
    <n v="63.725149999999999"/>
    <n v="148.98685"/>
    <s v="NA"/>
    <s v="NA"/>
    <m/>
    <n v="0"/>
    <n v="0"/>
    <n v="0"/>
    <n v="0"/>
    <n v="0"/>
    <n v="0"/>
    <m/>
    <m/>
    <m/>
    <m/>
    <m/>
  </r>
  <r>
    <s v="DSCN2760"/>
    <s v="BU0401_17"/>
    <x v="17"/>
    <n v="1"/>
    <s v="BU"/>
    <d v="2019-04-01T00:00:00"/>
    <x v="4"/>
    <d v="1899-12-30T00:08:00"/>
    <m/>
    <s v="GR/PS"/>
    <s v="Caching"/>
    <s v="Spruce"/>
    <n v="0"/>
    <n v="0"/>
    <x v="0"/>
    <x v="3"/>
    <x v="23"/>
    <s v="Ground"/>
    <s v="Exterior spruce foliage"/>
    <x v="0"/>
    <x v="2"/>
    <x v="2"/>
    <s v="E"/>
    <n v="105"/>
    <x v="23"/>
    <n v="63.724870000000003"/>
    <n v="148.95508000000001"/>
    <n v="0"/>
    <n v="0"/>
    <m/>
    <n v="0"/>
    <n v="0"/>
    <n v="0"/>
    <n v="0"/>
    <n v="0"/>
    <n v="0"/>
    <m/>
    <s v="Confident cache based on behavior and that it just had food, but we did not get visual confirmation. "/>
    <m/>
    <m/>
    <m/>
  </r>
  <r>
    <s v="DSCN2809"/>
    <s v="CC0402_4"/>
    <x v="10"/>
    <n v="1"/>
    <s v="Ccamp"/>
    <d v="2019-04-02T00:00:00"/>
    <x v="4"/>
    <d v="1899-12-30T00:27:00"/>
    <m/>
    <s v="GB/BS"/>
    <s v="Caching"/>
    <s v="Spruce"/>
    <n v="1"/>
    <n v="0"/>
    <x v="0"/>
    <x v="0"/>
    <x v="0"/>
    <s v="Ground"/>
    <s v="Exterior spruce foliage"/>
    <x v="0"/>
    <x v="2"/>
    <x v="2"/>
    <s v="SE"/>
    <n v="115"/>
    <x v="24"/>
    <n v="63.724209999999999"/>
    <n v="148.95044999999999"/>
    <s v="NA"/>
    <s v="NA"/>
    <m/>
    <n v="0"/>
    <n v="0"/>
    <n v="0"/>
    <n v="0"/>
    <n v="0"/>
    <n v="0"/>
    <m/>
    <s v="Missed acquisition (on camera but saw IRL)"/>
    <m/>
    <m/>
    <m/>
  </r>
  <r>
    <s v="DSCN2863"/>
    <s v="BU0403_3"/>
    <x v="1"/>
    <n v="1"/>
    <s v="B&amp;U"/>
    <d v="2019-04-03T00:00:00"/>
    <x v="4"/>
    <d v="1899-12-30T00:05:00"/>
    <m/>
    <s v="GR/PS"/>
    <s v="Caching"/>
    <s v="Spruce"/>
    <n v="0"/>
    <n v="0"/>
    <x v="0"/>
    <x v="3"/>
    <x v="26"/>
    <s v="Ground"/>
    <s v="Exterior spruce branch under witch hair"/>
    <x v="0"/>
    <x v="2"/>
    <x v="7"/>
    <s v="S"/>
    <n v="220"/>
    <x v="0"/>
    <n v="63.725769999999997"/>
    <n v="148.95903000000001"/>
    <s v="NA"/>
    <s v="NA"/>
    <m/>
    <n v="0"/>
    <n v="0"/>
    <n v="0"/>
    <n v="0"/>
    <n v="0"/>
    <n v="0"/>
    <m/>
    <s v="Deployed camera. Not sure when it collected the spider, so we didn't mark a distance.  It could have been at the end of the last video, or sometime earlier"/>
    <m/>
    <m/>
    <m/>
  </r>
  <r>
    <s v="DSCN2953"/>
    <s v="WW0405_5"/>
    <x v="5"/>
    <n v="3"/>
    <s v="Wac West"/>
    <d v="2019-04-05T00:00:00"/>
    <x v="4"/>
    <d v="1899-12-30T02:23:00"/>
    <m/>
    <s v="BP/PS"/>
    <s v="Caching"/>
    <s v="Spruce"/>
    <n v="0"/>
    <n v="0"/>
    <x v="0"/>
    <x v="3"/>
    <x v="27"/>
    <s v="NA"/>
    <s v="Exterior spruce branch under witch hair"/>
    <x v="0"/>
    <x v="2"/>
    <x v="7"/>
    <n v="66"/>
    <s v="NE"/>
    <x v="7"/>
    <n v="63.738750000000003"/>
    <n v="148.89812000000001"/>
    <s v="NA"/>
    <s v="NA"/>
    <m/>
    <n v="0"/>
    <n v="0"/>
    <n v="0"/>
    <n v="0"/>
    <n v="0"/>
    <n v="0"/>
    <m/>
    <m/>
    <m/>
    <m/>
    <m/>
  </r>
  <r>
    <s v="DSCN2951"/>
    <s v="WW0405_4"/>
    <x v="10"/>
    <n v="1"/>
    <s v="Wac West"/>
    <d v="2019-04-05T00:00:00"/>
    <x v="4"/>
    <d v="1899-12-30T00:33:00"/>
    <m/>
    <s v="BP/PS"/>
    <s v="Caching"/>
    <s v="Spruce"/>
    <n v="0"/>
    <n v="0"/>
    <x v="0"/>
    <x v="3"/>
    <x v="27"/>
    <s v="NA"/>
    <s v="Exterior spruce branch under witch hair"/>
    <x v="0"/>
    <x v="2"/>
    <x v="7"/>
    <s v="N"/>
    <n v="340"/>
    <x v="1"/>
    <n v="63.738860000000003"/>
    <n v="148.89845"/>
    <s v="NA"/>
    <s v="NA"/>
    <m/>
    <n v="0"/>
    <n v="0"/>
    <n v="0"/>
    <n v="0"/>
    <n v="0"/>
    <n v="0"/>
    <m/>
    <s v="Caching piller from preivous videos. Depoloyed camera on this tree."/>
    <m/>
    <m/>
    <m/>
  </r>
  <r>
    <s v="DSCN2971"/>
    <s v="WW0405_16"/>
    <x v="16"/>
    <n v="1"/>
    <s v="Wac West"/>
    <d v="2019-04-05T00:00:00"/>
    <x v="4"/>
    <d v="1899-12-30T02:06:00"/>
    <m/>
    <s v="BP/PS"/>
    <s v="Caching"/>
    <s v="Spruce"/>
    <n v="0"/>
    <n v="0"/>
    <x v="0"/>
    <x v="3"/>
    <x v="27"/>
    <s v="NA"/>
    <s v="Exterior spruce branch under witch hair"/>
    <x v="0"/>
    <x v="2"/>
    <x v="7"/>
    <m/>
    <n v="60"/>
    <x v="25"/>
    <n v="63.738950000000003"/>
    <n v="148.89493999999999"/>
    <s v="NA"/>
    <s v="NA"/>
    <m/>
    <n v="0"/>
    <n v="0"/>
    <n v="0"/>
    <n v="0"/>
    <n v="81"/>
    <n v="81"/>
    <s v="Searching"/>
    <m/>
    <m/>
    <m/>
    <m/>
  </r>
  <r>
    <s v="DSCN2976"/>
    <s v="WW0405_21"/>
    <x v="21"/>
    <n v="1"/>
    <s v="Wac West"/>
    <d v="2019-04-05T00:00:00"/>
    <x v="4"/>
    <d v="1899-12-30T00:07:00"/>
    <m/>
    <s v="BP/PS"/>
    <s v="Caching"/>
    <s v="Spruce"/>
    <n v="0"/>
    <n v="0"/>
    <x v="0"/>
    <x v="3"/>
    <x v="27"/>
    <s v="NA"/>
    <s v="Exterior spruce foliage"/>
    <x v="0"/>
    <x v="2"/>
    <x v="2"/>
    <m/>
    <n v="160"/>
    <x v="17"/>
    <n v="63.739040000000003"/>
    <n v="148.89462"/>
    <s v="NA"/>
    <s v="NA"/>
    <m/>
    <n v="0"/>
    <n v="0"/>
    <n v="0"/>
    <n v="0"/>
    <n v="0"/>
    <n v="0"/>
    <m/>
    <m/>
    <m/>
    <m/>
    <m/>
  </r>
  <r>
    <s v="DSCN3027"/>
    <s v="M4R0409_4"/>
    <x v="10"/>
    <n v="1"/>
    <s v="M4Roadside"/>
    <d v="2019-04-09T00:00:00"/>
    <x v="4"/>
    <d v="1899-12-30T01:23:00"/>
    <m/>
    <s v="OB/YS"/>
    <s v="Caching/foraging"/>
    <s v="Willow"/>
    <n v="0"/>
    <n v="0"/>
    <x v="0"/>
    <x v="3"/>
    <x v="28"/>
    <s v="Ground"/>
    <s v="Top of willow branch"/>
    <x v="2"/>
    <x v="2"/>
    <x v="10"/>
    <s v="NA-top of branch"/>
    <s v="NA-top of branch"/>
    <x v="26"/>
    <n v="63.71922"/>
    <n v="148.98706000000001"/>
    <s v="NA"/>
    <s v="NA"/>
    <m/>
    <n v="0"/>
    <n v="0"/>
    <n v="0"/>
    <n v="0"/>
    <n v="65"/>
    <n v="65"/>
    <m/>
    <s v="Cached two caterpillars and a spider on the same branch. One caterpiller was saw it aquire but the other two items we did not.  Counted as additional aquisitions  Put Camera out on this cache. Again, we thought originally that YO/BS grabbed the black caterpillar but now we aren't sure.  Maybe they switched off camera.  So we don't have a distance for the black caterpillar.  "/>
    <m/>
    <m/>
    <m/>
  </r>
  <r>
    <s v="DSCN3024"/>
    <s v="M4R0409_1"/>
    <x v="0"/>
    <n v="1"/>
    <s v="M4Roadside"/>
    <d v="2019-04-09T00:00:00"/>
    <x v="4"/>
    <d v="1899-12-30T00:39:00"/>
    <m/>
    <s v="YO/BS"/>
    <s v="Foraging"/>
    <s v="NA"/>
    <n v="1"/>
    <n v="0"/>
    <x v="0"/>
    <x v="3"/>
    <x v="29"/>
    <s v="Ground"/>
    <s v="Exterior spruce branch under witch hair"/>
    <x v="0"/>
    <x v="2"/>
    <x v="7"/>
    <s v="E"/>
    <n v="95"/>
    <x v="16"/>
    <n v="63.71951"/>
    <n v="148.98781"/>
    <s v="NA"/>
    <s v="NA"/>
    <m/>
    <n v="0"/>
    <n v="0"/>
    <n v="0"/>
    <n v="0"/>
    <n v="5"/>
    <n v="5"/>
    <s v="Searching"/>
    <s v="Placed camera on CT"/>
    <m/>
    <m/>
    <m/>
  </r>
  <r>
    <s v="DSCN3034"/>
    <s v="M4R0409_9"/>
    <x v="7"/>
    <n v="1"/>
    <s v="M4Roadside"/>
    <d v="2019-04-09T00:00:00"/>
    <x v="4"/>
    <d v="1899-12-30T00:46:00"/>
    <m/>
    <s v="OB/YS"/>
    <s v="Foraging/Caching"/>
    <s v="Spruce"/>
    <n v="1"/>
    <n v="0"/>
    <x v="0"/>
    <x v="3"/>
    <x v="24"/>
    <s v="Ground"/>
    <s v="Exterior spruce branch under witch hair"/>
    <x v="0"/>
    <x v="2"/>
    <x v="7"/>
    <s v="NW"/>
    <n v="330"/>
    <x v="6"/>
    <n v="63.719679999999997"/>
    <n v="148.98660000000001"/>
    <s v="NA"/>
    <s v="NA"/>
    <m/>
    <n v="0"/>
    <n v="0"/>
    <n v="0"/>
    <n v="0"/>
    <n v="7"/>
    <n v="7"/>
    <s v="Searching"/>
    <m/>
    <m/>
    <m/>
    <m/>
  </r>
  <r>
    <s v="DSCN3122"/>
    <s v="BU0415_9"/>
    <x v="7"/>
    <n v="1"/>
    <s v="B&amp;U"/>
    <d v="2019-04-15T00:00:00"/>
    <x v="4"/>
    <d v="1899-12-30T01:59:00"/>
    <s v="Partly cloudy"/>
    <s v="WP/BS"/>
    <s v="Caching"/>
    <s v="Spruce"/>
    <n v="0"/>
    <n v="0"/>
    <x v="0"/>
    <x v="3"/>
    <x v="30"/>
    <m/>
    <s v="Exterior spruce branch under witch hair"/>
    <x v="0"/>
    <x v="2"/>
    <x v="7"/>
    <s v="N"/>
    <n v="0"/>
    <x v="27"/>
    <n v="63.724319999999999"/>
    <n v="148.9547"/>
    <s v="NA"/>
    <s v="NA"/>
    <m/>
    <n v="0"/>
    <n v="0"/>
    <n v="0"/>
    <n v="0"/>
    <n v="0"/>
    <n v="0"/>
    <m/>
    <s v="Seemed like a temporary cache because it did not coat in spit. "/>
    <m/>
    <m/>
    <m/>
  </r>
  <r>
    <s v="DSCN3158"/>
    <s v="MC0416_1"/>
    <x v="0"/>
    <n v="1"/>
    <s v="Mercantile"/>
    <d v="2019-04-16T00:00:00"/>
    <x v="4"/>
    <d v="1899-12-30T01:08:00"/>
    <s v="Mostly cloudy"/>
    <s v="WO/OS"/>
    <s v="Foraging"/>
    <s v="Spruce"/>
    <n v="1"/>
    <n v="0"/>
    <x v="0"/>
    <x v="6"/>
    <x v="31"/>
    <s v="Ground"/>
    <s v="Exterior spruce foliage"/>
    <x v="0"/>
    <x v="2"/>
    <x v="2"/>
    <s v="E"/>
    <n v="70"/>
    <x v="16"/>
    <n v="63.735900000000001"/>
    <n v="148.89832000000001"/>
    <s v="NA"/>
    <s v="NA"/>
    <m/>
    <n v="0"/>
    <n v="0"/>
    <n v="0"/>
    <n v="0"/>
    <n v="33"/>
    <n v="33"/>
    <s v="Searching"/>
    <s v="Initially I thought ut had grabbed a caterpiller but wasn't confident enough to mark. "/>
    <m/>
    <m/>
    <m/>
  </r>
  <r>
    <s v="DSCN3170"/>
    <s v="WW0416_4"/>
    <x v="10"/>
    <n v="1"/>
    <s v="Wac West"/>
    <d v="2019-04-16T00:00:00"/>
    <x v="4"/>
    <d v="1899-12-30T00:07:00"/>
    <s v="Mostly cloudy"/>
    <s v="BP/PS"/>
    <s v="Caching"/>
    <s v="Spruce"/>
    <n v="0"/>
    <n v="0"/>
    <x v="0"/>
    <x v="1"/>
    <x v="32"/>
    <s v="Ground"/>
    <s v="Exterior spruce foliage"/>
    <x v="0"/>
    <x v="2"/>
    <x v="2"/>
    <s v="NE"/>
    <n v="60"/>
    <x v="1"/>
    <n v="63.740470000000002"/>
    <n v="148.90053"/>
    <s v="NA"/>
    <s v="NA"/>
    <m/>
    <n v="0"/>
    <n v="0"/>
    <n v="0"/>
    <n v="0"/>
    <n v="0"/>
    <n v="0"/>
    <m/>
    <s v="Did not capture cache on video"/>
    <m/>
    <m/>
    <m/>
  </r>
  <r>
    <s v="DSCN3175"/>
    <s v="WW0416_9"/>
    <x v="7"/>
    <n v="1"/>
    <s v="Wac West"/>
    <d v="2019-04-16T00:00:00"/>
    <x v="4"/>
    <d v="1899-12-30T00:42:00"/>
    <s v="Mostly cloudy"/>
    <s v="BP/PS"/>
    <s v="Caching"/>
    <s v="Spruce"/>
    <n v="0"/>
    <n v="0"/>
    <x v="0"/>
    <x v="1"/>
    <x v="32"/>
    <s v="NA"/>
    <s v="Spruce trunk under bark"/>
    <x v="0"/>
    <x v="1"/>
    <x v="8"/>
    <s v="NE"/>
    <n v="30"/>
    <x v="2"/>
    <n v="63.740470000000002"/>
    <n v="148.90082000000001"/>
    <s v="NA"/>
    <s v="NA"/>
    <m/>
    <n v="0"/>
    <n v="0"/>
    <n v="0"/>
    <n v="0"/>
    <n v="0"/>
    <n v="0"/>
    <m/>
    <m/>
    <m/>
    <m/>
    <m/>
  </r>
  <r>
    <s v="DSCN3173"/>
    <s v="WW0416_7"/>
    <x v="2"/>
    <n v="1"/>
    <s v="Wac West"/>
    <d v="2019-04-16T00:00:00"/>
    <x v="4"/>
    <d v="1899-12-30T01:22:00"/>
    <s v="Mostly cloudy"/>
    <s v="BP/PS"/>
    <s v="Food handling/caching"/>
    <s v="Spruce"/>
    <n v="0"/>
    <n v="0"/>
    <x v="0"/>
    <x v="1"/>
    <x v="32"/>
    <s v="NA"/>
    <s v="Interior spruce foliage"/>
    <x v="0"/>
    <x v="0"/>
    <x v="2"/>
    <s v="SE"/>
    <n v="157"/>
    <x v="28"/>
    <n v="63.740699999999997"/>
    <n v="148.90117000000001"/>
    <s v="NA"/>
    <s v="NA"/>
    <m/>
    <n v="0"/>
    <n v="0"/>
    <n v="0"/>
    <n v="0"/>
    <n v="0"/>
    <n v="0"/>
    <m/>
    <s v="Cached hare from previous 2 videos."/>
    <m/>
    <m/>
    <m/>
  </r>
  <r>
    <s v="DSCN3241"/>
    <s v="AQ0417_3"/>
    <x v="1"/>
    <n v="1"/>
    <s v="Air Quality"/>
    <d v="2019-04-17T00:00:00"/>
    <x v="4"/>
    <d v="1899-12-30T01:09:00"/>
    <s v="Overcast, light snow"/>
    <s v="PG/PS"/>
    <s v="Caching"/>
    <s v="NA"/>
    <n v="0"/>
    <n v="0"/>
    <x v="0"/>
    <x v="3"/>
    <x v="27"/>
    <s v="NA"/>
    <s v="Exterior spruce branch under bark"/>
    <x v="0"/>
    <x v="2"/>
    <x v="8"/>
    <s v="W"/>
    <n v="265"/>
    <x v="9"/>
    <n v="63.725189999999998"/>
    <n v="148.96460999999999"/>
    <s v="NA"/>
    <s v="NA"/>
    <s v="NA"/>
    <n v="0"/>
    <n v="0"/>
    <n v="0"/>
    <n v="0"/>
    <n v="0"/>
    <n v="0"/>
    <m/>
    <m/>
    <m/>
    <m/>
    <m/>
  </r>
  <r>
    <s v="DSCN3277"/>
    <s v="MC0418_1"/>
    <x v="0"/>
    <n v="2"/>
    <s v="Mercantile"/>
    <d v="2019-04-18T00:00:00"/>
    <x v="4"/>
    <d v="1899-12-30T02:20:00"/>
    <s v="Overcast"/>
    <s v="WO/OS"/>
    <s v="Foraging"/>
    <s v="Spruce"/>
    <n v="1"/>
    <n v="1"/>
    <x v="0"/>
    <x v="0"/>
    <x v="33"/>
    <s v="Interior spruce foliage "/>
    <s v="Exterior spruce foliage"/>
    <x v="0"/>
    <x v="2"/>
    <x v="2"/>
    <s v="E"/>
    <n v="70"/>
    <x v="26"/>
    <n v="63.735770000000002"/>
    <n v="148.89865"/>
    <n v="63.735770000000002"/>
    <n v="148.89854"/>
    <s v="NA"/>
    <n v="0"/>
    <n v="10"/>
    <n v="10"/>
    <n v="0"/>
    <n v="0"/>
    <n v="10"/>
    <s v="Searching"/>
    <s v="Had just finished caching berries and then in the same tree as the CT in the previous clip, it recovered this presumed cache and then recached it in a nearby tree. "/>
    <m/>
    <m/>
    <m/>
  </r>
  <r>
    <s v="DSCN3330"/>
    <s v="BU0418_4"/>
    <x v="10"/>
    <n v="1"/>
    <s v="B&amp;U"/>
    <d v="2019-04-18T00:00:00"/>
    <x v="4"/>
    <d v="1899-12-30T00:19:00"/>
    <s v="Light snow"/>
    <s v="GR/PS"/>
    <s v="Caching"/>
    <s v="Spruce"/>
    <n v="0"/>
    <n v="0"/>
    <x v="0"/>
    <x v="3"/>
    <x v="27"/>
    <s v="NA"/>
    <s v="Interior spruce foliage"/>
    <x v="0"/>
    <x v="0"/>
    <x v="2"/>
    <s v="SE"/>
    <n v="120"/>
    <x v="0"/>
    <n v="63.726089999999999"/>
    <n v="148.95284000000001"/>
    <s v="NA"/>
    <s v="NA"/>
    <s v="NA"/>
    <n v="0"/>
    <n v="0"/>
    <n v="0"/>
    <n v="0"/>
    <n v="0"/>
    <n v="0"/>
    <m/>
    <m/>
    <m/>
    <m/>
    <m/>
  </r>
  <r>
    <s v="DSCN3277"/>
    <s v="MC0418_1"/>
    <x v="0"/>
    <n v="1"/>
    <s v="Mercantile"/>
    <d v="2019-04-18T00:00:00"/>
    <x v="4"/>
    <d v="1899-12-30T02:20:00"/>
    <s v="Overcast"/>
    <s v="WO/OS"/>
    <s v="Foraging"/>
    <s v="NA"/>
    <n v="1"/>
    <m/>
    <x v="0"/>
    <x v="6"/>
    <x v="34"/>
    <s v="Ground"/>
    <s v="Exterior spruce foliage"/>
    <x v="0"/>
    <x v="2"/>
    <x v="2"/>
    <s v="SE"/>
    <n v="120"/>
    <x v="10"/>
    <n v="63.735770000000002"/>
    <n v="148.89854"/>
    <s v="NA"/>
    <s v="NA"/>
    <s v="NA"/>
    <n v="0"/>
    <n v="0"/>
    <n v="0"/>
    <n v="0"/>
    <n v="10"/>
    <n v="10"/>
    <m/>
    <m/>
    <m/>
    <m/>
    <m/>
  </r>
  <r>
    <s v="DSCN3417"/>
    <s v="CC0422_17"/>
    <x v="17"/>
    <n v="1"/>
    <s v="Ccamp"/>
    <d v="2019-04-22T00:00:00"/>
    <x v="4"/>
    <d v="1899-12-30T01:22:00"/>
    <s v="Partly cloudy"/>
    <s v="GB/BS"/>
    <s v="Food handling/caching"/>
    <s v="Spruce"/>
    <n v="0"/>
    <n v="0"/>
    <x v="0"/>
    <x v="0"/>
    <x v="0"/>
    <s v="Unknown"/>
    <s v="Exterior spruce branch under bark"/>
    <x v="0"/>
    <x v="2"/>
    <x v="8"/>
    <m/>
    <m/>
    <x v="0"/>
    <n v="63.722610000000003"/>
    <n v="148.94719000000001"/>
    <s v="NA"/>
    <s v="NA"/>
    <s v="NA"/>
    <n v="0"/>
    <n v="0"/>
    <n v="0"/>
    <n v="0"/>
    <n v="0"/>
    <n v="0"/>
    <m/>
    <s v="Processing a black caterpiller and stopped to make two separate caches in the same tree"/>
    <m/>
    <m/>
    <m/>
  </r>
  <r>
    <s v="DSCN3417"/>
    <s v="CC0422_17"/>
    <x v="17"/>
    <n v="2"/>
    <s v="Ccamp"/>
    <d v="2019-04-22T00:00:00"/>
    <x v="4"/>
    <d v="1899-12-30T01:22:00"/>
    <s v="Partly cloudy"/>
    <s v="GB/BS"/>
    <s v="Food handling/caching"/>
    <s v="Spruce"/>
    <n v="0"/>
    <n v="0"/>
    <x v="0"/>
    <x v="0"/>
    <x v="0"/>
    <s v="Unknown"/>
    <s v="Exterior spruce branch under bark"/>
    <x v="0"/>
    <x v="2"/>
    <x v="8"/>
    <m/>
    <m/>
    <x v="0"/>
    <n v="63.722610000000003"/>
    <n v="148.94719000000001"/>
    <s v="NA"/>
    <s v="NA"/>
    <s v="NA"/>
    <n v="0"/>
    <n v="0"/>
    <n v="0"/>
    <n v="0"/>
    <n v="0"/>
    <n v="0"/>
    <m/>
    <s v="Processing a black caterpiller and stopped to make two separate caches in the same tree"/>
    <m/>
    <m/>
    <m/>
  </r>
  <r>
    <s v="DSCN3395"/>
    <s v="CC0422_3"/>
    <x v="1"/>
    <n v="1"/>
    <s v="Ccamp"/>
    <d v="2019-04-22T00:00:00"/>
    <x v="4"/>
    <d v="1899-12-30T00:40:00"/>
    <s v="Partly cloudy"/>
    <s v="GB/BS"/>
    <s v="Food handling/caching"/>
    <s v="NA"/>
    <n v="0"/>
    <n v="0"/>
    <x v="0"/>
    <x v="3"/>
    <x v="27"/>
    <s v="NA"/>
    <s v="Interior spruce foliage"/>
    <x v="0"/>
    <x v="0"/>
    <x v="2"/>
    <m/>
    <m/>
    <x v="0"/>
    <n v="63.722679999999997"/>
    <n v="148.95184"/>
    <s v="NA"/>
    <s v="NA"/>
    <s v="RC102418_CT7"/>
    <n v="0"/>
    <m/>
    <n v="0"/>
    <n v="0"/>
    <n v="0"/>
    <n v="0"/>
    <s v="Searching"/>
    <m/>
    <m/>
    <m/>
    <m/>
  </r>
  <r>
    <s v="DSCN3498"/>
    <s v="MC0424_12"/>
    <x v="9"/>
    <n v="1"/>
    <s v="Mercantile"/>
    <d v="2019-04-24T00:00:00"/>
    <x v="4"/>
    <d v="1899-12-30T00:41:00"/>
    <s v="Partly cloudy"/>
    <s v="BW/GS"/>
    <s v="Food handling"/>
    <s v="NA"/>
    <n v="1"/>
    <n v="0"/>
    <x v="0"/>
    <x v="0"/>
    <x v="0"/>
    <s v="Unknown"/>
    <s v="Exterior spruce branch under bark"/>
    <x v="0"/>
    <x v="2"/>
    <x v="8"/>
    <m/>
    <m/>
    <x v="0"/>
    <m/>
    <m/>
    <s v="NA"/>
    <s v="NA"/>
    <s v="NA"/>
    <n v="0"/>
    <n v="0"/>
    <n v="0"/>
    <n v="0"/>
    <n v="0"/>
    <n v="0"/>
    <m/>
    <s v="Had food at start of video.  Unclear where it got is from. "/>
    <m/>
    <m/>
    <m/>
  </r>
  <r>
    <s v="DSCN3522"/>
    <s v="MC0424_29"/>
    <x v="23"/>
    <n v="1"/>
    <s v="Mercantile"/>
    <d v="2019-04-24T00:00:00"/>
    <x v="4"/>
    <d v="1899-12-30T01:42:00"/>
    <s v="Partly cloudy"/>
    <s v="BW/GS"/>
    <s v="Foraging/Caching"/>
    <s v="Spruce"/>
    <n v="1"/>
    <n v="0"/>
    <x v="0"/>
    <x v="3"/>
    <x v="27"/>
    <s v="Ground"/>
    <s v="Exterior spruce branch"/>
    <x v="0"/>
    <x v="2"/>
    <x v="10"/>
    <s v="E"/>
    <n v="80"/>
    <x v="9"/>
    <n v="63.73518"/>
    <n v="148.90012999999999"/>
    <s v="NA"/>
    <s v="NA"/>
    <s v="NA"/>
    <n v="0"/>
    <n v="0"/>
    <n v="0"/>
    <n v="0"/>
    <n v="6"/>
    <n v="6"/>
    <s v="Searching"/>
    <s v="Placed camera on CT"/>
    <m/>
    <m/>
    <m/>
  </r>
  <r>
    <s v="DSCN3600"/>
    <s v="AQ0426_4"/>
    <x v="10"/>
    <n v="1"/>
    <s v="Air Quality"/>
    <d v="2019-04-26T00:00:00"/>
    <x v="4"/>
    <d v="1899-12-30T06:01:00"/>
    <m/>
    <s v="PG/PS"/>
    <s v="Foraging/Caching"/>
    <s v="Willow"/>
    <n v="1"/>
    <n v="0"/>
    <x v="0"/>
    <x v="3"/>
    <x v="24"/>
    <s v="Ground"/>
    <s v="Joint of willow branch"/>
    <x v="2"/>
    <x v="2"/>
    <x v="10"/>
    <s v="NA-just set on branch"/>
    <s v="NA-just set on branch"/>
    <x v="16"/>
    <n v="63.724170000000001"/>
    <n v="148.96494000000001"/>
    <s v="NA"/>
    <s v="NA"/>
    <s v="NA"/>
    <n v="0"/>
    <n v="0"/>
    <n v="0"/>
    <n v="0"/>
    <n v="253"/>
    <n v="253"/>
    <s v="Searching"/>
    <s v="Deployed camera on cache site"/>
    <m/>
    <m/>
    <m/>
  </r>
  <r>
    <s v="DSCN3585"/>
    <s v="AQ0426_1"/>
    <x v="0"/>
    <n v="2"/>
    <s v="Air Quality"/>
    <d v="2019-04-26T00:00:00"/>
    <x v="4"/>
    <d v="1899-12-30T00:39:00"/>
    <m/>
    <s v="PL/PS"/>
    <s v="Food handling"/>
    <s v="NA"/>
    <n v="0"/>
    <n v="0"/>
    <x v="0"/>
    <x v="5"/>
    <x v="35"/>
    <s v="Unknown"/>
    <s v="exterior spruce foliage "/>
    <x v="0"/>
    <x v="2"/>
    <x v="2"/>
    <s v="NA"/>
    <s v="NA"/>
    <x v="13"/>
    <n v="63.72457"/>
    <n v="148.96351999999999"/>
    <s v="unknown"/>
    <s v="unknown"/>
    <s v="NA"/>
    <n v="0"/>
    <n v="0"/>
    <n v="0"/>
    <n v="0"/>
    <n v="0"/>
    <n v="0"/>
    <m/>
    <s v="Second cache was in neighboring tree, so GPS"/>
    <m/>
    <m/>
    <m/>
  </r>
  <r>
    <s v="DSCN3585"/>
    <s v="AQ0426_1"/>
    <x v="0"/>
    <n v="1"/>
    <s v="Air Quality"/>
    <d v="2019-04-26T00:00:00"/>
    <x v="4"/>
    <d v="1899-12-30T00:39:00"/>
    <m/>
    <s v="PL/PS"/>
    <s v="Food handling"/>
    <s v="NA"/>
    <n v="1"/>
    <n v="1"/>
    <x v="0"/>
    <x v="5"/>
    <x v="35"/>
    <s v="Unknown"/>
    <s v="exterior spruce foliage "/>
    <x v="0"/>
    <x v="2"/>
    <x v="2"/>
    <s v="E"/>
    <n v="90"/>
    <x v="0"/>
    <n v="63.72457"/>
    <n v="148.96351999999999"/>
    <s v="unknown"/>
    <s v="unknown"/>
    <s v="NA"/>
    <n v="0"/>
    <n v="0"/>
    <n v="0"/>
    <n v="0"/>
    <n v="0"/>
    <n v="0"/>
    <m/>
    <s v="Missed initial acquisition"/>
    <m/>
    <m/>
    <m/>
  </r>
  <r>
    <s v="DSCN3643"/>
    <s v="M4R0430_6"/>
    <x v="11"/>
    <n v="1"/>
    <s v="M4Roadside"/>
    <d v="2019-04-30T00:00:00"/>
    <x v="4"/>
    <d v="1899-12-30T00:05:00"/>
    <s v="Clear, full sun"/>
    <s v="YO/BS"/>
    <s v="Foraging"/>
    <s v="NA"/>
    <n v="0"/>
    <n v="0"/>
    <x v="0"/>
    <x v="0"/>
    <x v="0"/>
    <s v="Unknown"/>
    <s v="Exterior spruce branch under witch hair"/>
    <x v="0"/>
    <x v="2"/>
    <x v="7"/>
    <s v="NE"/>
    <n v="50"/>
    <x v="0"/>
    <n v="63.720140000000001"/>
    <n v="148.98885999999999"/>
    <s v="NA"/>
    <s v="NA"/>
    <s v="NA"/>
    <n v="0"/>
    <n v="0"/>
    <n v="0"/>
    <n v="0"/>
    <n v="0"/>
    <n v="0"/>
    <m/>
    <s v="Didn't mark as additional food acquisition because he may or may not have cached a food we already documented him as aquiring.  "/>
    <m/>
    <m/>
    <m/>
  </r>
  <r>
    <s v="DSCN3683"/>
    <s v="M4R0430_24"/>
    <x v="24"/>
    <n v="1"/>
    <s v="M4Roadside"/>
    <d v="2019-04-30T00:00:00"/>
    <x v="4"/>
    <d v="1899-12-30T01:55:00"/>
    <s v="Clear, full sun"/>
    <s v="YO/BS"/>
    <s v="Caching"/>
    <s v="Spruce"/>
    <n v="0"/>
    <n v="0"/>
    <x v="0"/>
    <x v="3"/>
    <x v="27"/>
    <s v="NA"/>
    <s v="exterior spruce foliage "/>
    <x v="0"/>
    <x v="2"/>
    <x v="2"/>
    <s v="S"/>
    <n v="175"/>
    <x v="2"/>
    <n v="63.720010000000002"/>
    <n v="148.98734999999999"/>
    <s v="NA"/>
    <s v="NA"/>
    <s v="NA"/>
    <n v="0"/>
    <n v="0"/>
    <n v="0"/>
    <n v="0"/>
    <n v="0"/>
    <n v="0"/>
    <m/>
    <s v="Deployed camera on cache site"/>
    <m/>
    <m/>
    <m/>
  </r>
  <r>
    <s v="DSCN3666"/>
    <s v="M4R0430_15"/>
    <x v="22"/>
    <n v="2"/>
    <s v="M4Roadside"/>
    <d v="2019-04-30T00:00:00"/>
    <x v="4"/>
    <d v="1899-12-30T03:42:00"/>
    <s v="Clear, full sun"/>
    <s v="YO/BS"/>
    <s v="Foraging"/>
    <s v="NA"/>
    <n v="1"/>
    <n v="0"/>
    <x v="0"/>
    <x v="3"/>
    <x v="24"/>
    <s v="Ground"/>
    <s v="Exterior spruce branch"/>
    <x v="0"/>
    <x v="2"/>
    <x v="10"/>
    <s v="SW"/>
    <n v="220"/>
    <x v="11"/>
    <n v="63.720669999999998"/>
    <n v="148.98961"/>
    <s v="NA"/>
    <s v="NA"/>
    <s v="NA"/>
    <n v="0"/>
    <n v="0"/>
    <n v="0"/>
    <n v="0"/>
    <n v="168"/>
    <n v="168"/>
    <s v="Searching"/>
    <s v="Low cache, deployed "/>
    <m/>
    <m/>
    <m/>
  </r>
  <r>
    <s v="DSCN3653"/>
    <s v="M4R0430_11"/>
    <x v="8"/>
    <n v="1"/>
    <s v="M4Roadside"/>
    <d v="2019-04-30T00:00:00"/>
    <x v="4"/>
    <d v="1899-12-30T01:37:00"/>
    <s v="Clear, full sun"/>
    <s v="OB/YS"/>
    <s v="Foraging"/>
    <s v="NA"/>
    <n v="1"/>
    <n v="0"/>
    <x v="0"/>
    <x v="6"/>
    <x v="36"/>
    <s v="Ground"/>
    <s v="Exterior spruce branch under witch hair"/>
    <x v="0"/>
    <x v="2"/>
    <x v="7"/>
    <s v="SW"/>
    <n v="220"/>
    <x v="29"/>
    <n v="63.719990000000003"/>
    <n v="148.98865000000001"/>
    <s v="NA"/>
    <s v="NA"/>
    <s v="NA"/>
    <n v="0"/>
    <n v="0"/>
    <n v="0"/>
    <n v="0"/>
    <n v="85"/>
    <n v="85"/>
    <s v="Searching"/>
    <m/>
    <m/>
    <m/>
    <m/>
  </r>
  <r>
    <s v="DSCN3774"/>
    <s v="TC0502_4"/>
    <x v="10"/>
    <n v="1"/>
    <s v="Tcamp"/>
    <d v="2019-05-02T00:00:00"/>
    <x v="5"/>
    <d v="1899-12-30T00:39:00"/>
    <s v="Mostly cloudy"/>
    <s v="WL/PS"/>
    <s v="Caching"/>
    <s v="Spruce"/>
    <n v="0"/>
    <n v="0"/>
    <x v="0"/>
    <x v="3"/>
    <x v="27"/>
    <s v="NA"/>
    <s v="Exterior spruce branch under witch hair"/>
    <x v="0"/>
    <x v="2"/>
    <x v="7"/>
    <s v="NW"/>
    <n v="220"/>
    <x v="14"/>
    <n v="63.733550000000001"/>
    <n v="148.90380999999999"/>
    <s v="NA"/>
    <s v="NA"/>
    <s v="NA"/>
    <n v="0"/>
    <n v="0"/>
    <n v="0"/>
    <n v="0"/>
    <n v="0"/>
    <n v="0"/>
    <m/>
    <m/>
    <m/>
    <m/>
    <m/>
  </r>
  <r>
    <s v="DSCN3774"/>
    <s v="TC0502_4"/>
    <x v="10"/>
    <n v="2"/>
    <s v="Tcamp"/>
    <d v="2019-05-02T00:00:00"/>
    <x v="5"/>
    <d v="1899-12-30T00:39:00"/>
    <s v="Mostly cloudy"/>
    <s v="WL/PS"/>
    <s v="Caching"/>
    <s v="Spruce"/>
    <n v="0"/>
    <n v="0"/>
    <x v="0"/>
    <x v="3"/>
    <x v="27"/>
    <s v="NA"/>
    <s v="Exterior spruce branch under witch hair"/>
    <x v="0"/>
    <x v="2"/>
    <x v="7"/>
    <s v="NW"/>
    <n v="240"/>
    <x v="14"/>
    <n v="63.733550000000001"/>
    <n v="148.90380999999999"/>
    <s v="NA"/>
    <s v="NA"/>
    <s v="NA"/>
    <n v="0"/>
    <n v="0"/>
    <n v="0"/>
    <n v="0"/>
    <n v="0"/>
    <n v="0"/>
    <m/>
    <s v="Different tree from first cache but same GPS"/>
    <m/>
    <m/>
    <m/>
  </r>
  <r>
    <s v="DSCN3836"/>
    <s v="CC0503_16"/>
    <x v="16"/>
    <n v="1"/>
    <s v="Ccamp"/>
    <d v="2019-05-03T00:00:00"/>
    <x v="5"/>
    <d v="1899-12-30T00:38:00"/>
    <s v="Overcast, light snow"/>
    <s v="GB/BS"/>
    <s v="Foraging/Caching"/>
    <s v="Spruce"/>
    <n v="1"/>
    <n v="0"/>
    <x v="0"/>
    <x v="3"/>
    <x v="24"/>
    <s v="Ground"/>
    <s v="Interior spruce foliage"/>
    <x v="0"/>
    <x v="0"/>
    <x v="2"/>
    <s v="S"/>
    <n v="165"/>
    <x v="6"/>
    <n v="63.722900000000003"/>
    <n v="148.94708"/>
    <m/>
    <s v="NA"/>
    <s v="NA"/>
    <n v="0"/>
    <n v="0"/>
    <n v="0"/>
    <n v="0"/>
    <n v="23"/>
    <n v="23"/>
    <s v="Searching"/>
    <m/>
    <m/>
    <m/>
    <m/>
  </r>
  <r>
    <s v="DSCN3814"/>
    <s v="CC0503_4"/>
    <x v="10"/>
    <n v="1"/>
    <s v="Ccamp"/>
    <d v="2019-05-03T00:00:00"/>
    <x v="5"/>
    <d v="1899-12-30T00:10:00"/>
    <s v="Overcast, light snow"/>
    <s v="GB/BS"/>
    <s v="Food handling/caching"/>
    <s v="Spruce"/>
    <n v="1"/>
    <n v="0"/>
    <x v="0"/>
    <x v="3"/>
    <x v="37"/>
    <s v="Ground"/>
    <s v="Interior spruce foliage"/>
    <x v="0"/>
    <x v="0"/>
    <x v="2"/>
    <s v="SE"/>
    <n v="115"/>
    <x v="1"/>
    <n v="63.722990000000003"/>
    <n v="148.94640999999999"/>
    <s v="NA"/>
    <s v="NA"/>
    <s v="NA"/>
    <n v="0"/>
    <n v="0"/>
    <n v="0"/>
    <n v="0"/>
    <n v="0"/>
    <n v="0"/>
    <m/>
    <s v="Missed initial acquisition, but it caught it near where video picks up.  We are not 100% confident about cache, but &quot;post-cache&quot; behavior and bill load suggests it cached it. "/>
    <m/>
    <m/>
    <m/>
  </r>
  <r>
    <s v="DSCN3835"/>
    <s v="CC0503_15"/>
    <x v="22"/>
    <n v="1"/>
    <s v="Ccamp"/>
    <d v="2019-05-05T00:00:00"/>
    <x v="5"/>
    <d v="1899-12-30T02:02:00"/>
    <s v="Overcast, light snow"/>
    <s v="GB/BS"/>
    <s v="Caching"/>
    <s v="Spruce"/>
    <n v="0"/>
    <n v="0"/>
    <x v="0"/>
    <x v="3"/>
    <x v="24"/>
    <s v="NA"/>
    <s v="Spruce trunk"/>
    <x v="0"/>
    <x v="1"/>
    <x v="8"/>
    <s v="Unknown, did not recognize as cache in field"/>
    <s v="Unknown, did not recognize as cache in field"/>
    <x v="30"/>
    <s v="Unknown, did not recognize as cache in field"/>
    <s v="Unknown, did not recognize as cache in field"/>
    <s v="NA"/>
    <s v="NA"/>
    <s v="NA"/>
    <n v="0"/>
    <n v="0"/>
    <n v="0"/>
    <n v="0"/>
    <n v="0"/>
    <n v="0"/>
    <m/>
    <m/>
    <m/>
    <m/>
    <m/>
  </r>
  <r>
    <s v="DSCN3872"/>
    <s v="CC0506_4"/>
    <x v="10"/>
    <n v="1"/>
    <s v="Ccamp"/>
    <d v="2019-05-06T00:00:00"/>
    <x v="5"/>
    <d v="1899-12-30T01:49:00"/>
    <s v="Mostly cloudy"/>
    <s v="GB/BS"/>
    <s v="Foraging"/>
    <s v="NA"/>
    <n v="0"/>
    <n v="0"/>
    <x v="2"/>
    <x v="0"/>
    <x v="0"/>
    <s v="Unknown"/>
    <s v="Exterior spruce branch under witch hair"/>
    <x v="0"/>
    <x v="2"/>
    <x v="7"/>
    <s v="SW"/>
    <n v="230"/>
    <x v="0"/>
    <n v="63.72392"/>
    <n v="148.95093"/>
    <s v="NA"/>
    <s v="NA"/>
    <s v="NA"/>
    <n v="0"/>
    <n v="0"/>
    <n v="0"/>
    <n v="0"/>
    <n v="0"/>
    <n v="0"/>
    <m/>
    <s v="3 Cached all in the same area on a single tree. "/>
    <m/>
    <m/>
    <m/>
  </r>
  <r>
    <s v="DSCN3902"/>
    <s v="MC0506_13"/>
    <x v="13"/>
    <n v="1"/>
    <s v="Mercantile"/>
    <d v="2019-05-06T00:00:00"/>
    <x v="5"/>
    <d v="1899-12-30T00:13:00"/>
    <s v="Mostly cloudy"/>
    <s v="WO/OS"/>
    <s v="Caching"/>
    <s v="Spruce"/>
    <n v="0"/>
    <n v="0"/>
    <x v="0"/>
    <x v="3"/>
    <x v="27"/>
    <s v="NA"/>
    <s v="Interior spruce foliage"/>
    <x v="0"/>
    <x v="0"/>
    <x v="2"/>
    <s v="E"/>
    <n v="95"/>
    <x v="24"/>
    <n v="63.736319999999999"/>
    <n v="148.90260000000001"/>
    <s v="NA"/>
    <s v="NA"/>
    <s v="NA"/>
    <n v="0"/>
    <n v="0"/>
    <n v="0"/>
    <n v="0"/>
    <n v="0"/>
    <n v="0"/>
    <m/>
    <s v="Deployed camera on cache site"/>
    <m/>
    <m/>
    <m/>
  </r>
  <r>
    <s v="DSCN3903"/>
    <s v="MC0506_14"/>
    <x v="12"/>
    <n v="1"/>
    <s v="Mercantile"/>
    <d v="2019-05-06T00:00:00"/>
    <x v="5"/>
    <d v="1899-12-30T00:10:00"/>
    <s v="Mostly cloudy"/>
    <s v="WO/OS"/>
    <s v="Caching"/>
    <s v="Spruce"/>
    <n v="1"/>
    <n v="0"/>
    <x v="0"/>
    <x v="3"/>
    <x v="24"/>
    <s v="Unknown"/>
    <s v="Exterior spruce branch on bark"/>
    <x v="0"/>
    <x v="2"/>
    <x v="10"/>
    <s v="NE"/>
    <n v="39"/>
    <x v="0"/>
    <n v="63.736240000000002"/>
    <n v="148.90282999999999"/>
    <s v="NA"/>
    <s v="NA"/>
    <s v="NA"/>
    <n v="0"/>
    <n v="0"/>
    <n v="0"/>
    <n v="0"/>
    <n v="0"/>
    <n v="0"/>
    <m/>
    <s v="Deployed camera on cache site"/>
    <m/>
    <m/>
    <m/>
  </r>
  <r>
    <s v="DSCN3782"/>
    <s v="BU0502_3"/>
    <x v="1"/>
    <n v="1"/>
    <s v="B&amp;U"/>
    <d v="2019-05-02T00:00:00"/>
    <x v="5"/>
    <d v="1899-12-30T00:56:00"/>
    <s v="Mostly cloudy"/>
    <s v="WP/BS"/>
    <s v="Foraging/Caching"/>
    <s v="Spruce"/>
    <s v="unknown"/>
    <n v="0"/>
    <x v="0"/>
    <x v="0"/>
    <x v="0"/>
    <s v="Unknown"/>
    <s v="interior bare spruce"/>
    <x v="0"/>
    <x v="0"/>
    <x v="10"/>
    <s v="NE"/>
    <n v="32"/>
    <x v="0"/>
    <n v="63.72598"/>
    <n v="148.96046000000001"/>
    <s v="NA"/>
    <s v="NA"/>
    <s v="NA"/>
    <n v="0"/>
    <n v="0"/>
    <n v="0"/>
    <n v="0"/>
    <n v="54"/>
    <n v="54"/>
    <s v="Searching"/>
    <s v="Deployed camera. Insect suspended from witch hair on underside of twig"/>
    <m/>
    <m/>
    <m/>
  </r>
  <r>
    <s v="DSCN3858"/>
    <s v="BU0505_2"/>
    <x v="3"/>
    <n v="1"/>
    <s v="B&amp;U"/>
    <d v="2019-05-05T00:00:00"/>
    <x v="5"/>
    <d v="1899-12-30T00:48:00"/>
    <s v="Mostly cloudy"/>
    <s v="WP/BS"/>
    <s v="Foraging/Caching"/>
    <s v="NA"/>
    <s v="unknown"/>
    <n v="0"/>
    <x v="0"/>
    <x v="3"/>
    <x v="24"/>
    <s v="Unknown"/>
    <s v="Interior spruce branch in witch hair"/>
    <x v="0"/>
    <x v="0"/>
    <x v="7"/>
    <s v="N"/>
    <n v="355"/>
    <x v="0"/>
    <n v="63.72616"/>
    <n v="148.96205"/>
    <s v="NA"/>
    <s v="NA"/>
    <s v="NA"/>
    <n v="0"/>
    <n v="0"/>
    <n v="0"/>
    <n v="0"/>
    <n v="44"/>
    <n v="44"/>
    <s v="Searching"/>
    <m/>
    <m/>
    <m/>
    <m/>
  </r>
  <r>
    <s v="DSCN0021"/>
    <s v="WW0828_4"/>
    <x v="10"/>
    <n v="1"/>
    <s v="Wac West"/>
    <d v="2018-08-28T00:00:00"/>
    <x v="0"/>
    <d v="1899-12-30T00:33:00"/>
    <s v="Partly cloudy"/>
    <s v="unknown"/>
    <s v="Caching, forgaging"/>
    <s v="Spruce"/>
    <s v="unknown"/>
    <m/>
    <x v="0"/>
    <x v="0"/>
    <x v="0"/>
    <s v="Unknown"/>
    <s v="Spruce trunk under bark"/>
    <x v="0"/>
    <x v="1"/>
    <x v="8"/>
    <s v="Unknown"/>
    <s v="unknown"/>
    <x v="0"/>
    <s v="Did not mark (did not recognize as cache while in field)"/>
    <m/>
    <m/>
    <m/>
    <m/>
    <n v="33"/>
    <n v="0"/>
    <n v="33"/>
    <n v="0"/>
    <n v="0"/>
    <n v="0"/>
    <n v="33"/>
    <s v="Gleaning"/>
    <s v="Birds moves to other side of trunk and emerges with food.  Unclear if it got from from trunk or is just manipulating previously aquired food though so not counted as food acquisition. "/>
    <n v="0"/>
    <n v="0"/>
  </r>
  <r>
    <s v="DSCN0021"/>
    <s v="WW0828_4"/>
    <x v="10"/>
    <n v="2"/>
    <s v="Wac West"/>
    <d v="2018-08-28T00:00:00"/>
    <x v="0"/>
    <d v="1899-12-30T00:33:00"/>
    <s v="Partly cloudy"/>
    <s v="unknown"/>
    <s v="Foraging"/>
    <s v="Spruce"/>
    <s v="unknown"/>
    <m/>
    <x v="0"/>
    <x v="0"/>
    <x v="0"/>
    <s v="Unknown"/>
    <s v="Interior bare spruce branch"/>
    <x v="0"/>
    <x v="0"/>
    <x v="11"/>
    <s v="Unknown"/>
    <s v="unknown"/>
    <x v="0"/>
    <s v="Did not mark (did not recognize as cache while in field)"/>
    <m/>
    <m/>
    <m/>
    <m/>
    <n v="0"/>
    <n v="0"/>
    <n v="0"/>
    <n v="0"/>
    <n v="0"/>
    <n v="0"/>
    <n v="0"/>
    <s v="Gleaning"/>
    <m/>
    <n v="0"/>
    <n v="0"/>
  </r>
  <r>
    <s v="DSCN0034"/>
    <s v="WW0828_11"/>
    <x v="8"/>
    <n v="1"/>
    <s v="Wac West"/>
    <d v="2018-08-28T00:00:00"/>
    <x v="0"/>
    <d v="1899-12-30T00:33:00"/>
    <s v="Partly cloudy"/>
    <s v="BP/PS"/>
    <s v="Foraging"/>
    <s v="Spruce"/>
    <s v="unknown"/>
    <m/>
    <x v="0"/>
    <x v="0"/>
    <x v="0"/>
    <s v="Spruce trunk"/>
    <s v="Sprunce trunk at base of branch joint"/>
    <x v="0"/>
    <x v="1"/>
    <x v="8"/>
    <s v="Unknown"/>
    <s v="unknown"/>
    <x v="3"/>
    <s v="Did not mark (did not recognize as cache while in field)"/>
    <m/>
    <m/>
    <m/>
    <m/>
    <n v="11"/>
    <n v="0"/>
    <n v="11"/>
    <n v="0"/>
    <n v="0"/>
    <n v="0"/>
    <n v="11"/>
    <m/>
    <s v="Unclear if foraging or caching initially, but then picks something off trunk and places it in another part of the tree. "/>
    <n v="0"/>
    <n v="5"/>
  </r>
  <r>
    <s v="DSCN0060"/>
    <s v="CC0829_6"/>
    <x v="11"/>
    <n v="1"/>
    <s v="Ccamp"/>
    <d v="2018-08-29T00:00:00"/>
    <x v="0"/>
    <d v="1899-12-30T00:55:00"/>
    <s v="Partly cloudy"/>
    <s v="GB/BS"/>
    <s v="Foraging/Caching"/>
    <s v="Spruce"/>
    <n v="3"/>
    <m/>
    <x v="0"/>
    <x v="6"/>
    <x v="38"/>
    <s v="Ground"/>
    <s v="Interior spruce branch in witch hair "/>
    <x v="0"/>
    <x v="0"/>
    <x v="12"/>
    <s v="Unknown"/>
    <s v="unknown"/>
    <x v="0"/>
    <s v="Did not mark (were not marking at this time)"/>
    <m/>
    <m/>
    <m/>
    <m/>
    <n v="0"/>
    <n v="0"/>
    <n v="0"/>
    <n v="0"/>
    <n v="24"/>
    <n v="0"/>
    <n v="24"/>
    <s v="Searching "/>
    <s v="Aquired two berries, we watched it cache one in a tree, but could not follow it for the second berry.  "/>
    <m/>
    <m/>
  </r>
  <r>
    <s v="DSCN0061"/>
    <s v="CC0829_7"/>
    <x v="2"/>
    <n v="1"/>
    <s v="Ccamp"/>
    <d v="2018-08-29T00:00:00"/>
    <x v="0"/>
    <d v="1899-12-30T00:20:00"/>
    <s v="Partly cloudy"/>
    <s v="GB/BS"/>
    <s v="Caching/foraging"/>
    <s v="Spruce"/>
    <n v="0"/>
    <m/>
    <x v="0"/>
    <x v="6"/>
    <x v="38"/>
    <s v="Ground"/>
    <s v="Exterior spruce branch in witch hair"/>
    <x v="0"/>
    <x v="2"/>
    <x v="12"/>
    <s v="Unknown"/>
    <s v="unknown"/>
    <x v="0"/>
    <s v="Did not mark (were not marking at this time)"/>
    <m/>
    <m/>
    <m/>
    <m/>
    <n v="0"/>
    <n v="0"/>
    <n v="0"/>
    <n v="0"/>
    <n v="0"/>
    <n v="0"/>
    <n v="0"/>
    <s v="NA"/>
    <m/>
    <m/>
    <m/>
  </r>
  <r>
    <s v="DSCN0096"/>
    <s v="BU0830_9"/>
    <x v="7"/>
    <n v="1"/>
    <s v="BU"/>
    <d v="2018-08-30T00:00:00"/>
    <x v="0"/>
    <d v="1899-12-30T00:51:00"/>
    <s v="Partly cloudy; light rain"/>
    <s v="GR/PS"/>
    <s v="Caching/foraging"/>
    <s v="Spruce"/>
    <n v="1"/>
    <m/>
    <x v="0"/>
    <x v="2"/>
    <x v="39"/>
    <s v="Interior spruce tree"/>
    <s v="Interior spruce foliage"/>
    <x v="0"/>
    <x v="0"/>
    <x v="2"/>
    <s v="Unknown"/>
    <s v="unknown"/>
    <x v="0"/>
    <s v="Did not mark (were not marking at this time)"/>
    <m/>
    <m/>
    <m/>
    <m/>
    <s v="unknown"/>
    <s v="unknown"/>
    <s v="unknown"/>
    <s v="unknown"/>
    <n v="8"/>
    <n v="0"/>
    <n v="8"/>
    <s v="unknown"/>
    <s v="Unclear if foraging or looking for cache location.  Was clearly manipulating food in bill. "/>
    <m/>
    <m/>
  </r>
  <r>
    <s v="DSCN0075"/>
    <s v="WW0830_5"/>
    <x v="5"/>
    <n v="1"/>
    <s v="Wac West"/>
    <d v="2018-08-30T00:00:00"/>
    <x v="0"/>
    <d v="1899-12-30T00:27:00"/>
    <s v="Partly cloudy; light rain"/>
    <s v="BP/PS"/>
    <s v="Foraging"/>
    <s v="Spruce"/>
    <n v="1"/>
    <m/>
    <x v="0"/>
    <x v="0"/>
    <x v="0"/>
    <s v="Ground"/>
    <s v="Exterior bare spruce branch under bark"/>
    <x v="0"/>
    <x v="2"/>
    <x v="8"/>
    <s v="Unknown"/>
    <s v="unknown"/>
    <x v="16"/>
    <s v="Did not mark (did not recognize as cache while in field)"/>
    <m/>
    <m/>
    <m/>
    <m/>
    <n v="6"/>
    <n v="0"/>
    <n v="0"/>
    <n v="6"/>
    <n v="11"/>
    <n v="0"/>
    <n v="17"/>
    <s v="unknown"/>
    <s v="Foraging followed by clear cache (spit visible)"/>
    <n v="0"/>
    <n v="0"/>
  </r>
  <r>
    <s v="DSCN0089"/>
    <s v="BU0830_5"/>
    <x v="5"/>
    <n v="1"/>
    <s v="BU"/>
    <d v="2018-08-30T00:00:00"/>
    <x v="0"/>
    <d v="1899-12-30T00:31:00"/>
    <s v="Partly cloudy; light rain"/>
    <s v="GR/PS"/>
    <s v="Caching"/>
    <s v="Spruce"/>
    <n v="0"/>
    <m/>
    <x v="0"/>
    <x v="2"/>
    <x v="39"/>
    <s v="Spruce bare branch"/>
    <s v="Interior spruce foliage"/>
    <x v="0"/>
    <x v="0"/>
    <x v="2"/>
    <s v="Unknown"/>
    <s v="unknown"/>
    <x v="0"/>
    <s v="Did not mark (were not marking at this time)"/>
    <m/>
    <m/>
    <m/>
    <m/>
    <n v="0"/>
    <n v="0"/>
    <n v="0"/>
    <n v="0"/>
    <n v="0"/>
    <n v="0"/>
    <n v="0"/>
    <s v="caching"/>
    <s v="Cached mushroom from BU0830_4"/>
    <n v="0"/>
    <n v="0"/>
  </r>
  <r>
    <s v="DSCN0090"/>
    <s v="BU0830_6"/>
    <x v="11"/>
    <n v="1"/>
    <s v="BU"/>
    <d v="2018-08-30T00:00:00"/>
    <x v="0"/>
    <d v="1899-12-30T01:36:00"/>
    <s v="Partly cloudy; light rain"/>
    <s v="GR/PS"/>
    <s v="Caching"/>
    <s v="Spruce"/>
    <n v="0"/>
    <m/>
    <x v="0"/>
    <x v="0"/>
    <x v="0"/>
    <s v="Unknown"/>
    <s v="Under bark of spruce trunk "/>
    <x v="0"/>
    <x v="1"/>
    <x v="8"/>
    <s v="Unknown"/>
    <s v="unknown"/>
    <x v="0"/>
    <s v="Did not mark (were not marking at this time)"/>
    <m/>
    <m/>
    <m/>
    <m/>
    <n v="6"/>
    <n v="25"/>
    <n v="16"/>
    <n v="15"/>
    <n v="0"/>
    <n v="0"/>
    <n v="31"/>
    <s v="Searching"/>
    <s v="Something happens at 0:10 mark but unclear if foraging or caching. Following cache is very clear."/>
    <n v="0"/>
    <n v="0"/>
  </r>
  <r>
    <s v="DSCN0090"/>
    <s v="BU0830_6"/>
    <x v="11"/>
    <n v="3"/>
    <s v="BU"/>
    <d v="2018-08-30T00:00:00"/>
    <x v="0"/>
    <d v="1899-12-30T01:36:00"/>
    <s v="Partly cloudy; light rain"/>
    <s v="GR/PS"/>
    <s v="Caching"/>
    <s v="Spruce"/>
    <n v="0"/>
    <m/>
    <x v="0"/>
    <x v="0"/>
    <x v="0"/>
    <s v="Exterior foliated spruce"/>
    <s v="Exterior spruce branch under bark/witch hair"/>
    <x v="0"/>
    <x v="2"/>
    <x v="12"/>
    <s v="Unknown"/>
    <s v="unknown"/>
    <x v="0"/>
    <s v="Did not mark (were not marking at this time)"/>
    <m/>
    <m/>
    <m/>
    <m/>
    <n v="0"/>
    <n v="0"/>
    <n v="0"/>
    <n v="0"/>
    <n v="0"/>
    <n v="0"/>
    <n v="0"/>
    <s v="Searching"/>
    <s v="Caches item from earlier in clip. "/>
    <n v="0"/>
    <n v="0"/>
  </r>
  <r>
    <s v="DSCN0163"/>
    <s v="WW0903_2"/>
    <x v="3"/>
    <n v="1"/>
    <s v="Wac West"/>
    <d v="2018-09-03T00:00:00"/>
    <x v="6"/>
    <d v="1899-12-30T07:01:00"/>
    <m/>
    <s v="Unbanded"/>
    <s v="Foraging"/>
    <s v="Spruce, aspen, aspen, spruce"/>
    <n v="3"/>
    <m/>
    <x v="0"/>
    <x v="1"/>
    <x v="32"/>
    <s v="Cached snowshoe hare leg in tree"/>
    <s v="Exterior spruce branch under bark"/>
    <x v="0"/>
    <x v="2"/>
    <x v="8"/>
    <s v="Unknown"/>
    <s v="unknown"/>
    <x v="22"/>
    <n v="63.74004"/>
    <n v="148.90179000000001"/>
    <m/>
    <m/>
    <m/>
    <n v="0"/>
    <n v="0"/>
    <n v="0"/>
    <n v="0"/>
    <n v="0"/>
    <n v="0"/>
    <n v="0"/>
    <s v="Attending known food item"/>
    <s v="1:25+0:33+0:38 FOOD HANDLING. At one point breaks piece of bark off and shoves it under other bark like a cache. The last cache tree recorded is suspected but unconfirmed. "/>
    <n v="0"/>
    <n v="0"/>
  </r>
  <r>
    <s v="DSCN0220"/>
    <s v="M3.50903_1"/>
    <x v="0"/>
    <n v="1"/>
    <s v="Mile 3.5"/>
    <d v="2018-09-03T00:00:00"/>
    <x v="6"/>
    <d v="1899-12-30T01:02:00"/>
    <m/>
    <s v="OB/YS"/>
    <s v="Foraging/Caching"/>
    <s v="Spruce"/>
    <n v="1"/>
    <m/>
    <x v="0"/>
    <x v="6"/>
    <x v="11"/>
    <s v="Ground"/>
    <s v="Interior spruce branch/witch hair moss"/>
    <x v="0"/>
    <x v="0"/>
    <x v="13"/>
    <s v="Unknown"/>
    <s v="unknown"/>
    <x v="0"/>
    <n v="63.722920000000002"/>
    <n v="148.98212000000001"/>
    <m/>
    <m/>
    <m/>
    <n v="0"/>
    <n v="0"/>
    <n v="0"/>
    <n v="0"/>
    <n v="7"/>
    <n v="0"/>
    <n v="7"/>
    <m/>
    <s v="Suspected but unconfirmed cache"/>
    <n v="0"/>
    <n v="0"/>
  </r>
  <r>
    <s v="DSCN0196"/>
    <s v="TC0903_6"/>
    <x v="11"/>
    <n v="2"/>
    <s v="Trail Camp"/>
    <d v="2018-09-03T00:00:00"/>
    <x v="6"/>
    <d v="1899-12-30T02:02:00"/>
    <m/>
    <s v="WL/PS"/>
    <s v="Caching"/>
    <s v="Spruce"/>
    <n v="1"/>
    <m/>
    <x v="0"/>
    <x v="0"/>
    <x v="40"/>
    <s v="Ground"/>
    <s v="Interior bare spruce branch"/>
    <x v="0"/>
    <x v="0"/>
    <x v="8"/>
    <s v="Unknown"/>
    <s v="unknown"/>
    <x v="0"/>
    <n v="63.730229999999999"/>
    <n v="148.90411"/>
    <m/>
    <m/>
    <m/>
    <n v="0"/>
    <n v="0"/>
    <n v="0"/>
    <n v="0"/>
    <n v="23"/>
    <n v="0"/>
    <n v="23"/>
    <m/>
    <s v="The unbanded bird foraged, the banded bird cached.  "/>
    <n v="0"/>
    <n v="0"/>
  </r>
  <r>
    <s v="DSCN0164"/>
    <s v="WW0903_3"/>
    <x v="1"/>
    <n v="1"/>
    <s v="Wac West"/>
    <d v="2018-09-03T00:00:00"/>
    <x v="6"/>
    <d v="1899-12-30T00:41:00"/>
    <m/>
    <s v="Unbanded"/>
    <s v="Foraging"/>
    <s v="NA"/>
    <n v="1"/>
    <m/>
    <x v="0"/>
    <x v="6"/>
    <x v="38"/>
    <s v="Ground"/>
    <s v="Exterior spruce branch under bark/witch hair"/>
    <x v="0"/>
    <x v="2"/>
    <x v="13"/>
    <s v="Unknown"/>
    <s v="unknown"/>
    <x v="0"/>
    <s v="Did not mark (did not recognize as cache while in field)"/>
    <m/>
    <m/>
    <m/>
    <m/>
    <n v="0"/>
    <n v="0"/>
    <n v="0"/>
    <n v="0"/>
    <n v="10"/>
    <n v="0"/>
    <n v="10"/>
    <s v="Searching/attenting known food item"/>
    <s v="Cached blueberry.  Then went to feed from hare.16 at hare leg"/>
    <n v="0"/>
    <n v="0"/>
  </r>
  <r>
    <s v="No video"/>
    <m/>
    <x v="14"/>
    <m/>
    <s v="Mile 3.5"/>
    <d v="2018-09-03T00:00:00"/>
    <x v="6"/>
    <s v="NA"/>
    <m/>
    <s v="unknown"/>
    <s v="Caching"/>
    <s v="Spruce"/>
    <n v="0"/>
    <m/>
    <x v="0"/>
    <x v="0"/>
    <x v="0"/>
    <s v="Unknown"/>
    <s v="Spruce"/>
    <x v="0"/>
    <x v="3"/>
    <x v="4"/>
    <s v="Unknown"/>
    <s v="unknown"/>
    <x v="0"/>
    <n v="63.72287"/>
    <n v="148.98138"/>
    <m/>
    <m/>
    <m/>
    <n v="0"/>
    <n v="0"/>
    <n v="0"/>
    <n v="0"/>
    <n v="0"/>
    <n v="0"/>
    <n v="0"/>
    <m/>
    <s v="Don't have video, but gps'd cahce location.  "/>
    <n v="0"/>
    <n v="0"/>
  </r>
  <r>
    <s v="DSCN0183"/>
    <s v="TC0903_4"/>
    <x v="10"/>
    <n v="1"/>
    <s v="Trail Camp"/>
    <d v="2018-09-03T00:00:00"/>
    <x v="6"/>
    <d v="1899-12-30T00:16:00"/>
    <m/>
    <s v="Unbanded"/>
    <s v="Caching"/>
    <s v="Spruce"/>
    <n v="0"/>
    <m/>
    <x v="0"/>
    <x v="0"/>
    <x v="0"/>
    <s v="Unknown"/>
    <s v="Spruce trunk"/>
    <x v="0"/>
    <x v="1"/>
    <x v="8"/>
    <s v="Unknown"/>
    <s v="unknown"/>
    <x v="0"/>
    <n v="63.730879999999999"/>
    <n v="148.89989"/>
    <m/>
    <m/>
    <m/>
    <n v="0"/>
    <n v="0"/>
    <n v="0"/>
    <n v="0"/>
    <n v="0"/>
    <n v="0"/>
    <n v="0"/>
    <s v="caching"/>
    <s v="Covered cache with bit of bark "/>
    <n v="0"/>
    <n v="0"/>
  </r>
  <r>
    <s v="DSCN0193"/>
    <s v="TC0903_5"/>
    <x v="5"/>
    <n v="1"/>
    <s v="Trail Camp"/>
    <d v="2018-09-03T00:00:00"/>
    <x v="6"/>
    <d v="1899-12-30T00:06:00"/>
    <m/>
    <s v="Unbanded"/>
    <s v="Caching"/>
    <s v="Spruce"/>
    <n v="0"/>
    <m/>
    <x v="0"/>
    <x v="0"/>
    <x v="0"/>
    <s v="Unknown"/>
    <s v="Spruce trunk"/>
    <x v="0"/>
    <x v="1"/>
    <x v="8"/>
    <s v="Unknown"/>
    <s v="unknown"/>
    <x v="0"/>
    <n v="63.730220000000003"/>
    <n v="148.90285"/>
    <m/>
    <m/>
    <m/>
    <n v="0"/>
    <n v="0"/>
    <n v="0"/>
    <n v="0"/>
    <n v="0"/>
    <n v="0"/>
    <n v="0"/>
    <s v="caching"/>
    <m/>
    <n v="0"/>
    <n v="0"/>
  </r>
  <r>
    <s v="DSCN0163"/>
    <s v="WW0903_2"/>
    <x v="3"/>
    <n v="2"/>
    <s v="Wac West"/>
    <d v="2018-09-03T00:00:00"/>
    <x v="6"/>
    <d v="1899-12-30T07:01:00"/>
    <m/>
    <s v="Unbanded"/>
    <s v="Food handling/caching"/>
    <s v="Spruce, aspen, aspen, spruce"/>
    <n v="0"/>
    <m/>
    <x v="0"/>
    <x v="1"/>
    <x v="32"/>
    <s v="Cached snowshoe hare leg in tree"/>
    <s v="Exterior Aspen branch under bark"/>
    <x v="1"/>
    <x v="2"/>
    <x v="8"/>
    <s v="Unknown"/>
    <s v="unknown"/>
    <x v="2"/>
    <n v="63.740020000000001"/>
    <n v="148.90156999999999"/>
    <m/>
    <m/>
    <m/>
    <n v="0"/>
    <n v="0"/>
    <n v="0"/>
    <n v="0"/>
    <n v="0"/>
    <n v="0"/>
    <n v="0"/>
    <m/>
    <s v="1:25+0:33+0:38 FOOD HANDLING. At one point breaks piece of bark off and shoves it under other bark like a cache. The last cache tree recorded is suspected but unconfirmed. "/>
    <m/>
    <m/>
  </r>
  <r>
    <s v="DSCN0163"/>
    <s v="WW0903_2"/>
    <x v="3"/>
    <n v="3"/>
    <s v="Wac West"/>
    <d v="2018-09-03T00:00:00"/>
    <x v="6"/>
    <d v="1899-12-30T07:01:00"/>
    <m/>
    <s v="Unbanded"/>
    <s v="Food handling/caching"/>
    <s v="Spruce, aspen, aspen, spruce"/>
    <n v="0"/>
    <m/>
    <x v="0"/>
    <x v="1"/>
    <x v="32"/>
    <s v="Cached snowshoe hare leg in tree"/>
    <s v="Exterior willow branch under bark"/>
    <x v="2"/>
    <x v="2"/>
    <x v="8"/>
    <s v="Unknown"/>
    <s v="unknown"/>
    <x v="10"/>
    <n v="63.739890000000003"/>
    <n v="148.9016"/>
    <m/>
    <m/>
    <m/>
    <n v="0"/>
    <n v="0"/>
    <n v="0"/>
    <n v="0"/>
    <n v="0"/>
    <n v="0"/>
    <n v="0"/>
    <m/>
    <s v="1:25+0:33+0:38 FOOD HANDLING. At one point breaks piece of bark off and shoves it under other bark like a cache. The last cache tree recorded is suspected but unconfirmed. "/>
    <m/>
    <m/>
  </r>
  <r>
    <s v="DSCN0163"/>
    <s v="WW0903_2"/>
    <x v="3"/>
    <n v="4"/>
    <s v="Wac West"/>
    <d v="2018-09-03T00:00:00"/>
    <x v="6"/>
    <d v="1899-12-30T07:01:00"/>
    <m/>
    <s v="Unbanded"/>
    <s v="Food handling/caching"/>
    <s v="Spruce, aspen, aspen, spruce"/>
    <n v="0"/>
    <m/>
    <x v="0"/>
    <x v="1"/>
    <x v="32"/>
    <s v="Cached snowshoe hare leg in tree"/>
    <s v="Exterior spruce branch under bark"/>
    <x v="0"/>
    <x v="2"/>
    <x v="8"/>
    <s v="Unknown"/>
    <s v="unknown"/>
    <x v="31"/>
    <n v="63.740119999999997"/>
    <n v="148.90125"/>
    <m/>
    <m/>
    <m/>
    <n v="0"/>
    <n v="0"/>
    <n v="0"/>
    <n v="0"/>
    <n v="0"/>
    <n v="0"/>
    <n v="0"/>
    <m/>
    <s v="1:25+0:33+0:38 FOOD HANDLING. At one point breaks piece of bark off and shoves it under other bark like a cache. The last cache tree recorded is suspected but unconfirmed. "/>
    <m/>
    <m/>
  </r>
  <r>
    <s v="DSCN0250"/>
    <s v="CCS0904_3"/>
    <x v="1"/>
    <n v="2"/>
    <s v="Ccamp South"/>
    <d v="2018-09-04T00:00:00"/>
    <x v="6"/>
    <d v="1899-12-30T01:06:00"/>
    <m/>
    <s v="Unbanded"/>
    <s v="Foraging/Caching"/>
    <s v="Spruce"/>
    <s v="unknown"/>
    <m/>
    <x v="0"/>
    <x v="0"/>
    <x v="0"/>
    <s v="Ground"/>
    <s v="Exterior spruce branch under bark"/>
    <x v="0"/>
    <x v="2"/>
    <x v="8"/>
    <s v="Unknown"/>
    <s v="unknown"/>
    <x v="0"/>
    <s v="Did not mark (did not recognize as cache while in field)"/>
    <m/>
    <m/>
    <m/>
    <m/>
    <n v="0"/>
    <n v="0"/>
    <n v="0"/>
    <n v="0"/>
    <n v="0"/>
    <n v="0"/>
    <n v="0"/>
    <m/>
    <s v="likely cache. "/>
    <m/>
    <m/>
  </r>
  <r>
    <s v="DSCN0250"/>
    <s v="CCS0904_3"/>
    <x v="1"/>
    <n v="1"/>
    <s v="Ccamp South"/>
    <d v="2018-09-04T00:00:00"/>
    <x v="6"/>
    <d v="1899-12-30T01:06:00"/>
    <m/>
    <s v="Unbanded"/>
    <s v="Foraging/Caching"/>
    <s v="Spruce"/>
    <n v="1"/>
    <m/>
    <x v="0"/>
    <x v="0"/>
    <x v="0"/>
    <s v="Ground"/>
    <s v="Exterior spruce branch under bark/witch hair"/>
    <x v="0"/>
    <x v="2"/>
    <x v="13"/>
    <s v="Unknown"/>
    <s v="unknown"/>
    <x v="0"/>
    <s v="Did not mark (did not recognize as cache while in field)"/>
    <m/>
    <m/>
    <m/>
    <m/>
    <n v="0"/>
    <n v="0"/>
    <n v="0"/>
    <n v="0"/>
    <n v="6"/>
    <n v="0"/>
    <n v="6"/>
    <m/>
    <s v="Clear cache"/>
    <m/>
    <m/>
  </r>
  <r>
    <s v="DSCN0253"/>
    <s v="CCS0904_4"/>
    <x v="10"/>
    <n v="1"/>
    <s v="Ccamp South"/>
    <d v="2018-09-04T00:00:00"/>
    <x v="6"/>
    <d v="1899-12-30T02:26:00"/>
    <m/>
    <s v="Unbanded"/>
    <s v="Caching, forgaging"/>
    <s v="Spruce"/>
    <n v="1"/>
    <m/>
    <x v="0"/>
    <x v="0"/>
    <x v="0"/>
    <s v="Ground"/>
    <s v="Interior spruce in foliage "/>
    <x v="0"/>
    <x v="0"/>
    <x v="2"/>
    <s v="Unknown"/>
    <s v="unknown"/>
    <x v="0"/>
    <n v="63.721440000000001"/>
    <n v="148.95258000000001"/>
    <m/>
    <m/>
    <m/>
    <n v="0"/>
    <n v="0"/>
    <n v="0"/>
    <n v="0"/>
    <n v="91"/>
    <n v="0"/>
    <n v="91"/>
    <s v="Searching "/>
    <s v="Retrieved something from ground (not on video) and KS observed it place it in tree "/>
    <m/>
    <m/>
  </r>
  <r>
    <s v="DSCN0254"/>
    <s v="CCS0904_5"/>
    <x v="5"/>
    <n v="1"/>
    <s v="Ccamp South"/>
    <d v="2018-09-04T00:00:00"/>
    <x v="6"/>
    <d v="1899-12-30T02:11:00"/>
    <m/>
    <s v="Unbanded"/>
    <s v="Foraging/Caching"/>
    <s v="Spruce"/>
    <n v="1"/>
    <m/>
    <x v="0"/>
    <x v="2"/>
    <x v="39"/>
    <s v="Ground"/>
    <s v="Exterior spruce branch/witch hair moss"/>
    <x v="0"/>
    <x v="2"/>
    <x v="13"/>
    <s v="Unknown"/>
    <s v="unknown"/>
    <x v="0"/>
    <n v="63.721400000000003"/>
    <n v="148.95255"/>
    <m/>
    <m/>
    <m/>
    <n v="0"/>
    <n v="0"/>
    <n v="0"/>
    <n v="0"/>
    <n v="30"/>
    <n v="0"/>
    <n v="30"/>
    <s v="searching"/>
    <m/>
    <m/>
    <m/>
  </r>
  <r>
    <s v="DSCN0257"/>
    <s v="CCS0904_7"/>
    <x v="2"/>
    <n v="1"/>
    <s v="Ccamp South"/>
    <d v="2018-09-04T00:00:00"/>
    <x v="6"/>
    <m/>
    <m/>
    <s v="Unbanded"/>
    <s v="Foraging/Caching"/>
    <s v="Spruce"/>
    <n v="1"/>
    <m/>
    <x v="0"/>
    <x v="6"/>
    <x v="38"/>
    <s v="Ground"/>
    <s v="Exterior foliage of spruce sapling "/>
    <x v="0"/>
    <x v="2"/>
    <x v="2"/>
    <s v="Unknown"/>
    <s v="unknown"/>
    <x v="0"/>
    <s v="Did not mark (did not recognize as cache while in field)"/>
    <m/>
    <m/>
    <m/>
    <m/>
    <n v="0"/>
    <n v="0"/>
    <n v="0"/>
    <n v="0"/>
    <n v="24"/>
    <n v="0"/>
    <n v="24"/>
    <m/>
    <s v="Clear placement of berry in tree "/>
    <m/>
    <m/>
  </r>
  <r>
    <s v="DSCN0262"/>
    <s v="CCS0904_9"/>
    <x v="7"/>
    <n v="2"/>
    <s v="Ccamp South"/>
    <d v="2018-09-04T00:00:00"/>
    <x v="6"/>
    <d v="1899-12-30T01:27:00"/>
    <m/>
    <s v="Unbanded"/>
    <s v="Foraging/Caching"/>
    <s v="Spruce"/>
    <n v="1"/>
    <m/>
    <x v="0"/>
    <x v="6"/>
    <x v="38"/>
    <s v="Ground"/>
    <s v="Exterior spruce branch under bark/witch hair"/>
    <x v="0"/>
    <x v="2"/>
    <x v="13"/>
    <s v="Unknown"/>
    <s v="unknown"/>
    <x v="0"/>
    <n v="63.721629999999998"/>
    <n v="148.95177000000001"/>
    <m/>
    <m/>
    <m/>
    <n v="0"/>
    <n v="0"/>
    <n v="0"/>
    <n v="0"/>
    <n v="0"/>
    <n v="0"/>
    <n v="0"/>
    <m/>
    <m/>
    <m/>
    <m/>
  </r>
  <r>
    <s v="DSCN0265"/>
    <s v="CCS0904_11"/>
    <x v="8"/>
    <n v="1"/>
    <s v="Ccamp South"/>
    <d v="2018-09-04T00:00:00"/>
    <x v="6"/>
    <d v="1899-12-30T00:31:00"/>
    <m/>
    <s v="Unbanded"/>
    <s v="Foraging/Caching"/>
    <s v="Spruce"/>
    <n v="1"/>
    <m/>
    <x v="0"/>
    <x v="6"/>
    <x v="38"/>
    <s v="Ground"/>
    <s v="Spruce foliage"/>
    <x v="0"/>
    <x v="3"/>
    <x v="2"/>
    <s v="Unknown"/>
    <s v="unknown"/>
    <x v="0"/>
    <n v="63.721429999999998"/>
    <n v="148.95343"/>
    <m/>
    <m/>
    <m/>
    <n v="0"/>
    <n v="0"/>
    <n v="0"/>
    <n v="0"/>
    <n v="13"/>
    <n v="0"/>
    <n v="13"/>
    <s v="searching"/>
    <s v="Didn't capture foraging in this video but did in previous one.  Didn't keep video because bird was not in frame but used it to calculate foraging time reported here.  Unclear from video audio, but the cache location here was spotted in the field by KS. "/>
    <m/>
    <m/>
  </r>
  <r>
    <s v="DSCN0259"/>
    <s v="CCS0904_8"/>
    <x v="6"/>
    <n v="1"/>
    <s v="Ccamp South"/>
    <d v="2018-09-04T00:00:00"/>
    <x v="6"/>
    <d v="1899-12-30T01:07:00"/>
    <m/>
    <s v="Unbanded"/>
    <s v="Caching"/>
    <s v="Spruce"/>
    <n v="0"/>
    <m/>
    <x v="0"/>
    <x v="0"/>
    <x v="0"/>
    <s v="Unknown"/>
    <s v="Spruce trunk"/>
    <x v="0"/>
    <x v="1"/>
    <x v="8"/>
    <s v="Unknown"/>
    <s v="unknown"/>
    <x v="0"/>
    <n v="63.721640000000001"/>
    <n v="148.95113000000001"/>
    <m/>
    <m/>
    <m/>
    <n v="0"/>
    <n v="0"/>
    <n v="0"/>
    <n v="0"/>
    <n v="0"/>
    <n v="0"/>
    <n v="0"/>
    <m/>
    <s v="Clear cache.  Very close to previoud cach location.  "/>
    <m/>
    <m/>
  </r>
  <r>
    <s v="DSCN0263"/>
    <s v="CCS0904_10"/>
    <x v="4"/>
    <n v="1"/>
    <s v="Ccamp South"/>
    <d v="2018-09-04T00:00:00"/>
    <x v="6"/>
    <d v="1899-12-30T01:30:00"/>
    <m/>
    <s v="Unbanded"/>
    <s v="Caching"/>
    <s v="Spruce"/>
    <n v="0"/>
    <m/>
    <x v="0"/>
    <x v="0"/>
    <x v="0"/>
    <s v="Unknown"/>
    <s v="Exterior spruce branch under bark"/>
    <x v="0"/>
    <x v="2"/>
    <x v="8"/>
    <s v="Unknown"/>
    <s v="unknown"/>
    <x v="0"/>
    <s v="Did not mark (did not recognize as cache while in field)"/>
    <m/>
    <m/>
    <m/>
    <m/>
    <n v="24"/>
    <n v="0"/>
    <n v="0"/>
    <n v="24"/>
    <n v="32"/>
    <n v="0"/>
    <n v="56"/>
    <s v="searching"/>
    <m/>
    <m/>
    <m/>
  </r>
  <r>
    <s v="DSCN0234"/>
    <s v="TC0904_1"/>
    <x v="0"/>
    <n v="1"/>
    <s v="Trail Camp"/>
    <d v="2018-09-04T00:00:00"/>
    <x v="6"/>
    <d v="1899-12-30T00:53:00"/>
    <m/>
    <s v="Unbanded"/>
    <s v="Caching"/>
    <s v="Spruce"/>
    <n v="0"/>
    <m/>
    <x v="0"/>
    <x v="0"/>
    <x v="0"/>
    <s v="unknonw"/>
    <s v="Spruce trunk"/>
    <x v="0"/>
    <x v="1"/>
    <x v="8"/>
    <s v="Unknown"/>
    <s v="unknown"/>
    <x v="0"/>
    <n v="63.731529999999999"/>
    <n v="148.90401"/>
    <m/>
    <m/>
    <m/>
    <n v="0"/>
    <n v="0"/>
    <n v="0"/>
    <n v="0"/>
    <n v="0"/>
    <n v="0"/>
    <n v="0"/>
    <s v="NA"/>
    <s v="Great cache video!!!"/>
    <n v="0"/>
    <n v="0"/>
  </r>
  <r>
    <s v="DSCN0281"/>
    <s v="M4R0905_2"/>
    <x v="3"/>
    <n v="1"/>
    <s v="Mile 4 Roadside"/>
    <d v="2018-09-05T00:00:00"/>
    <x v="6"/>
    <d v="1899-12-30T01:46:00"/>
    <s v="Partly sunny"/>
    <s v="WG/OS"/>
    <s v="Caching"/>
    <s v="Spruce"/>
    <n v="1"/>
    <m/>
    <x v="0"/>
    <x v="0"/>
    <x v="0"/>
    <s v="Ground"/>
    <s v="Exterior spruce branch/witch hair moss"/>
    <x v="0"/>
    <x v="2"/>
    <x v="13"/>
    <s v="Unknown"/>
    <s v="unknown"/>
    <x v="0"/>
    <s v="Did not mark (did not recognize as cache while in field)"/>
    <m/>
    <m/>
    <m/>
    <m/>
    <n v="0"/>
    <n v="0"/>
    <n v="0"/>
    <n v="0"/>
    <n v="10"/>
    <n v="0"/>
    <n v="10"/>
    <m/>
    <s v="Decent cache video"/>
    <m/>
    <m/>
  </r>
  <r>
    <s v="No video "/>
    <m/>
    <x v="14"/>
    <m/>
    <s v="Mile 4 Roadside"/>
    <d v="2018-09-05T00:00:00"/>
    <x v="6"/>
    <m/>
    <s v="Partly sunny"/>
    <s v="unknown"/>
    <s v="Caching"/>
    <s v="Spruce"/>
    <n v="0"/>
    <m/>
    <x v="0"/>
    <x v="6"/>
    <x v="38"/>
    <s v="Ground"/>
    <s v="Spruce foliage"/>
    <x v="0"/>
    <x v="3"/>
    <x v="2"/>
    <s v="Unknown"/>
    <s v="unknown"/>
    <x v="0"/>
    <n v="63.72148"/>
    <n v="148.98616000000001"/>
    <m/>
    <m/>
    <m/>
    <n v="0"/>
    <n v="0"/>
    <n v="0"/>
    <n v="0"/>
    <n v="0"/>
    <n v="0"/>
    <n v="0"/>
    <m/>
    <s v="Caching blueberries from previous video "/>
    <m/>
    <m/>
  </r>
  <r>
    <s v="No video "/>
    <m/>
    <x v="14"/>
    <m/>
    <s v="Mile 4 Roadside"/>
    <d v="2018-09-05T00:00:00"/>
    <x v="6"/>
    <m/>
    <s v="Partly sunny"/>
    <s v="WG/OS"/>
    <s v="Caching"/>
    <s v="Spruce"/>
    <n v="0"/>
    <m/>
    <x v="0"/>
    <x v="0"/>
    <x v="0"/>
    <s v="Unknown"/>
    <s v="Spruce foliage"/>
    <x v="0"/>
    <x v="3"/>
    <x v="2"/>
    <s v="Unknown"/>
    <s v="unknown"/>
    <x v="0"/>
    <n v="63.721179999999997"/>
    <n v="148.98785000000001"/>
    <m/>
    <m/>
    <m/>
    <n v="0"/>
    <n v="0"/>
    <n v="0"/>
    <n v="0"/>
    <n v="0"/>
    <n v="0"/>
    <n v="0"/>
    <m/>
    <s v="Tucker saw the bird cache with his binocculars "/>
    <m/>
    <m/>
  </r>
  <r>
    <s v="DSCN0376"/>
    <s v="MC0906_7"/>
    <x v="2"/>
    <n v="1"/>
    <s v="Mercentile "/>
    <d v="2018-09-06T00:00:00"/>
    <x v="6"/>
    <d v="1899-12-30T00:47:00"/>
    <s v="Overcast"/>
    <s v="WO/OS"/>
    <s v="Foraging"/>
    <s v="NA"/>
    <n v="1"/>
    <m/>
    <x v="0"/>
    <x v="2"/>
    <x v="39"/>
    <s v="Ground"/>
    <s v="Exterior spruce foliage"/>
    <x v="0"/>
    <x v="2"/>
    <x v="2"/>
    <s v="Unknown"/>
    <s v="unknown"/>
    <x v="13"/>
    <s v="Later moved by second bird.  "/>
    <m/>
    <m/>
    <m/>
    <m/>
    <n v="0"/>
    <n v="0"/>
    <n v="0"/>
    <n v="0"/>
    <n v="25"/>
    <n v="0"/>
    <n v="25"/>
    <m/>
    <m/>
    <m/>
    <m/>
  </r>
  <r>
    <s v="DSCN0377"/>
    <s v="MC0906_8"/>
    <x v="6"/>
    <n v="1"/>
    <s v="Mercentile "/>
    <d v="2018-09-06T00:00:00"/>
    <x v="6"/>
    <d v="1899-12-30T00:27:00"/>
    <s v="Overcast"/>
    <s v="BW/GS"/>
    <s v="Caching"/>
    <s v="Spruce"/>
    <n v="1"/>
    <m/>
    <x v="0"/>
    <x v="2"/>
    <x v="39"/>
    <s v="Spruce branch (from MC0906_7)"/>
    <s v="Exterior spruce foliage"/>
    <x v="0"/>
    <x v="2"/>
    <x v="2"/>
    <s v="Unknown"/>
    <s v="unknown"/>
    <x v="0"/>
    <n v="63.731670000000001"/>
    <n v="148.89604"/>
    <m/>
    <m/>
    <m/>
    <n v="0"/>
    <n v="0"/>
    <n v="0"/>
    <n v="0"/>
    <n v="0"/>
    <n v="0"/>
    <n v="0"/>
    <m/>
    <s v="Female collected mushroo piece that had been placed on spruce branch by male (WO/OS).  She took it and went to a different spruce tree and cashed it.  That second tree is the one we took a GPS on"/>
    <m/>
    <m/>
  </r>
  <r>
    <s v="DSCN0382"/>
    <s v="MC0906_12"/>
    <x v="9"/>
    <n v="1"/>
    <s v="Mercentile "/>
    <d v="2018-09-06T00:00:00"/>
    <x v="6"/>
    <d v="1899-12-30T02:09:00"/>
    <s v="Overcast"/>
    <s v="WO/OS"/>
    <s v="Caching"/>
    <s v="Spruce"/>
    <n v="1"/>
    <m/>
    <x v="0"/>
    <x v="0"/>
    <x v="0"/>
    <s v="Exterior spruce foliage "/>
    <s v="Interior spruce foliage"/>
    <x v="0"/>
    <x v="0"/>
    <x v="2"/>
    <s v="Unknown"/>
    <s v="unknown"/>
    <x v="0"/>
    <n v="63.731960000000001"/>
    <n v="148.89534"/>
    <m/>
    <m/>
    <m/>
    <n v="6"/>
    <n v="6"/>
    <n v="0"/>
    <n v="12"/>
    <n v="21"/>
    <n v="0"/>
    <n v="33"/>
    <m/>
    <s v="Cache is not from the observed food acquisition in video.  "/>
    <m/>
    <m/>
  </r>
  <r>
    <s v="DSCN0381"/>
    <s v="MC0906_11"/>
    <x v="8"/>
    <n v="1"/>
    <s v="Mercentile "/>
    <d v="2018-09-06T00:00:00"/>
    <x v="6"/>
    <d v="1899-12-30T00:25:00"/>
    <s v="Overcast"/>
    <s v="BW/GS"/>
    <s v="Caching"/>
    <s v="Spruce"/>
    <n v="0"/>
    <m/>
    <x v="0"/>
    <x v="2"/>
    <x v="39"/>
    <s v="NA"/>
    <s v="Interior spruce foliage"/>
    <x v="0"/>
    <x v="0"/>
    <x v="2"/>
    <s v="Unknown"/>
    <s v="unknown"/>
    <x v="0"/>
    <n v="63.731639999999999"/>
    <n v="148.89586"/>
    <m/>
    <m/>
    <m/>
    <n v="0"/>
    <n v="0"/>
    <n v="0"/>
    <n v="0"/>
    <n v="0"/>
    <n v="0"/>
    <n v="0"/>
    <m/>
    <s v="Cached mushroom from previous video "/>
    <m/>
    <m/>
  </r>
  <r>
    <s v="DSCN0415"/>
    <s v="M2370907_9"/>
    <x v="7"/>
    <n v="2"/>
    <s v="Mile 237"/>
    <d v="2018-09-07T00:00:00"/>
    <x v="6"/>
    <d v="1899-12-30T00:48:00"/>
    <s v="Overcast"/>
    <s v="unknown"/>
    <s v="Foraging"/>
    <s v="NA"/>
    <n v="1"/>
    <m/>
    <x v="0"/>
    <x v="0"/>
    <x v="0"/>
    <s v="Unknown"/>
    <s v="Interior spruce foliage "/>
    <x v="0"/>
    <x v="0"/>
    <x v="2"/>
    <s v="Unknown"/>
    <s v="unknown"/>
    <x v="0"/>
    <s v="Did not mark (did not recognize as cache while in field)"/>
    <m/>
    <m/>
    <m/>
    <m/>
    <n v="0"/>
    <n v="0"/>
    <n v="0"/>
    <n v="0"/>
    <n v="0"/>
    <n v="0"/>
    <n v="0"/>
    <m/>
    <m/>
    <m/>
    <m/>
  </r>
  <r>
    <s v="DSCN0419"/>
    <s v="MC0907_2"/>
    <x v="3"/>
    <n v="1"/>
    <s v="Mercentile "/>
    <d v="2018-09-07T00:00:00"/>
    <x v="6"/>
    <d v="1899-12-30T01:33:00"/>
    <s v="Overcast"/>
    <s v="WO/OS"/>
    <s v="Food handling/caching"/>
    <s v="Spruce"/>
    <n v="0"/>
    <m/>
    <x v="0"/>
    <x v="2"/>
    <x v="41"/>
    <s v="Ground"/>
    <s v="Exterior spruce foliage"/>
    <x v="0"/>
    <x v="2"/>
    <x v="2"/>
    <s v="Unknown"/>
    <s v="unknown"/>
    <x v="0"/>
    <n v="63.731299999999997"/>
    <n v="148.89637999999999"/>
    <m/>
    <m/>
    <m/>
    <n v="0"/>
    <n v="0"/>
    <n v="0"/>
    <n v="0"/>
    <n v="0"/>
    <n v="0"/>
    <n v="0"/>
    <m/>
    <s v="Tearing up and caching bits of mushroom from previous video.  "/>
    <m/>
    <m/>
  </r>
  <r>
    <s v="DSCN0443"/>
    <s v="MC0907_12"/>
    <x v="9"/>
    <n v="2"/>
    <s v="Mercentile "/>
    <d v="2018-09-07T00:00:00"/>
    <x v="6"/>
    <d v="1899-12-30T01:28:00"/>
    <s v="Overcast"/>
    <s v="WO/OS"/>
    <s v="Caching"/>
    <s v="Spruce"/>
    <n v="0"/>
    <m/>
    <x v="0"/>
    <x v="0"/>
    <x v="0"/>
    <s v="Unknown"/>
    <s v="Spruce trunk under bark"/>
    <x v="0"/>
    <x v="1"/>
    <x v="8"/>
    <s v="Unknown"/>
    <s v="unknown"/>
    <x v="0"/>
    <s v="Did not mark (did not recognize as cache while in field)"/>
    <m/>
    <m/>
    <m/>
    <m/>
    <n v="0"/>
    <n v="0"/>
    <n v="0"/>
    <n v="0"/>
    <n v="0"/>
    <n v="0"/>
    <n v="0"/>
    <s v="Searching "/>
    <m/>
    <m/>
    <m/>
  </r>
  <r>
    <s v="DSCN0501"/>
    <s v="BU0908_7"/>
    <x v="2"/>
    <n v="1"/>
    <s v="BU"/>
    <d v="2018-09-08T00:00:00"/>
    <x v="6"/>
    <d v="1899-12-30T00:32:00"/>
    <m/>
    <s v="GR/PS"/>
    <s v="Foraging/Caching"/>
    <s v="Spruce"/>
    <n v="1"/>
    <m/>
    <x v="0"/>
    <x v="2"/>
    <x v="39"/>
    <s v="Ground"/>
    <s v="Interior spruce foliage"/>
    <x v="0"/>
    <x v="0"/>
    <x v="2"/>
    <s v="Unknown"/>
    <s v="unknown"/>
    <x v="0"/>
    <n v="63.724640000000001"/>
    <n v="148.95958999999999"/>
    <m/>
    <m/>
    <m/>
    <n v="0"/>
    <n v="0"/>
    <n v="0"/>
    <n v="0"/>
    <n v="19"/>
    <n v="0"/>
    <n v="19"/>
    <s v="Searching "/>
    <m/>
    <m/>
    <m/>
  </r>
  <r>
    <s v="DSCN0504"/>
    <s v="BU0908_9"/>
    <x v="7"/>
    <n v="1"/>
    <s v="BU"/>
    <d v="2018-09-08T00:00:00"/>
    <x v="6"/>
    <d v="1899-12-30T00:37:00"/>
    <m/>
    <s v="GR/PS"/>
    <s v="Foraging"/>
    <s v="Spruce"/>
    <n v="1"/>
    <m/>
    <x v="0"/>
    <x v="0"/>
    <x v="42"/>
    <s v="Ground"/>
    <s v="Interior spruce foliage"/>
    <x v="0"/>
    <x v="0"/>
    <x v="2"/>
    <s v="Unknown"/>
    <s v="unknown"/>
    <x v="0"/>
    <n v="63.724620000000002"/>
    <n v="148.95992000000001"/>
    <m/>
    <m/>
    <m/>
    <n v="0"/>
    <n v="0"/>
    <n v="0"/>
    <n v="0"/>
    <n v="0"/>
    <n v="0"/>
    <n v="0"/>
    <m/>
    <s v="Missed acquisition on camera"/>
    <m/>
    <m/>
  </r>
  <r>
    <s v="DSCN0497"/>
    <s v="BU0908_5"/>
    <x v="5"/>
    <n v="1"/>
    <s v="BU"/>
    <d v="2018-09-08T00:00:00"/>
    <x v="6"/>
    <d v="1899-12-30T00:19:00"/>
    <m/>
    <s v="GR/PS"/>
    <s v="Caching"/>
    <s v="Spruce"/>
    <n v="0"/>
    <m/>
    <x v="0"/>
    <x v="2"/>
    <x v="39"/>
    <s v="Ground"/>
    <s v="Interior spruce foliage"/>
    <x v="0"/>
    <x v="0"/>
    <x v="2"/>
    <s v="Unknown"/>
    <s v="unknown"/>
    <x v="0"/>
    <n v="63.724820000000001"/>
    <n v="148.95699999999999"/>
    <m/>
    <m/>
    <m/>
    <n v="0"/>
    <n v="0"/>
    <n v="0"/>
    <n v="0"/>
    <n v="0"/>
    <n v="0"/>
    <n v="0"/>
    <m/>
    <m/>
    <m/>
    <m/>
  </r>
  <r>
    <s v="DSCN0503"/>
    <s v="BU0908_8"/>
    <x v="6"/>
    <n v="1"/>
    <s v="BU"/>
    <d v="2018-09-08T00:00:00"/>
    <x v="6"/>
    <d v="1899-12-30T00:21:00"/>
    <m/>
    <s v="GR/PS"/>
    <s v="Caching"/>
    <s v="Spruce"/>
    <n v="0"/>
    <m/>
    <x v="0"/>
    <x v="0"/>
    <x v="0"/>
    <s v="Unknown"/>
    <s v="Interior spruce foliage"/>
    <x v="0"/>
    <x v="0"/>
    <x v="2"/>
    <s v="Unknown"/>
    <s v="unknown"/>
    <x v="0"/>
    <n v="63.724600000000002"/>
    <n v="148.95944"/>
    <m/>
    <m/>
    <m/>
    <n v="0"/>
    <n v="0"/>
    <n v="0"/>
    <n v="0"/>
    <n v="0"/>
    <n v="0"/>
    <n v="0"/>
    <m/>
    <s v="Missed food acquisition an cache but narrated on video.  "/>
    <m/>
    <m/>
  </r>
  <r>
    <s v="DSCN0581"/>
    <s v="M4E0909_4"/>
    <x v="10"/>
    <n v="1"/>
    <s v="Mile 4 East "/>
    <d v="2018-09-09T00:00:00"/>
    <x v="6"/>
    <d v="1899-12-30T01:01:00"/>
    <s v="Full sun"/>
    <s v="WO/RS"/>
    <s v="Foraging/Caching"/>
    <s v="Spruce"/>
    <n v="1"/>
    <m/>
    <x v="0"/>
    <x v="0"/>
    <x v="0"/>
    <s v="Ground"/>
    <s v="Exterior spruce foliage"/>
    <x v="0"/>
    <x v="2"/>
    <x v="2"/>
    <s v="Unknown"/>
    <s v="unknown"/>
    <x v="0"/>
    <s v="Did not mark (did not recognize as cache while in field)"/>
    <m/>
    <m/>
    <m/>
    <m/>
    <n v="0"/>
    <n v="0"/>
    <n v="0"/>
    <n v="0"/>
    <n v="3"/>
    <n v="0"/>
    <n v="3"/>
    <m/>
    <s v="Not sure about cache but suspected in field"/>
    <m/>
    <m/>
  </r>
  <r>
    <s v="DSCN0583"/>
    <s v="M4E0909_5"/>
    <x v="5"/>
    <n v="1"/>
    <s v="Mile 4 East "/>
    <d v="2018-09-09T00:00:00"/>
    <x v="6"/>
    <d v="1899-12-30T00:43:00"/>
    <s v="Full sun"/>
    <s v="WO/RS"/>
    <s v="Foraging/Caching"/>
    <s v="Spruce"/>
    <n v="1"/>
    <m/>
    <x v="0"/>
    <x v="0"/>
    <x v="0"/>
    <s v="Ground"/>
    <s v="Exterior spruce foliage"/>
    <x v="0"/>
    <x v="2"/>
    <x v="2"/>
    <s v="Unknown"/>
    <s v="unknown"/>
    <x v="0"/>
    <n v="63.725580000000001"/>
    <n v="148.98072999999999"/>
    <m/>
    <m/>
    <m/>
    <n v="0"/>
    <n v="0"/>
    <n v="0"/>
    <n v="0"/>
    <n v="11"/>
    <n v="0"/>
    <n v="11"/>
    <m/>
    <m/>
    <m/>
    <m/>
  </r>
  <r>
    <s v="DSCN0518"/>
    <s v="WW0909_3"/>
    <x v="1"/>
    <n v="1"/>
    <s v="Wac West"/>
    <d v="2018-09-09T00:00:00"/>
    <x v="6"/>
    <d v="1899-12-30T01:18:00"/>
    <s v="Full sun"/>
    <s v="BP/PS"/>
    <s v="Caching"/>
    <s v="Spruce"/>
    <n v="0"/>
    <m/>
    <x v="2"/>
    <x v="5"/>
    <x v="43"/>
    <s v="Food brought to branch of spruce by bird during watch"/>
    <s v="Exterior bare spruce branch under bark "/>
    <x v="0"/>
    <x v="2"/>
    <x v="8"/>
    <s v="Unknown"/>
    <s v="unknown"/>
    <x v="3"/>
    <n v="63.739269999999998"/>
    <n v="148.90099000000001"/>
    <m/>
    <m/>
    <m/>
    <n v="0"/>
    <n v="0"/>
    <n v="0"/>
    <n v="0"/>
    <n v="0"/>
    <n v="0"/>
    <n v="0"/>
    <m/>
    <s v="One consecutive caching event with same food item.  Item was in the tree it cached in multiple times."/>
    <m/>
    <m/>
  </r>
  <r>
    <s v="DSCN0518"/>
    <s v="WW0909_3"/>
    <x v="1"/>
    <n v="2"/>
    <s v="Wac West"/>
    <d v="2018-09-09T00:00:00"/>
    <x v="6"/>
    <d v="1899-12-30T01:18:00"/>
    <s v="Full sun"/>
    <s v="BP/PS"/>
    <s v="Caching"/>
    <s v="Spruce"/>
    <n v="0"/>
    <m/>
    <x v="0"/>
    <x v="5"/>
    <x v="43"/>
    <s v="Food brought to branch of spruce by bird during watch"/>
    <s v="Exterior bare branch of shrub"/>
    <x v="5"/>
    <x v="2"/>
    <x v="11"/>
    <s v="Unknown"/>
    <s v="unknown"/>
    <x v="7"/>
    <n v="63.739319999999999"/>
    <n v="148.90099000000001"/>
    <m/>
    <m/>
    <m/>
    <n v="0"/>
    <n v="0"/>
    <n v="0"/>
    <n v="0"/>
    <n v="0"/>
    <n v="0"/>
    <n v="0"/>
    <m/>
    <m/>
    <m/>
    <m/>
  </r>
  <r>
    <s v="DSCN0519"/>
    <s v="WW0909_4"/>
    <x v="10"/>
    <n v="1"/>
    <s v="Wac West"/>
    <d v="2018-09-09T00:00:00"/>
    <x v="6"/>
    <d v="1899-12-30T01:30:00"/>
    <s v="Full sun"/>
    <s v="BP/PS"/>
    <s v="Caching"/>
    <s v="Spruce"/>
    <n v="0"/>
    <m/>
    <x v="1"/>
    <x v="5"/>
    <x v="43"/>
    <s v="Food brought to branch of spruce by bird during watch"/>
    <s v="Interior bare spruce branch under bark"/>
    <x v="0"/>
    <x v="0"/>
    <x v="8"/>
    <s v="Unknown"/>
    <s v="unknown"/>
    <x v="3"/>
    <n v="63.739249999999998"/>
    <n v="148.90089"/>
    <m/>
    <m/>
    <m/>
    <n v="0"/>
    <n v="0"/>
    <n v="0"/>
    <n v="0"/>
    <n v="0"/>
    <n v="0"/>
    <n v="0"/>
    <m/>
    <s v="Item from previous video was moved to focal tree in this video. "/>
    <m/>
    <m/>
  </r>
  <r>
    <s v="DSCN0520"/>
    <s v="WW0909_5"/>
    <x v="5"/>
    <n v="1"/>
    <s v="Wac West"/>
    <d v="2018-09-09T00:00:00"/>
    <x v="6"/>
    <d v="1899-12-30T00:38:00"/>
    <s v="Full sun"/>
    <s v="BP/PS"/>
    <s v="Caching"/>
    <s v="Spruce"/>
    <n v="0"/>
    <m/>
    <x v="0"/>
    <x v="5"/>
    <x v="43"/>
    <s v="Food brought to branch of spruce by bird during watch"/>
    <s v="branch of small dead spruce, under bark "/>
    <x v="0"/>
    <x v="2"/>
    <x v="8"/>
    <s v="Unknown"/>
    <s v="unknown"/>
    <x v="20"/>
    <n v="63.739339999999999"/>
    <n v="148.90071"/>
    <m/>
    <m/>
    <m/>
    <n v="0"/>
    <n v="0"/>
    <n v="0"/>
    <n v="0"/>
    <n v="0"/>
    <n v="0"/>
    <n v="0"/>
    <m/>
    <m/>
    <m/>
    <m/>
  </r>
  <r>
    <s v="DSCN0521"/>
    <s v="WW0909_6"/>
    <x v="11"/>
    <n v="1"/>
    <s v="Wac West"/>
    <d v="2018-09-09T00:00:00"/>
    <x v="6"/>
    <d v="1899-12-30T03:08:00"/>
    <s v="Full sun"/>
    <s v="BP/PS"/>
    <s v="Caching"/>
    <s v="Spruce"/>
    <n v="0"/>
    <m/>
    <x v="0"/>
    <x v="5"/>
    <x v="43"/>
    <s v="Food brought to branch of spruce by bird during watch"/>
    <s v="Interior spruce branch under bark"/>
    <x v="0"/>
    <x v="0"/>
    <x v="8"/>
    <s v="Unknown"/>
    <s v="unknown"/>
    <x v="32"/>
    <n v="63.73912"/>
    <n v="148.90092000000001"/>
    <m/>
    <m/>
    <m/>
    <n v="0"/>
    <n v="0"/>
    <n v="0"/>
    <n v="0"/>
    <n v="0"/>
    <n v="0"/>
    <n v="0"/>
    <m/>
    <m/>
    <m/>
    <m/>
  </r>
  <r>
    <s v="DSCN0521"/>
    <s v="WW0909_6"/>
    <x v="11"/>
    <n v="2"/>
    <s v="Wac West"/>
    <d v="2018-09-09T00:00:00"/>
    <x v="6"/>
    <d v="1899-12-30T03:08:00"/>
    <s v="Full sun"/>
    <s v="BP/PS"/>
    <s v="Caching"/>
    <s v="Spruce"/>
    <n v="0"/>
    <m/>
    <x v="0"/>
    <x v="5"/>
    <x v="43"/>
    <s v="Food brought to branch of spruce by bird during watch"/>
    <s v="Exterior spruce branch under bark"/>
    <x v="0"/>
    <x v="2"/>
    <x v="8"/>
    <s v="Unknown"/>
    <s v="unknown"/>
    <x v="32"/>
    <n v="63.73912"/>
    <n v="148.90092000000001"/>
    <m/>
    <m/>
    <m/>
    <n v="0"/>
    <n v="0"/>
    <n v="0"/>
    <n v="0"/>
    <n v="0"/>
    <n v="0"/>
    <n v="0"/>
    <m/>
    <m/>
    <m/>
    <m/>
  </r>
  <r>
    <s v="DSCN0521"/>
    <s v="WW0909_6"/>
    <x v="11"/>
    <n v="3"/>
    <s v="Wac West"/>
    <d v="2018-09-09T00:00:00"/>
    <x v="6"/>
    <d v="1899-12-30T03:08:00"/>
    <s v="Full sun"/>
    <s v="BP/PS"/>
    <s v="Caching"/>
    <s v="Spruce"/>
    <n v="0"/>
    <m/>
    <x v="0"/>
    <x v="5"/>
    <x v="43"/>
    <s v="Food brought to branch of spruce by bird during watch"/>
    <s v="Interior spruce branch under bark"/>
    <x v="0"/>
    <x v="0"/>
    <x v="8"/>
    <s v="Unknown"/>
    <s v="unknown"/>
    <x v="32"/>
    <n v="63.73912"/>
    <n v="148.90092000000001"/>
    <m/>
    <m/>
    <m/>
    <n v="0"/>
    <n v="0"/>
    <n v="0"/>
    <n v="0"/>
    <n v="0"/>
    <n v="0"/>
    <n v="0"/>
    <m/>
    <m/>
    <m/>
    <m/>
  </r>
  <r>
    <s v="DSCN0521"/>
    <s v="WW0909_6"/>
    <x v="11"/>
    <n v="4"/>
    <s v="Wac West"/>
    <d v="2018-09-09T00:00:00"/>
    <x v="6"/>
    <d v="1899-12-30T03:08:00"/>
    <s v="Full sun"/>
    <s v="BP/PS"/>
    <s v="Caching"/>
    <s v="Spruce"/>
    <n v="0"/>
    <m/>
    <x v="0"/>
    <x v="5"/>
    <x v="43"/>
    <s v="Food brought to branch of spruce by bird during watch"/>
    <s v="Interior spruce branch under witchhair"/>
    <x v="0"/>
    <x v="0"/>
    <x v="13"/>
    <s v="Unknown"/>
    <s v="unknown"/>
    <x v="32"/>
    <n v="63.73912"/>
    <n v="148.90092000000001"/>
    <m/>
    <m/>
    <m/>
    <n v="0"/>
    <n v="0"/>
    <n v="0"/>
    <n v="0"/>
    <n v="0"/>
    <n v="0"/>
    <n v="0"/>
    <m/>
    <m/>
    <m/>
    <m/>
  </r>
  <r>
    <s v="DSCN0521"/>
    <s v="WW0909_6"/>
    <x v="11"/>
    <n v="5"/>
    <s v="Wac West"/>
    <d v="2018-09-09T00:00:00"/>
    <x v="6"/>
    <d v="1899-12-30T03:08:00"/>
    <s v="Full sun"/>
    <s v="BP/PS"/>
    <s v="Caching"/>
    <s v="Spruce"/>
    <n v="0"/>
    <m/>
    <x v="0"/>
    <x v="5"/>
    <x v="43"/>
    <s v="Food brought to branch of spruce by bird during watch"/>
    <s v="Exterior spruce branch under bark"/>
    <x v="0"/>
    <x v="2"/>
    <x v="8"/>
    <s v="Unknown"/>
    <s v="unknown"/>
    <x v="32"/>
    <n v="63.739150000000002"/>
    <n v="148.9008"/>
    <m/>
    <m/>
    <m/>
    <n v="0"/>
    <n v="0"/>
    <n v="0"/>
    <n v="0"/>
    <n v="0"/>
    <n v="0"/>
    <n v="0"/>
    <m/>
    <m/>
    <m/>
    <m/>
  </r>
  <r>
    <s v="DSCN0521"/>
    <s v="WW0909_6"/>
    <x v="11"/>
    <n v="6"/>
    <s v="Wac West"/>
    <d v="2018-09-09T00:00:00"/>
    <x v="6"/>
    <d v="1899-12-30T03:08:00"/>
    <s v="Full sun"/>
    <s v="BP/PS"/>
    <s v="Caching"/>
    <s v="Spruce"/>
    <n v="0"/>
    <m/>
    <x v="0"/>
    <x v="5"/>
    <x v="43"/>
    <s v="Food brought to branch of spruce by bird during watch"/>
    <s v="Interior spruce branch under bark"/>
    <x v="0"/>
    <x v="0"/>
    <x v="8"/>
    <s v="Unknown"/>
    <s v="unknown"/>
    <x v="32"/>
    <n v="63.73912"/>
    <n v="148.90092000000001"/>
    <m/>
    <m/>
    <m/>
    <n v="0"/>
    <n v="0"/>
    <n v="0"/>
    <n v="0"/>
    <n v="0"/>
    <n v="0"/>
    <n v="0"/>
    <m/>
    <m/>
    <m/>
    <m/>
  </r>
  <r>
    <s v="DSCN0521"/>
    <s v="WW0909_6"/>
    <x v="11"/>
    <n v="7"/>
    <s v="Wac West"/>
    <d v="2018-09-09T00:00:00"/>
    <x v="6"/>
    <d v="1899-12-30T03:08:00"/>
    <s v="Full sun"/>
    <s v="BP/PS"/>
    <s v="Caching"/>
    <s v="Spruce"/>
    <n v="0"/>
    <m/>
    <x v="0"/>
    <x v="5"/>
    <x v="43"/>
    <s v="Food brought to branch of spruce by bird during watch"/>
    <s v="Interior spruce branch under bark"/>
    <x v="0"/>
    <x v="0"/>
    <x v="8"/>
    <s v="Unknown"/>
    <s v="unknown"/>
    <x v="32"/>
    <n v="63.739150000000002"/>
    <n v="148.9008"/>
    <m/>
    <m/>
    <m/>
    <n v="0"/>
    <n v="0"/>
    <n v="0"/>
    <n v="0"/>
    <n v="0"/>
    <n v="0"/>
    <n v="0"/>
    <m/>
    <m/>
    <m/>
    <m/>
  </r>
  <r>
    <s v="DSCN0521"/>
    <s v="WW0909_6"/>
    <x v="11"/>
    <n v="8"/>
    <s v="Wac West"/>
    <d v="2018-09-09T00:00:00"/>
    <x v="6"/>
    <d v="1899-12-30T03:08:00"/>
    <s v="Full sun"/>
    <s v="BP/PS"/>
    <s v="Caching"/>
    <s v="Spruce"/>
    <n v="0"/>
    <m/>
    <x v="0"/>
    <x v="5"/>
    <x v="43"/>
    <s v="Food brought to branch of spruce by bird during watch"/>
    <s v="Interior spruce branch under bark"/>
    <x v="0"/>
    <x v="0"/>
    <x v="8"/>
    <s v="Unknown"/>
    <s v="unknown"/>
    <x v="25"/>
    <n v="63.73912"/>
    <n v="148.90076999999999"/>
    <m/>
    <m/>
    <m/>
    <n v="0"/>
    <n v="0"/>
    <n v="0"/>
    <n v="0"/>
    <n v="0"/>
    <n v="0"/>
    <n v="0"/>
    <m/>
    <m/>
    <m/>
    <m/>
  </r>
  <r>
    <s v="DSCN0522"/>
    <s v="WW0909_7"/>
    <x v="2"/>
    <n v="1"/>
    <s v="Wac West"/>
    <d v="2018-09-09T00:00:00"/>
    <x v="6"/>
    <d v="1899-12-30T00:14:00"/>
    <s v="Full sun"/>
    <s v="BP/PS"/>
    <s v="Caching"/>
    <s v="Spruce"/>
    <n v="0"/>
    <m/>
    <x v="0"/>
    <x v="5"/>
    <x v="43"/>
    <s v="Food brought to branch of spruce by bird during watch"/>
    <s v="Exterior spruce branch under bark/witch hair"/>
    <x v="0"/>
    <x v="2"/>
    <x v="13"/>
    <s v="Unknown"/>
    <s v="unknown"/>
    <x v="32"/>
    <n v="63.73912"/>
    <n v="148.90092000000001"/>
    <m/>
    <m/>
    <m/>
    <n v="0"/>
    <n v="0"/>
    <n v="0"/>
    <n v="0"/>
    <n v="0"/>
    <n v="0"/>
    <n v="0"/>
    <m/>
    <s v="Same as WW0909_6  (63.73912, 148.90092)"/>
    <m/>
    <m/>
  </r>
  <r>
    <s v="DSCN0523"/>
    <s v="WW0909_8"/>
    <x v="6"/>
    <n v="1"/>
    <s v="Wac West"/>
    <d v="2018-09-09T00:00:00"/>
    <x v="6"/>
    <d v="1899-12-30T02:25:00"/>
    <s v="Full sun"/>
    <s v="BP/PS"/>
    <s v="Caching"/>
    <s v="Spruce"/>
    <n v="0"/>
    <m/>
    <x v="1"/>
    <x v="5"/>
    <x v="43"/>
    <s v="Food brought to branch of spruce by bird during watch"/>
    <s v="Interior bare spruce branch under bark"/>
    <x v="0"/>
    <x v="0"/>
    <x v="8"/>
    <s v="Unknown"/>
    <s v="unknown"/>
    <x v="14"/>
    <n v="63.739170000000001"/>
    <n v="148.90096"/>
    <m/>
    <m/>
    <m/>
    <n v="0"/>
    <n v="0"/>
    <n v="0"/>
    <n v="0"/>
    <n v="0"/>
    <n v="0"/>
    <n v="0"/>
    <m/>
    <m/>
    <m/>
    <m/>
  </r>
  <r>
    <s v="DSCN0523"/>
    <s v="WW0909_8"/>
    <x v="6"/>
    <n v="2"/>
    <s v="Wac West"/>
    <d v="2018-09-09T00:00:00"/>
    <x v="6"/>
    <d v="1899-12-30T02:25:00"/>
    <s v="Full sun"/>
    <s v="BP/PS"/>
    <s v="Caching"/>
    <s v="Spruce"/>
    <n v="0"/>
    <m/>
    <x v="1"/>
    <x v="5"/>
    <x v="43"/>
    <s v="Food brought to branch of spruce by bird during watch"/>
    <s v="Interior bare spruce branch under bark"/>
    <x v="0"/>
    <x v="0"/>
    <x v="8"/>
    <s v="Unknown"/>
    <s v="unknown"/>
    <x v="14"/>
    <n v="63.739159999999998"/>
    <n v="148.90085999999999"/>
    <m/>
    <m/>
    <m/>
    <n v="0"/>
    <n v="0"/>
    <n v="0"/>
    <n v="0"/>
    <n v="0"/>
    <n v="0"/>
    <n v="0"/>
    <m/>
    <m/>
    <m/>
    <m/>
  </r>
  <r>
    <s v="DSCN0523"/>
    <s v="WW0909_8"/>
    <x v="6"/>
    <n v="3"/>
    <s v="Wac West"/>
    <d v="2018-09-09T00:00:00"/>
    <x v="6"/>
    <d v="1899-12-30T02:25:00"/>
    <s v="Full sun"/>
    <s v="BP/PS"/>
    <s v="Caching"/>
    <s v="Spruce"/>
    <n v="0"/>
    <m/>
    <x v="0"/>
    <x v="5"/>
    <x v="43"/>
    <s v="Food brought to branch of spruce by bird during watch"/>
    <s v="Interior bare spruce branch under bark"/>
    <x v="0"/>
    <x v="0"/>
    <x v="8"/>
    <s v="Unknown"/>
    <s v="unknown"/>
    <x v="14"/>
    <n v="63.73921"/>
    <n v="148.90101999999999"/>
    <m/>
    <m/>
    <m/>
    <n v="0"/>
    <n v="0"/>
    <n v="0"/>
    <n v="0"/>
    <n v="0"/>
    <n v="0"/>
    <n v="0"/>
    <m/>
    <m/>
    <m/>
    <m/>
  </r>
  <r>
    <s v="DSCN0615"/>
    <s v="MC0911_5"/>
    <x v="5"/>
    <n v="2"/>
    <s v="Mercentile "/>
    <d v="2018-09-11T00:00:00"/>
    <x v="6"/>
    <d v="1899-12-30T00:29:00"/>
    <s v="Full sun"/>
    <s v="BW/GS"/>
    <s v="Foraging and caching"/>
    <s v="NA"/>
    <n v="1"/>
    <m/>
    <x v="0"/>
    <x v="2"/>
    <x v="39"/>
    <s v="Ground"/>
    <s v="Exterior spruce foliage"/>
    <x v="0"/>
    <x v="2"/>
    <x v="2"/>
    <s v="Unknown"/>
    <s v="unknown"/>
    <x v="0"/>
    <s v="Did not mark (did not recognize as cache while in field)"/>
    <m/>
    <m/>
    <m/>
    <m/>
    <n v="0"/>
    <n v="0"/>
    <n v="0"/>
    <n v="0"/>
    <n v="0"/>
    <n v="0"/>
    <n v="0"/>
    <m/>
    <s v="Took about four pieces of same mushroom before flying up to cache on a spruce branch"/>
    <m/>
    <m/>
  </r>
  <r>
    <s v="DSCN0591"/>
    <s v="RC0911_3"/>
    <x v="1"/>
    <n v="1"/>
    <s v="Rock Creek"/>
    <d v="2018-09-11T00:00:00"/>
    <x v="6"/>
    <d v="1899-12-30T00:00:07"/>
    <s v="Full sun"/>
    <s v="unknown"/>
    <s v="Food handling/caching"/>
    <s v="Spruce"/>
    <n v="1"/>
    <m/>
    <x v="0"/>
    <x v="0"/>
    <x v="0"/>
    <s v="Unknown"/>
    <s v="Interior spruce branch, but bare part of brach between foliage.  "/>
    <x v="0"/>
    <x v="0"/>
    <x v="11"/>
    <s v="Unknown"/>
    <s v="unknown"/>
    <x v="0"/>
    <n v="63.722499999999997"/>
    <n v="148.95992000000001"/>
    <m/>
    <m/>
    <m/>
    <n v="0"/>
    <n v="0"/>
    <n v="0"/>
    <n v="0"/>
    <n v="0"/>
    <n v="0"/>
    <n v="0"/>
    <m/>
    <s v="Saw bird eating unidentified food, appeared to leave some in tree so we marked it as a cache. "/>
    <m/>
    <m/>
  </r>
  <r>
    <s v="DSCN0605"/>
    <s v="TC0911_1"/>
    <x v="0"/>
    <n v="1"/>
    <s v="Trail Camp"/>
    <d v="2018-09-11T00:00:00"/>
    <x v="6"/>
    <d v="1899-12-30T00:45:00"/>
    <s v="Full sun"/>
    <s v="Unbanded"/>
    <s v="Foraging"/>
    <s v="Spruce"/>
    <n v="1"/>
    <m/>
    <x v="0"/>
    <x v="0"/>
    <x v="44"/>
    <s v="Exterior foliated spruce"/>
    <s v="Exterior spruce foliage"/>
    <x v="0"/>
    <x v="2"/>
    <x v="2"/>
    <s v="Unknown"/>
    <s v="unknown"/>
    <x v="0"/>
    <n v="63.731929999999998"/>
    <n v="148.8989"/>
    <m/>
    <m/>
    <m/>
    <n v="0"/>
    <n v="0"/>
    <n v="0"/>
    <n v="0"/>
    <n v="0"/>
    <n v="0"/>
    <n v="0"/>
    <m/>
    <m/>
    <m/>
    <m/>
  </r>
  <r>
    <s v="DSCN0600"/>
    <s v="CC0911_1"/>
    <x v="0"/>
    <n v="1"/>
    <s v="Ccamp"/>
    <d v="2018-09-11T00:00:00"/>
    <x v="6"/>
    <d v="1899-12-30T00:08:00"/>
    <s v="Full sun"/>
    <s v="unknown"/>
    <s v="Caching"/>
    <s v="Spruce"/>
    <n v="0"/>
    <m/>
    <x v="0"/>
    <x v="0"/>
    <x v="0"/>
    <s v="NA"/>
    <s v="Spruce trunk under bark "/>
    <x v="0"/>
    <x v="1"/>
    <x v="8"/>
    <s v="Unknown"/>
    <s v="unknown"/>
    <x v="0"/>
    <n v="63.723460000000003"/>
    <n v="148.94909999999999"/>
    <m/>
    <m/>
    <m/>
    <n v="0"/>
    <n v="0"/>
    <n v="0"/>
    <n v="0"/>
    <n v="0"/>
    <n v="0"/>
    <n v="0"/>
    <m/>
    <m/>
    <m/>
    <m/>
  </r>
  <r>
    <s v="DSCN0602"/>
    <s v="CC0911_3"/>
    <x v="1"/>
    <n v="1"/>
    <s v="Ccamp"/>
    <d v="2018-09-11T00:00:00"/>
    <x v="6"/>
    <d v="1899-12-30T00:55:00"/>
    <s v="Full sun"/>
    <s v="GR/RS"/>
    <s v="Caching"/>
    <s v="Spruce"/>
    <n v="0"/>
    <m/>
    <x v="0"/>
    <x v="6"/>
    <x v="45"/>
    <s v="Ground"/>
    <s v="Interior spruce foliage"/>
    <x v="0"/>
    <x v="2"/>
    <x v="2"/>
    <s v="Unknown"/>
    <s v="unknown"/>
    <x v="0"/>
    <n v="63.723739999999999"/>
    <n v="148.94995"/>
    <m/>
    <m/>
    <m/>
    <n v="0"/>
    <n v="0"/>
    <n v="0"/>
    <n v="0"/>
    <n v="0"/>
    <n v="0"/>
    <n v="0"/>
    <m/>
    <s v="Caching from previous food acquisition video.  "/>
    <m/>
    <m/>
  </r>
  <r>
    <s v="DSCN0602"/>
    <s v="CC0911_3"/>
    <x v="1"/>
    <n v="2"/>
    <s v="Ccamp"/>
    <d v="2018-09-11T00:00:00"/>
    <x v="6"/>
    <d v="1899-12-30T00:55:00"/>
    <s v="Full sun"/>
    <s v="GR/RS"/>
    <s v="Caching"/>
    <s v="Spruce"/>
    <n v="0"/>
    <m/>
    <x v="0"/>
    <x v="6"/>
    <x v="45"/>
    <s v="Ground"/>
    <s v="Exterior spruce foliage"/>
    <x v="0"/>
    <x v="2"/>
    <x v="2"/>
    <s v="Unknown"/>
    <s v="unknown"/>
    <x v="0"/>
    <n v="63.723739999999999"/>
    <n v="148.94995"/>
    <m/>
    <m/>
    <m/>
    <n v="0"/>
    <n v="0"/>
    <n v="0"/>
    <n v="0"/>
    <n v="0"/>
    <n v="0"/>
    <n v="0"/>
    <m/>
    <s v="Caching from previous food acquisition video.  Cached in same tree as previous event.  "/>
    <m/>
    <m/>
  </r>
  <r>
    <s v="DSCN0606"/>
    <s v="MC0911_1"/>
    <x v="0"/>
    <n v="1"/>
    <s v="Mercentile "/>
    <d v="2018-09-11T00:00:00"/>
    <x v="6"/>
    <d v="1899-12-30T00:21:00"/>
    <s v="Full sun"/>
    <s v="BW/GS"/>
    <s v="Caching"/>
    <s v="Aspen"/>
    <n v="0"/>
    <m/>
    <x v="0"/>
    <x v="0"/>
    <x v="0"/>
    <s v="Unknown"/>
    <s v="Aspen trunk"/>
    <x v="1"/>
    <x v="1"/>
    <x v="14"/>
    <s v="Unknown"/>
    <s v="unknown"/>
    <x v="0"/>
    <s v="Did not mark (did not recognize as cache while in field)"/>
    <m/>
    <m/>
    <m/>
    <m/>
    <n v="0"/>
    <n v="0"/>
    <n v="0"/>
    <n v="0"/>
    <n v="0"/>
    <n v="0"/>
    <n v="0"/>
    <m/>
    <m/>
    <m/>
    <m/>
  </r>
  <r>
    <s v="DSCN0616"/>
    <s v="MC0911_6"/>
    <x v="11"/>
    <n v="1"/>
    <s v="Mercentile "/>
    <d v="2018-09-11T00:00:00"/>
    <x v="6"/>
    <d v="1899-12-30T00:39:00"/>
    <s v="Full sun"/>
    <s v="BW/GS"/>
    <s v="Caching"/>
    <s v="Aspen"/>
    <n v="0"/>
    <m/>
    <x v="0"/>
    <x v="3"/>
    <x v="46"/>
    <s v="Unknown"/>
    <s v="Exterior aspen branch"/>
    <x v="1"/>
    <x v="2"/>
    <x v="11"/>
    <s v="Unknown"/>
    <s v="unknown"/>
    <x v="0"/>
    <n v="63.735460000000003"/>
    <n v="148.89166"/>
    <m/>
    <m/>
    <m/>
    <n v="0"/>
    <n v="0"/>
    <n v="0"/>
    <n v="0"/>
    <n v="0"/>
    <n v="0"/>
    <n v="0"/>
    <m/>
    <s v="Video started after bird had grabbed a caterpillar, looks like it caches it on an aspen branch"/>
    <m/>
    <m/>
  </r>
  <r>
    <s v="DSCN0593"/>
    <s v="RC0911_4"/>
    <x v="10"/>
    <n v="1"/>
    <s v="Rock Creek"/>
    <d v="2018-09-11T00:00:00"/>
    <x v="6"/>
    <d v="1899-12-30T00:24:00"/>
    <s v="Full sun"/>
    <s v="NA"/>
    <s v="Caching"/>
    <s v="Spruce"/>
    <n v="0"/>
    <m/>
    <x v="0"/>
    <x v="0"/>
    <x v="0"/>
    <s v="NA"/>
    <s v="Interior spruce foliage "/>
    <x v="0"/>
    <x v="0"/>
    <x v="2"/>
    <s v="Unknown"/>
    <s v="unknown"/>
    <x v="0"/>
    <n v="63.722520000000003"/>
    <n v="148.95984000000001"/>
    <m/>
    <m/>
    <m/>
    <n v="0"/>
    <n v="0"/>
    <n v="0"/>
    <n v="0"/>
    <n v="0"/>
    <n v="0"/>
    <n v="0"/>
    <m/>
    <s v="Cached food item seen eating in RC0911_3 in a separate tree. "/>
    <m/>
    <m/>
  </r>
  <r>
    <s v="DSCN0648"/>
    <s v="M2370912_6"/>
    <x v="11"/>
    <n v="1"/>
    <s v="Mile 237"/>
    <d v="2018-09-12T00:00:00"/>
    <x v="6"/>
    <d v="1899-12-30T00:41:00"/>
    <s v="Overcast"/>
    <s v="YP/RS"/>
    <s v="Foraging/Caching"/>
    <s v="Spruce"/>
    <s v="unknown"/>
    <m/>
    <x v="0"/>
    <x v="0"/>
    <x v="0"/>
    <s v="NA"/>
    <s v="Interior spruce foliage "/>
    <x v="0"/>
    <x v="0"/>
    <x v="2"/>
    <s v="Unknown"/>
    <s v="unknown"/>
    <x v="0"/>
    <n v="63.725769999999997"/>
    <n v="148.89005"/>
    <m/>
    <m/>
    <m/>
    <n v="0"/>
    <n v="0"/>
    <n v="0"/>
    <n v="0"/>
    <n v="8"/>
    <n v="0"/>
    <n v="8"/>
    <m/>
    <s v="Cached part of unknown item from M2370912_4"/>
    <m/>
    <m/>
  </r>
  <r>
    <s v="DSCN0677"/>
    <s v="BU0912_5"/>
    <x v="5"/>
    <n v="1"/>
    <s v="BU"/>
    <d v="2018-09-12T00:00:00"/>
    <x v="6"/>
    <d v="1899-12-30T00:41:00"/>
    <s v="Overcast"/>
    <s v="unknown"/>
    <s v="Food handling"/>
    <s v="Spruce"/>
    <n v="1"/>
    <m/>
    <x v="0"/>
    <x v="0"/>
    <x v="0"/>
    <s v="Unknown"/>
    <s v="Spruce"/>
    <x v="0"/>
    <x v="3"/>
    <x v="4"/>
    <s v="Unknown"/>
    <s v="unknown"/>
    <x v="0"/>
    <n v="63.726739999999999"/>
    <n v="148.95921000000001"/>
    <m/>
    <m/>
    <m/>
    <n v="0"/>
    <n v="0"/>
    <n v="0"/>
    <n v="0"/>
    <n v="0"/>
    <n v="0"/>
    <n v="0"/>
    <m/>
    <s v="Unconfirmed caching (observed by Noah S.)"/>
    <m/>
    <m/>
  </r>
  <r>
    <s v="DSCN0686"/>
    <s v="BU0912_8"/>
    <x v="6"/>
    <n v="1"/>
    <s v="BU"/>
    <d v="2018-09-12T00:00:00"/>
    <x v="6"/>
    <d v="1899-12-30T00:26:00"/>
    <s v="Overcast"/>
    <s v="GR/PS"/>
    <s v="Caching"/>
    <s v="Spruce"/>
    <n v="1"/>
    <m/>
    <x v="0"/>
    <x v="0"/>
    <x v="0"/>
    <s v="Interior spruce foliage"/>
    <s v="Exterior spruce foliage"/>
    <x v="0"/>
    <x v="2"/>
    <x v="2"/>
    <s v="Unknown"/>
    <s v="unknown"/>
    <x v="0"/>
    <n v="63.725990000000003"/>
    <n v="148.95717999999999"/>
    <m/>
    <m/>
    <m/>
    <n v="0"/>
    <n v="0"/>
    <n v="0"/>
    <n v="0"/>
    <n v="0"/>
    <n v="0"/>
    <n v="0"/>
    <m/>
    <s v="Notes about food acquisition based on unrecorded observations "/>
    <m/>
    <m/>
  </r>
  <r>
    <s v="DSCN0645"/>
    <s v="M2370912_4"/>
    <x v="10"/>
    <n v="1"/>
    <s v="Mile 237"/>
    <d v="2018-09-12T00:00:00"/>
    <x v="6"/>
    <d v="1899-12-30T01:03:00"/>
    <s v="Overcast"/>
    <s v="YP/RS"/>
    <s v="Foraging/Caching"/>
    <s v="Spruce"/>
    <n v="1"/>
    <m/>
    <x v="0"/>
    <x v="0"/>
    <x v="0"/>
    <s v="Exterior foliated spruce"/>
    <s v="Exterior spruce foliage"/>
    <x v="0"/>
    <x v="2"/>
    <x v="2"/>
    <s v="Unknown"/>
    <s v="unknown"/>
    <x v="0"/>
    <s v="Did not mark (did not recognize as cache while in field)"/>
    <m/>
    <m/>
    <m/>
    <m/>
    <n v="0"/>
    <n v="2"/>
    <n v="0"/>
    <n v="2"/>
    <n v="0"/>
    <n v="0"/>
    <n v="2"/>
    <m/>
    <s v="Appeared to cache something in foliage (but unconfirmed) then went and retrieved food item. Food item is unknown but maybe congealed sap or seeds or something.    "/>
    <m/>
    <m/>
  </r>
  <r>
    <s v="DSCN0665"/>
    <s v="BU0912_3"/>
    <x v="1"/>
    <n v="1"/>
    <s v="BU"/>
    <d v="2018-09-12T00:00:00"/>
    <x v="6"/>
    <d v="1899-12-30T00:09:00"/>
    <s v="Overcast"/>
    <s v="WP/BS"/>
    <s v="Caching"/>
    <s v="Spruce"/>
    <n v="0"/>
    <m/>
    <x v="0"/>
    <x v="0"/>
    <x v="0"/>
    <s v="NA"/>
    <s v="Interior foliate spruce, but placed neatly on branch. "/>
    <x v="0"/>
    <x v="0"/>
    <x v="11"/>
    <s v="Unknown"/>
    <s v="unknown"/>
    <x v="0"/>
    <n v="63.725380000000001"/>
    <n v="148.95672999999999"/>
    <m/>
    <m/>
    <m/>
    <n v="0"/>
    <n v="0"/>
    <n v="0"/>
    <n v="0"/>
    <n v="0"/>
    <n v="0"/>
    <n v="0"/>
    <m/>
    <s v="Same food from previous video.  "/>
    <m/>
    <m/>
  </r>
  <r>
    <s v="DSCN0679"/>
    <s v="BU0912_7"/>
    <x v="2"/>
    <n v="1"/>
    <s v="BU"/>
    <d v="2018-09-12T00:00:00"/>
    <x v="6"/>
    <d v="1899-12-30T00:19:00"/>
    <s v="Overcast"/>
    <s v="WP/BS"/>
    <s v="Caching"/>
    <s v="Spruce"/>
    <n v="0"/>
    <m/>
    <x v="0"/>
    <x v="6"/>
    <x v="11"/>
    <s v="NA"/>
    <s v="Exterior bare spruce branch"/>
    <x v="0"/>
    <x v="2"/>
    <x v="11"/>
    <s v="Unknown"/>
    <s v="unknown"/>
    <x v="0"/>
    <n v="63.726410000000001"/>
    <n v="148.95836"/>
    <m/>
    <m/>
    <m/>
    <n v="0"/>
    <n v="0"/>
    <n v="0"/>
    <n v="0"/>
    <n v="0"/>
    <n v="0"/>
    <n v="0"/>
    <m/>
    <m/>
    <m/>
    <m/>
  </r>
  <r>
    <s v="DSCN0619"/>
    <s v="HS0912_1"/>
    <x v="0"/>
    <n v="1"/>
    <s v="Horse Shoe"/>
    <d v="2018-09-12T00:00:00"/>
    <x v="6"/>
    <d v="1899-12-30T00:46:00"/>
    <s v="Overcast"/>
    <s v="GL/PS"/>
    <s v="Caching"/>
    <s v="Spruce"/>
    <n v="0"/>
    <m/>
    <x v="0"/>
    <x v="0"/>
    <x v="0"/>
    <s v="Unknown"/>
    <s v="Interior bare spruce branch under bark"/>
    <x v="0"/>
    <x v="0"/>
    <x v="8"/>
    <s v="Unknown"/>
    <s v="unknown"/>
    <x v="0"/>
    <n v="63.740139999999997"/>
    <n v="148.90387000000001"/>
    <m/>
    <m/>
    <m/>
    <n v="0"/>
    <n v="0"/>
    <n v="0"/>
    <n v="0"/>
    <n v="0"/>
    <n v="0"/>
    <n v="0"/>
    <m/>
    <s v="Unconfirmed but suspected cache. "/>
    <m/>
    <m/>
  </r>
  <r>
    <s v="DSCN0647"/>
    <s v="M2370912_5"/>
    <x v="5"/>
    <n v="1"/>
    <s v="Mile 237"/>
    <d v="2018-09-12T00:00:00"/>
    <x v="6"/>
    <d v="1899-12-30T01:47:00"/>
    <s v="Overcast"/>
    <s v="YP/RS"/>
    <s v="Food handling/caching"/>
    <s v="Spruce"/>
    <n v="0"/>
    <m/>
    <x v="0"/>
    <x v="0"/>
    <x v="0"/>
    <s v="NA"/>
    <s v="Interior spruce branch"/>
    <x v="0"/>
    <x v="0"/>
    <x v="11"/>
    <s v="Unknown"/>
    <s v="unknown"/>
    <x v="0"/>
    <n v="63.72578"/>
    <n v="148.88998000000001"/>
    <m/>
    <m/>
    <m/>
    <n v="0"/>
    <n v="0"/>
    <n v="0"/>
    <n v="0"/>
    <n v="0"/>
    <n v="0"/>
    <n v="0"/>
    <m/>
    <s v="Working at unknown food item from M2370923_4.  left some on branch from video.  That's the marked cache tree. "/>
    <m/>
    <m/>
  </r>
  <r>
    <s v="DSCN0734"/>
    <s v="MC0914_2"/>
    <x v="3"/>
    <n v="1"/>
    <s v="Mercentile "/>
    <d v="2018-09-14T00:00:00"/>
    <x v="6"/>
    <d v="1899-12-30T00:54:00"/>
    <s v="Mostly sunny"/>
    <s v="WO/OS"/>
    <s v="Foraging"/>
    <s v="Spruce"/>
    <n v="1"/>
    <m/>
    <x v="2"/>
    <x v="0"/>
    <x v="0"/>
    <s v="Mistletoe baremble"/>
    <s v="Exterior spruce limbs under bark "/>
    <x v="0"/>
    <x v="2"/>
    <x v="8"/>
    <s v="Unknown"/>
    <s v="unknown"/>
    <x v="0"/>
    <n v="63.73272"/>
    <n v="148.89931999999999"/>
    <m/>
    <m/>
    <m/>
    <n v="0"/>
    <n v="0"/>
    <n v="0"/>
    <n v="0"/>
    <n v="0"/>
    <n v="0"/>
    <n v="0"/>
    <m/>
    <m/>
    <m/>
    <m/>
  </r>
  <r>
    <s v="DSCN0739"/>
    <s v="MC0914_4"/>
    <x v="10"/>
    <n v="1"/>
    <s v="Mercentile "/>
    <d v="2018-09-14T00:00:00"/>
    <x v="6"/>
    <d v="1899-12-30T00:59:00"/>
    <s v="Mostly sunny"/>
    <s v="BW/GS"/>
    <s v="Food handling/caching"/>
    <s v="Spruce"/>
    <n v="1"/>
    <m/>
    <x v="1"/>
    <x v="5"/>
    <x v="47"/>
    <s v="Unknown"/>
    <s v="Exterior spruce branch under bark/witch hair"/>
    <x v="0"/>
    <x v="2"/>
    <x v="13"/>
    <s v="Unknown"/>
    <s v="unknown"/>
    <x v="0"/>
    <n v="63.732939999999999"/>
    <n v="148.90082000000001"/>
    <m/>
    <m/>
    <m/>
    <n v="0"/>
    <n v="0"/>
    <n v="0"/>
    <n v="0"/>
    <n v="0"/>
    <n v="0"/>
    <n v="0"/>
    <m/>
    <m/>
    <m/>
    <m/>
  </r>
  <r>
    <s v="DSCN0692"/>
    <s v="M4R0914_1"/>
    <x v="0"/>
    <n v="1"/>
    <s v="Mile 4 Roadside"/>
    <d v="2018-09-14T00:00:00"/>
    <x v="6"/>
    <d v="1899-12-30T00:50:00"/>
    <s v="Mostly sunny"/>
    <s v="OB/YS"/>
    <s v="Caching"/>
    <s v="Spruce"/>
    <n v="1"/>
    <m/>
    <x v="1"/>
    <x v="0"/>
    <x v="0"/>
    <s v="Interior top of spruce tree"/>
    <s v="Interior bare spruce branch under bark/witch hair"/>
    <x v="0"/>
    <x v="0"/>
    <x v="13"/>
    <s v="Unknown"/>
    <s v="unknown"/>
    <x v="0"/>
    <n v="63.720970000000001"/>
    <n v="148.98309"/>
    <m/>
    <m/>
    <m/>
    <n v="0"/>
    <n v="0"/>
    <n v="0"/>
    <n v="0"/>
    <n v="0"/>
    <n v="0"/>
    <n v="0"/>
    <m/>
    <s v="Food acquisition not captured on film but observed beforhand by KS.  "/>
    <m/>
    <m/>
  </r>
  <r>
    <s v="DSCN0729"/>
    <s v="CC0914_2"/>
    <x v="3"/>
    <n v="1"/>
    <s v="Ccamp"/>
    <d v="2018-09-14T00:00:00"/>
    <x v="6"/>
    <d v="1899-12-30T00:11:00"/>
    <s v="Mostly sunny"/>
    <s v="GR/RS"/>
    <s v="Caching"/>
    <s v="Spruce"/>
    <n v="0"/>
    <m/>
    <x v="0"/>
    <x v="0"/>
    <x v="0"/>
    <s v="NA"/>
    <s v="Exterior spruce branch in witch hair"/>
    <x v="0"/>
    <x v="2"/>
    <x v="12"/>
    <s v="Unknown"/>
    <s v="unknown"/>
    <x v="0"/>
    <n v="63.722520000000003"/>
    <n v="148.95232999999999"/>
    <m/>
    <m/>
    <m/>
    <n v="0"/>
    <n v="0"/>
    <n v="0"/>
    <n v="0"/>
    <n v="0"/>
    <n v="0"/>
    <n v="0"/>
    <m/>
    <m/>
    <m/>
    <m/>
  </r>
  <r>
    <s v="DSCN0739"/>
    <s v="MC0914_4"/>
    <x v="10"/>
    <n v="2"/>
    <s v="Mercentile "/>
    <d v="2018-09-14T00:00:00"/>
    <x v="6"/>
    <d v="1899-12-30T00:59:00"/>
    <s v="Mostly sunny"/>
    <s v="BW/GS"/>
    <s v="Food handling/caching"/>
    <s v="Spruce"/>
    <n v="0"/>
    <m/>
    <x v="0"/>
    <x v="5"/>
    <x v="47"/>
    <s v="Unknown"/>
    <s v="Exterior spruce branch under bark/witch hair"/>
    <x v="0"/>
    <x v="2"/>
    <x v="13"/>
    <s v="Unknown"/>
    <s v="unknown"/>
    <x v="0"/>
    <n v="63.732930000000003"/>
    <n v="148.90075999999999"/>
    <m/>
    <m/>
    <m/>
    <n v="0"/>
    <n v="0"/>
    <n v="0"/>
    <n v="0"/>
    <n v="0"/>
    <n v="0"/>
    <n v="0"/>
    <m/>
    <m/>
    <m/>
    <m/>
  </r>
  <r>
    <s v="DSCN0698"/>
    <s v="M4R0914_2"/>
    <x v="3"/>
    <n v="1"/>
    <s v="Mile 4 Roadside"/>
    <d v="2018-09-14T00:00:00"/>
    <x v="6"/>
    <d v="1899-12-30T00:16:00"/>
    <s v="Mostly sunny"/>
    <s v="unknown"/>
    <s v="Caching"/>
    <s v="Spruce"/>
    <n v="0"/>
    <m/>
    <x v="0"/>
    <x v="0"/>
    <x v="0"/>
    <s v="NA"/>
    <s v="Interior top of spruce in foliage."/>
    <x v="0"/>
    <x v="0"/>
    <x v="2"/>
    <s v="Unknown"/>
    <s v="unknown"/>
    <x v="0"/>
    <s v="Did not mark (did not recognize as cache while in field)"/>
    <m/>
    <m/>
    <m/>
    <m/>
    <n v="0"/>
    <n v="0"/>
    <n v="0"/>
    <n v="0"/>
    <n v="0"/>
    <n v="0"/>
    <n v="0"/>
    <m/>
    <s v="Determined caching based on saliva trail that you can see in video.  "/>
    <m/>
    <m/>
  </r>
  <r>
    <s v="DSCN0702"/>
    <s v="M4R0914_3"/>
    <x v="1"/>
    <n v="1"/>
    <s v="Mile 4 Roadside"/>
    <d v="2018-09-14T00:00:00"/>
    <x v="6"/>
    <d v="1899-12-30T00:26:00"/>
    <s v="Mostly sunny"/>
    <s v="OB/YS"/>
    <s v="Caching"/>
    <s v="Spruce"/>
    <n v="0"/>
    <m/>
    <x v="0"/>
    <x v="0"/>
    <x v="0"/>
    <s v="NA"/>
    <s v="Exterior spruce branch under bark/witch hair"/>
    <x v="0"/>
    <x v="2"/>
    <x v="13"/>
    <s v="Unknown"/>
    <s v="unknown"/>
    <x v="0"/>
    <n v="63.722270000000002"/>
    <n v="148.98532"/>
    <m/>
    <m/>
    <m/>
    <n v="0"/>
    <n v="0"/>
    <n v="0"/>
    <n v="0"/>
    <n v="0"/>
    <n v="0"/>
    <n v="0"/>
    <m/>
    <m/>
    <m/>
    <m/>
  </r>
  <r>
    <s v="DSCN0765"/>
    <s v="BU0915_1"/>
    <x v="0"/>
    <n v="1"/>
    <s v="BU"/>
    <d v="2018-09-15T00:00:00"/>
    <x v="6"/>
    <d v="1899-12-30T00:13:00"/>
    <s v="Mostly sunny"/>
    <s v="GR/PS"/>
    <s v="Caching"/>
    <s v="Spruce"/>
    <s v="NA"/>
    <m/>
    <x v="0"/>
    <x v="1"/>
    <x v="32"/>
    <s v="NA"/>
    <s v="Interior spruce foliage"/>
    <x v="0"/>
    <x v="0"/>
    <x v="2"/>
    <s v="Unknown"/>
    <s v="unknown"/>
    <x v="22"/>
    <n v="63.724809999999998"/>
    <n v="148.95639"/>
    <m/>
    <m/>
    <m/>
    <n v="0"/>
    <n v="0"/>
    <n v="0"/>
    <n v="0"/>
    <n v="0"/>
    <n v="0"/>
    <n v="0"/>
    <m/>
    <s v="Foraging and caching off dead hare carcass (mostly entrails)"/>
    <m/>
    <m/>
  </r>
  <r>
    <s v="DSCN0786"/>
    <s v="BU0915_9"/>
    <x v="7"/>
    <n v="1"/>
    <s v="BU"/>
    <d v="2018-09-15T00:00:00"/>
    <x v="6"/>
    <d v="1899-12-30T00:56:00"/>
    <s v="Mostly sunny"/>
    <s v="GR/PS"/>
    <s v="Foraging/Caching"/>
    <s v="Spruce"/>
    <n v="3"/>
    <m/>
    <x v="0"/>
    <x v="1"/>
    <x v="32"/>
    <s v="Ground"/>
    <s v="Interior bare spruce branch under bark"/>
    <x v="0"/>
    <x v="0"/>
    <x v="15"/>
    <s v="Unknown"/>
    <s v="unknown"/>
    <x v="10"/>
    <n v="63.724910000000001"/>
    <n v="148.95679000000001"/>
    <m/>
    <m/>
    <m/>
    <n v="0"/>
    <n v="0"/>
    <n v="0"/>
    <n v="0"/>
    <n v="0"/>
    <n v="0"/>
    <n v="0"/>
    <m/>
    <m/>
    <m/>
    <m/>
  </r>
  <r>
    <s v="DSCN0751"/>
    <s v="WW0915_3"/>
    <x v="1"/>
    <n v="1"/>
    <s v="Wac West"/>
    <d v="2018-09-15T00:00:00"/>
    <x v="6"/>
    <d v="1899-12-30T00:49:00"/>
    <s v="Mostly sunny"/>
    <s v="BP/PS"/>
    <s v="Foraging"/>
    <s v="Spruce"/>
    <n v="2"/>
    <m/>
    <x v="0"/>
    <x v="6"/>
    <x v="38"/>
    <s v="Ground"/>
    <s v="Interior spruce foliage "/>
    <x v="0"/>
    <x v="0"/>
    <x v="2"/>
    <s v="Unknown"/>
    <s v="unknown"/>
    <x v="0"/>
    <n v="63.738280000000003"/>
    <n v="148.89919"/>
    <m/>
    <m/>
    <m/>
    <n v="0"/>
    <n v="0"/>
    <n v="0"/>
    <n v="0"/>
    <n v="27"/>
    <n v="0"/>
    <n v="27"/>
    <m/>
    <m/>
    <m/>
    <m/>
  </r>
  <r>
    <s v="DSCN0771"/>
    <s v="BU0915_3"/>
    <x v="1"/>
    <n v="1"/>
    <s v="BU"/>
    <d v="2018-09-15T00:00:00"/>
    <x v="6"/>
    <d v="1899-12-30T00:39:00"/>
    <s v="Mostly sunny"/>
    <s v="unknown"/>
    <s v="Foraging"/>
    <s v="Spruce"/>
    <n v="1"/>
    <m/>
    <x v="0"/>
    <x v="1"/>
    <x v="32"/>
    <s v="Ground"/>
    <s v="Interior bare spruce branch"/>
    <x v="0"/>
    <x v="0"/>
    <x v="11"/>
    <s v="Unknown"/>
    <s v="unknown"/>
    <x v="18"/>
    <n v="63.72486"/>
    <n v="148.95638"/>
    <m/>
    <m/>
    <m/>
    <n v="0"/>
    <n v="0"/>
    <n v="0"/>
    <n v="0"/>
    <n v="0"/>
    <n v="0"/>
    <n v="0"/>
    <m/>
    <s v="Foraging and caching off dead hare carcass (mostly entrails)"/>
    <m/>
    <m/>
  </r>
  <r>
    <s v="DSCN0750"/>
    <s v="WW0915_2"/>
    <x v="3"/>
    <n v="1"/>
    <s v="Wac West"/>
    <d v="2018-09-15T00:00:00"/>
    <x v="6"/>
    <d v="1899-12-30T00:19:00"/>
    <s v="Mostly sunny"/>
    <s v="BP/PS"/>
    <s v="Foraging/Caching"/>
    <s v="Spruce"/>
    <n v="1"/>
    <m/>
    <x v="0"/>
    <x v="6"/>
    <x v="38"/>
    <s v="Ground"/>
    <s v="Interior spruce foliage "/>
    <x v="0"/>
    <x v="0"/>
    <x v="2"/>
    <s v="Unknown"/>
    <s v="unknown"/>
    <x v="0"/>
    <n v="63.738860000000003"/>
    <n v="148.90303"/>
    <m/>
    <m/>
    <m/>
    <n v="0"/>
    <n v="0"/>
    <n v="0"/>
    <n v="0"/>
    <n v="5"/>
    <n v="0"/>
    <n v="5"/>
    <m/>
    <m/>
    <m/>
    <m/>
  </r>
  <r>
    <s v="DSCN0779"/>
    <s v="BU0915_6"/>
    <x v="11"/>
    <n v="1"/>
    <s v="BU"/>
    <d v="2018-09-15T00:00:00"/>
    <x v="6"/>
    <d v="1899-12-30T00:04:00"/>
    <s v="Mostly sunny"/>
    <s v="GR/PS"/>
    <s v="Caching"/>
    <s v="Spruce"/>
    <n v="0"/>
    <m/>
    <x v="0"/>
    <x v="1"/>
    <x v="32"/>
    <s v="NA"/>
    <s v="Interior top of spruce in foliage."/>
    <x v="0"/>
    <x v="0"/>
    <x v="2"/>
    <s v="Unknown"/>
    <s v="unknown"/>
    <x v="7"/>
    <n v="63.72486"/>
    <n v="148.95665"/>
    <m/>
    <m/>
    <m/>
    <n v="0"/>
    <n v="0"/>
    <n v="0"/>
    <n v="0"/>
    <n v="0"/>
    <n v="0"/>
    <n v="0"/>
    <m/>
    <m/>
    <m/>
    <m/>
  </r>
  <r>
    <s v="DSCN0789"/>
    <s v="BU0915_10"/>
    <x v="4"/>
    <n v="1"/>
    <s v="BU"/>
    <d v="2018-09-15T00:00:00"/>
    <x v="6"/>
    <d v="1899-12-30T00:18:00"/>
    <s v="Mostly sunny"/>
    <s v="unknown"/>
    <s v="Caching"/>
    <s v="Spruce"/>
    <n v="0"/>
    <m/>
    <x v="0"/>
    <x v="0"/>
    <x v="0"/>
    <s v="Unknown"/>
    <s v="Spruce trunk under bark"/>
    <x v="0"/>
    <x v="1"/>
    <x v="8"/>
    <s v="Unknown"/>
    <s v="unknown"/>
    <x v="0"/>
    <n v="63.72484"/>
    <n v="148.95616000000001"/>
    <m/>
    <m/>
    <m/>
    <n v="0"/>
    <n v="0"/>
    <n v="0"/>
    <n v="0"/>
    <n v="0"/>
    <n v="0"/>
    <n v="0"/>
    <m/>
    <m/>
    <m/>
    <m/>
  </r>
  <r>
    <s v="DSCN0803"/>
    <s v="BU0915_18"/>
    <x v="25"/>
    <n v="1"/>
    <s v="BU"/>
    <d v="2018-09-15T00:00:00"/>
    <x v="6"/>
    <d v="1899-12-30T00:57:00"/>
    <s v="Mostly sunny"/>
    <s v="WP/BS"/>
    <s v="Caching"/>
    <s v="Spruce"/>
    <n v="0"/>
    <m/>
    <x v="1"/>
    <x v="0"/>
    <x v="0"/>
    <s v="Unknown"/>
    <s v="Exterior spruce branch under bark/witch hair"/>
    <x v="0"/>
    <x v="2"/>
    <x v="13"/>
    <s v="Unknown"/>
    <s v="unknown"/>
    <x v="0"/>
    <n v="63.725320000000004"/>
    <n v="148.95212000000001"/>
    <m/>
    <m/>
    <m/>
    <n v="0"/>
    <n v="0"/>
    <n v="0"/>
    <n v="0"/>
    <n v="0"/>
    <n v="0"/>
    <n v="0"/>
    <m/>
    <m/>
    <m/>
    <m/>
  </r>
  <r>
    <s v="DSCN0807"/>
    <s v="BU0915_20"/>
    <x v="18"/>
    <n v="1"/>
    <s v="BU"/>
    <d v="2018-09-15T00:00:00"/>
    <x v="6"/>
    <d v="1899-12-30T00:22:00"/>
    <s v="Mostly sunny"/>
    <s v="GR/PS"/>
    <s v="Caching"/>
    <s v="Spruce"/>
    <n v="0"/>
    <m/>
    <x v="0"/>
    <x v="6"/>
    <x v="38"/>
    <s v="NA"/>
    <s v="Interior tucked in foliage"/>
    <x v="0"/>
    <x v="0"/>
    <x v="2"/>
    <s v="Unknown"/>
    <s v="unknown"/>
    <x v="0"/>
    <n v="63.725749999999998"/>
    <n v="148.95331999999999"/>
    <m/>
    <m/>
    <m/>
    <n v="0"/>
    <n v="0"/>
    <n v="0"/>
    <n v="0"/>
    <n v="0"/>
    <n v="0"/>
    <n v="0"/>
    <m/>
    <m/>
    <m/>
    <m/>
  </r>
  <r>
    <s v="No video"/>
    <m/>
    <x v="14"/>
    <m/>
    <s v="BU"/>
    <d v="2018-09-15T00:00:00"/>
    <x v="6"/>
    <m/>
    <s v="Mostly sunny"/>
    <s v="unknown"/>
    <s v="Caching"/>
    <s v="Spruce"/>
    <n v="0"/>
    <m/>
    <x v="0"/>
    <x v="1"/>
    <x v="32"/>
    <s v="NA"/>
    <s v="Spruce"/>
    <x v="0"/>
    <x v="3"/>
    <x v="4"/>
    <s v="Unknown"/>
    <s v="unknown"/>
    <x v="33"/>
    <n v="63.725029999999997"/>
    <n v="148.95626999999999"/>
    <m/>
    <m/>
    <m/>
    <n v="0"/>
    <n v="0"/>
    <n v="0"/>
    <n v="0"/>
    <n v="0"/>
    <n v="0"/>
    <n v="0"/>
    <m/>
    <s v="Did not record cache on cemera but witnessed with binoculars "/>
    <m/>
    <m/>
  </r>
  <r>
    <s v="DSCN0749"/>
    <s v="WW0915_1"/>
    <x v="0"/>
    <n v="1"/>
    <s v="Wac West"/>
    <d v="2018-09-15T00:00:00"/>
    <x v="6"/>
    <d v="1899-12-30T01:15:00"/>
    <s v="Mostly sunny"/>
    <s v="BP/PS"/>
    <s v="Caching"/>
    <s v="Spruce"/>
    <n v="0"/>
    <m/>
    <x v="0"/>
    <x v="0"/>
    <x v="0"/>
    <s v="NA"/>
    <s v="Spruce trunk under bark"/>
    <x v="0"/>
    <x v="1"/>
    <x v="8"/>
    <s v="Unknown"/>
    <s v="unknown"/>
    <x v="0"/>
    <n v="63.738419999999998"/>
    <n v="148.90466000000001"/>
    <m/>
    <m/>
    <m/>
    <n v="0"/>
    <n v="0"/>
    <n v="0"/>
    <n v="0"/>
    <n v="0"/>
    <n v="0"/>
    <n v="0"/>
    <m/>
    <s v="We decided the first 10sec were looking for a place to cache rather than foraging.  "/>
    <m/>
    <m/>
  </r>
  <r>
    <s v="DSCN0833"/>
    <s v="MC0916_1"/>
    <x v="0"/>
    <n v="1"/>
    <s v="Mercentile "/>
    <d v="2018-09-16T00:00:00"/>
    <x v="6"/>
    <d v="1899-12-30T00:47:00"/>
    <s v="Overcast"/>
    <s v="WO/OS"/>
    <s v="Foraging"/>
    <s v="Spruce"/>
    <n v="1"/>
    <m/>
    <x v="0"/>
    <x v="5"/>
    <x v="48"/>
    <s v="Ground"/>
    <s v="Sitting on interior foliated spruce branch"/>
    <x v="0"/>
    <x v="0"/>
    <x v="2"/>
    <s v="Unknown"/>
    <s v="unknown"/>
    <x v="0"/>
    <n v="63.732439999999997"/>
    <n v="148.89502999999999"/>
    <m/>
    <m/>
    <m/>
    <n v="0"/>
    <n v="0"/>
    <n v="0"/>
    <n v="0"/>
    <n v="0"/>
    <n v="0"/>
    <n v="0"/>
    <m/>
    <s v="Left peel in tree its eating in in this video.  "/>
    <m/>
    <m/>
  </r>
  <r>
    <s v="DSCN0811"/>
    <s v="M4R0916_2"/>
    <x v="3"/>
    <n v="1"/>
    <s v="Mile 4 Roadside"/>
    <d v="2018-09-16T00:00:00"/>
    <x v="6"/>
    <d v="1899-12-30T00:28:00"/>
    <s v="Overcast"/>
    <s v="OB/YS"/>
    <s v="Foraging/Caching"/>
    <s v="Spruce"/>
    <n v="1"/>
    <m/>
    <x v="0"/>
    <x v="0"/>
    <x v="0"/>
    <s v="Exterior foliated spruce"/>
    <s v="Exterior bare spruce branch"/>
    <x v="0"/>
    <x v="2"/>
    <x v="11"/>
    <s v="Unknown"/>
    <s v="unknown"/>
    <x v="0"/>
    <n v="63.722729999999999"/>
    <n v="148.98305999999999"/>
    <m/>
    <m/>
    <m/>
    <n v="0"/>
    <n v="0"/>
    <n v="0"/>
    <n v="0"/>
    <n v="0"/>
    <n v="0"/>
    <n v="0"/>
    <m/>
    <s v="Only got food acquisition on tape, not foraging.  "/>
    <m/>
    <m/>
  </r>
  <r>
    <s v="DSCN0815"/>
    <s v="M4R0916_3"/>
    <x v="1"/>
    <n v="1"/>
    <s v="Mile 4 Roadside"/>
    <d v="2018-09-16T00:00:00"/>
    <x v="6"/>
    <d v="1899-12-30T00:15:00"/>
    <s v="Overcast"/>
    <s v="unknown"/>
    <s v="Foraging/Caching"/>
    <s v="Spruce"/>
    <n v="1"/>
    <m/>
    <x v="0"/>
    <x v="0"/>
    <x v="49"/>
    <s v="Exterior foliated spruce"/>
    <s v="Exterior spruce foliage"/>
    <x v="0"/>
    <x v="2"/>
    <x v="2"/>
    <s v="Unknown"/>
    <s v="unknown"/>
    <x v="0"/>
    <s v="Did not mark (did not recognize as cache while in field)"/>
    <m/>
    <m/>
    <m/>
    <m/>
    <n v="0"/>
    <n v="0"/>
    <n v="0"/>
    <n v="0"/>
    <n v="0"/>
    <n v="0"/>
    <n v="0"/>
    <m/>
    <m/>
    <m/>
    <m/>
  </r>
  <r>
    <s v="DSCN0828"/>
    <s v="TC0916_2"/>
    <x v="3"/>
    <n v="1"/>
    <s v="Trail Camp"/>
    <d v="2018-09-16T00:00:00"/>
    <x v="6"/>
    <d v="1899-12-30T00:13:00"/>
    <s v="Overcast"/>
    <s v="Unbanded"/>
    <s v="Food handling/caching"/>
    <s v="Spruce"/>
    <n v="1"/>
    <m/>
    <x v="0"/>
    <x v="5"/>
    <x v="50"/>
    <s v="Campsite ground"/>
    <s v="Exterior spruce foliage"/>
    <x v="0"/>
    <x v="2"/>
    <x v="2"/>
    <s v="Unknown"/>
    <s v="unknown"/>
    <x v="0"/>
    <n v="63.730119999999999"/>
    <n v="148.90195"/>
    <m/>
    <m/>
    <m/>
    <n v="0"/>
    <n v="0"/>
    <n v="0"/>
    <n v="0"/>
    <n v="0"/>
    <n v="0"/>
    <n v="0"/>
    <m/>
    <s v="Moment of cache not caught on video but it cached what was left in the spot seen on the video of it eating.  "/>
    <m/>
    <m/>
  </r>
  <r>
    <s v="DSCN0841"/>
    <s v="MC0916_7"/>
    <x v="2"/>
    <n v="1"/>
    <s v="Mercentile "/>
    <d v="2018-09-16T00:00:00"/>
    <x v="6"/>
    <d v="1899-12-30T00:26:00"/>
    <s v="Overcast"/>
    <s v="BW/GS"/>
    <s v="Food handling/caching"/>
    <s v="Spruce"/>
    <n v="0"/>
    <m/>
    <x v="0"/>
    <x v="5"/>
    <x v="51"/>
    <s v="NA"/>
    <s v="Sitting on bare spruce twigs"/>
    <x v="0"/>
    <x v="3"/>
    <x v="14"/>
    <s v="Unknown"/>
    <s v="unknown"/>
    <x v="0"/>
    <n v="63.733759999999997"/>
    <n v="148.89946"/>
    <m/>
    <m/>
    <m/>
    <n v="0"/>
    <n v="0"/>
    <n v="0"/>
    <n v="0"/>
    <n v="0"/>
    <n v="0"/>
    <n v="0"/>
    <m/>
    <s v="Same piece of bread in previous video "/>
    <m/>
    <m/>
  </r>
  <r>
    <s v="DSCN0821"/>
    <s v="M4R0916_4"/>
    <x v="10"/>
    <n v="1"/>
    <s v="Mile 4 Roadside"/>
    <d v="2018-09-16T00:00:00"/>
    <x v="6"/>
    <d v="1899-12-30T00:31:00"/>
    <s v="Overcast"/>
    <s v="OB/YS"/>
    <s v="Foraging/Caching"/>
    <s v="Spruce"/>
    <n v="0"/>
    <m/>
    <x v="0"/>
    <x v="0"/>
    <x v="0"/>
    <s v="Unknown"/>
    <s v="Interior bare spruce branch under bark"/>
    <x v="0"/>
    <x v="0"/>
    <x v="8"/>
    <s v="Unknown"/>
    <s v="unknown"/>
    <x v="0"/>
    <n v="63.721499999999999"/>
    <n v="148.98752999999999"/>
    <m/>
    <m/>
    <m/>
    <n v="23"/>
    <n v="0"/>
    <n v="23"/>
    <n v="0"/>
    <n v="0"/>
    <n v="0"/>
    <n v="23"/>
    <m/>
    <s v="*Possible it was looking to cache rather than foraging.  "/>
    <m/>
    <m/>
  </r>
  <r>
    <s v="DSCN0870"/>
    <s v="RC0917_1"/>
    <x v="0"/>
    <n v="2"/>
    <s v="Ccamp"/>
    <d v="2018-09-17T00:00:00"/>
    <x v="6"/>
    <d v="1899-12-30T03:44:00"/>
    <s v="Partly sunny"/>
    <s v="GB/BS"/>
    <s v="Food handling/caching"/>
    <s v="Spruce"/>
    <s v="unknown"/>
    <m/>
    <x v="0"/>
    <x v="5"/>
    <x v="51"/>
    <s v="Unknown"/>
    <s v="Interior spruce near or on trunk in exposed area"/>
    <x v="0"/>
    <x v="1"/>
    <x v="8"/>
    <s v="Unknown"/>
    <s v="unknown"/>
    <x v="0"/>
    <n v="63.72119"/>
    <n v="148.95818"/>
    <m/>
    <m/>
    <m/>
    <n v="0"/>
    <n v="0"/>
    <n v="0"/>
    <n v="0"/>
    <n v="0"/>
    <n v="0"/>
    <n v="0"/>
    <m/>
    <m/>
    <m/>
    <m/>
  </r>
  <r>
    <s v="DSCN0859"/>
    <s v="BU0917_1"/>
    <x v="0"/>
    <n v="1"/>
    <s v="BU"/>
    <d v="2018-09-17T00:00:00"/>
    <x v="6"/>
    <d v="1899-12-30T00:58:00"/>
    <s v="Overcast"/>
    <s v="GR/PS"/>
    <s v="Caching"/>
    <s v="Spruce"/>
    <n v="1"/>
    <m/>
    <x v="1"/>
    <x v="5"/>
    <x v="52"/>
    <s v="Unknown"/>
    <s v="Spruce trunk under bark"/>
    <x v="0"/>
    <x v="1"/>
    <x v="8"/>
    <s v="Unknown"/>
    <s v="unknown"/>
    <x v="0"/>
    <n v="63.725639999999999"/>
    <n v="148.95848000000001"/>
    <m/>
    <m/>
    <m/>
    <n v="0"/>
    <n v="0"/>
    <n v="0"/>
    <n v="0"/>
    <n v="0"/>
    <n v="0"/>
    <n v="0"/>
    <m/>
    <m/>
    <m/>
    <m/>
  </r>
  <r>
    <s v="DSCN0862"/>
    <s v="BU0917_3"/>
    <x v="1"/>
    <n v="1"/>
    <s v="BU"/>
    <d v="2018-09-17T00:00:00"/>
    <x v="6"/>
    <d v="1899-12-30T01:03:00"/>
    <s v="Partly sunny"/>
    <s v="GR/PS"/>
    <s v="Food handling/caching"/>
    <s v="Spruce"/>
    <n v="1"/>
    <m/>
    <x v="0"/>
    <x v="5"/>
    <x v="52"/>
    <s v="NA"/>
    <s v="Interior spruce tree likely on trunk"/>
    <x v="0"/>
    <x v="1"/>
    <x v="8"/>
    <s v="Unknown"/>
    <s v="unknown"/>
    <x v="0"/>
    <n v="63.725679999999997"/>
    <n v="148.9588"/>
    <m/>
    <m/>
    <m/>
    <n v="0"/>
    <n v="0"/>
    <n v="0"/>
    <n v="0"/>
    <n v="0"/>
    <n v="0"/>
    <n v="0"/>
    <m/>
    <m/>
    <m/>
    <m/>
  </r>
  <r>
    <s v="DSCN0870"/>
    <s v="RC0917_1"/>
    <x v="0"/>
    <n v="1"/>
    <s v="Ccamp"/>
    <d v="2018-09-17T00:00:00"/>
    <x v="6"/>
    <d v="1899-12-30T03:44:00"/>
    <s v="Partly sunny"/>
    <s v="GB/BS"/>
    <s v="Food handling/caching"/>
    <s v="Spruce"/>
    <n v="1"/>
    <m/>
    <x v="0"/>
    <x v="5"/>
    <x v="51"/>
    <s v="Unknown"/>
    <s v="Exterior spruce foliage"/>
    <x v="0"/>
    <x v="2"/>
    <x v="2"/>
    <s v="Unknown"/>
    <s v="unknown"/>
    <x v="0"/>
    <n v="63.721159999999998"/>
    <n v="148.95854"/>
    <m/>
    <m/>
    <m/>
    <n v="0"/>
    <n v="0"/>
    <n v="0"/>
    <n v="0"/>
    <n v="0"/>
    <n v="0"/>
    <n v="0"/>
    <m/>
    <m/>
    <m/>
    <m/>
  </r>
  <r>
    <s v="DSCN0882"/>
    <s v="CC0917_5"/>
    <x v="5"/>
    <n v="1"/>
    <s v="Ccamp"/>
    <d v="2018-09-17T00:00:00"/>
    <x v="6"/>
    <d v="1899-12-30T00:38:00"/>
    <s v="Partly sunny"/>
    <s v="Unknown"/>
    <s v="Cache"/>
    <s v="Spruce"/>
    <n v="1"/>
    <m/>
    <x v="0"/>
    <x v="0"/>
    <x v="0"/>
    <s v="Ground"/>
    <s v="Exterior bare spruce branch"/>
    <x v="0"/>
    <x v="2"/>
    <x v="11"/>
    <s v="Unknown"/>
    <s v="unknown"/>
    <x v="0"/>
    <n v="63.722329999999999"/>
    <n v="148.95236"/>
    <m/>
    <m/>
    <m/>
    <n v="0"/>
    <n v="0"/>
    <n v="0"/>
    <n v="0"/>
    <n v="0"/>
    <n v="0"/>
    <n v="0"/>
    <s v="probing"/>
    <m/>
    <n v="0"/>
    <n v="0"/>
  </r>
  <r>
    <s v="DSCN0862"/>
    <s v="BU0917_3"/>
    <x v="1"/>
    <n v="2"/>
    <s v="BU"/>
    <d v="2018-09-17T00:00:00"/>
    <x v="6"/>
    <d v="1899-12-30T01:03:00"/>
    <s v="Partly sunny"/>
    <s v="GR/PS"/>
    <s v="Food handling/caching"/>
    <s v="Spruce"/>
    <n v="0"/>
    <m/>
    <x v="0"/>
    <x v="5"/>
    <x v="52"/>
    <s v="NA"/>
    <s v="Exterior spruce foliage"/>
    <x v="0"/>
    <x v="2"/>
    <x v="2"/>
    <s v="Unknown"/>
    <s v="unknown"/>
    <x v="0"/>
    <n v="63.72569"/>
    <n v="148.95882"/>
    <m/>
    <m/>
    <m/>
    <n v="0"/>
    <n v="0"/>
    <n v="0"/>
    <n v="0"/>
    <n v="0"/>
    <n v="0"/>
    <n v="0"/>
    <m/>
    <m/>
    <m/>
    <m/>
  </r>
  <r>
    <s v="DSCN0871"/>
    <s v="RC0917_2"/>
    <x v="3"/>
    <n v="1"/>
    <s v="Ccamp"/>
    <d v="2018-09-17T00:00:00"/>
    <x v="6"/>
    <d v="1899-12-30T01:24:00"/>
    <s v="Partly sunny"/>
    <s v="GB/BS"/>
    <s v="Caching"/>
    <s v="Spruce"/>
    <n v="0"/>
    <m/>
    <x v="0"/>
    <x v="5"/>
    <x v="51"/>
    <s v="Unknown"/>
    <s v="Exterior spruce branch under bark"/>
    <x v="0"/>
    <x v="2"/>
    <x v="8"/>
    <s v="Unknown"/>
    <s v="unknown"/>
    <x v="0"/>
    <n v="63.721150000000002"/>
    <n v="148.95850999999999"/>
    <m/>
    <m/>
    <m/>
    <n v="0"/>
    <n v="0"/>
    <n v="0"/>
    <n v="0"/>
    <n v="0"/>
    <n v="0"/>
    <n v="0"/>
    <m/>
    <m/>
    <m/>
    <m/>
  </r>
  <r>
    <s v="DSCN0895"/>
    <s v="M2370918_1"/>
    <x v="0"/>
    <n v="1"/>
    <s v="Mile 237"/>
    <d v="2018-09-18T00:00:00"/>
    <x v="6"/>
    <d v="1899-12-30T00:36:00"/>
    <s v="Overcast"/>
    <s v="GB/PS"/>
    <s v="Caching"/>
    <s v="Spruce"/>
    <n v="0"/>
    <m/>
    <x v="0"/>
    <x v="0"/>
    <x v="0"/>
    <s v="Unknown"/>
    <s v="Spruce trunk under bark"/>
    <x v="0"/>
    <x v="1"/>
    <x v="8"/>
    <s v="Unknown"/>
    <s v="unknown"/>
    <x v="0"/>
    <n v="63.725499999999997"/>
    <n v="148.88943"/>
    <m/>
    <m/>
    <m/>
    <n v="0"/>
    <n v="0"/>
    <n v="0"/>
    <n v="0"/>
    <n v="0"/>
    <n v="0"/>
    <n v="0"/>
    <m/>
    <m/>
    <m/>
    <m/>
  </r>
  <r>
    <s v="DSCN0901"/>
    <s v="M2370918_2"/>
    <x v="3"/>
    <n v="1"/>
    <s v="Mile 237"/>
    <d v="2018-09-18T00:00:00"/>
    <x v="6"/>
    <d v="1899-12-30T00:41:00"/>
    <s v="Partly sunny"/>
    <s v="YP/RS"/>
    <s v="Caching"/>
    <s v="Spruce"/>
    <n v="0"/>
    <m/>
    <x v="0"/>
    <x v="0"/>
    <x v="0"/>
    <s v="Unknown"/>
    <s v="low to ground Spruce branch/witch hair moss"/>
    <x v="0"/>
    <x v="2"/>
    <x v="13"/>
    <s v="Unknown"/>
    <s v="unknown"/>
    <x v="0"/>
    <n v="63.724200000000003"/>
    <n v="148.88985"/>
    <m/>
    <m/>
    <m/>
    <n v="0"/>
    <n v="0"/>
    <n v="0"/>
    <n v="0"/>
    <n v="0"/>
    <n v="0"/>
    <n v="0"/>
    <m/>
    <s v="Strongly suspected by not 100% confident cache "/>
    <m/>
    <m/>
  </r>
  <r>
    <s v="No video"/>
    <m/>
    <x v="14"/>
    <m/>
    <s v="Mile 237"/>
    <d v="2018-09-18T00:00:00"/>
    <x v="6"/>
    <m/>
    <s v="Overcast"/>
    <s v="YP/RS"/>
    <s v="Caching"/>
    <s v="Aspen"/>
    <n v="0"/>
    <m/>
    <x v="0"/>
    <x v="0"/>
    <x v="0"/>
    <s v="Unknown"/>
    <s v="Aspen trunk "/>
    <x v="1"/>
    <x v="1"/>
    <x v="8"/>
    <s v="Unknown"/>
    <s v="unknown"/>
    <x v="0"/>
    <n v="63.724319999999999"/>
    <n v="148.88916"/>
    <m/>
    <m/>
    <m/>
    <n v="0"/>
    <n v="0"/>
    <n v="0"/>
    <n v="0"/>
    <n v="0"/>
    <n v="0"/>
    <n v="0"/>
    <m/>
    <s v="Observed by DL"/>
    <m/>
    <m/>
  </r>
  <r>
    <s v="No video "/>
    <m/>
    <x v="14"/>
    <m/>
    <s v="Mile 4 Roadside"/>
    <d v="2018-09-19T00:00:00"/>
    <x v="6"/>
    <m/>
    <m/>
    <s v="OB/YS"/>
    <s v="Caching"/>
    <s v="Spruce"/>
    <n v="0"/>
    <m/>
    <x v="0"/>
    <x v="0"/>
    <x v="0"/>
    <s v="Unknown"/>
    <s v="Exterior spruce branch under bark/witch hair"/>
    <x v="0"/>
    <x v="2"/>
    <x v="13"/>
    <s v="Unknown"/>
    <s v="unknown"/>
    <x v="0"/>
    <n v="63.723179999999999"/>
    <n v="148.98204000000001"/>
    <m/>
    <m/>
    <m/>
    <n v="0"/>
    <n v="0"/>
    <n v="0"/>
    <n v="0"/>
    <n v="0"/>
    <n v="0"/>
    <n v="0"/>
    <m/>
    <s v="Observed by KS, TG,  but not captured on video "/>
    <m/>
    <m/>
  </r>
  <r>
    <s v="DSN0966"/>
    <s v="BU0920_6"/>
    <x v="11"/>
    <n v="1"/>
    <s v="BU"/>
    <d v="2018-09-20T00:00:00"/>
    <x v="6"/>
    <d v="1899-12-30T00:38:00"/>
    <s v="Overcast, light rain"/>
    <s v="WP/BS"/>
    <s v="Caching"/>
    <s v="Spruce"/>
    <n v="0"/>
    <m/>
    <x v="0"/>
    <x v="0"/>
    <x v="0"/>
    <s v="Unknown"/>
    <s v="Exterior spruce foliage"/>
    <x v="0"/>
    <x v="2"/>
    <x v="2"/>
    <s v="Unknown"/>
    <s v="unknown"/>
    <x v="0"/>
    <n v="63.72569"/>
    <n v="148.95882"/>
    <m/>
    <m/>
    <m/>
    <n v="0"/>
    <n v="0"/>
    <n v="0"/>
    <n v="0"/>
    <n v="0"/>
    <n v="0"/>
    <n v="0"/>
    <m/>
    <s v="Double cache tree!"/>
    <m/>
    <m/>
  </r>
  <r>
    <s v="DSCN0967"/>
    <s v="BU0920_7"/>
    <x v="2"/>
    <n v="1"/>
    <s v="BU"/>
    <d v="2018-09-20T00:00:00"/>
    <x v="6"/>
    <d v="1899-12-30T00:29:00"/>
    <s v="Overcast, light rain"/>
    <s v="WP/BS"/>
    <s v="Caching"/>
    <s v="Spruce"/>
    <n v="0"/>
    <m/>
    <x v="0"/>
    <x v="0"/>
    <x v="0"/>
    <s v="Unknown"/>
    <s v="Spruce trunk under bark"/>
    <x v="0"/>
    <x v="1"/>
    <x v="8"/>
    <s v="Unknown"/>
    <s v="unknown"/>
    <x v="0"/>
    <s v="Did not mark (did not recognize as cache while in field)"/>
    <m/>
    <m/>
    <m/>
    <m/>
    <m/>
    <m/>
    <m/>
    <m/>
    <n v="0"/>
    <n v="0"/>
    <n v="0"/>
    <m/>
    <s v="Very close to previous cache tree"/>
    <m/>
    <m/>
  </r>
  <r>
    <s v="DSCN0970"/>
    <s v="BU0920_8"/>
    <x v="6"/>
    <n v="1"/>
    <s v="BU"/>
    <d v="2018-09-20T00:00:00"/>
    <x v="6"/>
    <d v="1899-12-30T00:58:00"/>
    <s v="Overcast, light rain"/>
    <s v="WP/BS"/>
    <s v="Caching"/>
    <s v="Spruce"/>
    <n v="0"/>
    <m/>
    <x v="0"/>
    <x v="0"/>
    <x v="0"/>
    <s v="Unknown"/>
    <s v="Interior spruce among bare branch"/>
    <x v="0"/>
    <x v="0"/>
    <x v="11"/>
    <s v="Unknown"/>
    <s v="unknown"/>
    <x v="0"/>
    <n v="63.724829999999997"/>
    <n v="148.95133999999999"/>
    <m/>
    <m/>
    <m/>
    <n v="0"/>
    <n v="0"/>
    <n v="0"/>
    <n v="0"/>
    <n v="0"/>
    <n v="0"/>
    <n v="0"/>
    <m/>
    <m/>
    <m/>
    <m/>
  </r>
  <r>
    <s v="No video"/>
    <m/>
    <x v="14"/>
    <n v="1"/>
    <s v="BU"/>
    <d v="2018-09-20T00:00:00"/>
    <x v="6"/>
    <m/>
    <s v="Overcast, light rain"/>
    <s v="GR/PS"/>
    <s v="Caching"/>
    <s v="Spruce"/>
    <n v="0"/>
    <m/>
    <x v="0"/>
    <x v="0"/>
    <x v="0"/>
    <s v="Ground"/>
    <s v="Spruce on trunk under bark. "/>
    <x v="0"/>
    <x v="1"/>
    <x v="8"/>
    <s v="Unknown"/>
    <s v="unknown"/>
    <x v="0"/>
    <n v="63.726179999999999"/>
    <n v="148.96117000000001"/>
    <m/>
    <m/>
    <m/>
    <n v="0"/>
    <n v="0"/>
    <n v="0"/>
    <n v="0"/>
    <n v="0"/>
    <n v="0"/>
    <n v="0"/>
    <m/>
    <s v="Witnessed by DL"/>
    <m/>
    <m/>
  </r>
  <r>
    <s v="No video"/>
    <m/>
    <x v="14"/>
    <n v="2"/>
    <s v="BU"/>
    <d v="2018-09-20T00:00:00"/>
    <x v="6"/>
    <m/>
    <s v="Overcast, light rain"/>
    <s v="GR/PS"/>
    <s v="Caching"/>
    <s v="Spruce"/>
    <n v="0"/>
    <m/>
    <x v="0"/>
    <x v="0"/>
    <x v="0"/>
    <s v="Ground"/>
    <s v="Spruce in exterior foliage. "/>
    <x v="0"/>
    <x v="2"/>
    <x v="2"/>
    <s v="Unknown"/>
    <s v="unknown"/>
    <x v="0"/>
    <n v="63.726179999999999"/>
    <n v="148.96117000000001"/>
    <m/>
    <m/>
    <m/>
    <n v="0"/>
    <n v="0"/>
    <n v="0"/>
    <n v="0"/>
    <n v="0"/>
    <n v="0"/>
    <n v="0"/>
    <m/>
    <s v="Witnessed by DL"/>
    <m/>
    <m/>
  </r>
  <r>
    <s v="DSCN0998"/>
    <s v="MC0921_2"/>
    <x v="3"/>
    <n v="1"/>
    <s v="Mercentile "/>
    <d v="2018-09-21T00:00:00"/>
    <x v="6"/>
    <d v="1899-12-30T00:48:00"/>
    <s v="Mostly sunny"/>
    <s v="WO/OS"/>
    <s v="Caching"/>
    <s v="Spruce, Aspen"/>
    <n v="0"/>
    <m/>
    <x v="0"/>
    <x v="5"/>
    <x v="53"/>
    <s v="Seemed to get it from tree, but unconfirmed"/>
    <s v="Exterior aspen branch under bark"/>
    <x v="1"/>
    <x v="2"/>
    <x v="8"/>
    <s v="Unknown"/>
    <s v="unknown"/>
    <x v="0"/>
    <n v="63.733040000000003"/>
    <n v="148.89510999999999"/>
    <m/>
    <m/>
    <m/>
    <n v="0"/>
    <n v="0"/>
    <n v="0"/>
    <n v="0"/>
    <n v="0"/>
    <n v="0"/>
    <n v="0"/>
    <m/>
    <s v="Great cache video"/>
    <m/>
    <m/>
  </r>
  <r>
    <s v="DSCN0998"/>
    <s v="MC0921_2"/>
    <x v="3"/>
    <n v="2"/>
    <s v="Mercentile "/>
    <d v="2018-09-21T00:00:00"/>
    <x v="6"/>
    <d v="1899-12-30T00:48:00"/>
    <s v="Mostly sunny"/>
    <s v="WO/OS"/>
    <s v="Caching"/>
    <s v="Spruce, Aspen"/>
    <n v="0"/>
    <m/>
    <x v="0"/>
    <x v="5"/>
    <x v="53"/>
    <s v="Seemed to get it from tree, but unconfirmed"/>
    <s v="Exterior aspen branch under bark"/>
    <x v="1"/>
    <x v="2"/>
    <x v="8"/>
    <s v="Unknown"/>
    <s v="unknown"/>
    <x v="0"/>
    <n v="63.733040000000003"/>
    <n v="148.89510999999999"/>
    <m/>
    <m/>
    <m/>
    <n v="0"/>
    <n v="0"/>
    <n v="0"/>
    <n v="0"/>
    <n v="0"/>
    <n v="0"/>
    <n v="0"/>
    <m/>
    <s v="Trees right next to each other so same GPS"/>
    <m/>
    <m/>
  </r>
  <r>
    <s v="DSCN0981"/>
    <s v="M2370921_1"/>
    <x v="0"/>
    <n v="1"/>
    <s v="Mile 237"/>
    <d v="2018-09-21T00:00:00"/>
    <x v="6"/>
    <d v="1899-12-30T00:21:00"/>
    <s v="Overcast, light rain"/>
    <s v="YP/RS"/>
    <s v="Caching"/>
    <s v="Spruce"/>
    <n v="0"/>
    <m/>
    <x v="0"/>
    <x v="0"/>
    <x v="0"/>
    <s v="unknown"/>
    <s v="Spruce trunk under bark"/>
    <x v="0"/>
    <x v="1"/>
    <x v="8"/>
    <s v="Unknown"/>
    <s v="unknown"/>
    <x v="0"/>
    <n v="63.723010000000002"/>
    <n v="148.88673"/>
    <m/>
    <m/>
    <m/>
    <n v="0"/>
    <n v="0"/>
    <n v="0"/>
    <n v="0"/>
    <n v="0"/>
    <n v="0"/>
    <n v="0"/>
    <m/>
    <m/>
    <m/>
    <m/>
  </r>
  <r>
    <s v="DSCN0990"/>
    <s v="TC0921_3"/>
    <x v="1"/>
    <n v="1"/>
    <s v="Trail Camp"/>
    <d v="2018-09-21T00:00:00"/>
    <x v="6"/>
    <d v="1899-12-30T00:04:00"/>
    <s v="Partly sunny"/>
    <s v="WL/PS"/>
    <s v="Caching"/>
    <s v="Spruce"/>
    <n v="0"/>
    <m/>
    <x v="0"/>
    <x v="5"/>
    <x v="47"/>
    <s v="Ground"/>
    <s v="Exterior spruce foliage"/>
    <x v="0"/>
    <x v="2"/>
    <x v="2"/>
    <s v="Unknown"/>
    <s v="unknown"/>
    <x v="18"/>
    <n v="63.731529999999999"/>
    <n v="148.90143"/>
    <m/>
    <m/>
    <m/>
    <n v="0"/>
    <n v="0"/>
    <n v="0"/>
    <n v="0"/>
    <n v="0"/>
    <n v="0"/>
    <n v="0"/>
    <m/>
    <s v="Cached food from previous video. "/>
    <m/>
    <m/>
  </r>
  <r>
    <s v="No video"/>
    <m/>
    <x v="14"/>
    <m/>
    <s v="BU"/>
    <d v="2018-09-23T00:00:00"/>
    <x v="6"/>
    <m/>
    <s v="Overcast"/>
    <s v="unknown"/>
    <s v="Caching"/>
    <s v="Spruce"/>
    <n v="1"/>
    <m/>
    <x v="0"/>
    <x v="6"/>
    <x v="11"/>
    <s v="Ground"/>
    <s v="Interior spruce under bark"/>
    <x v="0"/>
    <x v="0"/>
    <x v="8"/>
    <s v="Unknown"/>
    <s v="unknown"/>
    <x v="6"/>
    <n v="63.725430000000003"/>
    <n v="148.9597"/>
    <m/>
    <m/>
    <m/>
    <n v="0"/>
    <n v="0"/>
    <n v="0"/>
    <n v="0"/>
    <n v="0"/>
    <n v="0"/>
    <n v="0"/>
    <m/>
    <s v="Witnessed foraging/caching event outside of work.  Noted tree and returned later to record GPS"/>
    <m/>
    <m/>
  </r>
  <r>
    <s v="DSCN1025"/>
    <s v="HS0924_2"/>
    <x v="3"/>
    <n v="1"/>
    <s v="Horse Shoe"/>
    <d v="2018-09-24T00:00:00"/>
    <x v="6"/>
    <d v="1899-12-30T00:16:00"/>
    <s v="Partly sunny"/>
    <s v="YO/OS"/>
    <s v="Caching"/>
    <s v="Spruce"/>
    <n v="0"/>
    <m/>
    <x v="0"/>
    <x v="0"/>
    <x v="0"/>
    <s v="Ground"/>
    <s v="Top, interior part of foliated spruce on trunk "/>
    <x v="0"/>
    <x v="1"/>
    <x v="14"/>
    <s v="Unknown"/>
    <s v="unknown"/>
    <x v="0"/>
    <n v="63.73798"/>
    <n v="148.90401"/>
    <m/>
    <m/>
    <m/>
    <n v="0"/>
    <n v="0"/>
    <n v="0"/>
    <n v="0"/>
    <n v="0"/>
    <n v="0"/>
    <n v="0"/>
    <m/>
    <s v="Unconfirmed but suspected cache.  Bird was observed obtaining food in the previous video,  "/>
    <m/>
    <m/>
  </r>
  <r>
    <s v="DSCN1089"/>
    <s v="MC0925_7"/>
    <x v="2"/>
    <n v="1"/>
    <s v="Mercentile "/>
    <d v="2018-09-25T00:00:00"/>
    <x v="6"/>
    <d v="1899-12-30T00:31:00"/>
    <s v="Overcast"/>
    <s v="WO/OS"/>
    <s v="Foraging"/>
    <s v="NA"/>
    <n v="1"/>
    <m/>
    <x v="0"/>
    <x v="6"/>
    <x v="38"/>
    <s v="Ground"/>
    <s v="Interior spruce foliage, 7m off ground"/>
    <x v="0"/>
    <x v="0"/>
    <x v="2"/>
    <s v="Unknown"/>
    <s v="unknown"/>
    <x v="21"/>
    <n v="63.732559999999999"/>
    <n v="148.89667"/>
    <m/>
    <m/>
    <m/>
    <n v="0"/>
    <n v="0"/>
    <n v="0"/>
    <n v="0"/>
    <n v="6"/>
    <n v="0"/>
    <n v="6"/>
    <m/>
    <m/>
    <m/>
    <m/>
  </r>
  <r>
    <s v="DSCN1091"/>
    <s v="MC0925_8"/>
    <x v="6"/>
    <n v="1"/>
    <s v="Mercentile "/>
    <d v="2018-09-25T00:00:00"/>
    <x v="6"/>
    <d v="1899-12-30T00:21:00"/>
    <s v="Overcast"/>
    <s v="BW/GS"/>
    <s v="Caching"/>
    <s v="Spruce"/>
    <n v="0"/>
    <m/>
    <x v="0"/>
    <x v="5"/>
    <x v="47"/>
    <s v="unknown"/>
    <s v="Interior spruce foliage, 20M "/>
    <x v="0"/>
    <x v="0"/>
    <x v="2"/>
    <s v="Unknown"/>
    <s v="unknown"/>
    <x v="0"/>
    <n v="63.732529999999997"/>
    <n v="148.89622"/>
    <m/>
    <m/>
    <m/>
    <n v="0"/>
    <n v="0"/>
    <n v="0"/>
    <n v="0"/>
    <n v="0"/>
    <n v="0"/>
    <n v="0"/>
    <m/>
    <s v="Video does not show cache.  I had seen the female in another spruce eating the food, but could not get video on her in time.  Then she flew the featured tree and put the food there.  When I saw her fly with it it looked like human food given the color/size and shape.  "/>
    <m/>
    <m/>
  </r>
  <r>
    <s v="No video"/>
    <m/>
    <x v="14"/>
    <m/>
    <s v="Mercentile "/>
    <d v="2018-09-25T00:00:00"/>
    <x v="6"/>
    <m/>
    <s v="Overcast"/>
    <s v="WO/OS"/>
    <s v="Caching"/>
    <s v="NA"/>
    <n v="0"/>
    <m/>
    <x v="0"/>
    <x v="1"/>
    <x v="32"/>
    <s v="NA"/>
    <s v="Interior top of spruce in foliage."/>
    <x v="0"/>
    <x v="0"/>
    <x v="2"/>
    <s v="Unknown"/>
    <s v="unknown"/>
    <x v="15"/>
    <n v="63.732320000000001"/>
    <n v="148.89685"/>
    <m/>
    <m/>
    <m/>
    <n v="0"/>
    <n v="0"/>
    <n v="0"/>
    <n v="0"/>
    <n v="0"/>
    <n v="0"/>
    <n v="0"/>
    <m/>
    <s v="Cached food from previous video.  Did not get in on camera but observed IRL"/>
    <m/>
    <m/>
  </r>
  <r>
    <s v="DSCN1133"/>
    <s v="AQ0926_9"/>
    <x v="7"/>
    <n v="1"/>
    <s v="Air Quality"/>
    <d v="2018-09-26T00:00:00"/>
    <x v="6"/>
    <d v="1899-12-30T01:40:00"/>
    <s v="Overcast"/>
    <s v="PL/PS"/>
    <s v="Foraging"/>
    <s v="Spruce"/>
    <n v="1"/>
    <m/>
    <x v="1"/>
    <x v="0"/>
    <x v="0"/>
    <s v="Spruce foliage"/>
    <s v="Interior spruce bare branch/witches broom "/>
    <x v="0"/>
    <x v="0"/>
    <x v="16"/>
    <s v="Unknown"/>
    <s v="unknown"/>
    <x v="6"/>
    <n v="63.721490000000003"/>
    <n v="148.96460999999999"/>
    <m/>
    <m/>
    <m/>
    <n v="0"/>
    <n v="0"/>
    <n v="0"/>
    <n v="0"/>
    <n v="0"/>
    <n v="0"/>
    <n v="0"/>
    <m/>
    <m/>
    <m/>
    <m/>
  </r>
  <r>
    <s v="DSCN1148"/>
    <s v="WW0926_3"/>
    <x v="1"/>
    <n v="1"/>
    <s v="Wac West"/>
    <d v="2018-09-26T00:00:00"/>
    <x v="6"/>
    <d v="1899-12-30T00:23:00"/>
    <s v="Overcast"/>
    <s v="BP/PS"/>
    <s v="Foraging/Caching"/>
    <s v="Spruce"/>
    <n v="1"/>
    <m/>
    <x v="0"/>
    <x v="6"/>
    <x v="38"/>
    <s v="Ground"/>
    <s v="Exterior spruce branch on bare branch and lichen"/>
    <x v="0"/>
    <x v="2"/>
    <x v="13"/>
    <s v="Unknown"/>
    <s v="unknown"/>
    <x v="1"/>
    <n v="63.739910000000002"/>
    <n v="148.90183999999999"/>
    <m/>
    <m/>
    <m/>
    <n v="0"/>
    <n v="0"/>
    <n v="0"/>
    <n v="0"/>
    <n v="11"/>
    <n v="0"/>
    <n v="11"/>
    <m/>
    <s v="I went an inspected tree and could see cached bluberry on branch.  Later, after we lost the bird, I could not find it though! "/>
    <m/>
    <m/>
  </r>
  <r>
    <s v="DSCN1153"/>
    <s v="WW0926_5"/>
    <x v="5"/>
    <n v="1"/>
    <s v="Wac West"/>
    <d v="2018-09-26T00:00:00"/>
    <x v="6"/>
    <d v="1899-12-30T00:34:00"/>
    <s v="Overcast"/>
    <s v="BP/PS"/>
    <s v="Foraging/Caching"/>
    <s v="Spruce"/>
    <n v="1"/>
    <m/>
    <x v="0"/>
    <x v="3"/>
    <x v="54"/>
    <s v="Ground"/>
    <s v="Interior spruce, middle of branch under bark "/>
    <x v="0"/>
    <x v="0"/>
    <x v="8"/>
    <s v="Unknown"/>
    <s v="unknown"/>
    <x v="6"/>
    <n v="63.739980000000003"/>
    <n v="148.90302"/>
    <m/>
    <m/>
    <m/>
    <n v="0"/>
    <n v="0"/>
    <n v="0"/>
    <n v="0"/>
    <n v="6"/>
    <n v="0"/>
    <n v="6"/>
    <m/>
    <m/>
    <m/>
    <m/>
  </r>
  <r>
    <s v="DSCN1163"/>
    <s v="WW0926_9"/>
    <x v="7"/>
    <n v="1"/>
    <s v="Wac West"/>
    <d v="2018-09-26T00:00:00"/>
    <x v="6"/>
    <d v="1899-12-30T00:48:00"/>
    <s v="Overcast"/>
    <s v="BP/PS"/>
    <s v="Foraging/Caching"/>
    <s v="Spruce"/>
    <n v="1"/>
    <m/>
    <x v="0"/>
    <x v="3"/>
    <x v="54"/>
    <s v="Ground"/>
    <s v="Exterior spruce branch under bark"/>
    <x v="0"/>
    <x v="2"/>
    <x v="8"/>
    <s v="Unknown"/>
    <s v="unknown"/>
    <x v="1"/>
    <n v="63.739829999999998"/>
    <n v="148.90535"/>
    <m/>
    <m/>
    <m/>
    <n v="0"/>
    <n v="0"/>
    <n v="0"/>
    <n v="0"/>
    <n v="0"/>
    <n v="0"/>
    <n v="0"/>
    <m/>
    <s v="bird has just come off the Ground at video start. "/>
    <m/>
    <m/>
  </r>
  <r>
    <s v="DSCN1100"/>
    <s v="AQ0926_3"/>
    <x v="1"/>
    <n v="1"/>
    <s v="Air Quality"/>
    <d v="2018-09-26T00:00:00"/>
    <x v="6"/>
    <d v="1899-12-30T00:46:00"/>
    <s v="Overcast"/>
    <s v="PL/PS"/>
    <s v="Caching"/>
    <s v="Spruce"/>
    <n v="0"/>
    <m/>
    <x v="1"/>
    <x v="0"/>
    <x v="0"/>
    <s v="unknown"/>
    <s v="On spruce trunk enclosed by semi-dense foliage.  "/>
    <x v="0"/>
    <x v="1"/>
    <x v="8"/>
    <s v="Unknown"/>
    <s v="unknown"/>
    <x v="0"/>
    <n v="63.723379999999999"/>
    <n v="148.96933000000001"/>
    <m/>
    <m/>
    <m/>
    <n v="0"/>
    <n v="0"/>
    <n v="0"/>
    <n v="0"/>
    <n v="0"/>
    <n v="0"/>
    <n v="0"/>
    <m/>
    <m/>
    <m/>
    <m/>
  </r>
  <r>
    <s v="DSCN1102"/>
    <s v="AQ0926_5"/>
    <x v="5"/>
    <n v="1"/>
    <s v="Air Quality"/>
    <d v="2018-09-26T00:00:00"/>
    <x v="6"/>
    <d v="1899-12-30T01:45:00"/>
    <s v="Overcast"/>
    <s v="PL/PS"/>
    <s v="Caching"/>
    <s v="Spruce"/>
    <n v="0"/>
    <m/>
    <x v="0"/>
    <x v="0"/>
    <x v="0"/>
    <s v="unknown"/>
    <s v="in top of stick sticking vertically from ground.  About 5ft high"/>
    <x v="6"/>
    <x v="2"/>
    <x v="11"/>
    <s v="Unknown"/>
    <s v="unknown"/>
    <x v="0"/>
    <n v="63.723199999999999"/>
    <n v="148.97024999999999"/>
    <m/>
    <m/>
    <m/>
    <n v="0"/>
    <n v="0"/>
    <n v="0"/>
    <n v="0"/>
    <n v="0"/>
    <n v="0"/>
    <n v="0"/>
    <m/>
    <s v="Put Camera on this cache site "/>
    <m/>
    <m/>
  </r>
  <r>
    <s v="DSCN1102"/>
    <s v="AQ0926_5"/>
    <x v="5"/>
    <n v="2"/>
    <s v="Air Quality"/>
    <d v="2018-09-26T00:00:00"/>
    <x v="6"/>
    <d v="1899-12-30T01:45:00"/>
    <s v="Overcast"/>
    <s v="PL/PS"/>
    <s v="Caching"/>
    <s v="Spruce"/>
    <n v="0"/>
    <m/>
    <x v="0"/>
    <x v="0"/>
    <x v="0"/>
    <s v="unknown"/>
    <s v="Interior spruce bare branch under bark"/>
    <x v="0"/>
    <x v="0"/>
    <x v="15"/>
    <s v="Unknown"/>
    <s v="unknown"/>
    <x v="0"/>
    <n v="63.723280000000003"/>
    <n v="148.97037"/>
    <m/>
    <m/>
    <m/>
    <n v="0"/>
    <n v="0"/>
    <n v="0"/>
    <n v="0"/>
    <n v="0"/>
    <n v="0"/>
    <n v="0"/>
    <m/>
    <s v="Put Camera on this cache site "/>
    <m/>
    <m/>
  </r>
  <r>
    <s v="DSCN1102"/>
    <s v="AQ0926_5"/>
    <x v="5"/>
    <n v="3"/>
    <s v="Air Quality"/>
    <d v="2018-09-26T00:00:00"/>
    <x v="6"/>
    <d v="1899-12-30T01:45:00"/>
    <s v="Overcast"/>
    <s v="PL/PS"/>
    <s v="Caching"/>
    <s v="Spruce"/>
    <n v="0"/>
    <m/>
    <x v="1"/>
    <x v="0"/>
    <x v="0"/>
    <s v="unknown"/>
    <s v="Exterior bare branch under bark/which hair."/>
    <x v="0"/>
    <x v="2"/>
    <x v="13"/>
    <s v="Unknown"/>
    <s v="unknown"/>
    <x v="0"/>
    <n v="63.723230000000001"/>
    <n v="148.97020000000001"/>
    <m/>
    <m/>
    <m/>
    <n v="0"/>
    <n v="0"/>
    <n v="0"/>
    <n v="0"/>
    <n v="0"/>
    <n v="0"/>
    <n v="0"/>
    <m/>
    <s v="Put Camera on this cache site "/>
    <m/>
    <m/>
  </r>
  <r>
    <s v="DSCN1131"/>
    <s v="AQ0926_8"/>
    <x v="6"/>
    <n v="1"/>
    <s v="Air Quality"/>
    <d v="2018-09-26T00:00:00"/>
    <x v="6"/>
    <d v="1899-12-30T00:09:00"/>
    <s v="Overcast"/>
    <s v="PG/PS"/>
    <s v="Caching"/>
    <s v="Spruce"/>
    <n v="0"/>
    <m/>
    <x v="0"/>
    <x v="0"/>
    <x v="0"/>
    <s v="Ground"/>
    <s v="interior spruce, maybe on trunk"/>
    <x v="0"/>
    <x v="0"/>
    <x v="12"/>
    <s v="Unknown"/>
    <s v="unknown"/>
    <x v="0"/>
    <n v="63.721530000000001"/>
    <n v="148.96460999999999"/>
    <m/>
    <m/>
    <m/>
    <n v="0"/>
    <n v="0"/>
    <n v="0"/>
    <n v="0"/>
    <n v="0"/>
    <n v="0"/>
    <n v="0"/>
    <m/>
    <m/>
    <m/>
    <m/>
  </r>
  <r>
    <s v="DSCN1134"/>
    <s v="AQ0926_10"/>
    <x v="4"/>
    <n v="1"/>
    <s v="Air Quality"/>
    <d v="2018-09-26T00:00:00"/>
    <x v="6"/>
    <d v="1899-12-30T00:21:00"/>
    <s v="Overcast"/>
    <s v="PL/PS"/>
    <s v="Caching"/>
    <s v="Spruce"/>
    <n v="0"/>
    <m/>
    <x v="0"/>
    <x v="0"/>
    <x v="0"/>
    <s v="NA"/>
    <s v="Spruce trunk under bark"/>
    <x v="0"/>
    <x v="1"/>
    <x v="8"/>
    <s v="Unknown"/>
    <s v="unknown"/>
    <x v="19"/>
    <n v="63.721330000000002"/>
    <n v="148.96489"/>
    <m/>
    <m/>
    <m/>
    <n v="0"/>
    <n v="0"/>
    <n v="0"/>
    <n v="0"/>
    <n v="0"/>
    <n v="0"/>
    <n v="0"/>
    <m/>
    <s v="All the same food item as in previous video"/>
    <m/>
    <m/>
  </r>
  <r>
    <s v="DSCN1118"/>
    <s v="CC0926_3"/>
    <x v="1"/>
    <n v="1"/>
    <s v="Ccamp"/>
    <d v="2018-09-26T00:00:00"/>
    <x v="6"/>
    <d v="1899-12-30T01:10:00"/>
    <s v="Overcast"/>
    <s v="GR/RS"/>
    <s v="Caching"/>
    <s v="Spruce, Aspen"/>
    <n v="0"/>
    <m/>
    <x v="1"/>
    <x v="0"/>
    <x v="0"/>
    <s v="unknown"/>
    <s v="Exterior aspen branch under bark "/>
    <x v="1"/>
    <x v="2"/>
    <x v="8"/>
    <s v="Unknown"/>
    <s v="unknown"/>
    <x v="0"/>
    <n v="63.724490000000003"/>
    <n v="148.95013"/>
    <m/>
    <m/>
    <m/>
    <n v="0"/>
    <n v="0"/>
    <n v="0"/>
    <n v="0"/>
    <n v="0"/>
    <n v="0"/>
    <n v="0"/>
    <m/>
    <s v="Great cache video, especially at 0:43"/>
    <m/>
    <m/>
  </r>
  <r>
    <s v="DSCN1118"/>
    <s v="CC0926_3"/>
    <x v="1"/>
    <n v="2"/>
    <s v="Ccamp"/>
    <d v="2018-09-26T00:00:00"/>
    <x v="6"/>
    <d v="1899-12-30T01:10:00"/>
    <s v="Overcast"/>
    <s v="GR/RS"/>
    <s v="Caching"/>
    <s v="Spruce, Aspen"/>
    <n v="0"/>
    <m/>
    <x v="0"/>
    <x v="0"/>
    <x v="0"/>
    <s v="unknown"/>
    <s v="Exterior aspen branch under bark "/>
    <x v="1"/>
    <x v="2"/>
    <x v="15"/>
    <s v="Unknown"/>
    <s v="unknown"/>
    <x v="0"/>
    <n v="63.724469999999997"/>
    <n v="148.95013"/>
    <m/>
    <m/>
    <m/>
    <n v="0"/>
    <n v="0"/>
    <n v="0"/>
    <n v="0"/>
    <n v="0"/>
    <n v="0"/>
    <n v="0"/>
    <m/>
    <s v="Great cache video, especially at 0:43"/>
    <m/>
    <m/>
  </r>
  <r>
    <s v="DSCN1118"/>
    <s v="CC0926_3"/>
    <x v="1"/>
    <n v="3"/>
    <s v="Ccamp"/>
    <d v="2018-09-26T00:00:00"/>
    <x v="6"/>
    <d v="1899-12-30T01:10:00"/>
    <s v="Overcast"/>
    <s v="GR/RS"/>
    <s v="Caching"/>
    <s v="Spruce, Aspen"/>
    <n v="0"/>
    <m/>
    <x v="0"/>
    <x v="0"/>
    <x v="0"/>
    <s v="unknown"/>
    <s v="Exterior spruce foliage"/>
    <x v="0"/>
    <x v="2"/>
    <x v="2"/>
    <s v="Unknown"/>
    <s v="unknown"/>
    <x v="0"/>
    <n v="63.724350000000001"/>
    <n v="148.95016000000001"/>
    <m/>
    <m/>
    <m/>
    <n v="0"/>
    <n v="0"/>
    <n v="0"/>
    <n v="0"/>
    <n v="0"/>
    <n v="0"/>
    <n v="0"/>
    <m/>
    <s v="Great cache video, especially at 0:43"/>
    <m/>
    <m/>
  </r>
  <r>
    <s v="DSCN1121"/>
    <s v="CC0926_4"/>
    <x v="10"/>
    <n v="1"/>
    <s v="Ccamp"/>
    <d v="2018-09-26T00:00:00"/>
    <x v="6"/>
    <d v="1899-12-30T00:07:00"/>
    <s v="Overcast"/>
    <s v="GR/RS"/>
    <s v="Caching"/>
    <s v="Aspen"/>
    <n v="0"/>
    <m/>
    <x v="0"/>
    <x v="0"/>
    <x v="0"/>
    <s v="ground"/>
    <s v="Aspen trunk"/>
    <x v="1"/>
    <x v="1"/>
    <x v="14"/>
    <s v="Unknown"/>
    <s v="unknown"/>
    <x v="34"/>
    <n v="63.724290000000003"/>
    <n v="148.94922"/>
    <m/>
    <m/>
    <m/>
    <n v="0"/>
    <n v="0"/>
    <n v="0"/>
    <n v="0"/>
    <n v="0"/>
    <n v="0"/>
    <n v="0"/>
    <m/>
    <s v="Checked and could see cache! Later put camera on cache tree. "/>
    <m/>
    <m/>
  </r>
  <r>
    <s v="DSCN1140"/>
    <s v="WW0926_1"/>
    <x v="0"/>
    <n v="1"/>
    <s v="Wac West"/>
    <d v="2018-09-26T00:00:00"/>
    <x v="6"/>
    <d v="1899-12-30T00:13:00"/>
    <s v="Overcast"/>
    <s v="BP/PS"/>
    <s v="Caching"/>
    <s v="Spruce"/>
    <n v="0"/>
    <m/>
    <x v="0"/>
    <x v="0"/>
    <x v="0"/>
    <s v="unknown"/>
    <s v="Spruce trunk under bark"/>
    <x v="0"/>
    <x v="1"/>
    <x v="8"/>
    <s v="Unknown"/>
    <s v="unknown"/>
    <x v="0"/>
    <n v="63.737909999999999"/>
    <n v="148.90565000000001"/>
    <m/>
    <m/>
    <m/>
    <n v="0"/>
    <n v="0"/>
    <n v="0"/>
    <n v="0"/>
    <n v="0"/>
    <n v="0"/>
    <n v="0"/>
    <m/>
    <m/>
    <m/>
    <m/>
  </r>
  <r>
    <s v="DSCN1158"/>
    <s v="WW0926_7"/>
    <x v="2"/>
    <n v="1"/>
    <s v="Wac West"/>
    <d v="2018-09-26T00:00:00"/>
    <x v="6"/>
    <d v="1899-12-30T00:17:00"/>
    <s v="Overcast"/>
    <s v="BP/PS"/>
    <s v="Caching"/>
    <s v="Spruce"/>
    <n v="0"/>
    <m/>
    <x v="0"/>
    <x v="0"/>
    <x v="0"/>
    <s v="unknown"/>
    <s v="Spruce trunk under bark"/>
    <x v="0"/>
    <x v="1"/>
    <x v="8"/>
    <s v="Unknown"/>
    <s v="unknown"/>
    <x v="0"/>
    <n v="63.739550000000001"/>
    <n v="148.90470999999999"/>
    <m/>
    <m/>
    <m/>
    <n v="0"/>
    <n v="0"/>
    <n v="0"/>
    <n v="0"/>
    <n v="0"/>
    <n v="0"/>
    <n v="0"/>
    <m/>
    <s v="Suspected but unconfirmed cache"/>
    <m/>
    <m/>
  </r>
  <r>
    <s v="DSCN1164"/>
    <s v="WW0926_10"/>
    <x v="4"/>
    <n v="1"/>
    <s v="Wac West"/>
    <d v="2018-09-26T00:00:00"/>
    <x v="6"/>
    <d v="1899-12-30T00:25:00"/>
    <s v="Overcast"/>
    <s v="BP/PS"/>
    <s v="Caching"/>
    <s v="Aspen"/>
    <n v="0"/>
    <m/>
    <x v="0"/>
    <x v="3"/>
    <x v="54"/>
    <s v="NA"/>
    <s v="Exterior aspen branch under bark"/>
    <x v="0"/>
    <x v="2"/>
    <x v="8"/>
    <s v="Unknown"/>
    <s v="unknown"/>
    <x v="0"/>
    <n v="63.740020000000001"/>
    <n v="148.90588"/>
    <m/>
    <m/>
    <m/>
    <n v="0"/>
    <n v="0"/>
    <n v="0"/>
    <n v="0"/>
    <n v="0"/>
    <n v="0"/>
    <n v="0"/>
    <m/>
    <s v="Same food as in previous video"/>
    <m/>
    <m/>
  </r>
  <r>
    <s v="DSCN1167"/>
    <s v="WW0926_11"/>
    <x v="8"/>
    <n v="1"/>
    <s v="Wac West"/>
    <d v="2018-09-26T00:00:00"/>
    <x v="6"/>
    <d v="1899-12-30T00:17:00"/>
    <s v="Overcast"/>
    <s v="BP/PS"/>
    <s v="Caching"/>
    <s v="Spruce"/>
    <n v="0"/>
    <m/>
    <x v="0"/>
    <x v="0"/>
    <x v="0"/>
    <s v="unknown"/>
    <s v="Exterior spruce branch under bark/lichen"/>
    <x v="0"/>
    <x v="2"/>
    <x v="8"/>
    <s v="Unknown"/>
    <s v="unknown"/>
    <x v="0"/>
    <n v="63.74024"/>
    <n v="148.90630999999999"/>
    <m/>
    <m/>
    <m/>
    <n v="0"/>
    <n v="0"/>
    <n v="0"/>
    <n v="0"/>
    <n v="0"/>
    <n v="0"/>
    <n v="0"/>
    <m/>
    <s v="Video picks up right after it cached. "/>
    <m/>
    <m/>
  </r>
  <r>
    <s v="DSCN1203"/>
    <s v="M2370927_3"/>
    <x v="1"/>
    <n v="1"/>
    <s v="Mile 237"/>
    <d v="2018-09-27T00:00:00"/>
    <x v="6"/>
    <d v="1899-12-30T00:29:00"/>
    <s v="Partly sunny"/>
    <s v="YP/RS"/>
    <s v="Foraging/Caching"/>
    <s v="Spruce"/>
    <n v="1"/>
    <m/>
    <x v="0"/>
    <x v="0"/>
    <x v="0"/>
    <s v="Ground"/>
    <s v="Interior bare spruce branch under bark"/>
    <x v="0"/>
    <x v="0"/>
    <x v="8"/>
    <s v="Unknown"/>
    <s v="unknown"/>
    <x v="18"/>
    <n v="63.723649999999999"/>
    <n v="148.88979"/>
    <m/>
    <m/>
    <m/>
    <n v="0"/>
    <n v="0"/>
    <n v="0"/>
    <n v="0"/>
    <n v="1"/>
    <n v="0"/>
    <n v="1"/>
    <m/>
    <s v="Didn't catch either on video, narration only. "/>
    <m/>
    <m/>
  </r>
  <r>
    <s v="DSCN1212"/>
    <s v="M2370927_5"/>
    <x v="5"/>
    <n v="1"/>
    <s v="Mile 237"/>
    <d v="2018-09-27T00:00:00"/>
    <x v="6"/>
    <d v="1899-12-30T00:31:00"/>
    <s v="Partly sunny"/>
    <s v="Unknown"/>
    <s v="Foraging/Caching"/>
    <s v="Spruce"/>
    <n v="1"/>
    <m/>
    <x v="0"/>
    <x v="0"/>
    <x v="0"/>
    <s v="Ground"/>
    <s v="Exterior spruce branch under bark/witch hair"/>
    <x v="0"/>
    <x v="2"/>
    <x v="13"/>
    <s v="Unknown"/>
    <s v="unknown"/>
    <x v="1"/>
    <n v="63.724850000000004"/>
    <n v="148.88839999999999"/>
    <m/>
    <m/>
    <m/>
    <n v="0"/>
    <n v="0"/>
    <n v="0"/>
    <n v="0"/>
    <n v="2"/>
    <n v="0"/>
    <n v="2"/>
    <m/>
    <s v="Suspected but unconfirmed cache "/>
    <m/>
    <m/>
  </r>
  <r>
    <s v="No video"/>
    <m/>
    <x v="14"/>
    <m/>
    <s v="Mile 237"/>
    <d v="2018-09-27T00:00:00"/>
    <x v="6"/>
    <m/>
    <s v="Partly sunny"/>
    <s v="YP/RS"/>
    <s v="Foraging/Caching"/>
    <s v="Spruce"/>
    <n v="1"/>
    <m/>
    <x v="0"/>
    <x v="0"/>
    <x v="0"/>
    <s v="Ground"/>
    <s v="Exterior spruce foliage"/>
    <x v="0"/>
    <x v="2"/>
    <x v="2"/>
    <s v="Unknown"/>
    <s v="unknown"/>
    <x v="7"/>
    <n v="63.724739999999997"/>
    <n v="148.88999999999999"/>
    <m/>
    <m/>
    <m/>
    <n v="0"/>
    <n v="0"/>
    <n v="0"/>
    <n v="0"/>
    <n v="2"/>
    <n v="0"/>
    <n v="2"/>
    <m/>
    <s v="Didn't catch either on video, but KS witnessed both.  We were able to visually confirm cache, though we couldn't figure out what it was! "/>
    <m/>
    <m/>
  </r>
  <r>
    <s v="DSCN1173"/>
    <s v="M4R0927_1"/>
    <x v="0"/>
    <n v="1"/>
    <s v="Mile 4 Roadside"/>
    <d v="2018-09-27T00:00:00"/>
    <x v="6"/>
    <d v="1899-12-30T00:25:00"/>
    <s v="Overcast"/>
    <s v="OB/YS"/>
    <s v="Foraging/Caching"/>
    <s v="Spruce"/>
    <n v="1"/>
    <m/>
    <x v="0"/>
    <x v="0"/>
    <x v="0"/>
    <s v="Spruce foliage"/>
    <s v="Exterior spruce foliage"/>
    <x v="0"/>
    <x v="2"/>
    <x v="2"/>
    <s v="Unknown"/>
    <s v="unknown"/>
    <x v="10"/>
    <n v="63.722810000000003"/>
    <n v="148.98181"/>
    <m/>
    <m/>
    <m/>
    <n v="0"/>
    <n v="0"/>
    <n v="0"/>
    <n v="0"/>
    <n v="0"/>
    <n v="0"/>
    <n v="0"/>
    <m/>
    <s v="Instantly picks food from branch "/>
    <m/>
    <m/>
  </r>
  <r>
    <s v="DSCN1200"/>
    <s v="M2370927_2"/>
    <x v="3"/>
    <n v="1"/>
    <s v="Mile 237"/>
    <d v="2018-09-27T00:00:00"/>
    <x v="6"/>
    <d v="1899-12-30T00:11:00"/>
    <s v="Partly sunny"/>
    <s v="YP/RS"/>
    <s v="Caching"/>
    <s v="Spruce"/>
    <n v="0"/>
    <m/>
    <x v="0"/>
    <x v="3"/>
    <x v="54"/>
    <s v="NA"/>
    <s v="Interior bare spruce branch under bark"/>
    <x v="0"/>
    <x v="0"/>
    <x v="8"/>
    <s v="Unknown"/>
    <s v="unknown"/>
    <x v="7"/>
    <n v="63.724089999999997"/>
    <n v="148.88977"/>
    <m/>
    <m/>
    <m/>
    <n v="0"/>
    <n v="0"/>
    <n v="0"/>
    <n v="0"/>
    <n v="0"/>
    <n v="0"/>
    <n v="0"/>
    <m/>
    <s v="Same food as in previous video."/>
    <m/>
    <m/>
  </r>
  <r>
    <s v="DSCN1177"/>
    <s v="M4R0917_4"/>
    <x v="10"/>
    <n v="1"/>
    <s v="Mile 4 Roadside"/>
    <d v="2018-09-27T00:00:00"/>
    <x v="6"/>
    <d v="1899-12-30T00:14:00"/>
    <s v="Overcast"/>
    <s v="OB/YS"/>
    <s v="Caching"/>
    <s v="Spruce"/>
    <n v="0"/>
    <m/>
    <x v="0"/>
    <x v="0"/>
    <x v="0"/>
    <s v="unknown"/>
    <s v="Exterior spruce foliage"/>
    <x v="0"/>
    <x v="2"/>
    <x v="2"/>
    <s v="Unknown"/>
    <s v="unknown"/>
    <x v="0"/>
    <n v="63.722810000000003"/>
    <n v="148.98215999999999"/>
    <m/>
    <m/>
    <m/>
    <n v="0"/>
    <n v="0"/>
    <n v="0"/>
    <n v="0"/>
    <n v="0"/>
    <n v="0"/>
    <n v="0"/>
    <m/>
    <s v="Unconfirmed but suspected cache. "/>
    <m/>
    <m/>
  </r>
  <r>
    <s v="DSCN1183"/>
    <s v="M4R0927_7"/>
    <x v="2"/>
    <n v="1"/>
    <s v="Mile 4 Roadside"/>
    <d v="2018-09-27T00:00:00"/>
    <x v="6"/>
    <d v="1899-12-30T00:29:00"/>
    <s v="Overcast"/>
    <s v="Unbanded"/>
    <s v="Caching"/>
    <s v="Aspen"/>
    <n v="0"/>
    <m/>
    <x v="1"/>
    <x v="1"/>
    <x v="1"/>
    <s v="Interior spruce foliage"/>
    <s v="bare aspen branch under bark"/>
    <x v="1"/>
    <x v="2"/>
    <x v="8"/>
    <s v="Unknown"/>
    <s v="unknown"/>
    <x v="0"/>
    <n v="63.72307"/>
    <n v="148.98291"/>
    <m/>
    <m/>
    <m/>
    <n v="0"/>
    <n v="0"/>
    <n v="0"/>
    <n v="0"/>
    <n v="0"/>
    <n v="0"/>
    <n v="0"/>
    <m/>
    <s v="Same food as in previous video.  "/>
    <m/>
    <m/>
  </r>
  <r>
    <s v="DSCN1241"/>
    <s v="CC0928_2"/>
    <x v="3"/>
    <n v="1"/>
    <s v="Ccamp"/>
    <d v="2018-09-28T00:00:00"/>
    <x v="6"/>
    <d v="1899-12-30T00:12:00"/>
    <s v="Full sun"/>
    <s v="GL/RS"/>
    <s v="Food handling/caching"/>
    <s v="Spruce"/>
    <n v="1"/>
    <m/>
    <x v="0"/>
    <x v="3"/>
    <x v="46"/>
    <s v="Ground"/>
    <s v="Exterior spruce branch in witch hair"/>
    <x v="0"/>
    <x v="2"/>
    <x v="12"/>
    <s v="Unknown"/>
    <s v="unknown"/>
    <x v="25"/>
    <n v="63.722380000000001"/>
    <n v="148.95303000000001"/>
    <m/>
    <m/>
    <m/>
    <n v="0"/>
    <n v="0"/>
    <n v="0"/>
    <n v="0"/>
    <n v="0"/>
    <n v="0"/>
    <n v="0"/>
    <m/>
    <m/>
    <m/>
    <m/>
  </r>
  <r>
    <s v="DSCN1234"/>
    <s v="CC0928_1"/>
    <x v="0"/>
    <n v="1"/>
    <s v="Ccamp"/>
    <d v="2018-09-28T00:00:00"/>
    <x v="6"/>
    <d v="1899-12-30T00:13:00"/>
    <s v="Full sun"/>
    <s v="Unknown"/>
    <s v="Caching"/>
    <s v="Spruce"/>
    <n v="0"/>
    <m/>
    <x v="0"/>
    <x v="0"/>
    <x v="0"/>
    <s v="unknown"/>
    <s v="Exterior spruce branch under bark"/>
    <x v="0"/>
    <x v="2"/>
    <x v="8"/>
    <s v="Unknown"/>
    <s v="unknown"/>
    <x v="0"/>
    <n v="63.723210000000002"/>
    <n v="148.95068000000001"/>
    <m/>
    <m/>
    <m/>
    <n v="0"/>
    <n v="0"/>
    <n v="0"/>
    <n v="0"/>
    <n v="0"/>
    <n v="0"/>
    <n v="0"/>
    <m/>
    <m/>
    <m/>
    <m/>
  </r>
  <r>
    <s v="DSCN1244"/>
    <s v="CC0928_4"/>
    <x v="10"/>
    <n v="1"/>
    <s v="Ccamp"/>
    <d v="2018-09-28T00:00:00"/>
    <x v="6"/>
    <d v="1899-12-30T00:21:00"/>
    <s v="Full sun"/>
    <s v="GL/RS"/>
    <s v="Caching"/>
    <s v="Spruce"/>
    <n v="0"/>
    <m/>
    <x v="0"/>
    <x v="0"/>
    <x v="0"/>
    <s v="Witche's broom."/>
    <s v="Exterior spruce foliage"/>
    <x v="0"/>
    <x v="2"/>
    <x v="2"/>
    <s v="Unknown"/>
    <s v="unknown"/>
    <x v="9"/>
    <n v="63.722709999999999"/>
    <n v="148.9539"/>
    <m/>
    <m/>
    <m/>
    <n v="0"/>
    <n v="0"/>
    <n v="0"/>
    <n v="0"/>
    <n v="0"/>
    <n v="0"/>
    <n v="0"/>
    <m/>
    <m/>
    <m/>
    <m/>
  </r>
  <r>
    <s v="DSCN1245"/>
    <s v="CC0928_5"/>
    <x v="5"/>
    <n v="1"/>
    <s v="Ccamp"/>
    <d v="2018-09-28T00:00:00"/>
    <x v="6"/>
    <d v="1899-12-30T00:24:00"/>
    <s v="Full sun"/>
    <s v="GL/RS"/>
    <s v="Caching"/>
    <s v="Spruce"/>
    <n v="0"/>
    <m/>
    <x v="0"/>
    <x v="0"/>
    <x v="0"/>
    <s v="Food it placed in spruce tree"/>
    <s v="Interior spruce foliage "/>
    <x v="0"/>
    <x v="2"/>
    <x v="2"/>
    <s v="Unknown"/>
    <s v="unknown"/>
    <x v="11"/>
    <n v="63.722920000000002"/>
    <n v="148.95419000000001"/>
    <m/>
    <m/>
    <m/>
    <n v="0"/>
    <n v="0"/>
    <n v="0"/>
    <n v="0"/>
    <n v="0"/>
    <n v="0"/>
    <n v="0"/>
    <m/>
    <m/>
    <m/>
    <m/>
  </r>
  <r>
    <s v="DSCN1245"/>
    <s v="CC0928_5"/>
    <x v="5"/>
    <n v="2"/>
    <s v="Ccamp"/>
    <d v="2018-09-28T00:00:00"/>
    <x v="6"/>
    <d v="1899-12-30T00:24:00"/>
    <s v="Full sun"/>
    <s v="GL/RS"/>
    <s v="Caching"/>
    <s v="Spruce"/>
    <n v="0"/>
    <m/>
    <x v="0"/>
    <x v="0"/>
    <x v="0"/>
    <s v="Food it placed in spruce tree"/>
    <s v="Interior spruce foliage "/>
    <x v="0"/>
    <x v="2"/>
    <x v="2"/>
    <s v="Unknown"/>
    <s v="unknown"/>
    <x v="1"/>
    <n v="63.722839999999998"/>
    <n v="148.95433"/>
    <m/>
    <m/>
    <m/>
    <n v="0"/>
    <n v="0"/>
    <n v="0"/>
    <n v="0"/>
    <n v="0"/>
    <n v="0"/>
    <n v="0"/>
    <m/>
    <m/>
    <m/>
    <m/>
  </r>
  <r>
    <s v="DSCN1329"/>
    <s v="M4R1005_4"/>
    <x v="10"/>
    <n v="1"/>
    <s v="Mile 4 Roadside"/>
    <d v="2018-10-05T00:00:00"/>
    <x v="7"/>
    <d v="1899-12-30T00:14:00"/>
    <s v="Overcast"/>
    <s v="OB/YS"/>
    <s v="Foraging"/>
    <s v="Spruce"/>
    <s v="unknown"/>
    <m/>
    <x v="0"/>
    <x v="0"/>
    <x v="0"/>
    <s v="Ground"/>
    <s v="Exterior spruce branch under bark/witch hair"/>
    <x v="0"/>
    <x v="2"/>
    <x v="13"/>
    <s v="Unknown"/>
    <s v="unknown"/>
    <x v="1"/>
    <n v="63.721789999999999"/>
    <n v="148.98455999999999"/>
    <m/>
    <m/>
    <m/>
    <n v="0"/>
    <n v="0"/>
    <n v="0"/>
    <n v="0"/>
    <n v="0"/>
    <n v="0"/>
    <n v="0"/>
    <m/>
    <m/>
    <m/>
    <m/>
  </r>
  <r>
    <s v="DSCN1335"/>
    <s v="M4R1005_5"/>
    <x v="5"/>
    <n v="1"/>
    <s v="Mile 4 Roadside"/>
    <d v="2018-10-05T00:00:00"/>
    <x v="7"/>
    <d v="1899-12-30T00:15:00"/>
    <s v="Overcast"/>
    <s v="OB/YS"/>
    <s v="Caching"/>
    <s v="Spruce"/>
    <s v="unknown"/>
    <m/>
    <x v="0"/>
    <x v="0"/>
    <x v="0"/>
    <s v="Ground"/>
    <s v="Exterior spruce branch under bark/witch hair"/>
    <x v="0"/>
    <x v="2"/>
    <x v="13"/>
    <s v="Unknown"/>
    <s v="unknown"/>
    <x v="0"/>
    <n v="63.720469999999999"/>
    <n v="148.98471000000001"/>
    <m/>
    <m/>
    <m/>
    <n v="0"/>
    <n v="0"/>
    <n v="0"/>
    <n v="0"/>
    <n v="0"/>
    <n v="0"/>
    <n v="0"/>
    <m/>
    <s v="Did not observe cache with camera, but KS reasonably confident she saw it with naked eye. "/>
    <m/>
    <m/>
  </r>
  <r>
    <s v="DSCN1263"/>
    <s v="M4R1005_1"/>
    <x v="0"/>
    <n v="1"/>
    <s v="Mile 4 Roadside"/>
    <d v="2018-10-05T00:00:00"/>
    <x v="7"/>
    <d v="1899-12-30T00:29:00"/>
    <s v="Overcast"/>
    <s v="Unknown"/>
    <s v="Caching"/>
    <s v="Spruce"/>
    <n v="1"/>
    <m/>
    <x v="0"/>
    <x v="0"/>
    <x v="0"/>
    <s v="Ground"/>
    <s v="Exterior spruce foliage"/>
    <x v="0"/>
    <x v="2"/>
    <x v="2"/>
    <s v="Unknown"/>
    <s v="unknown"/>
    <x v="12"/>
    <n v="63.723480000000002"/>
    <n v="148.98240999999999"/>
    <m/>
    <m/>
    <m/>
    <n v="0"/>
    <n v="0"/>
    <n v="0"/>
    <n v="0"/>
    <n v="0"/>
    <n v="0"/>
    <n v="0"/>
    <m/>
    <s v="Suspected but unconfirmed cache"/>
    <m/>
    <m/>
  </r>
  <r>
    <s v="DSCN1345"/>
    <s v="WW1005_5"/>
    <x v="5"/>
    <n v="1"/>
    <s v="Wac West"/>
    <d v="2018-10-05T00:00:00"/>
    <x v="7"/>
    <d v="1899-12-30T00:19:00"/>
    <s v="Partly sunny"/>
    <s v="BP/PS"/>
    <s v="Caching"/>
    <s v="Spruce"/>
    <n v="1"/>
    <m/>
    <x v="0"/>
    <x v="0"/>
    <x v="0"/>
    <s v="Ground"/>
    <s v="Spruce trunk"/>
    <x v="0"/>
    <x v="1"/>
    <x v="8"/>
    <s v="Unknown"/>
    <s v="unknown"/>
    <x v="0"/>
    <n v="63.738579999999999"/>
    <n v="148.90271000000001"/>
    <m/>
    <m/>
    <m/>
    <n v="0"/>
    <n v="0"/>
    <n v="0"/>
    <n v="0"/>
    <n v="0"/>
    <n v="0"/>
    <n v="0"/>
    <m/>
    <s v="Both suspected but unconfirmed cahces"/>
    <m/>
    <m/>
  </r>
  <r>
    <s v="DSCN1345"/>
    <s v="WW1005_5"/>
    <x v="5"/>
    <n v="2"/>
    <s v="Wac West"/>
    <d v="2018-10-05T00:00:00"/>
    <x v="7"/>
    <d v="1899-12-30T00:19:00"/>
    <s v="Partly sunny"/>
    <s v="BP/PS"/>
    <s v="Caching"/>
    <s v="Spruce"/>
    <n v="0"/>
    <m/>
    <x v="0"/>
    <x v="0"/>
    <x v="0"/>
    <s v="Ground"/>
    <s v="Exterior spruce foliage"/>
    <x v="0"/>
    <x v="2"/>
    <x v="2"/>
    <s v="Unknown"/>
    <s v="unknown"/>
    <x v="0"/>
    <n v="63.738619999999997"/>
    <n v="148.90286"/>
    <m/>
    <m/>
    <m/>
    <n v="0"/>
    <n v="0"/>
    <n v="0"/>
    <n v="0"/>
    <n v="0"/>
    <n v="0"/>
    <n v="0"/>
    <m/>
    <s v="Both suspected but unconfirmed cahces"/>
    <m/>
    <m/>
  </r>
  <r>
    <s v="DSCN1346"/>
    <s v="WW1005_6"/>
    <x v="11"/>
    <n v="1"/>
    <s v="Wac West"/>
    <d v="2018-10-05T00:00:00"/>
    <x v="7"/>
    <d v="1899-12-30T00:05:00"/>
    <s v="Partly sunny"/>
    <s v="BP/PS"/>
    <s v="Caching/foraging"/>
    <s v="Spruce"/>
    <n v="0"/>
    <m/>
    <x v="0"/>
    <x v="0"/>
    <x v="0"/>
    <s v="unknown"/>
    <s v="Exterior bare spruce branch"/>
    <x v="0"/>
    <x v="2"/>
    <x v="11"/>
    <s v="Unknown"/>
    <s v="unknown"/>
    <x v="0"/>
    <n v="63.738590000000002"/>
    <n v="148.90305000000001"/>
    <m/>
    <m/>
    <m/>
    <n v="0"/>
    <n v="0"/>
    <n v="0"/>
    <n v="0"/>
    <n v="2"/>
    <n v="0"/>
    <n v="2"/>
    <m/>
    <s v="Confirmed naked eye cache by KS"/>
    <m/>
    <m/>
  </r>
  <r>
    <s v="DSCN1361"/>
    <s v="BU1006_8"/>
    <x v="6"/>
    <n v="1"/>
    <s v="BU"/>
    <d v="2018-10-06T00:00:00"/>
    <x v="7"/>
    <d v="1899-12-30T00:22:00"/>
    <s v="Mostly sunny"/>
    <s v="GR/PS"/>
    <s v="Caching"/>
    <s v="Spruce"/>
    <n v="1"/>
    <m/>
    <x v="0"/>
    <x v="0"/>
    <x v="0"/>
    <s v="Ground"/>
    <s v="Exterior spruce branch under bark/witch hair"/>
    <x v="0"/>
    <x v="2"/>
    <x v="13"/>
    <s v="Unknown"/>
    <s v="unknown"/>
    <x v="16"/>
    <n v="63.724789999999999"/>
    <n v="148.95250999999999"/>
    <m/>
    <m/>
    <m/>
    <n v="0"/>
    <n v="0"/>
    <n v="0"/>
    <n v="0"/>
    <n v="0"/>
    <n v="0"/>
    <n v="0"/>
    <m/>
    <s v="Cache not recorded on video.  Second cache found by accident in same tree.  Large piece of mushroom (based on texture and smell).  KS notcied it sticking out from under a piece of bark on the trunk.  You could see the cystalized saliva.  KS collected.  We also returned later to put a camera on this cache tree. "/>
    <m/>
    <m/>
  </r>
  <r>
    <s v="DSCN1355"/>
    <s v="BU1006_6"/>
    <x v="11"/>
    <n v="1"/>
    <s v="BU"/>
    <d v="2018-10-06T00:00:00"/>
    <x v="7"/>
    <d v="1899-12-30T00:17:00"/>
    <s v="Mostly sunny"/>
    <s v="GR/PS"/>
    <s v="Caching"/>
    <s v="Spruce"/>
    <n v="0"/>
    <m/>
    <x v="0"/>
    <x v="0"/>
    <x v="55"/>
    <s v="unknown"/>
    <s v="Spruce trunk under bark"/>
    <x v="0"/>
    <x v="1"/>
    <x v="8"/>
    <s v="Unknown"/>
    <s v="unknown"/>
    <x v="0"/>
    <n v="63.724710000000002"/>
    <n v="148.95338000000001"/>
    <m/>
    <m/>
    <m/>
    <n v="0"/>
    <n v="0"/>
    <n v="0"/>
    <n v="0"/>
    <n v="0"/>
    <n v="0"/>
    <n v="0"/>
    <m/>
    <m/>
    <m/>
    <m/>
  </r>
  <r>
    <s v="DSCN1360"/>
    <s v="BU1006_7"/>
    <x v="2"/>
    <n v="1"/>
    <s v="BU"/>
    <d v="2018-10-06T00:00:00"/>
    <x v="7"/>
    <d v="1899-12-30T00:13:00"/>
    <s v="Mostly sunny"/>
    <s v="GR/PS"/>
    <s v="Caching"/>
    <s v="Spruce"/>
    <n v="0"/>
    <m/>
    <x v="0"/>
    <x v="0"/>
    <x v="0"/>
    <s v="unknown"/>
    <s v="Spruce trunk under bark"/>
    <x v="0"/>
    <x v="1"/>
    <x v="13"/>
    <s v="Unknown"/>
    <s v="unknown"/>
    <x v="0"/>
    <n v="63.72475"/>
    <n v="148.95241999999999"/>
    <m/>
    <m/>
    <m/>
    <n v="0"/>
    <n v="0"/>
    <n v="0"/>
    <n v="0"/>
    <n v="0"/>
    <n v="0"/>
    <n v="0"/>
    <m/>
    <s v="Excellent cache video.  "/>
    <m/>
    <m/>
  </r>
  <r>
    <s v="DSCN1362"/>
    <s v="BU1006_9"/>
    <x v="7"/>
    <n v="1"/>
    <s v="BU"/>
    <d v="2018-10-06T00:00:00"/>
    <x v="7"/>
    <d v="1899-12-30T00:18:00"/>
    <s v="Mostly sunny"/>
    <s v="GR/PS"/>
    <s v="Caching"/>
    <s v="Spruce"/>
    <n v="0"/>
    <m/>
    <x v="0"/>
    <x v="0"/>
    <x v="0"/>
    <s v="unknown"/>
    <s v="Exterior spruce foliage"/>
    <x v="0"/>
    <x v="2"/>
    <x v="2"/>
    <s v="Unknown"/>
    <s v="unknown"/>
    <x v="0"/>
    <n v="63.724919999999997"/>
    <n v="148.95245"/>
    <m/>
    <m/>
    <m/>
    <n v="0"/>
    <n v="0"/>
    <n v="0"/>
    <n v="0"/>
    <n v="0"/>
    <n v="0"/>
    <n v="0"/>
    <m/>
    <s v="Caches not recorded on video"/>
    <m/>
    <m/>
  </r>
  <r>
    <s v="DSCN1362"/>
    <s v="BU1006_9"/>
    <x v="7"/>
    <n v="2"/>
    <s v="BU"/>
    <d v="2018-10-06T00:00:00"/>
    <x v="7"/>
    <d v="1899-12-30T00:18:00"/>
    <s v="Mostly sunny"/>
    <s v="GR/PS"/>
    <s v="Caching"/>
    <s v="Spruce"/>
    <n v="0"/>
    <m/>
    <x v="0"/>
    <x v="0"/>
    <x v="0"/>
    <s v="unknown"/>
    <s v="Exterior spruce foliage"/>
    <x v="0"/>
    <x v="2"/>
    <x v="2"/>
    <s v="Unknown"/>
    <s v="unknown"/>
    <x v="0"/>
    <n v="63.724919999999997"/>
    <n v="148.95258000000001"/>
    <m/>
    <m/>
    <m/>
    <n v="0"/>
    <n v="0"/>
    <n v="0"/>
    <n v="0"/>
    <n v="0"/>
    <n v="0"/>
    <n v="0"/>
    <m/>
    <s v="Caches not recorded on video"/>
    <m/>
    <m/>
  </r>
  <r>
    <s v="DSCN1389"/>
    <s v="AQ1007_5"/>
    <x v="5"/>
    <n v="1"/>
    <s v="Air Quality"/>
    <d v="2018-10-07T00:00:00"/>
    <x v="7"/>
    <d v="1899-12-30T01:23:00"/>
    <s v="Overcast"/>
    <s v="PG/PS"/>
    <s v="Foraging/Caching"/>
    <s v="Spruce"/>
    <n v="2"/>
    <m/>
    <x v="0"/>
    <x v="6"/>
    <x v="38"/>
    <s v="Ground"/>
    <s v="Exterior spruce foliage under witchhair"/>
    <x v="0"/>
    <x v="2"/>
    <x v="17"/>
    <s v="Unknown"/>
    <s v="unknown"/>
    <x v="11"/>
    <n v="63.722389999999997"/>
    <n v="148.96592999999999"/>
    <m/>
    <m/>
    <m/>
    <n v="0"/>
    <n v="0"/>
    <n v="0"/>
    <n v="0"/>
    <n v="18"/>
    <n v="0"/>
    <n v="18"/>
    <m/>
    <s v="Two birds in this video.  The first (O/BS) is the one foraging in the tree.  We did not document any food acquisitions or caches for that birds.  The rest of the data is based on the second bird (PG/PS)"/>
    <m/>
    <m/>
  </r>
  <r>
    <s v="DSCN1373"/>
    <s v="AQ1007_3"/>
    <x v="1"/>
    <n v="1"/>
    <s v="Air Quality"/>
    <d v="2018-10-07T00:00:00"/>
    <x v="7"/>
    <d v="1899-12-30T01:27:00"/>
    <s v="Overcast"/>
    <s v="PG/PS"/>
    <s v="Caching"/>
    <s v="Spruce"/>
    <n v="1"/>
    <m/>
    <x v="0"/>
    <x v="0"/>
    <x v="0"/>
    <s v="Spruce branch near lichen"/>
    <s v="Exterior spruce branch under bark"/>
    <x v="0"/>
    <x v="2"/>
    <x v="15"/>
    <s v="Unknown"/>
    <s v="unknown"/>
    <x v="0"/>
    <n v="63.721200000000003"/>
    <n v="148.96514999999999"/>
    <m/>
    <m/>
    <m/>
    <n v="0"/>
    <n v="0"/>
    <n v="0"/>
    <n v="0"/>
    <n v="0"/>
    <n v="0"/>
    <n v="0"/>
    <m/>
    <m/>
    <m/>
    <m/>
  </r>
  <r>
    <s v="DSCN1389"/>
    <s v="AQ1007_5"/>
    <x v="5"/>
    <n v="3"/>
    <s v="Air Quality"/>
    <d v="2018-10-07T00:00:00"/>
    <x v="7"/>
    <d v="1899-12-30T01:23:00"/>
    <s v="Overcast"/>
    <s v="PG/PS"/>
    <s v="Caching"/>
    <s v="Spruce"/>
    <n v="1"/>
    <m/>
    <x v="0"/>
    <x v="6"/>
    <x v="38"/>
    <s v="Ground"/>
    <s v="Interior bare spruce branch near trunk"/>
    <x v="0"/>
    <x v="0"/>
    <x v="11"/>
    <s v="Unknown"/>
    <s v="unknown"/>
    <x v="21"/>
    <n v="63.722320000000003"/>
    <n v="148.96617000000001"/>
    <m/>
    <m/>
    <m/>
    <n v="0"/>
    <n v="0"/>
    <n v="0"/>
    <n v="0"/>
    <n v="0"/>
    <n v="0"/>
    <n v="0"/>
    <m/>
    <s v="Cached and then foraged."/>
    <m/>
    <m/>
  </r>
  <r>
    <s v="DSCN1373"/>
    <s v="AQ1007_3"/>
    <x v="1"/>
    <n v="2"/>
    <s v="Air Quality"/>
    <d v="2018-10-07T00:00:00"/>
    <x v="7"/>
    <d v="1899-12-30T01:27:00"/>
    <s v="Overcast"/>
    <s v="PG/PS"/>
    <s v="Caching"/>
    <s v="Spruce"/>
    <n v="0"/>
    <m/>
    <x v="1"/>
    <x v="0"/>
    <x v="0"/>
    <s v="Spruce branch near lichen"/>
    <s v="Exterior spruce branch under bark"/>
    <x v="0"/>
    <x v="2"/>
    <x v="8"/>
    <s v="Unknown"/>
    <s v="unknown"/>
    <x v="0"/>
    <n v="63.721200000000003"/>
    <n v="148.96527"/>
    <m/>
    <m/>
    <m/>
    <n v="0"/>
    <n v="0"/>
    <n v="0"/>
    <n v="0"/>
    <n v="0"/>
    <n v="0"/>
    <n v="0"/>
    <m/>
    <m/>
    <m/>
    <m/>
  </r>
  <r>
    <s v="DSCN1389"/>
    <s v="AQ1007_5"/>
    <x v="5"/>
    <n v="2"/>
    <s v="Air Quality"/>
    <d v="2018-10-07T00:00:00"/>
    <x v="7"/>
    <d v="1899-12-30T01:23:00"/>
    <s v="Overcast"/>
    <s v="PG/PS"/>
    <s v="Caching"/>
    <s v="Spruce"/>
    <n v="0"/>
    <m/>
    <x v="1"/>
    <x v="0"/>
    <x v="0"/>
    <s v="Ground"/>
    <s v="Exterior spruce foliage under witchhair"/>
    <x v="0"/>
    <x v="2"/>
    <x v="2"/>
    <s v="Unknown"/>
    <s v="unknown"/>
    <x v="24"/>
    <n v="63.722290000000001"/>
    <n v="148.96632"/>
    <m/>
    <m/>
    <m/>
    <n v="0"/>
    <n v="0"/>
    <n v="0"/>
    <n v="0"/>
    <n v="0"/>
    <n v="0"/>
    <n v="0"/>
    <m/>
    <m/>
    <m/>
    <m/>
  </r>
  <r>
    <s v="DSCN1394"/>
    <s v="M2371007_1"/>
    <x v="0"/>
    <n v="1"/>
    <s v="Mile 237"/>
    <d v="2018-10-07T00:00:00"/>
    <x v="7"/>
    <d v="1899-12-30T00:09:00"/>
    <s v="Overcast"/>
    <s v="YP/RS"/>
    <s v="Caching"/>
    <s v="Aspen"/>
    <n v="0"/>
    <m/>
    <x v="0"/>
    <x v="0"/>
    <x v="0"/>
    <s v="unknown"/>
    <s v="Exterior aspen branch under bark"/>
    <x v="1"/>
    <x v="2"/>
    <x v="8"/>
    <s v="Unknown"/>
    <s v="unknown"/>
    <x v="0"/>
    <n v="63.72533"/>
    <n v="148.88963000000001"/>
    <m/>
    <m/>
    <m/>
    <n v="0"/>
    <n v="0"/>
    <n v="0"/>
    <n v="0"/>
    <n v="0"/>
    <n v="0"/>
    <n v="0"/>
    <m/>
    <s v="Seen by DL. Not captured on video. "/>
    <m/>
    <m/>
  </r>
  <r>
    <s v="DSCN1432"/>
    <s v="RC1008_1"/>
    <x v="0"/>
    <n v="1"/>
    <s v="Ccamp"/>
    <d v="2018-10-08T00:00:00"/>
    <x v="7"/>
    <d v="1899-12-30T00:34:00"/>
    <s v="Partly cloudy"/>
    <s v="GB/BS"/>
    <s v="Foraging/Caching"/>
    <s v="Spruce"/>
    <n v="1"/>
    <m/>
    <x v="0"/>
    <x v="0"/>
    <x v="0"/>
    <s v="Ground"/>
    <s v="Interior bare spruce branch under bark"/>
    <x v="0"/>
    <x v="0"/>
    <x v="8"/>
    <s v="Unknown"/>
    <s v="unknown"/>
    <x v="6"/>
    <n v="63.7239"/>
    <n v="148.94981000000001"/>
    <m/>
    <m/>
    <m/>
    <n v="0"/>
    <n v="0"/>
    <n v="0"/>
    <n v="0"/>
    <n v="2"/>
    <n v="0"/>
    <n v="2"/>
    <m/>
    <m/>
    <m/>
    <m/>
  </r>
  <r>
    <s v="DSCN1435"/>
    <s v="RC1008_3"/>
    <x v="1"/>
    <n v="1"/>
    <s v="Ccamp"/>
    <d v="2018-10-08T00:00:00"/>
    <x v="7"/>
    <d v="1899-12-30T00:16:00"/>
    <s v="Mostly sunny"/>
    <s v="GB/BS"/>
    <s v="Foraging/Caching"/>
    <s v="Willow"/>
    <n v="1"/>
    <m/>
    <x v="0"/>
    <x v="6"/>
    <x v="38"/>
    <s v="Ground"/>
    <s v="Dead shrub, maybe an alder"/>
    <x v="5"/>
    <x v="2"/>
    <x v="8"/>
    <s v="Unknown"/>
    <s v="unknown"/>
    <x v="6"/>
    <n v="63.724020000000003"/>
    <n v="148.95114000000001"/>
    <m/>
    <m/>
    <m/>
    <n v="0"/>
    <n v="0"/>
    <n v="0"/>
    <n v="0"/>
    <n v="0"/>
    <n v="0"/>
    <n v="0"/>
    <m/>
    <s v="Foraging not caught on tape. "/>
    <m/>
    <m/>
  </r>
  <r>
    <s v="DSCN1438"/>
    <s v="RC1008_4"/>
    <x v="10"/>
    <n v="1"/>
    <s v="Ccamp"/>
    <d v="2018-10-08T00:00:00"/>
    <x v="7"/>
    <d v="1899-12-30T00:33:00"/>
    <s v="Mostly sunny"/>
    <s v="GB/BS"/>
    <s v="Caching"/>
    <s v="Spruce"/>
    <n v="1"/>
    <m/>
    <x v="0"/>
    <x v="0"/>
    <x v="0"/>
    <s v="Ground"/>
    <s v="Interior bare spruce branch under bark"/>
    <x v="0"/>
    <x v="0"/>
    <x v="8"/>
    <s v="Unknown"/>
    <s v="unknown"/>
    <x v="10"/>
    <n v="63.723999999999997"/>
    <n v="148.94900999999999"/>
    <m/>
    <m/>
    <m/>
    <n v="0"/>
    <n v="0"/>
    <n v="0"/>
    <n v="0"/>
    <n v="0"/>
    <n v="0"/>
    <n v="0"/>
    <m/>
    <s v="Foraging not caught on tape. "/>
    <m/>
    <m/>
  </r>
  <r>
    <s v="DSCN1443"/>
    <s v="RC1008_8"/>
    <x v="6"/>
    <n v="1"/>
    <s v="Ccamp"/>
    <d v="2018-10-08T00:00:00"/>
    <x v="7"/>
    <d v="1899-12-30T01:18:00"/>
    <s v="Mostly sunny"/>
    <s v="GB/BS"/>
    <s v="Foraging/Caching"/>
    <s v="Spruce"/>
    <n v="1"/>
    <m/>
    <x v="0"/>
    <x v="0"/>
    <x v="0"/>
    <s v="Ground"/>
    <s v="Interior bare spruce branch under bark"/>
    <x v="0"/>
    <x v="0"/>
    <x v="8"/>
    <s v="Unknown"/>
    <s v="unknown"/>
    <x v="9"/>
    <n v="63.723779999999998"/>
    <n v="148.95067"/>
    <m/>
    <m/>
    <m/>
    <n v="0"/>
    <n v="0"/>
    <n v="0"/>
    <n v="0"/>
    <n v="30"/>
    <n v="0"/>
    <n v="30"/>
    <m/>
    <m/>
    <m/>
    <m/>
  </r>
  <r>
    <s v="DSCN1430"/>
    <s v="M4E1008_2"/>
    <x v="3"/>
    <n v="1"/>
    <s v="Mile 4 East "/>
    <d v="2018-10-08T00:00:00"/>
    <x v="7"/>
    <d v="1899-12-30T00:33:00"/>
    <s v="Partly cloudy"/>
    <s v="YO/BS"/>
    <s v="Caching"/>
    <s v="Spruce"/>
    <n v="1"/>
    <m/>
    <x v="0"/>
    <x v="0"/>
    <x v="0"/>
    <s v="Ground"/>
    <s v="Exterior spruce branch under bark/witch hair"/>
    <x v="0"/>
    <x v="2"/>
    <x v="13"/>
    <s v="Unknown"/>
    <s v="unknown"/>
    <x v="10"/>
    <n v="63.719540000000002"/>
    <n v="148.98946000000001"/>
    <m/>
    <m/>
    <m/>
    <n v="0"/>
    <n v="0"/>
    <n v="0"/>
    <n v="0"/>
    <n v="13"/>
    <n v="0"/>
    <n v="13"/>
    <m/>
    <m/>
    <m/>
    <m/>
  </r>
  <r>
    <s v="DSCN1430"/>
    <s v="M4E1008_2"/>
    <x v="3"/>
    <n v="2"/>
    <s v="Mile 4 East "/>
    <d v="2018-10-08T00:00:00"/>
    <x v="7"/>
    <d v="1899-12-30T00:33:00"/>
    <s v="Partly cloudy"/>
    <s v="YO/BS"/>
    <s v="Caching/foraging"/>
    <s v="Spruce"/>
    <n v="1"/>
    <m/>
    <x v="0"/>
    <x v="6"/>
    <x v="38"/>
    <s v="Ground"/>
    <s v="Interior spruce foliage "/>
    <x v="0"/>
    <x v="0"/>
    <x v="2"/>
    <s v="Unknown"/>
    <s v="unknown"/>
    <x v="32"/>
    <n v="63.719450000000002"/>
    <n v="148.98935"/>
    <m/>
    <m/>
    <m/>
    <n v="0"/>
    <n v="0"/>
    <n v="0"/>
    <n v="0"/>
    <n v="0"/>
    <n v="0"/>
    <n v="0"/>
    <m/>
    <m/>
    <m/>
    <m/>
  </r>
  <r>
    <s v="DSCN1402"/>
    <s v="M4R1008_3"/>
    <x v="1"/>
    <n v="1"/>
    <s v="Mile 4 Roadside"/>
    <d v="2018-10-08T00:00:00"/>
    <x v="7"/>
    <d v="1899-12-30T00:15:00"/>
    <s v="Partly cloudy"/>
    <s v="WG/OS"/>
    <s v="Cache recovery/Caching"/>
    <s v="Spruce"/>
    <n v="1"/>
    <m/>
    <x v="0"/>
    <x v="6"/>
    <x v="56"/>
    <s v="Interior spruce foliage"/>
    <s v="Interior spruce bare branch/witches broom "/>
    <x v="0"/>
    <x v="0"/>
    <x v="16"/>
    <s v="Unknown"/>
    <s v="unknown"/>
    <x v="7"/>
    <n v="63.718719999999998"/>
    <n v="148.9863"/>
    <m/>
    <m/>
    <m/>
    <n v="0"/>
    <n v="0"/>
    <n v="0"/>
    <n v="0"/>
    <n v="0"/>
    <n v="0"/>
    <n v="0"/>
    <m/>
    <s v="Pulled food out of one tree and then went the the next tree over and appeared to recache it.  But that cache is unconfirmed.  "/>
    <m/>
    <m/>
  </r>
  <r>
    <s v="DSCN1447"/>
    <s v="RC1008_11"/>
    <x v="8"/>
    <n v="1"/>
    <s v="Rock Creek"/>
    <d v="2018-10-08T00:00:00"/>
    <x v="7"/>
    <d v="1899-12-30T00:16:00"/>
    <s v="Mostly sunny"/>
    <s v="LB/RS"/>
    <s v="Caching"/>
    <s v="Spruce"/>
    <n v="1"/>
    <m/>
    <x v="0"/>
    <x v="0"/>
    <x v="0"/>
    <s v="Ground"/>
    <s v="Exterior spruce branch under bark/witch hair"/>
    <x v="0"/>
    <x v="2"/>
    <x v="13"/>
    <s v="Unknown"/>
    <s v="unknown"/>
    <x v="16"/>
    <n v="63.723610000000001"/>
    <n v="148.95204000000001"/>
    <m/>
    <m/>
    <m/>
    <n v="0"/>
    <n v="0"/>
    <n v="0"/>
    <n v="0"/>
    <n v="0"/>
    <n v="0"/>
    <n v="0"/>
    <m/>
    <s v="Foraging not caught on tape"/>
    <m/>
    <m/>
  </r>
  <r>
    <s v="DSCN1452"/>
    <s v="RC1008_13"/>
    <x v="13"/>
    <n v="1"/>
    <s v="Rock Creek"/>
    <d v="2018-10-08T00:00:00"/>
    <x v="7"/>
    <d v="1899-12-30T00:30:00"/>
    <s v="Mostly sunny"/>
    <s v="LB/RS"/>
    <s v="Foraging/Caching"/>
    <s v="Spruce"/>
    <n v="1"/>
    <m/>
    <x v="0"/>
    <x v="3"/>
    <x v="57"/>
    <s v="Ground"/>
    <s v="Exterior spruce branch under bark/witch hair"/>
    <x v="0"/>
    <x v="2"/>
    <x v="13"/>
    <s v="Unknown"/>
    <s v="unknown"/>
    <x v="10"/>
    <n v="63.724409999999999"/>
    <n v="148.95231999999999"/>
    <m/>
    <m/>
    <m/>
    <n v="0"/>
    <n v="0"/>
    <n v="0"/>
    <n v="0"/>
    <n v="4"/>
    <n v="0"/>
    <n v="4"/>
    <m/>
    <s v="Photographed and collected beetle grub.  "/>
    <m/>
    <m/>
  </r>
  <r>
    <s v="DSCN1442"/>
    <s v="RC1008_7"/>
    <x v="2"/>
    <n v="1"/>
    <s v="Ccamp"/>
    <d v="2018-10-08T00:00:00"/>
    <x v="7"/>
    <d v="1899-12-30T00:33:00"/>
    <s v="Mostly sunny"/>
    <s v="GB/BS"/>
    <s v="Caching"/>
    <s v="Spruce"/>
    <n v="0"/>
    <m/>
    <x v="0"/>
    <x v="0"/>
    <x v="0"/>
    <s v="Ground"/>
    <s v="Interior bare spruce branch under bark"/>
    <x v="0"/>
    <x v="0"/>
    <x v="8"/>
    <s v="Unknown"/>
    <s v="unknown"/>
    <x v="12"/>
    <n v="63.724110000000003"/>
    <n v="148.95033000000001"/>
    <m/>
    <m/>
    <m/>
    <n v="0"/>
    <n v="0"/>
    <n v="0"/>
    <n v="0"/>
    <n v="0"/>
    <n v="0"/>
    <n v="0"/>
    <m/>
    <s v="cache from previous video. "/>
    <m/>
    <m/>
  </r>
  <r>
    <s v="DSCN1428"/>
    <s v="M4E1008_1"/>
    <x v="0"/>
    <n v="1"/>
    <s v="Mile 4 East "/>
    <d v="2018-10-08T00:00:00"/>
    <x v="7"/>
    <d v="1899-12-30T00:17:00"/>
    <s v="Partly cloudy"/>
    <s v="YO/BS"/>
    <s v="Caching"/>
    <s v="Spruce"/>
    <n v="0"/>
    <m/>
    <x v="1"/>
    <x v="0"/>
    <x v="0"/>
    <s v="unknown"/>
    <s v="Spruce trunk under bark"/>
    <x v="0"/>
    <x v="1"/>
    <x v="8"/>
    <s v="Unknown"/>
    <s v="unknown"/>
    <x v="0"/>
    <s v="Did not mark (did not recognize as cache while in field)"/>
    <m/>
    <m/>
    <m/>
    <m/>
    <n v="0"/>
    <n v="0"/>
    <n v="0"/>
    <n v="0"/>
    <n v="0"/>
    <n v="0"/>
    <n v="0"/>
    <m/>
    <s v="First cache is obviouos from video, second is more of a guess, but seems likely based on the behavior.  "/>
    <m/>
    <m/>
  </r>
  <r>
    <s v="DSCN1431"/>
    <s v="M4E1008_3"/>
    <x v="1"/>
    <n v="1"/>
    <s v="Mile 4 East "/>
    <d v="2018-10-08T00:00:00"/>
    <x v="7"/>
    <d v="1899-12-30T00:32:00"/>
    <s v="Partly cloudy"/>
    <s v="YO/BS"/>
    <s v="Caching"/>
    <s v="Spruce"/>
    <n v="0"/>
    <m/>
    <x v="0"/>
    <x v="6"/>
    <x v="38"/>
    <s v="Ground"/>
    <s v="Interior spruce foliage "/>
    <x v="0"/>
    <x v="0"/>
    <x v="2"/>
    <s v="Unknown"/>
    <s v="unknown"/>
    <x v="32"/>
    <n v="63.719450000000002"/>
    <n v="148.98935"/>
    <m/>
    <m/>
    <m/>
    <n v="0"/>
    <n v="0"/>
    <n v="0"/>
    <n v="0"/>
    <n v="0"/>
    <n v="0"/>
    <n v="0"/>
    <m/>
    <s v="Same tree as second cache tree in previous video.  Seemed like it returned to cache more, but this was unconfirmed by the video.  "/>
    <m/>
    <m/>
  </r>
  <r>
    <s v="DSCN1410"/>
    <s v="M4R1008_4"/>
    <x v="10"/>
    <n v="1"/>
    <s v="Mile 4 Roadside"/>
    <d v="2018-10-08T00:00:00"/>
    <x v="7"/>
    <d v="1899-12-30T00:33:00"/>
    <s v="Partly cloudy"/>
    <s v="WG/OS"/>
    <s v="Caching"/>
    <s v="Spruce"/>
    <n v="0"/>
    <m/>
    <x v="0"/>
    <x v="0"/>
    <x v="0"/>
    <s v="unknown"/>
    <s v="Spruce trunk under bark"/>
    <x v="0"/>
    <x v="1"/>
    <x v="8"/>
    <s v="Unknown"/>
    <s v="unknown"/>
    <x v="0"/>
    <n v="63.719540000000002"/>
    <n v="148.98489000000001"/>
    <m/>
    <m/>
    <m/>
    <n v="0"/>
    <n v="0"/>
    <n v="0"/>
    <n v="0"/>
    <n v="0"/>
    <n v="0"/>
    <n v="0"/>
    <m/>
    <s v="Great cache video.  We put a Camera on this tree as well.  "/>
    <m/>
    <m/>
  </r>
  <r>
    <s v="DSCN1414"/>
    <s v="M4R1008_6"/>
    <x v="11"/>
    <n v="1"/>
    <s v="Mile 4 Roadside"/>
    <d v="2018-10-08T00:00:00"/>
    <x v="7"/>
    <d v="1899-12-30T00:35:00"/>
    <s v="Partly cloudy"/>
    <s v="OB/YS"/>
    <s v="Caching"/>
    <s v="Spruce"/>
    <n v="0"/>
    <m/>
    <x v="0"/>
    <x v="0"/>
    <x v="0"/>
    <s v="unknown"/>
    <s v="Exterior bare spruce branch"/>
    <x v="0"/>
    <x v="2"/>
    <x v="11"/>
    <s v="Unknown"/>
    <s v="unknown"/>
    <x v="0"/>
    <n v="63.719549999999998"/>
    <n v="148.98508000000001"/>
    <m/>
    <m/>
    <m/>
    <n v="0"/>
    <n v="0"/>
    <n v="0"/>
    <n v="0"/>
    <n v="0"/>
    <n v="0"/>
    <n v="0"/>
    <m/>
    <s v="No video of event.  Observed by DL.  "/>
    <m/>
    <m/>
  </r>
  <r>
    <s v="DSCN1473"/>
    <s v="RC1009_4"/>
    <x v="10"/>
    <n v="1"/>
    <s v="Ccamp"/>
    <d v="2018-10-09T00:00:00"/>
    <x v="7"/>
    <d v="1899-12-30T00:10:00"/>
    <s v="Mostly cloudy"/>
    <s v="GB/BS"/>
    <s v="Caching"/>
    <s v="Spruce"/>
    <n v="0"/>
    <m/>
    <x v="0"/>
    <x v="0"/>
    <x v="0"/>
    <s v="unknown"/>
    <s v="Witch broom in exterior spruce"/>
    <x v="0"/>
    <x v="2"/>
    <x v="16"/>
    <s v="Unknown"/>
    <s v="unknown"/>
    <x v="0"/>
    <n v="63.724910000000001"/>
    <n v="148.94807"/>
    <m/>
    <m/>
    <m/>
    <n v="0"/>
    <n v="0"/>
    <n v="0"/>
    <n v="0"/>
    <n v="0"/>
    <n v="0"/>
    <n v="0"/>
    <m/>
    <m/>
    <m/>
    <m/>
  </r>
  <r>
    <s v="DSCN1474"/>
    <s v="RC1009_5"/>
    <x v="5"/>
    <n v="1"/>
    <s v="Ccamp"/>
    <d v="2018-10-09T00:00:00"/>
    <x v="7"/>
    <d v="1899-12-30T00:14:00"/>
    <s v="Mostly cloudy"/>
    <s v="GB/BS"/>
    <s v="Caching"/>
    <s v="Spruce"/>
    <n v="0"/>
    <m/>
    <x v="0"/>
    <x v="0"/>
    <x v="0"/>
    <s v="unknown"/>
    <s v="Interior bare spruce branch under bark"/>
    <x v="0"/>
    <x v="0"/>
    <x v="8"/>
    <s v="Unknown"/>
    <s v="unknown"/>
    <x v="0"/>
    <n v="63.724910000000001"/>
    <n v="148.94807"/>
    <m/>
    <m/>
    <m/>
    <n v="0"/>
    <n v="0"/>
    <n v="0"/>
    <n v="0"/>
    <n v="0"/>
    <n v="0"/>
    <n v="0"/>
    <m/>
    <s v="Possible second cache from tree in previous video.  "/>
    <m/>
    <m/>
  </r>
  <r>
    <s v="No video"/>
    <m/>
    <x v="14"/>
    <n v="1"/>
    <s v="Ccamp"/>
    <d v="2018-10-09T00:00:00"/>
    <x v="7"/>
    <m/>
    <s v="Mostly cloudy"/>
    <s v="GB/BS"/>
    <s v="Caching"/>
    <s v="Aspen"/>
    <n v="0"/>
    <m/>
    <x v="0"/>
    <x v="0"/>
    <x v="0"/>
    <s v="unknown"/>
    <s v="unknown"/>
    <x v="3"/>
    <x v="3"/>
    <x v="4"/>
    <s v="Unknown"/>
    <s v="unknown"/>
    <x v="0"/>
    <n v="63.723750000000003"/>
    <n v="148.95131000000001"/>
    <m/>
    <m/>
    <m/>
    <n v="0"/>
    <n v="0"/>
    <n v="0"/>
    <n v="0"/>
    <n v="0"/>
    <n v="0"/>
    <n v="0"/>
    <m/>
    <s v="Observed by KS.  But she can't remember any details about the cache :( "/>
    <m/>
    <m/>
  </r>
  <r>
    <s v="DSCN1471"/>
    <s v="RC1009_3"/>
    <x v="1"/>
    <n v="1"/>
    <s v="Rock Creek"/>
    <d v="2018-10-09T00:00:00"/>
    <x v="7"/>
    <d v="1899-12-30T00:16:00"/>
    <s v="Mostly cloudy"/>
    <s v="LB/RS"/>
    <s v="Caching"/>
    <s v="Spruce"/>
    <n v="0"/>
    <m/>
    <x v="0"/>
    <x v="0"/>
    <x v="0"/>
    <s v="unknown"/>
    <s v="Exterior spruce branch under bark/witch hair"/>
    <x v="0"/>
    <x v="2"/>
    <x v="13"/>
    <s v="Unknown"/>
    <s v="unknown"/>
    <x v="0"/>
    <n v="63.724490000000003"/>
    <n v="148.94810000000001"/>
    <m/>
    <m/>
    <m/>
    <n v="0"/>
    <n v="0"/>
    <n v="0"/>
    <n v="0"/>
    <n v="0"/>
    <n v="0"/>
    <n v="0"/>
    <m/>
    <s v="Not captured on film.  Observed by DL. "/>
    <m/>
    <m/>
  </r>
  <r>
    <s v="DSCN1503"/>
    <s v="M2371011_2"/>
    <x v="3"/>
    <n v="1"/>
    <s v="Mile 237"/>
    <d v="2018-10-11T00:00:00"/>
    <x v="7"/>
    <d v="1899-12-30T00:07:00"/>
    <m/>
    <s v="GB/PS"/>
    <s v="Caching"/>
    <s v="NA"/>
    <n v="0"/>
    <m/>
    <x v="0"/>
    <x v="3"/>
    <x v="57"/>
    <s v="unknown"/>
    <s v="Under bark/witch hair in dead shrub branch.  "/>
    <x v="5"/>
    <x v="2"/>
    <x v="13"/>
    <s v="Unknown"/>
    <s v="unknown"/>
    <x v="0"/>
    <n v="63.725389999999997"/>
    <n v="148.88972000000001"/>
    <m/>
    <m/>
    <m/>
    <n v="0"/>
    <n v="0"/>
    <n v="0"/>
    <n v="0"/>
    <n v="0"/>
    <n v="0"/>
    <n v="0"/>
    <m/>
    <s v="Cached food from previous video. Put camera on this cache site "/>
    <m/>
    <m/>
  </r>
  <r>
    <s v="DSCN1520"/>
    <s v="M2371011_4"/>
    <x v="10"/>
    <n v="1"/>
    <s v="Mile 237"/>
    <d v="2018-10-11T00:00:00"/>
    <x v="7"/>
    <d v="1899-12-30T00:29:00"/>
    <s v="Overcast"/>
    <s v="Unknown"/>
    <s v="NA"/>
    <s v="Aspen"/>
    <n v="0"/>
    <m/>
    <x v="0"/>
    <x v="6"/>
    <x v="45"/>
    <s v="unknown"/>
    <s v="Under bark of aspen on trunk"/>
    <x v="1"/>
    <x v="1"/>
    <x v="8"/>
    <s v="Unknown"/>
    <s v="unknown"/>
    <x v="0"/>
    <n v="63.724260000000001"/>
    <n v="148.88929999999999"/>
    <m/>
    <m/>
    <m/>
    <n v="0"/>
    <n v="0"/>
    <n v="0"/>
    <n v="0"/>
    <n v="0"/>
    <n v="0"/>
    <n v="0"/>
    <m/>
    <s v="Caching event not observed.  Cache found incidentally by TG.  Jay spit evident.  "/>
    <m/>
    <m/>
  </r>
  <r>
    <s v="DSCN1526"/>
    <s v="M2371011_5"/>
    <x v="5"/>
    <n v="1"/>
    <s v="Mile 237"/>
    <d v="2018-10-11T00:00:00"/>
    <x v="7"/>
    <d v="1899-12-30T00:19:00"/>
    <s v="Overcast"/>
    <s v="GB/PS"/>
    <s v="Caching"/>
    <s v="Spruce"/>
    <n v="0"/>
    <m/>
    <x v="0"/>
    <x v="0"/>
    <x v="0"/>
    <s v="Ground"/>
    <s v="Exterior spruce branch under bark/witch hair"/>
    <x v="0"/>
    <x v="2"/>
    <x v="13"/>
    <s v="Unknown"/>
    <s v="unknown"/>
    <x v="35"/>
    <n v="63.72372"/>
    <n v="148.88693000000001"/>
    <m/>
    <m/>
    <m/>
    <n v="0"/>
    <n v="0"/>
    <n v="0"/>
    <n v="0"/>
    <n v="0"/>
    <n v="0"/>
    <n v="0"/>
    <m/>
    <s v="Observed by TG.  "/>
    <m/>
    <m/>
  </r>
  <r>
    <s v="DSCN1569"/>
    <s v="AQ1012_1"/>
    <x v="0"/>
    <n v="1"/>
    <s v="Air Quality"/>
    <d v="2018-10-12T00:00:00"/>
    <x v="7"/>
    <d v="1899-12-30T00:29:00"/>
    <s v="Overcast"/>
    <s v="O-/BS"/>
    <s v="Foraging/Caching"/>
    <s v="Spruce"/>
    <n v="1"/>
    <m/>
    <x v="0"/>
    <x v="6"/>
    <x v="38"/>
    <s v="Ground"/>
    <s v="Exterior spruce branch under bark/witch hair"/>
    <x v="0"/>
    <x v="2"/>
    <x v="12"/>
    <s v="Unknown"/>
    <s v="unknown"/>
    <x v="16"/>
    <n v="63.723140000000001"/>
    <n v="148.96843999999999"/>
    <m/>
    <m/>
    <m/>
    <n v="0"/>
    <n v="0"/>
    <n v="0"/>
    <n v="0"/>
    <n v="12"/>
    <n v="0"/>
    <n v="12"/>
    <m/>
    <m/>
    <m/>
    <m/>
  </r>
  <r>
    <s v="DSCN1569"/>
    <s v="AQ1012_1"/>
    <x v="0"/>
    <n v="1"/>
    <s v="Air Quality"/>
    <d v="2018-10-12T00:00:00"/>
    <x v="7"/>
    <d v="1899-12-30T00:29:00"/>
    <s v="Overcast"/>
    <s v="O-/BS"/>
    <s v="Foraging/Caching"/>
    <s v="Spruce"/>
    <n v="1"/>
    <m/>
    <x v="0"/>
    <x v="6"/>
    <x v="38"/>
    <s v="Ground"/>
    <s v="Exterior spruce branch under bark/witch hair"/>
    <x v="0"/>
    <x v="2"/>
    <x v="12"/>
    <s v="Unknown"/>
    <s v="unknown"/>
    <x v="16"/>
    <n v="63.723140000000001"/>
    <n v="148.96843999999999"/>
    <m/>
    <m/>
    <m/>
    <n v="0"/>
    <n v="0"/>
    <n v="0"/>
    <n v="0"/>
    <n v="3"/>
    <n v="0"/>
    <n v="3"/>
    <m/>
    <m/>
    <m/>
    <m/>
  </r>
  <r>
    <s v="DSCN1548"/>
    <s v="MC1012_7"/>
    <x v="2"/>
    <n v="1"/>
    <s v="Mercentile "/>
    <d v="2018-10-12T00:00:00"/>
    <x v="7"/>
    <d v="1899-12-30T00:41:00"/>
    <s v="Overcast"/>
    <s v="WO/OS"/>
    <s v="Foraging/Caching"/>
    <s v="Spruce"/>
    <n v="1"/>
    <m/>
    <x v="0"/>
    <x v="0"/>
    <x v="0"/>
    <s v="Ground"/>
    <s v="Exterior spruce branch under bark/witch hair"/>
    <x v="0"/>
    <x v="2"/>
    <x v="13"/>
    <s v="Unknown"/>
    <s v="unknown"/>
    <x v="7"/>
    <n v="63.731409999999997"/>
    <n v="148.89959999999999"/>
    <m/>
    <m/>
    <m/>
    <n v="0"/>
    <n v="0"/>
    <n v="0"/>
    <n v="0"/>
    <n v="7"/>
    <n v="0"/>
    <n v="7"/>
    <m/>
    <m/>
    <m/>
    <m/>
  </r>
  <r>
    <s v="DSCN1550"/>
    <s v="MC1012_8"/>
    <x v="6"/>
    <n v="1"/>
    <s v="Mercentile "/>
    <d v="2018-10-12T00:00:00"/>
    <x v="7"/>
    <d v="1899-12-30T00:37:00"/>
    <s v="Overcast"/>
    <s v="WO/OS"/>
    <s v="Foraging/Caching"/>
    <s v="Aspen"/>
    <n v="1"/>
    <m/>
    <x v="0"/>
    <x v="0"/>
    <x v="0"/>
    <s v="In crevice of aspen branch"/>
    <s v="Glued to aspen branch"/>
    <x v="1"/>
    <x v="2"/>
    <x v="14"/>
    <s v="Unknown"/>
    <s v="unknown"/>
    <x v="3"/>
    <n v="63.731270000000002"/>
    <n v="148.90007"/>
    <m/>
    <m/>
    <m/>
    <n v="12"/>
    <n v="0"/>
    <n v="0"/>
    <n v="12"/>
    <n v="0"/>
    <n v="0"/>
    <n v="12"/>
    <s v="Probing/pecking"/>
    <s v="Spends about 12 extracting food from crevice of aspen branch and then glues it (caches it) on the same branch like 6 inches away??????"/>
    <n v="5"/>
    <n v="0"/>
  </r>
  <r>
    <s v="DSCN1529"/>
    <s v="RC1012_1"/>
    <x v="0"/>
    <n v="1"/>
    <s v="Rock Creek"/>
    <d v="2018-10-12T00:00:00"/>
    <x v="7"/>
    <d v="1899-12-30T00:11:00"/>
    <s v="Overcast"/>
    <s v="LB/RS"/>
    <s v="Food handling/caching"/>
    <s v="Spruce"/>
    <n v="1"/>
    <m/>
    <x v="0"/>
    <x v="0"/>
    <x v="0"/>
    <s v="unknown"/>
    <s v="Interior spruce foliage "/>
    <x v="0"/>
    <x v="0"/>
    <x v="2"/>
    <s v="Unknown"/>
    <s v="unknown"/>
    <x v="0"/>
    <n v="63.722709999999999"/>
    <n v="148.95956000000001"/>
    <m/>
    <m/>
    <m/>
    <n v="0"/>
    <n v="0"/>
    <n v="0"/>
    <n v="0"/>
    <n v="0"/>
    <n v="0"/>
    <n v="0"/>
    <m/>
    <s v="Caching event not recorded on video. "/>
    <m/>
    <m/>
  </r>
  <r>
    <s v="DSCN1559"/>
    <s v="RC1012_3"/>
    <x v="1"/>
    <n v="1"/>
    <s v="Rock Creek"/>
    <d v="2018-10-12T00:00:00"/>
    <x v="7"/>
    <d v="1899-12-30T00:54:00"/>
    <s v="Overcast"/>
    <s v="LB/RS"/>
    <s v="Foraging/Caching"/>
    <s v="Spruce"/>
    <n v="1"/>
    <m/>
    <x v="0"/>
    <x v="6"/>
    <x v="38"/>
    <s v="Ground"/>
    <s v="Under bark of spruce trunk (about 4ft off ground)"/>
    <x v="0"/>
    <x v="1"/>
    <x v="8"/>
    <s v="Unknown"/>
    <s v="unknown"/>
    <x v="10"/>
    <n v="63.72354"/>
    <n v="148.94923"/>
    <m/>
    <m/>
    <m/>
    <n v="0"/>
    <n v="0"/>
    <n v="0"/>
    <n v="0"/>
    <n v="21"/>
    <n v="0"/>
    <n v="21"/>
    <m/>
    <s v="Was able to find and photograph cache site.  The bird had shoved the blueberry under a bark chip.  It was very snug! Put trail cam on this site. "/>
    <m/>
    <m/>
  </r>
  <r>
    <s v="DSCN1561"/>
    <s v="RC1012_4"/>
    <x v="10"/>
    <n v="1"/>
    <s v="Rock Creek"/>
    <d v="2018-10-12T00:00:00"/>
    <x v="7"/>
    <d v="1899-12-30T00:16:00"/>
    <s v="Overcast"/>
    <s v="Unknown"/>
    <s v="Foraging/Caching"/>
    <s v="Spruce"/>
    <n v="1"/>
    <m/>
    <x v="0"/>
    <x v="6"/>
    <x v="11"/>
    <s v="Ground"/>
    <s v="Under bark of spruce trunk "/>
    <x v="0"/>
    <x v="1"/>
    <x v="8"/>
    <s v="Unknown"/>
    <s v="unknown"/>
    <x v="12"/>
    <n v="63.722360000000002"/>
    <n v="148.94922"/>
    <m/>
    <m/>
    <m/>
    <n v="0"/>
    <n v="0"/>
    <n v="0"/>
    <n v="0"/>
    <n v="5"/>
    <n v="0"/>
    <n v="5"/>
    <m/>
    <s v="Not captured on video by observed by KS"/>
    <m/>
    <m/>
  </r>
  <r>
    <s v="DSCN1563"/>
    <s v="RC1012_6"/>
    <x v="11"/>
    <n v="1"/>
    <s v="Ccamp"/>
    <d v="2018-10-12T00:00:00"/>
    <x v="7"/>
    <d v="1899-12-30T00:16:00"/>
    <s v="Overcast"/>
    <s v="GB/BS"/>
    <s v="Caching"/>
    <s v="Spruce"/>
    <n v="0"/>
    <m/>
    <x v="0"/>
    <x v="6"/>
    <x v="38"/>
    <s v="Ground"/>
    <s v="Exterior spruce branch under bark/witch hair"/>
    <x v="0"/>
    <x v="2"/>
    <x v="13"/>
    <s v="Unknown"/>
    <s v="unknown"/>
    <x v="36"/>
    <n v="63.722360000000002"/>
    <s v="148. 94931"/>
    <m/>
    <m/>
    <m/>
    <n v="0"/>
    <n v="0"/>
    <n v="0"/>
    <n v="0"/>
    <n v="0"/>
    <n v="0"/>
    <n v="0"/>
    <m/>
    <m/>
    <m/>
    <m/>
  </r>
  <r>
    <s v="DSCN1533"/>
    <s v="MC1012_1"/>
    <x v="0"/>
    <n v="1"/>
    <s v="Mercentile "/>
    <d v="2018-10-12T00:00:00"/>
    <x v="7"/>
    <d v="1899-12-30T00:17:00"/>
    <s v="Overcast"/>
    <s v="BW/GS"/>
    <s v="Caching"/>
    <s v="Spruce"/>
    <n v="0"/>
    <m/>
    <x v="0"/>
    <x v="0"/>
    <x v="0"/>
    <s v="unknown"/>
    <s v="Spruce trunk under bark"/>
    <x v="0"/>
    <x v="1"/>
    <x v="8"/>
    <s v="Unknown"/>
    <s v="unknown"/>
    <x v="0"/>
    <n v="63.733600000000003"/>
    <n v="148.89886000000001"/>
    <m/>
    <m/>
    <m/>
    <n v="0"/>
    <n v="0"/>
    <n v="0"/>
    <n v="0"/>
    <n v="0"/>
    <n v="0"/>
    <n v="0"/>
    <m/>
    <m/>
    <m/>
    <m/>
  </r>
  <r>
    <s v="DSCN1536"/>
    <s v="MC1012_3"/>
    <x v="1"/>
    <n v="1"/>
    <s v="Mercentile "/>
    <d v="2018-10-12T00:00:00"/>
    <x v="7"/>
    <d v="1899-12-30T00:40:00"/>
    <s v="Overcast"/>
    <s v="BW/GS"/>
    <s v="Caching"/>
    <s v="Spruce"/>
    <n v="0"/>
    <m/>
    <x v="1"/>
    <x v="6"/>
    <x v="38"/>
    <s v="Ground"/>
    <s v="Interior spruce foliage"/>
    <x v="0"/>
    <x v="0"/>
    <x v="2"/>
    <s v="Unknown"/>
    <s v="unknown"/>
    <x v="11"/>
    <n v="63.732779999999998"/>
    <n v="148.89912000000001"/>
    <m/>
    <m/>
    <m/>
    <n v="0"/>
    <n v="0"/>
    <n v="0"/>
    <n v="0"/>
    <n v="0"/>
    <n v="0"/>
    <n v="0"/>
    <m/>
    <m/>
    <m/>
    <m/>
  </r>
  <r>
    <s v="DSCN1536"/>
    <s v="MC1012_3"/>
    <x v="1"/>
    <n v="2"/>
    <s v="Mercentile "/>
    <d v="2018-10-12T00:00:00"/>
    <x v="7"/>
    <d v="1899-12-30T00:40:00"/>
    <s v="Overcast"/>
    <s v="BW/GS"/>
    <s v="Caching"/>
    <s v="Spruce"/>
    <n v="0"/>
    <m/>
    <x v="0"/>
    <x v="6"/>
    <x v="38"/>
    <s v="Ground"/>
    <s v="Exterior spruce foliage at tippy top of tree"/>
    <x v="0"/>
    <x v="2"/>
    <x v="2"/>
    <s v="Unknown"/>
    <s v="unknown"/>
    <x v="8"/>
    <n v="63.732810000000001"/>
    <n v="148.89922999999999"/>
    <m/>
    <m/>
    <m/>
    <n v="0"/>
    <n v="0"/>
    <n v="0"/>
    <n v="0"/>
    <n v="0"/>
    <n v="0"/>
    <n v="0"/>
    <m/>
    <m/>
    <m/>
    <m/>
  </r>
  <r>
    <s v="DSCN1537"/>
    <s v="MC1012_4"/>
    <x v="10"/>
    <n v="1"/>
    <s v="Mercentile "/>
    <d v="2018-10-12T00:00:00"/>
    <x v="7"/>
    <d v="1899-12-30T00:33:00"/>
    <s v="Overcast"/>
    <s v="BW/GS"/>
    <s v="Caching"/>
    <s v="Aspen and spruce"/>
    <n v="0"/>
    <m/>
    <x v="0"/>
    <x v="6"/>
    <x v="38"/>
    <s v="Ground"/>
    <s v="Exterior aspen branch"/>
    <x v="1"/>
    <x v="2"/>
    <x v="14"/>
    <s v="Unknown"/>
    <s v="unknown"/>
    <x v="5"/>
    <n v="63.73254"/>
    <n v="148.89954"/>
    <m/>
    <m/>
    <m/>
    <n v="0"/>
    <n v="0"/>
    <n v="0"/>
    <n v="0"/>
    <n v="0"/>
    <n v="0"/>
    <n v="0"/>
    <m/>
    <m/>
    <m/>
    <m/>
  </r>
  <r>
    <s v="DSCN1537"/>
    <s v="MC1012_4"/>
    <x v="10"/>
    <n v="2"/>
    <s v="Mercentile "/>
    <d v="2018-10-12T00:00:00"/>
    <x v="7"/>
    <d v="1899-12-30T00:33:00"/>
    <s v="Overcast"/>
    <s v="BW/GS"/>
    <s v="Caching"/>
    <s v="Aspen and spruce"/>
    <n v="0"/>
    <m/>
    <x v="0"/>
    <x v="6"/>
    <x v="38"/>
    <s v="Ground"/>
    <s v="Exterior spruce branch under witch hair"/>
    <x v="0"/>
    <x v="2"/>
    <x v="12"/>
    <s v="Unknown"/>
    <s v="unknown"/>
    <x v="37"/>
    <n v="63.73245"/>
    <n v="148.89957000000001"/>
    <m/>
    <m/>
    <m/>
    <n v="0"/>
    <n v="0"/>
    <n v="0"/>
    <n v="0"/>
    <n v="0"/>
    <n v="0"/>
    <n v="0"/>
    <m/>
    <m/>
    <m/>
    <m/>
  </r>
  <r>
    <s v="DSCN1558"/>
    <s v="RC1012_2"/>
    <x v="3"/>
    <n v="1"/>
    <s v="Rock Creek"/>
    <d v="2018-10-12T00:00:00"/>
    <x v="7"/>
    <d v="1899-12-30T00:27:00"/>
    <s v="Overcast"/>
    <s v="Unknown"/>
    <s v="Caching"/>
    <s v="Spruce"/>
    <n v="0"/>
    <m/>
    <x v="0"/>
    <x v="0"/>
    <x v="0"/>
    <s v="unknown"/>
    <s v="Under bark of spruce trunk "/>
    <x v="0"/>
    <x v="1"/>
    <x v="8"/>
    <s v="Unknown"/>
    <s v="unknown"/>
    <x v="0"/>
    <n v="63.723970000000001"/>
    <n v="148.94882000000001"/>
    <m/>
    <m/>
    <m/>
    <n v="0"/>
    <n v="0"/>
    <n v="0"/>
    <n v="0"/>
    <n v="0"/>
    <n v="0"/>
    <n v="0"/>
    <m/>
    <m/>
    <m/>
    <m/>
  </r>
  <r>
    <s v="DSCN1566"/>
    <s v="RC1012_9"/>
    <x v="7"/>
    <n v="1"/>
    <s v="Rock Creek"/>
    <d v="2018-10-12T00:00:00"/>
    <x v="7"/>
    <d v="1899-12-30T00:36:00"/>
    <s v="Overcast"/>
    <s v="LB/RS"/>
    <s v="Caching"/>
    <s v="Spruce"/>
    <n v="0"/>
    <m/>
    <x v="0"/>
    <x v="6"/>
    <x v="11"/>
    <s v="Ground"/>
    <s v="Exterior spruce foliage"/>
    <x v="0"/>
    <x v="2"/>
    <x v="2"/>
    <s v="Unknown"/>
    <s v="unknown"/>
    <x v="36"/>
    <n v="63.722029999999997"/>
    <n v="148.94954999999999"/>
    <m/>
    <m/>
    <m/>
    <n v="0"/>
    <n v="0"/>
    <n v="0"/>
    <n v="0"/>
    <n v="0"/>
    <n v="0"/>
    <n v="0"/>
    <m/>
    <m/>
    <m/>
    <m/>
  </r>
  <r>
    <s v="DSCN1568"/>
    <s v="RC1012_10"/>
    <x v="4"/>
    <n v="1"/>
    <s v="Rock Creek"/>
    <d v="2018-10-12T00:00:00"/>
    <x v="7"/>
    <d v="1899-12-30T00:47:00"/>
    <s v="Overcast"/>
    <s v="LB/RS"/>
    <s v="Caching"/>
    <s v="Spruce"/>
    <n v="0"/>
    <m/>
    <x v="0"/>
    <x v="0"/>
    <x v="0"/>
    <s v="unknown"/>
    <s v="Exterior spruce branch under bark/witch hair "/>
    <x v="0"/>
    <x v="2"/>
    <x v="13"/>
    <s v="Unknown"/>
    <s v="unknown"/>
    <x v="36"/>
    <n v="63.722029999999997"/>
    <n v="148.94855000000001"/>
    <m/>
    <m/>
    <m/>
    <n v="0"/>
    <n v="0"/>
    <n v="0"/>
    <n v="0"/>
    <n v="0"/>
    <n v="0"/>
    <n v="0"/>
    <m/>
    <m/>
    <m/>
    <m/>
  </r>
  <r>
    <s v="DSCN1568"/>
    <s v="RC1012_10"/>
    <x v="4"/>
    <n v="2"/>
    <s v="Rock Creek"/>
    <d v="2018-10-12T00:00:00"/>
    <x v="7"/>
    <d v="1899-12-30T00:47:00"/>
    <s v="Overcast"/>
    <s v="LB/RS"/>
    <s v="Caching"/>
    <s v="Spruce"/>
    <n v="0"/>
    <m/>
    <x v="0"/>
    <x v="0"/>
    <x v="0"/>
    <s v="unknown"/>
    <s v="Interior bare branch bark/withc hair"/>
    <x v="0"/>
    <x v="0"/>
    <x v="13"/>
    <s v="Unknown"/>
    <s v="unknown"/>
    <x v="36"/>
    <n v="63.722029999999997"/>
    <n v="148.94855000000001"/>
    <m/>
    <m/>
    <m/>
    <n v="0"/>
    <n v="0"/>
    <n v="0"/>
    <n v="0"/>
    <n v="0"/>
    <n v="0"/>
    <n v="0"/>
    <m/>
    <s v="Same tree as previous cache tree"/>
    <m/>
    <m/>
  </r>
  <r>
    <s v="DSCN1568"/>
    <s v="RC1012_10"/>
    <x v="4"/>
    <n v="3"/>
    <s v="Rock Creek"/>
    <d v="2018-10-12T00:00:00"/>
    <x v="7"/>
    <d v="1899-12-30T00:47:00"/>
    <s v="Overcast"/>
    <s v="LB/RS"/>
    <s v="Caching"/>
    <s v="Spruce"/>
    <n v="0"/>
    <m/>
    <x v="0"/>
    <x v="0"/>
    <x v="0"/>
    <s v="unknown"/>
    <s v="Interior spruce foliage "/>
    <x v="0"/>
    <x v="0"/>
    <x v="2"/>
    <s v="Unknown"/>
    <s v="unknown"/>
    <x v="36"/>
    <n v="63.72204"/>
    <n v="148.94962000000001"/>
    <m/>
    <m/>
    <m/>
    <n v="0"/>
    <n v="0"/>
    <n v="0"/>
    <n v="0"/>
    <n v="0"/>
    <n v="0"/>
    <n v="0"/>
    <m/>
    <m/>
    <m/>
    <m/>
  </r>
  <r>
    <s v="DSCN1690"/>
    <s v="M4R1015_41"/>
    <x v="26"/>
    <n v="1"/>
    <s v="Mile 4 Roadside"/>
    <d v="2018-10-15T00:00:00"/>
    <x v="7"/>
    <d v="1899-12-30T00:40:00"/>
    <s v="Overcast"/>
    <s v="WG/OS"/>
    <s v="Foraging/Caching"/>
    <s v="Spruce"/>
    <n v="2"/>
    <m/>
    <x v="0"/>
    <x v="6"/>
    <x v="38"/>
    <s v="Ground"/>
    <s v="Exterior spruce branch under bark/witch hair"/>
    <x v="0"/>
    <x v="2"/>
    <x v="13"/>
    <s v="Unknown"/>
    <s v="unknown"/>
    <x v="38"/>
    <n v="63.721510000000002"/>
    <n v="148.98741000000001"/>
    <m/>
    <m/>
    <m/>
    <n v="0"/>
    <n v="0"/>
    <n v="0"/>
    <n v="0"/>
    <n v="10"/>
    <n v="0"/>
    <n v="10"/>
    <m/>
    <m/>
    <m/>
    <m/>
  </r>
  <r>
    <s v="DSCN1698"/>
    <s v="M4R1015_46"/>
    <x v="27"/>
    <n v="1"/>
    <s v="Mile 4 Roadside"/>
    <d v="2018-10-15T00:00:00"/>
    <x v="7"/>
    <d v="1899-12-30T04:44:00"/>
    <s v="Overcast"/>
    <s v="YO/BS"/>
    <s v="Foraging/Caching"/>
    <s v="Spruce"/>
    <n v="2"/>
    <m/>
    <x v="0"/>
    <x v="1"/>
    <x v="32"/>
    <s v="Ground"/>
    <s v="Interior bare branch wedged in spruce bark"/>
    <x v="0"/>
    <x v="0"/>
    <x v="8"/>
    <s v="Unknown"/>
    <s v="unknown"/>
    <x v="11"/>
    <n v="63.721969999999999"/>
    <n v="148.98725999999999"/>
    <m/>
    <m/>
    <m/>
    <n v="0"/>
    <n v="0"/>
    <n v="0"/>
    <n v="0"/>
    <n v="252"/>
    <n v="0"/>
    <n v="252"/>
    <m/>
    <s v="Confirmed cache, could see in tree. "/>
    <m/>
    <m/>
  </r>
  <r>
    <s v="DSCN1671"/>
    <s v="M4R1015_31"/>
    <x v="28"/>
    <n v="1"/>
    <s v="Mile 4 Roadside"/>
    <d v="2018-10-15T00:00:00"/>
    <x v="7"/>
    <d v="1899-12-30T00:38:00"/>
    <s v="Overcast"/>
    <s v="YO/BS"/>
    <s v="Foraging"/>
    <s v="Spruce"/>
    <n v="1"/>
    <m/>
    <x v="0"/>
    <x v="1"/>
    <x v="32"/>
    <s v="Ground"/>
    <s v="Exterior spruce foliage"/>
    <x v="0"/>
    <x v="2"/>
    <x v="2"/>
    <s v="Unknown"/>
    <s v="unknown"/>
    <x v="14"/>
    <n v="63.721870000000003"/>
    <n v="148.98699999999999"/>
    <m/>
    <m/>
    <m/>
    <n v="0"/>
    <n v="0"/>
    <n v="0"/>
    <n v="0"/>
    <n v="17"/>
    <n v="0"/>
    <n v="17"/>
    <m/>
    <m/>
    <m/>
    <m/>
  </r>
  <r>
    <s v="DSCN1760"/>
    <s v="M4R1015_65"/>
    <x v="29"/>
    <n v="1"/>
    <s v="Mile 4 Roadside"/>
    <d v="2018-10-15T00:00:00"/>
    <x v="7"/>
    <d v="1899-12-30T02:29:00"/>
    <s v="Overcast"/>
    <s v="YO/BS"/>
    <s v="Foraging/Caching"/>
    <s v="Spruce"/>
    <n v="1"/>
    <m/>
    <x v="0"/>
    <x v="1"/>
    <x v="32"/>
    <s v="Ground"/>
    <s v="Exterior spruce foliage"/>
    <x v="0"/>
    <x v="2"/>
    <x v="2"/>
    <s v="Unknown"/>
    <s v="unknown"/>
    <x v="0"/>
    <n v="63.72193"/>
    <n v="148.98715000000001"/>
    <m/>
    <m/>
    <m/>
    <n v="0"/>
    <n v="0"/>
    <n v="0"/>
    <n v="0"/>
    <n v="118"/>
    <n v="0"/>
    <n v="118"/>
    <m/>
    <m/>
    <m/>
    <m/>
  </r>
  <r>
    <s v="DSCN1577"/>
    <s v="M4R1015_3"/>
    <x v="1"/>
    <n v="1"/>
    <s v="Mile 4 Roadside"/>
    <d v="2018-10-15T00:00:00"/>
    <x v="7"/>
    <d v="1899-12-30T00:04:00"/>
    <s v="Overcast"/>
    <s v="Unknown"/>
    <s v="Caching"/>
    <s v="Spruce"/>
    <n v="0"/>
    <m/>
    <x v="0"/>
    <x v="1"/>
    <x v="32"/>
    <s v="Ground"/>
    <s v="Exterior spruce foliage"/>
    <x v="0"/>
    <x v="2"/>
    <x v="2"/>
    <s v="Unknown"/>
    <s v="unknown"/>
    <x v="20"/>
    <n v="63.72184"/>
    <n v="148.98740000000001"/>
    <m/>
    <m/>
    <m/>
    <n v="0"/>
    <n v="0"/>
    <n v="0"/>
    <n v="0"/>
    <n v="0"/>
    <n v="0"/>
    <n v="0"/>
    <m/>
    <s v="Followed bird from hare to tree.  Observation os cache wasn't caught on video and was obstructed from view due to delay in catching up with the bird.  But given the behavior and location upon our arrival, we felt confident marking the tree. "/>
    <m/>
    <m/>
  </r>
  <r>
    <s v="DSCN1578"/>
    <s v="M4R1015_4"/>
    <x v="10"/>
    <n v="1"/>
    <s v="Mile 4 Roadside"/>
    <d v="2018-10-15T00:00:00"/>
    <x v="7"/>
    <d v="1899-12-30T00:06:00"/>
    <s v="Overcast"/>
    <s v="Unknown"/>
    <s v="Caching"/>
    <s v="Spruce"/>
    <n v="0"/>
    <m/>
    <x v="0"/>
    <x v="1"/>
    <x v="32"/>
    <s v="Ground"/>
    <s v="Interior spruce foliage "/>
    <x v="0"/>
    <x v="0"/>
    <x v="2"/>
    <s v="Unknown"/>
    <s v="unknown"/>
    <x v="39"/>
    <n v="63.721739999999997"/>
    <n v="148.98759000000001"/>
    <m/>
    <m/>
    <m/>
    <n v="0"/>
    <n v="0"/>
    <n v="0"/>
    <n v="0"/>
    <n v="0"/>
    <n v="0"/>
    <n v="0"/>
    <m/>
    <s v="Followed bird from hare to tree.  Observation os cache wasn't caught on video and was obstructed from view due to delay in catching up with the bird.  But given the behavior and location upon our arrival, we felt confident marking the tree. "/>
    <m/>
    <m/>
  </r>
  <r>
    <s v="DSCN1581"/>
    <s v="M4R1015_6"/>
    <x v="11"/>
    <n v="1"/>
    <s v="Mile 4 Roadside"/>
    <d v="2018-10-15T00:00:00"/>
    <x v="7"/>
    <d v="1899-12-30T00:09:00"/>
    <s v="Overcast"/>
    <s v="Unknown"/>
    <s v="Caching"/>
    <s v="Spruce"/>
    <n v="0"/>
    <m/>
    <x v="0"/>
    <x v="1"/>
    <x v="32"/>
    <s v="Ground"/>
    <s v="Exterior spruce foliage"/>
    <x v="0"/>
    <x v="2"/>
    <x v="2"/>
    <s v="Unknown"/>
    <s v="unknown"/>
    <x v="12"/>
    <n v="63.721829999999997"/>
    <n v="148.98707999999999"/>
    <m/>
    <m/>
    <m/>
    <n v="0"/>
    <n v="0"/>
    <n v="0"/>
    <n v="0"/>
    <n v="0"/>
    <n v="0"/>
    <n v="0"/>
    <m/>
    <m/>
    <m/>
    <m/>
  </r>
  <r>
    <s v="DSCN1585"/>
    <s v="M4R1015_9"/>
    <x v="7"/>
    <n v="1"/>
    <s v="Mile 4 Roadside"/>
    <d v="2018-10-15T00:00:00"/>
    <x v="7"/>
    <d v="1899-12-30T00:04:00"/>
    <s v="Overcast"/>
    <s v="Unknown"/>
    <s v="Caching"/>
    <s v="Spruce"/>
    <n v="0"/>
    <m/>
    <x v="0"/>
    <x v="1"/>
    <x v="32"/>
    <s v="Ground"/>
    <s v="Interior spruce foliage "/>
    <x v="0"/>
    <x v="0"/>
    <x v="2"/>
    <s v="Unknown"/>
    <s v="unknown"/>
    <x v="40"/>
    <n v="63.72195"/>
    <n v="148.98760999999999"/>
    <m/>
    <m/>
    <m/>
    <n v="0"/>
    <n v="0"/>
    <n v="0"/>
    <n v="0"/>
    <n v="0"/>
    <n v="0"/>
    <n v="0"/>
    <m/>
    <s v="Followed bird from hare to tree.  Observation os cache wasn't caught on video and was obstructed from view due to delay in catching up with the bird.  But given the behavior and location upon our arrival, we felt confident marking the tree. "/>
    <m/>
    <m/>
  </r>
  <r>
    <s v="DSCN1587"/>
    <s v="M4R1015_10"/>
    <x v="4"/>
    <n v="1"/>
    <s v="Mile 4 Roadside"/>
    <d v="2018-10-15T00:00:00"/>
    <x v="7"/>
    <d v="1899-12-30T00:25:00"/>
    <s v="Overcast"/>
    <s v="WG/OS"/>
    <s v="Caching"/>
    <s v="Spruce"/>
    <n v="0"/>
    <m/>
    <x v="0"/>
    <x v="1"/>
    <x v="32"/>
    <s v="Ground"/>
    <s v="Spruce trunk under bark"/>
    <x v="0"/>
    <x v="1"/>
    <x v="8"/>
    <s v="Unknown"/>
    <s v="unknown"/>
    <x v="16"/>
    <n v="63.721919999999997"/>
    <n v="148.98732000000001"/>
    <m/>
    <m/>
    <m/>
    <n v="0"/>
    <n v="0"/>
    <n v="0"/>
    <n v="0"/>
    <n v="0"/>
    <n v="0"/>
    <n v="0"/>
    <m/>
    <s v="Confirmed cache. "/>
    <m/>
    <m/>
  </r>
  <r>
    <s v="DSCN1589"/>
    <s v="M4R1015_12"/>
    <x v="9"/>
    <n v="1"/>
    <s v="Mile 4 Roadside"/>
    <d v="2018-10-15T00:00:00"/>
    <x v="7"/>
    <d v="1899-12-30T00:10:00"/>
    <s v="Overcast"/>
    <s v="YO/BS"/>
    <s v="Caching"/>
    <s v="Spruce"/>
    <n v="0"/>
    <m/>
    <x v="0"/>
    <x v="1"/>
    <x v="32"/>
    <s v="Ground"/>
    <s v="Exterior spruce foliage"/>
    <x v="0"/>
    <x v="2"/>
    <x v="2"/>
    <s v="Unknown"/>
    <s v="unknown"/>
    <x v="41"/>
    <n v="63.721730000000001"/>
    <n v="148.98685"/>
    <m/>
    <m/>
    <m/>
    <n v="0"/>
    <n v="0"/>
    <n v="0"/>
    <n v="0"/>
    <n v="0"/>
    <n v="0"/>
    <n v="0"/>
    <m/>
    <s v="Cache from previous video. Followed bird from hare to tree.  Observation os cache wasn't caught on video and was obstructed from view due to delay in catching up with the bird.  But given the behavior and location upon our arrival, we felt confident marking the tree. "/>
    <m/>
    <m/>
  </r>
  <r>
    <s v="DSCN1590"/>
    <s v="M4R1015_13"/>
    <x v="13"/>
    <n v="1"/>
    <s v="Mile 4 Roadside"/>
    <d v="2018-10-15T00:00:00"/>
    <x v="7"/>
    <d v="1899-12-30T00:37:00"/>
    <s v="Overcast"/>
    <s v="Unknown"/>
    <s v="Caching"/>
    <s v="Alder"/>
    <n v="0"/>
    <m/>
    <x v="1"/>
    <x v="1"/>
    <x v="32"/>
    <s v="Ground"/>
    <s v="Exterior alder branch"/>
    <x v="7"/>
    <x v="2"/>
    <x v="11"/>
    <s v="Unknown"/>
    <s v="unknown"/>
    <x v="34"/>
    <n v="63.722020000000001"/>
    <n v="148.98776000000001"/>
    <m/>
    <m/>
    <m/>
    <n v="0"/>
    <n v="0"/>
    <n v="0"/>
    <n v="0"/>
    <n v="0"/>
    <n v="0"/>
    <n v="0"/>
    <m/>
    <s v="One confirmed cache, one suspected cache. "/>
    <m/>
    <m/>
  </r>
  <r>
    <s v="DSCN1595"/>
    <s v="M451015_18"/>
    <x v="25"/>
    <n v="1"/>
    <s v="Mile 4 Roadside"/>
    <d v="2018-10-15T00:00:00"/>
    <x v="7"/>
    <d v="1899-12-30T00:13:00"/>
    <s v="Overcast"/>
    <s v="YO/BS"/>
    <s v="Caching"/>
    <s v="NA"/>
    <n v="0"/>
    <m/>
    <x v="0"/>
    <x v="1"/>
    <x v="32"/>
    <s v="Ground"/>
    <s v="Interior spruce foliage "/>
    <x v="0"/>
    <x v="0"/>
    <x v="2"/>
    <s v="Unknown"/>
    <s v="unknown"/>
    <x v="37"/>
    <n v="63.721649999999997"/>
    <n v="148.98674"/>
    <m/>
    <m/>
    <m/>
    <n v="0"/>
    <n v="0"/>
    <n v="0"/>
    <n v="0"/>
    <n v="0"/>
    <n v="0"/>
    <n v="0"/>
    <m/>
    <s v="Followed bird from hare to tree.  Observation os cache wasn't caught on video and was obstructed from view due to delay in catching up with the bird.  But given the behavior and location upon our arrival, we felt confident marking the tree. "/>
    <m/>
    <m/>
  </r>
  <r>
    <s v="DSCN1597"/>
    <s v="M4R1015_20"/>
    <x v="18"/>
    <n v="1"/>
    <s v="Mile 4 Roadside"/>
    <d v="2018-10-15T00:00:00"/>
    <x v="7"/>
    <d v="1899-12-30T00:15:00"/>
    <s v="Overcast"/>
    <s v="YO/BS"/>
    <s v="Caching"/>
    <s v="Spruce"/>
    <n v="0"/>
    <m/>
    <x v="0"/>
    <x v="1"/>
    <x v="32"/>
    <s v="Ground"/>
    <s v="Interior bare spruce"/>
    <x v="0"/>
    <x v="0"/>
    <x v="11"/>
    <s v="Unknown"/>
    <s v="unknown"/>
    <x v="20"/>
    <n v="63.721870000000003"/>
    <n v="148.98738"/>
    <m/>
    <m/>
    <m/>
    <n v="0"/>
    <n v="0"/>
    <n v="0"/>
    <n v="0"/>
    <n v="0"/>
    <n v="0"/>
    <n v="0"/>
    <m/>
    <s v="First cache is confirmed.  Second cache: Followed bird from hare to tree.  Observation os cache wasn't caught on video and was obstructed from view due to delay in catching up with the bird.  But given the behavior and location upon our arrival, we felt confident marking the tree. "/>
    <m/>
    <m/>
  </r>
  <r>
    <s v="DSCN1597"/>
    <s v="M4R1015_20"/>
    <x v="18"/>
    <n v="2"/>
    <s v="Mile 4 Roadside"/>
    <d v="2018-10-15T00:00:00"/>
    <x v="7"/>
    <d v="1899-12-30T00:15:00"/>
    <s v="Overcast"/>
    <s v="Unknown"/>
    <s v="Caching"/>
    <s v="Spruce"/>
    <n v="0"/>
    <m/>
    <x v="0"/>
    <x v="1"/>
    <x v="32"/>
    <s v="Ground"/>
    <s v="Interior spruce foliage "/>
    <x v="0"/>
    <x v="0"/>
    <x v="2"/>
    <s v="Unknown"/>
    <s v="unknown"/>
    <x v="19"/>
    <n v="63.72184"/>
    <n v="148.98740000000001"/>
    <m/>
    <m/>
    <m/>
    <n v="0"/>
    <n v="0"/>
    <n v="0"/>
    <n v="0"/>
    <n v="0"/>
    <n v="0"/>
    <n v="0"/>
    <m/>
    <s v="First cache is confirmed.  Second cache: Followed bird from hare to tree.  Observation os cache wasn't caught on video and was obstructed from view due to delay in catching up with the bird.  But given the behavior and location upon our arrival, we felt confident marking the tree. "/>
    <m/>
    <m/>
  </r>
  <r>
    <s v="DSCN1602"/>
    <s v="M4R1015_23"/>
    <x v="19"/>
    <n v="1"/>
    <s v="Mile 4 Roadside"/>
    <d v="2018-10-15T00:00:00"/>
    <x v="7"/>
    <d v="1899-12-30T00:24:00"/>
    <s v="Overcast"/>
    <s v="Unknown"/>
    <s v="Caching"/>
    <s v="Spruce"/>
    <n v="0"/>
    <m/>
    <x v="0"/>
    <x v="1"/>
    <x v="32"/>
    <s v="Ground"/>
    <s v="Exterior spruce foliage"/>
    <x v="0"/>
    <x v="2"/>
    <x v="2"/>
    <s v="Unknown"/>
    <s v="unknown"/>
    <x v="1"/>
    <n v="63.721899999999998"/>
    <n v="148.98749000000001"/>
    <m/>
    <m/>
    <m/>
    <n v="0"/>
    <n v="0"/>
    <n v="0"/>
    <n v="0"/>
    <n v="0"/>
    <n v="0"/>
    <n v="0"/>
    <m/>
    <m/>
    <m/>
    <m/>
  </r>
  <r>
    <s v="DSCN1603"/>
    <s v="M4R1015_24"/>
    <x v="24"/>
    <n v="1"/>
    <s v="Mile 4 Roadside"/>
    <d v="2018-10-15T00:00:00"/>
    <x v="7"/>
    <d v="1899-12-30T00:27:00"/>
    <s v="Overcast"/>
    <s v="OB/YS"/>
    <s v="Caching"/>
    <s v="Spruce"/>
    <n v="0"/>
    <m/>
    <x v="0"/>
    <x v="1"/>
    <x v="32"/>
    <s v="Ground"/>
    <s v="Exterior spruce foliage"/>
    <x v="0"/>
    <x v="2"/>
    <x v="2"/>
    <s v="Unknown"/>
    <s v="unknown"/>
    <x v="42"/>
    <n v="63.722029999999997"/>
    <n v="148.98781"/>
    <m/>
    <m/>
    <m/>
    <n v="0"/>
    <n v="0"/>
    <n v="0"/>
    <n v="0"/>
    <n v="0"/>
    <n v="0"/>
    <n v="0"/>
    <m/>
    <m/>
    <m/>
    <m/>
  </r>
  <r>
    <s v="DSCN1606"/>
    <s v="M4R1015_26"/>
    <x v="30"/>
    <n v="1"/>
    <s v="Mile 4 Roadside"/>
    <d v="2018-10-15T00:00:00"/>
    <x v="7"/>
    <d v="1899-12-30T02:06:00"/>
    <s v="Overcast"/>
    <s v="Unknown"/>
    <s v="Caching"/>
    <s v="Spruce"/>
    <n v="0"/>
    <m/>
    <x v="0"/>
    <x v="1"/>
    <x v="32"/>
    <s v="Ground"/>
    <s v="Exterior spruce foliage"/>
    <x v="0"/>
    <x v="2"/>
    <x v="2"/>
    <s v="Unknown"/>
    <s v="unknown"/>
    <x v="43"/>
    <n v="63.72137"/>
    <n v="148.98742999999999"/>
    <m/>
    <m/>
    <m/>
    <n v="0"/>
    <n v="0"/>
    <n v="0"/>
    <n v="0"/>
    <n v="0"/>
    <n v="0"/>
    <n v="0"/>
    <m/>
    <s v="Followed bird from hare to tree.  Observation os cache wasn't caught on video and was obstructed from view due to delay in catching up with the bird.  But given the behavior and location upon our arrival, we felt confident marking the tree. "/>
    <m/>
    <m/>
  </r>
  <r>
    <s v="DSCN1624"/>
    <s v="M4R1015_28"/>
    <x v="31"/>
    <n v="1"/>
    <s v="Mile 4 Roadside"/>
    <d v="2018-10-15T00:00:00"/>
    <x v="7"/>
    <d v="1899-12-30T00:17:00"/>
    <s v="Overcast"/>
    <s v="Unknown"/>
    <s v="Caching"/>
    <s v="Spruce"/>
    <n v="0"/>
    <m/>
    <x v="0"/>
    <x v="1"/>
    <x v="32"/>
    <s v="Ground"/>
    <s v="Exterior spruce foliage"/>
    <x v="0"/>
    <x v="2"/>
    <x v="2"/>
    <s v="Unknown"/>
    <s v="unknown"/>
    <x v="44"/>
    <n v="63.721769999999999"/>
    <n v="148.98671999999999"/>
    <m/>
    <m/>
    <m/>
    <n v="0"/>
    <n v="0"/>
    <n v="0"/>
    <n v="0"/>
    <n v="0"/>
    <n v="0"/>
    <n v="0"/>
    <m/>
    <s v="Followed bird from hare to tree.  Observation os cache wasn't caught on video and was obstructed from view due to delay in catching up with the bird.  But given the behavior and location upon our arrival, we felt confident marking the tree. "/>
    <m/>
    <m/>
  </r>
  <r>
    <s v="DSCN1673"/>
    <s v="M4R1015_33"/>
    <x v="32"/>
    <n v="1"/>
    <s v="Mile 4 Roadside"/>
    <d v="2018-10-15T00:00:00"/>
    <x v="7"/>
    <d v="1899-12-30T00:23:00"/>
    <s v="Overcast"/>
    <s v="YO/BS"/>
    <s v="Caching"/>
    <s v="Spruce"/>
    <n v="0"/>
    <m/>
    <x v="0"/>
    <x v="1"/>
    <x v="32"/>
    <s v="Ground"/>
    <s v="Interior bare spruce branch under bark"/>
    <x v="0"/>
    <x v="0"/>
    <x v="8"/>
    <s v="Unknown"/>
    <s v="unknown"/>
    <x v="33"/>
    <n v="63.721710000000002"/>
    <n v="148.98701"/>
    <m/>
    <m/>
    <m/>
    <n v="0"/>
    <n v="0"/>
    <n v="0"/>
    <n v="0"/>
    <n v="0"/>
    <n v="0"/>
    <n v="0"/>
    <m/>
    <m/>
    <m/>
    <m/>
  </r>
  <r>
    <s v="DSCN1677"/>
    <s v="M4R1015_36"/>
    <x v="33"/>
    <n v="1"/>
    <s v="Mile 4 Roadside"/>
    <d v="2018-10-15T00:00:00"/>
    <x v="7"/>
    <d v="1899-12-30T00:22:00"/>
    <s v="Overcast"/>
    <s v="YO/BS"/>
    <s v="Caching"/>
    <s v="Spruce"/>
    <n v="0"/>
    <m/>
    <x v="0"/>
    <x v="1"/>
    <x v="32"/>
    <s v="Ground"/>
    <s v="Interior bare spruce branch under bark"/>
    <x v="0"/>
    <x v="0"/>
    <x v="8"/>
    <s v="Unknown"/>
    <s v="unknown"/>
    <x v="20"/>
    <n v="63.72184"/>
    <n v="148.9074"/>
    <m/>
    <m/>
    <m/>
    <n v="0"/>
    <n v="0"/>
    <n v="0"/>
    <n v="0"/>
    <n v="0"/>
    <n v="0"/>
    <n v="0"/>
    <m/>
    <s v="Same as CT1 for this day. Followed bird from hare to tree.  Observation os cache wasn't caught on video and was obstructed from view due to delay in catching up with the bird.  But given the behavior and location upon our arrival, we felt confident marking the tree. "/>
    <m/>
    <m/>
  </r>
  <r>
    <s v="DSCN1693"/>
    <s v="M4R1015_43"/>
    <x v="34"/>
    <n v="1"/>
    <s v="Mile 4 Roadside"/>
    <d v="2018-10-15T00:00:00"/>
    <x v="7"/>
    <d v="1899-12-30T00:36:00"/>
    <s v="Overcast"/>
    <s v="YO/BS"/>
    <s v="Caching"/>
    <s v="Spruce"/>
    <n v="0"/>
    <m/>
    <x v="0"/>
    <x v="1"/>
    <x v="32"/>
    <s v="Ground"/>
    <s v="Interior spruce foliage "/>
    <x v="0"/>
    <x v="0"/>
    <x v="2"/>
    <s v="Unknown"/>
    <s v="unknown"/>
    <x v="45"/>
    <n v="63.721530000000001"/>
    <n v="148.98785000000001"/>
    <m/>
    <m/>
    <m/>
    <n v="0"/>
    <n v="0"/>
    <n v="0"/>
    <n v="0"/>
    <n v="0"/>
    <n v="0"/>
    <n v="0"/>
    <m/>
    <s v="Followed bird from hare to tree.  Observation os cache wasn't caught on video and was obstructed from view due to delay in catching up with the bird.  But given the behavior and location upon our arrival, we felt confident marking the tree. "/>
    <m/>
    <m/>
  </r>
  <r>
    <s v="DSCN1696"/>
    <s v="M4R1015_45"/>
    <x v="35"/>
    <n v="1"/>
    <s v="Mile 4 Roadside"/>
    <d v="2018-10-15T00:00:00"/>
    <x v="7"/>
    <d v="1899-12-30T00:10:00"/>
    <s v="Overcast"/>
    <s v="YO/BS"/>
    <s v="Caching"/>
    <s v="Spruce"/>
    <n v="0"/>
    <m/>
    <x v="0"/>
    <x v="1"/>
    <x v="32"/>
    <s v="Ground"/>
    <s v="Exterior spruce branch under bark/witch hair"/>
    <x v="0"/>
    <x v="2"/>
    <x v="13"/>
    <s v="Unknown"/>
    <s v="unknown"/>
    <x v="1"/>
    <n v="63.721919999999997"/>
    <n v="148.98746"/>
    <m/>
    <m/>
    <m/>
    <n v="0"/>
    <n v="0"/>
    <n v="0"/>
    <n v="0"/>
    <n v="0"/>
    <n v="0"/>
    <n v="0"/>
    <m/>
    <s v="Followed bird from hare to tree.  Observation os cache wasn't caught on video and was obstructed from view due to delay in catching up with the bird.  But given the behavior and location upon our arrival, we felt confident marking the tree. "/>
    <m/>
    <m/>
  </r>
  <r>
    <s v="DSCN1723"/>
    <s v="M4R1015_51"/>
    <x v="36"/>
    <n v="1"/>
    <s v="Mile 4 Roadside"/>
    <d v="2018-10-15T00:00:00"/>
    <x v="7"/>
    <d v="1899-12-30T00:29:00"/>
    <s v="Overcast"/>
    <s v="YO/BS"/>
    <s v="Caching"/>
    <s v="Spruce"/>
    <n v="0"/>
    <m/>
    <x v="0"/>
    <x v="1"/>
    <x v="32"/>
    <s v="Ground"/>
    <s v="Exterior spruce foliage"/>
    <x v="0"/>
    <x v="2"/>
    <x v="2"/>
    <s v="Unknown"/>
    <s v="unknown"/>
    <x v="9"/>
    <n v="63.721829999999997"/>
    <n v="148.98733999999999"/>
    <m/>
    <m/>
    <m/>
    <n v="0"/>
    <n v="0"/>
    <n v="0"/>
    <n v="0"/>
    <n v="0"/>
    <n v="0"/>
    <n v="0"/>
    <m/>
    <s v="Caches observed by KS.  Confident. "/>
    <m/>
    <m/>
  </r>
  <r>
    <s v="DSCN1723"/>
    <s v="M4R1015_51"/>
    <x v="36"/>
    <n v="2"/>
    <s v="Mile 4 Roadside"/>
    <d v="2018-10-15T00:00:00"/>
    <x v="7"/>
    <d v="1899-12-30T00:29:00"/>
    <s v="Overcast"/>
    <s v="YO/BS"/>
    <s v="Caching"/>
    <s v="Spruce"/>
    <n v="0"/>
    <m/>
    <x v="0"/>
    <x v="1"/>
    <x v="32"/>
    <s v="Ground"/>
    <s v="Exterior bare spruce branch under bark"/>
    <x v="0"/>
    <x v="2"/>
    <x v="8"/>
    <s v="Unknown"/>
    <s v="unknown"/>
    <x v="11"/>
    <n v="63.72186"/>
    <n v="148.98733999999999"/>
    <m/>
    <m/>
    <m/>
    <n v="0"/>
    <n v="0"/>
    <n v="0"/>
    <n v="0"/>
    <n v="0"/>
    <n v="0"/>
    <n v="0"/>
    <m/>
    <s v="Caches observed by KS.  Confident. "/>
    <m/>
    <m/>
  </r>
  <r>
    <s v="DSCN1725"/>
    <s v="M4R1015_53"/>
    <x v="37"/>
    <n v="1"/>
    <s v="Mile 4 Roadside"/>
    <d v="2018-10-15T00:00:00"/>
    <x v="7"/>
    <d v="1899-12-30T00:12:00"/>
    <s v="Overcast"/>
    <s v="Unbanded"/>
    <s v="Caching"/>
    <s v="NA"/>
    <n v="0"/>
    <m/>
    <x v="0"/>
    <x v="1"/>
    <x v="32"/>
    <s v="Ground"/>
    <s v="Interior spruce foliage "/>
    <x v="0"/>
    <x v="0"/>
    <x v="2"/>
    <s v="Unknown"/>
    <s v="unknown"/>
    <x v="44"/>
    <n v="63.721760000000003"/>
    <n v="148.98801"/>
    <m/>
    <m/>
    <m/>
    <n v="0"/>
    <n v="0"/>
    <n v="0"/>
    <n v="0"/>
    <n v="0"/>
    <n v="0"/>
    <n v="0"/>
    <m/>
    <m/>
    <m/>
    <m/>
  </r>
  <r>
    <s v="DSCN1734"/>
    <s v="M4R1015_56"/>
    <x v="38"/>
    <n v="1"/>
    <s v="Mile 4 Roadside"/>
    <d v="2018-10-15T00:00:00"/>
    <x v="7"/>
    <d v="1899-12-30T00:21:00"/>
    <s v="Overcast"/>
    <s v="Unknown"/>
    <m/>
    <s v="NA"/>
    <n v="0"/>
    <m/>
    <x v="0"/>
    <x v="6"/>
    <x v="38"/>
    <s v="Ground"/>
    <s v="Exterior spruce foliage"/>
    <x v="0"/>
    <x v="2"/>
    <x v="2"/>
    <s v="Unknown"/>
    <s v="unknown"/>
    <x v="0"/>
    <n v="63.721649999999997"/>
    <n v="148.98887999999999"/>
    <m/>
    <m/>
    <m/>
    <n v="0"/>
    <n v="0"/>
    <n v="0"/>
    <n v="0"/>
    <n v="0"/>
    <n v="0"/>
    <n v="0"/>
    <m/>
    <s v="Incidental cache.  Found byt acident.  Berry in good condition but spit dry.  "/>
    <m/>
    <m/>
  </r>
  <r>
    <s v="DSCN1758"/>
    <s v="M4R1015_64"/>
    <x v="39"/>
    <n v="1"/>
    <s v="Mile 4 Roadside"/>
    <d v="2018-10-15T00:00:00"/>
    <x v="7"/>
    <d v="1899-12-30T00:25:00"/>
    <s v="Overcast"/>
    <s v="Unbanded"/>
    <s v="Caching"/>
    <s v="Spruce"/>
    <n v="0"/>
    <m/>
    <x v="0"/>
    <x v="1"/>
    <x v="32"/>
    <s v="Ground"/>
    <s v="Exterior spruce foliage"/>
    <x v="0"/>
    <x v="2"/>
    <x v="2"/>
    <s v="Unknown"/>
    <s v="unknown"/>
    <x v="0"/>
    <n v="63.721519999999998"/>
    <n v="148.98714000000001"/>
    <m/>
    <m/>
    <m/>
    <n v="0"/>
    <n v="0"/>
    <n v="0"/>
    <n v="0"/>
    <n v="0"/>
    <n v="0"/>
    <n v="0"/>
    <m/>
    <m/>
    <m/>
    <m/>
  </r>
  <r>
    <s v="DSCN1810"/>
    <s v="WW1016_1"/>
    <x v="0"/>
    <n v="1"/>
    <s v="Wac West"/>
    <d v="2018-10-16T00:00:00"/>
    <x v="7"/>
    <d v="1899-12-30T00:35:00"/>
    <s v="Overcast"/>
    <s v="BP/PS"/>
    <s v="Foraging/Caching"/>
    <s v="Spruce"/>
    <s v="unknown"/>
    <m/>
    <x v="0"/>
    <x v="0"/>
    <x v="0"/>
    <s v="unknown"/>
    <s v="Interior bare spruce branch under bark"/>
    <x v="0"/>
    <x v="0"/>
    <x v="8"/>
    <s v="Unknown"/>
    <s v="unknown"/>
    <x v="0"/>
    <n v="63.738300000000002"/>
    <n v="148.90355"/>
    <m/>
    <m/>
    <m/>
    <n v="26"/>
    <n v="0"/>
    <n v="26"/>
    <n v="0"/>
    <n v="0"/>
    <n v="0"/>
    <n v="26"/>
    <s v="probing"/>
    <m/>
    <n v="3"/>
    <n v="0"/>
  </r>
  <r>
    <s v="DSCN1812"/>
    <s v="WW1016_3"/>
    <x v="1"/>
    <n v="1"/>
    <s v="Wac West"/>
    <d v="2018-10-16T00:00:00"/>
    <x v="7"/>
    <d v="1899-12-30T01:10:00"/>
    <s v="Overcast"/>
    <s v="BP/PS"/>
    <s v="Foraging/Caching"/>
    <s v="Spruce"/>
    <n v="1"/>
    <m/>
    <x v="0"/>
    <x v="0"/>
    <x v="0"/>
    <s v="Top of sappling from foliage"/>
    <s v="Interior spruce foliage "/>
    <x v="0"/>
    <x v="0"/>
    <x v="2"/>
    <s v="Unknown"/>
    <s v="unknown"/>
    <x v="12"/>
    <n v="63.738460000000003"/>
    <n v="148.90312"/>
    <m/>
    <m/>
    <m/>
    <n v="0"/>
    <n v="0"/>
    <n v="0"/>
    <n v="0"/>
    <n v="7"/>
    <n v="0"/>
    <n v="7"/>
    <m/>
    <s v="Get plucked food from tree, no foraging time.  "/>
    <m/>
    <m/>
  </r>
  <r>
    <s v="DSCN1796"/>
    <s v="M2371016_10"/>
    <x v="4"/>
    <n v="1"/>
    <s v="Mile 237"/>
    <d v="2018-10-16T00:00:00"/>
    <x v="7"/>
    <d v="1899-12-30T00:22:00"/>
    <s v="Overcast"/>
    <s v="Unknown"/>
    <m/>
    <s v="Willow"/>
    <n v="0"/>
    <m/>
    <x v="0"/>
    <x v="6"/>
    <x v="21"/>
    <s v="Ground"/>
    <s v="Under bark of small willos shrub"/>
    <x v="2"/>
    <x v="2"/>
    <x v="8"/>
    <s v="Unknown"/>
    <s v="unknown"/>
    <x v="0"/>
    <n v="63.723840000000003"/>
    <n v="148.88453999999999"/>
    <m/>
    <m/>
    <m/>
    <n v="0"/>
    <n v="0"/>
    <n v="0"/>
    <n v="0"/>
    <n v="0"/>
    <n v="0"/>
    <n v="0"/>
    <m/>
    <s v="Incidental find.  Spotted by DL while following birds.  Obvous jay spit based on location an visible dried saliva.  "/>
    <m/>
    <m/>
  </r>
  <r>
    <s v="DSCN1824"/>
    <s v="WW1016_5"/>
    <x v="5"/>
    <n v="1"/>
    <s v="Wac West"/>
    <d v="2018-10-16T00:00:00"/>
    <x v="7"/>
    <d v="1899-12-30T00:17:00"/>
    <s v="Overcast"/>
    <s v="BP/PS"/>
    <s v="Caching"/>
    <s v="Spruce"/>
    <n v="0"/>
    <m/>
    <x v="0"/>
    <x v="0"/>
    <x v="0"/>
    <s v="unknown"/>
    <s v="Spruce trunk"/>
    <x v="0"/>
    <x v="1"/>
    <x v="8"/>
    <s v="Unknown"/>
    <s v="unknown"/>
    <x v="0"/>
    <n v="63.739269999999998"/>
    <n v="148.98978"/>
    <m/>
    <m/>
    <m/>
    <n v="0"/>
    <n v="0"/>
    <n v="0"/>
    <n v="0"/>
    <n v="0"/>
    <n v="0"/>
    <n v="0"/>
    <m/>
    <m/>
    <m/>
    <m/>
  </r>
  <r>
    <s v="DSCN1873"/>
    <s v="AQ1017_1"/>
    <x v="0"/>
    <n v="1"/>
    <s v="Air Quality"/>
    <d v="2018-10-17T00:00:00"/>
    <x v="7"/>
    <d v="1899-12-30T00:31:00"/>
    <s v="Overcast"/>
    <s v="PL/PS"/>
    <s v="Caching/foraging"/>
    <s v="Spruce"/>
    <n v="2"/>
    <m/>
    <x v="0"/>
    <x v="0"/>
    <x v="58"/>
    <s v="Ground for cached item; then on bare spruce branch under bark"/>
    <s v="Exterior spruce branch under bark/witch hair"/>
    <x v="0"/>
    <x v="2"/>
    <x v="12"/>
    <s v="Unknown"/>
    <s v="unknown"/>
    <x v="0"/>
    <n v="63.723950000000002"/>
    <n v="148.96271999999999"/>
    <m/>
    <m/>
    <m/>
    <n v="10"/>
    <n v="0"/>
    <n v="0"/>
    <n v="10"/>
    <n v="0"/>
    <n v="0"/>
    <n v="10"/>
    <m/>
    <s v="Picked something up from ground (not on film) then cached, then resumed foraging in tree. "/>
    <m/>
    <m/>
  </r>
  <r>
    <s v="DSCN1831"/>
    <s v="BU1017_2"/>
    <x v="3"/>
    <n v="1"/>
    <s v="BU"/>
    <d v="2018-10-17T00:00:00"/>
    <x v="7"/>
    <d v="1899-12-30T00:34:00"/>
    <s v="Overcast"/>
    <s v="WP/BS"/>
    <s v="Caching/foraging"/>
    <s v="Spruce"/>
    <n v="1"/>
    <m/>
    <x v="0"/>
    <x v="6"/>
    <x v="38"/>
    <s v="Ground"/>
    <s v="Interior spruce foliage"/>
    <x v="8"/>
    <x v="0"/>
    <x v="2"/>
    <s v="Unknown"/>
    <s v="unknown"/>
    <x v="20"/>
    <n v="63.725520000000003"/>
    <n v="148.95973000000001"/>
    <m/>
    <m/>
    <m/>
    <n v="0"/>
    <n v="0"/>
    <n v="0"/>
    <n v="0"/>
    <n v="12"/>
    <n v="0"/>
    <n v="12"/>
    <m/>
    <m/>
    <m/>
    <m/>
  </r>
  <r>
    <s v="DSCN1832"/>
    <s v="BU1017_3"/>
    <x v="1"/>
    <n v="1"/>
    <s v="BU"/>
    <d v="2018-10-17T00:00:00"/>
    <x v="7"/>
    <d v="1899-12-30T00:23:00"/>
    <s v="Overcast"/>
    <s v="Unknown"/>
    <s v="Caching"/>
    <s v="Spruce"/>
    <n v="0"/>
    <m/>
    <x v="0"/>
    <x v="0"/>
    <x v="0"/>
    <s v="unknown"/>
    <s v="Exterior spruce branch under bark/witch hair"/>
    <x v="0"/>
    <x v="2"/>
    <x v="13"/>
    <s v="Unknown"/>
    <s v="unknown"/>
    <x v="0"/>
    <n v="63.724910000000001"/>
    <n v="148.96313000000001"/>
    <m/>
    <m/>
    <m/>
    <n v="0"/>
    <n v="0"/>
    <n v="0"/>
    <n v="0"/>
    <n v="0"/>
    <n v="0"/>
    <n v="0"/>
    <m/>
    <m/>
    <m/>
    <m/>
  </r>
  <r>
    <s v="DSCN1867"/>
    <s v="BU1017_7"/>
    <x v="2"/>
    <n v="1"/>
    <s v="BU"/>
    <d v="2018-10-17T00:00:00"/>
    <x v="7"/>
    <d v="1899-12-30T00:14:00"/>
    <s v="Overcast"/>
    <s v="GR/PS"/>
    <s v="Caching"/>
    <s v="Spruce"/>
    <n v="0"/>
    <m/>
    <x v="0"/>
    <x v="6"/>
    <x v="38"/>
    <s v="Ground"/>
    <s v="Interior bare spruce branch under bark"/>
    <x v="0"/>
    <x v="0"/>
    <x v="8"/>
    <s v="Unknown"/>
    <s v="unknown"/>
    <x v="19"/>
    <n v="63.725540000000002"/>
    <n v="148.9563"/>
    <m/>
    <m/>
    <m/>
    <n v="0"/>
    <n v="0"/>
    <n v="0"/>
    <n v="0"/>
    <n v="0"/>
    <n v="0"/>
    <n v="0"/>
    <m/>
    <m/>
    <m/>
    <m/>
  </r>
  <r>
    <s v="DSCN1857"/>
    <s v="RC1017_8"/>
    <x v="6"/>
    <n v="1"/>
    <s v="Rock Creek"/>
    <d v="2018-10-17T00:00:00"/>
    <x v="7"/>
    <d v="1899-12-30T00:22:00"/>
    <s v="Overcast"/>
    <s v="LB/RS"/>
    <s v="Caching"/>
    <s v="Spruce"/>
    <n v="0"/>
    <m/>
    <x v="0"/>
    <x v="0"/>
    <x v="0"/>
    <s v="unknown"/>
    <s v="Spruce trunk under bark"/>
    <x v="0"/>
    <x v="1"/>
    <x v="8"/>
    <s v="Unknown"/>
    <s v="unknown"/>
    <x v="0"/>
    <n v="63.722830000000002"/>
    <n v="148.95454000000001"/>
    <m/>
    <m/>
    <m/>
    <n v="0"/>
    <n v="0"/>
    <n v="0"/>
    <n v="0"/>
    <n v="0"/>
    <n v="0"/>
    <n v="0"/>
    <m/>
    <m/>
    <m/>
    <m/>
  </r>
  <r>
    <s v="DSCN1886"/>
    <s v="M4R1018_3"/>
    <x v="1"/>
    <n v="1"/>
    <s v="Mile 4 Roadside"/>
    <d v="2018-10-18T00:00:00"/>
    <x v="7"/>
    <d v="1899-12-30T00:46:00"/>
    <s v="Overcast"/>
    <s v="OB/YS"/>
    <s v="Caching/foraging"/>
    <s v="Spruce"/>
    <n v="1"/>
    <m/>
    <x v="0"/>
    <x v="6"/>
    <x v="38"/>
    <s v="Ground"/>
    <s v="Exterior spruce foliage"/>
    <x v="0"/>
    <x v="2"/>
    <x v="2"/>
    <s v="Unknown"/>
    <s v="unknown"/>
    <x v="1"/>
    <n v="63.721490000000003"/>
    <n v="148.98593"/>
    <m/>
    <m/>
    <m/>
    <n v="0"/>
    <n v="0"/>
    <n v="0"/>
    <n v="0"/>
    <n v="22"/>
    <n v="0"/>
    <n v="22"/>
    <m/>
    <m/>
    <m/>
    <m/>
  </r>
  <r>
    <s v="DSCN1887"/>
    <s v="M4R1018_4"/>
    <x v="10"/>
    <n v="1"/>
    <s v="Mile 4 Roadside"/>
    <d v="2018-10-18T00:00:00"/>
    <x v="7"/>
    <d v="1899-12-30T00:19:00"/>
    <s v="Overcast"/>
    <s v="OB/YS"/>
    <s v="Caching/foraging"/>
    <s v="Spruce"/>
    <n v="1"/>
    <m/>
    <x v="0"/>
    <x v="6"/>
    <x v="38"/>
    <s v="Ground"/>
    <s v="Exterior spruce branch under bark/witch hair"/>
    <x v="0"/>
    <x v="2"/>
    <x v="13"/>
    <s v="Unknown"/>
    <s v="unknown"/>
    <x v="25"/>
    <n v="63.721530000000001"/>
    <n v="148.98598999999999"/>
    <m/>
    <m/>
    <m/>
    <n v="0"/>
    <n v="0"/>
    <n v="0"/>
    <n v="0"/>
    <n v="7"/>
    <n v="0"/>
    <n v="7"/>
    <m/>
    <m/>
    <m/>
    <m/>
  </r>
  <r>
    <s v="DSCN1983"/>
    <s v="AQ1018_1"/>
    <x v="0"/>
    <n v="1"/>
    <s v="Air Quality"/>
    <d v="2018-10-18T00:00:00"/>
    <x v="7"/>
    <d v="1899-12-30T00:18:00"/>
    <s v="Overcast"/>
    <s v="Unknown"/>
    <m/>
    <s v="Spruce"/>
    <n v="0"/>
    <m/>
    <x v="0"/>
    <x v="6"/>
    <x v="38"/>
    <s v="unknown"/>
    <s v="Exterior spruce foliage"/>
    <x v="0"/>
    <x v="2"/>
    <x v="2"/>
    <s v="Unknown"/>
    <s v="unknown"/>
    <x v="0"/>
    <n v="63.723109999999998"/>
    <n v="148.96836999999999"/>
    <m/>
    <m/>
    <m/>
    <n v="0"/>
    <n v="0"/>
    <n v="0"/>
    <n v="0"/>
    <n v="0"/>
    <n v="0"/>
    <n v="0"/>
    <m/>
    <s v="Incidental cache find.  Discovered while looking for a different cache.  Two blueberries shoved in needles of spruce.  Sticky saliva evident, they were glued in place! "/>
    <m/>
    <m/>
  </r>
  <r>
    <s v="DSCN1897"/>
    <s v="MC1019_2"/>
    <x v="3"/>
    <n v="1"/>
    <s v="Mercentile "/>
    <d v="2018-10-19T00:00:00"/>
    <x v="7"/>
    <d v="1899-12-30T00:17:00"/>
    <s v="Overcast"/>
    <s v="WO/OS"/>
    <s v="Caching"/>
    <s v="Aspen"/>
    <n v="0"/>
    <m/>
    <x v="0"/>
    <x v="0"/>
    <x v="0"/>
    <s v="Tip of spruce foliage at top of tree"/>
    <s v="Glued to aspen branch"/>
    <x v="1"/>
    <x v="2"/>
    <x v="14"/>
    <s v="Unknown"/>
    <s v="unknown"/>
    <x v="0"/>
    <s v="Did not mark (did not recognize as cache while in field)"/>
    <m/>
    <m/>
    <m/>
    <m/>
    <n v="0"/>
    <n v="0"/>
    <n v="0"/>
    <n v="0"/>
    <n v="0"/>
    <n v="0"/>
    <n v="0"/>
    <m/>
    <m/>
    <m/>
    <m/>
  </r>
  <r>
    <s v="DSCN1934"/>
    <s v="MC1019_19"/>
    <x v="20"/>
    <n v="1"/>
    <s v="Mercentile "/>
    <d v="2018-10-19T00:00:00"/>
    <x v="7"/>
    <d v="1899-12-30T00:16:00"/>
    <m/>
    <s v="BW/GS"/>
    <s v="Caching"/>
    <s v="Spruce"/>
    <n v="0"/>
    <m/>
    <x v="0"/>
    <x v="0"/>
    <x v="0"/>
    <s v="unknown"/>
    <s v="Exterior spruce tree in mistletoe"/>
    <x v="0"/>
    <x v="2"/>
    <x v="8"/>
    <s v="Unknown"/>
    <s v="unknown"/>
    <x v="0"/>
    <n v="63.735639999999997"/>
    <n v="148.89315999999999"/>
    <m/>
    <m/>
    <m/>
    <n v="0"/>
    <n v="0"/>
    <n v="0"/>
    <n v="0"/>
    <n v="0"/>
    <n v="0"/>
    <n v="0"/>
    <m/>
    <m/>
    <m/>
    <m/>
  </r>
  <r>
    <s v="DSCN1938"/>
    <s v="MC1019_22"/>
    <x v="15"/>
    <n v="1"/>
    <s v="Mercentile "/>
    <d v="2018-10-19T00:00:00"/>
    <x v="7"/>
    <d v="1899-12-30T00:29:00"/>
    <m/>
    <s v="WO/OS"/>
    <s v="Caching"/>
    <s v="Aspen"/>
    <n v="0"/>
    <m/>
    <x v="0"/>
    <x v="0"/>
    <x v="0"/>
    <s v="Ground"/>
    <s v="bare aspen branch under bark"/>
    <x v="1"/>
    <x v="2"/>
    <x v="8"/>
    <s v="Unknown"/>
    <s v="unknown"/>
    <x v="16"/>
    <n v="63.736020000000003"/>
    <n v="148.89214000000001"/>
    <m/>
    <m/>
    <m/>
    <n v="0"/>
    <n v="0"/>
    <n v="0"/>
    <n v="0"/>
    <n v="0"/>
    <n v="0"/>
    <n v="0"/>
    <m/>
    <m/>
    <m/>
    <m/>
  </r>
  <r>
    <s v="DSCN1964"/>
    <s v="M2371022_5"/>
    <x v="5"/>
    <n v="1"/>
    <s v="Mile 237"/>
    <d v="2018-10-22T00:00:00"/>
    <x v="7"/>
    <d v="1899-12-30T00:20:00"/>
    <m/>
    <s v="YP/RS"/>
    <s v="Caching"/>
    <s v="Spruce"/>
    <n v="0"/>
    <m/>
    <x v="0"/>
    <x v="0"/>
    <x v="0"/>
    <s v="unknown"/>
    <s v="Exterior spruce foliage"/>
    <x v="0"/>
    <x v="2"/>
    <x v="2"/>
    <s v="Unknown"/>
    <s v="unknown"/>
    <x v="0"/>
    <n v="63.72383"/>
    <n v="148.88605999999999"/>
    <m/>
    <m/>
    <m/>
    <n v="0"/>
    <n v="0"/>
    <n v="0"/>
    <n v="0"/>
    <n v="0"/>
    <n v="0"/>
    <n v="0"/>
    <m/>
    <m/>
    <m/>
    <m/>
  </r>
  <r>
    <s v="DSCN1971"/>
    <s v="M2371022_7"/>
    <x v="2"/>
    <n v="1"/>
    <s v="Mile 237"/>
    <d v="2018-10-22T00:00:00"/>
    <x v="7"/>
    <d v="1899-12-30T00:16:00"/>
    <m/>
    <s v="YP/RS"/>
    <s v="Caching"/>
    <s v="Spruce"/>
    <n v="0"/>
    <m/>
    <x v="0"/>
    <x v="0"/>
    <x v="0"/>
    <s v="unknown"/>
    <s v="Spruce trunk behind foliage"/>
    <x v="0"/>
    <x v="1"/>
    <x v="18"/>
    <s v="Unknown"/>
    <s v="unknown"/>
    <x v="0"/>
    <n v="63.723610000000001"/>
    <n v="148.88697999999999"/>
    <m/>
    <m/>
    <m/>
    <n v="0"/>
    <n v="0"/>
    <n v="0"/>
    <n v="0"/>
    <n v="0"/>
    <n v="0"/>
    <n v="0"/>
    <m/>
    <s v="Really blurry. Possible cace but unconfirmed by video."/>
    <m/>
    <m/>
  </r>
  <r>
    <s v="DSCN2017"/>
    <s v="M4R1023_7"/>
    <x v="2"/>
    <n v="1"/>
    <s v="Mile 4 Roadside"/>
    <d v="2018-10-23T00:00:00"/>
    <x v="7"/>
    <d v="1899-12-30T00:53:00"/>
    <m/>
    <s v="Unbanded"/>
    <s v="Caching"/>
    <s v="Spruce"/>
    <n v="0"/>
    <m/>
    <x v="0"/>
    <x v="0"/>
    <x v="0"/>
    <s v="Exterior dense foliage of spruce"/>
    <s v="Top of spruce tree in foliage "/>
    <x v="0"/>
    <x v="0"/>
    <x v="2"/>
    <s v="Unknown"/>
    <s v="unknown"/>
    <x v="1"/>
    <n v="63.720440000000004"/>
    <n v="148.98979"/>
    <m/>
    <m/>
    <m/>
    <n v="0"/>
    <n v="0"/>
    <n v="0"/>
    <n v="0"/>
    <n v="0"/>
    <n v="0"/>
    <n v="0"/>
    <m/>
    <s v="Caching event suspected but unconfirmed  Seen by JG"/>
    <m/>
    <m/>
  </r>
  <r>
    <s v="DSCN2108"/>
    <s v="RC1024_8"/>
    <x v="6"/>
    <n v="2"/>
    <s v="Ccamp"/>
    <d v="2018-10-24T00:00:00"/>
    <x v="7"/>
    <d v="1899-12-30T02:21:00"/>
    <m/>
    <s v="GL/RS"/>
    <s v="Foraging/Caching"/>
    <s v="Spruce"/>
    <n v="2"/>
    <m/>
    <x v="1"/>
    <x v="6"/>
    <x v="38"/>
    <s v="Ground"/>
    <s v="Exterior spruce under witch hair"/>
    <x v="0"/>
    <x v="2"/>
    <x v="12"/>
    <s v="Unknown"/>
    <s v="unknown"/>
    <x v="6"/>
    <n v="63.723419999999997"/>
    <n v="148.95421999999999"/>
    <m/>
    <m/>
    <m/>
    <n v="0"/>
    <n v="0"/>
    <n v="0"/>
    <n v="0"/>
    <n v="0"/>
    <n v="0"/>
    <n v="0"/>
    <s v="probing"/>
    <s v="Second one we were able to find and photograph in tree. Third was too high to find. Again, not seahawk's mom"/>
    <n v="3"/>
    <m/>
  </r>
  <r>
    <s v="DSCN2106"/>
    <s v="RC1024_6"/>
    <x v="11"/>
    <n v="1"/>
    <s v="Ccamp"/>
    <d v="2018-10-24T00:00:00"/>
    <x v="7"/>
    <d v="1899-12-30T00:28:00"/>
    <m/>
    <s v="GL/RS"/>
    <s v="Caching"/>
    <s v="Spruce"/>
    <n v="0"/>
    <m/>
    <x v="0"/>
    <x v="6"/>
    <x v="38"/>
    <s v="Ground"/>
    <s v="Interior crown of spruce foliage"/>
    <x v="0"/>
    <x v="0"/>
    <x v="2"/>
    <s v="Unknown"/>
    <s v="unknown"/>
    <x v="19"/>
    <n v="63.723059999999997"/>
    <n v="148.95411999999999"/>
    <m/>
    <m/>
    <m/>
    <n v="0"/>
    <n v="0"/>
    <n v="0"/>
    <n v="0"/>
    <n v="0"/>
    <n v="0"/>
    <n v="0"/>
    <m/>
    <s v="Strongly suspected cache.  Again, not LB/RS "/>
    <m/>
    <m/>
  </r>
  <r>
    <s v="DSCN2108"/>
    <s v="RC1024_8"/>
    <x v="6"/>
    <n v="1"/>
    <s v="Ccamp"/>
    <d v="2018-10-24T00:00:00"/>
    <x v="7"/>
    <d v="1899-12-30T02:21:00"/>
    <m/>
    <s v="GL/RS"/>
    <s v="Foraging/Caching"/>
    <s v="Spruce"/>
    <n v="0"/>
    <m/>
    <x v="0"/>
    <x v="0"/>
    <x v="0"/>
    <s v="Unknown"/>
    <s v="Interior spruce near trunk under witch hair"/>
    <x v="0"/>
    <x v="0"/>
    <x v="12"/>
    <s v="Unknown"/>
    <s v="unknown"/>
    <x v="0"/>
    <n v="63.723379999999999"/>
    <n v="148.95421999999999"/>
    <m/>
    <m/>
    <m/>
    <n v="25"/>
    <n v="27"/>
    <n v="8"/>
    <n v="44"/>
    <n v="24"/>
    <n v="0"/>
    <n v="76"/>
    <s v="probing"/>
    <s v="Missed foraging and caching for event 1.  "/>
    <n v="3"/>
    <m/>
  </r>
  <r>
    <s v="DSCN2132"/>
    <s v="RC1024_20"/>
    <x v="18"/>
    <n v="1"/>
    <s v="Ccamp"/>
    <d v="2018-10-24T00:00:00"/>
    <x v="7"/>
    <d v="1899-12-30T01:22:00"/>
    <m/>
    <s v="GL/RS"/>
    <s v="Food handling/caching"/>
    <s v="Spruce and birch"/>
    <n v="0"/>
    <m/>
    <x v="0"/>
    <x v="1"/>
    <x v="59"/>
    <s v="Spruce branch"/>
    <s v="Exterior spruce foliage"/>
    <x v="0"/>
    <x v="2"/>
    <x v="2"/>
    <s v="Unknown"/>
    <s v="unknown"/>
    <x v="19"/>
    <n v="63.724319999999999"/>
    <n v="148.95133999999999"/>
    <m/>
    <m/>
    <m/>
    <n v="0"/>
    <n v="0"/>
    <n v="0"/>
    <n v="0"/>
    <n v="0"/>
    <n v="0"/>
    <n v="0"/>
    <m/>
    <s v="Same as previous video"/>
    <m/>
    <m/>
  </r>
  <r>
    <s v="DSCN2132"/>
    <s v="RC1024_20"/>
    <x v="18"/>
    <n v="2"/>
    <s v="Ccamp"/>
    <d v="2018-10-24T00:00:00"/>
    <x v="7"/>
    <d v="1899-12-30T01:22:00"/>
    <m/>
    <s v="GL/RS"/>
    <s v="Food handling/caching"/>
    <s v="Spruce and birch"/>
    <n v="0"/>
    <m/>
    <x v="0"/>
    <x v="1"/>
    <x v="59"/>
    <s v="Spruce branch"/>
    <s v="Under birch bark on trunk"/>
    <x v="9"/>
    <x v="1"/>
    <x v="8"/>
    <s v="Unknown"/>
    <s v="unknown"/>
    <x v="19"/>
    <n v="63.724290000000003"/>
    <n v="148.95132000000001"/>
    <m/>
    <m/>
    <m/>
    <n v="0"/>
    <n v="0"/>
    <n v="0"/>
    <n v="0"/>
    <n v="0"/>
    <n v="0"/>
    <n v="0"/>
    <m/>
    <s v="Same as previous video"/>
    <m/>
    <m/>
  </r>
  <r>
    <s v="DSCN2139"/>
    <s v="RC1024_24"/>
    <x v="24"/>
    <n v="1"/>
    <s v="Ccamp"/>
    <d v="2018-10-24T00:00:00"/>
    <x v="7"/>
    <d v="1899-12-30T00:23:00"/>
    <m/>
    <s v="GL/RS"/>
    <s v="Caching"/>
    <s v="Spruce"/>
    <n v="0"/>
    <m/>
    <x v="0"/>
    <x v="0"/>
    <x v="0"/>
    <s v="unknown"/>
    <s v="Spruce trunk under bark"/>
    <x v="0"/>
    <x v="1"/>
    <x v="8"/>
    <s v="Unknown"/>
    <s v="unknown"/>
    <x v="0"/>
    <n v="63.722619999999999"/>
    <n v="148.95219"/>
    <m/>
    <m/>
    <m/>
    <n v="0"/>
    <n v="0"/>
    <n v="0"/>
    <n v="0"/>
    <n v="0"/>
    <n v="0"/>
    <n v="0"/>
    <m/>
    <s v="Suspected but unconfirmed cache"/>
    <m/>
    <m/>
  </r>
  <r>
    <s v="DSCN2041"/>
    <s v="RC1024_26"/>
    <x v="30"/>
    <n v="1"/>
    <s v="Ccamp"/>
    <d v="2018-10-24T00:00:00"/>
    <x v="7"/>
    <d v="1899-12-30T00:20:00"/>
    <m/>
    <s v="GL/RS"/>
    <s v="Caching"/>
    <s v="Spruce"/>
    <n v="0"/>
    <m/>
    <x v="0"/>
    <x v="0"/>
    <x v="0"/>
    <s v="Top of spruce in witch broom"/>
    <s v="Spruce trunk"/>
    <x v="0"/>
    <x v="1"/>
    <x v="8"/>
    <s v="Unknown"/>
    <s v="unknown"/>
    <x v="1"/>
    <n v="63.722700000000003"/>
    <n v="148.95214999999999"/>
    <m/>
    <m/>
    <m/>
    <n v="0"/>
    <n v="0"/>
    <n v="0"/>
    <n v="0"/>
    <n v="0"/>
    <n v="0"/>
    <n v="0"/>
    <m/>
    <m/>
    <m/>
    <m/>
  </r>
  <r>
    <s v="DSCN2059"/>
    <s v="MC1024_2"/>
    <x v="3"/>
    <n v="1"/>
    <s v="Mercentile "/>
    <d v="2018-10-24T00:00:00"/>
    <x v="7"/>
    <d v="1899-12-30T00:17:00"/>
    <m/>
    <s v="BW/GS"/>
    <s v="Caching"/>
    <s v="Spruce"/>
    <n v="0"/>
    <m/>
    <x v="0"/>
    <x v="0"/>
    <x v="0"/>
    <s v="Exterior dense foliage of spruce"/>
    <s v="Exterior spruce foliage"/>
    <x v="0"/>
    <x v="2"/>
    <x v="2"/>
    <s v="Unknown"/>
    <s v="unknown"/>
    <x v="6"/>
    <n v="63.736159999999998"/>
    <n v="148.89746"/>
    <m/>
    <m/>
    <m/>
    <n v="0"/>
    <n v="0"/>
    <n v="0"/>
    <n v="0"/>
    <n v="0"/>
    <n v="0"/>
    <n v="0"/>
    <m/>
    <m/>
    <m/>
    <m/>
  </r>
  <r>
    <s v="DSCN2159"/>
    <s v="MC1025_7"/>
    <x v="2"/>
    <n v="1"/>
    <s v="Mercentile "/>
    <d v="2018-10-25T00:00:00"/>
    <x v="7"/>
    <d v="1899-12-30T01:04:00"/>
    <m/>
    <s v="WO/OS"/>
    <s v="Caching/foraging"/>
    <s v="Spruce"/>
    <n v="1"/>
    <m/>
    <x v="0"/>
    <x v="2"/>
    <x v="60"/>
    <s v="Spruce branch"/>
    <s v="Exterior spruce foliage"/>
    <x v="0"/>
    <x v="2"/>
    <x v="2"/>
    <s v="Unknown"/>
    <s v="unknown"/>
    <x v="20"/>
    <n v="63.732669999999999"/>
    <n v="148.89955"/>
    <m/>
    <m/>
    <m/>
    <n v="29"/>
    <n v="0"/>
    <n v="0"/>
    <n v="29"/>
    <n v="9"/>
    <n v="0"/>
    <n v="38"/>
    <m/>
    <m/>
    <m/>
    <m/>
  </r>
  <r>
    <s v="DSCN2168"/>
    <s v="MC1025_10"/>
    <x v="4"/>
    <n v="1"/>
    <s v="Mercentile "/>
    <d v="2018-10-25T00:00:00"/>
    <x v="7"/>
    <d v="1899-12-30T01:35:00"/>
    <m/>
    <s v="BW/GS"/>
    <s v="Foraging"/>
    <s v="Spruce"/>
    <n v="1"/>
    <m/>
    <x v="0"/>
    <x v="1"/>
    <x v="32"/>
    <s v="Ground"/>
    <s v="Interior bare spruce branch "/>
    <x v="0"/>
    <x v="0"/>
    <x v="11"/>
    <s v="Unknown"/>
    <s v="unknown"/>
    <x v="9"/>
    <n v="63.732770000000002"/>
    <n v="148.89867000000001"/>
    <m/>
    <m/>
    <m/>
    <n v="0"/>
    <n v="0"/>
    <n v="0"/>
    <n v="0"/>
    <n v="0"/>
    <n v="0"/>
    <n v="0"/>
    <m/>
    <m/>
    <m/>
    <m/>
  </r>
  <r>
    <s v="DSCN2168"/>
    <s v="MC1025_10"/>
    <x v="4"/>
    <n v="2"/>
    <s v="Mercentile "/>
    <d v="2018-10-25T00:00:00"/>
    <x v="7"/>
    <d v="1899-12-30T01:35:00"/>
    <m/>
    <s v="BW/GS"/>
    <s v="Foraging"/>
    <s v="Spruce"/>
    <n v="1"/>
    <m/>
    <x v="0"/>
    <x v="1"/>
    <x v="32"/>
    <s v="Ground"/>
    <s v="Exterior spruce foliage"/>
    <x v="0"/>
    <x v="2"/>
    <x v="2"/>
    <s v="Unknown"/>
    <s v="unknown"/>
    <x v="9"/>
    <n v="63.732770000000002"/>
    <n v="148.89867000000001"/>
    <m/>
    <m/>
    <m/>
    <n v="0"/>
    <n v="0"/>
    <n v="0"/>
    <n v="0"/>
    <n v="0"/>
    <n v="0"/>
    <n v="0"/>
    <s v="Same tree as previous cache"/>
    <m/>
    <m/>
    <m/>
  </r>
  <r>
    <s v="DSCN2157"/>
    <s v="MC1025_5"/>
    <x v="5"/>
    <n v="1"/>
    <s v="Mercentile "/>
    <d v="2018-10-25T00:00:00"/>
    <x v="7"/>
    <d v="1899-12-30T00:47:00"/>
    <m/>
    <s v="WO/OS"/>
    <s v="Caching"/>
    <s v="Aspen"/>
    <n v="0"/>
    <m/>
    <x v="0"/>
    <x v="0"/>
    <x v="0"/>
    <s v="unknown"/>
    <s v="Under bark of aspen branch"/>
    <x v="1"/>
    <x v="2"/>
    <x v="8"/>
    <s v="Unknown"/>
    <s v="unknown"/>
    <x v="0"/>
    <n v="63.73254"/>
    <n v="148.89940000000001"/>
    <m/>
    <m/>
    <m/>
    <n v="0"/>
    <n v="0"/>
    <n v="0"/>
    <n v="0"/>
    <n v="0"/>
    <n v="0"/>
    <n v="0"/>
    <m/>
    <s v="*Possible that female pulled food out after! But didn't catch on tape to confirm. "/>
    <m/>
    <m/>
  </r>
  <r>
    <s v="DSCN2169"/>
    <s v="MC1025_11"/>
    <x v="8"/>
    <n v="1"/>
    <s v="Mercentile "/>
    <d v="2018-10-25T00:00:00"/>
    <x v="7"/>
    <d v="1899-12-30T00:28:00"/>
    <m/>
    <s v="BW/GS"/>
    <s v="Caching"/>
    <s v="Spruce"/>
    <n v="0"/>
    <m/>
    <x v="0"/>
    <x v="1"/>
    <x v="32"/>
    <s v="Ground"/>
    <s v="Exterior spruce foliage"/>
    <x v="0"/>
    <x v="2"/>
    <x v="2"/>
    <s v="Unknown"/>
    <s v="unknown"/>
    <x v="34"/>
    <n v="63.733040000000003"/>
    <n v="148.89887999999999"/>
    <m/>
    <m/>
    <m/>
    <n v="0"/>
    <n v="0"/>
    <n v="0"/>
    <n v="0"/>
    <n v="0"/>
    <n v="0"/>
    <n v="0"/>
    <m/>
    <s v="Same hare as before "/>
    <m/>
    <m/>
  </r>
  <r>
    <s v="DSCN2170"/>
    <s v="MC1025_12"/>
    <x v="9"/>
    <n v="1"/>
    <s v="Mercentile "/>
    <d v="2018-10-25T00:00:00"/>
    <x v="7"/>
    <d v="1899-12-30T00:50:00"/>
    <m/>
    <s v="BW/GS"/>
    <s v="Caching"/>
    <s v="Spruce"/>
    <n v="0"/>
    <m/>
    <x v="0"/>
    <x v="1"/>
    <x v="32"/>
    <s v="Ground"/>
    <s v="Exterior spruce foliage"/>
    <x v="0"/>
    <x v="2"/>
    <x v="2"/>
    <s v="Unknown"/>
    <s v="unknown"/>
    <x v="23"/>
    <n v="63.733040000000003"/>
    <n v="148.89893000000001"/>
    <m/>
    <m/>
    <m/>
    <n v="0"/>
    <n v="0"/>
    <n v="0"/>
    <n v="0"/>
    <n v="0"/>
    <n v="0"/>
    <n v="0"/>
    <m/>
    <s v="Caching from piece of hare it took earlier"/>
    <m/>
    <m/>
  </r>
  <r>
    <s v="DSCN2170"/>
    <s v="MC1025_12"/>
    <x v="9"/>
    <n v="2"/>
    <s v="Mercentile "/>
    <d v="2018-10-25T00:00:00"/>
    <x v="7"/>
    <d v="1899-12-30T00:50:00"/>
    <m/>
    <s v="BW/GS"/>
    <s v="Caching"/>
    <s v="Spruce"/>
    <n v="0"/>
    <m/>
    <x v="0"/>
    <x v="1"/>
    <x v="32"/>
    <s v="Ground"/>
    <s v="Exterior spruce foliage"/>
    <x v="0"/>
    <x v="2"/>
    <x v="2"/>
    <s v="Unknown"/>
    <s v="unknown"/>
    <x v="23"/>
    <n v="63.733020000000003"/>
    <n v="148.89896999999999"/>
    <m/>
    <m/>
    <m/>
    <n v="0"/>
    <n v="0"/>
    <n v="0"/>
    <n v="0"/>
    <n v="0"/>
    <n v="0"/>
    <n v="0"/>
    <m/>
    <s v="Caching from piece of hare it took earlier"/>
    <m/>
    <m/>
  </r>
  <r>
    <s v="DSCN2183"/>
    <s v="M2371025_5"/>
    <x v="5"/>
    <n v="1"/>
    <s v="Mile 237"/>
    <d v="2018-10-25T00:00:00"/>
    <x v="7"/>
    <d v="1899-12-30T00:13:00"/>
    <m/>
    <s v="YP/RS"/>
    <s v="Foraging"/>
    <s v="NA"/>
    <n v="0"/>
    <m/>
    <x v="0"/>
    <x v="0"/>
    <x v="0"/>
    <s v="Ground"/>
    <s v="Exterior spruce branch under bark/witch hair"/>
    <x v="0"/>
    <x v="2"/>
    <x v="13"/>
    <s v="Unknown"/>
    <s v="unknown"/>
    <x v="6"/>
    <n v="63.723309999999998"/>
    <n v="148.88614000000001"/>
    <m/>
    <m/>
    <m/>
    <n v="0"/>
    <n v="0"/>
    <n v="0"/>
    <n v="0"/>
    <n v="0"/>
    <n v="0"/>
    <n v="0"/>
    <m/>
    <s v="Suspected but unconfirmed cache"/>
    <m/>
    <m/>
  </r>
  <r>
    <s v="DSCN2184"/>
    <s v="M2371025_6"/>
    <x v="11"/>
    <n v="1"/>
    <s v="Mile 237"/>
    <d v="2018-10-25T00:00:00"/>
    <x v="7"/>
    <d v="1899-12-30T00:36:00"/>
    <m/>
    <s v="YP/RS"/>
    <s v="Caching"/>
    <s v="Spruce"/>
    <n v="0"/>
    <m/>
    <x v="0"/>
    <x v="6"/>
    <x v="61"/>
    <s v="unknown"/>
    <s v="Exterior spruce branch under bark/witch hair"/>
    <x v="0"/>
    <x v="2"/>
    <x v="13"/>
    <s v="Unknown"/>
    <s v="unknown"/>
    <x v="0"/>
    <n v="63.723309999999998"/>
    <n v="148.88614000000001"/>
    <m/>
    <m/>
    <m/>
    <n v="0"/>
    <n v="0"/>
    <n v="0"/>
    <n v="0"/>
    <n v="0"/>
    <n v="0"/>
    <n v="0"/>
    <m/>
    <s v="INCIDENTAL FIND. SAME CACHE TREE AS PREVIOUS."/>
    <m/>
    <m/>
  </r>
  <r>
    <s v="DSCN21"/>
    <s v="M4R1026_1"/>
    <x v="0"/>
    <n v="1"/>
    <s v="Mile 4 Roadside"/>
    <d v="2018-10-26T00:00:00"/>
    <x v="7"/>
    <d v="1899-12-30T00:26:00"/>
    <m/>
    <s v="Unknown"/>
    <s v="Caching"/>
    <s v="Spruce"/>
    <n v="0"/>
    <m/>
    <x v="0"/>
    <x v="6"/>
    <x v="38"/>
    <s v="unknown"/>
    <s v="Exterior spruce foliage"/>
    <x v="0"/>
    <x v="2"/>
    <x v="2"/>
    <s v="Unknown"/>
    <s v="unknown"/>
    <x v="0"/>
    <n v="63.719990000000003"/>
    <n v="148.98468"/>
    <m/>
    <m/>
    <m/>
    <n v="0"/>
    <n v="0"/>
    <n v="0"/>
    <n v="0"/>
    <n v="0"/>
    <n v="0"/>
    <n v="0"/>
    <m/>
    <s v="INCIDENTAL FIND"/>
    <m/>
    <m/>
  </r>
  <r>
    <s v="DSCN2227"/>
    <s v="BU1029_15"/>
    <x v="22"/>
    <n v="1"/>
    <s v="BU"/>
    <d v="2018-10-29T00:00:00"/>
    <x v="7"/>
    <d v="1899-12-30T00:23:00"/>
    <s v="Clear"/>
    <s v="GR/PS"/>
    <s v="Caching"/>
    <s v="Spruce"/>
    <n v="0"/>
    <m/>
    <x v="0"/>
    <x v="0"/>
    <x v="0"/>
    <s v="Exterior spruce"/>
    <s v="Exterior spruce branch under bark/witch hair"/>
    <x v="0"/>
    <x v="2"/>
    <x v="13"/>
    <s v="Unknown"/>
    <s v="unknown"/>
    <x v="0"/>
    <n v="63.725090000000002"/>
    <n v="148.96426"/>
    <m/>
    <m/>
    <m/>
    <n v="0"/>
    <n v="0"/>
    <n v="0"/>
    <n v="0"/>
    <n v="0"/>
    <n v="0"/>
    <n v="0"/>
    <m/>
    <s v="Cached item from previous video"/>
    <m/>
    <m/>
  </r>
  <r>
    <s v="DSCN2264"/>
    <s v="MC1029_7"/>
    <x v="2"/>
    <n v="1"/>
    <s v="Mercentile "/>
    <d v="2018-10-29T00:00:00"/>
    <x v="7"/>
    <d v="1899-12-30T00:37:00"/>
    <s v="Clear"/>
    <s v="WO/OS"/>
    <s v="Caching"/>
    <s v="Spruce"/>
    <n v="0"/>
    <m/>
    <x v="1"/>
    <x v="0"/>
    <x v="62"/>
    <s v="Interior spruce tree"/>
    <s v="Interior spruce foliage near trunk"/>
    <x v="0"/>
    <x v="0"/>
    <x v="2"/>
    <s v="Unknown"/>
    <s v="unknown"/>
    <x v="12"/>
    <n v="63.736229999999999"/>
    <n v="148.90009000000001"/>
    <m/>
    <m/>
    <m/>
    <n v="0"/>
    <n v="0"/>
    <n v="0"/>
    <n v="0"/>
    <n v="0"/>
    <n v="0"/>
    <n v="0"/>
    <m/>
    <s v="Same food as in previous video"/>
    <m/>
    <m/>
  </r>
  <r>
    <s v="DSCN2324"/>
    <s v="RC1031_6"/>
    <x v="11"/>
    <n v="1"/>
    <s v="Rock Creek"/>
    <d v="2018-10-31T00:00:00"/>
    <x v="7"/>
    <d v="1899-12-30T00:37:00"/>
    <s v="Partly cloudy"/>
    <s v="GL/RS"/>
    <s v="Caching"/>
    <s v="Spruce"/>
    <n v="0"/>
    <m/>
    <x v="0"/>
    <x v="0"/>
    <x v="0"/>
    <s v="unknown"/>
    <s v="Interior bare spruce branch under bark"/>
    <x v="0"/>
    <x v="0"/>
    <x v="8"/>
    <s v="Unknown"/>
    <s v="unknown"/>
    <x v="0"/>
    <n v="63.722760000000001"/>
    <n v="148.95087000000001"/>
    <m/>
    <m/>
    <m/>
    <n v="0"/>
    <n v="0"/>
    <n v="0"/>
    <n v="0"/>
    <n v="0"/>
    <n v="0"/>
    <n v="0"/>
    <m/>
    <m/>
    <m/>
    <m/>
  </r>
  <r>
    <s v="DSCN2341"/>
    <s v="TC1031_4"/>
    <x v="10"/>
    <n v="1"/>
    <s v="Trail Camp"/>
    <d v="2018-10-31T00:00:00"/>
    <x v="7"/>
    <d v="1899-12-30T00:51:00"/>
    <s v="Partly cloudy, snowing"/>
    <s v="BO/OS"/>
    <s v="Caching"/>
    <s v="Aspen"/>
    <n v="0"/>
    <m/>
    <x v="0"/>
    <x v="0"/>
    <x v="0"/>
    <s v="unknown"/>
    <s v="Exterior aspen branch under bark"/>
    <x v="1"/>
    <x v="2"/>
    <x v="8"/>
    <s v="Unknown"/>
    <s v="unknown"/>
    <x v="0"/>
    <n v="63.73142"/>
    <n v="148.89966999999999"/>
    <m/>
    <m/>
    <m/>
    <n v="0"/>
    <n v="0"/>
    <n v="0"/>
    <n v="0"/>
    <n v="0"/>
    <n v="0"/>
    <n v="0"/>
    <m/>
    <s v="Good caching video "/>
    <m/>
    <m/>
  </r>
  <r>
    <s v="DSCN2355"/>
    <s v="TC1031_9"/>
    <x v="7"/>
    <n v="1"/>
    <s v="Trail Camp"/>
    <d v="2018-10-31T00:00:00"/>
    <x v="7"/>
    <d v="1899-12-30T00:57:00"/>
    <s v="Partly cloudy, snowing"/>
    <s v="WL/PS"/>
    <s v="Caching"/>
    <s v="Spruce"/>
    <n v="0"/>
    <m/>
    <x v="0"/>
    <x v="0"/>
    <x v="0"/>
    <s v="unknown"/>
    <s v="Exterior spruce in needles"/>
    <x v="0"/>
    <x v="2"/>
    <x v="2"/>
    <s v="Unknown"/>
    <s v="unknown"/>
    <x v="0"/>
    <n v="63.73171"/>
    <n v="148.90314000000001"/>
    <m/>
    <m/>
    <m/>
    <n v="0"/>
    <n v="0"/>
    <n v="0"/>
    <n v="0"/>
    <n v="0"/>
    <n v="0"/>
    <n v="0"/>
    <m/>
    <s v="First cache is suspected, but second was confirmed"/>
    <m/>
    <m/>
  </r>
  <r>
    <s v="DSCN2355"/>
    <s v="TC1031_9"/>
    <x v="7"/>
    <n v="2"/>
    <s v="Trail Camp"/>
    <d v="2018-10-31T00:00:00"/>
    <x v="7"/>
    <d v="1899-12-30T00:57:00"/>
    <s v="Partly cloudy, snowing"/>
    <s v="WL/PS"/>
    <s v="Caching"/>
    <s v="Spruce"/>
    <n v="0"/>
    <m/>
    <x v="0"/>
    <x v="0"/>
    <x v="0"/>
    <s v="unknown"/>
    <s v="Interior spruce on trunk under bark "/>
    <x v="0"/>
    <x v="1"/>
    <x v="8"/>
    <s v="Unknown"/>
    <s v="unknown"/>
    <x v="0"/>
    <n v="63.73171"/>
    <n v="148.90315000000001"/>
    <m/>
    <m/>
    <m/>
    <n v="0"/>
    <n v="0"/>
    <n v="0"/>
    <n v="0"/>
    <n v="0"/>
    <n v="0"/>
    <n v="0"/>
    <m/>
    <s v="First cache is suspected, but second was confirmed"/>
    <m/>
    <m/>
  </r>
  <r>
    <m/>
    <s v="RC0311_3"/>
    <x v="1"/>
    <n v="1"/>
    <s v="Riley Creek"/>
    <d v="2018-03-11T00:00:00"/>
    <x v="3"/>
    <d v="1899-12-30T00:45:00"/>
    <m/>
    <s v="Unbanded"/>
    <s v="Foraging/Food handling"/>
    <s v="Spruce"/>
    <n v="1"/>
    <n v="0"/>
    <x v="0"/>
    <x v="7"/>
    <x v="63"/>
    <s v="Ground"/>
    <s v="Spruce trunk under bark "/>
    <x v="0"/>
    <x v="1"/>
    <x v="8"/>
    <s v="Unknown"/>
    <s v="Unknown"/>
    <x v="0"/>
    <s v="Unknown"/>
    <s v="Unknown"/>
    <m/>
    <m/>
    <m/>
    <n v="0"/>
    <n v="0"/>
    <n v="0"/>
    <n v="0"/>
    <n v="0"/>
    <n v="0"/>
    <n v="0"/>
    <m/>
    <s v="Missed foraging event on camera, but saw it visually. "/>
    <m/>
    <m/>
  </r>
  <r>
    <s v="DSCN0276"/>
    <s v="MM17_1"/>
    <x v="0"/>
    <n v="1"/>
    <s v="Mercentile "/>
    <d v="2018-03-17T00:00:00"/>
    <x v="3"/>
    <d v="1899-12-30T00:02:12"/>
    <m/>
    <s v="WY/OS"/>
    <s v="Foraging"/>
    <s v="Aspen, Spruce"/>
    <n v="1"/>
    <s v="Unknown"/>
    <x v="0"/>
    <x v="0"/>
    <x v="0"/>
    <s v="Under bark of aspen trunk"/>
    <s v="Interior spruce bare branches in witch hair"/>
    <x v="0"/>
    <x v="0"/>
    <x v="13"/>
    <s v="Unknown"/>
    <s v="Unknown"/>
    <x v="0"/>
    <s v="Unknown"/>
    <s v="Unknown"/>
    <m/>
    <m/>
    <m/>
    <n v="28"/>
    <n v="80"/>
    <n v="80"/>
    <n v="28"/>
    <n v="0"/>
    <n v="0"/>
    <n v="108"/>
    <s v="Gleaning, probing, visual searching "/>
    <m/>
    <n v="5"/>
    <n v="11"/>
  </r>
  <r>
    <s v="DSCN0295"/>
    <s v="M4R0318_1"/>
    <x v="0"/>
    <n v="1"/>
    <s v="Mile 4 Roadside"/>
    <d v="2018-03-18T00:00:00"/>
    <x v="3"/>
    <d v="1899-12-30T00:00:41"/>
    <s v="Light snowfall"/>
    <s v="WG/OS"/>
    <s v="Foraging"/>
    <s v="Spruce"/>
    <n v="2"/>
    <n v="1"/>
    <x v="0"/>
    <x v="0"/>
    <x v="0"/>
    <s v="Exterior spruce branch under witch hair"/>
    <s v="Spruce trunk under bark "/>
    <x v="0"/>
    <x v="1"/>
    <x v="13"/>
    <s v="Unknown"/>
    <s v="Unknown"/>
    <x v="0"/>
    <s v="Unknown"/>
    <s v="Unknown"/>
    <m/>
    <m/>
    <m/>
    <n v="25"/>
    <n v="0"/>
    <n v="0"/>
    <n v="25"/>
    <n v="0"/>
    <n v="0"/>
    <n v="25"/>
    <s v="Visual searching, gleaning"/>
    <s v="Plucked something largish froma  branch and proceeded to tear it up.  Then appeared to cache based on cirumstantial evidence. "/>
    <n v="0"/>
    <n v="2"/>
  </r>
  <r>
    <m/>
    <m/>
    <x v="14"/>
    <m/>
    <m/>
    <m/>
    <x v="8"/>
    <m/>
    <m/>
    <m/>
    <m/>
    <m/>
    <m/>
    <m/>
    <x v="3"/>
    <x v="8"/>
    <x v="64"/>
    <m/>
    <m/>
    <x v="4"/>
    <x v="5"/>
    <x v="9"/>
    <m/>
    <m/>
    <x v="17"/>
    <m/>
    <m/>
    <m/>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38">
  <r>
    <s v="DSCN2813"/>
    <s v="WW0402_1"/>
    <n v="1"/>
    <n v="1"/>
    <s v="WAC West"/>
    <d v="2019-04-02T00:00:00"/>
    <s v="April"/>
    <x v="0"/>
    <d v="1899-12-30T01:17:00"/>
    <m/>
    <x v="0"/>
    <s v="Food handling/Foraging"/>
    <s v="NA"/>
    <n v="1"/>
    <n v="0"/>
    <n v="0"/>
    <s v="Insect"/>
    <s v="Insect (Black caterpiller)"/>
    <s v="Ground"/>
    <s v="NA"/>
    <m/>
    <m/>
    <m/>
    <s v="NA"/>
    <s v="NA"/>
    <s v="NA"/>
    <s v="NA"/>
    <s v="NA"/>
    <s v="NA"/>
    <s v="NA"/>
    <m/>
    <n v="0"/>
    <n v="0"/>
    <n v="0"/>
    <n v="0"/>
    <n v="4"/>
    <m/>
    <n v="4"/>
    <m/>
    <m/>
    <m/>
    <m/>
  </r>
  <r>
    <s v="DSCN2814"/>
    <s v="WW0402_2"/>
    <n v="2"/>
    <n v="1"/>
    <s v="WAC West"/>
    <d v="2019-04-02T00:00:00"/>
    <s v="April"/>
    <x v="0"/>
    <d v="1899-12-30T00:39:00"/>
    <m/>
    <x v="0"/>
    <s v="Food handling"/>
    <s v="NA"/>
    <n v="0"/>
    <n v="0"/>
    <n v="0"/>
    <s v="Insect"/>
    <s v="Insect (Black caterpiller)"/>
    <s v="NA"/>
    <s v="NA"/>
    <m/>
    <m/>
    <m/>
    <s v="NA"/>
    <s v="NA"/>
    <s v="NA"/>
    <s v="NA"/>
    <s v="NA"/>
    <s v="NA"/>
    <s v="NA"/>
    <m/>
    <n v="0"/>
    <n v="0"/>
    <n v="0"/>
    <n v="0"/>
    <n v="0"/>
    <m/>
    <n v="0"/>
    <m/>
    <m/>
    <m/>
    <m/>
  </r>
  <r>
    <s v="DSCN2953"/>
    <s v="WW0405_5"/>
    <n v="5"/>
    <n v="1"/>
    <s v="WAC West"/>
    <d v="2019-04-05T00:00:00"/>
    <s v="April"/>
    <x v="0"/>
    <d v="1899-12-30T02:23:00"/>
    <m/>
    <x v="0"/>
    <s v="Foraging"/>
    <s v="Spruce"/>
    <n v="1"/>
    <n v="0"/>
    <n v="0"/>
    <s v="Unknown"/>
    <s v="unknown"/>
    <s v="Exterior bare spruce branch"/>
    <s v="NA"/>
    <m/>
    <m/>
    <m/>
    <s v="NA"/>
    <s v="NA"/>
    <s v="NA"/>
    <s v="NA"/>
    <s v="NA"/>
    <s v="NA"/>
    <s v="NA"/>
    <m/>
    <n v="6"/>
    <n v="0"/>
    <n v="0"/>
    <n v="6"/>
    <n v="0"/>
    <m/>
    <n v="6"/>
    <m/>
    <m/>
    <m/>
    <m/>
  </r>
  <r>
    <s v="DSCN2989"/>
    <s v="WW0405_29"/>
    <n v="29"/>
    <n v="1"/>
    <s v="WAC West"/>
    <d v="2019-04-05T00:00:00"/>
    <s v="April"/>
    <x v="0"/>
    <d v="1899-12-30T00:36:00"/>
    <m/>
    <x v="0"/>
    <s v="Foraging"/>
    <s v="NA"/>
    <n v="1"/>
    <n v="0"/>
    <n v="0"/>
    <s v="Unknown"/>
    <s v="unknown"/>
    <s v="Ground"/>
    <s v="NA"/>
    <m/>
    <m/>
    <m/>
    <s v="NA"/>
    <s v="NA"/>
    <s v="NA"/>
    <s v="NA"/>
    <s v="NA"/>
    <s v="NA"/>
    <s v="NA"/>
    <m/>
    <n v="0"/>
    <n v="0"/>
    <n v="0"/>
    <n v="0"/>
    <n v="36"/>
    <m/>
    <n v="36"/>
    <s v="Searching"/>
    <m/>
    <m/>
    <m/>
  </r>
  <r>
    <s v="DSCN2990"/>
    <s v="WW0405_30"/>
    <n v="30"/>
    <n v="1"/>
    <s v="WAC West"/>
    <d v="2019-04-05T00:00:00"/>
    <s v="April"/>
    <x v="0"/>
    <d v="1899-12-30T00:48:00"/>
    <m/>
    <x v="0"/>
    <s v="Foraging"/>
    <s v="NA"/>
    <n v="1"/>
    <n v="0"/>
    <n v="0"/>
    <s v="Unknown"/>
    <s v="unknown"/>
    <s v="Ground"/>
    <s v="NA"/>
    <m/>
    <m/>
    <m/>
    <s v="NA"/>
    <s v="NA"/>
    <s v="NA"/>
    <s v="NA"/>
    <s v="NA"/>
    <s v="NA"/>
    <s v="NA"/>
    <m/>
    <n v="0"/>
    <n v="0"/>
    <n v="0"/>
    <n v="0"/>
    <n v="48"/>
    <m/>
    <n v="48"/>
    <m/>
    <m/>
    <m/>
    <m/>
  </r>
  <r>
    <s v="DSCN2993"/>
    <s v="WW0405_32"/>
    <n v="32"/>
    <n v="1"/>
    <s v="WAC West"/>
    <d v="2019-04-05T00:00:00"/>
    <s v="April"/>
    <x v="0"/>
    <d v="1899-12-30T01:51:00"/>
    <m/>
    <x v="0"/>
    <s v="Foraging"/>
    <s v="NA"/>
    <n v="1"/>
    <n v="0"/>
    <n v="0"/>
    <s v="Unknown"/>
    <s v="unknown"/>
    <s v="Ground"/>
    <s v="NA"/>
    <m/>
    <m/>
    <m/>
    <s v="NA"/>
    <s v="NA"/>
    <s v="NA"/>
    <s v="NA"/>
    <s v="NA"/>
    <s v="NA"/>
    <s v="NA"/>
    <m/>
    <n v="0"/>
    <n v="0"/>
    <n v="0"/>
    <n v="0"/>
    <n v="111"/>
    <m/>
    <n v="111"/>
    <s v="Searching"/>
    <m/>
    <m/>
    <m/>
  </r>
  <r>
    <s v="DSCN2965"/>
    <s v="WW0405_12"/>
    <n v="12"/>
    <n v="1"/>
    <s v="WAC West"/>
    <d v="2019-04-05T00:00:00"/>
    <s v="April"/>
    <x v="0"/>
    <d v="1899-12-30T01:01:00"/>
    <m/>
    <x v="0"/>
    <s v="Foraging"/>
    <s v="Spruce"/>
    <n v="1"/>
    <n v="1"/>
    <n v="0"/>
    <s v="Unknown"/>
    <s v="unknown"/>
    <s v="Spruce trunk under bark"/>
    <s v="NA"/>
    <m/>
    <m/>
    <m/>
    <s v="NA"/>
    <s v="NA"/>
    <s v="NA"/>
    <s v="NA"/>
    <s v="NA"/>
    <n v="63.738799999999998"/>
    <n v="148.89569"/>
    <m/>
    <n v="0"/>
    <n v="0"/>
    <n v="0"/>
    <n v="0"/>
    <n v="30"/>
    <m/>
    <n v="30"/>
    <s v="Searching"/>
    <s v="Missed the intial tree foraing.  Not sure if she aquired anything on the gorund. "/>
    <m/>
    <m/>
  </r>
  <r>
    <s v="DSCN2987"/>
    <s v="WW0405_27"/>
    <n v="27"/>
    <n v="1"/>
    <s v="WAC West"/>
    <d v="2019-04-05T00:00:00"/>
    <s v="April"/>
    <x v="0"/>
    <d v="1899-12-30T01:38:00"/>
    <m/>
    <x v="0"/>
    <s v="Foraging"/>
    <s v="Spruce"/>
    <n v="1"/>
    <s v="unknown"/>
    <n v="0"/>
    <s v="Unknown"/>
    <s v="unknown"/>
    <s v="Spruce trunk under bark"/>
    <m/>
    <m/>
    <m/>
    <m/>
    <m/>
    <m/>
    <m/>
    <m/>
    <m/>
    <m/>
    <m/>
    <m/>
    <n v="11"/>
    <n v="0"/>
    <n v="11"/>
    <n v="0"/>
    <m/>
    <m/>
    <n v="11"/>
    <m/>
    <m/>
    <m/>
    <m/>
  </r>
  <r>
    <s v="DSCN2953"/>
    <s v="WW0405_5"/>
    <n v="5"/>
    <n v="3"/>
    <s v="WAC West"/>
    <d v="2019-04-05T00:00:00"/>
    <s v="April"/>
    <x v="0"/>
    <d v="1899-12-30T02:23:00"/>
    <m/>
    <x v="0"/>
    <s v="Caching"/>
    <s v="Spruce"/>
    <n v="0"/>
    <n v="0"/>
    <n v="1"/>
    <s v="Insect"/>
    <s v="Insect (Black caterpiller)"/>
    <s v="NA"/>
    <s v="Exterior spruce branch under witch hair"/>
    <s v="Spruce"/>
    <s v="Exterior"/>
    <s v="Under witchhair"/>
    <n v="66"/>
    <s v="NE"/>
    <n v="3"/>
    <n v="63.738750000000003"/>
    <n v="148.89812000000001"/>
    <s v="NA"/>
    <s v="NA"/>
    <m/>
    <n v="0"/>
    <n v="0"/>
    <n v="0"/>
    <n v="0"/>
    <n v="0"/>
    <m/>
    <n v="0"/>
    <m/>
    <m/>
    <m/>
    <m/>
  </r>
  <r>
    <s v="DSCN2951"/>
    <s v="WW0405_4"/>
    <n v="4"/>
    <n v="1"/>
    <s v="WAC West"/>
    <d v="2019-04-05T00:00:00"/>
    <s v="April"/>
    <x v="0"/>
    <d v="1899-12-30T00:33:00"/>
    <m/>
    <x v="0"/>
    <s v="Caching"/>
    <s v="Spruce"/>
    <n v="0"/>
    <n v="0"/>
    <n v="1"/>
    <s v="Insect"/>
    <s v="Insect (Black caterpiller)"/>
    <s v="NA"/>
    <s v="Exterior spruce branch under witch hair"/>
    <s v="Spruce"/>
    <s v="Exterior"/>
    <s v="Under witchhair"/>
    <s v="N"/>
    <n v="340"/>
    <n v="10"/>
    <n v="63.738860000000003"/>
    <n v="148.89845"/>
    <s v="NA"/>
    <s v="NA"/>
    <m/>
    <n v="0"/>
    <n v="0"/>
    <n v="0"/>
    <n v="0"/>
    <n v="0"/>
    <m/>
    <n v="0"/>
    <m/>
    <s v="Caching piller from preivous videos. Depoloyed camera on this tree."/>
    <m/>
    <m/>
  </r>
  <r>
    <s v="DSCN2971"/>
    <s v="WW0405_16"/>
    <n v="16"/>
    <n v="1"/>
    <s v="WAC West"/>
    <d v="2019-04-05T00:00:00"/>
    <s v="April"/>
    <x v="0"/>
    <d v="1899-12-30T02:06:00"/>
    <m/>
    <x v="0"/>
    <s v="Caching"/>
    <s v="Spruce"/>
    <n v="0"/>
    <n v="0"/>
    <n v="1"/>
    <s v="Insect"/>
    <s v="Insect (Black caterpiller)"/>
    <s v="NA"/>
    <s v="Exterior spruce branch under witch hair"/>
    <s v="Spruce"/>
    <s v="Exterior"/>
    <s v="Under witchhair"/>
    <m/>
    <n v="60"/>
    <n v="15"/>
    <n v="63.738950000000003"/>
    <n v="148.89493999999999"/>
    <s v="NA"/>
    <s v="NA"/>
    <m/>
    <n v="0"/>
    <n v="0"/>
    <n v="0"/>
    <n v="0"/>
    <n v="81"/>
    <m/>
    <n v="81"/>
    <s v="Searching"/>
    <m/>
    <m/>
    <m/>
  </r>
  <r>
    <s v="DSCN2976"/>
    <s v="WW0405_21"/>
    <n v="21"/>
    <n v="1"/>
    <s v="WAC West"/>
    <d v="2019-04-05T00:00:00"/>
    <s v="April"/>
    <x v="0"/>
    <d v="1899-12-30T00:07:00"/>
    <m/>
    <x v="0"/>
    <s v="Caching"/>
    <s v="Spruce"/>
    <n v="0"/>
    <n v="0"/>
    <n v="1"/>
    <s v="Insect"/>
    <s v="Insect (Black caterpiller)"/>
    <s v="NA"/>
    <s v="Exterior spruce foliage"/>
    <s v="Spruce"/>
    <s v="Exterior"/>
    <s v="Foliage"/>
    <m/>
    <n v="160"/>
    <m/>
    <n v="63.739040000000003"/>
    <n v="148.89462"/>
    <s v="NA"/>
    <s v="NA"/>
    <m/>
    <n v="0"/>
    <n v="0"/>
    <n v="0"/>
    <n v="0"/>
    <n v="0"/>
    <m/>
    <n v="0"/>
    <m/>
    <m/>
    <m/>
    <m/>
  </r>
  <r>
    <s v="DSCN2968"/>
    <s v="WW0405_13"/>
    <n v="13"/>
    <n v="1"/>
    <s v="WAC West"/>
    <d v="2019-04-05T00:00:00"/>
    <s v="April"/>
    <x v="0"/>
    <d v="1899-12-30T00:11:00"/>
    <m/>
    <x v="0"/>
    <s v="Foraging"/>
    <s v="NA"/>
    <n v="1"/>
    <n v="0"/>
    <n v="0"/>
    <s v="Insect"/>
    <s v="Insect (Black caterpiller)"/>
    <s v="Ground"/>
    <s v="NA"/>
    <m/>
    <m/>
    <m/>
    <s v="NA"/>
    <s v="NA"/>
    <s v="NA"/>
    <s v="NA"/>
    <s v="NA"/>
    <s v="NA"/>
    <s v="NA"/>
    <m/>
    <n v="0"/>
    <n v="0"/>
    <n v="0"/>
    <n v="0"/>
    <n v="5"/>
    <m/>
    <n v="5"/>
    <s v="Searching"/>
    <m/>
    <m/>
    <m/>
  </r>
  <r>
    <s v="DSCN2973"/>
    <s v="WW0405_18"/>
    <n v="18"/>
    <n v="1"/>
    <s v="WAC West"/>
    <d v="2019-04-05T00:00:00"/>
    <s v="April"/>
    <x v="0"/>
    <d v="1899-12-30T00:17:00"/>
    <m/>
    <x v="0"/>
    <s v="Foraging"/>
    <s v="NA"/>
    <n v="1"/>
    <n v="0"/>
    <n v="0"/>
    <s v="Insect"/>
    <s v="Insect (Balck caterpiller)"/>
    <s v="Ground"/>
    <s v="NA"/>
    <m/>
    <m/>
    <m/>
    <s v="NA"/>
    <s v="NA"/>
    <s v="NA"/>
    <s v="NA"/>
    <s v="NA"/>
    <s v="NA"/>
    <s v="NA"/>
    <m/>
    <n v="0"/>
    <n v="0"/>
    <n v="0"/>
    <n v="0"/>
    <n v="17"/>
    <m/>
    <n v="17"/>
    <s v="Searching"/>
    <m/>
    <m/>
    <m/>
  </r>
  <r>
    <s v="DSCN2948"/>
    <s v="WW0405_2"/>
    <n v="2"/>
    <n v="1"/>
    <s v="WAC West"/>
    <d v="2019-04-05T00:00:00"/>
    <s v="April"/>
    <x v="0"/>
    <d v="1899-12-30T00:18:00"/>
    <m/>
    <x v="0"/>
    <s v="Foraging"/>
    <s v="NA"/>
    <n v="1"/>
    <n v="0"/>
    <n v="0"/>
    <s v="Insect"/>
    <s v="Insect (Black caterpiller)"/>
    <s v="Ground"/>
    <s v="NA"/>
    <m/>
    <m/>
    <m/>
    <s v="NA"/>
    <s v="NA"/>
    <s v="NA"/>
    <s v="NA"/>
    <s v="NA"/>
    <s v="NA"/>
    <s v="NA"/>
    <m/>
    <n v="0"/>
    <n v="0"/>
    <n v="0"/>
    <n v="0"/>
    <n v="0"/>
    <m/>
    <n v="0"/>
    <m/>
    <s v="Missed initial acquisition"/>
    <m/>
    <m/>
  </r>
  <r>
    <s v="DSCN2994"/>
    <s v="WW0405_33"/>
    <n v="33"/>
    <n v="1"/>
    <s v="WAC West"/>
    <d v="2019-04-05T00:00:00"/>
    <s v="April"/>
    <x v="0"/>
    <d v="1899-12-30T00:15:00"/>
    <m/>
    <x v="0"/>
    <s v="Foraging"/>
    <s v="NA"/>
    <n v="1"/>
    <n v="0"/>
    <n v="0"/>
    <s v="Insect"/>
    <s v="Insect (Black caterpiller)"/>
    <s v="Ground"/>
    <s v="NA"/>
    <m/>
    <m/>
    <m/>
    <s v="NA"/>
    <s v="NA"/>
    <s v="NA"/>
    <s v="NA"/>
    <s v="NA"/>
    <s v="NA"/>
    <s v="NA"/>
    <m/>
    <n v="0"/>
    <n v="0"/>
    <n v="0"/>
    <n v="0"/>
    <n v="15"/>
    <m/>
    <n v="15"/>
    <s v="Searching"/>
    <m/>
    <m/>
    <m/>
  </r>
  <r>
    <s v="DSCN2953"/>
    <s v="WW0405_5"/>
    <n v="5"/>
    <n v="3"/>
    <s v="WAC West"/>
    <d v="2019-04-05T00:00:00"/>
    <s v="April"/>
    <x v="0"/>
    <d v="1899-12-30T02:23:00"/>
    <m/>
    <x v="0"/>
    <s v="Foraging"/>
    <s v="NA"/>
    <n v="1"/>
    <n v="0"/>
    <n v="0"/>
    <s v="Insect"/>
    <s v="Insect (Black caterpiller)"/>
    <s v="Ground"/>
    <s v="NA"/>
    <m/>
    <m/>
    <m/>
    <s v="NA"/>
    <s v="NA"/>
    <s v="NA"/>
    <s v="NA"/>
    <s v="NA"/>
    <s v="NA"/>
    <s v="NA"/>
    <m/>
    <n v="0"/>
    <n v="0"/>
    <n v="0"/>
    <n v="0"/>
    <n v="6"/>
    <m/>
    <n v="6"/>
    <s v="Searching"/>
    <s v="Missed some of the foraging time for this one"/>
    <m/>
    <m/>
  </r>
  <r>
    <s v="DSCN2953"/>
    <s v="WW0405_5"/>
    <n v="5"/>
    <n v="2"/>
    <s v="WAC West"/>
    <d v="2019-04-05T00:00:00"/>
    <s v="April"/>
    <x v="0"/>
    <d v="1899-12-30T02:23:00"/>
    <m/>
    <x v="0"/>
    <s v="Foraging"/>
    <s v="Spruce"/>
    <n v="1"/>
    <n v="1"/>
    <n v="0"/>
    <s v="Berry"/>
    <s v="Berry"/>
    <s v="Spruce trunk under bark"/>
    <m/>
    <m/>
    <m/>
    <m/>
    <s v="NA"/>
    <s v="NA"/>
    <s v="NA"/>
    <s v="NA"/>
    <s v="NA"/>
    <n v="63.738619999999997"/>
    <n v="148.89836"/>
    <m/>
    <n v="23"/>
    <n v="0"/>
    <n v="23"/>
    <n v="0"/>
    <n v="0"/>
    <m/>
    <n v="23"/>
    <m/>
    <m/>
    <m/>
    <m/>
  </r>
  <r>
    <s v="DSCN2969"/>
    <s v="WW0405_14"/>
    <n v="14"/>
    <n v="1"/>
    <s v="WAC West"/>
    <d v="2019-04-05T00:00:00"/>
    <s v="April"/>
    <x v="0"/>
    <d v="1899-12-30T00:25:00"/>
    <m/>
    <x v="0"/>
    <s v="Food handling"/>
    <s v="NA"/>
    <n v="0"/>
    <n v="0"/>
    <n v="0"/>
    <s v="Insect"/>
    <s v="Insect (Black caterpiller)"/>
    <s v="NA"/>
    <s v="NA"/>
    <m/>
    <m/>
    <m/>
    <s v="NA"/>
    <s v="NA"/>
    <s v="NA"/>
    <s v="NA"/>
    <s v="NA"/>
    <s v="NA"/>
    <s v="NA"/>
    <m/>
    <n v="0"/>
    <n v="0"/>
    <n v="0"/>
    <n v="0"/>
    <n v="0"/>
    <m/>
    <n v="0"/>
    <m/>
    <s v="Pillar from previous video"/>
    <m/>
    <m/>
  </r>
  <r>
    <s v="DSCN2972"/>
    <s v="WW0405_17"/>
    <n v="17"/>
    <n v="1"/>
    <s v="WAC West"/>
    <d v="2019-04-05T00:00:00"/>
    <s v="April"/>
    <x v="0"/>
    <d v="1899-12-30T01:04:00"/>
    <m/>
    <x v="0"/>
    <s v="Foraging"/>
    <s v="NA"/>
    <n v="0"/>
    <n v="0"/>
    <n v="0"/>
    <m/>
    <s v="NA"/>
    <s v="NA"/>
    <s v="NA"/>
    <m/>
    <m/>
    <m/>
    <s v="NA"/>
    <s v="NA"/>
    <s v="NA"/>
    <s v="NA"/>
    <s v="NA"/>
    <s v="NA"/>
    <s v="NA"/>
    <m/>
    <n v="0"/>
    <n v="0"/>
    <n v="0"/>
    <n v="0"/>
    <n v="64"/>
    <m/>
    <n v="64"/>
    <s v="Searching"/>
    <m/>
    <m/>
    <m/>
  </r>
  <r>
    <s v="DSCN2974"/>
    <s v="WW0405_19"/>
    <n v="19"/>
    <n v="1"/>
    <s v="WAC West"/>
    <d v="2019-04-05T00:00:00"/>
    <s v="April"/>
    <x v="0"/>
    <d v="1899-12-30T00:19:00"/>
    <m/>
    <x v="0"/>
    <s v="Food handling"/>
    <s v="NA"/>
    <n v="0"/>
    <n v="0"/>
    <n v="0"/>
    <s v="Insect"/>
    <s v="Insect (Black caterpiller)"/>
    <s v="NA"/>
    <s v="NA"/>
    <m/>
    <m/>
    <m/>
    <s v="NA"/>
    <s v="NA"/>
    <s v="NA"/>
    <s v="NA"/>
    <s v="NA"/>
    <s v="NA"/>
    <s v="NA"/>
    <m/>
    <n v="0"/>
    <n v="0"/>
    <n v="0"/>
    <n v="0"/>
    <n v="19"/>
    <m/>
    <n v="19"/>
    <m/>
    <m/>
    <m/>
    <m/>
  </r>
  <r>
    <s v="DSCN2975"/>
    <s v="WW0405_20"/>
    <n v="20"/>
    <n v="1"/>
    <s v="WAC West"/>
    <d v="2019-04-05T00:00:00"/>
    <s v="April"/>
    <x v="0"/>
    <d v="1899-12-30T00:39:00"/>
    <m/>
    <x v="0"/>
    <s v="Food handling"/>
    <s v="NA"/>
    <n v="0"/>
    <n v="0"/>
    <n v="0"/>
    <s v="Insect"/>
    <s v="Insect (Black caterpiller)"/>
    <s v="NA"/>
    <s v="NA"/>
    <m/>
    <m/>
    <m/>
    <s v="NA"/>
    <s v="NA"/>
    <s v="NA"/>
    <s v="NA"/>
    <s v="NA"/>
    <s v="NA"/>
    <s v="NA"/>
    <m/>
    <n v="0"/>
    <n v="0"/>
    <n v="0"/>
    <n v="0"/>
    <n v="19"/>
    <m/>
    <n v="19"/>
    <m/>
    <m/>
    <m/>
    <m/>
  </r>
  <r>
    <s v="DSCN2978"/>
    <s v="WW0405_22"/>
    <n v="22"/>
    <n v="1"/>
    <s v="WAC West"/>
    <d v="2019-04-05T00:00:00"/>
    <s v="April"/>
    <x v="0"/>
    <d v="1899-12-30T01:01:00"/>
    <m/>
    <x v="0"/>
    <s v="Foraging"/>
    <s v="NA"/>
    <n v="0"/>
    <n v="0"/>
    <n v="0"/>
    <m/>
    <s v="NA"/>
    <s v="NA"/>
    <s v="NA"/>
    <m/>
    <m/>
    <m/>
    <s v="NA"/>
    <s v="NA"/>
    <s v="NA"/>
    <s v="NA"/>
    <s v="NA"/>
    <s v="NA"/>
    <s v="NA"/>
    <m/>
    <n v="0"/>
    <n v="0"/>
    <n v="0"/>
    <n v="0"/>
    <n v="0"/>
    <m/>
    <n v="0"/>
    <s v="Searching"/>
    <m/>
    <m/>
    <m/>
  </r>
  <r>
    <s v="DSCN2981"/>
    <s v="WW0405_24"/>
    <n v="24"/>
    <n v="1"/>
    <s v="WAC West"/>
    <d v="2019-04-05T00:00:00"/>
    <s v="April"/>
    <x v="0"/>
    <d v="1899-12-30T00:34:00"/>
    <m/>
    <x v="0"/>
    <s v="Foraging"/>
    <s v="NA"/>
    <n v="0"/>
    <n v="0"/>
    <n v="0"/>
    <m/>
    <s v="NA"/>
    <s v="NA"/>
    <s v="NA"/>
    <m/>
    <m/>
    <m/>
    <s v="NA"/>
    <s v="NA"/>
    <s v="NA"/>
    <s v="NA"/>
    <s v="NA"/>
    <s v="NA"/>
    <s v="NA"/>
    <m/>
    <n v="0"/>
    <n v="0"/>
    <n v="0"/>
    <n v="0"/>
    <n v="34"/>
    <m/>
    <n v="34"/>
    <s v="Searching"/>
    <m/>
    <m/>
    <m/>
  </r>
  <r>
    <s v="DSCN2982"/>
    <s v="WW0405_25"/>
    <n v="25"/>
    <n v="1"/>
    <s v="WAC West"/>
    <d v="2019-04-05T00:00:00"/>
    <s v="April"/>
    <x v="0"/>
    <d v="1899-12-30T00:41:00"/>
    <m/>
    <x v="0"/>
    <s v="Foraging"/>
    <s v="NA"/>
    <n v="0"/>
    <n v="0"/>
    <n v="0"/>
    <m/>
    <s v="NA"/>
    <s v="NA"/>
    <s v="NA"/>
    <m/>
    <m/>
    <m/>
    <s v="NA"/>
    <s v="NA"/>
    <s v="NA"/>
    <s v="NA"/>
    <s v="NA"/>
    <s v="NA"/>
    <s v="NA"/>
    <m/>
    <n v="0"/>
    <n v="0"/>
    <n v="0"/>
    <n v="0"/>
    <n v="41"/>
    <m/>
    <n v="41"/>
    <s v="Searching"/>
    <m/>
    <m/>
    <m/>
  </r>
  <r>
    <s v="DSCN2986"/>
    <s v="WW0405_26"/>
    <n v="26"/>
    <n v="1"/>
    <s v="WAC West"/>
    <d v="2019-04-05T00:00:00"/>
    <s v="April"/>
    <x v="0"/>
    <d v="1899-12-30T00:41:00"/>
    <m/>
    <x v="0"/>
    <s v="Foraging"/>
    <s v="NA"/>
    <n v="0"/>
    <n v="0"/>
    <n v="0"/>
    <m/>
    <s v="NA"/>
    <s v="NA"/>
    <s v="NA"/>
    <m/>
    <m/>
    <m/>
    <s v="NA"/>
    <s v="NA"/>
    <s v="NA"/>
    <s v="NA"/>
    <s v="NA"/>
    <s v="NA"/>
    <s v="NA"/>
    <m/>
    <n v="0"/>
    <n v="0"/>
    <n v="0"/>
    <n v="0"/>
    <n v="41"/>
    <m/>
    <n v="41"/>
    <s v="Searching"/>
    <m/>
    <m/>
    <m/>
  </r>
  <r>
    <s v="DSCN2988"/>
    <s v="WW0405_28"/>
    <n v="28"/>
    <n v="1"/>
    <s v="WAC West"/>
    <d v="2019-04-05T00:00:00"/>
    <s v="April"/>
    <x v="0"/>
    <d v="1899-12-30T00:57:00"/>
    <m/>
    <x v="0"/>
    <s v="Foraging"/>
    <s v="NA"/>
    <n v="0"/>
    <n v="0"/>
    <n v="0"/>
    <m/>
    <s v="NA"/>
    <s v="NA"/>
    <s v="NA"/>
    <m/>
    <m/>
    <m/>
    <s v="NA"/>
    <s v="NA"/>
    <s v="NA"/>
    <s v="NA"/>
    <s v="NA"/>
    <s v="NA"/>
    <s v="NA"/>
    <m/>
    <n v="0"/>
    <n v="0"/>
    <n v="0"/>
    <n v="0"/>
    <n v="57"/>
    <m/>
    <n v="57"/>
    <m/>
    <m/>
    <m/>
    <m/>
  </r>
  <r>
    <s v="DSCN2950"/>
    <s v="WW0405_3"/>
    <n v="3"/>
    <n v="1"/>
    <s v="WAC West"/>
    <d v="2019-04-05T00:00:00"/>
    <s v="April"/>
    <x v="0"/>
    <d v="1899-12-30T00:32:00"/>
    <m/>
    <x v="0"/>
    <s v="Food handling"/>
    <s v="NA"/>
    <n v="0"/>
    <n v="0"/>
    <n v="0"/>
    <s v="Insect"/>
    <s v="Insect (Black caterpiller)"/>
    <s v="NA"/>
    <s v="NA"/>
    <m/>
    <m/>
    <m/>
    <s v="NA"/>
    <s v="NA"/>
    <s v="NA"/>
    <s v="NA"/>
    <s v="NA"/>
    <s v="NA"/>
    <s v="NA"/>
    <m/>
    <n v="0"/>
    <n v="0"/>
    <n v="0"/>
    <n v="0"/>
    <n v="0"/>
    <m/>
    <n v="0"/>
    <m/>
    <s v="Same piller from previous video"/>
    <m/>
    <m/>
  </r>
  <r>
    <s v="DSCN2992"/>
    <s v="WW0405_31"/>
    <n v="31"/>
    <n v="1"/>
    <s v="WAC West"/>
    <d v="2019-04-05T00:00:00"/>
    <s v="April"/>
    <x v="0"/>
    <d v="1899-12-30T00:47:00"/>
    <m/>
    <x v="0"/>
    <s v="Foraging"/>
    <s v="NA"/>
    <n v="0"/>
    <n v="0"/>
    <n v="0"/>
    <m/>
    <s v="NA"/>
    <s v="NA"/>
    <s v="NA"/>
    <m/>
    <m/>
    <m/>
    <s v="NA"/>
    <s v="NA"/>
    <s v="NA"/>
    <s v="NA"/>
    <s v="NA"/>
    <s v="NA"/>
    <s v="NA"/>
    <m/>
    <n v="0"/>
    <n v="0"/>
    <n v="0"/>
    <n v="0"/>
    <n v="47"/>
    <m/>
    <n v="47"/>
    <m/>
    <m/>
    <m/>
    <m/>
  </r>
  <r>
    <s v="DSCN2995"/>
    <s v="WW0405_34"/>
    <n v="34"/>
    <n v="1"/>
    <s v="WAC West"/>
    <d v="2019-04-05T00:00:00"/>
    <s v="April"/>
    <x v="0"/>
    <d v="1899-12-30T00:17:00"/>
    <m/>
    <x v="0"/>
    <s v="Food handling"/>
    <s v="NA"/>
    <n v="0"/>
    <n v="0"/>
    <n v="0"/>
    <s v="Insect"/>
    <s v="Insect (Black caterpiller)"/>
    <s v="NA"/>
    <s v="NA"/>
    <m/>
    <m/>
    <m/>
    <s v="NA"/>
    <s v="NA"/>
    <s v="NA"/>
    <s v="NA"/>
    <s v="NA"/>
    <s v="NA"/>
    <s v="NA"/>
    <m/>
    <n v="0"/>
    <n v="0"/>
    <n v="0"/>
    <n v="0"/>
    <n v="0"/>
    <m/>
    <n v="0"/>
    <m/>
    <s v="Processing kill"/>
    <m/>
    <m/>
  </r>
  <r>
    <s v="DSCN2960"/>
    <s v="WW0405_7"/>
    <n v="7"/>
    <n v="1"/>
    <s v="WAC West"/>
    <d v="2019-04-05T00:00:00"/>
    <s v="April"/>
    <x v="0"/>
    <d v="1899-12-30T00:40:00"/>
    <m/>
    <x v="0"/>
    <s v="Foraging"/>
    <s v="Spruce"/>
    <n v="0"/>
    <n v="0"/>
    <n v="0"/>
    <m/>
    <s v="NA"/>
    <s v="NA"/>
    <s v="NA"/>
    <m/>
    <m/>
    <m/>
    <s v="NA"/>
    <s v="NA"/>
    <s v="NA"/>
    <s v="NA"/>
    <s v="NA"/>
    <s v="NA"/>
    <s v="NA"/>
    <m/>
    <n v="0"/>
    <n v="0"/>
    <n v="0"/>
    <n v="0"/>
    <n v="40"/>
    <m/>
    <n v="40"/>
    <s v="Searching"/>
    <m/>
    <m/>
    <m/>
  </r>
  <r>
    <s v="DSCN2861"/>
    <s v="WW0405_8"/>
    <n v="8"/>
    <n v="1"/>
    <s v="WAC West"/>
    <d v="2019-04-05T00:00:00"/>
    <s v="April"/>
    <x v="0"/>
    <d v="1899-12-30T01:10:00"/>
    <m/>
    <x v="0"/>
    <s v="Foraging"/>
    <s v="NA"/>
    <n v="0"/>
    <n v="0"/>
    <n v="0"/>
    <m/>
    <s v="NA"/>
    <s v="NA"/>
    <s v="NA"/>
    <m/>
    <m/>
    <m/>
    <s v="NA"/>
    <s v="NA"/>
    <s v="NA"/>
    <s v="NA"/>
    <s v="NA"/>
    <s v="NA"/>
    <s v="NA"/>
    <m/>
    <n v="0"/>
    <n v="0"/>
    <n v="0"/>
    <n v="0"/>
    <n v="70"/>
    <m/>
    <n v="70"/>
    <s v="Searching"/>
    <m/>
    <m/>
    <m/>
  </r>
  <r>
    <s v="DSCN2970"/>
    <s v="WW0405_15"/>
    <n v="15"/>
    <n v="1"/>
    <s v="WAC West"/>
    <d v="2019-04-05T00:00:00"/>
    <s v="April"/>
    <x v="0"/>
    <d v="1899-12-30T00:45:00"/>
    <m/>
    <x v="0"/>
    <s v="Food handling"/>
    <s v="NA"/>
    <n v="0"/>
    <n v="0"/>
    <n v="0"/>
    <s v="Insect"/>
    <s v="Insect (Black caterpiller)"/>
    <m/>
    <s v="NA"/>
    <m/>
    <m/>
    <m/>
    <s v="NA"/>
    <s v="NA"/>
    <s v="NA"/>
    <s v="NA"/>
    <s v="NA"/>
    <s v="NA"/>
    <s v="NA"/>
    <m/>
    <n v="0"/>
    <n v="0"/>
    <n v="0"/>
    <n v="0"/>
    <n v="0"/>
    <m/>
    <n v="0"/>
    <m/>
    <s v="Pillar from previous video"/>
    <m/>
    <m/>
  </r>
  <r>
    <s v="DSCN3043"/>
    <s v="WW0410_1"/>
    <n v="1"/>
    <n v="1"/>
    <s v="WAC West"/>
    <d v="2019-04-10T00:00:00"/>
    <s v="April"/>
    <x v="0"/>
    <d v="1899-12-30T00:11:00"/>
    <m/>
    <x v="0"/>
    <s v="Foraging"/>
    <s v="Spruce"/>
    <n v="1"/>
    <n v="1"/>
    <n v="0"/>
    <s v="Human food"/>
    <s v="Human food (Bread)"/>
    <s v="NA"/>
    <s v="NA"/>
    <m/>
    <m/>
    <m/>
    <s v="NA"/>
    <s v="NA"/>
    <s v="NA"/>
    <s v="NA"/>
    <s v="NA"/>
    <n v="63.739699999999999"/>
    <n v="148.90033"/>
    <m/>
    <n v="0"/>
    <n v="3"/>
    <n v="3"/>
    <n v="0"/>
    <n v="0"/>
    <m/>
    <n v="3"/>
    <m/>
    <s v="Was perched at top of tree and immediately pulled this out."/>
    <m/>
    <m/>
  </r>
  <r>
    <s v="DSCN3170"/>
    <s v="WW0416_4"/>
    <n v="4"/>
    <n v="1"/>
    <s v="WAC West"/>
    <d v="2019-04-16T00:00:00"/>
    <s v="April"/>
    <x v="0"/>
    <d v="1899-12-30T00:07:00"/>
    <s v="Mostly cloudy"/>
    <x v="0"/>
    <s v="Caching"/>
    <s v="Spruce"/>
    <n v="0"/>
    <n v="0"/>
    <n v="1"/>
    <s v="Animal flesh"/>
    <s v="Animal flesh (snowshoe hare)"/>
    <s v="Ground"/>
    <s v="Exterior spruce foliage"/>
    <s v="Spruce"/>
    <s v="Exterior"/>
    <s v="Foliage"/>
    <s v="NE"/>
    <n v="60"/>
    <n v="10"/>
    <n v="63.740470000000002"/>
    <n v="148.90053"/>
    <s v="NA"/>
    <s v="NA"/>
    <m/>
    <n v="0"/>
    <n v="0"/>
    <n v="0"/>
    <n v="0"/>
    <n v="0"/>
    <m/>
    <n v="0"/>
    <m/>
    <s v="Did not capture cache on video"/>
    <m/>
    <m/>
  </r>
  <r>
    <s v="DSCN3175"/>
    <s v="WW0416_9"/>
    <n v="9"/>
    <n v="1"/>
    <s v="WAC West"/>
    <d v="2019-04-16T00:00:00"/>
    <s v="April"/>
    <x v="0"/>
    <d v="1899-12-30T00:42:00"/>
    <s v="Mostly cloudy"/>
    <x v="0"/>
    <s v="Caching"/>
    <s v="Spruce"/>
    <n v="0"/>
    <n v="0"/>
    <n v="1"/>
    <s v="Animal flesh"/>
    <s v="Animal flesh (snowshoe hare)"/>
    <s v="NA"/>
    <s v="Spruce trunk under bark"/>
    <s v="Spruce"/>
    <s v="Trunk"/>
    <s v="Under bark"/>
    <s v="NE"/>
    <n v="30"/>
    <n v="12"/>
    <n v="63.740470000000002"/>
    <n v="148.90082000000001"/>
    <s v="NA"/>
    <s v="NA"/>
    <m/>
    <n v="0"/>
    <n v="0"/>
    <n v="0"/>
    <n v="0"/>
    <n v="0"/>
    <m/>
    <n v="0"/>
    <m/>
    <m/>
    <m/>
    <m/>
  </r>
  <r>
    <s v="DSCN3173"/>
    <s v="WW0416_7"/>
    <n v="7"/>
    <n v="1"/>
    <s v="WAC West"/>
    <d v="2019-04-16T00:00:00"/>
    <s v="April"/>
    <x v="0"/>
    <d v="1899-12-30T01:22:00"/>
    <s v="Mostly cloudy"/>
    <x v="0"/>
    <s v="Food handling/caching"/>
    <s v="Spruce"/>
    <n v="0"/>
    <n v="0"/>
    <n v="1"/>
    <s v="Animal flesh"/>
    <s v="Animal flesh (snowshoe hare)"/>
    <s v="NA"/>
    <s v="Interior spruce foliage"/>
    <s v="Spruce"/>
    <s v="Interior"/>
    <s v="Foliage"/>
    <s v="SE"/>
    <n v="157"/>
    <n v="26"/>
    <n v="63.740699999999997"/>
    <n v="148.90117000000001"/>
    <s v="NA"/>
    <s v="NA"/>
    <m/>
    <n v="0"/>
    <n v="0"/>
    <n v="0"/>
    <n v="0"/>
    <n v="0"/>
    <m/>
    <n v="0"/>
    <m/>
    <s v="Cached hare from previous 2 videos."/>
    <m/>
    <m/>
  </r>
  <r>
    <s v="DSCN3165"/>
    <s v="WW0416_1"/>
    <n v="1"/>
    <n v="1"/>
    <s v="WAC West"/>
    <d v="2019-04-16T00:00:00"/>
    <s v="April"/>
    <x v="0"/>
    <d v="1899-12-30T00:47:00"/>
    <s v="Mostly cloudy"/>
    <x v="0"/>
    <s v="Foraging"/>
    <s v="NA"/>
    <n v="1"/>
    <n v="0"/>
    <n v="0"/>
    <s v="Animal flesh"/>
    <s v="Animal flesh (snowshoe hare)"/>
    <s v="Ground"/>
    <s v="NA"/>
    <m/>
    <m/>
    <m/>
    <s v="NA"/>
    <s v="NA"/>
    <s v="NA"/>
    <s v="NA"/>
    <s v="NA"/>
    <s v="NA"/>
    <s v="NA"/>
    <m/>
    <n v="0"/>
    <n v="0"/>
    <n v="0"/>
    <n v="0"/>
    <n v="5"/>
    <m/>
    <n v="5"/>
    <s v="Searching"/>
    <m/>
    <m/>
    <m/>
  </r>
  <r>
    <s v="DSCN3171"/>
    <s v="WW0416_5"/>
    <n v="5"/>
    <n v="1"/>
    <s v="WAC West"/>
    <d v="2019-04-16T00:00:00"/>
    <s v="April"/>
    <x v="0"/>
    <d v="1899-12-30T00:32:00"/>
    <s v="Mostly cloudy"/>
    <x v="0"/>
    <s v="Foraging"/>
    <s v="NA"/>
    <n v="1"/>
    <n v="0"/>
    <n v="0"/>
    <s v="Animal flesh"/>
    <s v="Animal flesh (snowshoe hare)"/>
    <s v="Ground"/>
    <s v="NA"/>
    <m/>
    <m/>
    <m/>
    <s v="NA"/>
    <s v="NA"/>
    <s v="NA"/>
    <s v="NA"/>
    <s v="NA"/>
    <s v="NA"/>
    <s v="NA"/>
    <m/>
    <n v="0"/>
    <n v="0"/>
    <n v="0"/>
    <n v="0"/>
    <n v="0"/>
    <m/>
    <n v="0"/>
    <m/>
    <s v="Returned to hare carcass. "/>
    <m/>
    <m/>
  </r>
  <r>
    <s v="DSCN3174"/>
    <s v="WW0416_8"/>
    <n v="8"/>
    <n v="1"/>
    <s v="WAC West"/>
    <d v="2019-04-16T00:00:00"/>
    <s v="April"/>
    <x v="0"/>
    <d v="1899-12-30T00:40:00"/>
    <s v="Mostly cloudy"/>
    <x v="0"/>
    <s v="Foraging"/>
    <s v="NA"/>
    <n v="1"/>
    <n v="0"/>
    <n v="0"/>
    <s v="Animal flesh"/>
    <s v="Animal flesh (snowshoe hare)"/>
    <s v="Ground"/>
    <s v="NA"/>
    <m/>
    <m/>
    <m/>
    <s v="NA"/>
    <s v="NA"/>
    <s v="NA"/>
    <s v="NA"/>
    <s v="NA"/>
    <s v="NA"/>
    <s v="NA"/>
    <m/>
    <n v="0"/>
    <n v="0"/>
    <n v="0"/>
    <n v="0"/>
    <n v="0"/>
    <m/>
    <n v="0"/>
    <m/>
    <m/>
    <m/>
    <m/>
  </r>
  <r>
    <s v="DSCN3166"/>
    <s v="WW0416_2"/>
    <n v="2"/>
    <n v="1"/>
    <s v="WAC West"/>
    <d v="2019-04-16T00:00:00"/>
    <s v="April"/>
    <x v="0"/>
    <d v="1899-12-30T00:34:00"/>
    <s v="Mostly cloudy"/>
    <x v="0"/>
    <s v="Food handling"/>
    <s v="NA"/>
    <n v="0"/>
    <n v="0"/>
    <n v="0"/>
    <s v="Animal flesh"/>
    <s v="Animal flesh (snowshoe hare)"/>
    <s v="NA"/>
    <s v="NA"/>
    <m/>
    <m/>
    <m/>
    <s v="NA"/>
    <s v="NA"/>
    <s v="NA"/>
    <s v="NA"/>
    <s v="NA"/>
    <s v="NA"/>
    <s v="NA"/>
    <m/>
    <n v="0"/>
    <n v="0"/>
    <n v="0"/>
    <n v="0"/>
    <n v="0"/>
    <m/>
    <n v="0"/>
    <m/>
    <s v="Still working on trip to hare from previous video. "/>
    <m/>
    <m/>
  </r>
  <r>
    <s v="DSCN3169"/>
    <s v="WW0416_3"/>
    <n v="3"/>
    <n v="1"/>
    <s v="WAC West"/>
    <d v="2019-04-16T00:00:00"/>
    <s v="April"/>
    <x v="0"/>
    <d v="1899-12-30T00:17:00"/>
    <s v="Mostly cloudy"/>
    <x v="0"/>
    <s v="Food handling"/>
    <s v="NA"/>
    <n v="0"/>
    <n v="0"/>
    <n v="0"/>
    <s v="Animal flesh"/>
    <s v="Animal flesh (snowshoe hare)"/>
    <s v="NA"/>
    <s v="NA"/>
    <m/>
    <m/>
    <m/>
    <s v="NA"/>
    <s v="NA"/>
    <s v="NA"/>
    <s v="NA"/>
    <s v="NA"/>
    <s v="NA"/>
    <s v="NA"/>
    <m/>
    <n v="0"/>
    <n v="0"/>
    <n v="0"/>
    <n v="0"/>
    <n v="0"/>
    <m/>
    <n v="0"/>
    <m/>
    <s v="Still working on trip to hare from previous video. "/>
    <m/>
    <m/>
  </r>
  <r>
    <s v="DSCN3172"/>
    <s v="WW0416_6"/>
    <n v="6"/>
    <n v="1"/>
    <s v="WAC West"/>
    <d v="2019-04-16T00:00:00"/>
    <s v="April"/>
    <x v="0"/>
    <d v="1899-12-30T00:52:00"/>
    <s v="Mostly cloudy"/>
    <x v="0"/>
    <s v="Food handling"/>
    <s v="NA"/>
    <n v="0"/>
    <n v="0"/>
    <n v="0"/>
    <s v="Animal flesh"/>
    <s v="Animal flesh (snowshoe hare)"/>
    <s v="NA"/>
    <s v="NA"/>
    <m/>
    <m/>
    <m/>
    <s v="NA"/>
    <s v="NA"/>
    <s v="NA"/>
    <s v="NA"/>
    <s v="NA"/>
    <s v="NA"/>
    <s v="NA"/>
    <m/>
    <n v="0"/>
    <n v="0"/>
    <n v="0"/>
    <n v="0"/>
    <n v="0"/>
    <m/>
    <n v="0"/>
    <m/>
    <s v="Still working on trip to hare from previous video. "/>
    <m/>
    <m/>
  </r>
  <r>
    <s v="DSCN3369"/>
    <s v="WW0422_12"/>
    <n v="12"/>
    <n v="1"/>
    <s v="WAC West"/>
    <d v="2019-04-22T00:00:00"/>
    <s v="April"/>
    <x v="0"/>
    <d v="1899-12-30T00:51:00"/>
    <s v="Partly cloudy"/>
    <x v="0"/>
    <s v="Foraging"/>
    <s v="NA"/>
    <n v="1"/>
    <n v="0"/>
    <n v="0"/>
    <s v="Unknown"/>
    <s v="unknown"/>
    <s v="Ground"/>
    <s v="NA"/>
    <m/>
    <m/>
    <m/>
    <s v="NA"/>
    <s v="NA"/>
    <s v="NA"/>
    <s v="NA"/>
    <s v="NA"/>
    <s v="NA"/>
    <s v="NA"/>
    <s v="NA"/>
    <n v="0"/>
    <n v="0"/>
    <n v="0"/>
    <n v="0"/>
    <n v="51"/>
    <m/>
    <n v="51"/>
    <s v="Searching"/>
    <m/>
    <m/>
    <m/>
  </r>
  <r>
    <s v="DSCN3374"/>
    <s v="WW0422_17"/>
    <n v="17"/>
    <n v="1"/>
    <s v="WAC West"/>
    <d v="2019-04-22T00:00:00"/>
    <s v="April"/>
    <x v="0"/>
    <d v="1899-12-30T00:36:00"/>
    <s v="Partly cloudy"/>
    <x v="0"/>
    <s v="Foraging"/>
    <s v="NA"/>
    <n v="1"/>
    <n v="0"/>
    <n v="0"/>
    <s v="Unknown"/>
    <s v="unknown"/>
    <s v="Ground"/>
    <s v="NA"/>
    <m/>
    <m/>
    <m/>
    <s v="NA"/>
    <s v="NA"/>
    <s v="NA"/>
    <s v="NA"/>
    <s v="NA"/>
    <s v="NA"/>
    <s v="NA"/>
    <s v="NA"/>
    <n v="0"/>
    <n v="0"/>
    <n v="0"/>
    <n v="0"/>
    <n v="27"/>
    <m/>
    <n v="27"/>
    <s v="Searching"/>
    <m/>
    <m/>
    <m/>
  </r>
  <r>
    <s v="DSCN3375"/>
    <s v="WW0422_18"/>
    <n v="18"/>
    <n v="2"/>
    <s v="WAC West"/>
    <d v="2019-04-22T00:00:00"/>
    <s v="April"/>
    <x v="0"/>
    <d v="1899-12-30T02:05:00"/>
    <s v="Partly cloudy"/>
    <x v="0"/>
    <s v="Foraging"/>
    <s v="NA"/>
    <n v="1"/>
    <n v="0"/>
    <n v="0"/>
    <s v="Unknown"/>
    <s v="unknown"/>
    <s v="Ground"/>
    <s v="NA"/>
    <m/>
    <m/>
    <m/>
    <s v="NA"/>
    <s v="NA"/>
    <s v="NA"/>
    <s v="NA"/>
    <s v="NA"/>
    <s v="NA"/>
    <s v="NA"/>
    <s v="NA"/>
    <n v="0"/>
    <n v="0"/>
    <n v="0"/>
    <n v="0"/>
    <n v="125"/>
    <m/>
    <n v="125"/>
    <s v="Searching"/>
    <m/>
    <m/>
    <m/>
  </r>
  <r>
    <s v="DSCN3376"/>
    <s v="WW0422_19"/>
    <n v="19"/>
    <n v="1"/>
    <s v="WAC West"/>
    <d v="2019-04-22T00:00:00"/>
    <s v="April"/>
    <x v="0"/>
    <d v="1899-12-30T01:27:00"/>
    <s v="Partly cloudy"/>
    <x v="0"/>
    <s v="Foraging"/>
    <s v="NA"/>
    <n v="1"/>
    <n v="0"/>
    <n v="0"/>
    <s v="Unknown"/>
    <s v="unknown"/>
    <s v="Ground"/>
    <s v="NA"/>
    <m/>
    <m/>
    <m/>
    <s v="NA"/>
    <s v="NA"/>
    <s v="NA"/>
    <s v="NA"/>
    <s v="NA"/>
    <s v="NA"/>
    <s v="NA"/>
    <s v="NA"/>
    <n v="0"/>
    <n v="0"/>
    <n v="0"/>
    <n v="0"/>
    <n v="87"/>
    <m/>
    <n v="87"/>
    <s v="Searching"/>
    <m/>
    <m/>
    <m/>
  </r>
  <r>
    <s v="DSCN3381"/>
    <s v="WW0422_23"/>
    <n v="23"/>
    <n v="1"/>
    <s v="WAC West"/>
    <d v="2019-04-22T00:00:00"/>
    <s v="April"/>
    <x v="0"/>
    <d v="1899-12-30T01:13:00"/>
    <s v="Partly cloudy"/>
    <x v="0"/>
    <s v="Foraging"/>
    <s v="NA"/>
    <n v="1"/>
    <n v="0"/>
    <n v="0"/>
    <s v="Unknown"/>
    <s v="unknown"/>
    <s v="Ground"/>
    <s v="NA"/>
    <m/>
    <m/>
    <m/>
    <s v="NA"/>
    <s v="NA"/>
    <s v="NA"/>
    <s v="NA"/>
    <s v="NA"/>
    <s v="NA"/>
    <s v="NA"/>
    <s v="NA"/>
    <n v="0"/>
    <n v="0"/>
    <n v="0"/>
    <n v="0"/>
    <n v="73"/>
    <m/>
    <n v="73"/>
    <s v="Searching"/>
    <s v="Missed acquisition"/>
    <m/>
    <m/>
  </r>
  <r>
    <s v="DSCN3385"/>
    <s v="WW0422_27"/>
    <n v="27"/>
    <n v="1"/>
    <s v="WAC West"/>
    <d v="2019-04-22T00:00:00"/>
    <s v="April"/>
    <x v="0"/>
    <d v="1899-12-30T01:07:00"/>
    <s v="Partly cloudy"/>
    <x v="0"/>
    <s v="Foraging"/>
    <s v="NA"/>
    <n v="1"/>
    <n v="0"/>
    <n v="0"/>
    <s v="Unknown"/>
    <s v="unknown"/>
    <s v="Ground"/>
    <s v="NA"/>
    <m/>
    <m/>
    <m/>
    <s v="NA"/>
    <s v="NA"/>
    <s v="NA"/>
    <s v="NA"/>
    <s v="NA"/>
    <s v="NA"/>
    <s v="NA"/>
    <s v="NA"/>
    <n v="0"/>
    <n v="0"/>
    <n v="0"/>
    <n v="0"/>
    <n v="21"/>
    <m/>
    <n v="21"/>
    <s v="Searching"/>
    <m/>
    <m/>
    <m/>
  </r>
  <r>
    <s v="DSCN3358"/>
    <s v="WW0422_5"/>
    <n v="5"/>
    <n v="1"/>
    <s v="WAC West"/>
    <d v="2019-04-22T00:00:00"/>
    <s v="April"/>
    <x v="0"/>
    <d v="1899-12-30T00:37:00"/>
    <s v="Partly cloudy"/>
    <x v="0"/>
    <s v="Foraging"/>
    <s v="NA"/>
    <n v="1"/>
    <n v="0"/>
    <n v="0"/>
    <s v="Unknown"/>
    <s v="unknown"/>
    <s v="Ground"/>
    <s v="NA"/>
    <m/>
    <m/>
    <m/>
    <s v="NA"/>
    <s v="NA"/>
    <s v="NA"/>
    <s v="NA"/>
    <s v="NA"/>
    <s v="NA"/>
    <s v="NA"/>
    <s v="NA"/>
    <n v="0"/>
    <n v="0"/>
    <n v="0"/>
    <n v="0"/>
    <n v="37"/>
    <m/>
    <n v="37"/>
    <s v="Searching"/>
    <s v="Missed acquisition"/>
    <m/>
    <m/>
  </r>
  <r>
    <s v="DSCN3359"/>
    <s v="WW0422_6"/>
    <n v="6"/>
    <n v="1"/>
    <s v="WAC West"/>
    <d v="2019-04-22T00:00:00"/>
    <s v="April"/>
    <x v="0"/>
    <d v="1899-12-30T01:14:00"/>
    <s v="Partly cloudy"/>
    <x v="0"/>
    <s v="Foraging"/>
    <s v="NA"/>
    <n v="1"/>
    <n v="0"/>
    <n v="0"/>
    <s v="Unknown"/>
    <s v="unknown"/>
    <s v="Ground"/>
    <s v="NA"/>
    <m/>
    <m/>
    <m/>
    <s v="NA"/>
    <s v="NA"/>
    <s v="NA"/>
    <s v="NA"/>
    <s v="NA"/>
    <s v="NA"/>
    <s v="NA"/>
    <s v="NA"/>
    <n v="0"/>
    <n v="0"/>
    <n v="0"/>
    <n v="0"/>
    <n v="74"/>
    <m/>
    <n v="74"/>
    <s v="Searching"/>
    <m/>
    <m/>
    <m/>
  </r>
  <r>
    <s v="DSCN3363"/>
    <s v="WW0422_8"/>
    <n v="8"/>
    <n v="1"/>
    <s v="WAC West"/>
    <d v="2019-04-22T00:00:00"/>
    <s v="April"/>
    <x v="0"/>
    <d v="1899-12-30T01:39:00"/>
    <s v="Partly cloudy"/>
    <x v="0"/>
    <s v="Foraging"/>
    <s v="NA"/>
    <n v="1"/>
    <n v="0"/>
    <n v="0"/>
    <s v="Unknown"/>
    <s v="unknown"/>
    <s v="Ground"/>
    <s v="NA"/>
    <m/>
    <m/>
    <m/>
    <s v="NA"/>
    <s v="NA"/>
    <s v="NA"/>
    <s v="NA"/>
    <s v="NA"/>
    <s v="NA"/>
    <s v="NA"/>
    <s v="NA"/>
    <n v="0"/>
    <n v="0"/>
    <n v="0"/>
    <n v="0"/>
    <n v="99"/>
    <m/>
    <n v="99"/>
    <s v="Searching"/>
    <m/>
    <m/>
    <m/>
  </r>
  <r>
    <s v="DSCN3364"/>
    <s v="WW0422_9"/>
    <n v="9"/>
    <n v="1"/>
    <s v="WAC West"/>
    <d v="2019-04-22T00:00:00"/>
    <s v="April"/>
    <x v="0"/>
    <d v="1899-12-30T00:44:00"/>
    <s v="Partly cloudy"/>
    <x v="0"/>
    <s v="Foraging"/>
    <s v="NA"/>
    <n v="1"/>
    <n v="0"/>
    <n v="0"/>
    <s v="Unknown"/>
    <s v="unknown"/>
    <s v="Ground"/>
    <s v="NA"/>
    <m/>
    <m/>
    <m/>
    <s v="NA"/>
    <s v="NA"/>
    <s v="NA"/>
    <s v="NA"/>
    <s v="NA"/>
    <s v="NA"/>
    <s v="NA"/>
    <s v="NA"/>
    <n v="0"/>
    <n v="0"/>
    <n v="0"/>
    <n v="0"/>
    <n v="41"/>
    <m/>
    <n v="41"/>
    <s v="Searching"/>
    <s v="Missed acquisition"/>
    <m/>
    <m/>
  </r>
  <r>
    <s v="DSCN3370"/>
    <s v="WW0422_13"/>
    <n v="13"/>
    <n v="1"/>
    <s v="WAC West"/>
    <d v="2019-04-22T00:00:00"/>
    <s v="April"/>
    <x v="0"/>
    <d v="1899-12-30T00:20:00"/>
    <s v="Partly cloudy"/>
    <x v="0"/>
    <s v="Foraging"/>
    <s v="Stick"/>
    <n v="1"/>
    <n v="1"/>
    <n v="0"/>
    <s v="Unknown"/>
    <s v="unknown"/>
    <s v="Under bark of dead stick"/>
    <s v="NA"/>
    <m/>
    <m/>
    <m/>
    <s v="NA"/>
    <s v="NA"/>
    <s v="BA"/>
    <s v="NA"/>
    <s v="NA"/>
    <n v="63.74042"/>
    <n v="148.89865"/>
    <s v="NA"/>
    <n v="6"/>
    <n v="0"/>
    <n v="0"/>
    <n v="6"/>
    <n v="0"/>
    <m/>
    <n v="6"/>
    <s v="Searching/probing"/>
    <m/>
    <n v="2"/>
    <n v="0"/>
  </r>
  <r>
    <s v="DSCN3379"/>
    <s v="WW0422_21"/>
    <n v="21"/>
    <n v="1"/>
    <s v="WAC West"/>
    <d v="2019-04-22T00:00:00"/>
    <s v="April"/>
    <x v="0"/>
    <d v="1899-12-30T01:09:00"/>
    <s v="Partly cloudy"/>
    <x v="0"/>
    <s v="Foraging"/>
    <s v="NA"/>
    <n v="2"/>
    <n v="0"/>
    <n v="0"/>
    <s v="Unknown"/>
    <s v="unknown"/>
    <s v="Ground"/>
    <s v="NA"/>
    <m/>
    <m/>
    <m/>
    <s v="NA"/>
    <s v="NA"/>
    <s v="NA"/>
    <s v="NA"/>
    <s v="NA"/>
    <s v="NA"/>
    <s v="NA"/>
    <s v="NA"/>
    <n v="0"/>
    <n v="0"/>
    <n v="0"/>
    <n v="0"/>
    <n v="69"/>
    <m/>
    <n v="69"/>
    <s v="Searching"/>
    <s v="Missed first food acquisition. "/>
    <m/>
    <m/>
  </r>
  <r>
    <s v="DSCN3384"/>
    <s v="WW0422_26"/>
    <n v="26"/>
    <n v="1"/>
    <s v="WAC West"/>
    <d v="2019-04-22T00:00:00"/>
    <s v="April"/>
    <x v="0"/>
    <d v="1899-12-30T01:12:00"/>
    <s v="Partly cloudy"/>
    <x v="0"/>
    <s v="Foraging"/>
    <s v="NA"/>
    <n v="2"/>
    <n v="0"/>
    <n v="0"/>
    <s v="Unknown"/>
    <s v="unknown"/>
    <s v="Ground"/>
    <s v="NA"/>
    <m/>
    <m/>
    <m/>
    <s v="NA"/>
    <s v="NA"/>
    <s v="NA"/>
    <s v="NA"/>
    <s v="NA"/>
    <s v="NA"/>
    <s v="NA"/>
    <s v="NA"/>
    <n v="0"/>
    <n v="0"/>
    <n v="0"/>
    <n v="0"/>
    <n v="68"/>
    <m/>
    <n v="68"/>
    <s v="Searching"/>
    <m/>
    <m/>
    <m/>
  </r>
  <r>
    <s v="DSCN3373"/>
    <s v="WW0422_16"/>
    <n v="16"/>
    <n v="1"/>
    <s v="WAC West"/>
    <d v="2019-04-22T00:00:00"/>
    <s v="April"/>
    <x v="0"/>
    <d v="1899-12-30T00:51:00"/>
    <s v="Partly cloudy"/>
    <x v="0"/>
    <s v="Foraging"/>
    <s v="NA"/>
    <n v="2"/>
    <n v="0"/>
    <n v="0"/>
    <s v="Unknown"/>
    <s v="unknown"/>
    <s v="NA"/>
    <s v="NA"/>
    <m/>
    <m/>
    <m/>
    <s v="NA"/>
    <s v="NA"/>
    <s v="NA"/>
    <s v="NA"/>
    <s v="NA"/>
    <s v="NA"/>
    <s v="NA"/>
    <s v="NA"/>
    <n v="0"/>
    <n v="0"/>
    <n v="0"/>
    <n v="0"/>
    <n v="51"/>
    <m/>
    <n v="51"/>
    <s v="Searching"/>
    <m/>
    <m/>
    <m/>
  </r>
  <r>
    <s v="DSCN3383"/>
    <s v="WW0422_25"/>
    <n v="25"/>
    <n v="1"/>
    <s v="WAC West"/>
    <d v="2019-04-22T00:00:00"/>
    <s v="April"/>
    <x v="0"/>
    <d v="1899-12-30T02:34:00"/>
    <s v="Partly cloudy"/>
    <x v="0"/>
    <s v="Foraging"/>
    <s v="NA"/>
    <n v="3"/>
    <n v="0"/>
    <n v="0"/>
    <s v="Unknown"/>
    <s v="unknown"/>
    <s v="Ground"/>
    <s v="NA"/>
    <m/>
    <m/>
    <m/>
    <s v="NA"/>
    <s v="NA"/>
    <s v="NA"/>
    <s v="NA"/>
    <s v="NA"/>
    <s v="NA"/>
    <s v="NA"/>
    <s v="NA"/>
    <n v="0"/>
    <n v="0"/>
    <n v="0"/>
    <n v="0"/>
    <n v="154"/>
    <m/>
    <n v="154"/>
    <s v="Searching"/>
    <m/>
    <m/>
    <m/>
  </r>
  <r>
    <s v="DSCN3368"/>
    <s v="WW0422_11"/>
    <n v="11"/>
    <n v="1"/>
    <s v="WAC West"/>
    <d v="2019-04-22T00:00:00"/>
    <s v="April"/>
    <x v="0"/>
    <d v="1899-12-30T02:19:00"/>
    <s v="Partly cloudy"/>
    <x v="0"/>
    <s v="Foraging"/>
    <s v="NA"/>
    <n v="4"/>
    <n v="0"/>
    <n v="0"/>
    <s v="Unknown"/>
    <s v="unknown"/>
    <s v="Ground"/>
    <s v="NA"/>
    <m/>
    <m/>
    <m/>
    <s v="NA"/>
    <s v="NA"/>
    <s v="NA"/>
    <s v="NA"/>
    <s v="NA"/>
    <s v="NA"/>
    <s v="NA"/>
    <s v="NA"/>
    <n v="0"/>
    <n v="0"/>
    <n v="0"/>
    <n v="0"/>
    <n v="111"/>
    <m/>
    <n v="111"/>
    <s v="Searching"/>
    <m/>
    <m/>
    <m/>
  </r>
  <r>
    <s v="DSCN3375"/>
    <s v="WW0422_18"/>
    <n v="18"/>
    <n v="1"/>
    <s v="WAC West"/>
    <d v="2019-04-22T00:00:00"/>
    <s v="April"/>
    <x v="0"/>
    <d v="1899-12-30T02:05:00"/>
    <s v="Partly cloudy"/>
    <x v="0"/>
    <s v="Foraging"/>
    <s v="NA"/>
    <n v="1"/>
    <n v="0"/>
    <n v="0"/>
    <s v="Insect"/>
    <s v="Insect (caterpiller)"/>
    <s v="Exterior aspen branch"/>
    <s v="NA"/>
    <m/>
    <m/>
    <m/>
    <s v="NA"/>
    <s v="NA"/>
    <s v="NA"/>
    <s v="NA"/>
    <s v="NA"/>
    <s v="NA"/>
    <s v="NA"/>
    <s v="NA"/>
    <n v="0"/>
    <n v="0"/>
    <n v="0"/>
    <n v="0"/>
    <n v="25"/>
    <m/>
    <n v="25"/>
    <s v="Searching"/>
    <m/>
    <m/>
    <m/>
  </r>
  <r>
    <s v="DSCN3368"/>
    <s v="WW0422_11"/>
    <n v="11"/>
    <n v="2"/>
    <s v="WAC West"/>
    <d v="2019-04-22T00:00:00"/>
    <s v="April"/>
    <x v="0"/>
    <d v="1899-12-30T02:19:00"/>
    <s v="Partly cloudy"/>
    <x v="0"/>
    <s v="Foraging"/>
    <s v="NA"/>
    <n v="1"/>
    <n v="0"/>
    <n v="0"/>
    <s v="Insect"/>
    <s v="Insect"/>
    <s v="Ground"/>
    <s v="NA"/>
    <m/>
    <m/>
    <m/>
    <s v="NA"/>
    <s v="NA"/>
    <s v="NA"/>
    <s v="NA"/>
    <s v="NA"/>
    <s v="NA"/>
    <s v="NA"/>
    <s v="NA"/>
    <n v="0"/>
    <n v="0"/>
    <n v="0"/>
    <n v="0"/>
    <n v="28"/>
    <m/>
    <n v="28"/>
    <s v="Searching"/>
    <s v="Insect evident in slowed video.  Can see legs/antenna "/>
    <m/>
    <m/>
  </r>
  <r>
    <s v="DSCN3370"/>
    <s v="WW0422_13"/>
    <n v="13"/>
    <n v="2"/>
    <s v="WAC West"/>
    <d v="2019-04-22T00:00:00"/>
    <s v="April"/>
    <x v="0"/>
    <d v="1899-12-30T00:20:00"/>
    <s v="Partly cloudy"/>
    <x v="0"/>
    <s v="Foraging"/>
    <s v="NA"/>
    <n v="1"/>
    <n v="0"/>
    <n v="0"/>
    <s v="Insect"/>
    <s v="Insect (caterpiller)"/>
    <s v="Ground"/>
    <s v="NA"/>
    <m/>
    <m/>
    <m/>
    <s v="NA"/>
    <s v="NA"/>
    <s v="NA"/>
    <s v="NA"/>
    <s v="NA"/>
    <s v="NA"/>
    <s v="NA"/>
    <s v="NA"/>
    <n v="0"/>
    <n v="0"/>
    <n v="0"/>
    <n v="0"/>
    <n v="14"/>
    <m/>
    <n v="14"/>
    <s v="Searching"/>
    <m/>
    <m/>
    <m/>
  </r>
  <r>
    <s v="DSCN3362"/>
    <s v="WW0422_7"/>
    <n v="7"/>
    <n v="1"/>
    <s v="WAC West"/>
    <d v="2019-04-22T00:00:00"/>
    <s v="April"/>
    <x v="0"/>
    <d v="1899-12-30T00:26:00"/>
    <s v="Partly cloudy"/>
    <x v="0"/>
    <s v="Foraging"/>
    <s v="NA"/>
    <n v="1"/>
    <n v="0"/>
    <n v="0"/>
    <s v="Insect"/>
    <s v="Insect (caterpiller)"/>
    <s v="Ground"/>
    <s v="NA"/>
    <m/>
    <m/>
    <m/>
    <s v="NA"/>
    <s v="NA"/>
    <s v="NA"/>
    <s v="NA"/>
    <s v="NA"/>
    <s v="NA"/>
    <s v="NA"/>
    <s v="NA"/>
    <n v="0"/>
    <n v="0"/>
    <n v="0"/>
    <n v="0"/>
    <n v="26"/>
    <m/>
    <n v="26"/>
    <s v="Searching"/>
    <m/>
    <m/>
    <m/>
  </r>
  <r>
    <s v="DSCN3351"/>
    <s v="WW0422_1"/>
    <n v="1"/>
    <n v="1"/>
    <s v="WAC West"/>
    <d v="2019-04-22T00:00:00"/>
    <s v="April"/>
    <x v="0"/>
    <d v="1899-12-30T00:31:00"/>
    <s v="Partly cloudy"/>
    <x v="0"/>
    <s v="Foraging"/>
    <s v="NA"/>
    <n v="0"/>
    <n v="0"/>
    <n v="0"/>
    <m/>
    <s v="NA"/>
    <s v="NA"/>
    <s v="NA"/>
    <m/>
    <m/>
    <m/>
    <s v="NA"/>
    <s v="NA"/>
    <s v="NA"/>
    <s v="NA"/>
    <s v="NA"/>
    <s v="NA"/>
    <s v="NA"/>
    <s v="NA"/>
    <n v="0"/>
    <n v="0"/>
    <n v="0"/>
    <n v="0"/>
    <n v="0"/>
    <m/>
    <n v="0"/>
    <s v="Searching"/>
    <m/>
    <m/>
    <m/>
  </r>
  <r>
    <s v="DSCN3365"/>
    <s v="WW0422_10"/>
    <n v="10"/>
    <n v="1"/>
    <s v="WAC West"/>
    <d v="2019-04-22T00:00:00"/>
    <s v="April"/>
    <x v="0"/>
    <d v="1899-12-30T00:56:00"/>
    <s v="Partly cloudy"/>
    <x v="0"/>
    <s v="Foraging"/>
    <s v="NA"/>
    <n v="0"/>
    <n v="0"/>
    <n v="0"/>
    <m/>
    <s v="NA"/>
    <s v="NA"/>
    <s v="NA"/>
    <m/>
    <m/>
    <m/>
    <s v="NA"/>
    <s v="NA"/>
    <s v="NA"/>
    <s v="NA"/>
    <s v="NA"/>
    <s v="NA"/>
    <s v="NA"/>
    <s v="NA"/>
    <n v="0"/>
    <n v="0"/>
    <n v="0"/>
    <n v="0"/>
    <n v="53"/>
    <m/>
    <n v="53"/>
    <s v="Searching"/>
    <m/>
    <m/>
    <m/>
  </r>
  <r>
    <s v="DSCN3372"/>
    <s v="WW0422_15"/>
    <n v="15"/>
    <n v="1"/>
    <s v="WAC West"/>
    <d v="2019-04-22T00:00:00"/>
    <s v="April"/>
    <x v="0"/>
    <d v="1899-12-30T00:31:00"/>
    <s v="Partly cloudy"/>
    <x v="0"/>
    <s v="Foraging"/>
    <s v="NA"/>
    <n v="0"/>
    <n v="0"/>
    <n v="0"/>
    <m/>
    <s v="NA"/>
    <s v="NA"/>
    <s v="NA"/>
    <m/>
    <m/>
    <m/>
    <s v="NA"/>
    <s v="NA"/>
    <s v="NA"/>
    <s v="NA"/>
    <s v="NA"/>
    <s v="NA"/>
    <s v="NA"/>
    <s v="NA"/>
    <n v="0"/>
    <n v="0"/>
    <n v="0"/>
    <n v="0"/>
    <n v="31"/>
    <m/>
    <n v="31"/>
    <s v="Searching"/>
    <m/>
    <m/>
    <m/>
  </r>
  <r>
    <s v="DSCN3378"/>
    <s v="WW0422_20"/>
    <n v="20"/>
    <n v="1"/>
    <s v="WAC West"/>
    <d v="2019-04-22T00:00:00"/>
    <s v="April"/>
    <x v="0"/>
    <d v="1899-12-30T00:16:00"/>
    <s v="Partly cloudy"/>
    <x v="0"/>
    <s v="Foraging"/>
    <s v="NA"/>
    <n v="0"/>
    <n v="0"/>
    <n v="0"/>
    <m/>
    <s v="NA"/>
    <s v="NA"/>
    <s v="NA"/>
    <m/>
    <m/>
    <m/>
    <s v="NA"/>
    <s v="NA"/>
    <s v="NA"/>
    <s v="NA"/>
    <s v="NA"/>
    <s v="NA"/>
    <s v="NA"/>
    <s v="NA"/>
    <n v="0"/>
    <n v="0"/>
    <n v="0"/>
    <n v="0"/>
    <n v="16"/>
    <m/>
    <n v="16"/>
    <s v="Searching"/>
    <m/>
    <m/>
    <m/>
  </r>
  <r>
    <s v="DSCN3380"/>
    <s v="WW0422_22"/>
    <n v="22"/>
    <n v="1"/>
    <s v="WAC West"/>
    <d v="2019-04-22T00:00:00"/>
    <s v="April"/>
    <x v="0"/>
    <d v="1899-12-30T00:26:00"/>
    <s v="Partly cloudy"/>
    <x v="0"/>
    <s v="Foraging"/>
    <s v="NA"/>
    <n v="0"/>
    <n v="0"/>
    <n v="0"/>
    <m/>
    <s v="NA"/>
    <s v="NA"/>
    <s v="NA"/>
    <m/>
    <m/>
    <m/>
    <s v="NA"/>
    <s v="NA"/>
    <s v="NA"/>
    <s v="NA"/>
    <s v="NA"/>
    <s v="NA"/>
    <s v="NA"/>
    <s v="NA"/>
    <n v="0"/>
    <n v="0"/>
    <n v="0"/>
    <n v="0"/>
    <n v="26"/>
    <m/>
    <n v="26"/>
    <s v="Searching"/>
    <m/>
    <m/>
    <m/>
  </r>
  <r>
    <s v="DSCN3354"/>
    <s v="WW0422_3"/>
    <n v="3"/>
    <n v="1"/>
    <s v="WAC West"/>
    <d v="2019-04-22T00:00:00"/>
    <s v="April"/>
    <x v="0"/>
    <d v="1899-12-30T01:03:00"/>
    <s v="Partly cloudy"/>
    <x v="0"/>
    <s v="Foraging"/>
    <s v="NA"/>
    <n v="0"/>
    <n v="0"/>
    <n v="0"/>
    <m/>
    <s v="NA"/>
    <s v="NA"/>
    <s v="NA"/>
    <m/>
    <m/>
    <m/>
    <s v="NA"/>
    <s v="NA"/>
    <s v="NA"/>
    <s v="NA"/>
    <s v="NA"/>
    <s v="NA"/>
    <s v="NA"/>
    <s v="NA"/>
    <n v="0"/>
    <n v="0"/>
    <n v="0"/>
    <n v="0"/>
    <n v="63"/>
    <m/>
    <n v="63"/>
    <s v="Searching"/>
    <m/>
    <m/>
    <m/>
  </r>
  <r>
    <s v="DSCN3356"/>
    <s v="WW0422_4"/>
    <n v="4"/>
    <n v="1"/>
    <s v="WAC West"/>
    <d v="2019-04-22T00:00:00"/>
    <s v="April"/>
    <x v="0"/>
    <d v="1899-12-30T00:17:00"/>
    <s v="Partly cloudy"/>
    <x v="0"/>
    <s v="Foraging"/>
    <s v="NA"/>
    <n v="0"/>
    <n v="0"/>
    <n v="0"/>
    <m/>
    <s v="NA"/>
    <s v="NA"/>
    <s v="NA"/>
    <m/>
    <m/>
    <m/>
    <s v="NA"/>
    <s v="NA"/>
    <s v="NA"/>
    <s v="NA"/>
    <s v="NA"/>
    <s v="NA"/>
    <s v="NA"/>
    <s v="NA"/>
    <n v="0"/>
    <n v="0"/>
    <n v="0"/>
    <n v="0"/>
    <n v="17"/>
    <m/>
    <n v="17"/>
    <m/>
    <m/>
    <m/>
    <m/>
  </r>
  <r>
    <s v="DSCN3622"/>
    <s v="WW0428_3"/>
    <n v="3"/>
    <n v="1"/>
    <s v="WAC West"/>
    <d v="2019-04-28T00:00:00"/>
    <s v="April"/>
    <x v="0"/>
    <d v="1899-12-30T00:10:00"/>
    <s v="Clear, full sun"/>
    <x v="0"/>
    <s v="Foraging"/>
    <s v="Aspen"/>
    <n v="1"/>
    <n v="1"/>
    <n v="0"/>
    <s v="Unknown"/>
    <s v="unknown"/>
    <s v="Exterior aspen branch under bark"/>
    <s v="NA"/>
    <m/>
    <m/>
    <m/>
    <s v="NA"/>
    <s v="NA"/>
    <s v="NA"/>
    <s v="NA"/>
    <s v="NA"/>
    <n v="63.740810000000003"/>
    <n v="148.8981"/>
    <s v="NA"/>
    <n v="0"/>
    <n v="0"/>
    <n v="0"/>
    <n v="0"/>
    <n v="0"/>
    <m/>
    <n v="0"/>
    <s v="Searching"/>
    <s v="Missed initial acquisition"/>
    <m/>
    <m/>
  </r>
  <r>
    <s v="DSCN3620"/>
    <s v="WW0428_1"/>
    <n v="1"/>
    <n v="1"/>
    <s v="WAC West"/>
    <d v="2019-04-28T00:00:00"/>
    <s v="April"/>
    <x v="0"/>
    <d v="1899-12-30T02:10:00"/>
    <s v="Clear, full sun"/>
    <x v="0"/>
    <s v="Foraging"/>
    <s v="NA"/>
    <n v="8"/>
    <n v="0"/>
    <n v="0"/>
    <s v="Unknown"/>
    <s v="unknown (Probably B&amp;Ugs)"/>
    <s v="Ground"/>
    <s v="NA"/>
    <m/>
    <m/>
    <m/>
    <s v="NA"/>
    <s v="NA"/>
    <s v="NA"/>
    <s v="NA"/>
    <s v="NA"/>
    <s v="NA"/>
    <s v="NA"/>
    <s v="NA"/>
    <n v="0"/>
    <n v="0"/>
    <n v="0"/>
    <n v="0"/>
    <n v="65"/>
    <m/>
    <n v="65"/>
    <s v="Searching"/>
    <s v="Bird snatched all of them.  VERY LIKELY all B&amp;Ugs"/>
    <m/>
    <m/>
  </r>
  <r>
    <s v="DSCN3620"/>
    <s v="WW0428_1"/>
    <n v="1"/>
    <n v="1"/>
    <s v="WAC West"/>
    <d v="2019-04-28T00:00:00"/>
    <s v="April"/>
    <x v="0"/>
    <d v="1899-12-30T02:10:00"/>
    <s v="Clear, full sun"/>
    <x v="0"/>
    <s v="Foraging"/>
    <s v="NA"/>
    <n v="3"/>
    <n v="0"/>
    <n v="0"/>
    <s v="Insect"/>
    <s v="Insect"/>
    <s v="Ground"/>
    <s v="NA"/>
    <m/>
    <m/>
    <m/>
    <s v="NA"/>
    <s v="NA"/>
    <s v="NA"/>
    <s v="NA"/>
    <s v="NA"/>
    <s v="NA"/>
    <s v="NA"/>
    <s v="NA"/>
    <n v="0"/>
    <n v="0"/>
    <n v="0"/>
    <n v="0"/>
    <n v="65"/>
    <m/>
    <n v="65"/>
    <s v="Searching"/>
    <s v="3 obvious B&amp;Ugs when watched in slowmo"/>
    <m/>
    <m/>
  </r>
  <r>
    <s v="DSCN3621"/>
    <s v="WW0428_2"/>
    <n v="2"/>
    <n v="1"/>
    <s v="WAC West"/>
    <d v="2019-04-28T00:00:00"/>
    <s v="April"/>
    <x v="0"/>
    <d v="1899-12-30T00:36:00"/>
    <s v="Clear, full sun"/>
    <x v="0"/>
    <s v="Foraging"/>
    <s v="NA"/>
    <n v="2"/>
    <n v="0"/>
    <n v="0"/>
    <s v="Berry"/>
    <s v="Berry"/>
    <s v="Ground"/>
    <s v="NA"/>
    <m/>
    <m/>
    <m/>
    <s v="NA"/>
    <s v="NA"/>
    <s v="NA"/>
    <s v="NA"/>
    <s v="NA"/>
    <s v="NA"/>
    <s v="NA"/>
    <s v="NA"/>
    <n v="0"/>
    <n v="0"/>
    <n v="0"/>
    <n v="0"/>
    <n v="31"/>
    <m/>
    <n v="31"/>
    <s v="Searching"/>
    <s v="First berry caught off screen."/>
    <m/>
    <m/>
  </r>
  <r>
    <s v="DSCN2947"/>
    <s v="WW0405_1"/>
    <n v="1"/>
    <n v="1"/>
    <s v="WAC West"/>
    <d v="2019-04-05T00:00:00"/>
    <s v="April"/>
    <x v="0"/>
    <d v="1899-12-30T00:55:00"/>
    <m/>
    <x v="0"/>
    <s v="Foraging"/>
    <s v="NA"/>
    <s v="unknown"/>
    <n v="0"/>
    <n v="0"/>
    <m/>
    <s v="NA"/>
    <s v="NA"/>
    <s v="NA"/>
    <m/>
    <m/>
    <m/>
    <s v="NA"/>
    <s v="NA"/>
    <s v="NA"/>
    <s v="NA"/>
    <s v="NA"/>
    <s v="NA"/>
    <s v="NA"/>
    <m/>
    <n v="0"/>
    <n v="0"/>
    <n v="0"/>
    <n v="0"/>
    <n v="55"/>
    <m/>
    <n v="55"/>
    <s v="Searching"/>
    <m/>
    <m/>
    <m/>
  </r>
  <r>
    <s v="DSCN2963"/>
    <s v="WW0405_10"/>
    <n v="10"/>
    <n v="1"/>
    <s v="WAC West"/>
    <d v="2019-04-05T00:00:00"/>
    <s v="April"/>
    <x v="0"/>
    <d v="1899-12-30T00:15:00"/>
    <m/>
    <x v="0"/>
    <s v="Foraging"/>
    <s v="NA"/>
    <s v="unknown"/>
    <n v="0"/>
    <n v="0"/>
    <m/>
    <s v="NA"/>
    <s v="NA"/>
    <s v="NA"/>
    <m/>
    <m/>
    <m/>
    <s v="NA"/>
    <s v="NA"/>
    <s v="NA"/>
    <s v="NA"/>
    <s v="NA"/>
    <s v="NA"/>
    <s v="NA"/>
    <m/>
    <n v="0"/>
    <n v="0"/>
    <n v="0"/>
    <n v="0"/>
    <n v="15"/>
    <m/>
    <n v="15"/>
    <s v="Searching"/>
    <m/>
    <m/>
    <m/>
  </r>
  <r>
    <s v="DSCN2964"/>
    <s v="WW0405_11"/>
    <n v="11"/>
    <n v="1"/>
    <s v="WAC West"/>
    <d v="2019-04-05T00:00:00"/>
    <s v="April"/>
    <x v="0"/>
    <d v="1899-12-30T00:11:00"/>
    <m/>
    <x v="0"/>
    <s v="Foraging"/>
    <s v="NA"/>
    <s v="unknown"/>
    <n v="0"/>
    <n v="0"/>
    <m/>
    <s v="NA"/>
    <s v="NA"/>
    <s v="NA"/>
    <m/>
    <m/>
    <m/>
    <s v="NA"/>
    <s v="NA"/>
    <s v="NA"/>
    <s v="NA"/>
    <s v="NA"/>
    <s v="NA"/>
    <s v="NA"/>
    <m/>
    <n v="0"/>
    <n v="0"/>
    <n v="0"/>
    <n v="0"/>
    <n v="11"/>
    <m/>
    <n v="11"/>
    <s v="Searching"/>
    <m/>
    <m/>
    <m/>
  </r>
  <r>
    <s v="DSCN2980"/>
    <s v="WW0405_23"/>
    <n v="23"/>
    <n v="1"/>
    <s v="WAC West"/>
    <d v="2019-04-05T00:00:00"/>
    <s v="April"/>
    <x v="0"/>
    <d v="1899-12-30T00:27:00"/>
    <m/>
    <x v="0"/>
    <s v="Foraging"/>
    <s v="NA"/>
    <s v="unknown"/>
    <n v="0"/>
    <n v="0"/>
    <m/>
    <s v="NA"/>
    <s v="NA"/>
    <s v="NA"/>
    <m/>
    <m/>
    <m/>
    <s v="NA"/>
    <s v="NA"/>
    <s v="NA"/>
    <s v="NA"/>
    <s v="NA"/>
    <s v="NA"/>
    <s v="NA"/>
    <m/>
    <n v="0"/>
    <n v="0"/>
    <n v="0"/>
    <n v="0"/>
    <n v="27"/>
    <m/>
    <n v="27"/>
    <s v="Searching"/>
    <m/>
    <m/>
    <m/>
  </r>
  <r>
    <s v="DSCN2987"/>
    <s v="WW0405_27"/>
    <n v="27"/>
    <n v="2"/>
    <s v="WAC West"/>
    <d v="2019-04-05T00:00:00"/>
    <s v="April"/>
    <x v="0"/>
    <d v="1899-12-30T01:38:00"/>
    <m/>
    <x v="0"/>
    <s v="Foraging"/>
    <s v="Spruce"/>
    <s v="unknown"/>
    <n v="0"/>
    <n v="0"/>
    <m/>
    <s v="NA"/>
    <s v="NA"/>
    <s v="NA"/>
    <m/>
    <m/>
    <m/>
    <s v="NA"/>
    <s v="NA"/>
    <s v="NA"/>
    <s v="NA"/>
    <s v="NA"/>
    <s v="NA"/>
    <s v="NA"/>
    <m/>
    <n v="0"/>
    <n v="0"/>
    <n v="0"/>
    <n v="0"/>
    <n v="85"/>
    <m/>
    <n v="85"/>
    <s v="Searching"/>
    <m/>
    <m/>
    <m/>
  </r>
  <r>
    <s v="DSCN2958"/>
    <s v="WW0405_6"/>
    <n v="6"/>
    <n v="1"/>
    <s v="WAC West"/>
    <d v="2019-04-05T00:00:00"/>
    <s v="April"/>
    <x v="0"/>
    <d v="1899-12-30T00:44:00"/>
    <m/>
    <x v="0"/>
    <s v="Foraging"/>
    <s v="Spruce"/>
    <s v="unknown"/>
    <n v="0"/>
    <n v="0"/>
    <m/>
    <s v="NA"/>
    <s v="NA"/>
    <s v="NA"/>
    <m/>
    <m/>
    <m/>
    <s v="NA"/>
    <s v="NA"/>
    <s v="NA"/>
    <s v="NA"/>
    <s v="NA"/>
    <s v="NA"/>
    <s v="NA"/>
    <m/>
    <n v="28"/>
    <n v="0"/>
    <n v="0"/>
    <n v="28"/>
    <n v="0"/>
    <m/>
    <n v="28"/>
    <s v="Searching/probing"/>
    <m/>
    <n v="1"/>
    <n v="0"/>
  </r>
  <r>
    <s v="DSCN2962"/>
    <s v="WW0405_9"/>
    <n v="9"/>
    <n v="1"/>
    <s v="WAC West"/>
    <d v="2019-04-05T00:00:00"/>
    <s v="April"/>
    <x v="0"/>
    <d v="1899-12-30T00:09:00"/>
    <m/>
    <x v="0"/>
    <s v="Foraging"/>
    <s v="NA"/>
    <s v="unknown"/>
    <n v="0"/>
    <n v="0"/>
    <m/>
    <s v="NA"/>
    <s v="NA"/>
    <s v="NA"/>
    <m/>
    <m/>
    <m/>
    <s v="NA"/>
    <s v="NA"/>
    <s v="NA"/>
    <s v="NA"/>
    <s v="NA"/>
    <s v="NA"/>
    <s v="NA"/>
    <m/>
    <n v="0"/>
    <n v="0"/>
    <n v="0"/>
    <n v="0"/>
    <n v="9"/>
    <m/>
    <n v="9"/>
    <s v="Searching"/>
    <m/>
    <m/>
    <m/>
  </r>
  <r>
    <s v="DSCN3371"/>
    <s v="WW0422_14"/>
    <n v="14"/>
    <n v="1"/>
    <s v="WAC West"/>
    <d v="2019-04-22T00:00:00"/>
    <s v="April"/>
    <x v="0"/>
    <d v="1899-12-30T00:50:00"/>
    <s v="Partly cloudy"/>
    <x v="0"/>
    <s v="Foraging"/>
    <s v="NA"/>
    <s v="unknown"/>
    <n v="0"/>
    <n v="0"/>
    <m/>
    <s v="NA"/>
    <s v="NA"/>
    <s v="NA"/>
    <m/>
    <m/>
    <m/>
    <s v="NA"/>
    <s v="NA"/>
    <s v="NA"/>
    <s v="NA"/>
    <s v="NA"/>
    <s v="NA"/>
    <s v="NA"/>
    <s v="NA"/>
    <n v="0"/>
    <n v="0"/>
    <n v="0"/>
    <n v="0"/>
    <n v="50"/>
    <m/>
    <n v="50"/>
    <s v="Searching"/>
    <m/>
    <m/>
    <m/>
  </r>
  <r>
    <s v="DSCN3353"/>
    <s v="WW0422_2"/>
    <n v="2"/>
    <n v="1"/>
    <s v="WAC West"/>
    <d v="2019-04-22T00:00:00"/>
    <s v="April"/>
    <x v="0"/>
    <d v="1899-12-30T00:38:00"/>
    <s v="Partly cloudy"/>
    <x v="0"/>
    <s v="Foraging"/>
    <s v="NA"/>
    <s v="unknown"/>
    <n v="0"/>
    <n v="0"/>
    <m/>
    <s v="NA"/>
    <s v="NA"/>
    <s v="NA"/>
    <m/>
    <m/>
    <m/>
    <s v="NA"/>
    <s v="NA"/>
    <s v="NA"/>
    <s v="NA"/>
    <s v="NA"/>
    <s v="NA"/>
    <s v="NA"/>
    <s v="NA"/>
    <n v="0"/>
    <n v="0"/>
    <n v="0"/>
    <n v="0"/>
    <n v="25"/>
    <m/>
    <n v="25"/>
    <s v="Searching"/>
    <s v="Goes to ground B&amp;Ut not sure if acquires anything"/>
    <n v="0"/>
    <n v="0"/>
  </r>
  <r>
    <s v="DSCN3382"/>
    <s v="WW0422_24"/>
    <n v="24"/>
    <n v="1"/>
    <s v="WAC West"/>
    <d v="2019-04-22T00:00:00"/>
    <s v="April"/>
    <x v="0"/>
    <d v="1899-12-30T01:21:00"/>
    <s v="Partly cloudy"/>
    <x v="0"/>
    <s v="Foraging"/>
    <s v="NA"/>
    <s v="unknown"/>
    <n v="0"/>
    <n v="0"/>
    <m/>
    <s v="NA"/>
    <s v="NA"/>
    <s v="NA"/>
    <m/>
    <m/>
    <m/>
    <s v="NA"/>
    <s v="NA"/>
    <s v="NA"/>
    <s v="NA"/>
    <s v="NA"/>
    <s v="NA"/>
    <s v="NA"/>
    <s v="NA"/>
    <n v="0"/>
    <n v="0"/>
    <n v="0"/>
    <n v="0"/>
    <n v="81"/>
    <m/>
    <n v="81"/>
    <s v="Searching"/>
    <m/>
    <m/>
    <m/>
  </r>
  <r>
    <s v="DSCN2732"/>
    <s v="M4W0401_3"/>
    <n v="3"/>
    <n v="1"/>
    <s v="M4West"/>
    <d v="2019-04-01T00:00:00"/>
    <s v="April"/>
    <x v="0"/>
    <d v="1899-12-30T01:34:00"/>
    <m/>
    <x v="1"/>
    <s v="Caching"/>
    <s v="Spruce"/>
    <n v="1"/>
    <n v="0"/>
    <n v="1"/>
    <s v="Unknown"/>
    <s v="unknown"/>
    <s v="uknown"/>
    <s v="Exterior spruce foliage"/>
    <s v="Spruce"/>
    <s v="Exterior"/>
    <s v="Foliage"/>
    <s v="NE"/>
    <n v="50"/>
    <s v="unknown"/>
    <n v="63.725149999999999"/>
    <n v="148.98685"/>
    <s v="NA"/>
    <s v="NA"/>
    <m/>
    <n v="0"/>
    <n v="0"/>
    <n v="0"/>
    <n v="0"/>
    <n v="0"/>
    <m/>
    <n v="0"/>
    <m/>
    <m/>
    <m/>
    <m/>
  </r>
  <r>
    <s v="DSCN2730"/>
    <s v="M4W0401_2"/>
    <n v="2"/>
    <n v="1"/>
    <s v="M4West"/>
    <d v="2019-04-01T00:00:00"/>
    <s v="April"/>
    <x v="0"/>
    <d v="1899-12-30T00:29:00"/>
    <m/>
    <x v="1"/>
    <s v="Foraging"/>
    <s v="Spruce"/>
    <n v="0"/>
    <n v="0"/>
    <n v="0"/>
    <m/>
    <s v="NA"/>
    <s v="NA"/>
    <s v="NA"/>
    <m/>
    <m/>
    <m/>
    <s v="NA"/>
    <s v="NA"/>
    <s v="NA"/>
    <s v="NA"/>
    <s v="NA"/>
    <s v="NA"/>
    <s v="NA"/>
    <m/>
    <n v="10"/>
    <n v="0"/>
    <n v="10"/>
    <n v="0"/>
    <n v="0"/>
    <m/>
    <n v="10"/>
    <m/>
    <m/>
    <m/>
    <m/>
  </r>
  <r>
    <s v="DSCN2726"/>
    <s v="M4W0401_1"/>
    <n v="1"/>
    <n v="1"/>
    <s v="M4West"/>
    <d v="2019-04-01T00:00:00"/>
    <s v="April"/>
    <x v="0"/>
    <d v="1899-12-30T00:14:00"/>
    <m/>
    <x v="1"/>
    <s v="Unknown"/>
    <s v="Spruce"/>
    <s v="unknown"/>
    <s v="unknown"/>
    <s v="Unknown"/>
    <m/>
    <s v="NA"/>
    <s v="NA"/>
    <s v="NA"/>
    <m/>
    <m/>
    <m/>
    <s v="NA"/>
    <s v="NA"/>
    <s v="NA"/>
    <s v="NA"/>
    <s v="NA"/>
    <s v="NA"/>
    <s v="NA"/>
    <m/>
    <n v="0"/>
    <n v="0"/>
    <n v="0"/>
    <n v="0"/>
    <n v="0"/>
    <m/>
    <n v="0"/>
    <m/>
    <s v="Either made a cache or recovered food…?"/>
    <m/>
    <m/>
  </r>
  <r>
    <s v="DSCN3160"/>
    <s v="MC0416_3"/>
    <n v="3"/>
    <n v="1"/>
    <s v="Mercantile"/>
    <d v="2019-04-16T00:00:00"/>
    <s v="April"/>
    <x v="0"/>
    <d v="1899-12-30T00:26:00"/>
    <s v="Mostly cloudy"/>
    <x v="2"/>
    <s v="Foraging"/>
    <s v="Spruce"/>
    <n v="0"/>
    <n v="0"/>
    <n v="0"/>
    <m/>
    <s v="NA"/>
    <s v="NA"/>
    <s v="NA"/>
    <m/>
    <m/>
    <m/>
    <s v="NA"/>
    <s v="NA"/>
    <s v="NA"/>
    <s v="NA"/>
    <s v="NA"/>
    <s v="NA"/>
    <s v="NA"/>
    <m/>
    <n v="0"/>
    <n v="16"/>
    <n v="0"/>
    <n v="16"/>
    <n v="0"/>
    <m/>
    <n v="16"/>
    <s v="Searching"/>
    <m/>
    <m/>
    <m/>
  </r>
  <r>
    <s v="DSCN3161"/>
    <s v="MC0416_4"/>
    <n v="4"/>
    <n v="1"/>
    <s v="Mercantile"/>
    <d v="2019-04-16T00:00:00"/>
    <s v="April"/>
    <x v="0"/>
    <d v="1899-12-30T00:37:00"/>
    <s v="Mostly cloudy"/>
    <x v="2"/>
    <s v="Foraging"/>
    <s v="Spruce"/>
    <n v="0"/>
    <n v="0"/>
    <n v="0"/>
    <m/>
    <s v="NA"/>
    <s v="NA"/>
    <s v="NA"/>
    <m/>
    <m/>
    <m/>
    <s v="NA"/>
    <s v="NA"/>
    <s v="NA"/>
    <s v="NA"/>
    <s v="NA"/>
    <s v="NA"/>
    <s v="NA"/>
    <m/>
    <n v="0"/>
    <n v="21"/>
    <n v="0"/>
    <n v="21"/>
    <n v="0"/>
    <m/>
    <n v="21"/>
    <s v="Searching"/>
    <m/>
    <m/>
    <m/>
  </r>
  <r>
    <s v="DSCN3280"/>
    <s v="MC0418_2"/>
    <n v="2"/>
    <n v="1"/>
    <s v="Mercantile"/>
    <d v="2019-04-18T00:00:00"/>
    <s v="April"/>
    <x v="0"/>
    <d v="1899-12-30T00:11:00"/>
    <s v="Overcast"/>
    <x v="2"/>
    <s v="Foraging"/>
    <s v="NA"/>
    <n v="1"/>
    <n v="0"/>
    <n v="0"/>
    <s v="Unknown"/>
    <s v="unknown"/>
    <s v="Ground"/>
    <s v="NA"/>
    <m/>
    <m/>
    <m/>
    <s v="NA"/>
    <s v="NA"/>
    <s v="NA"/>
    <s v="NA"/>
    <s v="NA"/>
    <s v="NA"/>
    <s v="NA"/>
    <s v="NA"/>
    <n v="0"/>
    <n v="0"/>
    <n v="0"/>
    <n v="0"/>
    <n v="11"/>
    <m/>
    <n v="11"/>
    <s v="Searching"/>
    <m/>
    <m/>
    <m/>
  </r>
  <r>
    <s v="DSCN3299"/>
    <s v="MC0418_5"/>
    <n v="5"/>
    <n v="2"/>
    <s v="Mercantile"/>
    <d v="2019-04-18T00:00:00"/>
    <s v="April"/>
    <x v="0"/>
    <d v="1899-12-30T00:58:00"/>
    <s v="Overcast"/>
    <x v="2"/>
    <s v="Foraging"/>
    <s v="NA"/>
    <n v="1"/>
    <n v="0"/>
    <n v="0"/>
    <s v="Unknown"/>
    <s v="unknown"/>
    <s v="Ground"/>
    <s v="NA"/>
    <m/>
    <m/>
    <m/>
    <s v="NA"/>
    <s v="NA"/>
    <s v="NA"/>
    <s v="NA"/>
    <s v="NA"/>
    <s v="NA"/>
    <s v="NA"/>
    <s v="NA"/>
    <n v="0"/>
    <n v="0"/>
    <n v="0"/>
    <n v="0"/>
    <n v="24"/>
    <m/>
    <n v="24"/>
    <s v="Searching"/>
    <s v="Eating unknown items, could have been snow.  "/>
    <m/>
    <m/>
  </r>
  <r>
    <s v="DSCN3303"/>
    <s v="MC0418_7"/>
    <n v="7"/>
    <n v="1"/>
    <s v="Mercantile"/>
    <d v="2019-04-18T00:00:00"/>
    <s v="April"/>
    <x v="0"/>
    <d v="1899-12-30T00:12:00"/>
    <s v="Overcast"/>
    <x v="2"/>
    <s v="Foraging"/>
    <s v="NA"/>
    <n v="1"/>
    <n v="0"/>
    <n v="0"/>
    <s v="Unknown"/>
    <s v="unknown"/>
    <s v="Ground"/>
    <s v="NA"/>
    <m/>
    <m/>
    <m/>
    <s v="NA"/>
    <s v="NA"/>
    <s v="NA"/>
    <s v="NA"/>
    <s v="NA"/>
    <s v="NA"/>
    <s v="NA"/>
    <s v="NA"/>
    <n v="0"/>
    <n v="0"/>
    <n v="0"/>
    <n v="0"/>
    <n v="12"/>
    <m/>
    <n v="12"/>
    <s v="Searching"/>
    <m/>
    <m/>
    <m/>
  </r>
  <r>
    <s v="DSCN3300"/>
    <s v="MC0418_6"/>
    <n v="6"/>
    <n v="1"/>
    <s v="Mercantile"/>
    <d v="2019-04-18T00:00:00"/>
    <s v="April"/>
    <x v="0"/>
    <d v="1899-12-30T00:35:00"/>
    <s v="Overcast"/>
    <x v="2"/>
    <s v="Foraging"/>
    <s v="Aspen"/>
    <n v="2"/>
    <s v="unknown"/>
    <n v="0"/>
    <s v="Unknown"/>
    <s v="unknown"/>
    <s v="Aspen trunk under bark"/>
    <s v="NA"/>
    <m/>
    <m/>
    <m/>
    <s v="NA"/>
    <s v="NA"/>
    <s v="NA"/>
    <s v="NA"/>
    <s v="NA"/>
    <s v="NA"/>
    <s v="NA"/>
    <s v="NA"/>
    <n v="0"/>
    <n v="0"/>
    <n v="0"/>
    <n v="0"/>
    <n v="35"/>
    <m/>
    <n v="35"/>
    <s v="Searching/probing"/>
    <m/>
    <n v="9"/>
    <n v="0"/>
  </r>
  <r>
    <s v="DSCN3299"/>
    <s v="MC0418_5"/>
    <n v="5"/>
    <n v="1"/>
    <s v="Mercantile"/>
    <d v="2019-04-18T00:00:00"/>
    <s v="April"/>
    <x v="0"/>
    <d v="1899-12-30T00:58:00"/>
    <s v="Overcast"/>
    <x v="2"/>
    <s v="Foraging"/>
    <s v="NA"/>
    <n v="1"/>
    <n v="0"/>
    <n v="0"/>
    <s v="Berry"/>
    <s v="Berry (3- cranberry)"/>
    <s v="Ground"/>
    <s v="NA"/>
    <m/>
    <m/>
    <m/>
    <s v="NA"/>
    <s v="NA"/>
    <s v="NA"/>
    <s v="NA"/>
    <s v="NA"/>
    <s v="NA"/>
    <s v="NA"/>
    <s v="NA"/>
    <n v="0"/>
    <n v="0"/>
    <n v="0"/>
    <n v="0"/>
    <n v="24"/>
    <m/>
    <n v="24"/>
    <s v="Searching"/>
    <m/>
    <m/>
    <m/>
  </r>
  <r>
    <s v="DSCN3321"/>
    <s v="MC0418_10"/>
    <n v="10"/>
    <n v="1"/>
    <s v="Mercantile"/>
    <d v="2019-04-18T00:00:00"/>
    <s v="April"/>
    <x v="0"/>
    <d v="1899-12-30T00:33:00"/>
    <s v="Overcast"/>
    <x v="2"/>
    <s v="Foraging"/>
    <s v="NA"/>
    <n v="0"/>
    <n v="0"/>
    <n v="0"/>
    <m/>
    <s v="NA"/>
    <s v="NA"/>
    <s v="NA"/>
    <m/>
    <m/>
    <m/>
    <s v="NA"/>
    <s v="NA"/>
    <s v="NA"/>
    <s v="NA"/>
    <s v="NA"/>
    <s v="NA"/>
    <s v="NA"/>
    <s v="NA"/>
    <n v="0"/>
    <n v="0"/>
    <n v="0"/>
    <n v="0"/>
    <n v="24"/>
    <m/>
    <n v="24"/>
    <s v="Searching"/>
    <m/>
    <m/>
    <m/>
  </r>
  <r>
    <s v="DSCN3498"/>
    <s v="MC0424_12"/>
    <n v="12"/>
    <n v="1"/>
    <s v="Mercantile"/>
    <d v="2019-04-24T00:00:00"/>
    <s v="April"/>
    <x v="0"/>
    <d v="1899-12-30T00:41:00"/>
    <s v="Partly cloudy"/>
    <x v="2"/>
    <s v="Food handling"/>
    <s v="NA"/>
    <n v="1"/>
    <n v="0"/>
    <n v="1"/>
    <s v="Unknown"/>
    <s v="unknown"/>
    <s v="unknown"/>
    <s v="Exterior spruce branch under bark"/>
    <s v="Spruce"/>
    <s v="Exterior"/>
    <s v="Under bark"/>
    <m/>
    <m/>
    <s v="unknown"/>
    <m/>
    <m/>
    <s v="NA"/>
    <s v="NA"/>
    <s v="NA"/>
    <n v="0"/>
    <n v="0"/>
    <n v="0"/>
    <n v="0"/>
    <n v="0"/>
    <m/>
    <n v="0"/>
    <m/>
    <s v="Had food at start of video.  Unclear where it got is from. "/>
    <m/>
    <m/>
  </r>
  <r>
    <s v="DSCN3503"/>
    <s v="MC0424_16"/>
    <n v="16"/>
    <n v="1"/>
    <s v="Mercantile"/>
    <d v="2019-04-24T00:00:00"/>
    <s v="April"/>
    <x v="0"/>
    <d v="1899-12-30T00:11:00"/>
    <s v="Partly cloudy"/>
    <x v="2"/>
    <s v="Foraging"/>
    <s v="Aspen"/>
    <n v="1"/>
    <n v="0"/>
    <n v="0"/>
    <s v="Unknown"/>
    <s v="unknown"/>
    <s v="Aspen trunk under bark"/>
    <s v="NA"/>
    <m/>
    <m/>
    <m/>
    <s v="NA"/>
    <s v="NA"/>
    <s v="NA"/>
    <s v="NA"/>
    <s v="NA"/>
    <s v="NA"/>
    <s v="NA"/>
    <s v="NA"/>
    <n v="0"/>
    <n v="0"/>
    <n v="0"/>
    <n v="0"/>
    <n v="0"/>
    <m/>
    <n v="0"/>
    <m/>
    <s v="Missed acquisition"/>
    <m/>
    <m/>
  </r>
  <r>
    <s v="DSCN3493"/>
    <s v="MC0424_11"/>
    <n v="11"/>
    <n v="1"/>
    <s v="Mercantile"/>
    <d v="2019-04-24T00:00:00"/>
    <s v="April"/>
    <x v="0"/>
    <d v="1899-12-30T00:37:00"/>
    <s v="Partly cloudy"/>
    <x v="2"/>
    <s v="Foraging"/>
    <s v="NA"/>
    <n v="1"/>
    <n v="0"/>
    <n v="0"/>
    <s v="Unknown"/>
    <s v="unknown"/>
    <s v="Ground"/>
    <s v="NA"/>
    <m/>
    <m/>
    <m/>
    <s v="NA"/>
    <s v="NA"/>
    <s v="NA"/>
    <s v="NA"/>
    <s v="NA"/>
    <s v="NA"/>
    <s v="NA"/>
    <s v="NA"/>
    <n v="0"/>
    <n v="0"/>
    <n v="0"/>
    <n v="0"/>
    <n v="35"/>
    <m/>
    <n v="35"/>
    <s v="Searching"/>
    <m/>
    <m/>
    <m/>
  </r>
  <r>
    <s v="DSCN3516"/>
    <s v="MC0424_23"/>
    <n v="23"/>
    <n v="1"/>
    <s v="Mercantile"/>
    <d v="2019-04-24T00:00:00"/>
    <s v="April"/>
    <x v="0"/>
    <d v="1899-12-30T01:02:00"/>
    <s v="Partly cloudy"/>
    <x v="2"/>
    <s v="Foraging"/>
    <s v="NA"/>
    <n v="1"/>
    <n v="0"/>
    <n v="0"/>
    <s v="Unknown"/>
    <s v="unknown"/>
    <s v="Ground"/>
    <s v="NA"/>
    <m/>
    <m/>
    <m/>
    <s v="NA"/>
    <s v="NA"/>
    <s v="NA"/>
    <s v="NA"/>
    <s v="NA"/>
    <s v="NA"/>
    <s v="NA"/>
    <s v="NA"/>
    <n v="0"/>
    <n v="0"/>
    <n v="0"/>
    <n v="0"/>
    <n v="62"/>
    <m/>
    <n v="62"/>
    <s v="Searching"/>
    <m/>
    <m/>
    <m/>
  </r>
  <r>
    <s v="DSCN3486"/>
    <s v="MC0424_7"/>
    <n v="7"/>
    <n v="1"/>
    <s v="Mercantile"/>
    <d v="2019-04-24T00:00:00"/>
    <s v="April"/>
    <x v="0"/>
    <d v="1899-12-30T00:26:00"/>
    <s v="Partly cloudy"/>
    <x v="2"/>
    <s v="Foraging"/>
    <s v="NA"/>
    <n v="1"/>
    <n v="0"/>
    <n v="0"/>
    <s v="Unknown"/>
    <s v="unknown"/>
    <s v="Ground"/>
    <s v="NA"/>
    <m/>
    <m/>
    <m/>
    <s v="NA"/>
    <s v="NA"/>
    <s v="NA"/>
    <s v="NA"/>
    <s v="NA"/>
    <s v="NA"/>
    <s v="NA"/>
    <s v="NA"/>
    <n v="0"/>
    <n v="0"/>
    <n v="0"/>
    <n v="0"/>
    <n v="23"/>
    <m/>
    <n v="23"/>
    <s v="Searching"/>
    <m/>
    <m/>
    <m/>
  </r>
  <r>
    <s v="DSCN3479"/>
    <s v="MC0424_3"/>
    <n v="3"/>
    <n v="1"/>
    <s v="Mercantile"/>
    <d v="2019-04-24T00:00:00"/>
    <s v="April"/>
    <x v="0"/>
    <d v="1899-12-30T00:27:00"/>
    <s v="Partly cloudy"/>
    <x v="2"/>
    <s v="Foraging"/>
    <s v="NA"/>
    <n v="1"/>
    <s v="unknown"/>
    <n v="0"/>
    <s v="Unknown"/>
    <s v="unknown"/>
    <s v="Spruce"/>
    <s v="NA"/>
    <m/>
    <m/>
    <m/>
    <s v="NA"/>
    <s v="NA"/>
    <s v="NA"/>
    <s v="NA"/>
    <s v="NA"/>
    <s v="NA"/>
    <s v="NA"/>
    <s v="NA"/>
    <n v="20"/>
    <n v="0"/>
    <n v="20"/>
    <n v="0"/>
    <n v="0"/>
    <m/>
    <n v="20"/>
    <s v="Searching"/>
    <m/>
    <m/>
    <m/>
  </r>
  <r>
    <s v="DSCN3477"/>
    <s v="MC0424_1"/>
    <n v="1"/>
    <n v="1"/>
    <s v="Mercantile"/>
    <d v="2019-04-24T00:00:00"/>
    <s v="April"/>
    <x v="0"/>
    <d v="1899-12-30T00:13:00"/>
    <s v="Partly cloudy"/>
    <x v="2"/>
    <s v="Foraging"/>
    <s v="Spruce"/>
    <n v="1"/>
    <n v="1"/>
    <n v="0"/>
    <s v="Unknown"/>
    <s v="unknown"/>
    <s v="Spruce trunk under bark"/>
    <s v="NA"/>
    <m/>
    <m/>
    <m/>
    <s v="NA"/>
    <s v="NA"/>
    <s v="NA"/>
    <s v="NA"/>
    <s v="NA"/>
    <n v="63.735790000000001"/>
    <n v="148.89839000000001"/>
    <s v="NA"/>
    <n v="13"/>
    <n v="0"/>
    <n v="13"/>
    <n v="0"/>
    <n v="0"/>
    <m/>
    <n v="13"/>
    <s v="Searching"/>
    <m/>
    <m/>
    <m/>
  </r>
  <r>
    <s v="DSCN3489"/>
    <s v="MC0424_8"/>
    <n v="8"/>
    <n v="1"/>
    <s v="Mercantile"/>
    <d v="2019-04-24T00:00:00"/>
    <s v="April"/>
    <x v="0"/>
    <d v="1899-12-30T00:20:00"/>
    <s v="Partly cloudy"/>
    <x v="2"/>
    <s v="Foraging"/>
    <s v="Aspen"/>
    <n v="1"/>
    <s v="unknown"/>
    <n v="0"/>
    <s v="Unknown"/>
    <s v="unknown"/>
    <s v="Under bark of aspen trunk"/>
    <s v="NA"/>
    <m/>
    <m/>
    <m/>
    <s v="NA"/>
    <s v="NA"/>
    <s v="NA"/>
    <s v="NA"/>
    <s v="NA"/>
    <s v="NA"/>
    <s v="NA"/>
    <s v="NA"/>
    <n v="7"/>
    <n v="0"/>
    <n v="7"/>
    <n v="0"/>
    <n v="3"/>
    <m/>
    <n v="10"/>
    <s v="Probing"/>
    <m/>
    <n v="4"/>
    <n v="0"/>
  </r>
  <r>
    <s v="DSCN3522"/>
    <s v="MC0424_29"/>
    <n v="29"/>
    <n v="2"/>
    <s v="Mercantile"/>
    <d v="2019-04-24T00:00:00"/>
    <s v="April"/>
    <x v="0"/>
    <d v="1899-12-30T01:42:00"/>
    <s v="Partly cloudy"/>
    <x v="2"/>
    <s v="Foraging"/>
    <s v="NA"/>
    <n v="2"/>
    <n v="0"/>
    <n v="0"/>
    <s v="Unknown"/>
    <s v="unknown"/>
    <s v="Ground"/>
    <s v="NA"/>
    <m/>
    <m/>
    <m/>
    <s v="NA"/>
    <s v="NA"/>
    <s v="NA"/>
    <s v="NA"/>
    <s v="NA"/>
    <s v="NA"/>
    <s v="NA"/>
    <s v="NA"/>
    <n v="0"/>
    <n v="0"/>
    <n v="0"/>
    <n v="0"/>
    <n v="77"/>
    <m/>
    <n v="77"/>
    <s v="Searching"/>
    <m/>
    <m/>
    <m/>
  </r>
  <r>
    <s v="DSCN3492"/>
    <s v="MC0424_10"/>
    <n v="10"/>
    <n v="1"/>
    <s v="Mercantile"/>
    <d v="2019-04-24T00:00:00"/>
    <s v="April"/>
    <x v="0"/>
    <d v="1899-12-30T01:31:00"/>
    <s v="Partly cloudy"/>
    <x v="2"/>
    <s v="Foraging"/>
    <s v="NA"/>
    <n v="3"/>
    <n v="0"/>
    <n v="0"/>
    <s v="Unknown"/>
    <s v="unknown"/>
    <s v="Ground"/>
    <s v="NA"/>
    <m/>
    <m/>
    <m/>
    <s v="NA"/>
    <s v="NA"/>
    <s v="NA"/>
    <s v="NA"/>
    <s v="NA"/>
    <s v="NA"/>
    <s v="NA"/>
    <s v="NA"/>
    <n v="0"/>
    <n v="0"/>
    <n v="0"/>
    <n v="0"/>
    <n v="78"/>
    <m/>
    <n v="78"/>
    <s v="Searching"/>
    <m/>
    <m/>
    <m/>
  </r>
  <r>
    <s v="DSCN3522"/>
    <s v="MC0424_29"/>
    <n v="29"/>
    <n v="1"/>
    <s v="Mercantile"/>
    <d v="2019-04-24T00:00:00"/>
    <s v="April"/>
    <x v="0"/>
    <d v="1899-12-30T01:42:00"/>
    <s v="Partly cloudy"/>
    <x v="2"/>
    <s v="Foraging/caching"/>
    <s v="Spruce"/>
    <n v="1"/>
    <n v="0"/>
    <n v="1"/>
    <s v="Insect"/>
    <s v="Insect (Black caterpiller)"/>
    <s v="Ground"/>
    <s v="Exterior spruce branch"/>
    <s v="Spruce"/>
    <s v="Exterior"/>
    <s v="On branch"/>
    <s v="E"/>
    <n v="80"/>
    <n v="9"/>
    <n v="63.73518"/>
    <n v="148.90012999999999"/>
    <s v="NA"/>
    <s v="NA"/>
    <s v="NA"/>
    <n v="0"/>
    <n v="0"/>
    <n v="0"/>
    <n v="0"/>
    <n v="6"/>
    <m/>
    <n v="6"/>
    <s v="Searching"/>
    <s v="Placed camera on CT"/>
    <m/>
    <m/>
  </r>
  <r>
    <s v="DSCN3478"/>
    <s v="MC0424_2"/>
    <n v="2"/>
    <n v="1"/>
    <s v="Mercantile"/>
    <d v="2019-04-24T00:00:00"/>
    <s v="April"/>
    <x v="0"/>
    <d v="1899-12-30T00:18:00"/>
    <s v="Partly cloudy"/>
    <x v="2"/>
    <s v="Foraging"/>
    <s v="NA"/>
    <n v="1"/>
    <n v="0"/>
    <n v="0"/>
    <s v="Berry"/>
    <s v="Berry (cranberry)"/>
    <s v="Ground"/>
    <s v="NA"/>
    <m/>
    <m/>
    <m/>
    <s v="NA"/>
    <s v="NA"/>
    <s v="NA"/>
    <s v="NA"/>
    <s v="NA"/>
    <s v="NA"/>
    <s v="NA"/>
    <s v="NA"/>
    <n v="0"/>
    <n v="0"/>
    <n v="0"/>
    <n v="0"/>
    <n v="7"/>
    <m/>
    <n v="7"/>
    <s v="Searching"/>
    <m/>
    <m/>
    <m/>
  </r>
  <r>
    <s v="DSCN3512"/>
    <s v="MC0424_20"/>
    <n v="20"/>
    <n v="1"/>
    <s v="Mercantile"/>
    <d v="2019-04-24T00:00:00"/>
    <s v="April"/>
    <x v="0"/>
    <d v="1899-12-30T00:32:00"/>
    <s v="Partly cloudy"/>
    <x v="2"/>
    <s v="Foraging"/>
    <s v="NA"/>
    <n v="0"/>
    <n v="0"/>
    <n v="0"/>
    <m/>
    <s v="NA"/>
    <s v="NA"/>
    <s v="NA"/>
    <m/>
    <m/>
    <m/>
    <s v="NA"/>
    <s v="NA"/>
    <s v="NA"/>
    <s v="NA"/>
    <s v="NA"/>
    <s v="NA"/>
    <s v="NA"/>
    <s v="NA"/>
    <n v="0"/>
    <n v="0"/>
    <n v="0"/>
    <n v="0"/>
    <n v="11"/>
    <m/>
    <n v="11"/>
    <s v="Searching"/>
    <m/>
    <m/>
    <m/>
  </r>
  <r>
    <s v="DSCN3491"/>
    <s v="MC0424_9"/>
    <n v="9"/>
    <n v="1"/>
    <s v="Mercantile"/>
    <d v="2019-04-24T00:00:00"/>
    <s v="April"/>
    <x v="0"/>
    <d v="1899-12-30T00:20:00"/>
    <s v="Partly cloudy"/>
    <x v="2"/>
    <s v="Foraging"/>
    <s v="NA"/>
    <n v="0"/>
    <n v="0"/>
    <n v="0"/>
    <m/>
    <s v="NA"/>
    <s v="NA"/>
    <s v="NA"/>
    <m/>
    <m/>
    <m/>
    <s v="NA"/>
    <s v="NA"/>
    <s v="NA"/>
    <s v="NA"/>
    <s v="NA"/>
    <s v="NA"/>
    <s v="NA"/>
    <s v="NA"/>
    <n v="0"/>
    <n v="0"/>
    <n v="0"/>
    <n v="0"/>
    <n v="20"/>
    <m/>
    <n v="20"/>
    <m/>
    <m/>
    <m/>
    <m/>
  </r>
  <r>
    <s v="DSCN3284"/>
    <s v="MC0418_3"/>
    <n v="3"/>
    <n v="1"/>
    <s v="Mercantile"/>
    <d v="2019-04-18T00:00:00"/>
    <s v="April"/>
    <x v="0"/>
    <d v="1899-12-30T00:26:00"/>
    <s v="Overcast"/>
    <x v="2"/>
    <s v="Foraging"/>
    <s v="Spruce"/>
    <s v="unknown"/>
    <s v="unknown"/>
    <n v="0"/>
    <m/>
    <s v="NA"/>
    <s v="NA"/>
    <s v="NA"/>
    <m/>
    <m/>
    <m/>
    <s v="NA"/>
    <s v="NA"/>
    <s v="NA"/>
    <s v="NA"/>
    <s v="NA"/>
    <s v="NA"/>
    <s v="NA"/>
    <s v="NA"/>
    <n v="26"/>
    <n v="0"/>
    <n v="26"/>
    <n v="0"/>
    <n v="0"/>
    <m/>
    <n v="26"/>
    <s v="Probing"/>
    <m/>
    <n v="1"/>
    <n v="0"/>
  </r>
  <r>
    <s v="DSCN3307"/>
    <s v="MC0418_8"/>
    <n v="8"/>
    <n v="1"/>
    <s v="Mercantile"/>
    <d v="2019-04-18T00:00:00"/>
    <s v="April"/>
    <x v="0"/>
    <d v="1899-12-30T00:31:00"/>
    <s v="Overcast"/>
    <x v="2"/>
    <s v="Foraging"/>
    <s v="NA"/>
    <s v="unknown"/>
    <n v="0"/>
    <n v="0"/>
    <m/>
    <s v="NA"/>
    <s v="NA"/>
    <s v="NA"/>
    <m/>
    <m/>
    <m/>
    <s v="NA"/>
    <s v="NA"/>
    <s v="NA"/>
    <s v="NA"/>
    <s v="NA"/>
    <s v="NA"/>
    <s v="NA"/>
    <s v="NA"/>
    <n v="0"/>
    <n v="0"/>
    <n v="0"/>
    <n v="0"/>
    <n v="18"/>
    <m/>
    <n v="18"/>
    <s v="Searching"/>
    <m/>
    <m/>
    <m/>
  </r>
  <r>
    <s v="DSCN3308"/>
    <s v="MC0418_9"/>
    <n v="9"/>
    <n v="1"/>
    <s v="Mercantile"/>
    <d v="2019-04-18T00:00:00"/>
    <s v="April"/>
    <x v="0"/>
    <d v="1899-12-30T00:17:00"/>
    <s v="Overcast"/>
    <x v="2"/>
    <s v="Foraging"/>
    <s v="NA"/>
    <s v="unknown"/>
    <n v="0"/>
    <n v="0"/>
    <m/>
    <s v="NA"/>
    <s v="NA"/>
    <s v="NA"/>
    <m/>
    <m/>
    <m/>
    <s v="NA"/>
    <s v="NA"/>
    <s v="NA"/>
    <s v="NA"/>
    <s v="NA"/>
    <s v="NA"/>
    <s v="NA"/>
    <s v="NA"/>
    <n v="0"/>
    <n v="0"/>
    <n v="0"/>
    <n v="0"/>
    <n v="13"/>
    <m/>
    <n v="13"/>
    <s v="Searching"/>
    <m/>
    <m/>
    <m/>
  </r>
  <r>
    <s v="DSCN3499"/>
    <s v="MC0424_13"/>
    <n v="13"/>
    <n v="1"/>
    <s v="Mercantile"/>
    <d v="2019-04-24T00:00:00"/>
    <s v="April"/>
    <x v="0"/>
    <d v="1899-12-30T00:13:00"/>
    <s v="Partly cloudy"/>
    <x v="2"/>
    <s v="Foraging"/>
    <s v="Aspen"/>
    <s v="unknown"/>
    <s v="unknown"/>
    <n v="0"/>
    <m/>
    <s v="NA"/>
    <s v="NA"/>
    <s v="NA"/>
    <m/>
    <m/>
    <m/>
    <s v="NA"/>
    <s v="NA"/>
    <s v="NA"/>
    <s v="NA"/>
    <s v="NA"/>
    <s v="NA"/>
    <s v="NA"/>
    <s v="NA"/>
    <n v="4"/>
    <n v="0"/>
    <n v="0"/>
    <n v="4"/>
    <n v="0"/>
    <m/>
    <n v="4"/>
    <s v="Probing"/>
    <m/>
    <n v="1"/>
    <n v="0"/>
  </r>
  <r>
    <s v="DSCN3506"/>
    <s v="MC0424_17"/>
    <n v="17"/>
    <n v="1"/>
    <s v="Mercantile"/>
    <d v="2019-04-24T00:00:00"/>
    <s v="April"/>
    <x v="0"/>
    <d v="1899-12-30T00:39:00"/>
    <s v="Partly cloudy"/>
    <x v="2"/>
    <s v="Foraging"/>
    <s v="NA"/>
    <s v="unknown"/>
    <n v="0"/>
    <n v="0"/>
    <m/>
    <s v="NA"/>
    <s v="NA"/>
    <s v="NA"/>
    <m/>
    <m/>
    <m/>
    <s v="NA"/>
    <s v="NA"/>
    <s v="NA"/>
    <s v="NA"/>
    <s v="NA"/>
    <s v="NA"/>
    <s v="NA"/>
    <s v="NA"/>
    <n v="0"/>
    <n v="0"/>
    <n v="0"/>
    <n v="0"/>
    <n v="35"/>
    <m/>
    <n v="35"/>
    <s v="Searching"/>
    <m/>
    <m/>
    <m/>
  </r>
  <r>
    <s v="DSCN3507"/>
    <s v="MC0424_18"/>
    <n v="18"/>
    <n v="1"/>
    <s v="Mercantile"/>
    <d v="2019-04-24T00:00:00"/>
    <s v="April"/>
    <x v="0"/>
    <d v="1899-12-30T00:27:00"/>
    <s v="Partly cloudy"/>
    <x v="2"/>
    <s v="Foraging"/>
    <s v="NA"/>
    <s v="unknown"/>
    <n v="0"/>
    <n v="0"/>
    <m/>
    <s v="NA"/>
    <s v="NA"/>
    <s v="NA"/>
    <m/>
    <m/>
    <m/>
    <s v="NA"/>
    <s v="NA"/>
    <s v="NA"/>
    <s v="NA"/>
    <s v="NA"/>
    <s v="NA"/>
    <s v="NA"/>
    <s v="NA"/>
    <n v="0"/>
    <n v="0"/>
    <n v="0"/>
    <n v="0"/>
    <n v="27"/>
    <m/>
    <n v="27"/>
    <s v="Searching"/>
    <m/>
    <m/>
    <m/>
  </r>
  <r>
    <s v="DSCN3511"/>
    <s v="MC0424_19"/>
    <n v="19"/>
    <n v="1"/>
    <s v="Mercantile"/>
    <d v="2019-04-24T00:00:00"/>
    <s v="April"/>
    <x v="0"/>
    <d v="1899-12-30T01:11:00"/>
    <s v="Partly cloudy"/>
    <x v="2"/>
    <s v="Foraging"/>
    <s v="NA"/>
    <s v="unknown"/>
    <n v="0"/>
    <n v="0"/>
    <m/>
    <s v="NA"/>
    <s v="NA"/>
    <s v="NA"/>
    <m/>
    <m/>
    <m/>
    <s v="NA"/>
    <s v="NA"/>
    <s v="NA"/>
    <s v="NA"/>
    <s v="NA"/>
    <s v="NA"/>
    <s v="NA"/>
    <s v="NA"/>
    <n v="0"/>
    <n v="0"/>
    <n v="0"/>
    <n v="0"/>
    <n v="4"/>
    <m/>
    <n v="4"/>
    <s v="Searching"/>
    <m/>
    <m/>
    <m/>
  </r>
  <r>
    <s v="DSCN3514"/>
    <s v="MC0424_21"/>
    <n v="21"/>
    <n v="1"/>
    <s v="Mercantile"/>
    <d v="2019-04-24T00:00:00"/>
    <s v="April"/>
    <x v="0"/>
    <d v="1899-12-30T00:47:00"/>
    <s v="Partly cloudy"/>
    <x v="2"/>
    <s v="Foraging"/>
    <s v="NA"/>
    <s v="unknown"/>
    <n v="0"/>
    <n v="0"/>
    <m/>
    <s v="NA"/>
    <s v="NA"/>
    <s v="NA"/>
    <m/>
    <m/>
    <m/>
    <s v="NA"/>
    <s v="NA"/>
    <s v="NA"/>
    <s v="NA"/>
    <s v="NA"/>
    <s v="NA"/>
    <s v="NA"/>
    <s v="NA"/>
    <n v="0"/>
    <n v="0"/>
    <n v="0"/>
    <n v="0"/>
    <n v="47"/>
    <m/>
    <n v="47"/>
    <s v="Searching"/>
    <m/>
    <m/>
    <m/>
  </r>
  <r>
    <s v="DSCN3515"/>
    <s v="MC0424_22"/>
    <n v="22"/>
    <n v="1"/>
    <s v="Mercantile"/>
    <d v="2019-04-24T00:00:00"/>
    <s v="April"/>
    <x v="0"/>
    <d v="1899-12-30T00:08:00"/>
    <s v="Partly cloudy"/>
    <x v="2"/>
    <s v="Foraging"/>
    <s v="NA"/>
    <s v="unknown"/>
    <n v="0"/>
    <n v="0"/>
    <m/>
    <s v="NA"/>
    <s v="NA"/>
    <s v="NA"/>
    <m/>
    <m/>
    <m/>
    <s v="NA"/>
    <s v="NA"/>
    <s v="NA"/>
    <s v="NA"/>
    <s v="NA"/>
    <s v="NA"/>
    <s v="NA"/>
    <s v="NA"/>
    <n v="0"/>
    <n v="0"/>
    <n v="0"/>
    <n v="0"/>
    <n v="8"/>
    <m/>
    <n v="8"/>
    <s v="Searching"/>
    <m/>
    <m/>
    <m/>
  </r>
  <r>
    <s v="DSCN3517"/>
    <s v="MC0424_24"/>
    <n v="24"/>
    <n v="1"/>
    <s v="Mercantile"/>
    <d v="2019-04-24T00:00:00"/>
    <s v="April"/>
    <x v="0"/>
    <d v="1899-12-30T00:41:00"/>
    <s v="Partly cloudy"/>
    <x v="2"/>
    <s v="Foraging"/>
    <s v="NA"/>
    <s v="unknown"/>
    <n v="0"/>
    <n v="0"/>
    <m/>
    <s v="NA"/>
    <s v="NA"/>
    <s v="NA"/>
    <m/>
    <m/>
    <m/>
    <s v="NA"/>
    <s v="NA"/>
    <s v="NA"/>
    <s v="NA"/>
    <s v="NA"/>
    <s v="NA"/>
    <s v="NA"/>
    <s v="NA"/>
    <n v="0"/>
    <n v="0"/>
    <n v="0"/>
    <n v="0"/>
    <n v="41"/>
    <m/>
    <n v="41"/>
    <s v="Searching"/>
    <m/>
    <m/>
    <m/>
  </r>
  <r>
    <s v="DSCN3518"/>
    <s v="MC0424_25"/>
    <n v="25"/>
    <n v="1"/>
    <s v="Mercantile"/>
    <d v="2019-04-24T00:00:00"/>
    <s v="April"/>
    <x v="0"/>
    <d v="1899-12-30T00:32:00"/>
    <s v="Partly cloudy"/>
    <x v="2"/>
    <s v="Foraging"/>
    <s v="NA"/>
    <s v="unknown"/>
    <n v="0"/>
    <n v="0"/>
    <m/>
    <s v="NA"/>
    <s v="NA"/>
    <s v="NA"/>
    <m/>
    <m/>
    <m/>
    <s v="NA"/>
    <s v="NA"/>
    <s v="NA"/>
    <s v="NA"/>
    <s v="NA"/>
    <s v="NA"/>
    <s v="NA"/>
    <s v="NA"/>
    <n v="0"/>
    <n v="0"/>
    <n v="0"/>
    <n v="0"/>
    <n v="28"/>
    <m/>
    <n v="28"/>
    <s v="Searching"/>
    <m/>
    <m/>
    <m/>
  </r>
  <r>
    <s v="DSCN3447"/>
    <s v="SQ0422_5"/>
    <n v="5"/>
    <n v="2"/>
    <s v="Sasquatch"/>
    <d v="2019-04-22T00:00:00"/>
    <s v="April"/>
    <x v="0"/>
    <d v="1899-12-30T00:32:00"/>
    <s v="Partly cloudy"/>
    <x v="3"/>
    <s v="Foraging"/>
    <s v="Alder"/>
    <n v="1"/>
    <n v="0"/>
    <n v="0"/>
    <s v="Unknown"/>
    <s v="unknown (Probably B&amp;Ugs)"/>
    <s v="Alder leaf"/>
    <s v="NA"/>
    <m/>
    <m/>
    <m/>
    <s v="NA"/>
    <s v="NA"/>
    <s v="NA"/>
    <s v="NA"/>
    <s v="NA"/>
    <s v="NA"/>
    <s v="NA"/>
    <s v="NA"/>
    <n v="0"/>
    <n v="7"/>
    <n v="0"/>
    <n v="7"/>
    <n v="7"/>
    <m/>
    <n v="14"/>
    <s v="Searching"/>
    <m/>
    <m/>
    <m/>
  </r>
  <r>
    <s v="DSCN3443"/>
    <s v="SQ0422_3"/>
    <n v="3"/>
    <n v="1"/>
    <s v="Sasquatch"/>
    <d v="2019-04-22T00:00:00"/>
    <s v="April"/>
    <x v="0"/>
    <d v="1899-12-30T00:34:00"/>
    <s v="Partly cloudy"/>
    <x v="3"/>
    <s v="Foraging"/>
    <s v="NA"/>
    <n v="1"/>
    <n v="0"/>
    <n v="0"/>
    <s v="Unknown"/>
    <s v="unknown"/>
    <s v="Ground"/>
    <s v="NA"/>
    <m/>
    <m/>
    <m/>
    <s v="NA"/>
    <s v="NA"/>
    <s v="NA"/>
    <s v="NA"/>
    <s v="NA"/>
    <s v="NA"/>
    <s v="NA"/>
    <s v="NA"/>
    <n v="0"/>
    <n v="0"/>
    <n v="0"/>
    <n v="0"/>
    <n v="3"/>
    <m/>
    <n v="3"/>
    <s v="Searching"/>
    <m/>
    <m/>
    <m/>
  </r>
  <r>
    <s v="DSCN3445"/>
    <s v="SQ0422_4"/>
    <n v="4"/>
    <n v="1"/>
    <s v="Sasquatch"/>
    <d v="2019-04-22T00:00:00"/>
    <s v="April"/>
    <x v="0"/>
    <d v="1899-12-30T00:28:00"/>
    <s v="Partly cloudy"/>
    <x v="3"/>
    <s v="Foraging"/>
    <s v="NA"/>
    <n v="1"/>
    <n v="0"/>
    <n v="0"/>
    <s v="Unknown"/>
    <s v="unknown"/>
    <s v="Ground"/>
    <s v="NA"/>
    <m/>
    <m/>
    <m/>
    <s v="NA"/>
    <s v="NA"/>
    <s v="NA"/>
    <s v="NA"/>
    <s v="NA"/>
    <s v="NA"/>
    <s v="NA"/>
    <s v="NA"/>
    <n v="0"/>
    <n v="0"/>
    <n v="0"/>
    <n v="0"/>
    <n v="24"/>
    <m/>
    <n v="24"/>
    <s v="Searching"/>
    <m/>
    <m/>
    <m/>
  </r>
  <r>
    <s v="DSCN3449"/>
    <s v="SQ0422_7"/>
    <n v="7"/>
    <n v="1"/>
    <s v="Sasquatch"/>
    <d v="2019-04-22T00:00:00"/>
    <s v="April"/>
    <x v="0"/>
    <d v="1899-12-30T00:30:00"/>
    <s v="Partly cloudy"/>
    <x v="3"/>
    <s v="Foraging"/>
    <s v="NA"/>
    <n v="1"/>
    <n v="0"/>
    <n v="0"/>
    <s v="Unknown"/>
    <s v="unknown"/>
    <s v="Ground"/>
    <s v="NA"/>
    <m/>
    <m/>
    <m/>
    <s v="NA"/>
    <s v="NA"/>
    <s v="NA"/>
    <s v="NA"/>
    <s v="NA"/>
    <s v="NA"/>
    <s v="NA"/>
    <s v="NA"/>
    <n v="0"/>
    <n v="0"/>
    <n v="0"/>
    <n v="0"/>
    <n v="30"/>
    <m/>
    <n v="30"/>
    <s v="Searching"/>
    <m/>
    <m/>
    <m/>
  </r>
  <r>
    <s v="DSCN3451"/>
    <s v="SQ0422_9"/>
    <n v="9"/>
    <n v="1"/>
    <s v="Sasquatch"/>
    <d v="2019-04-22T00:00:00"/>
    <s v="April"/>
    <x v="0"/>
    <d v="1899-12-30T01:06:00"/>
    <s v="Partly cloudy"/>
    <x v="3"/>
    <s v="Foraging"/>
    <s v="NA"/>
    <n v="1"/>
    <n v="0"/>
    <n v="0"/>
    <s v="Unknown"/>
    <s v="unknown"/>
    <s v="Ground"/>
    <s v="NA"/>
    <m/>
    <m/>
    <m/>
    <s v="NA"/>
    <s v="NA"/>
    <s v="NA"/>
    <s v="NA"/>
    <s v="NA"/>
    <s v="NA"/>
    <s v="NA"/>
    <s v="NA"/>
    <n v="0"/>
    <n v="0"/>
    <n v="0"/>
    <n v="0"/>
    <n v="66"/>
    <m/>
    <n v="66"/>
    <s v="Searching"/>
    <m/>
    <m/>
    <m/>
  </r>
  <r>
    <s v="DSCN3342"/>
    <s v="SQ0422_2"/>
    <n v="2"/>
    <n v="1"/>
    <s v="Sasquatch"/>
    <d v="2019-04-22T00:00:00"/>
    <s v="April"/>
    <x v="0"/>
    <d v="1899-12-30T00:27:00"/>
    <s v="Partly cloudy"/>
    <x v="3"/>
    <s v="Foraging"/>
    <s v="NA"/>
    <n v="1"/>
    <n v="0"/>
    <n v="0"/>
    <s v="Insect"/>
    <s v="Insect (grub/caterpillar)"/>
    <s v="Ground"/>
    <s v="NA"/>
    <m/>
    <m/>
    <m/>
    <s v="NA"/>
    <s v="NA"/>
    <s v="NA"/>
    <s v="NA"/>
    <s v="NA"/>
    <s v="NA"/>
    <s v="NA"/>
    <s v="NA"/>
    <n v="0"/>
    <n v="0"/>
    <n v="0"/>
    <n v="0"/>
    <n v="17"/>
    <m/>
    <n v="17"/>
    <s v="Searching"/>
    <m/>
    <m/>
    <m/>
  </r>
  <r>
    <s v="DSCN3445"/>
    <s v="SQ0422_4"/>
    <n v="4"/>
    <n v="2"/>
    <s v="Sasquatch"/>
    <d v="2019-04-22T00:00:00"/>
    <s v="April"/>
    <x v="0"/>
    <d v="1899-12-30T00:28:00"/>
    <s v="Partly cloudy"/>
    <x v="3"/>
    <s v="Foraging"/>
    <s v="NA"/>
    <n v="1"/>
    <n v="0"/>
    <n v="0"/>
    <s v="Insect"/>
    <s v="Insect (grub/caterpillar)"/>
    <s v="Ground"/>
    <s v="NA"/>
    <m/>
    <m/>
    <m/>
    <s v="NA"/>
    <s v="NA"/>
    <s v="NA"/>
    <s v="NA"/>
    <s v="NA"/>
    <s v="NA"/>
    <s v="NA"/>
    <s v="NA"/>
    <n v="0"/>
    <n v="0"/>
    <n v="0"/>
    <n v="0"/>
    <n v="2"/>
    <m/>
    <n v="2"/>
    <s v="Searching"/>
    <m/>
    <m/>
    <m/>
  </r>
  <r>
    <s v="DSCN3447"/>
    <s v="SQ0422_5"/>
    <n v="5"/>
    <n v="1"/>
    <s v="Sasquatch"/>
    <d v="2019-04-22T00:00:00"/>
    <s v="April"/>
    <x v="0"/>
    <d v="1899-12-30T00:32:00"/>
    <s v="Partly cloudy"/>
    <x v="3"/>
    <s v="Foraging"/>
    <s v="NA"/>
    <n v="1"/>
    <n v="0"/>
    <n v="0"/>
    <s v="Insect"/>
    <s v="Insect (caterpiller)"/>
    <s v="Ground"/>
    <s v="NA"/>
    <m/>
    <m/>
    <m/>
    <s v="NA"/>
    <s v="NA"/>
    <s v="NA"/>
    <s v="NA"/>
    <s v="NA"/>
    <s v="NA"/>
    <s v="NA"/>
    <s v="NA"/>
    <n v="0"/>
    <n v="0"/>
    <n v="0"/>
    <n v="0"/>
    <n v="0"/>
    <m/>
    <n v="0"/>
    <m/>
    <s v="Missed acquisition"/>
    <m/>
    <m/>
  </r>
  <r>
    <s v="DSCN3448"/>
    <s v="SQ0422_6"/>
    <n v="6"/>
    <n v="1"/>
    <s v="Sasquatch"/>
    <d v="2019-04-22T00:00:00"/>
    <s v="April"/>
    <x v="0"/>
    <d v="1899-12-30T00:25:00"/>
    <s v="Partly cloudy"/>
    <x v="3"/>
    <s v="Food handling"/>
    <s v="NA"/>
    <n v="0"/>
    <n v="0"/>
    <n v="0"/>
    <m/>
    <s v="NA"/>
    <s v="NA"/>
    <s v="NA"/>
    <m/>
    <m/>
    <m/>
    <s v="NA"/>
    <s v="NA"/>
    <s v="NA"/>
    <s v="NA"/>
    <s v="NA"/>
    <s v="NA"/>
    <s v="NA"/>
    <s v="NA"/>
    <n v="0"/>
    <n v="0"/>
    <n v="0"/>
    <n v="0"/>
    <n v="0"/>
    <m/>
    <n v="0"/>
    <m/>
    <s v="Manipulating the food it had already gathered"/>
    <m/>
    <m/>
  </r>
  <r>
    <s v="dscn3437"/>
    <s v="SQ0422_1"/>
    <n v="1"/>
    <n v="1"/>
    <s v="Sasquatch"/>
    <d v="2019-04-22T00:00:00"/>
    <s v="April"/>
    <x v="0"/>
    <d v="1899-12-30T00:20:00"/>
    <s v="Partly cloudy"/>
    <x v="3"/>
    <s v="Foraging"/>
    <s v="NA"/>
    <s v="unknown"/>
    <n v="0"/>
    <n v="0"/>
    <m/>
    <s v="NA"/>
    <s v="NA"/>
    <s v="NA"/>
    <m/>
    <m/>
    <m/>
    <s v="NA"/>
    <s v="NA"/>
    <s v="NA"/>
    <s v="NA"/>
    <s v="NA"/>
    <s v="NA"/>
    <s v="NA"/>
    <s v="NA"/>
    <n v="0"/>
    <n v="0"/>
    <n v="0"/>
    <n v="0"/>
    <n v="20"/>
    <m/>
    <n v="20"/>
    <s v="Searching"/>
    <m/>
    <m/>
    <m/>
  </r>
  <r>
    <s v="DSCN3452"/>
    <s v="SQ0422_10"/>
    <n v="10"/>
    <n v="1"/>
    <s v="Sasquatch"/>
    <d v="2019-04-22T00:00:00"/>
    <s v="April"/>
    <x v="0"/>
    <d v="1899-12-30T01:38:00"/>
    <s v="Partly cloudy"/>
    <x v="3"/>
    <s v="Foraging"/>
    <s v="NA"/>
    <s v="unknown"/>
    <n v="0"/>
    <n v="0"/>
    <m/>
    <s v="NA"/>
    <s v="NA"/>
    <s v="NA"/>
    <m/>
    <m/>
    <m/>
    <s v="NA"/>
    <s v="NA"/>
    <s v="NA"/>
    <s v="NA"/>
    <s v="NA"/>
    <s v="NA"/>
    <s v="NA"/>
    <s v="NA"/>
    <n v="0"/>
    <n v="0"/>
    <n v="0"/>
    <n v="0"/>
    <n v="98"/>
    <m/>
    <n v="98"/>
    <s v="Searching"/>
    <m/>
    <m/>
    <m/>
  </r>
  <r>
    <s v="DSCN3453"/>
    <s v="SQ0422_11"/>
    <n v="11"/>
    <n v="1"/>
    <s v="Sasquatch"/>
    <d v="2019-04-22T00:00:00"/>
    <s v="April"/>
    <x v="0"/>
    <d v="1899-12-30T00:38:00"/>
    <s v="Partly cloudy"/>
    <x v="3"/>
    <s v="Foraging"/>
    <s v="NA"/>
    <s v="unknown"/>
    <n v="0"/>
    <n v="0"/>
    <m/>
    <s v="NA"/>
    <s v="NA"/>
    <s v="NA"/>
    <m/>
    <m/>
    <m/>
    <s v="NA"/>
    <s v="NA"/>
    <s v="NA"/>
    <s v="NA"/>
    <s v="NA"/>
    <s v="NA"/>
    <s v="NA"/>
    <s v="NA"/>
    <n v="0"/>
    <n v="0"/>
    <n v="0"/>
    <n v="0"/>
    <n v="38"/>
    <m/>
    <n v="38"/>
    <s v="Searching"/>
    <m/>
    <m/>
    <m/>
  </r>
  <r>
    <s v="DSCN3447"/>
    <s v="SQ0422_5"/>
    <n v="5"/>
    <n v="3"/>
    <s v="Sasquatch"/>
    <d v="2019-04-22T00:00:00"/>
    <s v="April"/>
    <x v="0"/>
    <d v="1899-12-30T00:32:00"/>
    <s v="Partly cloudy"/>
    <x v="3"/>
    <s v="Foraging"/>
    <s v="NA"/>
    <s v="unknown"/>
    <n v="0"/>
    <n v="0"/>
    <m/>
    <s v="NA"/>
    <s v="NA"/>
    <s v="NA"/>
    <m/>
    <m/>
    <m/>
    <s v="NA"/>
    <s v="NA"/>
    <s v="NA"/>
    <s v="NA"/>
    <s v="NA"/>
    <s v="NA"/>
    <s v="NA"/>
    <s v="NA"/>
    <n v="0"/>
    <n v="0"/>
    <n v="0"/>
    <n v="0"/>
    <n v="18"/>
    <m/>
    <n v="18"/>
    <s v="Searching"/>
    <s v="once it drops to the ground it looks like it has another B&amp;Uggy thing, B&amp;Ut maybe same thing from before? "/>
    <m/>
    <m/>
  </r>
  <r>
    <s v="DSCN3450"/>
    <s v="SQ0422_8"/>
    <n v="8"/>
    <n v="1"/>
    <s v="Sasquatch"/>
    <d v="2019-04-22T00:00:00"/>
    <s v="April"/>
    <x v="0"/>
    <d v="1899-12-30T00:24:00"/>
    <s v="Partly cloudy"/>
    <x v="3"/>
    <s v="Foraging"/>
    <s v="NA"/>
    <s v="unknown"/>
    <n v="0"/>
    <n v="0"/>
    <m/>
    <s v="NA"/>
    <s v="NA"/>
    <s v="NA"/>
    <m/>
    <m/>
    <m/>
    <s v="NA"/>
    <s v="NA"/>
    <s v="NA"/>
    <s v="NA"/>
    <s v="NA"/>
    <s v="NA"/>
    <s v="NA"/>
    <s v="NA"/>
    <n v="0"/>
    <n v="0"/>
    <n v="0"/>
    <n v="0"/>
    <n v="24"/>
    <m/>
    <n v="24"/>
    <s v="Searching"/>
    <m/>
    <m/>
    <m/>
  </r>
  <r>
    <s v="DSCN2809"/>
    <s v="CC0402_4"/>
    <n v="4"/>
    <n v="1"/>
    <s v="CCAMP"/>
    <d v="2019-04-02T00:00:00"/>
    <s v="April"/>
    <x v="0"/>
    <d v="1899-12-30T00:27:00"/>
    <m/>
    <x v="4"/>
    <s v="Caching"/>
    <s v="Spruce"/>
    <n v="1"/>
    <n v="0"/>
    <n v="1"/>
    <s v="Unknown"/>
    <s v="unknown"/>
    <s v="Ground"/>
    <s v="Exterior spruce foliage"/>
    <s v="Spruce"/>
    <s v="Exterior"/>
    <s v="Foliage"/>
    <s v="SE"/>
    <n v="115"/>
    <n v="21"/>
    <n v="63.724209999999999"/>
    <n v="148.95044999999999"/>
    <s v="NA"/>
    <s v="NA"/>
    <m/>
    <n v="0"/>
    <n v="0"/>
    <n v="0"/>
    <n v="0"/>
    <n v="0"/>
    <m/>
    <n v="0"/>
    <m/>
    <s v="Missed acquisition (on camera B&amp;Ut saw IRL)"/>
    <m/>
    <m/>
  </r>
  <r>
    <s v="DSCN2802"/>
    <s v="CC0402_1"/>
    <n v="1"/>
    <n v="1"/>
    <s v="CCAMP"/>
    <d v="2019-04-02T00:00:00"/>
    <s v="April"/>
    <x v="0"/>
    <d v="1899-12-30T00:42:00"/>
    <m/>
    <x v="4"/>
    <s v="Foraging"/>
    <s v="Spruce"/>
    <n v="1"/>
    <s v="unknown"/>
    <n v="0"/>
    <s v="Unknown"/>
    <s v="unknown"/>
    <s v="Exterior bare spruce branch"/>
    <s v="NA"/>
    <m/>
    <m/>
    <m/>
    <s v="NA"/>
    <s v="NA"/>
    <s v="NA"/>
    <s v="NA"/>
    <s v="NA"/>
    <s v="NA"/>
    <s v="NA"/>
    <m/>
    <n v="0"/>
    <n v="0"/>
    <n v="0"/>
    <n v="0"/>
    <n v="0"/>
    <m/>
    <n v="0"/>
    <m/>
    <s v="Flew directly to tree from perch. Camera started filming after it extracted food. "/>
    <m/>
    <m/>
  </r>
  <r>
    <s v="DSCN2804"/>
    <s v="CC0402_2"/>
    <n v="2"/>
    <n v="1"/>
    <s v="CCAMP"/>
    <d v="2019-04-02T00:00:00"/>
    <s v="April"/>
    <x v="0"/>
    <d v="1899-12-30T00:40:00"/>
    <m/>
    <x v="4"/>
    <s v="Foraging"/>
    <s v="NA"/>
    <n v="1"/>
    <n v="0"/>
    <n v="0"/>
    <s v="Unknown"/>
    <s v="unknown"/>
    <s v="Ground"/>
    <s v="NA"/>
    <m/>
    <m/>
    <m/>
    <s v="NA"/>
    <s v="NA"/>
    <s v="NA"/>
    <s v="NA"/>
    <s v="NA"/>
    <s v="NA"/>
    <s v="NA"/>
    <m/>
    <n v="0"/>
    <n v="0"/>
    <n v="0"/>
    <n v="0"/>
    <n v="38"/>
    <m/>
    <n v="38"/>
    <s v="Searching"/>
    <m/>
    <m/>
    <m/>
  </r>
  <r>
    <s v="DSCN2807"/>
    <s v="CC0402_3"/>
    <n v="3"/>
    <n v="1"/>
    <s v="CCAMP"/>
    <d v="2019-04-02T00:00:00"/>
    <s v="April"/>
    <x v="0"/>
    <d v="1899-12-30T00:16:00"/>
    <m/>
    <x v="4"/>
    <s v="Foraging"/>
    <s v="NA"/>
    <n v="0"/>
    <n v="0"/>
    <n v="0"/>
    <m/>
    <s v="NA"/>
    <s v="NA"/>
    <s v="NA"/>
    <m/>
    <m/>
    <m/>
    <s v="NA"/>
    <s v="NA"/>
    <s v="NA"/>
    <s v="NA"/>
    <s v="NA"/>
    <s v="NA"/>
    <s v="NA"/>
    <m/>
    <n v="0"/>
    <n v="0"/>
    <n v="0"/>
    <n v="0"/>
    <n v="16"/>
    <m/>
    <n v="16"/>
    <s v="Searching"/>
    <m/>
    <m/>
    <m/>
  </r>
  <r>
    <s v="DSCN3205"/>
    <s v="CC0416_5"/>
    <n v="5"/>
    <n v="1"/>
    <s v="CCAMP"/>
    <d v="2019-04-16T00:00:00"/>
    <s v="April"/>
    <x v="0"/>
    <d v="1899-12-30T00:48:00"/>
    <s v="Mostly cloudy"/>
    <x v="4"/>
    <s v="Foraging"/>
    <s v="NA"/>
    <n v="1"/>
    <n v="0"/>
    <n v="0"/>
    <s v="Unknown"/>
    <s v="unknown"/>
    <s v="Ground"/>
    <s v="NA"/>
    <m/>
    <m/>
    <m/>
    <s v="NA"/>
    <s v="NA"/>
    <s v="NA"/>
    <s v="NA"/>
    <s v="NA"/>
    <s v="NA"/>
    <s v="NA"/>
    <m/>
    <n v="0"/>
    <n v="0"/>
    <n v="0"/>
    <n v="0"/>
    <n v="48"/>
    <m/>
    <n v="48"/>
    <s v="Searching"/>
    <m/>
    <m/>
    <m/>
  </r>
  <r>
    <s v="DSCN3188"/>
    <s v="CC0416_1"/>
    <n v="1"/>
    <n v="1"/>
    <s v="CCAMP"/>
    <d v="2019-04-16T00:00:00"/>
    <s v="April"/>
    <x v="0"/>
    <d v="1899-12-30T00:05:00"/>
    <s v="Mostly cloudy"/>
    <x v="4"/>
    <s v="Foraging"/>
    <s v="NA"/>
    <n v="1"/>
    <n v="0"/>
    <n v="0"/>
    <s v="Insect"/>
    <s v="Insect (grub/caterpillar)"/>
    <s v="Ground"/>
    <s v="NA"/>
    <m/>
    <m/>
    <m/>
    <s v="NA"/>
    <s v="NA"/>
    <s v="NA"/>
    <s v="NA"/>
    <s v="NA"/>
    <s v="NA"/>
    <s v="NA"/>
    <m/>
    <n v="0"/>
    <n v="0"/>
    <n v="0"/>
    <n v="0"/>
    <n v="0"/>
    <m/>
    <n v="0"/>
    <m/>
    <s v="Missed initial acquisition"/>
    <m/>
    <m/>
  </r>
  <r>
    <s v="DSCN3207"/>
    <s v="CC0416_6"/>
    <n v="7"/>
    <n v="2"/>
    <s v="CCAMP"/>
    <d v="2019-04-16T00:00:00"/>
    <s v="April"/>
    <x v="0"/>
    <d v="1899-12-30T00:52:00"/>
    <s v="Mostly cloudy"/>
    <x v="4"/>
    <s v="Foraging"/>
    <s v="NA"/>
    <n v="1"/>
    <n v="0"/>
    <n v="0"/>
    <s v="Insect"/>
    <s v="Insect (grub/caterpillar)"/>
    <s v="Ground"/>
    <s v="NA"/>
    <m/>
    <m/>
    <m/>
    <s v="NA"/>
    <s v="NA"/>
    <s v="NA"/>
    <s v="NA"/>
    <s v="NA"/>
    <s v="NA"/>
    <s v="NA"/>
    <m/>
    <n v="0"/>
    <n v="0"/>
    <n v="0"/>
    <n v="0"/>
    <n v="47"/>
    <m/>
    <n v="47"/>
    <s v="Searching"/>
    <m/>
    <m/>
    <m/>
  </r>
  <r>
    <s v="DSCN3207"/>
    <s v="CC0416_6"/>
    <n v="7"/>
    <n v="1"/>
    <s v="CCAMP"/>
    <d v="2019-04-16T00:00:00"/>
    <s v="April"/>
    <x v="0"/>
    <d v="1899-12-30T00:52:00"/>
    <s v="Mostly cloudy"/>
    <x v="4"/>
    <s v="Foraging"/>
    <s v="Spruce"/>
    <n v="1"/>
    <n v="0"/>
    <n v="0"/>
    <s v="Insect"/>
    <s v="Insect"/>
    <s v="Spruce sapling trunk"/>
    <s v="NA"/>
    <m/>
    <m/>
    <m/>
    <s v="NA"/>
    <s v="NA"/>
    <s v="NA"/>
    <s v="NA"/>
    <s v="NA"/>
    <s v="NA"/>
    <s v="NA"/>
    <m/>
    <n v="5"/>
    <n v="0"/>
    <n v="5"/>
    <n v="0"/>
    <n v="0"/>
    <m/>
    <n v="5"/>
    <s v="Gleaning"/>
    <m/>
    <n v="0"/>
    <n v="1"/>
  </r>
  <r>
    <s v="DSCN3199"/>
    <s v="CC0416_2"/>
    <n v="2"/>
    <n v="1"/>
    <s v="CCAMP"/>
    <d v="2019-04-16T00:00:00"/>
    <s v="April"/>
    <x v="0"/>
    <d v="1899-12-30T00:20:00"/>
    <s v="Mostly cloudy"/>
    <x v="4"/>
    <s v="Foraging"/>
    <s v="Spruce"/>
    <n v="0"/>
    <n v="0"/>
    <n v="0"/>
    <m/>
    <s v="NA"/>
    <s v="NA"/>
    <s v="NA"/>
    <m/>
    <m/>
    <m/>
    <s v="NA"/>
    <s v="NA"/>
    <s v="NA"/>
    <s v="NA"/>
    <s v="NA"/>
    <s v="NA"/>
    <s v="NA"/>
    <m/>
    <n v="11"/>
    <n v="0"/>
    <n v="11"/>
    <n v="0"/>
    <n v="5"/>
    <m/>
    <n v="16"/>
    <s v="Searching"/>
    <s v="In slowmo you can see that it is not caching, B&amp;Ut rather chasing an insect.  The B&amp;Ug gets away "/>
    <m/>
    <m/>
  </r>
  <r>
    <s v="DSCN3417"/>
    <s v="CC0422_17"/>
    <n v="17"/>
    <n v="1"/>
    <s v="CCAMP"/>
    <d v="2019-04-22T00:00:00"/>
    <s v="April"/>
    <x v="0"/>
    <d v="1899-12-30T01:22:00"/>
    <s v="Partly cloudy"/>
    <x v="4"/>
    <s v="Food handling/caching"/>
    <s v="Spruce"/>
    <n v="0"/>
    <n v="0"/>
    <n v="1"/>
    <s v="Unknown"/>
    <s v="unknown"/>
    <s v="unknown"/>
    <s v="Exterior spruce branch under bark"/>
    <s v="Spruce"/>
    <s v="Exterior"/>
    <s v="Under bark"/>
    <m/>
    <m/>
    <s v="unknown"/>
    <n v="63.722610000000003"/>
    <n v="148.94719000000001"/>
    <s v="NA"/>
    <s v="NA"/>
    <s v="NA"/>
    <n v="0"/>
    <n v="0"/>
    <n v="0"/>
    <n v="0"/>
    <n v="0"/>
    <m/>
    <n v="0"/>
    <m/>
    <s v="Processing a black caterpiller and stopped to make two separate caches in the same tree"/>
    <m/>
    <m/>
  </r>
  <r>
    <s v="DSCN3417"/>
    <s v="CC0422_17"/>
    <n v="17"/>
    <n v="2"/>
    <s v="CCAMP"/>
    <d v="2019-04-22T00:00:00"/>
    <s v="April"/>
    <x v="0"/>
    <d v="1899-12-30T01:22:00"/>
    <s v="Partly cloudy"/>
    <x v="4"/>
    <s v="Food handling/caching"/>
    <s v="Spruce"/>
    <n v="0"/>
    <n v="0"/>
    <n v="1"/>
    <s v="Unknown"/>
    <s v="unknown"/>
    <s v="unknown"/>
    <s v="Exterior spruce branch under bark"/>
    <s v="Spruce"/>
    <s v="Exterior"/>
    <s v="Under bark"/>
    <m/>
    <m/>
    <s v="unknown"/>
    <n v="63.722610000000003"/>
    <n v="148.94719000000001"/>
    <s v="NA"/>
    <s v="NA"/>
    <s v="NA"/>
    <n v="0"/>
    <n v="0"/>
    <n v="0"/>
    <n v="0"/>
    <n v="0"/>
    <m/>
    <n v="0"/>
    <m/>
    <s v="Processing a black caterpiller and stopped to make two separate caches in the same tree"/>
    <m/>
    <m/>
  </r>
  <r>
    <s v="DSCN3391"/>
    <s v="CC0422_1"/>
    <n v="1"/>
    <n v="1"/>
    <s v="CCAMP"/>
    <d v="2019-04-22T00:00:00"/>
    <s v="April"/>
    <x v="0"/>
    <d v="1899-12-30T00:14:00"/>
    <s v="Partly cloudy"/>
    <x v="4"/>
    <s v="Foraging"/>
    <s v="NA"/>
    <n v="1"/>
    <n v="0"/>
    <n v="0"/>
    <s v="Unknown"/>
    <s v="unknown"/>
    <s v="Ground"/>
    <s v="NA"/>
    <m/>
    <m/>
    <m/>
    <s v="NA"/>
    <s v="NA"/>
    <s v="NA"/>
    <s v="NA"/>
    <s v="NA"/>
    <s v="NA"/>
    <s v="NA"/>
    <s v="NA"/>
    <n v="0"/>
    <n v="0"/>
    <n v="0"/>
    <n v="0"/>
    <n v="20"/>
    <m/>
    <n v="20"/>
    <s v="Searching"/>
    <m/>
    <m/>
    <m/>
  </r>
  <r>
    <s v="DSCN3223"/>
    <s v="CC0422_21"/>
    <n v="21"/>
    <n v="1"/>
    <s v="CCAMP"/>
    <d v="2019-04-22T00:00:00"/>
    <s v="April"/>
    <x v="0"/>
    <d v="1899-12-30T00:14:00"/>
    <s v="Partly cloudy"/>
    <x v="4"/>
    <s v="Foraging"/>
    <s v="NA"/>
    <n v="1"/>
    <n v="0"/>
    <n v="0"/>
    <s v="Unknown"/>
    <s v="unknown"/>
    <s v="Ground"/>
    <s v="NA"/>
    <m/>
    <m/>
    <m/>
    <s v="NA"/>
    <s v="NA"/>
    <s v="NA"/>
    <s v="NA"/>
    <s v="NA"/>
    <s v="NA"/>
    <s v="NA"/>
    <s v="NA"/>
    <n v="0"/>
    <n v="0"/>
    <n v="0"/>
    <n v="0"/>
    <n v="14"/>
    <m/>
    <n v="14"/>
    <s v="Searching"/>
    <m/>
    <m/>
    <m/>
  </r>
  <r>
    <s v="DSCN3395"/>
    <s v="CC0422_3"/>
    <n v="3"/>
    <n v="1"/>
    <s v="CCAMP"/>
    <d v="2019-04-22T00:00:00"/>
    <s v="April"/>
    <x v="0"/>
    <d v="1899-12-30T00:40:00"/>
    <s v="Partly cloudy"/>
    <x v="4"/>
    <s v="Food handling/caching"/>
    <s v="NA"/>
    <n v="0"/>
    <n v="0"/>
    <n v="1"/>
    <s v="Insect"/>
    <s v="Insect (Black caterpiller)"/>
    <s v="NA"/>
    <s v="Interior spruce foliage"/>
    <s v="Spruce"/>
    <s v="Interior"/>
    <s v="Foliage"/>
    <m/>
    <m/>
    <s v="unknown"/>
    <n v="63.722679999999997"/>
    <n v="148.95184"/>
    <s v="NA"/>
    <s v="NA"/>
    <s v="RC102418_CT7"/>
    <n v="0"/>
    <m/>
    <n v="0"/>
    <n v="0"/>
    <n v="0"/>
    <m/>
    <n v="0"/>
    <s v="Searching"/>
    <m/>
    <m/>
    <m/>
  </r>
  <r>
    <s v="DSCN3415"/>
    <s v="CC0422_16"/>
    <n v="16"/>
    <n v="1"/>
    <s v="CCAMP"/>
    <d v="2019-04-22T00:00:00"/>
    <s v="April"/>
    <x v="0"/>
    <d v="1899-12-30T00:15:00"/>
    <s v="Partly cloudy"/>
    <x v="4"/>
    <s v="Foraging"/>
    <s v="NA"/>
    <n v="1"/>
    <n v="0"/>
    <n v="0"/>
    <s v="Insect"/>
    <s v="Insect (Black caterpiller)"/>
    <s v="Ground"/>
    <s v="NA"/>
    <m/>
    <m/>
    <m/>
    <s v="NA"/>
    <s v="NA"/>
    <s v="NA"/>
    <s v="NA"/>
    <s v="NA"/>
    <s v="NA"/>
    <s v="NA"/>
    <s v="NA"/>
    <n v="0"/>
    <n v="0"/>
    <n v="0"/>
    <n v="0"/>
    <n v="15"/>
    <m/>
    <n v="15"/>
    <s v="Searching"/>
    <m/>
    <m/>
    <m/>
  </r>
  <r>
    <s v="DSCN3418"/>
    <s v="CC0422_18"/>
    <n v="18"/>
    <n v="1"/>
    <s v="CCAMP"/>
    <d v="2019-04-22T00:00:00"/>
    <s v="April"/>
    <x v="0"/>
    <d v="1899-12-30T00:35:00"/>
    <s v="Partly cloudy"/>
    <x v="4"/>
    <s v="Foraging"/>
    <s v="NA"/>
    <n v="1"/>
    <n v="0"/>
    <n v="0"/>
    <s v="Insect"/>
    <s v="Insect (Black caterpiller)"/>
    <s v="Ground"/>
    <s v="NA"/>
    <m/>
    <m/>
    <m/>
    <s v="NA"/>
    <s v="NA"/>
    <s v="NA"/>
    <s v="NA"/>
    <s v="NA"/>
    <s v="NA"/>
    <s v="NA"/>
    <s v="NA"/>
    <n v="0"/>
    <n v="0"/>
    <n v="0"/>
    <n v="0"/>
    <n v="35"/>
    <m/>
    <n v="35"/>
    <s v="Searching"/>
    <m/>
    <m/>
    <m/>
  </r>
  <r>
    <s v="DSCN3393"/>
    <s v="CC0422_2"/>
    <n v="2"/>
    <n v="1"/>
    <s v="CCAMP"/>
    <d v="2019-04-22T00:00:00"/>
    <s v="April"/>
    <x v="0"/>
    <d v="1899-12-30T00:26:00"/>
    <s v="Partly cloudy"/>
    <x v="4"/>
    <s v="Foraging"/>
    <s v="NA"/>
    <n v="1"/>
    <n v="0"/>
    <n v="0"/>
    <s v="Insect"/>
    <s v="Insect (Black caterpiller)"/>
    <s v="Ground"/>
    <s v="NA"/>
    <m/>
    <m/>
    <m/>
    <s v="NA"/>
    <s v="NA"/>
    <s v="NA"/>
    <s v="NA"/>
    <s v="NA"/>
    <s v="NA"/>
    <s v="NA"/>
    <s v="NA"/>
    <n v="0"/>
    <n v="0"/>
    <n v="0"/>
    <n v="0"/>
    <n v="26"/>
    <m/>
    <n v="26"/>
    <s v="Searching"/>
    <m/>
    <m/>
    <m/>
  </r>
  <r>
    <s v="DSCN3557"/>
    <s v="CC0425_25"/>
    <n v="25"/>
    <n v="1"/>
    <s v="CCAMP"/>
    <d v="2019-04-25T00:00:00"/>
    <s v="April"/>
    <x v="0"/>
    <d v="1899-12-30T01:32:00"/>
    <s v="Partly cloudy"/>
    <x v="4"/>
    <s v="Foraging"/>
    <s v="NA"/>
    <n v="1"/>
    <n v="1"/>
    <n v="0"/>
    <s v="Unknown"/>
    <s v="Unknown (maybe mushroom?)"/>
    <s v="Exterior bare spruce branch"/>
    <s v="NA"/>
    <m/>
    <m/>
    <m/>
    <s v="NA"/>
    <s v="NA"/>
    <s v="NA"/>
    <s v="NA"/>
    <s v="NA"/>
    <n v="63.724789999999999"/>
    <n v="148.94768999999999"/>
    <s v="NA"/>
    <n v="2"/>
    <n v="0"/>
    <n v="0"/>
    <n v="2"/>
    <n v="88"/>
    <m/>
    <n v="90"/>
    <s v="Searching/probing"/>
    <m/>
    <n v="1"/>
    <n v="0"/>
  </r>
  <r>
    <s v="DSCN3572"/>
    <s v="CC0425_37"/>
    <n v="37"/>
    <n v="1"/>
    <s v="CCAMP"/>
    <d v="2019-04-25T00:00:00"/>
    <s v="April"/>
    <x v="0"/>
    <d v="1899-12-30T00:19:00"/>
    <s v="Partly cloudy"/>
    <x v="4"/>
    <s v="Foraging"/>
    <s v="Spruce"/>
    <n v="1"/>
    <s v="unknown"/>
    <n v="0"/>
    <s v="Unknown"/>
    <s v="unknown"/>
    <s v="Exterior spruce branch on bark"/>
    <s v="NA"/>
    <m/>
    <m/>
    <m/>
    <s v="NA"/>
    <s v="NA"/>
    <s v="NA"/>
    <s v="NA"/>
    <s v="NA"/>
    <s v="NA"/>
    <s v="NA"/>
    <s v="NA"/>
    <n v="0"/>
    <n v="0"/>
    <n v="0"/>
    <n v="0"/>
    <n v="5"/>
    <m/>
    <n v="5"/>
    <s v="Searching"/>
    <s v="Willow branch doesn't really have interior or exterior "/>
    <m/>
    <m/>
  </r>
  <r>
    <s v="DSCN3565"/>
    <s v="CC0424_31"/>
    <n v="31"/>
    <n v="1"/>
    <s v="CCAMP"/>
    <d v="2019-04-25T00:00:00"/>
    <s v="April"/>
    <x v="0"/>
    <d v="1899-12-30T00:30:00"/>
    <s v="Partly cloudy"/>
    <x v="4"/>
    <s v="Foraging"/>
    <s v="NA"/>
    <n v="1"/>
    <n v="0"/>
    <n v="0"/>
    <s v="Unknown"/>
    <s v="unknown"/>
    <s v="Ground"/>
    <s v="NA"/>
    <m/>
    <m/>
    <m/>
    <s v="NA"/>
    <s v="NA"/>
    <s v="NA"/>
    <s v="NA"/>
    <s v="NA"/>
    <s v="NA"/>
    <s v="NA"/>
    <s v="NA"/>
    <n v="0"/>
    <n v="0"/>
    <n v="0"/>
    <n v="0"/>
    <n v="30"/>
    <m/>
    <n v="30"/>
    <s v="Searching"/>
    <m/>
    <m/>
    <m/>
  </r>
  <r>
    <s v="DSCN3560"/>
    <s v="CC0425_27"/>
    <n v="27"/>
    <n v="1"/>
    <s v="CCAMP"/>
    <d v="2019-04-25T00:00:00"/>
    <s v="April"/>
    <x v="0"/>
    <d v="1899-12-30T02:31:00"/>
    <s v="Partly cloudy"/>
    <x v="4"/>
    <s v="Foraging"/>
    <s v="NA"/>
    <n v="1"/>
    <n v="0"/>
    <n v="0"/>
    <s v="Unknown"/>
    <s v="unknown"/>
    <s v="Ground"/>
    <s v="NA"/>
    <m/>
    <m/>
    <m/>
    <s v="NA"/>
    <s v="NA"/>
    <s v="NA"/>
    <s v="NA"/>
    <s v="NA"/>
    <s v="NA"/>
    <s v="NA"/>
    <s v="NA"/>
    <n v="0"/>
    <n v="0"/>
    <n v="0"/>
    <n v="0"/>
    <n v="20"/>
    <m/>
    <n v="20"/>
    <s v="Searching"/>
    <m/>
    <m/>
    <m/>
  </r>
  <r>
    <s v="DSCN3563"/>
    <s v="CC0425_29"/>
    <n v="29"/>
    <n v="1"/>
    <s v="CCAMP"/>
    <d v="2019-04-25T00:00:00"/>
    <s v="April"/>
    <x v="0"/>
    <d v="1899-12-30T00:36:00"/>
    <s v="Partly cloudy"/>
    <x v="4"/>
    <s v="Foraging"/>
    <s v="NA"/>
    <n v="1"/>
    <n v="0"/>
    <n v="0"/>
    <s v="Unknown"/>
    <s v="unknown"/>
    <s v="Ground"/>
    <s v="NA"/>
    <m/>
    <m/>
    <m/>
    <s v="NA"/>
    <s v="NA"/>
    <s v="NA"/>
    <s v="NA"/>
    <s v="NA"/>
    <s v="NA"/>
    <s v="NA"/>
    <s v="NA"/>
    <n v="0"/>
    <n v="0"/>
    <n v="0"/>
    <n v="0"/>
    <n v="36"/>
    <m/>
    <n v="36"/>
    <s v="Searching"/>
    <m/>
    <m/>
    <m/>
  </r>
  <r>
    <s v="DSCN3548"/>
    <s v="CC0425_19"/>
    <n v="19"/>
    <n v="1"/>
    <s v="CCAMP"/>
    <d v="2019-04-25T00:00:00"/>
    <s v="April"/>
    <x v="0"/>
    <d v="1899-12-30T00:35:00"/>
    <s v="Partly cloudy"/>
    <x v="4"/>
    <s v="Foraging"/>
    <s v="NA"/>
    <n v="1"/>
    <n v="0"/>
    <n v="0"/>
    <s v="Unknown"/>
    <s v="unknown"/>
    <s v="NA"/>
    <s v="NA"/>
    <m/>
    <m/>
    <m/>
    <s v="NA"/>
    <s v="NA"/>
    <s v="NA"/>
    <s v="NA"/>
    <s v="NA"/>
    <s v="NA"/>
    <s v="NA"/>
    <s v="NA"/>
    <n v="0"/>
    <n v="0"/>
    <n v="0"/>
    <n v="0"/>
    <n v="35"/>
    <m/>
    <n v="35"/>
    <s v="Searching"/>
    <m/>
    <m/>
    <m/>
  </r>
  <r>
    <s v="DSCN3533"/>
    <s v="CC0425_9"/>
    <n v="9"/>
    <n v="1"/>
    <s v="CCAMP"/>
    <d v="2019-04-25T00:00:00"/>
    <s v="April"/>
    <x v="0"/>
    <d v="1899-12-30T00:53:00"/>
    <s v="Partly cloudy"/>
    <x v="4"/>
    <s v="Foraging"/>
    <s v="NA"/>
    <n v="1"/>
    <n v="0"/>
    <n v="0"/>
    <s v="Unknown"/>
    <s v="unknown"/>
    <s v="Spruce trunk"/>
    <s v="NA"/>
    <m/>
    <m/>
    <m/>
    <s v="NA"/>
    <s v="NA"/>
    <s v="NA"/>
    <s v="NA"/>
    <s v="NA"/>
    <s v="NA"/>
    <s v="NA"/>
    <s v="NA"/>
    <n v="2"/>
    <n v="0"/>
    <n v="2"/>
    <n v="0"/>
    <n v="51"/>
    <m/>
    <n v="53"/>
    <s v="Searching"/>
    <m/>
    <m/>
    <m/>
  </r>
  <r>
    <s v="DSCN3571"/>
    <s v="CC0425_36"/>
    <n v="36"/>
    <n v="1"/>
    <s v="CCAMP"/>
    <d v="2019-04-25T00:00:00"/>
    <s v="April"/>
    <x v="0"/>
    <d v="1899-12-30T00:39:00"/>
    <s v="Partly cloudy"/>
    <x v="4"/>
    <s v="Foraging"/>
    <s v="Willow"/>
    <n v="1"/>
    <s v="unknown"/>
    <n v="0"/>
    <s v="Unknown"/>
    <s v="unknown"/>
    <s v="Willow branch"/>
    <s v="NA"/>
    <m/>
    <m/>
    <m/>
    <s v="NA"/>
    <s v="NA"/>
    <s v="NA"/>
    <s v="NA"/>
    <s v="NA"/>
    <s v="NA"/>
    <s v="NA"/>
    <s v="NA"/>
    <n v="3"/>
    <n v="0"/>
    <n v="0"/>
    <n v="3"/>
    <n v="35"/>
    <m/>
    <n v="38"/>
    <s v="Searching/gleaning"/>
    <m/>
    <n v="0"/>
    <n v="1"/>
  </r>
  <r>
    <s v="DSCN3560"/>
    <s v="CC0425_27"/>
    <n v="27"/>
    <n v="1"/>
    <s v="CCAMP"/>
    <d v="2019-04-25T00:00:00"/>
    <s v="April"/>
    <x v="0"/>
    <d v="1899-12-30T02:31:00"/>
    <s v="Partly cloudy"/>
    <x v="4"/>
    <s v="Foraging"/>
    <s v="NA"/>
    <n v="1"/>
    <n v="0"/>
    <n v="0"/>
    <s v="Berry"/>
    <s v="Berry (crowberry)"/>
    <s v="Ground"/>
    <s v="NA"/>
    <m/>
    <m/>
    <m/>
    <s v="NA"/>
    <s v="NA"/>
    <s v="NA"/>
    <s v="NA"/>
    <s v="NA"/>
    <s v="NA"/>
    <s v="NA"/>
    <s v="NA"/>
    <n v="0"/>
    <n v="0"/>
    <n v="0"/>
    <n v="0"/>
    <n v="111"/>
    <m/>
    <n v="111"/>
    <s v="Searching"/>
    <m/>
    <m/>
    <m/>
  </r>
  <r>
    <s v="DSCN3536"/>
    <s v="CC0425_12"/>
    <n v="12"/>
    <n v="1"/>
    <s v="CCAMP"/>
    <d v="2019-04-25T00:00:00"/>
    <s v="April"/>
    <x v="0"/>
    <d v="1899-12-30T00:11:00"/>
    <s v="Partly cloudy"/>
    <x v="4"/>
    <s v="Foraging"/>
    <s v="NA"/>
    <n v="0"/>
    <n v="0"/>
    <n v="0"/>
    <m/>
    <s v="NA"/>
    <s v="NA"/>
    <s v="NA"/>
    <m/>
    <m/>
    <m/>
    <s v="NA"/>
    <s v="NA"/>
    <s v="NA"/>
    <s v="NA"/>
    <s v="NA"/>
    <s v="NA"/>
    <s v="NA"/>
    <s v="NA"/>
    <n v="0"/>
    <n v="0"/>
    <n v="0"/>
    <n v="0"/>
    <n v="11"/>
    <m/>
    <n v="11"/>
    <s v="Searching"/>
    <m/>
    <m/>
    <m/>
  </r>
  <r>
    <s v="DSCN3539"/>
    <s v="CC0425_15"/>
    <n v="15"/>
    <n v="1"/>
    <s v="CCAMP"/>
    <d v="2019-04-25T00:00:00"/>
    <s v="April"/>
    <x v="0"/>
    <d v="1899-12-30T00:19:00"/>
    <s v="Partly cloudy"/>
    <x v="4"/>
    <s v="Foraging"/>
    <s v="Spruce"/>
    <n v="0"/>
    <n v="0"/>
    <n v="0"/>
    <m/>
    <s v="NA"/>
    <s v="NA"/>
    <s v="NA"/>
    <m/>
    <m/>
    <m/>
    <s v="NA"/>
    <s v="NA"/>
    <s v="NA"/>
    <s v="NA"/>
    <s v="NA"/>
    <s v="NA"/>
    <s v="NA"/>
    <s v="NA"/>
    <n v="4"/>
    <n v="0"/>
    <n v="4"/>
    <n v="0"/>
    <n v="0"/>
    <m/>
    <n v="4"/>
    <s v="Searching/probing"/>
    <m/>
    <n v="4"/>
    <n v="0"/>
  </r>
  <r>
    <s v="DSCN3559"/>
    <s v="CC0425_26"/>
    <n v="26"/>
    <n v="1"/>
    <s v="CCAMP"/>
    <d v="2019-04-25T00:00:00"/>
    <s v="April"/>
    <x v="0"/>
    <d v="1899-12-30T01:54:00"/>
    <s v="Partly cloudy"/>
    <x v="4"/>
    <s v="Food handling/Foraging"/>
    <s v="Spruce"/>
    <n v="0"/>
    <n v="0"/>
    <n v="0"/>
    <m/>
    <s v="NA"/>
    <s v="NA"/>
    <s v="NA"/>
    <m/>
    <m/>
    <m/>
    <s v="NA"/>
    <s v="NA"/>
    <s v="NA"/>
    <s v="NA"/>
    <s v="NA"/>
    <s v="NA"/>
    <s v="NA"/>
    <s v="NA"/>
    <n v="19"/>
    <n v="0"/>
    <n v="19"/>
    <n v="0"/>
    <n v="23"/>
    <m/>
    <n v="42"/>
    <s v="Searching"/>
    <m/>
    <m/>
    <m/>
  </r>
  <r>
    <s v="DSCN3562"/>
    <s v="CC0425_28"/>
    <n v="28"/>
    <n v="1"/>
    <s v="CCAMP"/>
    <d v="2019-04-25T00:00:00"/>
    <s v="April"/>
    <x v="0"/>
    <d v="1899-12-30T00:56:00"/>
    <s v="Partly cloudy"/>
    <x v="4"/>
    <s v="Foraging"/>
    <s v="NA"/>
    <n v="0"/>
    <n v="0"/>
    <n v="0"/>
    <m/>
    <s v="NA"/>
    <s v="NA"/>
    <s v="NA"/>
    <m/>
    <m/>
    <m/>
    <s v="NA"/>
    <s v="NA"/>
    <s v="NA"/>
    <s v="NA"/>
    <s v="NA"/>
    <s v="NA"/>
    <s v="NA"/>
    <s v="NA"/>
    <n v="0"/>
    <n v="0"/>
    <n v="0"/>
    <n v="0"/>
    <n v="56"/>
    <m/>
    <n v="56"/>
    <s v="Searching"/>
    <m/>
    <m/>
    <m/>
  </r>
  <r>
    <s v="DSCN3527"/>
    <s v="CC0425_3"/>
    <n v="3"/>
    <n v="1"/>
    <s v="CCAMP"/>
    <d v="2019-04-25T00:00:00"/>
    <s v="April"/>
    <x v="0"/>
    <d v="1899-12-30T00:22:00"/>
    <s v="Partly cloudy"/>
    <x v="4"/>
    <s v="Foraging"/>
    <s v="NA"/>
    <n v="0"/>
    <n v="0"/>
    <n v="0"/>
    <m/>
    <s v="NA"/>
    <s v="NA"/>
    <s v="NA"/>
    <m/>
    <m/>
    <m/>
    <s v="NA"/>
    <s v="NA"/>
    <s v="NA"/>
    <s v="NA"/>
    <s v="NA"/>
    <s v="NA"/>
    <s v="NA"/>
    <s v="NA"/>
    <n v="0"/>
    <n v="0"/>
    <n v="0"/>
    <n v="0"/>
    <n v="21"/>
    <m/>
    <n v="21"/>
    <s v="Searching"/>
    <m/>
    <m/>
    <m/>
  </r>
  <r>
    <s v="DSCN3567"/>
    <s v="CC0425_32"/>
    <n v="32"/>
    <n v="1"/>
    <s v="CCAMP"/>
    <d v="2019-04-25T00:00:00"/>
    <s v="April"/>
    <x v="0"/>
    <d v="1899-12-30T00:58:00"/>
    <s v="Partly cloudy"/>
    <x v="4"/>
    <s v="Foraging"/>
    <s v="NA"/>
    <n v="0"/>
    <n v="0"/>
    <n v="0"/>
    <m/>
    <s v="NA"/>
    <s v="NA"/>
    <s v="NA"/>
    <m/>
    <m/>
    <m/>
    <s v="NA"/>
    <s v="NA"/>
    <s v="NA"/>
    <s v="NA"/>
    <s v="NA"/>
    <s v="NA"/>
    <s v="NA"/>
    <s v="NA"/>
    <n v="0"/>
    <n v="0"/>
    <n v="0"/>
    <n v="0"/>
    <n v="58"/>
    <m/>
    <n v="58"/>
    <s v="Searching"/>
    <m/>
    <m/>
    <m/>
  </r>
  <r>
    <s v="DSCN3568"/>
    <s v="CC0425_33"/>
    <n v="33"/>
    <n v="1"/>
    <s v="CCAMP"/>
    <d v="2019-04-25T00:00:00"/>
    <s v="April"/>
    <x v="0"/>
    <d v="1899-12-30T00:18:00"/>
    <s v="Partly cloudy"/>
    <x v="4"/>
    <s v="Foraging"/>
    <s v="NA"/>
    <n v="0"/>
    <n v="0"/>
    <n v="0"/>
    <m/>
    <s v="NA"/>
    <s v="NA"/>
    <s v="NA"/>
    <m/>
    <m/>
    <m/>
    <s v="NA"/>
    <s v="NA"/>
    <s v="NA"/>
    <s v="NA"/>
    <s v="NA"/>
    <s v="NA"/>
    <s v="NA"/>
    <s v="NA"/>
    <n v="0"/>
    <n v="0"/>
    <n v="0"/>
    <n v="0"/>
    <n v="18"/>
    <m/>
    <n v="18"/>
    <s v="Searching"/>
    <m/>
    <m/>
    <m/>
  </r>
  <r>
    <s v="DSCN3531"/>
    <s v="CC0425_7"/>
    <n v="7"/>
    <n v="1"/>
    <s v="CCAMP"/>
    <d v="2019-04-25T00:00:00"/>
    <s v="April"/>
    <x v="0"/>
    <d v="1899-12-30T00:41:00"/>
    <s v="Partly cloudy"/>
    <x v="4"/>
    <s v="Foraging"/>
    <s v="NA"/>
    <n v="0"/>
    <n v="0"/>
    <n v="0"/>
    <m/>
    <s v="NA"/>
    <s v="NA"/>
    <s v="NA"/>
    <m/>
    <m/>
    <m/>
    <s v="NA"/>
    <s v="NA"/>
    <s v="NA"/>
    <s v="NA"/>
    <s v="NA"/>
    <s v="NA"/>
    <s v="NA"/>
    <s v="NA"/>
    <n v="0"/>
    <n v="0"/>
    <n v="0"/>
    <n v="0"/>
    <n v="31"/>
    <m/>
    <n v="31"/>
    <s v="Searching"/>
    <m/>
    <m/>
    <m/>
  </r>
  <r>
    <s v="DSCN3687"/>
    <s v="CC0430_1"/>
    <n v="1"/>
    <n v="1"/>
    <s v="CCAMP"/>
    <d v="2019-04-30T00:00:00"/>
    <s v="April"/>
    <x v="0"/>
    <d v="1899-12-30T00:36:00"/>
    <s v="Clear, full sun"/>
    <x v="4"/>
    <s v="Foraging"/>
    <s v="NA"/>
    <n v="1"/>
    <n v="0"/>
    <n v="0"/>
    <s v="Insect"/>
    <s v="Insect (caterpiller)"/>
    <s v="Ground"/>
    <s v="NA"/>
    <m/>
    <m/>
    <m/>
    <s v="NA"/>
    <s v="NA"/>
    <s v="NA"/>
    <s v="NA"/>
    <s v="NA"/>
    <s v="NA"/>
    <s v="NA"/>
    <s v="NA"/>
    <n v="0"/>
    <n v="0"/>
    <n v="0"/>
    <n v="0"/>
    <n v="5"/>
    <m/>
    <n v="5"/>
    <s v="Searching"/>
    <s v="Left nest, got caterpiller, returned to nest. "/>
    <m/>
    <m/>
  </r>
  <r>
    <s v="DSCN3708"/>
    <s v="CC0430_5"/>
    <n v="5"/>
    <n v="1"/>
    <s v="CCAMP"/>
    <d v="2019-04-30T00:00:00"/>
    <s v="April"/>
    <x v="0"/>
    <d v="1899-12-30T00:08:00"/>
    <s v="Clear, full sun"/>
    <x v="4"/>
    <s v="Foraging"/>
    <s v="NA"/>
    <n v="0"/>
    <n v="0"/>
    <n v="0"/>
    <m/>
    <s v="NA"/>
    <s v="NA"/>
    <s v="NA"/>
    <m/>
    <m/>
    <m/>
    <s v="NA"/>
    <s v="NA"/>
    <s v="NA"/>
    <s v="NA"/>
    <s v="NA"/>
    <s v="NA"/>
    <s v="NA"/>
    <s v="NA"/>
    <n v="0"/>
    <n v="0"/>
    <n v="0"/>
    <n v="0"/>
    <n v="8"/>
    <m/>
    <n v="8"/>
    <s v="Searching"/>
    <m/>
    <m/>
    <m/>
  </r>
  <r>
    <s v="DSCN3709"/>
    <s v="CC0430_6"/>
    <n v="6"/>
    <n v="1"/>
    <s v="CCAMP"/>
    <d v="2019-04-30T00:00:00"/>
    <s v="April"/>
    <x v="0"/>
    <d v="1899-12-30T00:34:00"/>
    <s v="Clear, full sun"/>
    <x v="4"/>
    <s v="Foraging"/>
    <s v="NA"/>
    <n v="0"/>
    <n v="0"/>
    <n v="0"/>
    <m/>
    <s v="NA"/>
    <s v="NA"/>
    <s v="NA"/>
    <m/>
    <m/>
    <m/>
    <s v="NA"/>
    <s v="NA"/>
    <s v="NA"/>
    <s v="NA"/>
    <s v="NA"/>
    <s v="NA"/>
    <s v="NA"/>
    <s v="NA"/>
    <n v="0"/>
    <n v="0"/>
    <n v="0"/>
    <n v="0"/>
    <n v="34"/>
    <m/>
    <n v="34"/>
    <s v="Searching"/>
    <m/>
    <m/>
    <m/>
  </r>
  <r>
    <s v="DSCN3710"/>
    <s v="CC0430_7"/>
    <n v="7"/>
    <n v="1"/>
    <s v="CCAMP"/>
    <d v="2019-04-30T00:00:00"/>
    <s v="April"/>
    <x v="0"/>
    <d v="1899-12-30T02:02:00"/>
    <s v="Clear, full sun"/>
    <x v="4"/>
    <s v="Foraging"/>
    <s v="NA"/>
    <n v="0"/>
    <n v="0"/>
    <n v="0"/>
    <m/>
    <s v="NA"/>
    <s v="NA"/>
    <s v="NA"/>
    <m/>
    <m/>
    <m/>
    <s v="NA"/>
    <s v="NA"/>
    <s v="NA"/>
    <s v="NA"/>
    <s v="NA"/>
    <s v="NA"/>
    <s v="NA"/>
    <s v="NA"/>
    <n v="0"/>
    <n v="0"/>
    <n v="0"/>
    <n v="0"/>
    <n v="122"/>
    <m/>
    <n v="122"/>
    <s v="Searching"/>
    <m/>
    <m/>
    <m/>
  </r>
  <r>
    <s v="DSCN3202"/>
    <s v="CC0416_3"/>
    <n v="3"/>
    <n v="1"/>
    <s v="CCAMP"/>
    <d v="2019-04-16T00:00:00"/>
    <s v="April"/>
    <x v="0"/>
    <d v="1899-12-30T01:00:00"/>
    <s v="Mostly cloudy"/>
    <x v="4"/>
    <s v="Foraging"/>
    <s v="NA"/>
    <s v="unknown"/>
    <n v="0"/>
    <n v="0"/>
    <m/>
    <s v="NA"/>
    <s v="NA"/>
    <s v="NA"/>
    <m/>
    <m/>
    <m/>
    <s v="NA"/>
    <s v="NA"/>
    <s v="NA"/>
    <s v="NA"/>
    <s v="NA"/>
    <s v="NA"/>
    <s v="NA"/>
    <m/>
    <n v="0"/>
    <n v="0"/>
    <n v="0"/>
    <n v="0"/>
    <n v="41"/>
    <m/>
    <n v="41"/>
    <s v="Searching"/>
    <m/>
    <m/>
    <m/>
  </r>
  <r>
    <s v="DSCN3204"/>
    <s v="CC0416_4"/>
    <n v="4"/>
    <n v="1"/>
    <s v="CCAMP"/>
    <d v="2019-04-16T00:00:00"/>
    <s v="April"/>
    <x v="0"/>
    <d v="1899-12-30T01:06:00"/>
    <s v="Mostly cloudy"/>
    <x v="4"/>
    <s v="Foraging"/>
    <s v="NA"/>
    <s v="unknown"/>
    <n v="0"/>
    <n v="0"/>
    <m/>
    <s v="NA"/>
    <s v="NA"/>
    <s v="NA"/>
    <m/>
    <m/>
    <m/>
    <s v="NA"/>
    <s v="NA"/>
    <s v="NA"/>
    <s v="NA"/>
    <s v="NA"/>
    <s v="NA"/>
    <s v="NA"/>
    <m/>
    <n v="0"/>
    <n v="0"/>
    <n v="0"/>
    <n v="0"/>
    <n v="66"/>
    <m/>
    <n v="66"/>
    <s v="Searching"/>
    <m/>
    <m/>
    <m/>
  </r>
  <r>
    <s v="DSCN3206"/>
    <s v="CC0416_6"/>
    <n v="6"/>
    <n v="1"/>
    <s v="CCAMP"/>
    <d v="2019-04-16T00:00:00"/>
    <s v="April"/>
    <x v="0"/>
    <d v="1899-12-30T00:24:00"/>
    <s v="Mostly cloudy"/>
    <x v="4"/>
    <s v="Foraging"/>
    <s v="NA"/>
    <s v="unknown"/>
    <n v="0"/>
    <n v="0"/>
    <m/>
    <s v="NA"/>
    <s v="NA"/>
    <s v="NA"/>
    <m/>
    <m/>
    <m/>
    <s v="NA"/>
    <s v="NA"/>
    <s v="NA"/>
    <s v="NA"/>
    <s v="NA"/>
    <s v="NA"/>
    <s v="NA"/>
    <m/>
    <n v="0"/>
    <n v="0"/>
    <n v="0"/>
    <n v="0"/>
    <n v="23"/>
    <m/>
    <n v="23"/>
    <s v="Searching"/>
    <m/>
    <m/>
    <m/>
  </r>
  <r>
    <s v="DSCN3525"/>
    <s v="CC0425_1"/>
    <n v="1"/>
    <n v="1"/>
    <s v="CCAMP"/>
    <d v="2019-04-25T00:00:00"/>
    <s v="April"/>
    <x v="0"/>
    <d v="1899-12-30T00:31:00"/>
    <s v="Partly cloudy"/>
    <x v="4"/>
    <s v="Foraging"/>
    <s v="NA"/>
    <s v="unknown"/>
    <n v="0"/>
    <n v="0"/>
    <m/>
    <s v="NA"/>
    <s v="NA"/>
    <s v="NA"/>
    <m/>
    <m/>
    <m/>
    <s v="NA"/>
    <s v="NA"/>
    <s v="NA"/>
    <s v="NA"/>
    <s v="NA"/>
    <s v="NA"/>
    <s v="NA"/>
    <s v="NA"/>
    <n v="0"/>
    <n v="0"/>
    <n v="0"/>
    <n v="0"/>
    <n v="31"/>
    <m/>
    <n v="31"/>
    <s v="Searching"/>
    <m/>
    <m/>
    <m/>
  </r>
  <r>
    <s v="DSCN3534"/>
    <s v="CC0425_10"/>
    <n v="10"/>
    <n v="1"/>
    <s v="CCAMP"/>
    <d v="2019-04-25T00:00:00"/>
    <s v="April"/>
    <x v="0"/>
    <d v="1899-12-30T01:27:00"/>
    <s v="Partly cloudy"/>
    <x v="4"/>
    <s v="Foraging"/>
    <s v="NA"/>
    <s v="unknown"/>
    <n v="0"/>
    <n v="0"/>
    <m/>
    <s v="NA"/>
    <s v="NA"/>
    <s v="NA"/>
    <m/>
    <m/>
    <m/>
    <s v="NA"/>
    <s v="NA"/>
    <s v="NA"/>
    <s v="NA"/>
    <s v="NA"/>
    <s v="NA"/>
    <s v="NA"/>
    <s v="NA"/>
    <n v="0"/>
    <n v="0"/>
    <n v="0"/>
    <n v="0"/>
    <n v="87"/>
    <m/>
    <n v="87"/>
    <s v="Searching"/>
    <m/>
    <m/>
    <m/>
  </r>
  <r>
    <s v="DSCN3535"/>
    <s v="CC0425_11"/>
    <n v="11"/>
    <n v="1"/>
    <s v="CCAMP"/>
    <d v="2019-04-25T00:00:00"/>
    <s v="April"/>
    <x v="0"/>
    <d v="1899-12-30T00:22:00"/>
    <s v="Partly cloudy"/>
    <x v="4"/>
    <s v="Foraging"/>
    <s v="NA"/>
    <s v="unknown"/>
    <n v="0"/>
    <n v="0"/>
    <m/>
    <s v="NA"/>
    <s v="NA"/>
    <s v="NA"/>
    <m/>
    <m/>
    <m/>
    <s v="NA"/>
    <s v="NA"/>
    <s v="NA"/>
    <s v="NA"/>
    <s v="NA"/>
    <s v="NA"/>
    <s v="NA"/>
    <s v="NA"/>
    <n v="0"/>
    <n v="0"/>
    <n v="0"/>
    <n v="0"/>
    <n v="22"/>
    <m/>
    <n v="22"/>
    <s v="Searching"/>
    <m/>
    <m/>
    <m/>
  </r>
  <r>
    <s v="DSCN3537"/>
    <s v="CC0425_13"/>
    <n v="13"/>
    <n v="1"/>
    <s v="CCAMP"/>
    <d v="2019-04-25T00:00:00"/>
    <s v="April"/>
    <x v="0"/>
    <d v="1899-12-30T02:49:00"/>
    <s v="Partly cloudy"/>
    <x v="4"/>
    <s v="Foraging"/>
    <s v="NA"/>
    <s v="unknown"/>
    <n v="0"/>
    <n v="0"/>
    <m/>
    <s v="NA"/>
    <s v="NA"/>
    <s v="NA"/>
    <m/>
    <m/>
    <m/>
    <s v="NA"/>
    <s v="NA"/>
    <s v="NA"/>
    <s v="NA"/>
    <s v="NA"/>
    <s v="NA"/>
    <s v="NA"/>
    <s v="NA"/>
    <n v="0"/>
    <n v="0"/>
    <n v="0"/>
    <n v="0"/>
    <n v="269"/>
    <m/>
    <n v="269"/>
    <s v="Searching"/>
    <m/>
    <m/>
    <m/>
  </r>
  <r>
    <s v="DSCN3538"/>
    <s v="CC0425_14"/>
    <n v="14"/>
    <n v="1"/>
    <s v="CCAMP"/>
    <d v="2019-04-25T00:00:00"/>
    <s v="April"/>
    <x v="0"/>
    <d v="1899-12-30T00:44:00"/>
    <s v="Partly cloudy"/>
    <x v="4"/>
    <s v="Foraging"/>
    <s v="NA"/>
    <s v="unknown"/>
    <n v="0"/>
    <n v="0"/>
    <m/>
    <s v="NA"/>
    <s v="NA"/>
    <s v="NA"/>
    <m/>
    <m/>
    <m/>
    <s v="NA"/>
    <s v="NA"/>
    <s v="NA"/>
    <s v="NA"/>
    <s v="NA"/>
    <s v="NA"/>
    <s v="NA"/>
    <s v="NA"/>
    <n v="0"/>
    <n v="0"/>
    <n v="0"/>
    <n v="0"/>
    <n v="44"/>
    <m/>
    <n v="44"/>
    <s v="Searching"/>
    <m/>
    <m/>
    <m/>
  </r>
  <r>
    <s v="DSCN3545"/>
    <s v="CC0425_16"/>
    <n v="16"/>
    <n v="1"/>
    <s v="CCAMP"/>
    <d v="2019-04-25T00:00:00"/>
    <s v="April"/>
    <x v="0"/>
    <d v="1899-12-30T01:36:00"/>
    <s v="Partly cloudy"/>
    <x v="4"/>
    <s v="Foraging"/>
    <s v="NA"/>
    <s v="unknown"/>
    <n v="0"/>
    <n v="0"/>
    <m/>
    <s v="NA"/>
    <s v="NA"/>
    <s v="NA"/>
    <m/>
    <m/>
    <m/>
    <s v="NA"/>
    <s v="NA"/>
    <s v="NA"/>
    <s v="NA"/>
    <s v="NA"/>
    <s v="NA"/>
    <s v="NA"/>
    <s v="NA"/>
    <n v="0"/>
    <n v="0"/>
    <n v="0"/>
    <n v="0"/>
    <n v="96"/>
    <m/>
    <n v="96"/>
    <s v="Searching"/>
    <m/>
    <m/>
    <m/>
  </r>
  <r>
    <s v="DSCN3546"/>
    <s v="CC0425_17"/>
    <n v="17"/>
    <n v="1"/>
    <s v="CCAMP"/>
    <d v="2019-04-25T00:00:00"/>
    <s v="April"/>
    <x v="0"/>
    <d v="1899-12-30T01:03:00"/>
    <s v="Partly cloudy"/>
    <x v="4"/>
    <s v="Foraging"/>
    <s v="NA"/>
    <s v="unknown"/>
    <n v="0"/>
    <n v="0"/>
    <m/>
    <s v="NA"/>
    <s v="NA"/>
    <s v="NA"/>
    <m/>
    <m/>
    <m/>
    <s v="NA"/>
    <s v="NA"/>
    <s v="NA"/>
    <s v="NA"/>
    <s v="NA"/>
    <s v="NA"/>
    <s v="NA"/>
    <s v="NA"/>
    <n v="0"/>
    <n v="0"/>
    <n v="0"/>
    <n v="0"/>
    <n v="45"/>
    <m/>
    <n v="45"/>
    <s v="Searching"/>
    <m/>
    <m/>
    <m/>
  </r>
  <r>
    <s v="DSCN3547"/>
    <s v="CC0425_18"/>
    <n v="18"/>
    <n v="1"/>
    <s v="CCAMP"/>
    <d v="2019-04-25T00:00:00"/>
    <s v="April"/>
    <x v="0"/>
    <d v="1899-12-30T01:52:00"/>
    <s v="Partly cloudy"/>
    <x v="4"/>
    <s v="Foraging"/>
    <s v="NA"/>
    <s v="unknown"/>
    <n v="0"/>
    <n v="0"/>
    <m/>
    <s v="NA"/>
    <s v="NA"/>
    <s v="NA"/>
    <m/>
    <m/>
    <m/>
    <s v="NA"/>
    <s v="NA"/>
    <s v="NA"/>
    <s v="NA"/>
    <s v="NA"/>
    <s v="NA"/>
    <s v="NA"/>
    <s v="NA"/>
    <n v="0"/>
    <n v="0"/>
    <n v="0"/>
    <n v="0"/>
    <n v="80"/>
    <m/>
    <n v="80"/>
    <s v="Searching"/>
    <m/>
    <m/>
    <m/>
  </r>
  <r>
    <s v="DSCN3526"/>
    <s v="CC0425_2"/>
    <n v="2"/>
    <n v="1"/>
    <s v="CCAMP"/>
    <d v="2019-04-25T00:00:00"/>
    <s v="April"/>
    <x v="0"/>
    <d v="1899-12-30T00:24:00"/>
    <s v="Partly cloudy"/>
    <x v="4"/>
    <s v="Foraging"/>
    <s v="NA"/>
    <s v="unknown"/>
    <n v="0"/>
    <n v="0"/>
    <m/>
    <s v="NA"/>
    <s v="NA"/>
    <s v="NA"/>
    <m/>
    <m/>
    <m/>
    <s v="NA"/>
    <s v="NA"/>
    <s v="NA"/>
    <s v="NA"/>
    <s v="NA"/>
    <s v="NA"/>
    <s v="NA"/>
    <s v="NA"/>
    <n v="0"/>
    <n v="0"/>
    <n v="0"/>
    <n v="0"/>
    <n v="24"/>
    <m/>
    <n v="24"/>
    <s v="Searching"/>
    <m/>
    <m/>
    <m/>
  </r>
  <r>
    <s v="DSCN3550"/>
    <s v="CC0425_21"/>
    <n v="21"/>
    <n v="1"/>
    <s v="CCAMP"/>
    <d v="2019-04-25T00:00:00"/>
    <s v="April"/>
    <x v="0"/>
    <d v="1899-12-30T01:04:00"/>
    <s v="Partly cloudy"/>
    <x v="4"/>
    <s v="Foraging"/>
    <s v="NA"/>
    <s v="unknown"/>
    <n v="0"/>
    <n v="0"/>
    <m/>
    <s v="NA"/>
    <s v="NA"/>
    <s v="NA"/>
    <m/>
    <m/>
    <m/>
    <s v="NA"/>
    <s v="NA"/>
    <s v="NA"/>
    <s v="NA"/>
    <s v="NA"/>
    <s v="NA"/>
    <s v="NA"/>
    <s v="NA"/>
    <n v="0"/>
    <n v="0"/>
    <n v="0"/>
    <n v="0"/>
    <n v="64"/>
    <m/>
    <n v="64"/>
    <s v="Searching"/>
    <m/>
    <m/>
    <m/>
  </r>
  <r>
    <s v="DSCN3555"/>
    <s v="CC0425_24"/>
    <n v="24"/>
    <n v="1"/>
    <s v="CCAMP"/>
    <d v="2019-04-25T00:00:00"/>
    <s v="April"/>
    <x v="0"/>
    <d v="1899-12-30T00:27:00"/>
    <s v="Partly cloudy"/>
    <x v="4"/>
    <s v="Foraging"/>
    <s v="NA"/>
    <s v="unknown"/>
    <n v="0"/>
    <n v="0"/>
    <m/>
    <s v="NA"/>
    <s v="NA"/>
    <s v="NA"/>
    <m/>
    <m/>
    <m/>
    <s v="NA"/>
    <s v="NA"/>
    <s v="NA"/>
    <s v="NA"/>
    <s v="NA"/>
    <s v="NA"/>
    <s v="NA"/>
    <s v="NA"/>
    <n v="0"/>
    <n v="0"/>
    <n v="0"/>
    <n v="0"/>
    <n v="27"/>
    <m/>
    <n v="27"/>
    <s v="Searching"/>
    <m/>
    <m/>
    <m/>
  </r>
  <r>
    <s v="DSCN3564"/>
    <s v="CC0425_30"/>
    <n v="30"/>
    <n v="1"/>
    <s v="CCAMP"/>
    <d v="2019-04-25T00:00:00"/>
    <s v="April"/>
    <x v="0"/>
    <d v="1899-12-30T01:24:00"/>
    <s v="Partly cloudy"/>
    <x v="4"/>
    <s v="Foraging"/>
    <s v="NA"/>
    <s v="unknown"/>
    <n v="0"/>
    <n v="0"/>
    <m/>
    <s v="NA"/>
    <s v="NA"/>
    <s v="NA"/>
    <m/>
    <m/>
    <m/>
    <s v="NA"/>
    <s v="NA"/>
    <s v="NA"/>
    <s v="NA"/>
    <s v="NA"/>
    <s v="NA"/>
    <s v="NA"/>
    <s v="NA"/>
    <n v="0"/>
    <n v="0"/>
    <n v="0"/>
    <n v="0"/>
    <n v="84"/>
    <m/>
    <n v="84"/>
    <s v="Searching"/>
    <m/>
    <m/>
    <m/>
  </r>
  <r>
    <s v="DSCN3569"/>
    <s v="CC0425_34"/>
    <n v="34"/>
    <n v="1"/>
    <s v="CCAMP"/>
    <d v="2019-04-25T00:00:00"/>
    <s v="April"/>
    <x v="0"/>
    <d v="1899-12-30T00:33:00"/>
    <s v="Partly cloudy"/>
    <x v="4"/>
    <s v="Foraging"/>
    <s v="NA"/>
    <s v="unknown"/>
    <n v="0"/>
    <n v="0"/>
    <m/>
    <s v="NA"/>
    <s v="NA"/>
    <s v="NA"/>
    <m/>
    <m/>
    <m/>
    <s v="NA"/>
    <s v="NA"/>
    <s v="NA"/>
    <s v="NA"/>
    <s v="NA"/>
    <s v="NA"/>
    <s v="NA"/>
    <s v="NA"/>
    <n v="0"/>
    <n v="0"/>
    <n v="0"/>
    <n v="0"/>
    <n v="33"/>
    <m/>
    <n v="33"/>
    <s v="Searching"/>
    <m/>
    <m/>
    <m/>
  </r>
  <r>
    <s v="DSCN3570"/>
    <s v="CC0425_35"/>
    <n v="35"/>
    <n v="1"/>
    <s v="CCAMP"/>
    <d v="2019-04-25T00:00:00"/>
    <s v="April"/>
    <x v="0"/>
    <d v="1899-12-30T00:49:00"/>
    <s v="Partly cloudy"/>
    <x v="4"/>
    <s v="Foraging"/>
    <s v="NA"/>
    <s v="unknown"/>
    <n v="0"/>
    <n v="0"/>
    <m/>
    <s v="NA"/>
    <s v="NA"/>
    <s v="NA"/>
    <m/>
    <m/>
    <m/>
    <s v="NA"/>
    <s v="NA"/>
    <s v="NA"/>
    <s v="NA"/>
    <s v="NA"/>
    <s v="NA"/>
    <s v="NA"/>
    <s v="NA"/>
    <n v="0"/>
    <n v="0"/>
    <n v="0"/>
    <n v="0"/>
    <n v="48"/>
    <m/>
    <n v="48"/>
    <s v="Searching"/>
    <m/>
    <m/>
    <m/>
  </r>
  <r>
    <s v="DSCN3574"/>
    <s v="CC0425_38"/>
    <n v="38"/>
    <n v="1"/>
    <s v="CCAMP"/>
    <d v="2019-04-25T00:00:00"/>
    <s v="April"/>
    <x v="0"/>
    <d v="1899-12-30T01:04:00"/>
    <s v="Partly cloudy"/>
    <x v="4"/>
    <s v="Foraging"/>
    <s v="NA"/>
    <s v="unknown"/>
    <n v="0"/>
    <n v="0"/>
    <m/>
    <s v="NA"/>
    <s v="NA"/>
    <s v="NA"/>
    <m/>
    <m/>
    <m/>
    <s v="NA"/>
    <s v="NA"/>
    <s v="NA"/>
    <s v="NA"/>
    <s v="NA"/>
    <s v="NA"/>
    <s v="NA"/>
    <s v="NA"/>
    <n v="0"/>
    <n v="0"/>
    <n v="0"/>
    <n v="0"/>
    <n v="62"/>
    <m/>
    <n v="62"/>
    <s v="Searching"/>
    <m/>
    <m/>
    <m/>
  </r>
  <r>
    <s v="DSCN3528"/>
    <s v="CC0425_4"/>
    <n v="4"/>
    <n v="1"/>
    <s v="CCAMP"/>
    <d v="2019-04-25T00:00:00"/>
    <s v="April"/>
    <x v="0"/>
    <d v="1899-12-30T00:23:00"/>
    <s v="Partly cloudy"/>
    <x v="4"/>
    <s v="Foraging"/>
    <s v="NA"/>
    <s v="unknown"/>
    <n v="0"/>
    <n v="0"/>
    <m/>
    <s v="NA"/>
    <s v="NA"/>
    <s v="NA"/>
    <m/>
    <m/>
    <m/>
    <s v="NA"/>
    <s v="NA"/>
    <s v="NA"/>
    <s v="NA"/>
    <s v="NA"/>
    <s v="NA"/>
    <s v="NA"/>
    <s v="NA"/>
    <n v="0"/>
    <n v="0"/>
    <n v="0"/>
    <n v="0"/>
    <n v="21"/>
    <m/>
    <n v="21"/>
    <s v="Searching"/>
    <m/>
    <m/>
    <m/>
  </r>
  <r>
    <s v="DSCN3529"/>
    <s v="CC0425_5"/>
    <n v="5"/>
    <n v="1"/>
    <s v="CCAMP"/>
    <d v="2019-04-25T00:00:00"/>
    <s v="April"/>
    <x v="0"/>
    <d v="1899-12-30T01:36:00"/>
    <s v="Partly cloudy"/>
    <x v="4"/>
    <s v="Foraging"/>
    <s v="NA"/>
    <s v="unknown"/>
    <n v="0"/>
    <n v="0"/>
    <m/>
    <s v="NA"/>
    <s v="NA"/>
    <s v="NA"/>
    <m/>
    <m/>
    <m/>
    <s v="NA"/>
    <s v="NA"/>
    <s v="NA"/>
    <s v="NA"/>
    <s v="NA"/>
    <s v="NA"/>
    <s v="NA"/>
    <s v="NA"/>
    <n v="0"/>
    <n v="0"/>
    <n v="0"/>
    <n v="0"/>
    <n v="96"/>
    <m/>
    <n v="96"/>
    <s v="Searching"/>
    <m/>
    <m/>
    <m/>
  </r>
  <r>
    <s v="DSCN3530"/>
    <s v="CC0425_6"/>
    <n v="6"/>
    <n v="1"/>
    <s v="CCAMP"/>
    <d v="2019-04-25T00:00:00"/>
    <s v="April"/>
    <x v="0"/>
    <d v="1899-12-30T00:26:00"/>
    <s v="Partly cloudy"/>
    <x v="4"/>
    <s v="Foraging"/>
    <s v="NA"/>
    <s v="unknown"/>
    <n v="0"/>
    <n v="0"/>
    <m/>
    <s v="NA"/>
    <s v="NA"/>
    <s v="NA"/>
    <m/>
    <m/>
    <m/>
    <s v="NA"/>
    <s v="NA"/>
    <s v="NA"/>
    <s v="NA"/>
    <s v="NA"/>
    <s v="NA"/>
    <s v="NA"/>
    <s v="NA"/>
    <n v="0"/>
    <n v="0"/>
    <n v="0"/>
    <n v="0"/>
    <n v="26"/>
    <m/>
    <n v="26"/>
    <s v="Searching"/>
    <m/>
    <m/>
    <m/>
  </r>
  <r>
    <s v="DSCN3532"/>
    <s v="CC0425_8"/>
    <n v="8"/>
    <n v="1"/>
    <s v="CCAMP"/>
    <d v="2019-04-25T00:00:00"/>
    <s v="April"/>
    <x v="0"/>
    <d v="1899-12-30T01:28:00"/>
    <s v="Partly cloudy"/>
    <x v="4"/>
    <s v="Foraging"/>
    <s v="NA"/>
    <s v="unknown"/>
    <n v="0"/>
    <n v="0"/>
    <m/>
    <s v="NA"/>
    <s v="NA"/>
    <s v="NA"/>
    <m/>
    <m/>
    <m/>
    <s v="NA"/>
    <s v="NA"/>
    <s v="NA"/>
    <s v="NA"/>
    <s v="NA"/>
    <s v="NA"/>
    <s v="NA"/>
    <s v="NA"/>
    <n v="0"/>
    <n v="0"/>
    <n v="0"/>
    <n v="0"/>
    <n v="88"/>
    <m/>
    <n v="88"/>
    <s v="Searching"/>
    <m/>
    <m/>
    <m/>
  </r>
  <r>
    <s v="DSCN3398"/>
    <s v="CC0422_6"/>
    <n v="6"/>
    <n v="1"/>
    <s v="CCAMP"/>
    <d v="2019-04-22T00:00:00"/>
    <s v="April"/>
    <x v="0"/>
    <d v="1899-12-30T00:15:00"/>
    <s v="Partly cloudy"/>
    <x v="5"/>
    <s v="Foraging"/>
    <s v="Spruce"/>
    <n v="1"/>
    <n v="1"/>
    <n v="0"/>
    <s v="Unknown"/>
    <s v="unknown"/>
    <s v="Exterior bare spruce branch"/>
    <s v="NA"/>
    <m/>
    <m/>
    <m/>
    <s v="NA"/>
    <s v="NA"/>
    <s v="NA"/>
    <s v="NA"/>
    <s v="NA"/>
    <s v="DNM"/>
    <s v="DNM"/>
    <s v="NA"/>
    <n v="3"/>
    <n v="0"/>
    <n v="0"/>
    <n v="3"/>
    <n v="0"/>
    <m/>
    <n v="3"/>
    <s v="Searching"/>
    <m/>
    <m/>
    <m/>
  </r>
  <r>
    <s v="DSCN3412"/>
    <s v="CC0422_15"/>
    <n v="15"/>
    <n v="2"/>
    <s v="CCAMP"/>
    <d v="2019-04-22T00:00:00"/>
    <s v="April"/>
    <x v="0"/>
    <d v="1899-12-30T01:05:00"/>
    <s v="Partly cloudy"/>
    <x v="5"/>
    <s v="Foraging"/>
    <s v="Spruce"/>
    <n v="1"/>
    <n v="1"/>
    <n v="0"/>
    <s v="Unknown"/>
    <s v="unknown"/>
    <s v="Exterior spruce branch under bark"/>
    <s v="NA"/>
    <m/>
    <m/>
    <m/>
    <s v="NA"/>
    <s v="NA"/>
    <s v="NA"/>
    <s v="NA"/>
    <s v="NA"/>
    <n v="63.722279999999998"/>
    <n v="148.94917000000001"/>
    <s v="NA"/>
    <n v="18"/>
    <n v="0"/>
    <n v="0"/>
    <n v="18"/>
    <n v="0"/>
    <m/>
    <n v="18"/>
    <s v="Probing"/>
    <m/>
    <n v="4"/>
    <n v="0"/>
  </r>
  <r>
    <s v="DSCN3419"/>
    <s v="CC0422_19"/>
    <n v="19"/>
    <n v="1"/>
    <s v="CCAMP"/>
    <d v="2019-04-22T00:00:00"/>
    <s v="April"/>
    <x v="0"/>
    <d v="1899-12-30T00:26:00"/>
    <s v="Partly cloudy"/>
    <x v="5"/>
    <s v="Foraging"/>
    <s v="Spruce"/>
    <n v="1"/>
    <s v="unknown"/>
    <n v="0"/>
    <s v="Unknown"/>
    <s v="unknown"/>
    <s v="Exterior spruce branch under witchhair"/>
    <s v="NA"/>
    <m/>
    <m/>
    <m/>
    <s v="NA"/>
    <s v="NA"/>
    <s v="NA"/>
    <s v="NA"/>
    <s v="NA"/>
    <s v="NA"/>
    <s v="NA"/>
    <s v="NA"/>
    <n v="10"/>
    <n v="0"/>
    <n v="0"/>
    <n v="10"/>
    <n v="0"/>
    <m/>
    <n v="10"/>
    <s v="Probing"/>
    <m/>
    <n v="3"/>
    <n v="0"/>
  </r>
  <r>
    <s v="DSCN3424"/>
    <s v="CC0422_22"/>
    <n v="22"/>
    <n v="1"/>
    <s v="CCAMP"/>
    <d v="2019-04-22T00:00:00"/>
    <s v="April"/>
    <x v="0"/>
    <d v="1899-12-30T01:37:00"/>
    <s v="Partly cloudy"/>
    <x v="5"/>
    <s v="Foraging"/>
    <s v="NA"/>
    <n v="1"/>
    <n v="0"/>
    <n v="0"/>
    <s v="Unknown"/>
    <s v="unknown (Probably B&amp;Ugs)"/>
    <s v="Ground"/>
    <s v="NA"/>
    <m/>
    <m/>
    <m/>
    <s v="NA"/>
    <s v="NA"/>
    <s v="NA"/>
    <s v="NA"/>
    <s v="NA"/>
    <s v="NA"/>
    <s v="NA"/>
    <s v="NA"/>
    <n v="0"/>
    <n v="0"/>
    <n v="0"/>
    <n v="0"/>
    <n v="60"/>
    <m/>
    <n v="60"/>
    <s v="Searching"/>
    <m/>
    <m/>
    <m/>
  </r>
  <r>
    <s v="DSCN3396"/>
    <s v="CC0422_4"/>
    <n v="4"/>
    <n v="2"/>
    <s v="CCAMP"/>
    <d v="2019-04-22T00:00:00"/>
    <s v="April"/>
    <x v="0"/>
    <d v="1899-12-30T01:03:00"/>
    <s v="Partly cloudy"/>
    <x v="5"/>
    <s v="Foraging"/>
    <s v="NA"/>
    <n v="1"/>
    <n v="0"/>
    <n v="0"/>
    <s v="Unknown"/>
    <s v="unknown"/>
    <s v="Ground"/>
    <s v="NA"/>
    <m/>
    <m/>
    <m/>
    <s v="NA"/>
    <s v="NA"/>
    <s v="NA"/>
    <s v="NA"/>
    <s v="NA"/>
    <s v="NA"/>
    <s v="NA"/>
    <s v="NA"/>
    <n v="0"/>
    <n v="0"/>
    <n v="0"/>
    <n v="0"/>
    <n v="31"/>
    <m/>
    <n v="31"/>
    <s v="Searching"/>
    <m/>
    <m/>
    <m/>
  </r>
  <r>
    <s v="DSCN3401"/>
    <s v="CC0422_8"/>
    <n v="8"/>
    <n v="1"/>
    <s v="CCAMP"/>
    <d v="2019-04-22T00:00:00"/>
    <s v="April"/>
    <x v="0"/>
    <d v="1899-12-30T00:15:00"/>
    <s v="Partly cloudy"/>
    <x v="5"/>
    <s v="Foraging"/>
    <s v="NA"/>
    <n v="1"/>
    <n v="0"/>
    <n v="0"/>
    <s v="Unknown"/>
    <s v="unknown"/>
    <s v="Ground"/>
    <s v="NA"/>
    <m/>
    <m/>
    <m/>
    <s v="NA"/>
    <s v="NA"/>
    <s v="NA"/>
    <s v="NA"/>
    <s v="NA"/>
    <s v="NA"/>
    <s v="NA"/>
    <s v="NA"/>
    <n v="0"/>
    <n v="0"/>
    <n v="0"/>
    <n v="0"/>
    <n v="15"/>
    <m/>
    <n v="15"/>
    <s v="Searching"/>
    <m/>
    <m/>
    <m/>
  </r>
  <r>
    <s v="DSCN3409"/>
    <s v="CC0422_12"/>
    <n v="12"/>
    <n v="1"/>
    <s v="CCAMP"/>
    <d v="2019-04-22T00:00:00"/>
    <s v="April"/>
    <x v="0"/>
    <d v="1899-12-30T00:28:00"/>
    <s v="Partly cloudy"/>
    <x v="5"/>
    <s v="Foraging"/>
    <s v="Spruce"/>
    <n v="1"/>
    <n v="1"/>
    <n v="0"/>
    <s v="Unknown"/>
    <s v="unknown"/>
    <s v="Spruce trunk under bark"/>
    <s v="NA"/>
    <m/>
    <m/>
    <m/>
    <s v="NA"/>
    <s v="NA"/>
    <s v="NA"/>
    <s v="NA"/>
    <s v="NA"/>
    <n v="63.722259999999999"/>
    <n v="148.94954000000001"/>
    <s v="NA"/>
    <n v="13"/>
    <n v="0"/>
    <n v="13"/>
    <n v="0"/>
    <n v="15"/>
    <m/>
    <n v="28"/>
    <s v="Probing"/>
    <m/>
    <n v="7"/>
    <n v="0"/>
  </r>
  <r>
    <s v="DSCN3406"/>
    <s v="CC0422_10"/>
    <n v="10"/>
    <n v="1"/>
    <s v="CCAMP"/>
    <d v="2019-04-22T00:00:00"/>
    <s v="April"/>
    <x v="0"/>
    <d v="1899-12-30T00:47:00"/>
    <s v="Partly cloudy"/>
    <x v="5"/>
    <s v="Foraging"/>
    <s v="NA"/>
    <n v="2"/>
    <n v="0"/>
    <n v="0"/>
    <s v="Unknown"/>
    <s v="unknown"/>
    <s v="Ground"/>
    <s v="NA"/>
    <m/>
    <m/>
    <m/>
    <s v="NA"/>
    <s v="NA"/>
    <s v="NA"/>
    <s v="NA"/>
    <s v="NA"/>
    <s v="NA"/>
    <s v="NA"/>
    <s v="NA"/>
    <n v="0"/>
    <n v="0"/>
    <n v="0"/>
    <n v="0"/>
    <n v="47"/>
    <m/>
    <n v="47"/>
    <s v="Searching"/>
    <m/>
    <m/>
    <m/>
  </r>
  <r>
    <s v="DSCN3410"/>
    <s v="CC0422_13"/>
    <n v="13"/>
    <n v="1"/>
    <s v="CCAMP"/>
    <d v="2019-04-22T00:00:00"/>
    <s v="April"/>
    <x v="0"/>
    <d v="1899-12-30T00:57:00"/>
    <s v="Partly cloudy"/>
    <x v="5"/>
    <s v="Foraging"/>
    <s v="NA"/>
    <n v="2"/>
    <n v="0"/>
    <n v="0"/>
    <s v="Unknown"/>
    <s v="unknown"/>
    <s v="Ground"/>
    <s v="NA"/>
    <m/>
    <m/>
    <m/>
    <s v="NA"/>
    <s v="NA"/>
    <s v="NA"/>
    <s v="NA"/>
    <s v="NA"/>
    <s v="NA"/>
    <s v="NA"/>
    <s v="NA"/>
    <n v="0"/>
    <n v="0"/>
    <n v="0"/>
    <n v="0"/>
    <n v="44"/>
    <m/>
    <n v="44"/>
    <s v="Searching"/>
    <m/>
    <m/>
    <m/>
  </r>
  <r>
    <s v="DSCN3397"/>
    <s v="CC0422_5"/>
    <n v="5"/>
    <n v="1"/>
    <s v="CCAMP"/>
    <d v="2019-04-22T00:00:00"/>
    <s v="April"/>
    <x v="0"/>
    <d v="1899-12-30T00:36:00"/>
    <s v="Partly cloudy"/>
    <x v="5"/>
    <s v="Foraging"/>
    <s v="NA"/>
    <n v="2"/>
    <n v="0"/>
    <n v="0"/>
    <s v="Unknown"/>
    <s v="unknown"/>
    <s v="Ground"/>
    <s v="NA"/>
    <m/>
    <m/>
    <m/>
    <s v="NA"/>
    <s v="NA"/>
    <s v="NA"/>
    <s v="NA"/>
    <s v="NA"/>
    <s v="NA"/>
    <s v="NA"/>
    <s v="NA"/>
    <n v="0"/>
    <n v="0"/>
    <n v="0"/>
    <n v="0"/>
    <n v="36"/>
    <m/>
    <n v="36"/>
    <s v="Searching"/>
    <m/>
    <m/>
    <m/>
  </r>
  <r>
    <s v="DSCN3420"/>
    <s v="CC0422_20"/>
    <n v="20"/>
    <n v="1"/>
    <s v="CCAMP"/>
    <d v="2019-04-22T00:00:00"/>
    <s v="April"/>
    <x v="0"/>
    <d v="1899-12-30T01:02:00"/>
    <s v="Partly cloudy"/>
    <x v="5"/>
    <s v="Foraging"/>
    <s v="NA"/>
    <n v="3"/>
    <n v="0"/>
    <n v="0"/>
    <s v="Unknown"/>
    <s v="unknown (Probably B&amp;Ugs)"/>
    <s v="Ground"/>
    <s v="NA"/>
    <m/>
    <m/>
    <m/>
    <s v="NA"/>
    <s v="NA"/>
    <s v="NA"/>
    <s v="NA"/>
    <s v="NA"/>
    <s v="NA"/>
    <s v="NA"/>
    <s v="NA"/>
    <n v="0"/>
    <n v="0"/>
    <n v="0"/>
    <n v="0"/>
    <n v="52"/>
    <m/>
    <n v="52"/>
    <s v="Searching"/>
    <m/>
    <m/>
    <m/>
  </r>
  <r>
    <s v="DSCN3396"/>
    <s v="CC0422_4"/>
    <n v="4"/>
    <n v="1"/>
    <s v="CCAMP"/>
    <d v="2019-04-22T00:00:00"/>
    <s v="April"/>
    <x v="0"/>
    <d v="1899-12-30T01:03:00"/>
    <s v="Partly cloudy"/>
    <x v="5"/>
    <s v="Foraging"/>
    <s v="NA"/>
    <n v="1"/>
    <n v="0"/>
    <n v="0"/>
    <s v="Insect"/>
    <s v="Insect (caterpiller)"/>
    <s v="Ground"/>
    <s v="NA"/>
    <m/>
    <m/>
    <m/>
    <s v="NA"/>
    <s v="NA"/>
    <s v="NA"/>
    <s v="NA"/>
    <s v="NA"/>
    <s v="NA"/>
    <s v="NA"/>
    <s v="NA"/>
    <n v="0"/>
    <n v="0"/>
    <n v="0"/>
    <n v="0"/>
    <n v="30"/>
    <m/>
    <n v="30"/>
    <s v="Searching"/>
    <m/>
    <m/>
    <m/>
  </r>
  <r>
    <s v="DSCN3575"/>
    <s v="CC0425_39"/>
    <n v="39"/>
    <n v="1"/>
    <s v="CCAMP"/>
    <d v="2019-04-25T00:00:00"/>
    <s v="April"/>
    <x v="0"/>
    <d v="1899-12-30T00:32:00"/>
    <s v="Partly cloudy"/>
    <x v="5"/>
    <s v="Foraging"/>
    <s v="NA"/>
    <n v="0"/>
    <n v="0"/>
    <n v="0"/>
    <m/>
    <s v="NA"/>
    <s v="NA"/>
    <s v="NA"/>
    <m/>
    <m/>
    <m/>
    <s v="NA"/>
    <s v="NA"/>
    <s v="NA"/>
    <s v="NA"/>
    <s v="NA"/>
    <s v="NA"/>
    <s v="NA"/>
    <s v="NA"/>
    <n v="0"/>
    <n v="0"/>
    <n v="0"/>
    <n v="0"/>
    <n v="31"/>
    <m/>
    <n v="31"/>
    <s v="Searching"/>
    <m/>
    <m/>
    <m/>
  </r>
  <r>
    <s v="DSCN3711"/>
    <s v="CC0430_8"/>
    <n v="8"/>
    <n v="1"/>
    <s v="CCAMP"/>
    <d v="2019-04-30T00:00:00"/>
    <s v="April"/>
    <x v="0"/>
    <d v="1899-12-30T00:29:00"/>
    <s v="Clear, full sun"/>
    <x v="5"/>
    <s v="Foraging"/>
    <s v="Spruce"/>
    <n v="1"/>
    <n v="0"/>
    <n v="0"/>
    <s v="Unknown"/>
    <s v="unknown"/>
    <s v="Exterior bare spruce branch"/>
    <s v="NA"/>
    <m/>
    <m/>
    <m/>
    <s v="NA"/>
    <s v="NA"/>
    <s v="NA"/>
    <s v="NA"/>
    <s v="NA"/>
    <s v="NA"/>
    <s v="NA"/>
    <s v="NA"/>
    <n v="15"/>
    <n v="14"/>
    <n v="0"/>
    <n v="29"/>
    <n v="0"/>
    <m/>
    <n v="29"/>
    <s v="Searching"/>
    <m/>
    <m/>
    <m/>
  </r>
  <r>
    <s v="DSCN3719"/>
    <s v="CC0430_13"/>
    <n v="13"/>
    <n v="1"/>
    <s v="CCAMP"/>
    <d v="2019-04-30T00:00:00"/>
    <s v="April"/>
    <x v="0"/>
    <d v="1899-12-30T00:21:00"/>
    <s v="Clear, full sun"/>
    <x v="5"/>
    <s v="Foraging"/>
    <s v="Spruce"/>
    <n v="1"/>
    <s v="unknown"/>
    <n v="0"/>
    <s v="Unknown"/>
    <s v="unknown"/>
    <s v="Exterior spruce foliage"/>
    <s v="NA"/>
    <m/>
    <m/>
    <m/>
    <s v="NA"/>
    <s v="NA"/>
    <s v="NA"/>
    <s v="NA"/>
    <s v="NA"/>
    <s v="NA"/>
    <s v="NA"/>
    <s v="NA"/>
    <n v="0"/>
    <n v="6"/>
    <n v="0"/>
    <n v="6"/>
    <n v="0"/>
    <m/>
    <n v="6"/>
    <s v="Probing"/>
    <m/>
    <s v="Unknown"/>
    <m/>
  </r>
  <r>
    <s v="DSCN3723"/>
    <s v="CC0430_14"/>
    <n v="14"/>
    <n v="1"/>
    <s v="CCAMP"/>
    <d v="2019-04-30T00:00:00"/>
    <s v="April"/>
    <x v="0"/>
    <d v="1899-12-30T00:28:00"/>
    <s v="Clear, full sun"/>
    <x v="5"/>
    <s v="Foraging"/>
    <s v="Spruce"/>
    <n v="1"/>
    <s v="unknown"/>
    <n v="0"/>
    <s v="Unknown"/>
    <s v="unknown"/>
    <s v="Exterior spruce foliage"/>
    <s v="NA"/>
    <m/>
    <m/>
    <m/>
    <s v="NA"/>
    <s v="NA"/>
    <s v="NA"/>
    <s v="NA"/>
    <s v="NA"/>
    <s v="NA"/>
    <s v="NA"/>
    <s v="NA"/>
    <n v="0"/>
    <n v="16"/>
    <n v="0"/>
    <n v="16"/>
    <n v="0"/>
    <m/>
    <n v="16"/>
    <s v="Probing"/>
    <m/>
    <n v="1"/>
    <m/>
  </r>
  <r>
    <s v="DSCN3712"/>
    <s v="CC0430_9"/>
    <n v="9"/>
    <n v="1"/>
    <s v="CCAMP"/>
    <d v="2019-04-30T00:00:00"/>
    <s v="April"/>
    <x v="0"/>
    <d v="1899-12-30T00:25:00"/>
    <s v="Clear, full sun"/>
    <x v="5"/>
    <s v="Foraging"/>
    <s v="NA"/>
    <n v="1"/>
    <n v="0"/>
    <n v="0"/>
    <s v="Unknown"/>
    <s v="unknown"/>
    <s v="Ground"/>
    <s v="NA"/>
    <m/>
    <m/>
    <m/>
    <s v="NA"/>
    <s v="NA"/>
    <s v="NA"/>
    <s v="NA"/>
    <s v="NA"/>
    <s v="NA"/>
    <s v="NA"/>
    <s v="NA"/>
    <n v="0"/>
    <n v="0"/>
    <n v="0"/>
    <n v="0"/>
    <n v="23"/>
    <m/>
    <n v="23"/>
    <s v="Searching"/>
    <m/>
    <m/>
    <m/>
  </r>
  <r>
    <s v="DSCN3707"/>
    <s v="CC0430_4"/>
    <n v="4"/>
    <n v="1"/>
    <s v="CCAMP"/>
    <d v="2019-04-30T00:00:00"/>
    <s v="April"/>
    <x v="0"/>
    <d v="1899-12-30T00:27:00"/>
    <s v="Clear, full sun"/>
    <x v="5"/>
    <s v="Foraging"/>
    <s v="Spruce"/>
    <n v="1"/>
    <n v="1"/>
    <n v="0"/>
    <s v="Unknown"/>
    <s v="unknown"/>
    <s v="Spruce trunk under bark"/>
    <s v="NA"/>
    <m/>
    <m/>
    <m/>
    <s v="NA"/>
    <s v="NA"/>
    <s v="NA"/>
    <s v="NA"/>
    <s v="NA"/>
    <n v="63.722760000000001"/>
    <n v="148.95087000000001"/>
    <s v="RC_1031_CT1"/>
    <n v="15"/>
    <n v="0"/>
    <n v="15"/>
    <n v="0"/>
    <n v="0"/>
    <m/>
    <n v="15"/>
    <s v="Searching"/>
    <s v="Cache recovery does NOT match previous year's cache location in this tree. "/>
    <m/>
    <m/>
  </r>
  <r>
    <s v="DSCN3715"/>
    <s v="CC0430_10"/>
    <n v="10"/>
    <n v="1"/>
    <s v="CCAMP"/>
    <d v="2019-04-30T00:00:00"/>
    <s v="April"/>
    <x v="0"/>
    <d v="1899-12-30T00:50:00"/>
    <s v="Clear, full sun"/>
    <x v="5"/>
    <s v="Foraging"/>
    <s v="NA"/>
    <n v="2"/>
    <n v="0"/>
    <n v="0"/>
    <s v="Unknown"/>
    <s v="unknown"/>
    <s v="Ground"/>
    <s v="NA"/>
    <m/>
    <m/>
    <m/>
    <s v="NA"/>
    <s v="NA"/>
    <s v="NA"/>
    <s v="NA"/>
    <s v="NA"/>
    <s v="NA"/>
    <s v="NA"/>
    <s v="NA"/>
    <n v="0"/>
    <n v="0"/>
    <n v="0"/>
    <n v="0"/>
    <n v="50"/>
    <m/>
    <n v="50"/>
    <s v="Searching"/>
    <m/>
    <m/>
    <m/>
  </r>
  <r>
    <s v="DSCN3705"/>
    <s v="CC0430_2"/>
    <n v="2"/>
    <n v="1"/>
    <s v="CCAMP"/>
    <d v="2019-04-30T00:00:00"/>
    <s v="April"/>
    <x v="0"/>
    <d v="1899-12-30T00:22:00"/>
    <s v="Clear, full sun"/>
    <x v="5"/>
    <s v="Foraging"/>
    <s v="NA"/>
    <n v="1"/>
    <n v="0"/>
    <n v="0"/>
    <s v="Berry"/>
    <s v="Berry (cranberry)"/>
    <s v="Ground"/>
    <s v="NA"/>
    <m/>
    <m/>
    <m/>
    <s v="NA"/>
    <s v="NA"/>
    <s v="NA"/>
    <s v="NA"/>
    <s v="NA"/>
    <s v="NA"/>
    <s v="NA"/>
    <s v="NA"/>
    <n v="0"/>
    <n v="0"/>
    <n v="0"/>
    <n v="0"/>
    <n v="22"/>
    <m/>
    <n v="22"/>
    <s v="Searching"/>
    <m/>
    <m/>
    <m/>
  </r>
  <r>
    <s v="DSCN3706"/>
    <s v="CC0430_3"/>
    <n v="3"/>
    <n v="1"/>
    <s v="CCAMP"/>
    <d v="2019-04-30T00:00:00"/>
    <s v="April"/>
    <x v="0"/>
    <d v="1899-12-30T00:13:00"/>
    <s v="Clear, full sun"/>
    <x v="5"/>
    <s v="Foraging"/>
    <s v="NA"/>
    <n v="0"/>
    <n v="0"/>
    <n v="0"/>
    <m/>
    <s v="NA"/>
    <s v="NA"/>
    <s v="NA"/>
    <m/>
    <m/>
    <m/>
    <s v="NA"/>
    <s v="NA"/>
    <s v="NA"/>
    <s v="NA"/>
    <s v="NA"/>
    <s v="NA"/>
    <s v="NA"/>
    <s v="NA"/>
    <n v="0"/>
    <n v="0"/>
    <n v="0"/>
    <n v="0"/>
    <n v="12"/>
    <m/>
    <n v="12"/>
    <s v="Searching"/>
    <m/>
    <m/>
    <m/>
  </r>
  <r>
    <s v="DSCN3408"/>
    <s v="CC0422_11"/>
    <n v="11"/>
    <n v="1"/>
    <s v="CCAMP"/>
    <d v="2019-04-22T00:00:00"/>
    <s v="April"/>
    <x v="0"/>
    <d v="1899-12-30T00:56:00"/>
    <s v="Partly cloudy"/>
    <x v="5"/>
    <s v="Foraging"/>
    <s v="NA"/>
    <s v="unknown"/>
    <n v="0"/>
    <n v="0"/>
    <m/>
    <s v="NA"/>
    <s v="NA"/>
    <s v="NA"/>
    <m/>
    <m/>
    <m/>
    <s v="NA"/>
    <s v="NA"/>
    <s v="NA"/>
    <s v="NA"/>
    <s v="NA"/>
    <s v="NA"/>
    <s v="NA"/>
    <s v="NA"/>
    <n v="0"/>
    <n v="0"/>
    <n v="0"/>
    <n v="0"/>
    <n v="51"/>
    <m/>
    <n v="51"/>
    <s v="Searching"/>
    <m/>
    <m/>
    <m/>
  </r>
  <r>
    <s v="DSCN3411"/>
    <s v="CC0422_14"/>
    <n v="14"/>
    <n v="1"/>
    <s v="CCAMP"/>
    <d v="2019-04-22T00:00:00"/>
    <s v="April"/>
    <x v="0"/>
    <d v="1899-12-30T00:19:00"/>
    <s v="Partly cloudy"/>
    <x v="5"/>
    <s v="Foraging"/>
    <s v="NA"/>
    <s v="unknown"/>
    <n v="0"/>
    <n v="0"/>
    <m/>
    <s v="NA"/>
    <s v="NA"/>
    <s v="NA"/>
    <m/>
    <m/>
    <m/>
    <s v="NA"/>
    <s v="NA"/>
    <s v="NA"/>
    <s v="NA"/>
    <s v="NA"/>
    <s v="NA"/>
    <s v="NA"/>
    <s v="NA"/>
    <n v="0"/>
    <n v="0"/>
    <n v="0"/>
    <n v="0"/>
    <n v="17"/>
    <m/>
    <n v="17"/>
    <s v="Searching"/>
    <m/>
    <m/>
    <m/>
  </r>
  <r>
    <s v="DSCN3412"/>
    <s v="CC0422_15"/>
    <n v="15"/>
    <n v="1"/>
    <s v="CCAMP"/>
    <d v="2019-04-22T00:00:00"/>
    <s v="April"/>
    <x v="0"/>
    <d v="1899-12-30T01:05:00"/>
    <s v="Partly cloudy"/>
    <x v="5"/>
    <s v="Foraging"/>
    <s v="NA"/>
    <s v="unknown"/>
    <n v="0"/>
    <n v="0"/>
    <m/>
    <s v="NA"/>
    <s v="NA"/>
    <s v="NA"/>
    <m/>
    <m/>
    <m/>
    <s v="NA"/>
    <s v="NA"/>
    <s v="NA"/>
    <s v="NA"/>
    <s v="NA"/>
    <s v="NA"/>
    <s v="NA"/>
    <s v="NA"/>
    <n v="0"/>
    <n v="0"/>
    <n v="0"/>
    <n v="0"/>
    <n v="41"/>
    <m/>
    <n v="41"/>
    <s v="Searching"/>
    <m/>
    <m/>
    <m/>
  </r>
  <r>
    <s v="DSCN3400"/>
    <s v="CC0422_7"/>
    <n v="7"/>
    <n v="1"/>
    <s v="CCAMP"/>
    <d v="2019-04-22T00:00:00"/>
    <s v="April"/>
    <x v="0"/>
    <d v="1899-12-30T00:34:00"/>
    <s v="Partly cloudy"/>
    <x v="5"/>
    <s v="Foraging"/>
    <s v="Spruce"/>
    <s v="unknown"/>
    <s v="unknown"/>
    <n v="0"/>
    <m/>
    <s v="NA"/>
    <s v="NA"/>
    <s v="NA"/>
    <m/>
    <m/>
    <m/>
    <s v="NA"/>
    <s v="NA"/>
    <s v="NA"/>
    <s v="NA"/>
    <s v="NA"/>
    <s v="NA"/>
    <s v="NA"/>
    <s v="NA"/>
    <n v="33"/>
    <n v="0"/>
    <n v="0"/>
    <n v="33"/>
    <n v="0"/>
    <m/>
    <n v="33"/>
    <s v="Searching/probing"/>
    <s v="Looks like cache based on recovery location and appearance when in bill. "/>
    <n v="2"/>
    <n v="0"/>
  </r>
  <r>
    <s v="DSCN3549"/>
    <s v="CC0425_20"/>
    <n v="20"/>
    <n v="1"/>
    <s v="CCAMP"/>
    <d v="2019-04-25T00:00:00"/>
    <s v="April"/>
    <x v="0"/>
    <d v="1899-12-30T00:14:00"/>
    <s v="Partly cloudy"/>
    <x v="5"/>
    <s v="Foraging"/>
    <s v="NA"/>
    <s v="unknown"/>
    <n v="0"/>
    <n v="0"/>
    <m/>
    <s v="NA"/>
    <s v="NA"/>
    <s v="NA"/>
    <m/>
    <m/>
    <m/>
    <s v="NA"/>
    <s v="NA"/>
    <s v="NA"/>
    <s v="NA"/>
    <s v="NA"/>
    <s v="NA"/>
    <s v="NA"/>
    <s v="NA"/>
    <n v="0"/>
    <n v="0"/>
    <n v="0"/>
    <n v="0"/>
    <n v="3"/>
    <m/>
    <n v="3"/>
    <s v="Searching"/>
    <m/>
    <m/>
    <m/>
  </r>
  <r>
    <s v="DSCN3553"/>
    <s v="CC0425_22"/>
    <n v="22"/>
    <n v="1"/>
    <s v="CCAMP"/>
    <d v="2019-04-25T00:00:00"/>
    <s v="April"/>
    <x v="0"/>
    <d v="1899-12-30T00:42:00"/>
    <s v="Partly cloudy"/>
    <x v="5"/>
    <s v="Foraging"/>
    <s v="NA"/>
    <s v="unknown"/>
    <n v="0"/>
    <n v="0"/>
    <m/>
    <s v="NA"/>
    <s v="NA"/>
    <s v="NA"/>
    <m/>
    <m/>
    <m/>
    <s v="NA"/>
    <s v="NA"/>
    <s v="NA"/>
    <s v="NA"/>
    <s v="NA"/>
    <s v="NA"/>
    <s v="NA"/>
    <s v="NA"/>
    <n v="0"/>
    <n v="0"/>
    <n v="0"/>
    <n v="0"/>
    <n v="42"/>
    <m/>
    <n v="42"/>
    <s v="Searching"/>
    <m/>
    <m/>
    <m/>
  </r>
  <r>
    <s v="DSCN3554"/>
    <s v="CC0425_23"/>
    <n v="23"/>
    <n v="1"/>
    <s v="CCAMP"/>
    <d v="2019-04-25T00:00:00"/>
    <s v="April"/>
    <x v="0"/>
    <d v="1899-12-30T00:24:00"/>
    <s v="Partly cloudy"/>
    <x v="5"/>
    <s v="Foraging"/>
    <s v="NA"/>
    <s v="unknown"/>
    <n v="0"/>
    <n v="0"/>
    <m/>
    <s v="NA"/>
    <s v="NA"/>
    <s v="NA"/>
    <m/>
    <m/>
    <m/>
    <s v="NA"/>
    <s v="NA"/>
    <s v="NA"/>
    <s v="NA"/>
    <s v="NA"/>
    <s v="NA"/>
    <s v="NA"/>
    <s v="NA"/>
    <n v="0"/>
    <n v="0"/>
    <n v="0"/>
    <n v="0"/>
    <n v="24"/>
    <m/>
    <n v="24"/>
    <s v="Searching"/>
    <m/>
    <m/>
    <m/>
  </r>
  <r>
    <s v="DSCN3716"/>
    <s v="CC0430_11"/>
    <n v="11"/>
    <n v="1"/>
    <s v="CCAMP"/>
    <d v="2019-04-30T00:00:00"/>
    <s v="April"/>
    <x v="0"/>
    <d v="1899-12-30T02:02:00"/>
    <s v="Clear, full sun"/>
    <x v="5"/>
    <s v="Foraging"/>
    <s v="NA"/>
    <s v="unknown"/>
    <n v="0"/>
    <n v="0"/>
    <m/>
    <s v="NA"/>
    <s v="NA"/>
    <s v="NA"/>
    <m/>
    <m/>
    <m/>
    <s v="NA"/>
    <s v="NA"/>
    <s v="NA"/>
    <s v="NA"/>
    <s v="NA"/>
    <s v="NA"/>
    <s v="NA"/>
    <s v="NA"/>
    <n v="0"/>
    <n v="0"/>
    <n v="0"/>
    <n v="0"/>
    <n v="122"/>
    <m/>
    <n v="122"/>
    <s v="Searching"/>
    <m/>
    <m/>
    <m/>
  </r>
  <r>
    <s v="DSCN3718"/>
    <s v="CC0430_12"/>
    <n v="12"/>
    <n v="1"/>
    <s v="CCAMP"/>
    <d v="2019-04-30T00:00:00"/>
    <s v="April"/>
    <x v="0"/>
    <d v="1899-12-30T00:21:00"/>
    <s v="Clear, full sun"/>
    <x v="5"/>
    <s v="Foraging"/>
    <s v="Spruce"/>
    <s v="unknown"/>
    <n v="0"/>
    <n v="0"/>
    <m/>
    <s v="NA"/>
    <s v="NA"/>
    <s v="NA"/>
    <m/>
    <m/>
    <m/>
    <s v="NA"/>
    <s v="NA"/>
    <s v="NA"/>
    <s v="NA"/>
    <s v="NA"/>
    <s v="NA"/>
    <s v="NA"/>
    <s v="NA"/>
    <n v="8"/>
    <n v="0"/>
    <n v="8"/>
    <n v="0"/>
    <n v="0"/>
    <m/>
    <n v="8"/>
    <s v="Probing"/>
    <m/>
    <s v="Unknown"/>
    <m/>
  </r>
  <r>
    <s v="DSCN3725"/>
    <s v="CC0430_15"/>
    <n v="15"/>
    <n v="1"/>
    <s v="CCAMP"/>
    <d v="2019-04-30T00:00:00"/>
    <s v="April"/>
    <x v="0"/>
    <d v="1899-12-30T00:12:00"/>
    <s v="Clear, full sun"/>
    <x v="5"/>
    <s v="Foraging"/>
    <s v="NA"/>
    <s v="unknown"/>
    <n v="0"/>
    <n v="0"/>
    <m/>
    <s v="NA"/>
    <s v="NA"/>
    <s v="NA"/>
    <m/>
    <m/>
    <m/>
    <s v="NA"/>
    <s v="NA"/>
    <s v="NA"/>
    <s v="NA"/>
    <s v="NA"/>
    <s v="NA"/>
    <s v="NA"/>
    <s v="NA"/>
    <n v="0"/>
    <n v="0"/>
    <n v="0"/>
    <n v="0"/>
    <n v="2"/>
    <m/>
    <n v="2"/>
    <s v="Searching"/>
    <m/>
    <m/>
    <m/>
  </r>
  <r>
    <s v="DSCN3727"/>
    <s v="CC0430_16"/>
    <n v="16"/>
    <n v="1"/>
    <s v="CCAMP"/>
    <d v="2019-04-30T00:00:00"/>
    <s v="April"/>
    <x v="0"/>
    <d v="1899-12-30T00:16:00"/>
    <s v="Clear, full sun"/>
    <x v="5"/>
    <s v="Foraging"/>
    <s v="Aspen"/>
    <s v="unknown"/>
    <s v="unknown"/>
    <n v="0"/>
    <m/>
    <s v="NA"/>
    <s v="NA"/>
    <s v="NA"/>
    <m/>
    <m/>
    <m/>
    <s v="NA"/>
    <s v="NA"/>
    <s v="NA"/>
    <s v="NA"/>
    <s v="NA"/>
    <n v="63.724490000000003"/>
    <n v="148.95013"/>
    <s v="CC092618_CT1"/>
    <n v="16"/>
    <n v="0"/>
    <n v="0"/>
    <n v="16"/>
    <n v="0"/>
    <m/>
    <n v="16"/>
    <s v="Probing"/>
    <m/>
    <n v="1"/>
    <m/>
  </r>
  <r>
    <s v="DSCN2755"/>
    <s v="B&amp;U0401_14"/>
    <n v="14"/>
    <n v="1"/>
    <s v="B&amp;U"/>
    <d v="2019-04-01T00:00:00"/>
    <s v="April"/>
    <x v="0"/>
    <d v="1899-12-30T02:12:00"/>
    <m/>
    <x v="6"/>
    <s v="Foraging/caching"/>
    <s v="Spruce"/>
    <n v="1"/>
    <n v="0"/>
    <n v="1"/>
    <s v="Unknown"/>
    <s v="unknown"/>
    <s v="Ground"/>
    <s v="Exterior spruce branch under witch hair"/>
    <s v="Spruce"/>
    <s v="Exterior"/>
    <s v="Under witchhair"/>
    <s v="W"/>
    <n v="280"/>
    <n v="5"/>
    <n v="63.724850000000004"/>
    <n v="148.95644999999999"/>
    <n v="0"/>
    <n v="0"/>
    <m/>
    <n v="0"/>
    <n v="0"/>
    <n v="0"/>
    <n v="0"/>
    <n v="0"/>
    <m/>
    <n v="0"/>
    <m/>
    <s v="Missed food acquisition B&amp;Ut saw it come from ground with naked eye."/>
    <m/>
    <m/>
  </r>
  <r>
    <s v="DSCN2760"/>
    <s v="B&amp;U0401_17"/>
    <n v="17"/>
    <n v="1"/>
    <s v="B&amp;U"/>
    <d v="2019-04-01T00:00:00"/>
    <s v="April"/>
    <x v="0"/>
    <d v="1899-12-30T00:08:00"/>
    <m/>
    <x v="6"/>
    <s v="Caching"/>
    <s v="Spruce"/>
    <n v="0"/>
    <n v="0"/>
    <n v="1"/>
    <s v="Insect"/>
    <s v="Insect (Balck caterpiller)"/>
    <s v="Ground"/>
    <s v="Exterior spruce foliage"/>
    <s v="Spruce"/>
    <s v="Exterior"/>
    <s v="Foliage"/>
    <s v="E"/>
    <n v="105"/>
    <n v="30"/>
    <n v="63.724870000000003"/>
    <n v="148.95508000000001"/>
    <n v="0"/>
    <n v="0"/>
    <m/>
    <n v="0"/>
    <n v="0"/>
    <n v="0"/>
    <n v="0"/>
    <n v="0"/>
    <m/>
    <n v="0"/>
    <m/>
    <s v="Confident cache based on behavior and that it just had food, B&amp;Ut we did not get visual confirmation. "/>
    <m/>
    <m/>
  </r>
  <r>
    <s v="DSCN2758"/>
    <s v="B&amp;U0401_15"/>
    <n v="15"/>
    <n v="1"/>
    <s v="B&amp;U"/>
    <d v="2019-04-01T00:00:00"/>
    <s v="April"/>
    <x v="0"/>
    <d v="1899-12-30T00:13:00"/>
    <m/>
    <x v="6"/>
    <s v="Foraging"/>
    <s v="NA"/>
    <n v="1"/>
    <n v="0"/>
    <n v="0"/>
    <s v="Insect"/>
    <s v="Insect (Black caterpiller)"/>
    <s v="Ground"/>
    <s v="NA"/>
    <m/>
    <m/>
    <m/>
    <s v="NA"/>
    <s v="NA"/>
    <s v="NA"/>
    <s v="NA"/>
    <s v="NA"/>
    <s v="NA"/>
    <s v="NA"/>
    <m/>
    <n v="0"/>
    <n v="0"/>
    <n v="0"/>
    <n v="0"/>
    <n v="13"/>
    <m/>
    <n v="13"/>
    <m/>
    <s v="Bird flushed after camera went off, and had the big caterpillar you see in the next clip.  Counting it as acquisition here so it matches foraging time. "/>
    <m/>
    <m/>
  </r>
  <r>
    <s v="DSCN2746"/>
    <s v="B&amp;U0401_7"/>
    <n v="7"/>
    <n v="1"/>
    <s v="B&amp;U"/>
    <d v="2019-04-01T00:00:00"/>
    <s v="April"/>
    <x v="0"/>
    <d v="1899-12-30T00:07:00"/>
    <m/>
    <x v="6"/>
    <s v="Food handling"/>
    <s v="NA"/>
    <n v="1"/>
    <n v="0"/>
    <n v="0"/>
    <s v="Insect"/>
    <s v="Insect (Black caterpiller)"/>
    <s v="Ground"/>
    <s v="NA"/>
    <m/>
    <m/>
    <m/>
    <s v="NA"/>
    <s v="NA"/>
    <s v="NA"/>
    <s v="NA"/>
    <s v="NA"/>
    <s v="NA"/>
    <s v="NA"/>
    <m/>
    <n v="0"/>
    <n v="0"/>
    <n v="0"/>
    <n v="0"/>
    <n v="0"/>
    <m/>
    <n v="0"/>
    <m/>
    <s v="Missed foraging, B&amp;Ut Liz witnessed initial capture"/>
    <m/>
    <m/>
  </r>
  <r>
    <s v="DSCN2755"/>
    <s v="B&amp;U0401_14"/>
    <n v="14"/>
    <n v="2"/>
    <s v="B&amp;U"/>
    <d v="2019-04-01T00:00:00"/>
    <s v="April"/>
    <x v="0"/>
    <d v="1899-12-30T02:12:00"/>
    <m/>
    <x v="6"/>
    <s v="Foraging/caching"/>
    <s v="Spruce"/>
    <n v="1"/>
    <n v="0"/>
    <n v="0"/>
    <s v="Berry"/>
    <s v="Berry"/>
    <s v="Ground"/>
    <s v="NA"/>
    <m/>
    <m/>
    <m/>
    <s v="NA"/>
    <s v="NA"/>
    <s v="NA"/>
    <s v="NA"/>
    <s v="NA"/>
    <s v="NA"/>
    <s v="NA"/>
    <m/>
    <n v="0"/>
    <n v="0"/>
    <n v="0"/>
    <n v="0"/>
    <n v="51"/>
    <m/>
    <n v="51"/>
    <s v="Searching"/>
    <m/>
    <m/>
    <m/>
  </r>
  <r>
    <s v="DSCN2751"/>
    <s v="B&amp;U0401_11"/>
    <n v="11"/>
    <n v="1"/>
    <s v="B&amp;U"/>
    <d v="2019-04-01T00:00:00"/>
    <s v="April"/>
    <x v="0"/>
    <d v="1899-12-30T00:19:00"/>
    <m/>
    <x v="6"/>
    <s v="Foraging"/>
    <s v="NA"/>
    <n v="0"/>
    <n v="0"/>
    <n v="0"/>
    <m/>
    <s v="NA"/>
    <s v="NA"/>
    <s v="NA"/>
    <m/>
    <m/>
    <m/>
    <s v="NA"/>
    <s v="NA"/>
    <s v="NA"/>
    <s v="NA"/>
    <s v="NA"/>
    <s v="NA"/>
    <s v="NA"/>
    <m/>
    <n v="0"/>
    <n v="0"/>
    <n v="0"/>
    <n v="0"/>
    <n v="17"/>
    <m/>
    <n v="17"/>
    <s v="Searching"/>
    <m/>
    <m/>
    <m/>
  </r>
  <r>
    <s v="DSCN2759"/>
    <s v="B&amp;U0401_16"/>
    <n v="16"/>
    <n v="1"/>
    <s v="B&amp;U"/>
    <d v="2019-04-01T00:00:00"/>
    <s v="April"/>
    <x v="0"/>
    <d v="1899-12-30T01:34:00"/>
    <m/>
    <x v="6"/>
    <s v="Food handling"/>
    <s v="NA"/>
    <n v="0"/>
    <n v="0"/>
    <n v="0"/>
    <s v="Insect"/>
    <s v="Insect (Balck caterpiller)"/>
    <s v="NA"/>
    <s v="NA"/>
    <m/>
    <m/>
    <m/>
    <s v="NA"/>
    <s v="NA"/>
    <s v="NA"/>
    <s v="NA"/>
    <s v="NA"/>
    <s v="NA"/>
    <s v="NA"/>
    <m/>
    <n v="0"/>
    <n v="0"/>
    <n v="0"/>
    <n v="0"/>
    <n v="0"/>
    <m/>
    <n v="0"/>
    <m/>
    <m/>
    <m/>
    <m/>
  </r>
  <r>
    <s v="DSCN2741"/>
    <s v="B&amp;U0401_4"/>
    <n v="4"/>
    <n v="1"/>
    <s v="B&amp;U"/>
    <d v="2019-04-01T00:00:00"/>
    <s v="April"/>
    <x v="0"/>
    <d v="1899-12-30T00:40:00"/>
    <m/>
    <x v="6"/>
    <s v="Foraging"/>
    <s v="NA"/>
    <n v="0"/>
    <n v="0"/>
    <n v="0"/>
    <m/>
    <s v="NA"/>
    <s v="NA"/>
    <s v="NA"/>
    <m/>
    <m/>
    <m/>
    <s v="NA"/>
    <s v="NA"/>
    <s v="NA"/>
    <s v="NA"/>
    <s v="NA"/>
    <s v="NA"/>
    <s v="NA"/>
    <m/>
    <n v="0"/>
    <n v="0"/>
    <n v="0"/>
    <n v="0"/>
    <n v="24"/>
    <m/>
    <n v="24"/>
    <s v="Searching"/>
    <m/>
    <m/>
    <m/>
  </r>
  <r>
    <s v="DSCN2742"/>
    <s v="B&amp;U0401_5"/>
    <n v="5"/>
    <n v="1"/>
    <s v="B&amp;U"/>
    <d v="2019-04-01T00:00:00"/>
    <s v="April"/>
    <x v="0"/>
    <d v="1899-12-30T00:32:00"/>
    <m/>
    <x v="6"/>
    <s v="Foraging"/>
    <s v="NA"/>
    <n v="0"/>
    <n v="0"/>
    <n v="0"/>
    <m/>
    <s v="NA"/>
    <s v="NA"/>
    <s v="NA"/>
    <m/>
    <m/>
    <m/>
    <s v="NA"/>
    <s v="NA"/>
    <s v="NA"/>
    <s v="NA"/>
    <s v="NA"/>
    <s v="NA"/>
    <s v="NA"/>
    <m/>
    <n v="0"/>
    <n v="0"/>
    <n v="0"/>
    <n v="0"/>
    <n v="28"/>
    <m/>
    <n v="28"/>
    <m/>
    <m/>
    <m/>
    <m/>
  </r>
  <r>
    <s v="DSCN2742"/>
    <s v="B&amp;U0401_6"/>
    <n v="6"/>
    <n v="1"/>
    <s v="B&amp;U"/>
    <d v="2019-04-01T00:00:00"/>
    <s v="April"/>
    <x v="0"/>
    <d v="1899-12-30T00:31:00"/>
    <m/>
    <x v="6"/>
    <s v="Foraging"/>
    <s v="NA"/>
    <n v="0"/>
    <n v="0"/>
    <n v="0"/>
    <m/>
    <s v="NA"/>
    <s v="NA"/>
    <s v="NA"/>
    <m/>
    <m/>
    <m/>
    <s v="NA"/>
    <s v="NA"/>
    <s v="NA"/>
    <s v="NA"/>
    <s v="NA"/>
    <s v="NA"/>
    <s v="NA"/>
    <m/>
    <n v="0"/>
    <n v="0"/>
    <n v="0"/>
    <n v="0"/>
    <n v="28"/>
    <m/>
    <n v="28"/>
    <m/>
    <m/>
    <m/>
    <m/>
  </r>
  <r>
    <s v="DSCN2747"/>
    <s v="B&amp;U0401_8"/>
    <n v="8"/>
    <n v="1"/>
    <s v="B&amp;U"/>
    <d v="2019-04-01T00:00:00"/>
    <s v="April"/>
    <x v="0"/>
    <d v="1899-12-30T00:39:00"/>
    <m/>
    <x v="6"/>
    <s v="Food handling"/>
    <s v="NA"/>
    <n v="0"/>
    <n v="0"/>
    <n v="0"/>
    <s v="Insect"/>
    <s v="Insect (Balck caterpiller)"/>
    <s v="NA"/>
    <s v="NA"/>
    <m/>
    <m/>
    <m/>
    <s v="NA"/>
    <s v="NA"/>
    <s v="NA"/>
    <s v="NA"/>
    <s v="NA"/>
    <s v="NA"/>
    <s v="NA"/>
    <m/>
    <n v="0"/>
    <n v="0"/>
    <n v="0"/>
    <n v="0"/>
    <n v="0"/>
    <m/>
    <n v="0"/>
    <m/>
    <m/>
    <m/>
    <m/>
  </r>
  <r>
    <s v="DSCN2747"/>
    <s v="B&amp;U0401_9"/>
    <n v="9"/>
    <n v="1"/>
    <s v="B&amp;U"/>
    <d v="2019-04-01T00:00:00"/>
    <s v="April"/>
    <x v="0"/>
    <d v="1899-12-30T00:22:00"/>
    <m/>
    <x v="6"/>
    <s v="Food handling"/>
    <s v="NA"/>
    <n v="0"/>
    <n v="0"/>
    <n v="0"/>
    <s v="Insect"/>
    <s v="Insect (Balck caterpiller)"/>
    <s v="NA"/>
    <s v="NA"/>
    <m/>
    <m/>
    <m/>
    <s v="NA"/>
    <s v="NA"/>
    <s v="NA"/>
    <s v="NA"/>
    <s v="NA"/>
    <s v="NA"/>
    <s v="NA"/>
    <m/>
    <n v="0"/>
    <n v="0"/>
    <n v="0"/>
    <n v="0"/>
    <n v="0"/>
    <m/>
    <n v="0"/>
    <m/>
    <m/>
    <m/>
    <m/>
  </r>
  <r>
    <s v="DSCN2861"/>
    <s v="B&amp;U0403_1"/>
    <n v="1"/>
    <n v="1"/>
    <s v="B&amp;U"/>
    <d v="2019-04-03T00:00:00"/>
    <s v="April"/>
    <x v="0"/>
    <d v="1899-12-30T02:20:00"/>
    <m/>
    <x v="6"/>
    <s v="Foraging"/>
    <s v="NA"/>
    <n v="2"/>
    <n v="0"/>
    <n v="0"/>
    <s v="Unknown"/>
    <s v="unknown"/>
    <s v="Ground"/>
    <s v="NA"/>
    <m/>
    <m/>
    <m/>
    <s v="NA"/>
    <s v="NA"/>
    <s v="NA"/>
    <s v="NA"/>
    <s v="NA"/>
    <s v="NA"/>
    <s v="NA"/>
    <m/>
    <n v="0"/>
    <n v="0"/>
    <n v="0"/>
    <n v="0"/>
    <n v="87"/>
    <m/>
    <n v="87"/>
    <s v="Searching"/>
    <m/>
    <m/>
    <m/>
  </r>
  <r>
    <s v="DSCN2863"/>
    <s v="B&amp;U0403_3"/>
    <n v="3"/>
    <n v="1"/>
    <s v="B&amp;U"/>
    <d v="2019-04-03T00:00:00"/>
    <s v="April"/>
    <x v="0"/>
    <d v="1899-12-30T00:05:00"/>
    <m/>
    <x v="6"/>
    <s v="Caching"/>
    <s v="Spruce"/>
    <n v="0"/>
    <n v="0"/>
    <n v="1"/>
    <s v="Insect"/>
    <s v="Spider and unknown"/>
    <s v="Ground"/>
    <s v="Exterior spruce branch under witch hair"/>
    <s v="Spruce"/>
    <s v="Exterior"/>
    <s v="Under witchhair"/>
    <s v="S"/>
    <n v="220"/>
    <s v="unknown"/>
    <n v="63.725769999999997"/>
    <n v="148.95903000000001"/>
    <s v="NA"/>
    <s v="NA"/>
    <m/>
    <n v="0"/>
    <n v="0"/>
    <n v="0"/>
    <n v="0"/>
    <n v="0"/>
    <m/>
    <n v="0"/>
    <m/>
    <s v="Deployed camera. Not sure when it collected the spider, so we didn't mark a distance.  It could have been at the end of the last video, or sometime earlier"/>
    <m/>
    <m/>
  </r>
  <r>
    <s v="DSCN3105"/>
    <s v="B&amp;U0415_2"/>
    <n v="2"/>
    <n v="2"/>
    <s v="B&amp;U"/>
    <d v="2019-04-15T00:00:00"/>
    <s v="April"/>
    <x v="0"/>
    <d v="1899-12-30T01:38:00"/>
    <s v="Partly cloudy"/>
    <x v="6"/>
    <s v="Foraging"/>
    <s v="NA"/>
    <n v="1"/>
    <n v="0"/>
    <n v="0"/>
    <s v="Unknown"/>
    <s v="unknown"/>
    <s v="Ground"/>
    <s v="NA"/>
    <m/>
    <m/>
    <m/>
    <s v="NA"/>
    <s v="NA"/>
    <s v="NA"/>
    <s v="NA"/>
    <s v="NA"/>
    <s v="NA"/>
    <s v="NA"/>
    <m/>
    <n v="0"/>
    <n v="0"/>
    <n v="0"/>
    <n v="0"/>
    <n v="60"/>
    <m/>
    <n v="60"/>
    <m/>
    <m/>
    <m/>
    <m/>
  </r>
  <r>
    <s v="DSCN3108"/>
    <s v="B&amp;U0415_4"/>
    <n v="4"/>
    <n v="1"/>
    <s v="B&amp;U"/>
    <d v="2019-04-15T00:00:00"/>
    <s v="April"/>
    <x v="0"/>
    <d v="1899-12-30T00:41:00"/>
    <s v="Partly cloudy"/>
    <x v="6"/>
    <s v="Foraging"/>
    <s v="NA"/>
    <n v="1"/>
    <n v="0"/>
    <n v="0"/>
    <s v="Unknown"/>
    <s v="unknown"/>
    <s v="Ground"/>
    <s v="NA"/>
    <m/>
    <m/>
    <m/>
    <s v="NA"/>
    <s v="NA"/>
    <s v="NA"/>
    <s v="NA"/>
    <s v="NA"/>
    <s v="NA"/>
    <s v="NA"/>
    <m/>
    <n v="0"/>
    <n v="0"/>
    <n v="0"/>
    <n v="0"/>
    <n v="41"/>
    <m/>
    <n v="41"/>
    <s v="Searching"/>
    <m/>
    <m/>
    <m/>
  </r>
  <r>
    <s v="DSCN3114"/>
    <s v="B&amp;U0415_6"/>
    <n v="6"/>
    <n v="1"/>
    <s v="B&amp;U"/>
    <d v="2019-04-15T00:00:00"/>
    <s v="April"/>
    <x v="0"/>
    <d v="1899-12-30T00:38:00"/>
    <s v="Partly cloudy"/>
    <x v="6"/>
    <s v="Food handling"/>
    <s v="NA"/>
    <n v="1"/>
    <n v="0"/>
    <n v="0"/>
    <s v="Unknown"/>
    <s v="unknown"/>
    <s v="Ground"/>
    <s v="NA"/>
    <m/>
    <m/>
    <m/>
    <s v="NA"/>
    <s v="NA"/>
    <s v="NA"/>
    <s v="NA"/>
    <s v="NA"/>
    <s v="NA"/>
    <s v="NA"/>
    <m/>
    <n v="0"/>
    <n v="0"/>
    <n v="0"/>
    <n v="0"/>
    <n v="0"/>
    <m/>
    <n v="0"/>
    <m/>
    <s v="Missed acquisition"/>
    <m/>
    <m/>
  </r>
  <r>
    <s v="DSCN3114"/>
    <s v="B&amp;U0415_6"/>
    <n v="6"/>
    <n v="2"/>
    <s v="B&amp;U"/>
    <d v="2019-04-15T00:00:00"/>
    <s v="April"/>
    <x v="0"/>
    <d v="1899-12-30T00:38:00"/>
    <s v="Partly cloudy"/>
    <x v="6"/>
    <s v="Foraging"/>
    <s v="NA"/>
    <n v="1"/>
    <n v="0"/>
    <n v="0"/>
    <s v="Unknown"/>
    <s v="unknown"/>
    <s v="Ground"/>
    <s v="NA"/>
    <m/>
    <m/>
    <m/>
    <s v="NA"/>
    <s v="NA"/>
    <s v="NA"/>
    <s v="NA"/>
    <s v="NA"/>
    <s v="NA"/>
    <s v="NA"/>
    <m/>
    <n v="0"/>
    <n v="0"/>
    <n v="0"/>
    <n v="0"/>
    <n v="38"/>
    <m/>
    <n v="38"/>
    <s v="Searching"/>
    <m/>
    <m/>
    <m/>
  </r>
  <r>
    <s v="DSCN3106"/>
    <s v="B&amp;U0415_3"/>
    <n v="3"/>
    <n v="1"/>
    <s v="B&amp;U"/>
    <d v="2019-04-15T00:00:00"/>
    <s v="April"/>
    <x v="0"/>
    <d v="1899-12-30T00:46:00"/>
    <s v="Partly cloudy"/>
    <x v="6"/>
    <s v="Foraging"/>
    <s v="NA"/>
    <n v="2"/>
    <n v="0"/>
    <n v="0"/>
    <s v="Unknown"/>
    <s v="unknown"/>
    <s v="Ground"/>
    <s v="NA"/>
    <m/>
    <m/>
    <m/>
    <s v="NA"/>
    <s v="NA"/>
    <s v="NA"/>
    <s v="NA"/>
    <s v="NA"/>
    <s v="NA"/>
    <s v="NA"/>
    <m/>
    <n v="0"/>
    <n v="0"/>
    <n v="0"/>
    <n v="0"/>
    <n v="46"/>
    <m/>
    <n v="46"/>
    <s v="Searching"/>
    <s v="Not postive about food acquisitions, B&amp;Ut seems like he got at least 2, maybe even three based on post foraging behavior"/>
    <m/>
    <m/>
  </r>
  <r>
    <s v="DSCN3104"/>
    <s v="B&amp;U0415_1"/>
    <n v="1"/>
    <n v="1"/>
    <s v="B&amp;U"/>
    <d v="2019-04-15T00:00:00"/>
    <s v="April"/>
    <x v="0"/>
    <d v="1899-12-30T00:48:00"/>
    <s v="Partly cloudy"/>
    <x v="6"/>
    <s v="Foraging"/>
    <s v="Spruce"/>
    <n v="1"/>
    <n v="1"/>
    <n v="0"/>
    <s v="Animal flesh"/>
    <s v="Animal flesh (unknown)"/>
    <s v="Exterior spruce foliage"/>
    <s v="NA"/>
    <m/>
    <m/>
    <m/>
    <s v="NA"/>
    <s v="NA"/>
    <s v="NA"/>
    <s v="NA"/>
    <s v="NA"/>
    <n v="63.724440000000001"/>
    <n v="148.95590000000001"/>
    <m/>
    <n v="0"/>
    <n v="0"/>
    <n v="0"/>
    <n v="0"/>
    <n v="10"/>
    <m/>
    <n v="10"/>
    <s v="Searching"/>
    <s v="Perched in a tree and just pulled this out without looking for it.  "/>
    <m/>
    <m/>
  </r>
  <r>
    <s v="DSCN3105"/>
    <s v="B&amp;U0415_2"/>
    <n v="2"/>
    <n v="1"/>
    <s v="B&amp;U"/>
    <d v="2019-04-15T00:00:00"/>
    <s v="April"/>
    <x v="0"/>
    <d v="1899-12-30T01:38:00"/>
    <s v="Partly cloudy"/>
    <x v="6"/>
    <s v="Food handling"/>
    <s v="NA"/>
    <n v="0"/>
    <n v="0"/>
    <n v="0"/>
    <s v="Animal flesh"/>
    <s v="Animal flesh (unknown)"/>
    <s v="NA"/>
    <s v="NA"/>
    <m/>
    <m/>
    <m/>
    <s v="NA"/>
    <s v="NA"/>
    <s v="NA"/>
    <s v="NA"/>
    <s v="NA"/>
    <s v="NA"/>
    <s v="NA"/>
    <m/>
    <n v="0"/>
    <n v="0"/>
    <n v="0"/>
    <n v="0"/>
    <n v="0"/>
    <m/>
    <n v="0"/>
    <m/>
    <m/>
    <m/>
    <m/>
  </r>
  <r>
    <s v="DSCN3324"/>
    <s v="B&amp;U0418_1"/>
    <n v="1"/>
    <n v="2"/>
    <s v="B&amp;U"/>
    <d v="2019-04-18T00:00:00"/>
    <s v="April"/>
    <x v="0"/>
    <d v="1899-12-30T01:51:00"/>
    <s v="Light snow"/>
    <x v="6"/>
    <s v="Foraging"/>
    <s v="Spruce"/>
    <n v="1"/>
    <s v="unknown"/>
    <n v="0"/>
    <s v="Unknown"/>
    <s v="unknown"/>
    <s v="Exterior bare spruce branch"/>
    <s v="NA"/>
    <m/>
    <m/>
    <m/>
    <s v="NA"/>
    <s v="NA"/>
    <s v="NA"/>
    <s v="NA"/>
    <s v="NA"/>
    <s v="NA"/>
    <s v="NA"/>
    <s v="NA"/>
    <n v="41"/>
    <n v="0"/>
    <n v="0"/>
    <n v="41"/>
    <n v="23"/>
    <m/>
    <n v="64"/>
    <s v="Searching/probing"/>
    <m/>
    <n v="1"/>
    <n v="0"/>
  </r>
  <r>
    <s v="DSCN3324"/>
    <s v="B&amp;U0418_1"/>
    <n v="1"/>
    <n v="1"/>
    <s v="B&amp;U"/>
    <d v="2019-04-18T00:00:00"/>
    <s v="April"/>
    <x v="0"/>
    <d v="1899-12-30T01:51:00"/>
    <s v="Light snow"/>
    <x v="6"/>
    <s v="Foraging"/>
    <s v="NA"/>
    <n v="1"/>
    <n v="0"/>
    <n v="0"/>
    <s v="Unknown"/>
    <s v="unknown"/>
    <s v="Ground"/>
    <s v="NA"/>
    <m/>
    <m/>
    <m/>
    <s v="NA"/>
    <s v="NA"/>
    <s v="NA"/>
    <s v="NA"/>
    <s v="NA"/>
    <s v="NA"/>
    <s v="NA"/>
    <s v="NA"/>
    <n v="0"/>
    <n v="0"/>
    <n v="0"/>
    <n v="0"/>
    <n v="39"/>
    <m/>
    <n v="39"/>
    <s v="Searching"/>
    <m/>
    <m/>
    <m/>
  </r>
  <r>
    <s v="DSCN3330"/>
    <s v="B&amp;U0418_4"/>
    <n v="4"/>
    <n v="1"/>
    <s v="B&amp;U"/>
    <d v="2019-04-18T00:00:00"/>
    <s v="April"/>
    <x v="0"/>
    <d v="1899-12-30T00:19:00"/>
    <s v="Light snow"/>
    <x v="6"/>
    <s v="Caching"/>
    <s v="Spruce"/>
    <n v="0"/>
    <n v="0"/>
    <n v="1"/>
    <s v="Insect"/>
    <s v="Insect (Black caterpiller)"/>
    <s v="NA"/>
    <s v="Interior spruce foliage"/>
    <s v="Spruce"/>
    <s v="Interior"/>
    <s v="Foliage"/>
    <s v="SE"/>
    <n v="120"/>
    <s v="unknown"/>
    <n v="63.726089999999999"/>
    <n v="148.95284000000001"/>
    <s v="NA"/>
    <s v="NA"/>
    <s v="NA"/>
    <n v="0"/>
    <n v="0"/>
    <n v="0"/>
    <n v="0"/>
    <n v="0"/>
    <m/>
    <n v="0"/>
    <m/>
    <m/>
    <m/>
    <m/>
  </r>
  <r>
    <s v="DSCN3329"/>
    <s v="B&amp;U0418_3"/>
    <n v="3"/>
    <n v="1"/>
    <s v="B&amp;U"/>
    <d v="2019-04-18T00:00:00"/>
    <s v="April"/>
    <x v="0"/>
    <d v="1899-12-30T00:32:00"/>
    <s v="Light snow"/>
    <x v="6"/>
    <s v="Food handling"/>
    <s v="NA"/>
    <n v="1"/>
    <n v="0"/>
    <n v="0"/>
    <s v="Insect"/>
    <s v="Insect (Black caterpiller)"/>
    <s v="Ground"/>
    <s v="NA"/>
    <m/>
    <m/>
    <m/>
    <s v="NA"/>
    <s v="NA"/>
    <s v="NA"/>
    <s v="NA"/>
    <s v="NA"/>
    <s v="NA"/>
    <s v="NA"/>
    <s v="NA"/>
    <n v="0"/>
    <n v="0"/>
    <n v="0"/>
    <n v="0"/>
    <n v="0"/>
    <m/>
    <n v="0"/>
    <m/>
    <s v="Missed initial acquisition"/>
    <m/>
    <m/>
  </r>
  <r>
    <s v="DSCN3325"/>
    <s v="B&amp;U0418_2"/>
    <n v="2"/>
    <n v="2"/>
    <s v="B&amp;U"/>
    <d v="2019-04-18T00:00:00"/>
    <s v="April"/>
    <x v="0"/>
    <d v="1899-12-30T01:01:00"/>
    <s v="Light snow"/>
    <x v="6"/>
    <s v="Foraging"/>
    <s v="Spruce"/>
    <n v="1"/>
    <n v="0"/>
    <n v="0"/>
    <s v="Insect"/>
    <s v="Insect (grub/caterpillar)"/>
    <s v="Spruce trunk"/>
    <s v="NA"/>
    <m/>
    <m/>
    <m/>
    <s v="NA"/>
    <s v="NA"/>
    <s v="NA"/>
    <s v="NA"/>
    <s v="NA"/>
    <s v="NA"/>
    <s v="NA"/>
    <s v="NA"/>
    <n v="35"/>
    <n v="0"/>
    <n v="0"/>
    <n v="35"/>
    <n v="0"/>
    <m/>
    <n v="35"/>
    <s v="Searching/gleaning"/>
    <m/>
    <n v="0"/>
    <n v="1"/>
  </r>
  <r>
    <s v="DSCN3325"/>
    <s v="B&amp;U0418_2"/>
    <n v="2"/>
    <n v="1"/>
    <s v="B&amp;U"/>
    <d v="2019-04-18T00:00:00"/>
    <s v="April"/>
    <x v="0"/>
    <d v="1899-12-30T01:01:00"/>
    <s v="Light snow"/>
    <x v="6"/>
    <s v="Foraging"/>
    <s v="NA"/>
    <n v="1"/>
    <n v="0"/>
    <s v="Unknown"/>
    <s v="Berry"/>
    <s v="Berry (2 Cranberries)"/>
    <s v="Ground"/>
    <s v="NA"/>
    <m/>
    <m/>
    <m/>
    <s v="NA"/>
    <s v="NA"/>
    <s v="NA"/>
    <s v="NA"/>
    <s v="NA"/>
    <s v="NA"/>
    <s v="NA"/>
    <s v="NA"/>
    <n v="0"/>
    <n v="0"/>
    <n v="0"/>
    <n v="0"/>
    <n v="26"/>
    <m/>
    <n v="26"/>
    <s v="Searching"/>
    <m/>
    <m/>
    <m/>
  </r>
  <r>
    <s v="DSCN3454"/>
    <s v="B&amp;U0424_1"/>
    <n v="1"/>
    <n v="2"/>
    <s v="B&amp;U"/>
    <d v="2019-04-24T00:00:00"/>
    <s v="April"/>
    <x v="0"/>
    <d v="1899-12-30T01:26:00"/>
    <s v="Partly cloudy"/>
    <x v="6"/>
    <s v="Foraging"/>
    <s v="NA"/>
    <n v="1"/>
    <n v="0"/>
    <n v="0"/>
    <s v="Unknown"/>
    <s v="unknown"/>
    <s v="Ground"/>
    <s v="NA"/>
    <m/>
    <m/>
    <m/>
    <s v="NA"/>
    <s v="NA"/>
    <s v="NA"/>
    <s v="NA"/>
    <s v="NA"/>
    <s v="NA"/>
    <s v="NA"/>
    <s v="NA"/>
    <n v="0"/>
    <n v="0"/>
    <n v="0"/>
    <n v="0"/>
    <n v="46"/>
    <m/>
    <n v="46"/>
    <s v="Searching"/>
    <m/>
    <m/>
    <m/>
  </r>
  <r>
    <s v="DSCN3467"/>
    <s v="B&amp;U0424_9"/>
    <n v="9"/>
    <n v="1"/>
    <s v="B&amp;U"/>
    <d v="2019-04-24T00:00:00"/>
    <s v="April"/>
    <x v="0"/>
    <d v="1899-12-30T00:55:00"/>
    <s v="Partly cloudy"/>
    <x v="6"/>
    <s v="Foraging"/>
    <s v="NA"/>
    <n v="1"/>
    <n v="0"/>
    <n v="0"/>
    <s v="Unknown"/>
    <s v="unknown"/>
    <s v="Ground"/>
    <s v="NA"/>
    <m/>
    <m/>
    <m/>
    <s v="NA"/>
    <s v="NA"/>
    <s v="NA"/>
    <s v="NA"/>
    <s v="NA"/>
    <s v="NA"/>
    <s v="NA"/>
    <s v="NA"/>
    <n v="0"/>
    <n v="0"/>
    <n v="0"/>
    <n v="0"/>
    <n v="42"/>
    <m/>
    <n v="42"/>
    <m/>
    <m/>
    <m/>
    <m/>
  </r>
  <r>
    <s v="DSCN2364"/>
    <s v="B&amp;U0424_6"/>
    <n v="6"/>
    <n v="1"/>
    <s v="B&amp;U"/>
    <d v="2019-04-24T00:00:00"/>
    <s v="April"/>
    <x v="0"/>
    <d v="1899-12-30T00:14:00"/>
    <s v="Partly cloudy"/>
    <x v="6"/>
    <s v="Foraging"/>
    <s v="Spruce"/>
    <n v="1"/>
    <n v="0"/>
    <n v="0"/>
    <s v="Unknown"/>
    <s v="unknown"/>
    <s v="Interior bare spruce branch"/>
    <s v="NA"/>
    <m/>
    <m/>
    <m/>
    <s v="NA"/>
    <s v="NA"/>
    <s v="NA"/>
    <s v="NA"/>
    <s v="NA"/>
    <s v="NA"/>
    <s v="NA"/>
    <s v="NA"/>
    <n v="9"/>
    <n v="0"/>
    <n v="9"/>
    <n v="0"/>
    <n v="0"/>
    <m/>
    <n v="9"/>
    <s v="Gleaning"/>
    <m/>
    <n v="0"/>
    <n v="1"/>
  </r>
  <r>
    <s v="DSCN3466"/>
    <s v="B&amp;U0424_8"/>
    <n v="8"/>
    <n v="1"/>
    <s v="B&amp;U"/>
    <d v="2019-04-24T00:00:00"/>
    <s v="April"/>
    <x v="0"/>
    <d v="1899-12-30T00:06:00"/>
    <s v="Partly cloudy"/>
    <x v="6"/>
    <s v="Foraging"/>
    <s v="Spruce"/>
    <n v="1"/>
    <n v="0"/>
    <n v="0"/>
    <s v="Unknown"/>
    <s v="unknown (Probably B&amp;Ugs)"/>
    <s v="Interior bare spruce branch"/>
    <s v="NA"/>
    <m/>
    <m/>
    <m/>
    <s v="NA"/>
    <s v="NA"/>
    <s v="NA"/>
    <s v="NA"/>
    <s v="NA"/>
    <s v="NA"/>
    <s v="NA"/>
    <s v="NA"/>
    <n v="0"/>
    <n v="0"/>
    <n v="0"/>
    <n v="0"/>
    <n v="0"/>
    <m/>
    <n v="0"/>
    <m/>
    <s v="Missed foraging, B&amp;Ut Liz witnessed initial capture"/>
    <m/>
    <m/>
  </r>
  <r>
    <s v="DSCN3454"/>
    <s v="B&amp;U0424_1"/>
    <n v="1"/>
    <n v="1"/>
    <s v="B&amp;U"/>
    <d v="2019-04-24T00:00:00"/>
    <s v="April"/>
    <x v="0"/>
    <d v="1899-12-30T01:26:00"/>
    <s v="Partly cloudy"/>
    <x v="6"/>
    <s v="Foraging"/>
    <s v="NA"/>
    <n v="1"/>
    <n v="0"/>
    <n v="0"/>
    <s v="Berry"/>
    <s v="Berry"/>
    <s v="Ground"/>
    <s v="NA"/>
    <m/>
    <m/>
    <m/>
    <s v="NA"/>
    <s v="NA"/>
    <s v="NA"/>
    <s v="NA"/>
    <s v="NA"/>
    <s v="NA"/>
    <s v="NA"/>
    <s v="NA"/>
    <n v="0"/>
    <n v="0"/>
    <n v="0"/>
    <n v="0"/>
    <n v="17"/>
    <m/>
    <n v="17"/>
    <s v="Searching"/>
    <m/>
    <m/>
    <m/>
  </r>
  <r>
    <s v="DSCN3467"/>
    <s v="B&amp;U0424_9"/>
    <n v="9"/>
    <n v="2"/>
    <s v="B&amp;U"/>
    <d v="2019-04-24T00:00:00"/>
    <s v="April"/>
    <x v="0"/>
    <d v="1899-12-30T00:55:00"/>
    <s v="Partly cloudy"/>
    <x v="6"/>
    <s v="Foraging"/>
    <s v="NA"/>
    <n v="1"/>
    <n v="0"/>
    <n v="0"/>
    <s v="Berry"/>
    <s v="Berry"/>
    <s v="Ground"/>
    <s v="NA"/>
    <m/>
    <m/>
    <m/>
    <s v="NA"/>
    <s v="NA"/>
    <s v="NA"/>
    <s v="NA"/>
    <s v="NA"/>
    <s v="NA"/>
    <s v="NA"/>
    <s v="NA"/>
    <n v="0"/>
    <n v="0"/>
    <n v="0"/>
    <n v="0"/>
    <n v="10"/>
    <m/>
    <n v="10"/>
    <s v="Searching"/>
    <m/>
    <m/>
    <m/>
  </r>
  <r>
    <s v="DSCN3469"/>
    <s v="B&amp;U0424_10"/>
    <n v="10"/>
    <n v="1"/>
    <s v="B&amp;U"/>
    <d v="2019-04-24T00:00:00"/>
    <s v="April"/>
    <x v="0"/>
    <d v="1899-12-30T00:10:00"/>
    <s v="Partly cloudy"/>
    <x v="6"/>
    <s v="Foraging"/>
    <s v="Spruce"/>
    <n v="0"/>
    <n v="0"/>
    <n v="0"/>
    <m/>
    <s v="NA"/>
    <s v="NA"/>
    <s v="NA"/>
    <m/>
    <m/>
    <m/>
    <s v="NA"/>
    <s v="NA"/>
    <s v="NA"/>
    <s v="NA"/>
    <s v="NA"/>
    <s v="NA"/>
    <s v="NA"/>
    <s v="NA"/>
    <n v="7"/>
    <n v="0"/>
    <n v="3"/>
    <n v="4"/>
    <n v="3"/>
    <m/>
    <n v="10"/>
    <s v="Searching"/>
    <m/>
    <m/>
    <m/>
  </r>
  <r>
    <s v="DSCN3457"/>
    <s v="B&amp;U0424_2"/>
    <n v="2"/>
    <n v="1"/>
    <s v="B&amp;U"/>
    <d v="2019-04-24T00:00:00"/>
    <s v="April"/>
    <x v="0"/>
    <d v="1899-12-30T00:16:00"/>
    <s v="Partly cloudy"/>
    <x v="6"/>
    <s v="Foraging"/>
    <s v="NA"/>
    <n v="0"/>
    <n v="0"/>
    <n v="0"/>
    <m/>
    <s v="NA"/>
    <s v="NA"/>
    <s v="NA"/>
    <m/>
    <m/>
    <m/>
    <s v="NA"/>
    <s v="NA"/>
    <s v="NA"/>
    <s v="NA"/>
    <s v="NA"/>
    <s v="NA"/>
    <s v="NA"/>
    <s v="NA"/>
    <n v="0"/>
    <n v="0"/>
    <n v="0"/>
    <n v="0"/>
    <n v="16"/>
    <m/>
    <n v="16"/>
    <s v="Searching"/>
    <m/>
    <m/>
    <m/>
  </r>
  <r>
    <s v="DSCN3465"/>
    <s v="B&amp;U0424_7"/>
    <n v="7"/>
    <n v="1"/>
    <s v="B&amp;U"/>
    <d v="2019-04-24T00:00:00"/>
    <s v="April"/>
    <x v="0"/>
    <d v="1899-12-30T00:29:00"/>
    <s v="Partly cloudy"/>
    <x v="6"/>
    <s v="Foraging"/>
    <s v="NA"/>
    <n v="0"/>
    <n v="0"/>
    <n v="0"/>
    <m/>
    <s v="NA"/>
    <s v="NA"/>
    <s v="NA"/>
    <m/>
    <m/>
    <m/>
    <s v="NA"/>
    <s v="NA"/>
    <s v="NA"/>
    <s v="NA"/>
    <s v="NA"/>
    <s v="NA"/>
    <s v="NA"/>
    <s v="NA"/>
    <n v="0"/>
    <n v="0"/>
    <n v="0"/>
    <n v="0"/>
    <n v="29"/>
    <m/>
    <n v="29"/>
    <s v="Searching"/>
    <m/>
    <m/>
    <m/>
  </r>
  <r>
    <s v="DSCN2736"/>
    <s v="B&amp;U0401_1"/>
    <n v="1"/>
    <n v="1"/>
    <s v="B&amp;U"/>
    <d v="2019-04-01T00:00:00"/>
    <s v="April"/>
    <x v="0"/>
    <d v="1899-12-30T00:30:00"/>
    <m/>
    <x v="6"/>
    <s v="Foraging"/>
    <s v="NA"/>
    <s v="unknown"/>
    <n v="0"/>
    <n v="0"/>
    <m/>
    <s v="NA"/>
    <s v="NA"/>
    <s v="NA"/>
    <m/>
    <m/>
    <m/>
    <s v="NA"/>
    <s v="NA"/>
    <s v="NA"/>
    <s v="NA"/>
    <s v="NA"/>
    <s v="NA"/>
    <s v="NA"/>
    <m/>
    <n v="0"/>
    <n v="0"/>
    <n v="0"/>
    <n v="0"/>
    <n v="30"/>
    <m/>
    <n v="30"/>
    <s v="Searching"/>
    <m/>
    <m/>
    <m/>
  </r>
  <r>
    <s v="DSCN2749"/>
    <s v="B&amp;U0401_10"/>
    <n v="10"/>
    <n v="1"/>
    <s v="B&amp;U"/>
    <d v="2019-04-01T00:00:00"/>
    <s v="April"/>
    <x v="0"/>
    <d v="1899-12-30T00:37:00"/>
    <m/>
    <x v="6"/>
    <s v="Foraging"/>
    <s v="NA"/>
    <s v="unknown"/>
    <n v="0"/>
    <n v="0"/>
    <m/>
    <s v="NA"/>
    <s v="NA"/>
    <s v="NA"/>
    <m/>
    <m/>
    <m/>
    <s v="NA"/>
    <s v="NA"/>
    <s v="NA"/>
    <s v="NA"/>
    <s v="NA"/>
    <s v="NA"/>
    <s v="NA"/>
    <m/>
    <n v="0"/>
    <n v="0"/>
    <n v="0"/>
    <n v="0"/>
    <n v="29"/>
    <m/>
    <n v="29"/>
    <s v="Searching"/>
    <m/>
    <m/>
    <m/>
  </r>
  <r>
    <s v="DSCN2752"/>
    <s v="B&amp;U0401_12"/>
    <n v="12"/>
    <n v="1"/>
    <s v="B&amp;U"/>
    <d v="2019-04-01T00:00:00"/>
    <s v="April"/>
    <x v="0"/>
    <d v="1899-12-30T00:19:00"/>
    <m/>
    <x v="6"/>
    <s v="Foraging"/>
    <s v="NA"/>
    <s v="unknown"/>
    <n v="0"/>
    <n v="0"/>
    <m/>
    <s v="NA"/>
    <s v="NA"/>
    <s v="NA"/>
    <m/>
    <m/>
    <m/>
    <s v="NA"/>
    <s v="NA"/>
    <s v="NA"/>
    <s v="NA"/>
    <s v="NA"/>
    <s v="NA"/>
    <s v="NA"/>
    <m/>
    <n v="0"/>
    <n v="0"/>
    <n v="0"/>
    <n v="0"/>
    <n v="15"/>
    <m/>
    <n v="15"/>
    <s v="Searching"/>
    <m/>
    <m/>
    <m/>
  </r>
  <r>
    <s v="DSCN2753"/>
    <s v="B&amp;U0401_13"/>
    <n v="13"/>
    <n v="1"/>
    <s v="B&amp;U"/>
    <d v="2019-04-01T00:00:00"/>
    <s v="April"/>
    <x v="0"/>
    <d v="1899-12-30T00:21:00"/>
    <m/>
    <x v="6"/>
    <s v="Foraging"/>
    <s v="NA"/>
    <s v="unknown"/>
    <n v="0"/>
    <n v="0"/>
    <m/>
    <s v="NA"/>
    <s v="NA"/>
    <s v="NA"/>
    <m/>
    <m/>
    <m/>
    <s v="NA"/>
    <s v="NA"/>
    <s v="NA"/>
    <s v="NA"/>
    <s v="NA"/>
    <s v="NA"/>
    <s v="NA"/>
    <m/>
    <n v="0"/>
    <n v="0"/>
    <n v="0"/>
    <n v="0"/>
    <n v="21"/>
    <m/>
    <n v="21"/>
    <s v="Searching"/>
    <m/>
    <m/>
    <m/>
  </r>
  <r>
    <s v="DSCN2738"/>
    <s v="B&amp;U0401_2"/>
    <n v="2"/>
    <n v="1"/>
    <s v="B&amp;U"/>
    <d v="2019-04-01T00:00:00"/>
    <s v="April"/>
    <x v="0"/>
    <d v="1899-12-30T00:12:00"/>
    <m/>
    <x v="6"/>
    <s v="Foraging"/>
    <s v="NA"/>
    <s v="unknown"/>
    <n v="0"/>
    <n v="0"/>
    <m/>
    <s v="NA"/>
    <s v="NA"/>
    <s v="NA"/>
    <m/>
    <m/>
    <m/>
    <s v="NA"/>
    <s v="NA"/>
    <s v="NA"/>
    <s v="NA"/>
    <s v="NA"/>
    <s v="NA"/>
    <s v="NA"/>
    <m/>
    <n v="0"/>
    <n v="0"/>
    <n v="0"/>
    <n v="0"/>
    <n v="12"/>
    <m/>
    <n v="12"/>
    <s v="Searching"/>
    <m/>
    <m/>
    <m/>
  </r>
  <r>
    <s v="DSCN2740"/>
    <s v="B&amp;U0401_3"/>
    <n v="3"/>
    <n v="1"/>
    <s v="B&amp;U"/>
    <d v="2019-04-01T00:00:00"/>
    <s v="April"/>
    <x v="0"/>
    <d v="1899-12-30T01:00:00"/>
    <m/>
    <x v="6"/>
    <s v="Foraging"/>
    <s v="NA"/>
    <s v="unknown"/>
    <n v="0"/>
    <n v="0"/>
    <m/>
    <s v="NA"/>
    <s v="NA"/>
    <s v="NA"/>
    <m/>
    <m/>
    <m/>
    <s v="NA"/>
    <s v="NA"/>
    <s v="NA"/>
    <s v="NA"/>
    <s v="NA"/>
    <s v="NA"/>
    <s v="NA"/>
    <m/>
    <n v="0"/>
    <n v="0"/>
    <n v="0"/>
    <n v="0"/>
    <n v="60"/>
    <m/>
    <n v="60"/>
    <s v="Searching"/>
    <m/>
    <m/>
    <m/>
  </r>
  <r>
    <s v="DSCN2862"/>
    <s v="B&amp;U0403_2"/>
    <n v="2"/>
    <n v="1"/>
    <s v="B&amp;U"/>
    <d v="2019-04-03T00:00:00"/>
    <s v="April"/>
    <x v="0"/>
    <d v="1899-12-30T00:45:00"/>
    <m/>
    <x v="6"/>
    <s v="Foraging"/>
    <s v="NA"/>
    <s v="unknown"/>
    <n v="0"/>
    <n v="0"/>
    <m/>
    <s v="NA"/>
    <s v="NA"/>
    <s v="NA"/>
    <m/>
    <m/>
    <m/>
    <s v="NA"/>
    <s v="NA"/>
    <s v="NA"/>
    <s v="NA"/>
    <s v="NA"/>
    <s v="NA"/>
    <s v="NA"/>
    <m/>
    <n v="0"/>
    <n v="0"/>
    <n v="0"/>
    <n v="0"/>
    <n v="43"/>
    <m/>
    <n v="43"/>
    <s v="Searching"/>
    <m/>
    <m/>
    <m/>
  </r>
  <r>
    <s v="DSCN3109"/>
    <s v="B&amp;U0415_5"/>
    <n v="5"/>
    <n v="1"/>
    <s v="B&amp;U"/>
    <d v="2019-04-15T00:00:00"/>
    <s v="April"/>
    <x v="0"/>
    <d v="1899-12-30T00:33:00"/>
    <s v="Partly cloudy"/>
    <x v="6"/>
    <s v="Foraging"/>
    <s v="NA"/>
    <s v="unknown"/>
    <n v="0"/>
    <n v="0"/>
    <m/>
    <s v="NA"/>
    <s v="NA"/>
    <s v="NA"/>
    <m/>
    <m/>
    <m/>
    <s v="NA"/>
    <s v="NA"/>
    <s v="NA"/>
    <s v="NA"/>
    <s v="NA"/>
    <s v="NA"/>
    <s v="NA"/>
    <m/>
    <n v="0"/>
    <n v="0"/>
    <n v="0"/>
    <n v="0"/>
    <n v="33"/>
    <m/>
    <n v="33"/>
    <s v="Searching"/>
    <m/>
    <m/>
    <m/>
  </r>
  <r>
    <s v="DSCN3470"/>
    <s v="B&amp;U0424_11"/>
    <n v="11"/>
    <n v="1"/>
    <s v="B&amp;U"/>
    <d v="2019-04-24T00:00:00"/>
    <s v="April"/>
    <x v="0"/>
    <d v="1899-12-30T00:28:00"/>
    <s v="Partly cloudy"/>
    <x v="6"/>
    <s v="Foraging"/>
    <s v="Spruce"/>
    <s v="unknown"/>
    <s v="unknown"/>
    <n v="0"/>
    <m/>
    <s v="NA"/>
    <s v="NA"/>
    <s v="NA"/>
    <m/>
    <m/>
    <m/>
    <s v="NA"/>
    <s v="NA"/>
    <s v="NA"/>
    <s v="NA"/>
    <s v="NA"/>
    <s v="NA"/>
    <s v="NA"/>
    <s v="NA"/>
    <n v="25"/>
    <n v="0"/>
    <n v="16"/>
    <n v="9"/>
    <n v="0"/>
    <m/>
    <n v="25"/>
    <s v="Searching"/>
    <m/>
    <m/>
    <m/>
  </r>
  <r>
    <s v="DSCN3458"/>
    <s v="B&amp;U0424_3"/>
    <n v="3"/>
    <n v="1"/>
    <s v="B&amp;U"/>
    <d v="2019-04-24T00:00:00"/>
    <s v="April"/>
    <x v="0"/>
    <d v="1899-12-30T00:25:00"/>
    <s v="Partly cloudy"/>
    <x v="6"/>
    <s v="Foraging"/>
    <s v="NA"/>
    <s v="unknown"/>
    <n v="0"/>
    <n v="0"/>
    <m/>
    <s v="NA"/>
    <s v="NA"/>
    <s v="NA"/>
    <m/>
    <m/>
    <m/>
    <s v="NA"/>
    <s v="NA"/>
    <s v="NA"/>
    <s v="NA"/>
    <s v="NA"/>
    <s v="NA"/>
    <s v="NA"/>
    <s v="NA"/>
    <n v="0"/>
    <n v="0"/>
    <n v="0"/>
    <n v="0"/>
    <n v="25"/>
    <m/>
    <n v="25"/>
    <m/>
    <m/>
    <m/>
    <m/>
  </r>
  <r>
    <s v="DSCN3459"/>
    <s v="B&amp;U0424_4"/>
    <n v="4"/>
    <n v="1"/>
    <s v="B&amp;U"/>
    <d v="2019-04-24T00:00:00"/>
    <s v="April"/>
    <x v="0"/>
    <d v="1899-12-30T00:26:00"/>
    <s v="Partly cloudy"/>
    <x v="6"/>
    <s v="Foraging"/>
    <s v="Spruce"/>
    <s v="unknown"/>
    <s v="unknown"/>
    <n v="0"/>
    <m/>
    <s v="NA"/>
    <s v="NA"/>
    <s v="NA"/>
    <m/>
    <m/>
    <m/>
    <s v="NA"/>
    <s v="NA"/>
    <s v="NA"/>
    <s v="NA"/>
    <s v="NA"/>
    <s v="NA"/>
    <s v="NA"/>
    <s v="NA"/>
    <n v="5"/>
    <n v="0"/>
    <n v="0"/>
    <n v="5"/>
    <n v="0"/>
    <m/>
    <n v="5"/>
    <s v="Searching"/>
    <m/>
    <m/>
    <m/>
  </r>
  <r>
    <s v="DSCN3027"/>
    <s v="M4R0409_4"/>
    <n v="4"/>
    <n v="1"/>
    <s v="M4Roadside"/>
    <d v="2019-04-09T00:00:00"/>
    <s v="April"/>
    <x v="0"/>
    <d v="1899-12-30T01:23:00"/>
    <m/>
    <x v="7"/>
    <s v="Caching/foraging"/>
    <s v="Willow"/>
    <n v="0"/>
    <n v="0"/>
    <n v="1"/>
    <s v="Insect"/>
    <s v="Insects (2 caterpillars, incl brown and black ones and a SPIDER)"/>
    <s v="Ground"/>
    <s v="Top of willow branch"/>
    <s v="Willow"/>
    <s v="Exterior"/>
    <s v="On branch"/>
    <s v="NA-top of branch"/>
    <s v="NA-top of branch"/>
    <s v="TBD"/>
    <n v="63.71922"/>
    <n v="148.98706000000001"/>
    <s v="NA"/>
    <s v="NA"/>
    <m/>
    <n v="0"/>
    <n v="0"/>
    <n v="0"/>
    <n v="0"/>
    <n v="65"/>
    <m/>
    <n v="65"/>
    <m/>
    <s v="Cached two caterpillars and a spider on the same branch. One caterpiller was saw it aquire B&amp;Ut the other two items we did not.  Counted as additional aquisitions  Put Camera out on this cache. Again, we thought originally that YO/BS grabbed the black caterpillar B&amp;Ut now we aren't sure.  Maybe they switched off camera.  So we don't have a distance for the black caterpillar.  "/>
    <m/>
    <m/>
  </r>
  <r>
    <s v="DSCN3034"/>
    <s v="M4R0409_9"/>
    <n v="9"/>
    <n v="1"/>
    <s v="M4Roadside"/>
    <d v="2019-04-09T00:00:00"/>
    <s v="April"/>
    <x v="0"/>
    <d v="1899-12-30T00:46:00"/>
    <m/>
    <x v="7"/>
    <s v="Foraging/caching"/>
    <s v="Spruce"/>
    <n v="1"/>
    <n v="0"/>
    <n v="1"/>
    <s v="Insect"/>
    <s v="Insect (caterpiller)"/>
    <s v="Ground"/>
    <s v="Exterior spruce branch under witch hair"/>
    <s v="Spruce"/>
    <s v="Exterior"/>
    <s v="Under witchhair"/>
    <s v="NW"/>
    <n v="330"/>
    <n v="5"/>
    <n v="63.719679999999997"/>
    <n v="148.98660000000001"/>
    <s v="NA"/>
    <s v="NA"/>
    <m/>
    <n v="0"/>
    <n v="0"/>
    <n v="0"/>
    <n v="0"/>
    <n v="7"/>
    <m/>
    <n v="7"/>
    <s v="Searching"/>
    <m/>
    <m/>
    <m/>
  </r>
  <r>
    <s v="DSCN3040"/>
    <s v="M4R0409_12"/>
    <n v="12"/>
    <n v="1"/>
    <s v="M4Roadside"/>
    <d v="2019-04-09T00:00:00"/>
    <s v="April"/>
    <x v="0"/>
    <d v="1899-12-30T00:14:00"/>
    <m/>
    <x v="7"/>
    <s v="Food handling"/>
    <s v="NA"/>
    <n v="1"/>
    <n v="0"/>
    <n v="0"/>
    <s v="Insect"/>
    <s v="Insect (Black caterpiller)"/>
    <s v="Ground"/>
    <s v="NA"/>
    <m/>
    <m/>
    <m/>
    <s v="NA"/>
    <s v="NA"/>
    <s v="NA"/>
    <s v="NA"/>
    <s v="NA"/>
    <s v="NA"/>
    <s v="NA"/>
    <m/>
    <n v="0"/>
    <n v="0"/>
    <n v="0"/>
    <n v="0"/>
    <n v="0"/>
    <m/>
    <n v="0"/>
    <m/>
    <s v="Missed aquistion.  We reviewed the videos (and out memories) very carefully to confirm that in the previous video it's YO/BS that gets the caterpiller and it's a coincidence that now this bird also has one. "/>
    <m/>
    <m/>
  </r>
  <r>
    <s v="DSCN3026"/>
    <s v="M4R0409_3"/>
    <n v="3"/>
    <n v="1"/>
    <s v="M4Roadside"/>
    <d v="2019-04-09T00:00:00"/>
    <s v="April"/>
    <x v="0"/>
    <d v="1899-12-30T00:54:00"/>
    <m/>
    <x v="7"/>
    <s v="Foraging"/>
    <s v="NA"/>
    <n v="1"/>
    <n v="0"/>
    <n v="0"/>
    <s v="Insect"/>
    <s v="Insect (grub/caterpillar)"/>
    <s v="Ground"/>
    <s v="NA"/>
    <m/>
    <m/>
    <m/>
    <s v="NA"/>
    <s v="NA"/>
    <s v="NA"/>
    <s v="NA"/>
    <s v="NA"/>
    <s v="NA"/>
    <s v="NA"/>
    <m/>
    <n v="0"/>
    <n v="0"/>
    <n v="0"/>
    <n v="0"/>
    <n v="54"/>
    <m/>
    <n v="54"/>
    <m/>
    <m/>
    <m/>
    <m/>
  </r>
  <r>
    <s v="DSCN3033"/>
    <s v="M3R0409_8"/>
    <n v="8"/>
    <n v="1"/>
    <s v="M4Roadside"/>
    <d v="2019-04-09T00:00:00"/>
    <s v="April"/>
    <x v="0"/>
    <d v="1899-12-30T00:32:00"/>
    <m/>
    <x v="7"/>
    <s v="Foraging"/>
    <s v="NA"/>
    <n v="0"/>
    <n v="0"/>
    <n v="0"/>
    <m/>
    <s v="NA"/>
    <s v="NA"/>
    <s v="NA"/>
    <m/>
    <m/>
    <m/>
    <s v="NA"/>
    <s v="NA"/>
    <s v="NA"/>
    <s v="NA"/>
    <s v="NA"/>
    <s v="NA"/>
    <s v="NA"/>
    <m/>
    <n v="0"/>
    <n v="0"/>
    <n v="0"/>
    <n v="0"/>
    <n v="32"/>
    <m/>
    <n v="32"/>
    <s v="Searching"/>
    <m/>
    <m/>
    <m/>
  </r>
  <r>
    <s v="DSCN3041"/>
    <s v="M4R0409_13"/>
    <n v="13"/>
    <n v="1"/>
    <s v="M4Roadside"/>
    <d v="2019-04-09T00:00:00"/>
    <s v="April"/>
    <x v="0"/>
    <d v="1899-12-30T00:20:00"/>
    <m/>
    <x v="7"/>
    <s v="Food handling"/>
    <s v="NA"/>
    <n v="0"/>
    <n v="0"/>
    <n v="0"/>
    <s v="Insect"/>
    <s v="Insect (Black caterpiller)"/>
    <s v="NA"/>
    <s v="NA"/>
    <m/>
    <m/>
    <m/>
    <s v="NA"/>
    <s v="NA"/>
    <s v="NA"/>
    <s v="NA"/>
    <s v="NA"/>
    <s v="NA"/>
    <s v="NA"/>
    <m/>
    <n v="0"/>
    <n v="0"/>
    <n v="0"/>
    <n v="0"/>
    <n v="0"/>
    <m/>
    <n v="0"/>
    <m/>
    <s v="Same piller from previous video"/>
    <m/>
    <m/>
  </r>
  <r>
    <s v="DSCN3029"/>
    <s v="M4R0409_5"/>
    <n v="5"/>
    <n v="1"/>
    <s v="M4Roadside"/>
    <d v="2019-04-09T00:00:00"/>
    <s v="April"/>
    <x v="0"/>
    <d v="1899-12-30T00:11:00"/>
    <m/>
    <x v="7"/>
    <s v="Foraging"/>
    <s v="NA"/>
    <n v="0"/>
    <n v="0"/>
    <n v="0"/>
    <m/>
    <s v="NA"/>
    <s v="NA"/>
    <s v="NA"/>
    <m/>
    <m/>
    <m/>
    <s v="NA"/>
    <s v="NA"/>
    <s v="NA"/>
    <s v="NA"/>
    <s v="NA"/>
    <s v="NA"/>
    <s v="NA"/>
    <m/>
    <n v="0"/>
    <n v="0"/>
    <n v="0"/>
    <n v="0"/>
    <n v="11"/>
    <m/>
    <n v="11"/>
    <s v="Searching"/>
    <m/>
    <m/>
    <m/>
  </r>
  <r>
    <s v="DSCN3031"/>
    <s v="M4R0409_6"/>
    <n v="6"/>
    <n v="1"/>
    <s v="M4Roadside"/>
    <d v="2019-04-09T00:00:00"/>
    <s v="April"/>
    <x v="0"/>
    <d v="1899-12-30T00:32:00"/>
    <m/>
    <x v="7"/>
    <s v="Foraging"/>
    <s v="NA"/>
    <n v="0"/>
    <n v="0"/>
    <n v="0"/>
    <m/>
    <s v="NA"/>
    <s v="NA"/>
    <s v="NA"/>
    <m/>
    <m/>
    <m/>
    <s v="NA"/>
    <s v="NA"/>
    <s v="NA"/>
    <s v="NA"/>
    <s v="NA"/>
    <s v="NA"/>
    <s v="NA"/>
    <m/>
    <n v="0"/>
    <n v="0"/>
    <n v="0"/>
    <n v="0"/>
    <n v="32"/>
    <m/>
    <n v="32"/>
    <s v="Searching"/>
    <m/>
    <m/>
    <m/>
  </r>
  <r>
    <s v="DSCN3032"/>
    <s v="M4R0409_7"/>
    <n v="7"/>
    <n v="1"/>
    <s v="M4Roadside"/>
    <d v="2019-04-09T00:00:00"/>
    <s v="April"/>
    <x v="0"/>
    <d v="1899-12-30T00:13:00"/>
    <m/>
    <x v="7"/>
    <s v="Foraging"/>
    <s v="NA"/>
    <n v="0"/>
    <n v="0"/>
    <n v="0"/>
    <m/>
    <s v="NA"/>
    <s v="NA"/>
    <s v="NA"/>
    <m/>
    <m/>
    <m/>
    <s v="NA"/>
    <s v="NA"/>
    <s v="NA"/>
    <s v="NA"/>
    <s v="NA"/>
    <s v="NA"/>
    <s v="NA"/>
    <m/>
    <n v="0"/>
    <n v="0"/>
    <n v="0"/>
    <n v="0"/>
    <n v="7"/>
    <m/>
    <n v="7"/>
    <s v="Searching"/>
    <m/>
    <m/>
    <m/>
  </r>
  <r>
    <s v="DSCN3224"/>
    <s v="M4R0417_7"/>
    <n v="7"/>
    <n v="1"/>
    <s v="M4Roadside"/>
    <d v="2019-04-17T00:00:00"/>
    <s v="April"/>
    <x v="0"/>
    <d v="1899-12-30T00:34:00"/>
    <s v="Overcast, light snow"/>
    <x v="7"/>
    <s v="Foraging"/>
    <s v="NA"/>
    <n v="1"/>
    <n v="0"/>
    <n v="0"/>
    <s v="Unknown"/>
    <s v="unknown"/>
    <s v="Ground"/>
    <s v="NA"/>
    <m/>
    <m/>
    <m/>
    <s v="NA"/>
    <s v="NA"/>
    <s v="NA"/>
    <s v="NA"/>
    <s v="NA"/>
    <s v="NA"/>
    <s v="NA"/>
    <m/>
    <n v="0"/>
    <n v="0"/>
    <n v="0"/>
    <n v="0"/>
    <n v="10"/>
    <m/>
    <n v="10"/>
    <s v="Searching"/>
    <m/>
    <m/>
    <m/>
  </r>
  <r>
    <s v="DSCN3224"/>
    <s v="M4R0417_7"/>
    <n v="7"/>
    <n v="2"/>
    <s v="M4Roadside"/>
    <d v="2019-04-17T00:00:00"/>
    <s v="April"/>
    <x v="0"/>
    <d v="1899-12-30T00:34:00"/>
    <s v="Overcast, light snow"/>
    <x v="7"/>
    <s v="Foraging"/>
    <s v="NA"/>
    <n v="1"/>
    <n v="0"/>
    <n v="0"/>
    <s v="Insect"/>
    <s v="Insect (grub/caterpillar)"/>
    <s v="Ground"/>
    <s v="NA"/>
    <m/>
    <m/>
    <m/>
    <s v="NA"/>
    <s v="NA"/>
    <s v="NA"/>
    <s v="NA"/>
    <s v="NA"/>
    <s v="NA"/>
    <s v="NA"/>
    <m/>
    <n v="0"/>
    <n v="0"/>
    <n v="0"/>
    <n v="0"/>
    <n v="7"/>
    <m/>
    <n v="7"/>
    <s v="Searching"/>
    <m/>
    <m/>
    <m/>
  </r>
  <r>
    <s v="DSCN3337"/>
    <s v="M4R0419_1"/>
    <n v="1"/>
    <n v="1"/>
    <s v="M4Roadside"/>
    <d v="2019-04-19T00:00:00"/>
    <s v="April"/>
    <x v="0"/>
    <d v="1899-12-30T00:11:00"/>
    <s v="Partly cloudy"/>
    <x v="7"/>
    <s v="Foraging"/>
    <s v="Alder"/>
    <n v="0"/>
    <n v="0"/>
    <n v="0"/>
    <m/>
    <s v="NA"/>
    <s v="NA"/>
    <s v="NA"/>
    <m/>
    <m/>
    <m/>
    <s v="NA"/>
    <s v="NA"/>
    <s v="NA"/>
    <s v="NA"/>
    <s v="NA"/>
    <s v="NA"/>
    <s v="NA"/>
    <s v="NA"/>
    <n v="11"/>
    <n v="0"/>
    <n v="0"/>
    <n v="11"/>
    <n v="0"/>
    <m/>
    <n v="11"/>
    <s v="Searching/probing"/>
    <s v="No probling on tape B&amp;Ut had seen some earlier"/>
    <n v="0"/>
    <n v="0"/>
  </r>
  <r>
    <s v="DSCN3651"/>
    <s v="M4R0430_9"/>
    <n v="9"/>
    <n v="1"/>
    <s v="M4Roadside"/>
    <d v="2019-04-30T00:00:00"/>
    <s v="April"/>
    <x v="0"/>
    <d v="1899-12-30T01:36:00"/>
    <s v="Clear, full sun"/>
    <x v="7"/>
    <s v="Foraging"/>
    <s v="Spruce"/>
    <n v="1"/>
    <n v="1"/>
    <n v="0"/>
    <s v="Unknown"/>
    <s v="unknown"/>
    <s v="Exterior spruce branch under witchhair"/>
    <s v="NA"/>
    <m/>
    <m/>
    <m/>
    <s v="NA"/>
    <s v="NA"/>
    <s v="NA"/>
    <s v="NA"/>
    <s v="NA"/>
    <n v="63.720140000000001"/>
    <n v="148.98885999999999"/>
    <s v="NA"/>
    <n v="18"/>
    <n v="0"/>
    <n v="0"/>
    <n v="18"/>
    <n v="0"/>
    <m/>
    <n v="18"/>
    <s v="Probing"/>
    <s v="Recovered a cache in the tree next to YO/BS's cache tree so used same waypoint, B&amp;Ut it wasn't the exact same tree. "/>
    <n v="1"/>
    <n v="0"/>
  </r>
  <r>
    <s v="DSCN3653"/>
    <s v="M4R0430_11"/>
    <n v="11"/>
    <n v="1"/>
    <s v="M4Roadside"/>
    <d v="2019-04-30T00:00:00"/>
    <s v="April"/>
    <x v="0"/>
    <d v="1899-12-30T01:37:00"/>
    <s v="Clear, full sun"/>
    <x v="7"/>
    <s v="Foraging"/>
    <s v="NA"/>
    <n v="1"/>
    <n v="0"/>
    <n v="1"/>
    <s v="Berry"/>
    <s v="Berry (2 Cranberries)"/>
    <s v="Ground"/>
    <s v="Exterior spruce branch under witch hair"/>
    <s v="Spruce"/>
    <s v="Exterior"/>
    <s v="Under witchhair"/>
    <s v="SW"/>
    <n v="220"/>
    <n v="10.9"/>
    <n v="63.719990000000003"/>
    <n v="148.98865000000001"/>
    <s v="NA"/>
    <s v="NA"/>
    <s v="NA"/>
    <n v="0"/>
    <n v="0"/>
    <n v="0"/>
    <n v="0"/>
    <n v="85"/>
    <m/>
    <n v="85"/>
    <s v="Searching"/>
    <m/>
    <m/>
    <m/>
  </r>
  <r>
    <s v="DSCN3654"/>
    <s v="M4R0430_12"/>
    <n v="12"/>
    <n v="1"/>
    <s v="M4Roadside"/>
    <d v="2019-04-30T00:00:00"/>
    <s v="April"/>
    <x v="0"/>
    <d v="1899-12-30T00:13:00"/>
    <s v="Clear, full sun"/>
    <x v="7"/>
    <s v="Foraging"/>
    <s v="NA"/>
    <n v="0"/>
    <n v="0"/>
    <n v="0"/>
    <m/>
    <s v="NA"/>
    <s v="NA"/>
    <s v="NA"/>
    <m/>
    <m/>
    <m/>
    <s v="NA"/>
    <s v="NA"/>
    <s v="NA"/>
    <s v="NA"/>
    <s v="NA"/>
    <s v="NA"/>
    <s v="NA"/>
    <s v="NA"/>
    <n v="0"/>
    <n v="0"/>
    <n v="0"/>
    <n v="0"/>
    <n v="0"/>
    <m/>
    <n v="0"/>
    <m/>
    <s v="Rest of caching behavior from previous video. "/>
    <m/>
    <m/>
  </r>
  <r>
    <s v="DSCN3035"/>
    <s v="M4R0409_10"/>
    <n v="10"/>
    <n v="1"/>
    <s v="M4Roadside"/>
    <d v="2019-04-09T00:00:00"/>
    <s v="April"/>
    <x v="0"/>
    <d v="1899-12-30T00:26:00"/>
    <m/>
    <x v="7"/>
    <s v="Foraging"/>
    <s v="NA"/>
    <s v="unknown"/>
    <n v="0"/>
    <n v="0"/>
    <m/>
    <s v="NA"/>
    <s v="NA"/>
    <s v="NA"/>
    <m/>
    <m/>
    <m/>
    <s v="NA"/>
    <s v="NA"/>
    <s v="NA"/>
    <s v="NA"/>
    <s v="NA"/>
    <s v="NA"/>
    <s v="NA"/>
    <m/>
    <n v="0"/>
    <n v="0"/>
    <n v="0"/>
    <n v="0"/>
    <n v="26"/>
    <m/>
    <n v="26"/>
    <s v="Searching"/>
    <m/>
    <m/>
    <m/>
  </r>
  <r>
    <s v="DSCN3652"/>
    <s v="M4R0430_10"/>
    <n v="10"/>
    <n v="1"/>
    <s v="M4Roadside"/>
    <d v="2019-04-30T00:00:00"/>
    <s v="April"/>
    <x v="0"/>
    <d v="1899-12-30T00:53:00"/>
    <s v="Clear, full sun"/>
    <x v="7"/>
    <s v="Foraging"/>
    <s v="NA"/>
    <s v="unknown"/>
    <n v="0"/>
    <n v="0"/>
    <m/>
    <s v="NA"/>
    <s v="NA"/>
    <s v="NA"/>
    <m/>
    <m/>
    <m/>
    <s v="NA"/>
    <s v="NA"/>
    <s v="NA"/>
    <s v="NA"/>
    <s v="NA"/>
    <s v="NA"/>
    <s v="NA"/>
    <s v="NA"/>
    <n v="0"/>
    <n v="0"/>
    <n v="0"/>
    <n v="0"/>
    <n v="15"/>
    <m/>
    <n v="15"/>
    <s v="Searching"/>
    <m/>
    <m/>
    <m/>
  </r>
  <r>
    <s v="DSCN3259"/>
    <s v="AQ0417_7"/>
    <n v="7"/>
    <n v="1"/>
    <s v="Air Quality"/>
    <d v="2019-04-17T00:00:00"/>
    <s v="April"/>
    <x v="0"/>
    <d v="1899-12-30T00:18:00"/>
    <s v="Overcast, light snow"/>
    <x v="8"/>
    <s v="Foraging"/>
    <s v="Spruce"/>
    <n v="1"/>
    <s v="unknown"/>
    <n v="0"/>
    <s v="Unknown"/>
    <s v="unknown"/>
    <s v="Exterior bare spruce branch"/>
    <s v="NA"/>
    <m/>
    <m/>
    <m/>
    <s v="NA"/>
    <s v="NA"/>
    <s v="NA"/>
    <s v="NA"/>
    <s v="NA"/>
    <s v="NA"/>
    <s v="NA"/>
    <s v="NA"/>
    <n v="12"/>
    <n v="0"/>
    <n v="0"/>
    <n v="12"/>
    <n v="0"/>
    <m/>
    <n v="12"/>
    <s v="Searching"/>
    <m/>
    <m/>
    <m/>
  </r>
  <r>
    <s v="DSCN3241"/>
    <s v="AQ0417_3"/>
    <n v="3"/>
    <n v="3"/>
    <s v="Air Quality"/>
    <d v="2019-04-17T00:00:00"/>
    <s v="April"/>
    <x v="0"/>
    <d v="1899-12-30T01:09:00"/>
    <s v="Overcast, light snow"/>
    <x v="8"/>
    <s v="Foraging"/>
    <s v="Spruce"/>
    <n v="1"/>
    <s v="unknown"/>
    <n v="0"/>
    <s v="Unknown"/>
    <s v="unknown"/>
    <s v="Exterior spruce branch under bark"/>
    <s v="NA"/>
    <m/>
    <m/>
    <m/>
    <s v="NA"/>
    <s v="NA"/>
    <s v="NA"/>
    <s v="NA"/>
    <s v="NA"/>
    <s v="NA"/>
    <s v="NA"/>
    <s v="NA"/>
    <n v="11"/>
    <n v="0"/>
    <n v="0"/>
    <n v="11"/>
    <n v="0"/>
    <m/>
    <n v="11"/>
    <s v="Probing"/>
    <m/>
    <n v="1"/>
    <n v="0"/>
  </r>
  <r>
    <s v="DSCN3259"/>
    <s v="AQ0417_8"/>
    <n v="8"/>
    <n v="1"/>
    <s v="Air Quality"/>
    <d v="2019-04-17T00:00:00"/>
    <s v="April"/>
    <x v="0"/>
    <d v="1899-12-30T00:15:00"/>
    <s v="Overcast, light snow"/>
    <x v="8"/>
    <s v="Foraging"/>
    <s v="Spruce"/>
    <n v="1"/>
    <s v="unknown"/>
    <n v="0"/>
    <s v="Unknown"/>
    <s v="unknown"/>
    <s v="Exterior spruce branch under bark"/>
    <s v="NA"/>
    <m/>
    <m/>
    <m/>
    <s v="NA"/>
    <s v="NA"/>
    <s v="NA"/>
    <s v="NA"/>
    <s v="NA"/>
    <s v="NA"/>
    <s v="NA"/>
    <s v="NA"/>
    <n v="12"/>
    <n v="0"/>
    <n v="0"/>
    <n v="12"/>
    <n v="0"/>
    <m/>
    <n v="12"/>
    <s v="Probing"/>
    <m/>
    <n v="7"/>
    <n v="0"/>
  </r>
  <r>
    <s v="DSCN3245"/>
    <s v="AQ0417_6"/>
    <n v="6"/>
    <n v="1"/>
    <s v="Air Quality"/>
    <d v="2019-04-17T00:00:00"/>
    <s v="April"/>
    <x v="0"/>
    <d v="1899-12-30T01:50:00"/>
    <s v="Overcast, light snow"/>
    <x v="8"/>
    <s v="Foraging"/>
    <s v="NA"/>
    <n v="1"/>
    <n v="0"/>
    <n v="0"/>
    <s v="Unknown"/>
    <s v="unknown"/>
    <s v="Ground"/>
    <s v="NA"/>
    <m/>
    <m/>
    <m/>
    <s v="NA"/>
    <s v="NA"/>
    <s v="NA"/>
    <s v="NA"/>
    <s v="NA"/>
    <s v="NA"/>
    <s v="NA"/>
    <s v="NA"/>
    <n v="0"/>
    <n v="0"/>
    <n v="0"/>
    <n v="0"/>
    <n v="6"/>
    <m/>
    <n v="6"/>
    <s v="Searching"/>
    <m/>
    <m/>
    <m/>
  </r>
  <r>
    <s v="DSCN3241"/>
    <s v="AQ0417_3"/>
    <n v="3"/>
    <n v="1"/>
    <s v="Air Quality"/>
    <d v="2019-04-17T00:00:00"/>
    <s v="April"/>
    <x v="0"/>
    <d v="1899-12-30T01:09:00"/>
    <s v="Overcast, light snow"/>
    <x v="8"/>
    <s v="Caching"/>
    <s v="NA"/>
    <n v="0"/>
    <n v="0"/>
    <n v="1"/>
    <s v="Insect"/>
    <s v="Insect (Black caterpiller)"/>
    <s v="NA"/>
    <s v="Exterior spruce branch under bark"/>
    <s v="Spruce"/>
    <s v="Exterior"/>
    <s v="Under bark"/>
    <s v="W"/>
    <n v="265"/>
    <n v="9"/>
    <n v="63.725189999999998"/>
    <n v="148.96460999999999"/>
    <s v="NA"/>
    <s v="NA"/>
    <s v="NA"/>
    <n v="0"/>
    <n v="0"/>
    <n v="0"/>
    <n v="0"/>
    <n v="0"/>
    <m/>
    <n v="0"/>
    <m/>
    <m/>
    <m/>
    <m/>
  </r>
  <r>
    <s v="DSCN3239"/>
    <s v="AQ0417_1"/>
    <n v="1"/>
    <n v="1"/>
    <s v="Air Quality"/>
    <d v="2019-04-17T00:00:00"/>
    <s v="April"/>
    <x v="0"/>
    <d v="1899-12-30T00:59:00"/>
    <s v="Overcast, light snow"/>
    <x v="8"/>
    <s v="Foraging"/>
    <s v="NA"/>
    <n v="1"/>
    <n v="0"/>
    <n v="0"/>
    <s v="Insect"/>
    <s v="Insect (Black caterpiller)"/>
    <s v="Ground"/>
    <s v="NA"/>
    <m/>
    <m/>
    <m/>
    <s v="NA"/>
    <s v="NA"/>
    <s v="NA"/>
    <s v="NA"/>
    <s v="NA"/>
    <s v="NA"/>
    <s v="NA"/>
    <s v="NA"/>
    <n v="0"/>
    <n v="0"/>
    <n v="0"/>
    <n v="0"/>
    <n v="5"/>
    <m/>
    <n v="5"/>
    <s v="Searching"/>
    <m/>
    <m/>
    <m/>
  </r>
  <r>
    <s v="DSCN3245"/>
    <s v="AQ0417_6"/>
    <n v="6"/>
    <n v="2"/>
    <s v="Air Quality"/>
    <d v="2019-04-17T00:00:00"/>
    <s v="April"/>
    <x v="0"/>
    <d v="1899-12-30T01:50:00"/>
    <s v="Overcast, light snow"/>
    <x v="8"/>
    <s v="Foraging"/>
    <s v="Spruce"/>
    <n v="1"/>
    <n v="0"/>
    <n v="0"/>
    <s v="Berry"/>
    <s v="Berry (2)"/>
    <s v="Ground"/>
    <s v="NA"/>
    <m/>
    <m/>
    <m/>
    <s v="NA"/>
    <s v="NA"/>
    <s v="NA"/>
    <s v="NA"/>
    <s v="NA"/>
    <s v="NA"/>
    <s v="NA"/>
    <s v="NA"/>
    <n v="38"/>
    <n v="0"/>
    <n v="38"/>
    <n v="0"/>
    <n v="24"/>
    <m/>
    <n v="62"/>
    <s v="Searching"/>
    <m/>
    <m/>
    <m/>
  </r>
  <r>
    <s v="DSCN3241"/>
    <s v="AQ0417_3"/>
    <n v="3"/>
    <n v="2"/>
    <s v="Air Quality"/>
    <d v="2019-04-17T00:00:00"/>
    <s v="April"/>
    <x v="0"/>
    <d v="1899-12-30T01:09:00"/>
    <s v="Overcast, light snow"/>
    <x v="8"/>
    <s v="Foraging"/>
    <s v="NA"/>
    <n v="1"/>
    <n v="0"/>
    <n v="0"/>
    <s v="Berry"/>
    <s v="Berry"/>
    <s v="Ground"/>
    <s v="NA"/>
    <m/>
    <m/>
    <m/>
    <s v="NA"/>
    <s v="NA"/>
    <s v="NA"/>
    <s v="NA"/>
    <s v="NA"/>
    <s v="NA"/>
    <s v="NA"/>
    <s v="NA"/>
    <n v="0"/>
    <n v="0"/>
    <n v="0"/>
    <n v="0"/>
    <n v="58"/>
    <m/>
    <n v="58"/>
    <m/>
    <m/>
    <m/>
    <m/>
  </r>
  <r>
    <s v="DSCN3240"/>
    <s v="AQ0417_2"/>
    <n v="2"/>
    <n v="1"/>
    <s v="Air Quality"/>
    <d v="2019-04-17T00:00:00"/>
    <s v="April"/>
    <x v="0"/>
    <d v="1899-12-30T00:20:00"/>
    <s v="Overcast, light snow"/>
    <x v="8"/>
    <s v="Food handling"/>
    <s v="NA"/>
    <n v="0"/>
    <n v="0"/>
    <n v="0"/>
    <s v="Insect"/>
    <s v="Insect (Black caterpiller)"/>
    <s v="NA"/>
    <s v="NA"/>
    <m/>
    <m/>
    <m/>
    <s v="NA"/>
    <s v="NA"/>
    <s v="NA"/>
    <s v="NA"/>
    <s v="NA"/>
    <s v="NA"/>
    <s v="NA"/>
    <s v="NA"/>
    <n v="0"/>
    <n v="0"/>
    <n v="0"/>
    <n v="0"/>
    <n v="0"/>
    <m/>
    <n v="0"/>
    <m/>
    <m/>
    <m/>
    <m/>
  </r>
  <r>
    <s v="DSCN3243"/>
    <s v="AQ0417_5"/>
    <n v="5"/>
    <n v="1"/>
    <s v="Air Quality"/>
    <d v="2019-04-17T00:00:00"/>
    <s v="April"/>
    <x v="0"/>
    <d v="1899-12-30T00:29:00"/>
    <s v="Overcast, light snow"/>
    <x v="8"/>
    <s v="Foraging"/>
    <s v="Spruce"/>
    <n v="0"/>
    <n v="0"/>
    <n v="0"/>
    <m/>
    <s v="NA"/>
    <s v="NA"/>
    <s v="NA"/>
    <m/>
    <m/>
    <m/>
    <s v="NA"/>
    <s v="NA"/>
    <s v="NA"/>
    <s v="NA"/>
    <s v="NA"/>
    <s v="NA"/>
    <s v="NA"/>
    <s v="NA"/>
    <n v="26"/>
    <n v="0"/>
    <n v="0"/>
    <n v="26"/>
    <n v="0"/>
    <m/>
    <n v="26"/>
    <s v="Searching"/>
    <m/>
    <m/>
    <m/>
  </r>
  <r>
    <s v="DSCN3594"/>
    <s v="AQ0426_2"/>
    <n v="2"/>
    <n v="1"/>
    <s v="Air Quality"/>
    <d v="2019-04-26T00:00:00"/>
    <s v="April"/>
    <x v="0"/>
    <d v="1899-12-30T00:11:00"/>
    <m/>
    <x v="8"/>
    <s v="Foraging"/>
    <s v="Spruce"/>
    <n v="1"/>
    <s v="unknown"/>
    <n v="0"/>
    <s v="Unknown"/>
    <s v="unknown"/>
    <s v="Exterior spruce branch inder bark"/>
    <s v="NA"/>
    <m/>
    <m/>
    <m/>
    <s v="NA"/>
    <s v="NA"/>
    <s v="NA"/>
    <s v="NA"/>
    <s v="NA"/>
    <s v="NA"/>
    <s v="NA"/>
    <s v="NA"/>
    <n v="11"/>
    <n v="0"/>
    <n v="0"/>
    <n v="11"/>
    <n v="0"/>
    <m/>
    <n v="11"/>
    <m/>
    <s v="Probing"/>
    <m/>
    <m/>
  </r>
  <r>
    <s v="DSCN3596"/>
    <s v="AQ0426_3"/>
    <n v="3"/>
    <n v="1"/>
    <s v="Air Quality"/>
    <d v="2019-04-26T00:00:00"/>
    <s v="April"/>
    <x v="0"/>
    <d v="1899-12-30T00:32:00"/>
    <m/>
    <x v="8"/>
    <s v="Foraging"/>
    <s v="Spruce"/>
    <n v="1"/>
    <n v="1"/>
    <n v="0"/>
    <s v="Unknown"/>
    <s v="unknown"/>
    <s v="Exterior spruce branch inder bark"/>
    <s v="NA"/>
    <m/>
    <m/>
    <m/>
    <s v="NA"/>
    <s v="NA"/>
    <s v="NA"/>
    <s v="NA"/>
    <s v="NA"/>
    <n v="63.725070000000002"/>
    <n v="148.96459999999999"/>
    <s v="NA"/>
    <n v="26"/>
    <n v="0"/>
    <n v="0"/>
    <n v="26"/>
    <n v="0"/>
    <m/>
    <n v="26"/>
    <s v="Searching"/>
    <s v="Recovered cache and ate snow. "/>
    <n v="1"/>
    <n v="0"/>
  </r>
  <r>
    <s v="DSCN3600"/>
    <s v="AQ0426_4"/>
    <n v="4"/>
    <n v="2"/>
    <s v="Air Quality"/>
    <d v="2019-04-26T00:00:00"/>
    <s v="April"/>
    <x v="0"/>
    <d v="1899-12-30T06:01:00"/>
    <m/>
    <x v="8"/>
    <s v="Foraging"/>
    <s v="NA"/>
    <n v="1"/>
    <n v="0"/>
    <n v="0"/>
    <s v="Unknown"/>
    <s v="unknown"/>
    <s v="Ground"/>
    <s v="NA"/>
    <m/>
    <m/>
    <m/>
    <s v="NA"/>
    <s v="NA"/>
    <s v="NA"/>
    <s v="NA"/>
    <s v="NA"/>
    <s v="NA"/>
    <s v="NA"/>
    <s v="NA"/>
    <n v="0"/>
    <n v="0"/>
    <n v="0"/>
    <n v="0"/>
    <n v="82"/>
    <m/>
    <n v="82"/>
    <m/>
    <m/>
    <m/>
    <m/>
  </r>
  <r>
    <s v="DSCN3602"/>
    <s v="AQ0426_6"/>
    <n v="6"/>
    <n v="1"/>
    <s v="Air Quality"/>
    <d v="2019-04-26T00:00:00"/>
    <s v="April"/>
    <x v="0"/>
    <d v="1899-12-30T02:07:00"/>
    <m/>
    <x v="8"/>
    <s v="Foraging"/>
    <s v="NA"/>
    <n v="1"/>
    <n v="0"/>
    <n v="0"/>
    <s v="Unknown"/>
    <s v="unknown"/>
    <s v="Ground"/>
    <s v="NA"/>
    <m/>
    <m/>
    <m/>
    <s v="NA"/>
    <s v="NA"/>
    <s v="NA"/>
    <s v="NA"/>
    <s v="NA"/>
    <s v="NA"/>
    <s v="NA"/>
    <s v="NA"/>
    <n v="0"/>
    <n v="0"/>
    <n v="0"/>
    <n v="0"/>
    <n v="0"/>
    <m/>
    <n v="0"/>
    <s v="Searching"/>
    <m/>
    <m/>
    <m/>
  </r>
  <r>
    <s v="DSCN3601"/>
    <s v="AQ0426_5"/>
    <n v="5"/>
    <n v="1"/>
    <s v="Air Quality"/>
    <d v="2019-04-26T00:00:00"/>
    <s v="April"/>
    <x v="0"/>
    <d v="1899-12-30T00:32:00"/>
    <m/>
    <x v="8"/>
    <s v="Foraging"/>
    <s v="NA"/>
    <n v="2"/>
    <n v="0"/>
    <n v="0"/>
    <s v="Unknown"/>
    <s v="unknown (Probably B&amp;Ugs)"/>
    <s v="Ground"/>
    <s v="NA"/>
    <m/>
    <m/>
    <m/>
    <s v="NA"/>
    <s v="NA"/>
    <s v="NA"/>
    <s v="NA"/>
    <s v="NA"/>
    <s v="NA"/>
    <s v="NA"/>
    <s v="NA"/>
    <n v="0"/>
    <n v="0"/>
    <n v="0"/>
    <n v="0"/>
    <n v="32"/>
    <m/>
    <n v="32"/>
    <s v="Searching"/>
    <m/>
    <m/>
    <m/>
  </r>
  <r>
    <s v="DSCN3600"/>
    <s v="AQ0426_4"/>
    <n v="4"/>
    <n v="1"/>
    <s v="Air Quality"/>
    <d v="2019-04-26T00:00:00"/>
    <s v="April"/>
    <x v="0"/>
    <d v="1899-12-30T06:01:00"/>
    <m/>
    <x v="8"/>
    <s v="Foraging/caching"/>
    <s v="Willow"/>
    <n v="1"/>
    <n v="0"/>
    <n v="1"/>
    <s v="Insect"/>
    <s v="Insect (caterpiller)"/>
    <s v="Ground"/>
    <s v="Joint of willow branch"/>
    <s v="Willow"/>
    <s v="Exterior"/>
    <s v="On branch"/>
    <s v="NA-just set on branch"/>
    <s v="NA-just set on branch"/>
    <n v="1"/>
    <n v="63.724170000000001"/>
    <n v="148.96494000000001"/>
    <s v="NA"/>
    <s v="NA"/>
    <s v="NA"/>
    <n v="0"/>
    <n v="0"/>
    <n v="0"/>
    <n v="0"/>
    <n v="253"/>
    <m/>
    <n v="253"/>
    <s v="Searching"/>
    <s v="Deployed camera on cache site"/>
    <m/>
    <m/>
  </r>
  <r>
    <s v="DSCN3602"/>
    <s v="AQ0426_6"/>
    <n v="6"/>
    <n v="2"/>
    <s v="Air Quality"/>
    <d v="2019-04-26T00:00:00"/>
    <s v="April"/>
    <x v="0"/>
    <d v="1899-12-30T02:07:00"/>
    <m/>
    <x v="8"/>
    <s v="Foraging"/>
    <s v="NA"/>
    <n v="1"/>
    <n v="0"/>
    <n v="0"/>
    <s v="Insect"/>
    <s v="Insect"/>
    <s v="Ground"/>
    <s v="NA"/>
    <m/>
    <m/>
    <m/>
    <s v="NA"/>
    <s v="NA"/>
    <s v="NA"/>
    <s v="NA"/>
    <s v="NA"/>
    <s v="NA"/>
    <s v="NA"/>
    <s v="NA"/>
    <n v="0"/>
    <n v="0"/>
    <n v="0"/>
    <n v="0"/>
    <n v="0"/>
    <m/>
    <n v="0"/>
    <s v="Searching"/>
    <m/>
    <m/>
    <m/>
  </r>
  <r>
    <s v="DSCN3602"/>
    <s v="AQ0426_6"/>
    <n v="6"/>
    <n v="3"/>
    <s v="Air Quality"/>
    <d v="2019-04-26T00:00:00"/>
    <s v="April"/>
    <x v="0"/>
    <d v="1899-12-30T02:07:00"/>
    <m/>
    <x v="8"/>
    <s v="Foraging"/>
    <s v="NA"/>
    <n v="1"/>
    <n v="0"/>
    <n v="0"/>
    <s v="Insect"/>
    <s v="Insect (caterpiller)"/>
    <s v="Ground"/>
    <s v="NA"/>
    <m/>
    <m/>
    <m/>
    <s v="NA"/>
    <s v="NA"/>
    <s v="NA"/>
    <s v="NA"/>
    <s v="NA"/>
    <s v="NA"/>
    <s v="NA"/>
    <s v="NA"/>
    <n v="0"/>
    <n v="0"/>
    <n v="0"/>
    <n v="0"/>
    <n v="38"/>
    <m/>
    <n v="38"/>
    <s v="Searching"/>
    <s v="Got caterpiller as soon as camera was shut off. "/>
    <m/>
    <m/>
  </r>
  <r>
    <s v="DSCN3242"/>
    <s v="AQ0417_4"/>
    <n v="4"/>
    <n v="1"/>
    <s v="Air Quality"/>
    <d v="2019-04-17T00:00:00"/>
    <s v="April"/>
    <x v="0"/>
    <d v="1899-12-30T00:11:00"/>
    <s v="Overcast, light snow"/>
    <x v="8"/>
    <s v="Foraging"/>
    <s v="Spruce"/>
    <s v="unknown"/>
    <s v="unknown"/>
    <n v="0"/>
    <m/>
    <s v="NA"/>
    <s v="NA"/>
    <s v="NA"/>
    <m/>
    <m/>
    <m/>
    <s v="NA"/>
    <s v="NA"/>
    <s v="NA"/>
    <s v="NA"/>
    <s v="NA"/>
    <s v="NA"/>
    <s v="NA"/>
    <s v="NA"/>
    <n v="8"/>
    <n v="0"/>
    <n v="0"/>
    <n v="8"/>
    <n v="0"/>
    <m/>
    <n v="8"/>
    <s v="Probing"/>
    <m/>
    <n v="1"/>
    <n v="0"/>
  </r>
  <r>
    <s v="DSCN3585"/>
    <s v="AQ0426_1"/>
    <n v="1"/>
    <n v="2"/>
    <s v="Air Quality"/>
    <d v="2019-04-26T00:00:00"/>
    <s v="April"/>
    <x v="0"/>
    <d v="1899-12-30T00:39:00"/>
    <m/>
    <x v="9"/>
    <s v="Food handling"/>
    <s v="NA"/>
    <n v="0"/>
    <n v="0"/>
    <n v="1"/>
    <s v="Human food"/>
    <s v="Bread"/>
    <s v="unknown"/>
    <s v="exterior spruce foliage "/>
    <s v="Spruce"/>
    <s v="Exterior"/>
    <s v="Foliage"/>
    <s v="NA"/>
    <s v="NA"/>
    <s v="NA"/>
    <n v="63.72457"/>
    <n v="148.96351999999999"/>
    <s v="unknown"/>
    <s v="unknown"/>
    <s v="NA"/>
    <n v="0"/>
    <n v="0"/>
    <n v="0"/>
    <n v="0"/>
    <n v="0"/>
    <m/>
    <n v="0"/>
    <m/>
    <s v="Second cache was in neighboring tree, so GPS"/>
    <m/>
    <m/>
  </r>
  <r>
    <s v="DSCN3585"/>
    <s v="AQ0426_1"/>
    <n v="1"/>
    <n v="1"/>
    <s v="Air Quality"/>
    <d v="2019-04-26T00:00:00"/>
    <s v="April"/>
    <x v="0"/>
    <d v="1899-12-30T00:39:00"/>
    <m/>
    <x v="9"/>
    <s v="Food handling"/>
    <s v="NA"/>
    <n v="1"/>
    <n v="1"/>
    <n v="1"/>
    <s v="Human food"/>
    <s v="Bread"/>
    <s v="unknown"/>
    <s v="exterior spruce foliage "/>
    <s v="Spruce"/>
    <s v="Exterior"/>
    <s v="Foliage"/>
    <s v="E"/>
    <n v="90"/>
    <s v="unknown"/>
    <n v="63.72457"/>
    <n v="148.96351999999999"/>
    <s v="unknown"/>
    <s v="unknown"/>
    <s v="NA"/>
    <n v="0"/>
    <n v="0"/>
    <n v="0"/>
    <n v="0"/>
    <n v="0"/>
    <m/>
    <n v="0"/>
    <m/>
    <s v="Missed initial acquisition"/>
    <m/>
    <m/>
  </r>
  <r>
    <s v="DSCN3048"/>
    <s v="UNK0411_3"/>
    <n v="3"/>
    <n v="1"/>
    <s v="Unknown"/>
    <d v="2019-04-11T00:00:00"/>
    <s v="April"/>
    <x v="0"/>
    <d v="1899-12-30T00:36:00"/>
    <m/>
    <x v="10"/>
    <s v="Foraging"/>
    <s v="Spruce"/>
    <n v="1"/>
    <n v="0"/>
    <n v="0"/>
    <s v="Unknown"/>
    <s v="Unknown (plant bit)"/>
    <s v="Exterior spruce foliage"/>
    <s v="NA"/>
    <m/>
    <m/>
    <m/>
    <s v="NA"/>
    <s v="NA"/>
    <s v="NA"/>
    <s v="NA"/>
    <s v="NA"/>
    <s v="NA"/>
    <s v="NA"/>
    <m/>
    <n v="22"/>
    <n v="14"/>
    <n v="22"/>
    <n v="14"/>
    <n v="0"/>
    <m/>
    <n v="36"/>
    <m/>
    <m/>
    <m/>
    <m/>
  </r>
  <r>
    <s v="DSCN3059"/>
    <s v="UNK0411_8"/>
    <n v="8"/>
    <n v="1"/>
    <s v="Unknown"/>
    <d v="2019-04-11T00:00:00"/>
    <s v="April"/>
    <x v="0"/>
    <d v="1899-12-30T00:05:00"/>
    <m/>
    <x v="10"/>
    <s v="Foraging"/>
    <s v="NA"/>
    <n v="1"/>
    <n v="0"/>
    <n v="0"/>
    <s v="Unknown"/>
    <s v="unknown"/>
    <s v="Ground"/>
    <s v="NA"/>
    <m/>
    <m/>
    <m/>
    <s v="NA"/>
    <s v="NA"/>
    <s v="NA"/>
    <s v="NA"/>
    <s v="NA"/>
    <s v="NA"/>
    <s v="NA"/>
    <m/>
    <n v="0"/>
    <n v="0"/>
    <n v="0"/>
    <n v="0"/>
    <n v="0"/>
    <m/>
    <n v="0"/>
    <m/>
    <s v="Missed acquisition"/>
    <m/>
    <m/>
  </r>
  <r>
    <s v="DSCN3046"/>
    <s v="UNK0411_1"/>
    <n v="1"/>
    <n v="1"/>
    <s v="Unknown"/>
    <d v="2019-04-11T00:00:00"/>
    <s v="April"/>
    <x v="0"/>
    <d v="1899-12-30T00:30:00"/>
    <m/>
    <x v="10"/>
    <s v="Foraging"/>
    <s v="Spruce"/>
    <n v="1"/>
    <s v="unknown"/>
    <n v="0"/>
    <s v="Unknown"/>
    <s v="Unknown (maybe a berry)"/>
    <s v="Interior spruce foliage "/>
    <s v="NA"/>
    <m/>
    <m/>
    <m/>
    <s v="NA"/>
    <s v="NA"/>
    <s v="NA"/>
    <s v="NA"/>
    <s v="NA"/>
    <s v="NA"/>
    <s v="NA"/>
    <m/>
    <n v="6"/>
    <n v="11"/>
    <n v="11"/>
    <n v="6"/>
    <n v="0"/>
    <m/>
    <n v="17"/>
    <s v="Searching"/>
    <m/>
    <m/>
    <m/>
  </r>
  <r>
    <s v="DSCN3050"/>
    <s v="UNK0411_5"/>
    <n v="5"/>
    <n v="2"/>
    <s v="Unknown"/>
    <d v="2019-04-11T00:00:00"/>
    <s v="April"/>
    <x v="0"/>
    <d v="1899-12-30T01:43:00"/>
    <m/>
    <x v="10"/>
    <s v="Foraging"/>
    <s v="Spruce"/>
    <n v="1"/>
    <s v="unknown"/>
    <n v="0"/>
    <s v="Unknown"/>
    <s v="unknown"/>
    <s v="Spruce trunk under bark"/>
    <s v="NA"/>
    <m/>
    <m/>
    <m/>
    <s v="NA"/>
    <s v="NA"/>
    <s v="NA"/>
    <s v="NA"/>
    <s v="NA"/>
    <s v="NA"/>
    <s v="NA"/>
    <m/>
    <n v="5"/>
    <n v="0"/>
    <n v="5"/>
    <n v="0"/>
    <n v="0"/>
    <m/>
    <n v="5"/>
    <s v="Searching"/>
    <m/>
    <m/>
    <m/>
  </r>
  <r>
    <s v="DSCN3057"/>
    <s v="UNK0411_7"/>
    <n v="7"/>
    <n v="1"/>
    <s v="Unknown"/>
    <d v="2019-04-11T00:00:00"/>
    <s v="April"/>
    <x v="0"/>
    <d v="1899-12-30T00:13:00"/>
    <m/>
    <x v="10"/>
    <s v="Foraging"/>
    <s v="Spruce"/>
    <n v="1"/>
    <s v="unknown"/>
    <n v="0"/>
    <s v="Unknown"/>
    <s v="unknown"/>
    <s v="uknown"/>
    <s v="NA"/>
    <m/>
    <m/>
    <m/>
    <s v="NA"/>
    <s v="NA"/>
    <s v="NA"/>
    <s v="NA"/>
    <s v="NA"/>
    <s v="NA"/>
    <s v="NA"/>
    <m/>
    <n v="0"/>
    <n v="0"/>
    <n v="0"/>
    <n v="0"/>
    <n v="0"/>
    <m/>
    <n v="0"/>
    <s v="Searching"/>
    <m/>
    <m/>
    <m/>
  </r>
  <r>
    <s v="DSCN3050"/>
    <s v="UNK0411_5"/>
    <n v="5"/>
    <n v="1"/>
    <s v="Unknown"/>
    <d v="2019-04-11T00:00:00"/>
    <s v="April"/>
    <x v="0"/>
    <d v="1899-12-30T01:43:00"/>
    <m/>
    <x v="10"/>
    <s v="Foraging"/>
    <s v="Spruce"/>
    <n v="2"/>
    <s v="unknown"/>
    <n v="0"/>
    <s v="Unknown"/>
    <s v="unknown"/>
    <s v="Interior spruce under bark"/>
    <s v="NA"/>
    <m/>
    <m/>
    <m/>
    <s v="NA"/>
    <s v="NA"/>
    <s v="NA"/>
    <s v="NA"/>
    <s v="NA"/>
    <s v="NA"/>
    <s v="NA"/>
    <m/>
    <n v="78"/>
    <n v="0"/>
    <n v="78"/>
    <n v="0"/>
    <n v="0"/>
    <m/>
    <n v="78"/>
    <s v="Searching"/>
    <m/>
    <m/>
    <m/>
  </r>
  <r>
    <s v="DSCN3047"/>
    <s v="UNK0411_2"/>
    <n v="2"/>
    <n v="1"/>
    <s v="Unknown"/>
    <d v="2019-04-11T00:00:00"/>
    <s v="April"/>
    <x v="0"/>
    <d v="1899-12-30T01:48:00"/>
    <m/>
    <x v="10"/>
    <s v="Foraging"/>
    <s v="Spruce"/>
    <n v="0"/>
    <n v="0"/>
    <n v="0"/>
    <m/>
    <s v="NA"/>
    <s v="NA"/>
    <s v="NA"/>
    <m/>
    <m/>
    <m/>
    <s v="NA"/>
    <s v="NA"/>
    <s v="NA"/>
    <s v="NA"/>
    <s v="NA"/>
    <s v="NA"/>
    <s v="NA"/>
    <m/>
    <n v="26"/>
    <n v="10"/>
    <n v="0"/>
    <n v="36"/>
    <n v="0"/>
    <m/>
    <n v="36"/>
    <s v="Searching"/>
    <m/>
    <m/>
    <m/>
  </r>
  <r>
    <s v="DSCN3049"/>
    <s v="UNK0411_4"/>
    <n v="4"/>
    <n v="1"/>
    <s v="Unknown"/>
    <d v="2019-04-11T00:00:00"/>
    <s v="April"/>
    <x v="0"/>
    <d v="1899-12-30T00:26:00"/>
    <m/>
    <x v="10"/>
    <s v="Foraging"/>
    <s v="Spruce"/>
    <s v="unknown"/>
    <s v="unknown"/>
    <n v="0"/>
    <m/>
    <s v="NA"/>
    <s v="NA"/>
    <s v="NA"/>
    <m/>
    <m/>
    <m/>
    <s v="NA"/>
    <s v="NA"/>
    <s v="NA"/>
    <s v="NA"/>
    <s v="NA"/>
    <s v="NA"/>
    <s v="NA"/>
    <m/>
    <n v="0"/>
    <n v="26"/>
    <n v="0"/>
    <n v="26"/>
    <n v="0"/>
    <m/>
    <n v="26"/>
    <s v="Searching"/>
    <m/>
    <m/>
    <m/>
  </r>
  <r>
    <s v="DSCN3053"/>
    <s v="UNK411_6"/>
    <n v="6"/>
    <n v="1"/>
    <s v="Unknown"/>
    <d v="2019-04-11T00:00:00"/>
    <s v="April"/>
    <x v="0"/>
    <d v="1899-12-30T00:09:00"/>
    <m/>
    <x v="10"/>
    <s v="Foraging"/>
    <s v="Spruce"/>
    <s v="unknown"/>
    <s v="unknown"/>
    <n v="0"/>
    <m/>
    <s v="NA"/>
    <s v="NA"/>
    <s v="NA"/>
    <m/>
    <m/>
    <m/>
    <s v="NA"/>
    <s v="NA"/>
    <s v="NA"/>
    <s v="NA"/>
    <s v="NA"/>
    <s v="NA"/>
    <s v="NA"/>
    <m/>
    <n v="0"/>
    <n v="9"/>
    <n v="0"/>
    <n v="9"/>
    <n v="0"/>
    <m/>
    <n v="9"/>
    <s v="Searching"/>
    <m/>
    <m/>
    <m/>
  </r>
  <r>
    <s v="DSCN3024"/>
    <s v="M4R0409_1"/>
    <n v="1"/>
    <n v="2"/>
    <s v="M4Roadside"/>
    <d v="2019-04-09T00:00:00"/>
    <s v="April"/>
    <x v="0"/>
    <d v="1899-12-30T00:39:00"/>
    <m/>
    <x v="11"/>
    <s v="Foraging"/>
    <s v="NA"/>
    <n v="1"/>
    <n v="0"/>
    <n v="0"/>
    <s v="Insect"/>
    <s v="Insect (Black caterpiller)"/>
    <s v="Ground"/>
    <s v="NA"/>
    <m/>
    <m/>
    <m/>
    <s v="NA"/>
    <s v="NA"/>
    <s v="NA"/>
    <s v="NA"/>
    <s v="NA"/>
    <s v="NA"/>
    <s v="NA"/>
    <m/>
    <n v="0"/>
    <n v="0"/>
    <n v="0"/>
    <n v="0"/>
    <n v="3"/>
    <m/>
    <n v="3"/>
    <m/>
    <s v="At the time I thought this birds was YO/BS. B&amp;Ut it's possible that YO/BS and OB/YS switched because the cache tree in the later video has a black caterpillar cache from OB/YS.  So we marked this as unknown, rather than assume it was actually ob/ys"/>
    <m/>
    <m/>
  </r>
  <r>
    <s v="DSCN3025"/>
    <s v="M4R0409_2"/>
    <n v="2"/>
    <n v="1"/>
    <s v="M4Roadside"/>
    <d v="2019-04-09T00:00:00"/>
    <s v="April"/>
    <x v="0"/>
    <d v="1899-12-30T00:23:00"/>
    <m/>
    <x v="11"/>
    <s v="Food handling"/>
    <s v="NA"/>
    <n v="0"/>
    <n v="0"/>
    <n v="0"/>
    <s v="Insect"/>
    <s v="Insect (Black caterpiller)"/>
    <s v="NA"/>
    <s v="NA"/>
    <m/>
    <m/>
    <m/>
    <s v="NA"/>
    <s v="NA"/>
    <s v="NA"/>
    <s v="NA"/>
    <s v="NA"/>
    <s v="NA"/>
    <s v="NA"/>
    <m/>
    <n v="0"/>
    <n v="0"/>
    <n v="0"/>
    <n v="0"/>
    <n v="0"/>
    <m/>
    <n v="0"/>
    <m/>
    <s v="Same pillar from previous video"/>
    <m/>
    <m/>
  </r>
  <r>
    <s v="DSCN3404"/>
    <s v="CC0422_9"/>
    <n v="9"/>
    <n v="1"/>
    <s v="CCAMP"/>
    <d v="2019-04-22T00:00:00"/>
    <s v="April"/>
    <x v="0"/>
    <d v="1899-12-30T00:05:00"/>
    <s v="Partly cloudy"/>
    <x v="11"/>
    <s v="Foraging"/>
    <s v="NA"/>
    <s v="unknown"/>
    <n v="0"/>
    <n v="0"/>
    <m/>
    <s v="NA"/>
    <s v="NA"/>
    <s v="NA"/>
    <m/>
    <m/>
    <m/>
    <s v="NA"/>
    <s v="NA"/>
    <s v="NA"/>
    <s v="NA"/>
    <s v="NA"/>
    <s v="NA"/>
    <s v="NA"/>
    <s v="NA"/>
    <n v="0"/>
    <n v="0"/>
    <n v="0"/>
    <n v="0"/>
    <n v="5"/>
    <m/>
    <n v="5"/>
    <s v="Searching"/>
    <m/>
    <m/>
    <m/>
  </r>
  <r>
    <s v="DSCN3680"/>
    <s v="M4R0430_21"/>
    <n v="21"/>
    <n v="1"/>
    <s v="M4Roadside"/>
    <d v="2019-04-30T00:00:00"/>
    <s v="April"/>
    <x v="0"/>
    <d v="1899-12-30T00:48:00"/>
    <s v="Clear, full sun"/>
    <x v="12"/>
    <s v="Foraging"/>
    <s v="NA"/>
    <n v="0"/>
    <n v="0"/>
    <n v="0"/>
    <m/>
    <s v="NA"/>
    <s v="NA"/>
    <s v="NA"/>
    <m/>
    <m/>
    <m/>
    <s v="NA"/>
    <s v="NA"/>
    <s v="NA"/>
    <s v="NA"/>
    <s v="NA"/>
    <s v="NA"/>
    <s v="NA"/>
    <s v="NA"/>
    <n v="0"/>
    <n v="0"/>
    <n v="0"/>
    <n v="0"/>
    <n v="30"/>
    <m/>
    <n v="30"/>
    <s v="Searching"/>
    <m/>
    <m/>
    <m/>
  </r>
  <r>
    <s v="DSCN2764"/>
    <s v="MC0401_1"/>
    <n v="1"/>
    <n v="1"/>
    <s v="M4West"/>
    <d v="2019-04-01T00:00:00"/>
    <s v="April"/>
    <x v="0"/>
    <d v="1899-12-30T00:33:00"/>
    <m/>
    <x v="13"/>
    <s v="Foraging"/>
    <s v="NA"/>
    <n v="1"/>
    <n v="0"/>
    <n v="0"/>
    <s v="Unknown"/>
    <s v="Unknown (B&amp;Ut it's definitely a caterpiller)"/>
    <s v="Ground"/>
    <s v="NA"/>
    <m/>
    <m/>
    <m/>
    <s v="NA"/>
    <s v="NA"/>
    <s v="NA"/>
    <s v="NA"/>
    <s v="NA"/>
    <s v="NA"/>
    <s v="NA"/>
    <m/>
    <n v="0"/>
    <n v="0"/>
    <n v="0"/>
    <n v="0"/>
    <n v="15"/>
    <m/>
    <n v="15"/>
    <s v="Searching"/>
    <m/>
    <m/>
    <m/>
  </r>
  <r>
    <s v="DSCN2769"/>
    <s v="MC0401_4"/>
    <n v="4"/>
    <n v="1"/>
    <s v="M4West"/>
    <d v="2019-04-01T00:00:00"/>
    <s v="April"/>
    <x v="0"/>
    <d v="1899-12-30T00:06:00"/>
    <m/>
    <x v="13"/>
    <s v="Foraging"/>
    <s v="NA"/>
    <n v="0"/>
    <n v="0"/>
    <n v="0"/>
    <m/>
    <s v="NA"/>
    <s v="NA"/>
    <s v="NA"/>
    <m/>
    <m/>
    <m/>
    <s v="NA"/>
    <s v="NA"/>
    <s v="NA"/>
    <s v="NA"/>
    <s v="NA"/>
    <s v="NA"/>
    <s v="NA"/>
    <m/>
    <n v="0"/>
    <n v="0"/>
    <n v="0"/>
    <n v="0"/>
    <n v="0"/>
    <m/>
    <n v="0"/>
    <s v="Searching"/>
    <m/>
    <m/>
    <m/>
  </r>
  <r>
    <s v="DSCN2910"/>
    <s v="MC0404_5"/>
    <n v="5"/>
    <n v="1"/>
    <s v="Mercantile"/>
    <d v="2019-04-04T00:00:00"/>
    <s v="April"/>
    <x v="0"/>
    <d v="1899-12-30T00:22:00"/>
    <m/>
    <x v="13"/>
    <s v="Foraging"/>
    <s v="NA"/>
    <n v="1"/>
    <n v="0"/>
    <n v="0"/>
    <s v="Unknown"/>
    <s v="unknown"/>
    <s v="Ground"/>
    <s v="NA"/>
    <m/>
    <m/>
    <m/>
    <s v="NA"/>
    <s v="NA"/>
    <s v="NA"/>
    <s v="NA"/>
    <s v="NA"/>
    <s v="NA"/>
    <s v="NA"/>
    <m/>
    <n v="0"/>
    <n v="0"/>
    <n v="0"/>
    <n v="0"/>
    <n v="7"/>
    <m/>
    <n v="7"/>
    <s v="Searching"/>
    <m/>
    <m/>
    <m/>
  </r>
  <r>
    <s v="DSCN2906"/>
    <s v="MC0404_2"/>
    <n v="2"/>
    <n v="1"/>
    <s v="Mercantile"/>
    <d v="2019-04-04T00:00:00"/>
    <s v="April"/>
    <x v="0"/>
    <d v="1899-12-30T02:33:00"/>
    <m/>
    <x v="13"/>
    <s v="Foraging"/>
    <s v="NA"/>
    <n v="4"/>
    <n v="0"/>
    <n v="0"/>
    <s v="Unknown"/>
    <s v="unknown"/>
    <s v="Ground"/>
    <s v="NA"/>
    <m/>
    <m/>
    <m/>
    <s v="NA"/>
    <s v="NA"/>
    <s v="NA"/>
    <s v="NA"/>
    <s v="NA"/>
    <s v="NA"/>
    <s v="NA"/>
    <m/>
    <n v="0"/>
    <n v="0"/>
    <n v="0"/>
    <n v="0"/>
    <n v="153"/>
    <m/>
    <n v="153"/>
    <m/>
    <m/>
    <m/>
    <m/>
  </r>
  <r>
    <s v="DSCN2905"/>
    <s v="MC0404_1"/>
    <n v="1"/>
    <n v="1"/>
    <s v="Mercantile"/>
    <d v="2019-04-04T00:00:00"/>
    <s v="April"/>
    <x v="0"/>
    <d v="1899-12-30T00:31:00"/>
    <m/>
    <x v="13"/>
    <s v="Foraging"/>
    <s v="NA"/>
    <n v="0"/>
    <n v="0"/>
    <n v="0"/>
    <m/>
    <s v="NA"/>
    <s v="NA"/>
    <s v="NA"/>
    <m/>
    <m/>
    <m/>
    <s v="NA"/>
    <s v="NA"/>
    <s v="NA"/>
    <s v="NA"/>
    <s v="NA"/>
    <s v="NA"/>
    <s v="NA"/>
    <m/>
    <n v="0"/>
    <n v="0"/>
    <n v="0"/>
    <n v="0"/>
    <n v="31"/>
    <m/>
    <n v="31"/>
    <s v="Searching"/>
    <m/>
    <m/>
    <m/>
  </r>
  <r>
    <s v="DSCN2909"/>
    <s v="MC0404_4"/>
    <n v="4"/>
    <n v="1"/>
    <s v="Mercantile"/>
    <d v="2019-04-04T00:00:00"/>
    <s v="April"/>
    <x v="0"/>
    <d v="1899-12-30T00:24:00"/>
    <m/>
    <x v="13"/>
    <s v="Foraging"/>
    <s v="NA"/>
    <n v="0"/>
    <n v="0"/>
    <n v="0"/>
    <m/>
    <s v="NA"/>
    <s v="NA"/>
    <s v="NA"/>
    <m/>
    <m/>
    <m/>
    <s v="NA"/>
    <s v="NA"/>
    <s v="NA"/>
    <s v="NA"/>
    <s v="NA"/>
    <s v="NA"/>
    <s v="NA"/>
    <m/>
    <n v="0"/>
    <n v="0"/>
    <n v="0"/>
    <n v="0"/>
    <n v="24"/>
    <m/>
    <n v="24"/>
    <s v="Searching"/>
    <m/>
    <m/>
    <m/>
  </r>
  <r>
    <s v="DSCN2907"/>
    <s v="MC0404_3"/>
    <n v="3"/>
    <n v="1"/>
    <s v="Mercantile"/>
    <d v="2019-04-04T00:00:00"/>
    <s v="April"/>
    <x v="0"/>
    <d v="1899-12-30T00:11:00"/>
    <m/>
    <x v="13"/>
    <s v="Foraging"/>
    <s v="Spruce"/>
    <n v="0"/>
    <n v="0"/>
    <n v="0"/>
    <m/>
    <s v="NA"/>
    <m/>
    <s v="NA"/>
    <m/>
    <m/>
    <m/>
    <s v="NA"/>
    <s v="NA"/>
    <s v="NA"/>
    <s v="NA"/>
    <s v="NA"/>
    <s v="NA"/>
    <s v="NA"/>
    <m/>
    <n v="3"/>
    <n v="0"/>
    <n v="0"/>
    <n v="3"/>
    <n v="0"/>
    <m/>
    <n v="3"/>
    <s v="Searching/probing"/>
    <m/>
    <n v="1"/>
    <n v="0"/>
  </r>
  <r>
    <s v="DSCN3158"/>
    <s v="MC0416_1"/>
    <n v="1"/>
    <n v="1"/>
    <s v="Mercantile"/>
    <d v="2019-04-16T00:00:00"/>
    <s v="April"/>
    <x v="0"/>
    <d v="1899-12-30T01:08:00"/>
    <s v="Mostly cloudy"/>
    <x v="13"/>
    <s v="Foraging"/>
    <s v="Spruce"/>
    <n v="1"/>
    <n v="0"/>
    <n v="1"/>
    <s v="Berry"/>
    <s v="Berry (2- cranberry)"/>
    <s v="Ground"/>
    <s v="Exterior spruce foliage"/>
    <s v="Spruce"/>
    <s v="Exterior"/>
    <s v="Foliage"/>
    <s v="E"/>
    <n v="70"/>
    <n v="1"/>
    <n v="63.735900000000001"/>
    <n v="148.89832000000001"/>
    <s v="NA"/>
    <s v="NA"/>
    <m/>
    <n v="0"/>
    <n v="0"/>
    <n v="0"/>
    <n v="0"/>
    <n v="33"/>
    <m/>
    <n v="33"/>
    <s v="Searching"/>
    <s v="Initially I thought ut had grabbed a caterpiller B&amp;Ut wasn't confident enough to mark. "/>
    <m/>
    <m/>
  </r>
  <r>
    <s v="DSCN3159"/>
    <s v="MC0416_2"/>
    <n v="2"/>
    <n v="1"/>
    <s v="Mercantile"/>
    <d v="2019-04-16T00:00:00"/>
    <s v="April"/>
    <x v="0"/>
    <d v="1899-12-30T00:38:00"/>
    <s v="Mostly cloudy"/>
    <x v="13"/>
    <s v="Foraging"/>
    <s v="Spruce"/>
    <n v="0"/>
    <n v="0"/>
    <n v="0"/>
    <m/>
    <s v="NA"/>
    <s v="NA"/>
    <s v="NA"/>
    <m/>
    <m/>
    <m/>
    <s v="NA"/>
    <s v="NA"/>
    <s v="NA"/>
    <s v="NA"/>
    <s v="NA"/>
    <s v="NA"/>
    <s v="NA"/>
    <m/>
    <n v="26"/>
    <n v="12"/>
    <n v="26"/>
    <n v="12"/>
    <n v="0"/>
    <m/>
    <n v="38"/>
    <s v="Searching"/>
    <m/>
    <m/>
    <m/>
  </r>
  <r>
    <s v="DSCN3277"/>
    <s v="MC0418_1"/>
    <n v="1"/>
    <n v="2"/>
    <s v="Mercantile"/>
    <d v="2019-04-18T00:00:00"/>
    <s v="April"/>
    <x v="0"/>
    <d v="1899-12-30T02:20:00"/>
    <s v="Overcast"/>
    <x v="13"/>
    <s v="Foraging"/>
    <s v="Spruce"/>
    <n v="1"/>
    <n v="1"/>
    <n v="1"/>
    <s v="Unknown"/>
    <s v="Unknown orange thing. "/>
    <s v="Interior spruce foliage "/>
    <s v="Exterior spruce foliage"/>
    <s v="Spruce"/>
    <s v="Exterior"/>
    <s v="Foliage"/>
    <s v="E"/>
    <n v="70"/>
    <s v="TBD"/>
    <n v="63.735770000000002"/>
    <n v="148.89865"/>
    <n v="63.735770000000002"/>
    <n v="148.89854"/>
    <s v="NA"/>
    <n v="0"/>
    <n v="10"/>
    <n v="10"/>
    <n v="0"/>
    <n v="0"/>
    <m/>
    <n v="10"/>
    <s v="Searching"/>
    <s v="Had just finished caching berries and then in the same tree as the CT in the previous clip, it recovered this presumed cache and then recached it in a nearby tree. "/>
    <m/>
    <m/>
  </r>
  <r>
    <s v="DSCN3277"/>
    <s v="MC0418_1"/>
    <n v="1"/>
    <n v="3"/>
    <s v="Mercantile"/>
    <d v="2019-04-18T00:00:00"/>
    <s v="April"/>
    <x v="0"/>
    <d v="1899-12-30T02:20:00"/>
    <s v="Overcast"/>
    <x v="13"/>
    <s v="Foraging"/>
    <s v="Spruce"/>
    <n v="1"/>
    <n v="1"/>
    <n v="0"/>
    <s v="Unknown"/>
    <s v="Unknown orange thing. "/>
    <s v="Interior spruce foliage "/>
    <s v="NA"/>
    <m/>
    <m/>
    <m/>
    <s v="NA"/>
    <s v="NA"/>
    <s v="NA"/>
    <s v="NA"/>
    <s v="NA"/>
    <n v="63.735770000000002"/>
    <n v="148.89865"/>
    <s v="NA"/>
    <n v="0"/>
    <n v="0"/>
    <n v="0"/>
    <n v="0"/>
    <n v="10"/>
    <m/>
    <n v="10"/>
    <s v="Searching"/>
    <s v="Had just finished caching weird thing from the previous clip and then in the same tree found what looked like another piece of it and proceeded to leave with it. "/>
    <m/>
    <m/>
  </r>
  <r>
    <s v="DSCN3293"/>
    <s v="MC0418_4"/>
    <n v="4"/>
    <n v="1"/>
    <s v="Mercantile"/>
    <d v="2019-04-18T00:00:00"/>
    <s v="April"/>
    <x v="0"/>
    <d v="1899-12-30T00:33:00"/>
    <s v="Overcast"/>
    <x v="13"/>
    <s v="Foraging"/>
    <s v="Stick"/>
    <n v="1"/>
    <s v="unknown"/>
    <n v="0"/>
    <s v="Unknown"/>
    <s v="unknown"/>
    <s v="Mangled stick on ground"/>
    <s v="NA"/>
    <m/>
    <m/>
    <m/>
    <s v="NA"/>
    <s v="NA"/>
    <s v="NA"/>
    <s v="NA"/>
    <s v="NA"/>
    <s v="NA"/>
    <s v="NA"/>
    <s v="NA"/>
    <n v="0"/>
    <n v="0"/>
    <n v="0"/>
    <n v="0"/>
    <n v="2"/>
    <m/>
    <n v="2"/>
    <m/>
    <s v="Missed initial foraging at stick"/>
    <m/>
    <m/>
  </r>
  <r>
    <s v="DSCN3277"/>
    <s v="MC0418_1"/>
    <n v="1"/>
    <n v="1"/>
    <s v="Mercantile"/>
    <d v="2019-04-18T00:00:00"/>
    <s v="April"/>
    <x v="0"/>
    <d v="1899-12-30T02:20:00"/>
    <s v="Overcast"/>
    <x v="13"/>
    <s v="Foraging"/>
    <s v="NA"/>
    <n v="1"/>
    <m/>
    <n v="1"/>
    <s v="Berry"/>
    <s v="Berries (Cranberries; 4)"/>
    <s v="Ground"/>
    <s v="Exterior spruce foliage"/>
    <s v="Spruce"/>
    <s v="Exterior"/>
    <s v="Foliage"/>
    <s v="SE"/>
    <n v="120"/>
    <n v="2"/>
    <n v="63.735770000000002"/>
    <n v="148.89854"/>
    <s v="NA"/>
    <s v="NA"/>
    <s v="NA"/>
    <n v="0"/>
    <n v="0"/>
    <n v="0"/>
    <n v="0"/>
    <n v="10"/>
    <m/>
    <n v="10"/>
    <m/>
    <m/>
    <m/>
    <m/>
  </r>
  <r>
    <s v="DSCN3501"/>
    <s v="MC0424_14"/>
    <n v="14"/>
    <n v="1"/>
    <s v="Mercantile"/>
    <d v="2019-04-24T00:00:00"/>
    <s v="April"/>
    <x v="0"/>
    <d v="1899-12-30T01:10:00"/>
    <s v="Partly cloudy"/>
    <x v="13"/>
    <s v="Foraging"/>
    <s v="NA"/>
    <n v="1"/>
    <n v="0"/>
    <n v="0"/>
    <s v="Unknown"/>
    <s v="unknown"/>
    <s v="Ground"/>
    <s v="NA"/>
    <m/>
    <m/>
    <m/>
    <s v="NA"/>
    <s v="NA"/>
    <s v="NA"/>
    <s v="NA"/>
    <s v="NA"/>
    <s v="NA"/>
    <s v="NA"/>
    <s v="NA"/>
    <n v="0"/>
    <n v="0"/>
    <n v="0"/>
    <n v="0"/>
    <n v="61"/>
    <m/>
    <n v="61"/>
    <s v="Searching"/>
    <m/>
    <m/>
    <m/>
  </r>
  <r>
    <s v="DSCN3502"/>
    <s v="MC0424_15"/>
    <n v="15"/>
    <n v="1"/>
    <s v="Mercantile"/>
    <d v="2019-04-24T00:00:00"/>
    <s v="April"/>
    <x v="0"/>
    <d v="1899-12-30T00:36:00"/>
    <s v="Partly cloudy"/>
    <x v="13"/>
    <s v="Foraging"/>
    <s v="NA"/>
    <n v="1"/>
    <n v="0"/>
    <n v="0"/>
    <s v="Unknown"/>
    <s v="unknown"/>
    <s v="Ground"/>
    <s v="NA"/>
    <m/>
    <m/>
    <m/>
    <s v="NA"/>
    <s v="NA"/>
    <s v="NA"/>
    <s v="NA"/>
    <s v="NA"/>
    <s v="NA"/>
    <s v="NA"/>
    <s v="NA"/>
    <n v="0"/>
    <n v="0"/>
    <n v="0"/>
    <n v="0"/>
    <n v="36"/>
    <m/>
    <n v="36"/>
    <s v="Searching"/>
    <m/>
    <m/>
    <m/>
  </r>
  <r>
    <s v="DSCN3484"/>
    <s v="MC0424_6"/>
    <n v="6"/>
    <n v="1"/>
    <s v="Mercantile"/>
    <d v="2019-04-24T00:00:00"/>
    <s v="April"/>
    <x v="0"/>
    <d v="1899-12-30T00:31:00"/>
    <s v="Partly cloudy"/>
    <x v="13"/>
    <s v="Foraging"/>
    <s v="NA"/>
    <n v="1"/>
    <n v="0"/>
    <n v="0"/>
    <s v="Unknown"/>
    <s v="unknown"/>
    <s v="Ground"/>
    <s v="NA"/>
    <m/>
    <m/>
    <m/>
    <s v="NA"/>
    <s v="NA"/>
    <s v="NA"/>
    <s v="NA"/>
    <s v="NA"/>
    <s v="NA"/>
    <s v="NA"/>
    <s v="NA"/>
    <n v="0"/>
    <n v="0"/>
    <n v="0"/>
    <n v="0"/>
    <n v="31"/>
    <m/>
    <n v="31"/>
    <s v="Searching"/>
    <m/>
    <m/>
    <m/>
  </r>
  <r>
    <s v="DSCN3481"/>
    <s v="MC0424_4"/>
    <n v="4"/>
    <n v="1"/>
    <s v="Mercantile"/>
    <d v="2019-04-24T00:00:00"/>
    <s v="April"/>
    <x v="0"/>
    <d v="1899-12-30T01:12:00"/>
    <s v="Partly cloudy"/>
    <x v="13"/>
    <s v="Foraging"/>
    <s v="NA"/>
    <n v="0"/>
    <n v="0"/>
    <n v="0"/>
    <m/>
    <s v="NA"/>
    <s v="NA"/>
    <s v="NA"/>
    <m/>
    <m/>
    <m/>
    <s v="NA"/>
    <s v="NA"/>
    <s v="NA"/>
    <s v="NA"/>
    <s v="NA"/>
    <s v="NA"/>
    <s v="NA"/>
    <s v="NA"/>
    <n v="0"/>
    <n v="0"/>
    <n v="0"/>
    <n v="0"/>
    <n v="56"/>
    <m/>
    <n v="56"/>
    <s v="Searching"/>
    <m/>
    <m/>
    <m/>
  </r>
  <r>
    <s v="DSCN3482"/>
    <s v="MC0424_5"/>
    <n v="5"/>
    <n v="1"/>
    <s v="Mercantile"/>
    <d v="2019-04-24T00:00:00"/>
    <s v="April"/>
    <x v="0"/>
    <d v="1899-12-30T01:47:00"/>
    <s v="Partly cloudy"/>
    <x v="13"/>
    <s v="Foraging"/>
    <s v="NA"/>
    <n v="0"/>
    <n v="0"/>
    <n v="0"/>
    <m/>
    <s v="NA"/>
    <s v="NA"/>
    <s v="NA"/>
    <m/>
    <m/>
    <m/>
    <s v="NA"/>
    <s v="NA"/>
    <s v="NA"/>
    <s v="NA"/>
    <s v="NA"/>
    <s v="NA"/>
    <s v="NA"/>
    <s v="NA"/>
    <n v="20"/>
    <n v="0"/>
    <n v="10"/>
    <n v="10"/>
    <n v="0"/>
    <m/>
    <n v="20"/>
    <s v="Searching"/>
    <s v="Looked in old nest. "/>
    <m/>
    <m/>
  </r>
  <r>
    <s v="DSCN2765"/>
    <s v="MC0401_2"/>
    <n v="2"/>
    <n v="1"/>
    <s v="M4West"/>
    <d v="2019-04-01T00:00:00"/>
    <s v="April"/>
    <x v="0"/>
    <d v="1899-12-30T00:12:00"/>
    <m/>
    <x v="13"/>
    <s v="Foraging"/>
    <s v="NA"/>
    <s v="unknown"/>
    <n v="0"/>
    <n v="0"/>
    <m/>
    <s v="NA"/>
    <s v="NA"/>
    <s v="NA"/>
    <m/>
    <m/>
    <m/>
    <s v="NA"/>
    <s v="NA"/>
    <s v="NA"/>
    <s v="NA"/>
    <s v="NA"/>
    <s v="NA"/>
    <s v="NA"/>
    <m/>
    <n v="0"/>
    <n v="0"/>
    <n v="0"/>
    <n v="0"/>
    <n v="10"/>
    <m/>
    <n v="10"/>
    <s v="Searching"/>
    <m/>
    <m/>
    <m/>
  </r>
  <r>
    <s v="DSCN2767"/>
    <s v="MC0401_3"/>
    <n v="3"/>
    <n v="1"/>
    <s v="M4West"/>
    <d v="2019-04-01T00:00:00"/>
    <s v="April"/>
    <x v="0"/>
    <d v="1899-12-30T00:16:00"/>
    <m/>
    <x v="13"/>
    <s v="Foraging"/>
    <s v="NA"/>
    <s v="unknown"/>
    <n v="0"/>
    <n v="0"/>
    <m/>
    <s v="NA"/>
    <s v="NA"/>
    <s v="NA"/>
    <m/>
    <m/>
    <m/>
    <s v="NA"/>
    <s v="NA"/>
    <s v="NA"/>
    <s v="NA"/>
    <s v="NA"/>
    <s v="NA"/>
    <s v="NA"/>
    <m/>
    <n v="0"/>
    <n v="0"/>
    <n v="0"/>
    <n v="0"/>
    <n v="16"/>
    <m/>
    <n v="16"/>
    <s v="Searching"/>
    <m/>
    <m/>
    <m/>
  </r>
  <r>
    <s v="DSCN2912"/>
    <s v="MC0404_6"/>
    <n v="6"/>
    <n v="1"/>
    <s v="Mercantile"/>
    <d v="2019-04-04T00:00:00"/>
    <s v="April"/>
    <x v="0"/>
    <d v="1899-12-30T00:43:00"/>
    <m/>
    <x v="13"/>
    <s v="Foraging"/>
    <s v="NA"/>
    <s v="unknown"/>
    <n v="0"/>
    <n v="0"/>
    <m/>
    <s v="NA"/>
    <s v="NA"/>
    <s v="NA"/>
    <m/>
    <m/>
    <m/>
    <s v="NA"/>
    <s v="NA"/>
    <s v="NA"/>
    <s v="NA"/>
    <s v="NA"/>
    <s v="NA"/>
    <s v="NA"/>
    <m/>
    <n v="0"/>
    <n v="0"/>
    <n v="0"/>
    <n v="0"/>
    <n v="38"/>
    <m/>
    <n v="38"/>
    <s v="Searching"/>
    <m/>
    <m/>
    <m/>
  </r>
  <r>
    <s v="DSCN3519"/>
    <s v="MC0424_26"/>
    <n v="26"/>
    <n v="1"/>
    <s v="Mercantile"/>
    <d v="2019-04-24T00:00:00"/>
    <s v="April"/>
    <x v="0"/>
    <d v="1899-12-30T00:16:00"/>
    <s v="Partly cloudy"/>
    <x v="13"/>
    <s v="Foraging"/>
    <s v="NA"/>
    <s v="unknown"/>
    <n v="0"/>
    <n v="0"/>
    <m/>
    <s v="NA"/>
    <s v="NA"/>
    <s v="NA"/>
    <m/>
    <m/>
    <m/>
    <s v="NA"/>
    <s v="NA"/>
    <s v="NA"/>
    <s v="NA"/>
    <s v="NA"/>
    <s v="NA"/>
    <s v="NA"/>
    <s v="NA"/>
    <n v="0"/>
    <n v="0"/>
    <n v="0"/>
    <n v="0"/>
    <n v="16"/>
    <m/>
    <n v="16"/>
    <s v="Searching"/>
    <m/>
    <m/>
    <m/>
  </r>
  <r>
    <s v="DSCN3520"/>
    <s v="MC0424_27"/>
    <n v="27"/>
    <n v="1"/>
    <s v="Mercantile"/>
    <d v="2019-04-24T00:00:00"/>
    <s v="April"/>
    <x v="0"/>
    <d v="1899-12-30T00:30:00"/>
    <s v="Partly cloudy"/>
    <x v="13"/>
    <s v="Foraging"/>
    <s v="Spruce"/>
    <s v="unknown"/>
    <s v="unknown"/>
    <n v="0"/>
    <m/>
    <s v="NA"/>
    <s v="NA"/>
    <s v="NA"/>
    <m/>
    <m/>
    <m/>
    <s v="NA"/>
    <s v="NA"/>
    <s v="NA"/>
    <s v="NA"/>
    <s v="NA"/>
    <s v="NA"/>
    <s v="NA"/>
    <s v="NA"/>
    <n v="30"/>
    <n v="0"/>
    <n v="30"/>
    <n v="0"/>
    <n v="0"/>
    <m/>
    <n v="30"/>
    <s v="Probing"/>
    <s v="Unknown number of probes, could not see on camera. "/>
    <m/>
    <m/>
  </r>
  <r>
    <s v="DSCN3521"/>
    <s v="MC0424_28"/>
    <n v="28"/>
    <n v="1"/>
    <s v="Mercantile"/>
    <d v="2019-04-24T00:00:00"/>
    <s v="April"/>
    <x v="0"/>
    <d v="1899-12-30T00:17:00"/>
    <s v="Partly cloudy"/>
    <x v="13"/>
    <s v="Foraging"/>
    <s v="Spruce"/>
    <s v="unknown"/>
    <n v="0"/>
    <n v="0"/>
    <m/>
    <s v="NA"/>
    <s v="NA"/>
    <s v="NA"/>
    <m/>
    <m/>
    <m/>
    <s v="NA"/>
    <s v="NA"/>
    <s v="NA"/>
    <s v="NA"/>
    <s v="NA"/>
    <s v="NA"/>
    <s v="NA"/>
    <s v="NA"/>
    <n v="14"/>
    <n v="0"/>
    <n v="14"/>
    <n v="0"/>
    <n v="0"/>
    <m/>
    <n v="14"/>
    <s v="Searching"/>
    <m/>
    <m/>
    <m/>
  </r>
  <r>
    <s v="DSCN3606"/>
    <s v="MC0426_1"/>
    <n v="1"/>
    <n v="1"/>
    <s v="Air Quality"/>
    <d v="2019-04-26T00:00:00"/>
    <s v="April"/>
    <x v="0"/>
    <d v="1899-12-30T00:52:00"/>
    <m/>
    <x v="13"/>
    <s v="Foraging"/>
    <s v="Spruce"/>
    <s v="unknown"/>
    <s v="unknown"/>
    <n v="0"/>
    <m/>
    <s v="NA"/>
    <s v="NA"/>
    <s v="NA"/>
    <m/>
    <m/>
    <m/>
    <s v="NA"/>
    <s v="NA"/>
    <s v="NA"/>
    <s v="NA"/>
    <s v="NA"/>
    <s v="NA"/>
    <s v="NA"/>
    <s v="NA"/>
    <n v="46"/>
    <n v="0"/>
    <n v="46"/>
    <n v="0"/>
    <n v="0"/>
    <m/>
    <n v="46"/>
    <s v="Searching"/>
    <m/>
    <m/>
    <m/>
  </r>
  <r>
    <s v="DSCN3122"/>
    <s v="B&amp;U0415_9"/>
    <n v="9"/>
    <n v="1"/>
    <s v="B&amp;U"/>
    <d v="2019-04-15T00:00:00"/>
    <s v="April"/>
    <x v="0"/>
    <d v="1899-12-30T01:59:00"/>
    <s v="Partly cloudy"/>
    <x v="14"/>
    <s v="Caching"/>
    <s v="Spruce"/>
    <n v="0"/>
    <n v="0"/>
    <n v="1"/>
    <s v="Insect"/>
    <s v="Insect (small Black caterpiller)"/>
    <m/>
    <s v="Exterior spruce branch under witch hair"/>
    <s v="Spruce"/>
    <s v="Exterior"/>
    <s v="Under witchhair"/>
    <s v="N"/>
    <n v="0"/>
    <n v="40"/>
    <n v="63.724319999999999"/>
    <n v="148.9547"/>
    <s v="NA"/>
    <s v="NA"/>
    <m/>
    <n v="0"/>
    <n v="0"/>
    <n v="0"/>
    <n v="0"/>
    <n v="0"/>
    <m/>
    <n v="0"/>
    <m/>
    <s v="Seemed like a temporary cache because it did not coat in spit. "/>
    <m/>
    <m/>
  </r>
  <r>
    <s v="DSCN3120"/>
    <s v="B&amp;U0415_7"/>
    <n v="7"/>
    <n v="1"/>
    <s v="B&amp;U"/>
    <d v="2019-04-15T00:00:00"/>
    <s v="April"/>
    <x v="0"/>
    <d v="1899-12-30T00:54:00"/>
    <s v="Partly cloudy"/>
    <x v="14"/>
    <s v="Foraging"/>
    <s v="NA"/>
    <n v="1"/>
    <n v="0"/>
    <n v="0"/>
    <s v="Insect"/>
    <s v="Insect (grub/caterpillar)"/>
    <s v="Ground"/>
    <s v="NA"/>
    <m/>
    <m/>
    <m/>
    <s v="NA"/>
    <s v="NA"/>
    <s v="NA"/>
    <s v="NA"/>
    <s v="NA"/>
    <s v="NA"/>
    <s v="NA"/>
    <m/>
    <n v="0"/>
    <n v="0"/>
    <n v="0"/>
    <n v="0"/>
    <n v="5"/>
    <m/>
    <n v="5"/>
    <s v="Searching"/>
    <s v="Couldn't see it for most of video.  Estimates 5s foraging time"/>
    <m/>
    <m/>
  </r>
  <r>
    <s v="DSCN3121"/>
    <s v="B&amp;U0415_8"/>
    <n v="8"/>
    <n v="1"/>
    <s v="B&amp;U"/>
    <d v="2019-04-15T00:00:00"/>
    <s v="April"/>
    <x v="0"/>
    <d v="1899-12-30T00:08:00"/>
    <s v="Partly cloudy"/>
    <x v="14"/>
    <s v="Foraging"/>
    <s v="NA"/>
    <n v="1"/>
    <n v="0"/>
    <n v="0"/>
    <s v="Insect"/>
    <s v="Insect (small Black caterpiller)"/>
    <s v="Ground"/>
    <s v="NA"/>
    <m/>
    <m/>
    <m/>
    <s v="NA"/>
    <s v="NA"/>
    <s v="NA"/>
    <s v="NA"/>
    <s v="NA"/>
    <s v="NA"/>
    <s v="NA"/>
    <m/>
    <n v="0"/>
    <n v="0"/>
    <n v="0"/>
    <n v="0"/>
    <n v="8"/>
    <m/>
    <n v="8"/>
    <m/>
    <m/>
    <m/>
    <m/>
  </r>
  <r>
    <s v="DSCN3475"/>
    <s v="B&amp;U0424_12"/>
    <n v="12"/>
    <n v="1"/>
    <s v="B&amp;U"/>
    <d v="2019-04-24T00:00:00"/>
    <s v="April"/>
    <x v="0"/>
    <d v="1899-12-30T00:12:00"/>
    <s v="Partly cloudy"/>
    <x v="14"/>
    <s v="Foraging"/>
    <s v="Spruce"/>
    <n v="1"/>
    <s v="unknown"/>
    <n v="0"/>
    <s v="Unknown"/>
    <s v="unknown"/>
    <s v="Interior bare spruce branch"/>
    <s v="NA"/>
    <m/>
    <m/>
    <m/>
    <s v="NA"/>
    <s v="NA"/>
    <s v="NA"/>
    <s v="NA"/>
    <s v="NA"/>
    <s v="NA"/>
    <s v="NA"/>
    <s v="NA"/>
    <n v="12"/>
    <n v="0"/>
    <n v="12"/>
    <n v="0"/>
    <n v="0"/>
    <m/>
    <n v="12"/>
    <s v="Searching/probing"/>
    <m/>
    <n v="2"/>
    <n v="0"/>
  </r>
  <r>
    <s v="DSCN3463"/>
    <s v="B&amp;U0424_5"/>
    <n v="5"/>
    <n v="1"/>
    <s v="B&amp;U"/>
    <d v="2019-04-24T00:00:00"/>
    <s v="April"/>
    <x v="0"/>
    <d v="1899-12-30T00:24:00"/>
    <s v="Partly cloudy"/>
    <x v="14"/>
    <s v="Foraging"/>
    <s v="NA"/>
    <n v="1"/>
    <n v="0"/>
    <n v="0"/>
    <s v="Unknown"/>
    <s v="unknown"/>
    <s v="NA"/>
    <s v="NA"/>
    <m/>
    <m/>
    <m/>
    <s v="NA"/>
    <s v="NA"/>
    <s v="NA"/>
    <s v="NA"/>
    <s v="NA"/>
    <s v="NA"/>
    <s v="NA"/>
    <s v="NA"/>
    <n v="0"/>
    <n v="0"/>
    <n v="0"/>
    <n v="0"/>
    <n v="24"/>
    <m/>
    <n v="24"/>
    <s v="Searching"/>
    <m/>
    <m/>
    <m/>
  </r>
  <r>
    <s v="DSCN3476"/>
    <s v="B&amp;U0424_13"/>
    <n v="13"/>
    <n v="1"/>
    <s v="B&amp;U"/>
    <d v="2019-04-24T00:00:00"/>
    <s v="April"/>
    <x v="0"/>
    <d v="1899-12-30T00:25:00"/>
    <s v="Partly cloudy"/>
    <x v="14"/>
    <s v="Foraging"/>
    <s v="NA"/>
    <s v="unknown"/>
    <n v="0"/>
    <n v="0"/>
    <m/>
    <s v="NA"/>
    <s v="NA"/>
    <s v="NA"/>
    <m/>
    <m/>
    <m/>
    <s v="NA"/>
    <s v="NA"/>
    <s v="NA"/>
    <s v="NA"/>
    <s v="NA"/>
    <s v="NA"/>
    <s v="NA"/>
    <s v="NA"/>
    <n v="0"/>
    <n v="0"/>
    <n v="0"/>
    <n v="0"/>
    <n v="20"/>
    <m/>
    <n v="20"/>
    <s v="Searching"/>
    <m/>
    <m/>
    <m/>
  </r>
  <r>
    <s v="DSCN2725"/>
    <s v="M4R0401_1"/>
    <n v="1"/>
    <n v="1"/>
    <s v="M4Roadside"/>
    <d v="2019-04-01T00:00:00"/>
    <s v="April"/>
    <x v="0"/>
    <d v="1899-12-30T00:06:00"/>
    <s v="Clear"/>
    <x v="15"/>
    <s v="Food handling"/>
    <s v="Spruce"/>
    <n v="1"/>
    <s v="unknown"/>
    <n v="0"/>
    <s v="Unknown"/>
    <s v="unknown"/>
    <s v="Exterior bare spruce branch"/>
    <s v="NA"/>
    <m/>
    <m/>
    <m/>
    <s v="NA"/>
    <s v="NA"/>
    <s v="NA"/>
    <s v="NA"/>
    <s v="NA"/>
    <s v="NA"/>
    <s v="NA"/>
    <m/>
    <n v="0"/>
    <n v="0"/>
    <n v="0"/>
    <n v="0"/>
    <n v="0"/>
    <m/>
    <n v="0"/>
    <m/>
    <s v="Missed initial acquisition"/>
    <m/>
    <m/>
  </r>
  <r>
    <s v="DSCN3024"/>
    <s v="M4R0409_1"/>
    <n v="1"/>
    <n v="1"/>
    <s v="M4Roadside"/>
    <d v="2019-04-09T00:00:00"/>
    <s v="April"/>
    <x v="0"/>
    <d v="1899-12-30T00:39:00"/>
    <m/>
    <x v="15"/>
    <s v="Foraging"/>
    <s v="NA"/>
    <n v="1"/>
    <n v="0"/>
    <n v="1"/>
    <s v="Insect"/>
    <s v="Insect (grub/caterpillar)"/>
    <s v="Ground"/>
    <s v="Exterior spruce branch under witch hair"/>
    <s v="Spruce"/>
    <s v="Exterior"/>
    <s v="Under witchhair"/>
    <s v="E"/>
    <n v="95"/>
    <n v="1"/>
    <n v="63.71951"/>
    <n v="148.98781"/>
    <s v="NA"/>
    <s v="NA"/>
    <m/>
    <n v="0"/>
    <n v="0"/>
    <n v="0"/>
    <n v="0"/>
    <n v="5"/>
    <m/>
    <n v="5"/>
    <s v="Searching"/>
    <s v="Placed camera on CT"/>
    <m/>
    <m/>
  </r>
  <r>
    <s v="DSCN3037"/>
    <s v="M4R0409_11"/>
    <n v="11"/>
    <n v="1"/>
    <s v="M4Roadside"/>
    <d v="2019-04-09T00:00:00"/>
    <s v="April"/>
    <x v="0"/>
    <d v="1899-12-30T00:14:00"/>
    <m/>
    <x v="15"/>
    <s v="Food handling"/>
    <s v="NA"/>
    <n v="1"/>
    <n v="0"/>
    <n v="0"/>
    <s v="Insect"/>
    <s v="Insect (Black caterpiller)"/>
    <s v="Ground"/>
    <s v="NA"/>
    <m/>
    <m/>
    <m/>
    <s v="NA"/>
    <s v="NA"/>
    <s v="NA"/>
    <s v="NA"/>
    <s v="NA"/>
    <s v="NA"/>
    <s v="NA"/>
    <m/>
    <n v="0"/>
    <n v="0"/>
    <n v="0"/>
    <n v="0"/>
    <n v="0"/>
    <m/>
    <n v="0"/>
    <m/>
    <s v="Missed acquisition"/>
    <m/>
    <m/>
  </r>
  <r>
    <s v="DSCN3234"/>
    <s v="M4R0417_16"/>
    <n v="16"/>
    <n v="1"/>
    <s v="M4Roadside"/>
    <d v="2019-04-17T00:00:00"/>
    <s v="April"/>
    <x v="0"/>
    <d v="1899-12-30T00:16:00"/>
    <s v="Overcast, light snow"/>
    <x v="15"/>
    <s v="Foraging"/>
    <s v="Spruce"/>
    <n v="1"/>
    <s v="unknown"/>
    <n v="0"/>
    <s v="Unknown"/>
    <s v="unknown"/>
    <s v="Spruce trunk under bark"/>
    <s v="NA"/>
    <m/>
    <m/>
    <m/>
    <s v="NA"/>
    <s v="NA"/>
    <s v="NA"/>
    <s v="NA"/>
    <s v="NA"/>
    <s v="NA"/>
    <s v="NA"/>
    <m/>
    <n v="8"/>
    <n v="0"/>
    <n v="8"/>
    <n v="0"/>
    <n v="8"/>
    <m/>
    <n v="16"/>
    <s v="Searching/probing"/>
    <m/>
    <n v="1"/>
    <n v="0"/>
  </r>
  <r>
    <s v="DSCN3225"/>
    <s v="M4R0417_8"/>
    <n v="8"/>
    <n v="1"/>
    <s v="M4Roadside"/>
    <d v="2019-04-17T00:00:00"/>
    <s v="April"/>
    <x v="0"/>
    <d v="1899-12-30T01:24:00"/>
    <s v="Overcast, light snow"/>
    <x v="15"/>
    <s v="Foraging"/>
    <s v="NA"/>
    <n v="1"/>
    <s v="unknown"/>
    <n v="0"/>
    <s v="Unknown"/>
    <s v="unknown"/>
    <s v="Spruce trunk under bark"/>
    <s v="NA"/>
    <m/>
    <m/>
    <m/>
    <s v="NA"/>
    <s v="NA"/>
    <s v="NA"/>
    <s v="NA"/>
    <s v="NA"/>
    <s v="NA"/>
    <s v="NA"/>
    <m/>
    <n v="56"/>
    <n v="0"/>
    <n v="56"/>
    <n v="0"/>
    <n v="17"/>
    <m/>
    <n v="73"/>
    <m/>
    <m/>
    <n v="9"/>
    <n v="0"/>
  </r>
  <r>
    <s v="DSCN3235"/>
    <s v="M4R0417_17"/>
    <n v="17"/>
    <n v="1"/>
    <s v="M4Roadside"/>
    <d v="2019-04-17T00:00:00"/>
    <s v="April"/>
    <x v="0"/>
    <d v="1899-12-30T00:41:00"/>
    <s v="Overcast, light snow"/>
    <x v="15"/>
    <s v="Foraging"/>
    <s v="Spruce"/>
    <n v="2"/>
    <n v="1"/>
    <n v="0"/>
    <s v="Unknown"/>
    <s v="unknown"/>
    <s v="Spruce trunk under bark"/>
    <s v="NA"/>
    <m/>
    <m/>
    <m/>
    <s v="NA"/>
    <s v="NA"/>
    <s v="NA"/>
    <s v="NA"/>
    <s v="NA"/>
    <n v="63.720469999999999"/>
    <n v="148.98471000000001"/>
    <s v="M4R100518CT3"/>
    <n v="41"/>
    <n v="0"/>
    <n v="41"/>
    <n v="0"/>
    <n v="0"/>
    <m/>
    <n v="41"/>
    <s v="Searching/probing/ Bark chpping"/>
    <s v="Repeatedly removes bark and then inserts it into palce it's trying to probe???"/>
    <n v="10"/>
    <n v="0"/>
  </r>
  <r>
    <s v="DSCN3236"/>
    <s v="M4R0417_18"/>
    <n v="18"/>
    <n v="1"/>
    <s v="M4Roadside"/>
    <d v="2019-04-17T00:00:00"/>
    <s v="April"/>
    <x v="0"/>
    <d v="1899-12-30T01:15:00"/>
    <s v="Overcast, light snow"/>
    <x v="15"/>
    <s v="Foraging"/>
    <s v="Spruce"/>
    <n v="1"/>
    <n v="0"/>
    <n v="0"/>
    <s v="Insect"/>
    <s v="Insect"/>
    <s v="Exterior spruce foliage"/>
    <s v="NA"/>
    <m/>
    <m/>
    <m/>
    <s v="NA"/>
    <s v="NA"/>
    <s v="NA"/>
    <s v="NA"/>
    <s v="NA"/>
    <s v="NA"/>
    <s v="NA"/>
    <s v="NA"/>
    <n v="56"/>
    <n v="2"/>
    <n v="56"/>
    <n v="2"/>
    <n v="0"/>
    <m/>
    <n v="58"/>
    <s v="Searching/gleaning"/>
    <m/>
    <n v="2"/>
    <n v="1"/>
  </r>
  <r>
    <s v="DSCN3226"/>
    <s v="M4R0417_9"/>
    <n v="9"/>
    <n v="1"/>
    <s v="M4Roadside"/>
    <d v="2019-04-17T00:00:00"/>
    <s v="April"/>
    <x v="0"/>
    <d v="1899-12-30T00:04:00"/>
    <s v="Overcast, light snow"/>
    <x v="15"/>
    <s v="Foraging"/>
    <s v="NA"/>
    <n v="1"/>
    <n v="0"/>
    <n v="0"/>
    <s v="Insect"/>
    <s v="Insect (Black caterpiller)"/>
    <s v="Ground"/>
    <s v="NA"/>
    <m/>
    <m/>
    <m/>
    <s v="NA"/>
    <s v="NA"/>
    <s v="NA"/>
    <s v="NA"/>
    <s v="NA"/>
    <s v="NA"/>
    <s v="NA"/>
    <m/>
    <n v="0"/>
    <n v="0"/>
    <n v="0"/>
    <n v="0"/>
    <n v="0"/>
    <m/>
    <n v="0"/>
    <m/>
    <s v="Did not capture foraging, only acquisition. "/>
    <m/>
    <m/>
  </r>
  <r>
    <s v="DSCN3217"/>
    <s v="M4R0417_3"/>
    <n v="3"/>
    <n v="1"/>
    <s v="M4Roadside"/>
    <d v="2019-04-17T00:00:00"/>
    <s v="April"/>
    <x v="0"/>
    <d v="1899-12-30T00:32:00"/>
    <s v="Overcast, light snow"/>
    <x v="15"/>
    <s v="Food handling"/>
    <s v="NA"/>
    <n v="1"/>
    <n v="0"/>
    <n v="0"/>
    <s v="Insect"/>
    <s v="Insect (Black caterpiller)"/>
    <s v="uknown"/>
    <s v="NA"/>
    <m/>
    <m/>
    <m/>
    <s v="NA"/>
    <s v="NA"/>
    <s v="NA"/>
    <s v="NA"/>
    <s v="NA"/>
    <s v="NA"/>
    <s v="NA"/>
    <m/>
    <n v="0"/>
    <n v="0"/>
    <n v="0"/>
    <n v="0"/>
    <n v="0"/>
    <m/>
    <n v="0"/>
    <m/>
    <s v="Missed initial acquisition"/>
    <m/>
    <m/>
  </r>
  <r>
    <s v="DSCN3221"/>
    <s v="M4R0417_5"/>
    <n v="5"/>
    <n v="1"/>
    <s v="M4Roadside"/>
    <d v="2019-04-17T00:00:00"/>
    <s v="April"/>
    <x v="0"/>
    <d v="1899-12-30T00:09:00"/>
    <s v="Overcast, light snow"/>
    <x v="15"/>
    <s v="Foraging"/>
    <s v="NA"/>
    <n v="1"/>
    <n v="0"/>
    <n v="0"/>
    <s v="Berry"/>
    <s v="Berry"/>
    <s v="Ground"/>
    <s v="NA"/>
    <m/>
    <m/>
    <m/>
    <s v="NA"/>
    <s v="NA"/>
    <s v="NA"/>
    <s v="NA"/>
    <s v="NA"/>
    <s v="NA"/>
    <s v="NA"/>
    <m/>
    <n v="0"/>
    <n v="0"/>
    <n v="0"/>
    <n v="0"/>
    <n v="9"/>
    <m/>
    <n v="9"/>
    <m/>
    <m/>
    <m/>
    <m/>
  </r>
  <r>
    <s v="DSCN3228"/>
    <s v="M4R0417_10"/>
    <n v="10"/>
    <n v="1"/>
    <s v="M4Roadside"/>
    <d v="2019-04-17T00:00:00"/>
    <s v="April"/>
    <x v="0"/>
    <d v="1899-12-30T00:17:00"/>
    <s v="Overcast, light snow"/>
    <x v="15"/>
    <s v="Food handling"/>
    <s v="NA"/>
    <n v="0"/>
    <n v="0"/>
    <n v="0"/>
    <s v="Insect"/>
    <s v="Insect (Black caterpiller)"/>
    <s v="NA"/>
    <s v="NA"/>
    <m/>
    <m/>
    <m/>
    <s v="NA"/>
    <s v="NA"/>
    <s v="NA"/>
    <s v="NA"/>
    <s v="NA"/>
    <s v="NA"/>
    <s v="NA"/>
    <m/>
    <n v="0"/>
    <n v="0"/>
    <n v="0"/>
    <n v="0"/>
    <n v="0"/>
    <m/>
    <n v="0"/>
    <m/>
    <m/>
    <m/>
    <m/>
  </r>
  <r>
    <s v="DSCN3229"/>
    <s v="M4R0417_11"/>
    <n v="11"/>
    <n v="1"/>
    <s v="M4Roadside"/>
    <d v="2019-04-17T00:00:00"/>
    <s v="April"/>
    <x v="0"/>
    <d v="1899-12-30T00:27:00"/>
    <s v="Overcast, light snow"/>
    <x v="15"/>
    <s v="Food handling"/>
    <s v="NA"/>
    <n v="0"/>
    <n v="0"/>
    <n v="0"/>
    <s v="Insect"/>
    <s v="Insect (Black caterpiller)"/>
    <s v="NA"/>
    <s v="NA"/>
    <m/>
    <m/>
    <m/>
    <s v="NA"/>
    <s v="NA"/>
    <s v="NA"/>
    <s v="NA"/>
    <s v="NA"/>
    <s v="NA"/>
    <s v="NA"/>
    <m/>
    <n v="0"/>
    <n v="0"/>
    <n v="0"/>
    <n v="0"/>
    <n v="0"/>
    <m/>
    <n v="0"/>
    <m/>
    <m/>
    <m/>
    <m/>
  </r>
  <r>
    <s v="DSCN3230"/>
    <s v="M4R0417_12"/>
    <n v="12"/>
    <n v="1"/>
    <s v="M4Roadside"/>
    <d v="2019-04-17T00:00:00"/>
    <s v="April"/>
    <x v="0"/>
    <d v="1899-12-30T01:51:00"/>
    <s v="Overcast, light snow"/>
    <x v="15"/>
    <s v="Food handling/Foraging"/>
    <s v="Spruce"/>
    <n v="0"/>
    <n v="0"/>
    <n v="0"/>
    <s v="Insect"/>
    <s v="Insect (Black caterpiller)"/>
    <s v="NA"/>
    <s v="NA"/>
    <m/>
    <m/>
    <m/>
    <s v="NA"/>
    <s v="NA"/>
    <s v="NA"/>
    <s v="NA"/>
    <s v="NA"/>
    <s v="NA"/>
    <s v="NA"/>
    <m/>
    <n v="25"/>
    <n v="0"/>
    <n v="25"/>
    <n v="0"/>
    <n v="0"/>
    <m/>
    <n v="25"/>
    <m/>
    <s v="Could have been looking for a place to cache"/>
    <m/>
    <m/>
  </r>
  <r>
    <s v="DSCN3233"/>
    <s v="M4R0417_15"/>
    <n v="15"/>
    <n v="1"/>
    <s v="M4Roadside"/>
    <d v="2019-04-17T00:00:00"/>
    <s v="April"/>
    <x v="0"/>
    <d v="1899-12-30T00:46:00"/>
    <s v="Overcast, light snow"/>
    <x v="15"/>
    <s v="Foraging"/>
    <s v="Spruce"/>
    <n v="0"/>
    <n v="0"/>
    <n v="0"/>
    <m/>
    <s v="NA"/>
    <s v="NA"/>
    <s v="NA"/>
    <m/>
    <m/>
    <m/>
    <s v="NA"/>
    <s v="NA"/>
    <s v="NA"/>
    <s v="NA"/>
    <s v="NA"/>
    <s v="NA"/>
    <s v="NA"/>
    <m/>
    <n v="13"/>
    <n v="0"/>
    <n v="11"/>
    <n v="2"/>
    <n v="21"/>
    <m/>
    <n v="34"/>
    <s v="Searching/probing"/>
    <m/>
    <n v="2"/>
    <m/>
  </r>
  <r>
    <s v="DSCN3223"/>
    <s v="M4R0417_6"/>
    <n v="6"/>
    <n v="1"/>
    <s v="M4Roadside"/>
    <d v="2019-04-17T00:00:00"/>
    <s v="April"/>
    <x v="0"/>
    <d v="1899-12-30T00:18:00"/>
    <s v="Overcast, light snow"/>
    <x v="15"/>
    <s v="Foraging"/>
    <s v="NA"/>
    <n v="0"/>
    <n v="0"/>
    <n v="0"/>
    <m/>
    <s v="NA"/>
    <s v="NA"/>
    <s v="NA"/>
    <m/>
    <m/>
    <m/>
    <s v="NA"/>
    <s v="NA"/>
    <s v="NA"/>
    <s v="NA"/>
    <s v="NA"/>
    <s v="NA"/>
    <s v="NA"/>
    <m/>
    <n v="0"/>
    <n v="0"/>
    <n v="0"/>
    <n v="0"/>
    <n v="18"/>
    <m/>
    <n v="18"/>
    <m/>
    <m/>
    <m/>
    <m/>
  </r>
  <r>
    <s v="DSCN3345"/>
    <s v="M4R0419_5"/>
    <n v="5"/>
    <n v="1"/>
    <s v="M4Roadside"/>
    <d v="2019-04-19T00:00:00"/>
    <s v="April"/>
    <x v="0"/>
    <d v="1899-12-30T00:28:00"/>
    <s v="Partly cloudy"/>
    <x v="15"/>
    <s v="Food handling"/>
    <s v="Spruce"/>
    <n v="1"/>
    <s v="unknown"/>
    <n v="0"/>
    <s v="Unknown"/>
    <s v="unknown"/>
    <s v="Exterior bare spruce branch"/>
    <s v="NA"/>
    <m/>
    <m/>
    <m/>
    <s v="NA"/>
    <s v="NA"/>
    <s v="NA"/>
    <s v="NA"/>
    <s v="NA"/>
    <s v="NA"/>
    <s v="NA"/>
    <s v="NA"/>
    <n v="0"/>
    <n v="0"/>
    <n v="0"/>
    <n v="0"/>
    <n v="0"/>
    <m/>
    <n v="0"/>
    <m/>
    <s v="Missed initial acquisition"/>
    <m/>
    <m/>
  </r>
  <r>
    <s v="DSCN3341"/>
    <s v="M4R0419_4"/>
    <n v="4"/>
    <n v="1"/>
    <s v="M4Roadside"/>
    <d v="2019-04-19T00:00:00"/>
    <s v="April"/>
    <x v="0"/>
    <d v="1899-12-30T00:29:00"/>
    <s v="Partly cloudy"/>
    <x v="15"/>
    <s v="Foraging"/>
    <s v="Spruce"/>
    <n v="1"/>
    <s v="unknown"/>
    <n v="0"/>
    <s v="Unknown"/>
    <s v="unknown"/>
    <s v="Interior spruce foliage "/>
    <m/>
    <m/>
    <m/>
    <m/>
    <s v="NA"/>
    <s v="NA"/>
    <s v="NA"/>
    <s v="NA"/>
    <s v="NA"/>
    <s v="NA"/>
    <s v="NA"/>
    <s v="NA"/>
    <n v="0"/>
    <n v="25"/>
    <n v="25"/>
    <n v="0"/>
    <n v="0"/>
    <m/>
    <n v="25"/>
    <s v="Searching"/>
    <m/>
    <m/>
    <m/>
  </r>
  <r>
    <s v="DSCN3339"/>
    <s v="M4R0419_2"/>
    <n v="2"/>
    <n v="1"/>
    <s v="M4Roadside"/>
    <d v="2019-04-19T00:00:00"/>
    <s v="April"/>
    <x v="0"/>
    <d v="1899-12-30T00:22:00"/>
    <s v="Partly cloudy"/>
    <x v="15"/>
    <s v="Foraging"/>
    <s v="Alder"/>
    <n v="0"/>
    <n v="0"/>
    <n v="0"/>
    <m/>
    <s v="NA"/>
    <s v="NA"/>
    <s v="NA"/>
    <m/>
    <m/>
    <m/>
    <s v="NA"/>
    <s v="NA"/>
    <s v="NA"/>
    <s v="NA"/>
    <s v="NA"/>
    <s v="NA"/>
    <s v="NA"/>
    <s v="NA"/>
    <n v="22"/>
    <n v="0"/>
    <n v="0"/>
    <n v="22"/>
    <n v="0"/>
    <m/>
    <n v="22"/>
    <s v="Searching/probing"/>
    <m/>
    <n v="2"/>
    <n v="0"/>
  </r>
  <r>
    <s v="DSCN3643"/>
    <s v="M4R0430_6"/>
    <n v="6"/>
    <n v="1"/>
    <s v="M4Roadside"/>
    <d v="2019-04-30T00:00:00"/>
    <s v="April"/>
    <x v="0"/>
    <d v="1899-12-30T00:05:00"/>
    <s v="Clear, full sun"/>
    <x v="15"/>
    <s v="Foraging"/>
    <s v="NA"/>
    <n v="0"/>
    <n v="0"/>
    <n v="1"/>
    <s v="Unknown"/>
    <s v="unknown"/>
    <s v="unknown"/>
    <s v="Exterior spruce branch under witch hair"/>
    <s v="Spruce"/>
    <s v="Exterior"/>
    <s v="Under witchhair"/>
    <s v="NE"/>
    <n v="50"/>
    <s v="unknown"/>
    <n v="63.720140000000001"/>
    <n v="148.98885999999999"/>
    <s v="NA"/>
    <s v="NA"/>
    <s v="NA"/>
    <n v="0"/>
    <n v="0"/>
    <n v="0"/>
    <n v="0"/>
    <n v="0"/>
    <m/>
    <n v="0"/>
    <m/>
    <s v="Didn't mark as additional food acquisition because he may or may not have cached a food we already documented him as aquiring.  "/>
    <m/>
    <m/>
  </r>
  <r>
    <s v="DSCN3666"/>
    <s v="M4R0430_15"/>
    <n v="15"/>
    <n v="1"/>
    <s v="M4Roadside"/>
    <d v="2019-04-30T00:00:00"/>
    <s v="April"/>
    <x v="0"/>
    <d v="1899-12-30T03:42:00"/>
    <s v="Clear, full sun"/>
    <x v="15"/>
    <s v="Foraging"/>
    <s v="NA"/>
    <n v="1"/>
    <n v="0"/>
    <n v="0"/>
    <s v="Unknown"/>
    <s v="unknown"/>
    <s v="Ground"/>
    <s v="NA"/>
    <m/>
    <m/>
    <m/>
    <s v="NA"/>
    <s v="NA"/>
    <s v="NA"/>
    <s v="NA"/>
    <s v="NA"/>
    <s v="NA"/>
    <s v="NA"/>
    <s v="NA"/>
    <n v="0"/>
    <n v="0"/>
    <n v="0"/>
    <n v="0"/>
    <n v="54"/>
    <m/>
    <n v="54"/>
    <m/>
    <m/>
    <m/>
    <m/>
  </r>
  <r>
    <s v="DSCN3671"/>
    <s v="M4R0430_17"/>
    <n v="17"/>
    <n v="1"/>
    <s v="M4Roadside"/>
    <d v="2019-04-30T00:00:00"/>
    <s v="April"/>
    <x v="0"/>
    <d v="1899-12-30T00:26:00"/>
    <s v="Clear, full sun"/>
    <x v="15"/>
    <s v="Foraging"/>
    <s v="NA"/>
    <n v="1"/>
    <n v="0"/>
    <n v="0"/>
    <s v="Unknown"/>
    <s v="unknown"/>
    <s v="Ground"/>
    <s v="NA"/>
    <m/>
    <m/>
    <m/>
    <s v="NA"/>
    <s v="NA"/>
    <s v="NA"/>
    <s v="NA"/>
    <s v="NA"/>
    <s v="NA"/>
    <s v="NA"/>
    <s v="NA"/>
    <n v="0"/>
    <n v="0"/>
    <n v="0"/>
    <n v="0"/>
    <n v="26"/>
    <m/>
    <n v="26"/>
    <s v="Searching"/>
    <m/>
    <m/>
    <m/>
  </r>
  <r>
    <s v="DSCN3642"/>
    <s v="M4R0430_5"/>
    <n v="5"/>
    <n v="1"/>
    <s v="M4Roadside"/>
    <d v="2019-04-30T00:00:00"/>
    <s v="April"/>
    <x v="0"/>
    <d v="1899-12-30T01:12:00"/>
    <s v="Clear, full sun"/>
    <x v="15"/>
    <s v="Foraging"/>
    <s v="NA"/>
    <n v="2"/>
    <n v="0"/>
    <n v="0"/>
    <s v="Unknown"/>
    <s v="unknown"/>
    <s v="Ground"/>
    <s v="NA"/>
    <m/>
    <m/>
    <m/>
    <s v="NA"/>
    <s v="NA"/>
    <s v="NA"/>
    <s v="NA"/>
    <s v="NA"/>
    <s v="NA"/>
    <s v="NA"/>
    <s v="NA"/>
    <n v="0"/>
    <n v="0"/>
    <n v="0"/>
    <n v="0"/>
    <n v="24"/>
    <m/>
    <n v="24"/>
    <s v="Searching"/>
    <m/>
    <m/>
    <m/>
  </r>
  <r>
    <s v="DSCN3683"/>
    <s v="M4R0430_24"/>
    <n v="24"/>
    <n v="1"/>
    <s v="M4Roadside"/>
    <d v="2019-04-30T00:00:00"/>
    <s v="April"/>
    <x v="0"/>
    <d v="1899-12-30T01:55:00"/>
    <s v="Clear, full sun"/>
    <x v="15"/>
    <s v="Caching"/>
    <s v="Spruce"/>
    <n v="0"/>
    <n v="0"/>
    <n v="1"/>
    <s v="Insect"/>
    <s v="Insect (Black caterpiller)"/>
    <s v="NA"/>
    <s v="exterior spruce foliage "/>
    <s v="Spruce"/>
    <s v="Exterior"/>
    <s v="Foliage"/>
    <s v="S"/>
    <n v="175"/>
    <n v="12"/>
    <n v="63.720010000000002"/>
    <n v="148.98734999999999"/>
    <s v="NA"/>
    <s v="NA"/>
    <s v="NA"/>
    <n v="0"/>
    <n v="0"/>
    <n v="0"/>
    <n v="0"/>
    <n v="0"/>
    <m/>
    <n v="0"/>
    <m/>
    <s v="Deployed camera on cache site"/>
    <m/>
    <m/>
  </r>
  <r>
    <s v="DSCN3666"/>
    <s v="M4R0430_15"/>
    <n v="15"/>
    <n v="2"/>
    <s v="M4Roadside"/>
    <d v="2019-04-30T00:00:00"/>
    <s v="April"/>
    <x v="0"/>
    <d v="1899-12-30T03:42:00"/>
    <s v="Clear, full sun"/>
    <x v="15"/>
    <s v="Foraging"/>
    <s v="NA"/>
    <n v="1"/>
    <n v="0"/>
    <n v="1"/>
    <s v="Insect"/>
    <s v="Insect (caterpiller)"/>
    <s v="Ground"/>
    <s v="Exterior spruce branch"/>
    <s v="Spruce"/>
    <s v="Exterior"/>
    <s v="On branch"/>
    <s v="SW"/>
    <n v="220"/>
    <n v="4"/>
    <n v="63.720669999999998"/>
    <n v="148.98961"/>
    <s v="NA"/>
    <s v="NA"/>
    <s v="NA"/>
    <n v="0"/>
    <n v="0"/>
    <n v="0"/>
    <n v="0"/>
    <n v="168"/>
    <m/>
    <n v="168"/>
    <s v="Searching"/>
    <s v="Low cache, deployed "/>
    <m/>
    <m/>
  </r>
  <r>
    <s v="DSCN3681"/>
    <s v="M4R0430_22"/>
    <n v="22"/>
    <n v="1"/>
    <s v="M4Roadside"/>
    <d v="2019-04-30T00:00:00"/>
    <s v="April"/>
    <x v="0"/>
    <d v="1899-12-30T00:35:00"/>
    <s v="Clear, full sun"/>
    <x v="15"/>
    <s v="Food handling"/>
    <s v="NA"/>
    <n v="1"/>
    <n v="0"/>
    <n v="0"/>
    <s v="Insect"/>
    <s v="Insect (Black caterpiller)"/>
    <s v="Ground"/>
    <s v="NA"/>
    <m/>
    <m/>
    <m/>
    <s v="NA"/>
    <s v="NA"/>
    <s v="NA"/>
    <s v="NA"/>
    <s v="NA"/>
    <s v="NA"/>
    <s v="NA"/>
    <s v="NA"/>
    <n v="0"/>
    <n v="0"/>
    <n v="0"/>
    <n v="0"/>
    <n v="0"/>
    <m/>
    <n v="0"/>
    <m/>
    <s v="Missed initial acquisition"/>
    <m/>
    <m/>
  </r>
  <r>
    <s v="DSCN3642"/>
    <s v="M4R0430_5"/>
    <n v="5"/>
    <n v="2"/>
    <s v="M4Roadside"/>
    <d v="2019-04-30T00:00:00"/>
    <s v="April"/>
    <x v="0"/>
    <d v="1899-12-30T01:12:00"/>
    <s v="Clear, full sun"/>
    <x v="15"/>
    <s v="Foraging"/>
    <s v="NA"/>
    <n v="1"/>
    <n v="0"/>
    <n v="0"/>
    <s v="Berry"/>
    <s v="Berry"/>
    <s v="Ground"/>
    <s v="NA"/>
    <m/>
    <m/>
    <m/>
    <s v="NA"/>
    <s v="NA"/>
    <s v="NA"/>
    <s v="NA"/>
    <s v="NA"/>
    <s v="NA"/>
    <s v="NA"/>
    <s v="NA"/>
    <n v="0"/>
    <n v="0"/>
    <n v="0"/>
    <n v="0"/>
    <n v="24"/>
    <m/>
    <n v="24"/>
    <s v="Searching"/>
    <m/>
    <m/>
    <m/>
  </r>
  <r>
    <s v="DSCN3663"/>
    <s v="M4R0430_13"/>
    <n v="13"/>
    <n v="1"/>
    <s v="M4Roadside"/>
    <d v="2019-04-30T00:00:00"/>
    <s v="April"/>
    <x v="0"/>
    <d v="1899-12-30T00:06:00"/>
    <s v="Clear, full sun"/>
    <x v="15"/>
    <s v="Foraging"/>
    <s v="NA"/>
    <n v="0"/>
    <n v="0"/>
    <n v="0"/>
    <m/>
    <s v="NA"/>
    <s v="NA"/>
    <s v="NA"/>
    <m/>
    <m/>
    <m/>
    <s v="NA"/>
    <s v="NA"/>
    <s v="NA"/>
    <s v="NA"/>
    <s v="NA"/>
    <s v="NA"/>
    <s v="NA"/>
    <s v="NA"/>
    <n v="0"/>
    <n v="0"/>
    <n v="0"/>
    <n v="0"/>
    <n v="6"/>
    <m/>
    <n v="6"/>
    <s v="Searching"/>
    <m/>
    <m/>
    <m/>
  </r>
  <r>
    <s v="DSCN3682"/>
    <s v="M4R0430_23"/>
    <n v="23"/>
    <n v="1"/>
    <s v="M4Roadside"/>
    <d v="2019-04-30T00:00:00"/>
    <s v="April"/>
    <x v="0"/>
    <d v="1899-12-30T00:24:00"/>
    <s v="Clear, full sun"/>
    <x v="15"/>
    <s v="Food handling"/>
    <s v="NA"/>
    <n v="0"/>
    <n v="0"/>
    <n v="0"/>
    <s v="Insect"/>
    <s v="Insect (Black caterpiller)"/>
    <s v="NA"/>
    <s v="NA"/>
    <m/>
    <m/>
    <m/>
    <s v="NA"/>
    <s v="NA"/>
    <s v="NA"/>
    <s v="NA"/>
    <s v="NA"/>
    <s v="NA"/>
    <s v="NA"/>
    <s v="NA"/>
    <n v="0"/>
    <n v="0"/>
    <n v="0"/>
    <n v="0"/>
    <n v="0"/>
    <m/>
    <n v="0"/>
    <m/>
    <s v="processing caterpiller from previous video."/>
    <m/>
    <m/>
  </r>
  <r>
    <s v="DSCN3640"/>
    <s v="M4R0430_3"/>
    <n v="3"/>
    <n v="1"/>
    <s v="M4Roadside"/>
    <d v="2019-04-30T00:00:00"/>
    <s v="April"/>
    <x v="0"/>
    <d v="1899-12-30T00:29:00"/>
    <s v="Clear, full sun"/>
    <x v="15"/>
    <s v="Foraging"/>
    <s v="NA"/>
    <n v="0"/>
    <n v="0"/>
    <n v="0"/>
    <m/>
    <s v="NA"/>
    <s v="NA"/>
    <s v="NA"/>
    <m/>
    <m/>
    <m/>
    <s v="NA"/>
    <s v="NA"/>
    <s v="NA"/>
    <s v="NA"/>
    <s v="NA"/>
    <s v="NA"/>
    <s v="NA"/>
    <s v="NA"/>
    <n v="0"/>
    <n v="0"/>
    <n v="0"/>
    <n v="0"/>
    <n v="29"/>
    <m/>
    <n v="29"/>
    <s v="Searching"/>
    <m/>
    <m/>
    <m/>
  </r>
  <r>
    <s v="DSCN3641"/>
    <s v="M4R0430_4"/>
    <n v="4"/>
    <n v="1"/>
    <s v="M4Roadside"/>
    <d v="2019-04-30T00:00:00"/>
    <s v="April"/>
    <x v="0"/>
    <d v="1899-12-30T00:21:00"/>
    <s v="Clear, full sun"/>
    <x v="15"/>
    <s v="Foraging"/>
    <s v="NA"/>
    <n v="0"/>
    <n v="0"/>
    <n v="0"/>
    <m/>
    <s v="NA"/>
    <s v="NA"/>
    <s v="NA"/>
    <m/>
    <m/>
    <m/>
    <s v="NA"/>
    <s v="NA"/>
    <s v="NA"/>
    <s v="NA"/>
    <s v="NA"/>
    <s v="NA"/>
    <s v="NA"/>
    <s v="NA"/>
    <n v="0"/>
    <n v="0"/>
    <n v="0"/>
    <n v="0"/>
    <n v="21"/>
    <m/>
    <n v="21"/>
    <s v="Searching"/>
    <m/>
    <m/>
    <m/>
  </r>
  <r>
    <s v="DSCN3646"/>
    <s v="M4R0430_7"/>
    <n v="7"/>
    <n v="1"/>
    <s v="M4Roadside"/>
    <d v="2019-04-30T00:00:00"/>
    <s v="April"/>
    <x v="0"/>
    <d v="1899-12-30T00:29:00"/>
    <s v="Clear, full sun"/>
    <x v="15"/>
    <s v="Foraging"/>
    <s v="NA"/>
    <n v="0"/>
    <n v="0"/>
    <n v="0"/>
    <m/>
    <s v="NA"/>
    <s v="NA"/>
    <s v="NA"/>
    <m/>
    <m/>
    <m/>
    <s v="NA"/>
    <s v="NA"/>
    <s v="NA"/>
    <s v="NA"/>
    <s v="NA"/>
    <s v="NA"/>
    <s v="NA"/>
    <s v="NA"/>
    <n v="0"/>
    <n v="0"/>
    <n v="0"/>
    <n v="0"/>
    <n v="29"/>
    <m/>
    <n v="29"/>
    <s v="Searching"/>
    <m/>
    <m/>
    <m/>
  </r>
  <r>
    <s v="DSCN3647"/>
    <s v="M4R0430_8"/>
    <n v="8"/>
    <n v="1"/>
    <s v="M4Roadside"/>
    <d v="2019-04-30T00:00:00"/>
    <s v="April"/>
    <x v="0"/>
    <d v="1899-12-30T01:01:00"/>
    <s v="Clear, full sun"/>
    <x v="15"/>
    <s v="Foraging"/>
    <s v="NA"/>
    <n v="0"/>
    <n v="0"/>
    <n v="0"/>
    <m/>
    <s v="NA"/>
    <s v="NA"/>
    <s v="NA"/>
    <m/>
    <m/>
    <m/>
    <s v="NA"/>
    <s v="NA"/>
    <s v="NA"/>
    <s v="NA"/>
    <s v="NA"/>
    <s v="NA"/>
    <s v="NA"/>
    <s v="NA"/>
    <n v="0"/>
    <n v="0"/>
    <n v="0"/>
    <n v="0"/>
    <n v="58"/>
    <m/>
    <n v="58"/>
    <s v="Searching"/>
    <m/>
    <m/>
    <m/>
  </r>
  <r>
    <s v="DSCN3209"/>
    <s v="M4R0417_1"/>
    <n v="1"/>
    <n v="1"/>
    <s v="M4Roadside"/>
    <d v="2019-04-17T00:00:00"/>
    <s v="April"/>
    <x v="0"/>
    <d v="1899-12-30T00:48:00"/>
    <s v="Overcast, light snow"/>
    <x v="15"/>
    <s v="Foraging"/>
    <s v="Spruce"/>
    <s v="unknown"/>
    <s v="unknown"/>
    <n v="0"/>
    <m/>
    <s v="NA"/>
    <s v="NA"/>
    <s v="NA"/>
    <m/>
    <m/>
    <m/>
    <s v="NA"/>
    <s v="NA"/>
    <s v="NA"/>
    <s v="NA"/>
    <s v="NA"/>
    <s v="NA"/>
    <s v="NA"/>
    <m/>
    <n v="14"/>
    <n v="24"/>
    <n v="14"/>
    <n v="24"/>
    <n v="0"/>
    <m/>
    <n v="38"/>
    <s v="Probing"/>
    <m/>
    <n v="8"/>
    <n v="0"/>
  </r>
  <r>
    <s v="DSCN3231"/>
    <s v="M4R0417_13"/>
    <n v="13"/>
    <n v="1"/>
    <s v="M4Roadside"/>
    <d v="2019-04-17T00:00:00"/>
    <s v="April"/>
    <x v="0"/>
    <d v="1899-12-30T01:09:00"/>
    <s v="Overcast, light snow"/>
    <x v="15"/>
    <s v="Foraging"/>
    <s v="Spruce"/>
    <s v="unknown"/>
    <s v="unknown"/>
    <n v="0"/>
    <m/>
    <s v="NA"/>
    <s v="NA"/>
    <s v="NA"/>
    <m/>
    <m/>
    <m/>
    <s v="NA"/>
    <s v="NA"/>
    <s v="NA"/>
    <s v="NA"/>
    <s v="NA"/>
    <s v="NA"/>
    <s v="NA"/>
    <m/>
    <n v="46"/>
    <n v="15"/>
    <n v="46"/>
    <n v="15"/>
    <n v="0"/>
    <m/>
    <n v="61"/>
    <m/>
    <m/>
    <m/>
    <m/>
  </r>
  <r>
    <s v="DSCN3232"/>
    <s v="M4R0417_14"/>
    <n v="14"/>
    <n v="1"/>
    <s v="M4Roadside"/>
    <d v="2019-04-17T00:00:00"/>
    <s v="April"/>
    <x v="0"/>
    <d v="1899-12-30T01:34:00"/>
    <s v="Overcast, light snow"/>
    <x v="15"/>
    <s v="Foraging"/>
    <s v="Spruce"/>
    <s v="unknown"/>
    <s v="unknown"/>
    <n v="0"/>
    <m/>
    <s v="NA"/>
    <s v="NA"/>
    <s v="NA"/>
    <m/>
    <m/>
    <m/>
    <s v="NA"/>
    <s v="NA"/>
    <s v="NA"/>
    <s v="NA"/>
    <s v="NA"/>
    <s v="NA"/>
    <s v="NA"/>
    <m/>
    <n v="77"/>
    <n v="0"/>
    <n v="77"/>
    <n v="0"/>
    <n v="17"/>
    <m/>
    <n v="94"/>
    <s v="Searching"/>
    <m/>
    <m/>
    <m/>
  </r>
  <r>
    <s v="DSCN3210"/>
    <s v="M4R0417_2"/>
    <n v="2"/>
    <n v="1"/>
    <s v="M4Roadside"/>
    <d v="2019-04-17T00:00:00"/>
    <s v="April"/>
    <x v="0"/>
    <d v="1899-12-30T00:37:00"/>
    <s v="Overcast, light snow"/>
    <x v="15"/>
    <s v="Foraging"/>
    <s v="Spruce"/>
    <s v="unknown"/>
    <s v="unknown"/>
    <n v="0"/>
    <m/>
    <s v="NA"/>
    <s v="NA"/>
    <s v="NA"/>
    <m/>
    <m/>
    <m/>
    <s v="NA"/>
    <s v="NA"/>
    <s v="NA"/>
    <s v="NA"/>
    <s v="NA"/>
    <s v="NA"/>
    <s v="NA"/>
    <m/>
    <n v="26"/>
    <n v="0"/>
    <n v="26"/>
    <n v="0"/>
    <n v="0"/>
    <m/>
    <n v="26"/>
    <s v="Probing"/>
    <m/>
    <n v="4"/>
    <n v="0"/>
  </r>
  <r>
    <s v="DSCN3220"/>
    <s v="M4R0417_4"/>
    <n v="4"/>
    <n v="1"/>
    <s v="M4Roadside"/>
    <d v="2019-04-17T00:00:00"/>
    <s v="April"/>
    <x v="0"/>
    <d v="1899-12-30T00:20:00"/>
    <s v="Overcast, light snow"/>
    <x v="15"/>
    <s v="Foraging"/>
    <s v="NA"/>
    <s v="unknown"/>
    <n v="0"/>
    <n v="0"/>
    <m/>
    <s v="NA"/>
    <s v="NA"/>
    <s v="NA"/>
    <m/>
    <m/>
    <m/>
    <s v="NA"/>
    <s v="NA"/>
    <s v="NA"/>
    <s v="NA"/>
    <s v="NA"/>
    <s v="NA"/>
    <s v="NA"/>
    <m/>
    <n v="0"/>
    <n v="0"/>
    <n v="0"/>
    <n v="0"/>
    <n v="20"/>
    <m/>
    <n v="20"/>
    <m/>
    <m/>
    <m/>
    <m/>
  </r>
  <r>
    <s v="DSCN3340"/>
    <s v="M4R0419_3"/>
    <n v="3"/>
    <n v="1"/>
    <s v="M4Roadside"/>
    <d v="2019-04-19T00:00:00"/>
    <s v="April"/>
    <x v="0"/>
    <d v="1899-12-30T00:15:00"/>
    <s v="Partly cloudy"/>
    <x v="15"/>
    <s v="Foraging"/>
    <s v="Spruce"/>
    <s v="unknown"/>
    <s v="unknown"/>
    <n v="0"/>
    <m/>
    <s v="NA"/>
    <s v="NA"/>
    <s v="NA"/>
    <m/>
    <m/>
    <m/>
    <s v="NA"/>
    <s v="NA"/>
    <s v="NA"/>
    <s v="NA"/>
    <s v="NA"/>
    <s v="NA"/>
    <s v="NA"/>
    <s v="NA"/>
    <n v="0"/>
    <n v="15"/>
    <n v="15"/>
    <n v="0"/>
    <n v="0"/>
    <m/>
    <n v="15"/>
    <s v="Searching"/>
    <m/>
    <m/>
    <m/>
  </r>
  <r>
    <s v="DSCN3637"/>
    <s v="M4R0430_1"/>
    <n v="1"/>
    <n v="1"/>
    <s v="M4Roadside"/>
    <d v="2019-04-30T00:00:00"/>
    <s v="April"/>
    <x v="0"/>
    <d v="1899-12-30T00:12:00"/>
    <s v="Clear, full sun"/>
    <x v="15"/>
    <s v="Foraging"/>
    <s v="NA"/>
    <s v="unknown"/>
    <n v="0"/>
    <n v="0"/>
    <m/>
    <s v="NA"/>
    <s v="NA"/>
    <s v="NA"/>
    <m/>
    <m/>
    <m/>
    <s v="NA"/>
    <s v="NA"/>
    <s v="NA"/>
    <s v="NA"/>
    <s v="NA"/>
    <s v="NA"/>
    <s v="NA"/>
    <s v="NA"/>
    <n v="0"/>
    <n v="0"/>
    <n v="0"/>
    <n v="0"/>
    <n v="12"/>
    <m/>
    <n v="12"/>
    <s v="Searching"/>
    <m/>
    <m/>
    <m/>
  </r>
  <r>
    <s v="DSCN3664"/>
    <s v="M4R0430_14"/>
    <n v="14"/>
    <n v="1"/>
    <s v="M4Roadside"/>
    <d v="2019-04-30T00:00:00"/>
    <s v="April"/>
    <x v="0"/>
    <d v="1899-12-30T01:01:00"/>
    <s v="Clear, full sun"/>
    <x v="15"/>
    <s v="Foraging"/>
    <s v="NA"/>
    <s v="unknown"/>
    <n v="0"/>
    <n v="0"/>
    <m/>
    <s v="NA"/>
    <s v="NA"/>
    <s v="NA"/>
    <m/>
    <m/>
    <m/>
    <s v="NA"/>
    <s v="NA"/>
    <s v="NA"/>
    <s v="NA"/>
    <s v="NA"/>
    <s v="NA"/>
    <s v="NA"/>
    <s v="NA"/>
    <n v="0"/>
    <n v="0"/>
    <n v="0"/>
    <n v="0"/>
    <n v="61"/>
    <m/>
    <n v="61"/>
    <s v="Searching"/>
    <m/>
    <m/>
    <m/>
  </r>
  <r>
    <s v="DSCN3668"/>
    <s v="M4R0430_16"/>
    <n v="16"/>
    <n v="1"/>
    <s v="M4Roadside"/>
    <d v="2019-04-30T00:00:00"/>
    <s v="April"/>
    <x v="0"/>
    <d v="1899-12-30T00:14:00"/>
    <s v="Clear, full sun"/>
    <x v="15"/>
    <s v="Foraging"/>
    <s v="Spruce"/>
    <s v="unknown"/>
    <n v="0"/>
    <n v="0"/>
    <m/>
    <s v="NA"/>
    <s v="NA"/>
    <s v="NA"/>
    <m/>
    <m/>
    <m/>
    <s v="NA"/>
    <s v="NA"/>
    <s v="NA"/>
    <s v="NA"/>
    <s v="NA"/>
    <s v="NA"/>
    <s v="NA"/>
    <s v="NA"/>
    <n v="0"/>
    <n v="14"/>
    <n v="0"/>
    <n v="14"/>
    <n v="0"/>
    <m/>
    <n v="14"/>
    <s v="Fly catching"/>
    <s v="I realized later that what he was doing was flycatching. "/>
    <m/>
    <m/>
  </r>
  <r>
    <s v="DSCN3672"/>
    <s v="M4R0430_18"/>
    <n v="18"/>
    <n v="1"/>
    <s v="M4Roadside"/>
    <d v="2019-04-30T00:00:00"/>
    <s v="April"/>
    <x v="0"/>
    <d v="1899-12-30T00:25:00"/>
    <s v="Clear, full sun"/>
    <x v="15"/>
    <s v="Foraging"/>
    <s v="NA"/>
    <s v="unknown"/>
    <n v="0"/>
    <n v="0"/>
    <m/>
    <s v="NA"/>
    <s v="NA"/>
    <s v="NA"/>
    <m/>
    <m/>
    <m/>
    <s v="NA"/>
    <s v="NA"/>
    <s v="NA"/>
    <s v="NA"/>
    <s v="NA"/>
    <s v="NA"/>
    <s v="NA"/>
    <s v="NA"/>
    <n v="0"/>
    <n v="0"/>
    <n v="0"/>
    <n v="0"/>
    <n v="25"/>
    <m/>
    <n v="25"/>
    <s v="Searching"/>
    <m/>
    <m/>
    <m/>
  </r>
  <r>
    <s v="DSCN3673"/>
    <s v="M4R0430_19"/>
    <n v="19"/>
    <n v="1"/>
    <s v="M4Roadside"/>
    <d v="2019-04-30T00:00:00"/>
    <s v="April"/>
    <x v="0"/>
    <d v="1899-12-30T00:08:00"/>
    <s v="Clear, full sun"/>
    <x v="15"/>
    <s v="Foraging"/>
    <s v="NA"/>
    <s v="unknown"/>
    <n v="0"/>
    <n v="0"/>
    <m/>
    <s v="NA"/>
    <s v="NA"/>
    <s v="NA"/>
    <m/>
    <m/>
    <m/>
    <s v="NA"/>
    <s v="NA"/>
    <s v="NA"/>
    <s v="NA"/>
    <s v="NA"/>
    <s v="NA"/>
    <s v="NA"/>
    <s v="NA"/>
    <n v="0"/>
    <n v="0"/>
    <n v="0"/>
    <n v="0"/>
    <n v="8"/>
    <m/>
    <n v="8"/>
    <s v="Searching"/>
    <m/>
    <m/>
    <m/>
  </r>
  <r>
    <s v="DSCN3638"/>
    <s v="M4R0430_2"/>
    <n v="2"/>
    <n v="1"/>
    <s v="M4Roadside"/>
    <d v="2019-04-30T00:00:00"/>
    <s v="April"/>
    <x v="0"/>
    <d v="1899-12-30T00:58:00"/>
    <s v="Clear, full sun"/>
    <x v="15"/>
    <s v="Foraging"/>
    <s v="NA"/>
    <s v="unknown"/>
    <n v="0"/>
    <n v="0"/>
    <m/>
    <s v="NA"/>
    <s v="NA"/>
    <s v="NA"/>
    <m/>
    <m/>
    <m/>
    <s v="NA"/>
    <s v="NA"/>
    <s v="NA"/>
    <s v="NA"/>
    <s v="NA"/>
    <s v="NA"/>
    <s v="NA"/>
    <s v="NA"/>
    <n v="0"/>
    <n v="0"/>
    <n v="0"/>
    <n v="0"/>
    <n v="58"/>
    <m/>
    <n v="58"/>
    <s v="Searching"/>
    <m/>
    <m/>
    <m/>
  </r>
  <r>
    <s v="DSCN3678"/>
    <s v="M4R0430_20"/>
    <n v="20"/>
    <n v="1"/>
    <s v="M4Roadside"/>
    <d v="2019-04-30T00:00:00"/>
    <s v="April"/>
    <x v="0"/>
    <d v="1899-12-30T00:11:00"/>
    <s v="Clear, full sun"/>
    <x v="15"/>
    <s v="Foraging"/>
    <s v="Spruce"/>
    <s v="unknown"/>
    <n v="0"/>
    <n v="0"/>
    <m/>
    <s v="NA"/>
    <s v="NA"/>
    <s v="NA"/>
    <m/>
    <m/>
    <m/>
    <s v="NA"/>
    <s v="NA"/>
    <s v="NA"/>
    <s v="NA"/>
    <s v="NA"/>
    <s v="NA"/>
    <s v="NA"/>
    <s v="NA"/>
    <n v="0"/>
    <n v="9"/>
    <n v="0"/>
    <n v="9"/>
    <n v="0"/>
    <m/>
    <n v="9"/>
    <s v="Fly catching"/>
    <m/>
    <m/>
    <m/>
  </r>
  <r>
    <s v="DSCN2844"/>
    <s v="M2370403_10"/>
    <n v="10"/>
    <n v="1"/>
    <s v="Mile 237"/>
    <d v="2019-04-03T00:00:00"/>
    <s v="April"/>
    <x v="0"/>
    <d v="1899-12-30T01:04:00"/>
    <m/>
    <x v="16"/>
    <s v="Foraging"/>
    <s v="Spruc, Aspen"/>
    <n v="1"/>
    <s v="unknown"/>
    <n v="0"/>
    <s v="Unknown"/>
    <s v="unknown"/>
    <s v="Exterior aspen branch"/>
    <s v="NA"/>
    <m/>
    <m/>
    <m/>
    <s v="NA"/>
    <s v="NA"/>
    <s v="NA"/>
    <s v="NA"/>
    <s v="NA"/>
    <s v="NA"/>
    <s v="NA"/>
    <m/>
    <n v="30"/>
    <n v="0"/>
    <n v="0"/>
    <n v="30"/>
    <n v="0"/>
    <m/>
    <n v="30"/>
    <s v="Searching"/>
    <m/>
    <m/>
    <m/>
  </r>
  <r>
    <s v="DSCN2841"/>
    <s v="M230403_9"/>
    <n v="9"/>
    <n v="1"/>
    <s v="Mile 237"/>
    <d v="2019-04-03T00:00:00"/>
    <s v="April"/>
    <x v="0"/>
    <d v="1899-12-30T00:20:00"/>
    <m/>
    <x v="16"/>
    <s v="Foraging"/>
    <s v="Spruce"/>
    <n v="1"/>
    <s v="unknown"/>
    <n v="0"/>
    <s v="Unknown"/>
    <s v="unknown"/>
    <s v="Exterior bare spruce branch"/>
    <s v="NA"/>
    <m/>
    <m/>
    <m/>
    <s v="NA"/>
    <s v="NA"/>
    <s v="NA"/>
    <s v="NA"/>
    <s v="NA"/>
    <s v="NA"/>
    <s v="NA"/>
    <m/>
    <n v="6"/>
    <n v="0"/>
    <n v="0"/>
    <n v="6"/>
    <n v="0"/>
    <m/>
    <n v="6"/>
    <s v="Searching"/>
    <m/>
    <m/>
    <m/>
  </r>
  <r>
    <s v="DSCN2819"/>
    <s v="M2370403_1"/>
    <n v="1"/>
    <n v="1"/>
    <s v="Mile 237"/>
    <d v="2019-04-03T00:00:00"/>
    <s v="April"/>
    <x v="0"/>
    <d v="1899-12-30T00:54:00"/>
    <m/>
    <x v="16"/>
    <s v="Food handling/Foraging"/>
    <s v="Spruce"/>
    <n v="1"/>
    <s v="unknown"/>
    <n v="0"/>
    <s v="Unknown"/>
    <s v="unknown"/>
    <s v="Exterior bare spruce branch"/>
    <s v="NA"/>
    <m/>
    <m/>
    <m/>
    <s v="NA"/>
    <s v="NA"/>
    <s v="NA"/>
    <s v="NA"/>
    <s v="NA"/>
    <s v="NA"/>
    <s v="NA"/>
    <m/>
    <n v="25"/>
    <n v="0"/>
    <n v="0"/>
    <n v="25"/>
    <n v="0"/>
    <m/>
    <n v="25"/>
    <s v="Searching"/>
    <m/>
    <m/>
    <m/>
  </r>
  <r>
    <s v="DSCN2852"/>
    <s v="M2370403_18"/>
    <n v="18"/>
    <n v="1"/>
    <s v="Mile 237"/>
    <d v="2019-04-03T00:00:00"/>
    <s v="April"/>
    <x v="0"/>
    <d v="1899-12-30T00:16:00"/>
    <m/>
    <x v="16"/>
    <s v="Foraging"/>
    <s v="Spruce"/>
    <n v="1"/>
    <n v="1"/>
    <n v="0"/>
    <s v="Unknown"/>
    <s v="unknown"/>
    <s v="Exterior spruce branch stuck to witch hair"/>
    <s v="NA"/>
    <m/>
    <m/>
    <m/>
    <s v="NA"/>
    <s v="NA"/>
    <s v="NA"/>
    <s v="NA"/>
    <s v="NA"/>
    <s v="DID NOT COLLECT"/>
    <s v="DID NOT COLLECT"/>
    <m/>
    <n v="13"/>
    <n v="0"/>
    <n v="0"/>
    <n v="13"/>
    <n v="0"/>
    <m/>
    <n v="13"/>
    <s v="Searching"/>
    <m/>
    <m/>
    <m/>
  </r>
  <r>
    <s v="DSCN2845"/>
    <s v="M2370403_11"/>
    <n v="11"/>
    <n v="1"/>
    <s v="Mile 237"/>
    <d v="2019-04-03T00:00:00"/>
    <s v="April"/>
    <x v="0"/>
    <d v="1899-12-30T01:48:00"/>
    <m/>
    <x v="16"/>
    <s v="Foraging"/>
    <s v="Spruce"/>
    <n v="1"/>
    <s v="unknown"/>
    <n v="0"/>
    <s v="Unknown"/>
    <s v="unknown"/>
    <s v="Exterior spruce branch under bark"/>
    <s v="NA"/>
    <m/>
    <m/>
    <m/>
    <s v="NA"/>
    <s v="NA"/>
    <s v="NA"/>
    <s v="NA"/>
    <s v="NA"/>
    <s v="NA"/>
    <s v="NA"/>
    <m/>
    <n v="13"/>
    <n v="28"/>
    <n v="13"/>
    <n v="28"/>
    <n v="0"/>
    <m/>
    <n v="41"/>
    <s v="Searching/probing"/>
    <s v="By editing the video and lightening up the brightness I could see that it did not make a chase B&amp;Ut rather aquired food.  "/>
    <n v="2"/>
    <n v="0"/>
  </r>
  <r>
    <s v="DSCN2849"/>
    <s v="M2370403_15"/>
    <n v="15"/>
    <n v="1"/>
    <s v="Mile 237"/>
    <d v="2019-04-03T00:00:00"/>
    <s v="April"/>
    <x v="0"/>
    <d v="1899-12-30T01:28:00"/>
    <m/>
    <x v="16"/>
    <s v="Foraging"/>
    <s v="Spruce"/>
    <n v="1"/>
    <n v="1"/>
    <n v="0"/>
    <s v="Unknown"/>
    <s v="unknown"/>
    <s v="Interior bare spruce branch on witch hair"/>
    <m/>
    <m/>
    <m/>
    <m/>
    <s v="NA"/>
    <s v="NA"/>
    <s v="NA"/>
    <s v="NA"/>
    <s v="NA"/>
    <n v="63.72354"/>
    <n v="148.88695000000001"/>
    <m/>
    <n v="75"/>
    <n v="0"/>
    <n v="75"/>
    <n v="0"/>
    <n v="0"/>
    <m/>
    <n v="75"/>
    <s v="Searching/probing"/>
    <s v="Maybe insect?  Or plant B&amp;Ud?"/>
    <n v="8"/>
    <n v="0"/>
  </r>
  <r>
    <s v="DSCN2835"/>
    <s v="M2370403_4"/>
    <n v="4"/>
    <n v="1"/>
    <s v="Mile 237"/>
    <d v="2019-04-03T00:00:00"/>
    <s v="April"/>
    <x v="0"/>
    <d v="1899-12-30T00:37:00"/>
    <m/>
    <x v="16"/>
    <s v="Foraging"/>
    <s v="Spruce"/>
    <n v="1"/>
    <s v="unknown"/>
    <n v="0"/>
    <s v="Unknown"/>
    <s v="unknown"/>
    <s v="Interior spruce branch bare bark"/>
    <s v="NA"/>
    <m/>
    <m/>
    <m/>
    <s v="NA"/>
    <s v="NA"/>
    <s v="NA"/>
    <s v="NA"/>
    <s v="NA"/>
    <s v="NA"/>
    <s v="NA"/>
    <m/>
    <n v="13"/>
    <n v="0"/>
    <n v="0"/>
    <n v="13"/>
    <n v="0"/>
    <m/>
    <n v="13"/>
    <s v="Searching"/>
    <m/>
    <m/>
    <m/>
  </r>
  <r>
    <s v="DSCN2837"/>
    <s v="M2370403_6"/>
    <n v="6"/>
    <n v="1"/>
    <s v="Mile 237"/>
    <d v="2019-04-03T00:00:00"/>
    <s v="April"/>
    <x v="0"/>
    <d v="1899-12-30T00:38:00"/>
    <m/>
    <x v="16"/>
    <s v="Foraging"/>
    <s v="Spruce"/>
    <n v="1"/>
    <s v="unknown"/>
    <n v="0"/>
    <s v="Unknown"/>
    <s v="unknown"/>
    <s v="uknown"/>
    <s v="NA"/>
    <m/>
    <m/>
    <m/>
    <s v="NA"/>
    <s v="NA"/>
    <s v="NA"/>
    <s v="NA"/>
    <s v="NA"/>
    <s v="NA"/>
    <s v="NA"/>
    <m/>
    <n v="13"/>
    <n v="0"/>
    <n v="0"/>
    <n v="13"/>
    <n v="0"/>
    <m/>
    <n v="13"/>
    <s v="Searching"/>
    <m/>
    <m/>
    <m/>
  </r>
  <r>
    <s v="DSCN2849"/>
    <s v="M2370403_15"/>
    <n v="15"/>
    <n v="1"/>
    <s v="Mile 237"/>
    <d v="2019-04-03T00:00:00"/>
    <s v="April"/>
    <x v="0"/>
    <d v="1899-12-30T01:28:00"/>
    <m/>
    <x v="16"/>
    <s v="Foraging"/>
    <s v="Spruce"/>
    <n v="1"/>
    <n v="1"/>
    <n v="0"/>
    <s v="Unknown"/>
    <s v="unknown"/>
    <s v="Under bark of spruce trunk"/>
    <s v="NA"/>
    <m/>
    <m/>
    <m/>
    <s v="NA"/>
    <s v="NA"/>
    <s v="NA"/>
    <s v="NA"/>
    <s v="NA"/>
    <n v="63.72354"/>
    <n v="148.88695000000001"/>
    <m/>
    <n v="75"/>
    <n v="0"/>
    <n v="75"/>
    <n v="0"/>
    <n v="0"/>
    <m/>
    <n v="75"/>
    <s v="Searching/probing"/>
    <s v="Recovers at least three items from the first cache. Maybe dried berries? Tough to say."/>
    <n v="8"/>
    <n v="0"/>
  </r>
  <r>
    <s v="DSCN2850"/>
    <s v="M2370403_16"/>
    <n v="16"/>
    <n v="1"/>
    <s v="Mile 237"/>
    <d v="2019-04-03T00:00:00"/>
    <s v="April"/>
    <x v="0"/>
    <d v="1899-12-30T00:16:00"/>
    <m/>
    <x v="16"/>
    <s v="Foraging"/>
    <s v="Spruce"/>
    <n v="1"/>
    <s v="unknown"/>
    <n v="0"/>
    <s v="Unknown"/>
    <s v="unknown"/>
    <s v="Under bark of spruce trunk"/>
    <s v="NA"/>
    <m/>
    <m/>
    <m/>
    <s v="NA"/>
    <s v="NA"/>
    <s v="NA"/>
    <s v="NA"/>
    <s v="NA"/>
    <s v="NA"/>
    <s v="NA"/>
    <m/>
    <n v="0"/>
    <n v="0"/>
    <n v="0"/>
    <n v="0"/>
    <n v="0"/>
    <m/>
    <n v="0"/>
    <m/>
    <s v="Missed acquisition"/>
    <m/>
    <m/>
  </r>
  <r>
    <s v="DSCN2839"/>
    <s v="M2370403_8"/>
    <n v="8"/>
    <n v="1"/>
    <s v="Mile 237"/>
    <d v="2019-04-03T00:00:00"/>
    <s v="April"/>
    <x v="0"/>
    <d v="1899-12-30T01:04:00"/>
    <m/>
    <x v="16"/>
    <s v="Foraging"/>
    <s v="Spruce"/>
    <n v="2"/>
    <n v="1"/>
    <n v="0"/>
    <s v="Unknown"/>
    <s v="unknown"/>
    <s v="Exterior bare spruce branch"/>
    <s v="NA"/>
    <m/>
    <m/>
    <m/>
    <s v="NA"/>
    <s v="NA"/>
    <s v="NA"/>
    <s v="NA"/>
    <s v="NA"/>
    <n v="63.723619999999997"/>
    <n v="148.88756000000001"/>
    <m/>
    <n v="38"/>
    <n v="0"/>
    <n v="0"/>
    <n v="38"/>
    <n v="0"/>
    <m/>
    <n v="38"/>
    <s v="Searching/probing"/>
    <m/>
    <n v="2"/>
    <n v="0"/>
  </r>
  <r>
    <s v="DSCN2846"/>
    <s v="M2370403_12"/>
    <n v="12"/>
    <n v="1"/>
    <s v="Mile 237"/>
    <d v="2019-04-03T00:00:00"/>
    <s v="April"/>
    <x v="0"/>
    <d v="1899-12-30T00:13:00"/>
    <m/>
    <x v="16"/>
    <s v="Foraging"/>
    <s v="Spruce"/>
    <n v="0"/>
    <n v="0"/>
    <n v="0"/>
    <m/>
    <s v="NA"/>
    <s v="NA"/>
    <s v="NA"/>
    <m/>
    <m/>
    <m/>
    <s v="NA"/>
    <s v="NA"/>
    <s v="NA"/>
    <s v="NA"/>
    <s v="NA"/>
    <s v="NA"/>
    <s v="NA"/>
    <m/>
    <n v="11"/>
    <n v="0"/>
    <n v="5"/>
    <n v="6"/>
    <n v="0"/>
    <m/>
    <n v="11"/>
    <s v="Searching"/>
    <m/>
    <m/>
    <m/>
  </r>
  <r>
    <s v="DSCN2851"/>
    <s v="M2370403_17"/>
    <n v="17"/>
    <n v="1"/>
    <s v="Mile 237"/>
    <d v="2019-04-03T00:00:00"/>
    <s v="April"/>
    <x v="0"/>
    <d v="1899-12-30T00:23:00"/>
    <m/>
    <x v="16"/>
    <s v="Foraging"/>
    <s v="Spruce"/>
    <n v="0"/>
    <n v="0"/>
    <n v="0"/>
    <m/>
    <s v="NA"/>
    <s v="NA"/>
    <s v="NA"/>
    <m/>
    <m/>
    <m/>
    <s v="NA"/>
    <s v="NA"/>
    <s v="NA"/>
    <s v="NA"/>
    <s v="NA"/>
    <s v="NA"/>
    <s v="NA"/>
    <m/>
    <n v="23"/>
    <n v="0"/>
    <n v="23"/>
    <n v="0"/>
    <n v="0"/>
    <m/>
    <n v="23"/>
    <s v="Searching"/>
    <m/>
    <m/>
    <m/>
  </r>
  <r>
    <s v="DSCN2833"/>
    <s v="M2370403_2"/>
    <n v="2"/>
    <n v="1"/>
    <s v="Mile 237"/>
    <d v="2019-04-03T00:00:00"/>
    <s v="April"/>
    <x v="0"/>
    <d v="1899-12-30T00:33:00"/>
    <m/>
    <x v="16"/>
    <s v="Foraging"/>
    <s v="Spruce"/>
    <n v="0"/>
    <n v="0"/>
    <n v="0"/>
    <m/>
    <s v="NA"/>
    <s v="NA"/>
    <s v="NA"/>
    <m/>
    <m/>
    <m/>
    <s v="NA"/>
    <s v="NA"/>
    <s v="NA"/>
    <s v="NA"/>
    <s v="NA"/>
    <s v="NA"/>
    <s v="NA"/>
    <m/>
    <n v="33"/>
    <n v="0"/>
    <n v="0"/>
    <n v="33"/>
    <n v="0"/>
    <m/>
    <n v="33"/>
    <s v="Searching"/>
    <m/>
    <m/>
    <m/>
  </r>
  <r>
    <s v="DSCN2854"/>
    <s v="M2370403_20"/>
    <n v="20"/>
    <n v="1"/>
    <s v="Mile 237"/>
    <d v="2019-04-03T00:00:00"/>
    <s v="April"/>
    <x v="0"/>
    <d v="1899-12-30T00:22:00"/>
    <m/>
    <x v="16"/>
    <s v="Foraging"/>
    <s v="Spruce"/>
    <n v="0"/>
    <n v="0"/>
    <n v="0"/>
    <m/>
    <s v="NA"/>
    <s v="NA"/>
    <s v="NA"/>
    <m/>
    <m/>
    <m/>
    <s v="NA"/>
    <s v="NA"/>
    <s v="NA"/>
    <s v="NA"/>
    <s v="NA"/>
    <s v="NA"/>
    <s v="NA"/>
    <m/>
    <n v="21"/>
    <n v="0"/>
    <n v="0"/>
    <n v="21"/>
    <n v="0"/>
    <m/>
    <n v="21"/>
    <s v="Searching"/>
    <m/>
    <m/>
    <m/>
  </r>
  <r>
    <s v="DSCN2834"/>
    <s v="M2370403_3"/>
    <n v="3"/>
    <n v="1"/>
    <s v="Mile 237"/>
    <d v="2019-04-03T00:00:00"/>
    <s v="April"/>
    <x v="0"/>
    <d v="1899-12-30T00:38:00"/>
    <m/>
    <x v="16"/>
    <s v="Foraging"/>
    <s v="Spruce"/>
    <n v="0"/>
    <n v="0"/>
    <n v="0"/>
    <m/>
    <s v="NA"/>
    <s v="NA"/>
    <s v="NA"/>
    <m/>
    <m/>
    <m/>
    <s v="NA"/>
    <s v="NA"/>
    <s v="NA"/>
    <s v="NA"/>
    <s v="NA"/>
    <s v="NA"/>
    <s v="NA"/>
    <m/>
    <n v="38"/>
    <n v="0"/>
    <n v="17"/>
    <n v="21"/>
    <n v="0"/>
    <m/>
    <n v="38"/>
    <s v="Searching"/>
    <m/>
    <m/>
    <m/>
  </r>
  <r>
    <s v="DSCN2836"/>
    <s v="M2370403_5"/>
    <n v="5"/>
    <n v="1"/>
    <s v="Mile 237"/>
    <d v="2019-04-03T00:00:00"/>
    <s v="April"/>
    <x v="0"/>
    <d v="1899-12-30T00:08:00"/>
    <m/>
    <x v="16"/>
    <s v="Foraging"/>
    <s v="Spruce"/>
    <n v="0"/>
    <n v="0"/>
    <n v="0"/>
    <m/>
    <s v="NA"/>
    <s v="NA"/>
    <s v="NA"/>
    <m/>
    <m/>
    <m/>
    <s v="NA"/>
    <s v="NA"/>
    <s v="NA"/>
    <s v="NA"/>
    <s v="NA"/>
    <s v="NA"/>
    <s v="NA"/>
    <m/>
    <n v="8"/>
    <n v="0"/>
    <n v="0"/>
    <n v="8"/>
    <n v="0"/>
    <m/>
    <n v="8"/>
    <s v="Searching"/>
    <m/>
    <m/>
    <m/>
  </r>
  <r>
    <s v="DSCN2838"/>
    <s v="M2370403_7"/>
    <n v="7"/>
    <n v="1"/>
    <s v="Mile 237"/>
    <d v="2019-04-03T00:00:00"/>
    <s v="April"/>
    <x v="0"/>
    <d v="1899-12-30T00:18:00"/>
    <m/>
    <x v="16"/>
    <s v="Foraging"/>
    <s v="Spruce"/>
    <n v="0"/>
    <n v="0"/>
    <n v="0"/>
    <m/>
    <s v="NA"/>
    <s v="NA"/>
    <s v="NA"/>
    <m/>
    <m/>
    <m/>
    <s v="NA"/>
    <s v="NA"/>
    <s v="NA"/>
    <s v="NA"/>
    <s v="NA"/>
    <s v="NA"/>
    <s v="NA"/>
    <m/>
    <n v="18"/>
    <n v="0"/>
    <n v="18"/>
    <n v="0"/>
    <n v="0"/>
    <m/>
    <n v="18"/>
    <s v="Searching"/>
    <m/>
    <m/>
    <m/>
  </r>
  <r>
    <s v="DSCN3018"/>
    <s v="M2370409_6"/>
    <n v="6"/>
    <n v="1"/>
    <s v="Mile 237"/>
    <d v="2019-04-09T00:00:00"/>
    <s v="April"/>
    <x v="0"/>
    <d v="1899-12-30T00:37:00"/>
    <m/>
    <x v="16"/>
    <s v="Foraging"/>
    <s v="NA"/>
    <n v="1"/>
    <n v="0"/>
    <n v="0"/>
    <s v="Unknown"/>
    <s v="unknown"/>
    <s v="NA"/>
    <s v="NA"/>
    <m/>
    <m/>
    <m/>
    <s v="NA"/>
    <s v="NA"/>
    <s v="NA"/>
    <s v="NA"/>
    <s v="NA"/>
    <s v="NA"/>
    <s v="NA"/>
    <m/>
    <n v="0"/>
    <n v="0"/>
    <n v="0"/>
    <n v="0"/>
    <n v="15"/>
    <m/>
    <n v="15"/>
    <m/>
    <m/>
    <m/>
    <m/>
  </r>
  <r>
    <s v="DSCN3012"/>
    <s v="M2370409_2"/>
    <n v="2"/>
    <n v="1"/>
    <s v="Mile 237"/>
    <d v="2019-04-09T00:00:00"/>
    <s v="April"/>
    <x v="0"/>
    <d v="1899-12-30T01:36:00"/>
    <m/>
    <x v="16"/>
    <s v="Foraging"/>
    <s v="NA"/>
    <n v="0"/>
    <n v="0"/>
    <n v="0"/>
    <m/>
    <s v="NA"/>
    <s v="NA"/>
    <s v="NA"/>
    <m/>
    <m/>
    <m/>
    <s v="NA"/>
    <s v="NA"/>
    <s v="NA"/>
    <s v="NA"/>
    <s v="NA"/>
    <s v="NA"/>
    <s v="NA"/>
    <m/>
    <n v="108"/>
    <n v="0"/>
    <n v="108"/>
    <n v="0"/>
    <n v="28"/>
    <m/>
    <n v="136"/>
    <s v="Searching"/>
    <m/>
    <m/>
    <m/>
  </r>
  <r>
    <s v="DSCN3016"/>
    <s v="M2370409_5"/>
    <n v="5"/>
    <n v="1"/>
    <s v="Mile 237"/>
    <d v="2019-04-09T00:00:00"/>
    <s v="April"/>
    <x v="0"/>
    <d v="1899-12-30T00:39:00"/>
    <m/>
    <x v="16"/>
    <s v="Foraging"/>
    <s v="NA"/>
    <n v="0"/>
    <n v="0"/>
    <n v="0"/>
    <m/>
    <s v="NA"/>
    <s v="NA"/>
    <s v="NA"/>
    <m/>
    <m/>
    <m/>
    <s v="NA"/>
    <s v="NA"/>
    <s v="NA"/>
    <s v="NA"/>
    <s v="NA"/>
    <s v="NA"/>
    <s v="NA"/>
    <m/>
    <n v="0"/>
    <n v="0"/>
    <n v="0"/>
    <n v="0"/>
    <n v="36"/>
    <m/>
    <n v="36"/>
    <s v="Searching"/>
    <m/>
    <m/>
    <m/>
  </r>
  <r>
    <m/>
    <s v="M2370415_10"/>
    <n v="10"/>
    <n v="1"/>
    <s v="Mile 237"/>
    <d v="2019-04-15T00:00:00"/>
    <s v="April"/>
    <x v="0"/>
    <d v="1899-12-30T01:00:00"/>
    <s v="Partly cloudy"/>
    <x v="16"/>
    <s v="Foraging"/>
    <s v="NA"/>
    <n v="1"/>
    <n v="0"/>
    <n v="0"/>
    <s v="Unknown"/>
    <s v="unknown"/>
    <s v="Ground"/>
    <s v="NA"/>
    <m/>
    <m/>
    <m/>
    <s v="NA"/>
    <s v="NA"/>
    <s v="NA"/>
    <s v="NA"/>
    <s v="NA"/>
    <s v="NA"/>
    <s v="NA"/>
    <m/>
    <n v="0"/>
    <n v="0"/>
    <n v="0"/>
    <n v="0"/>
    <n v="21"/>
    <m/>
    <n v="21"/>
    <s v="Searching"/>
    <m/>
    <m/>
    <m/>
  </r>
  <r>
    <s v="DSCN3125"/>
    <s v="M2370415_1"/>
    <n v="1"/>
    <n v="1"/>
    <s v="Mile 237"/>
    <d v="2019-04-15T00:00:00"/>
    <s v="April"/>
    <x v="0"/>
    <d v="1899-12-30T00:19:00"/>
    <s v="Partly cloudy"/>
    <x v="16"/>
    <s v="Foraging"/>
    <s v="NA"/>
    <n v="1"/>
    <n v="0"/>
    <n v="0"/>
    <s v="Unknown"/>
    <s v="unknown"/>
    <s v="Ground"/>
    <s v="NA"/>
    <m/>
    <m/>
    <m/>
    <s v="NA"/>
    <s v="NA"/>
    <s v="NA"/>
    <s v="NA"/>
    <s v="NA"/>
    <s v="NA"/>
    <s v="NA"/>
    <m/>
    <n v="0"/>
    <n v="0"/>
    <n v="0"/>
    <n v="0"/>
    <n v="10"/>
    <m/>
    <n v="10"/>
    <s v="Searching"/>
    <m/>
    <m/>
    <m/>
  </r>
  <r>
    <s v="DSCN3147"/>
    <s v="M2370415_14"/>
    <n v="14"/>
    <n v="1"/>
    <s v="Mile 237"/>
    <d v="2019-04-15T00:00:00"/>
    <s v="April"/>
    <x v="0"/>
    <d v="1899-12-30T02:11:00"/>
    <s v="Partly cloudy"/>
    <x v="16"/>
    <s v="Foraging"/>
    <s v="NA"/>
    <n v="1"/>
    <n v="0"/>
    <n v="0"/>
    <s v="Unknown"/>
    <s v="unknown"/>
    <s v="Ground"/>
    <s v="NA"/>
    <m/>
    <m/>
    <m/>
    <s v="NA"/>
    <s v="NA"/>
    <s v="NA"/>
    <s v="NA"/>
    <s v="NA"/>
    <s v="NA"/>
    <s v="NA"/>
    <m/>
    <n v="0"/>
    <n v="0"/>
    <n v="0"/>
    <n v="0"/>
    <n v="29"/>
    <m/>
    <n v="29"/>
    <s v="Searching"/>
    <m/>
    <m/>
    <m/>
  </r>
  <r>
    <s v="DSCN3128"/>
    <s v="M2370415_2"/>
    <n v="2"/>
    <n v="1"/>
    <s v="Mile 237"/>
    <d v="2019-04-15T00:00:00"/>
    <s v="April"/>
    <x v="0"/>
    <d v="1899-12-30T02:20:00"/>
    <s v="Partly cloudy"/>
    <x v="16"/>
    <s v="Foraging"/>
    <s v="NA"/>
    <n v="1"/>
    <n v="0"/>
    <n v="0"/>
    <s v="Unknown"/>
    <s v="unknown"/>
    <s v="Ground"/>
    <s v="NA"/>
    <m/>
    <m/>
    <m/>
    <s v="NA"/>
    <s v="NA"/>
    <s v="NA"/>
    <s v="NA"/>
    <s v="NA"/>
    <s v="NA"/>
    <s v="NA"/>
    <m/>
    <n v="0"/>
    <n v="0"/>
    <n v="0"/>
    <n v="0"/>
    <n v="3"/>
    <m/>
    <n v="3"/>
    <s v="Searching"/>
    <m/>
    <m/>
    <m/>
  </r>
  <r>
    <s v="DSCN3135"/>
    <s v="M2370415_5"/>
    <n v="5"/>
    <n v="1"/>
    <s v="Mile 237"/>
    <d v="2019-04-15T00:00:00"/>
    <s v="April"/>
    <x v="0"/>
    <d v="1899-12-30T00:05:00"/>
    <s v="Partly cloudy"/>
    <x v="16"/>
    <s v="Foraging"/>
    <s v="NA"/>
    <n v="1"/>
    <n v="0"/>
    <n v="0"/>
    <s v="Unknown"/>
    <s v="unknown"/>
    <s v="Ground"/>
    <s v="NA"/>
    <m/>
    <m/>
    <m/>
    <s v="NA"/>
    <s v="NA"/>
    <s v="NA"/>
    <s v="NA"/>
    <s v="NA"/>
    <s v="NA"/>
    <s v="NA"/>
    <m/>
    <n v="0"/>
    <n v="0"/>
    <n v="0"/>
    <n v="0"/>
    <n v="0"/>
    <m/>
    <n v="0"/>
    <m/>
    <s v="Missed acquisition"/>
    <m/>
    <m/>
  </r>
  <r>
    <s v="DSCN3129"/>
    <s v="M2370415_3"/>
    <n v="3"/>
    <n v="1"/>
    <s v="Mile 237"/>
    <d v="2019-04-15T00:00:00"/>
    <s v="April"/>
    <x v="0"/>
    <d v="1899-12-30T01:30:00"/>
    <s v="Partly cloudy"/>
    <x v="16"/>
    <s v="Foraging"/>
    <s v="Spruce"/>
    <n v="1"/>
    <s v="unknown"/>
    <n v="0"/>
    <s v="Unknown"/>
    <s v="unknown"/>
    <s v="Spruce trunk under bark"/>
    <s v="NA"/>
    <m/>
    <m/>
    <m/>
    <s v="NA"/>
    <s v="NA"/>
    <s v="NA"/>
    <s v="NA"/>
    <s v="NA"/>
    <s v="NA"/>
    <s v="NA"/>
    <m/>
    <n v="48"/>
    <n v="0"/>
    <n v="48"/>
    <n v="0"/>
    <n v="0"/>
    <m/>
    <n v="48"/>
    <s v="Searching/probing"/>
    <m/>
    <n v="10"/>
    <n v="0"/>
  </r>
  <r>
    <s v="DSCN3141"/>
    <s v="M2370415_9"/>
    <n v="9"/>
    <n v="1"/>
    <s v="Mile 237"/>
    <d v="2019-04-15T00:00:00"/>
    <s v="April"/>
    <x v="0"/>
    <d v="1899-12-30T00:31:00"/>
    <s v="Partly cloudy"/>
    <x v="16"/>
    <s v="Foraging"/>
    <s v="Spruce"/>
    <n v="2"/>
    <s v="unknown"/>
    <n v="0"/>
    <s v="Unknown"/>
    <s v="unknown"/>
    <s v="Exterior spruce branch under bark"/>
    <s v="NA"/>
    <m/>
    <m/>
    <m/>
    <s v="NA"/>
    <s v="NA"/>
    <s v="NA"/>
    <s v="NA"/>
    <s v="NA"/>
    <s v="NA"/>
    <s v="NA"/>
    <m/>
    <n v="31"/>
    <n v="0"/>
    <n v="0"/>
    <n v="31"/>
    <n v="0"/>
    <m/>
    <n v="31"/>
    <s v="Searching"/>
    <m/>
    <m/>
    <m/>
  </r>
  <r>
    <s v="DSCN3129"/>
    <s v="M2370415_3"/>
    <n v="3"/>
    <n v="2"/>
    <s v="Mile 237"/>
    <d v="2019-04-15T00:00:00"/>
    <s v="April"/>
    <x v="0"/>
    <d v="1899-12-30T01:30:00"/>
    <s v="Partly cloudy"/>
    <x v="16"/>
    <s v="Foraging"/>
    <s v="Spruce"/>
    <n v="1"/>
    <n v="0"/>
    <n v="0"/>
    <s v="Mushroom"/>
    <s v="Mushroom (squirrel cache)"/>
    <s v="Exterior bare spruce branch"/>
    <s v="NA"/>
    <m/>
    <m/>
    <m/>
    <s v="NA"/>
    <s v="NA"/>
    <s v="NA"/>
    <s v="NA"/>
    <s v="NA"/>
    <s v="NA"/>
    <s v="NA"/>
    <m/>
    <n v="0"/>
    <n v="7"/>
    <n v="0"/>
    <n v="7"/>
    <n v="0"/>
    <m/>
    <n v="7"/>
    <s v="Searching"/>
    <s v="Recovered whole cached mushroom. Moved it to another tree and left.  Did not formally cache it. "/>
    <m/>
    <m/>
  </r>
  <r>
    <s v="DSCN3154"/>
    <s v="M2370415_18"/>
    <n v="18"/>
    <n v="1"/>
    <s v="Mile 237"/>
    <d v="2019-04-15T00:00:00"/>
    <s v="April"/>
    <x v="0"/>
    <d v="1899-12-30T00:44:00"/>
    <s v="Partly cloudy"/>
    <x v="16"/>
    <s v="Foraging"/>
    <s v="NA"/>
    <n v="1"/>
    <n v="0"/>
    <n v="0"/>
    <s v="Insect"/>
    <s v="Insect (grub/caterpillar)"/>
    <s v="Ground"/>
    <s v="NA"/>
    <m/>
    <m/>
    <m/>
    <s v="NA"/>
    <s v="NA"/>
    <s v="NA"/>
    <s v="NA"/>
    <s v="NA"/>
    <s v="NA"/>
    <s v="NA"/>
    <m/>
    <n v="0"/>
    <n v="0"/>
    <n v="0"/>
    <n v="0"/>
    <n v="44"/>
    <m/>
    <n v="44"/>
    <s v="Searching"/>
    <m/>
    <m/>
    <m/>
  </r>
  <r>
    <s v="DSCN3137"/>
    <s v="M2370415_7"/>
    <n v="7"/>
    <n v="1"/>
    <s v="Mile 237"/>
    <d v="2019-04-15T00:00:00"/>
    <s v="April"/>
    <x v="0"/>
    <d v="1899-12-30T00:40:00"/>
    <s v="Partly cloudy"/>
    <x v="16"/>
    <s v="Foraging"/>
    <s v="NA"/>
    <n v="1"/>
    <n v="0"/>
    <n v="0"/>
    <s v="Animal flesh"/>
    <s v="Animal flesh (snowshoe hare)"/>
    <s v="Ground"/>
    <s v="NA"/>
    <m/>
    <m/>
    <m/>
    <s v="NA"/>
    <s v="NA"/>
    <s v="NA"/>
    <s v="NA"/>
    <s v="NA"/>
    <s v="NA"/>
    <s v="NA"/>
    <m/>
    <n v="0"/>
    <n v="0"/>
    <n v="0"/>
    <n v="0"/>
    <n v="40"/>
    <m/>
    <n v="40"/>
    <m/>
    <s v="Looked from a tree and then went to carcass. "/>
    <m/>
    <m/>
  </r>
  <r>
    <s v="DSCN3126"/>
    <s v="M2370415_13"/>
    <n v="13"/>
    <n v="1"/>
    <s v="Mile 237"/>
    <d v="2019-04-15T00:00:00"/>
    <s v="April"/>
    <x v="0"/>
    <d v="1899-12-30T00:09:00"/>
    <s v="Partly cloudy"/>
    <x v="16"/>
    <s v="Foraging"/>
    <s v="NA"/>
    <n v="0"/>
    <n v="0"/>
    <n v="0"/>
    <m/>
    <s v="NA"/>
    <s v="NA"/>
    <s v="NA"/>
    <m/>
    <m/>
    <m/>
    <s v="NA"/>
    <s v="NA"/>
    <s v="NA"/>
    <s v="NA"/>
    <s v="NA"/>
    <s v="NA"/>
    <s v="NA"/>
    <m/>
    <n v="0"/>
    <n v="0"/>
    <n v="0"/>
    <n v="0"/>
    <n v="9"/>
    <m/>
    <n v="9"/>
    <s v="Searching"/>
    <m/>
    <m/>
    <m/>
  </r>
  <r>
    <s v="DSCN3156"/>
    <s v="M2370415_20"/>
    <n v="20"/>
    <n v="1"/>
    <s v="Mile 237"/>
    <d v="2019-04-15T00:00:00"/>
    <s v="April"/>
    <x v="0"/>
    <d v="1899-12-30T01:24:00"/>
    <s v="Partly cloudy"/>
    <x v="16"/>
    <s v="Foraging"/>
    <s v="NA"/>
    <n v="0"/>
    <n v="0"/>
    <n v="0"/>
    <m/>
    <s v="NA"/>
    <s v="NA"/>
    <s v="NA"/>
    <m/>
    <m/>
    <m/>
    <s v="NA"/>
    <s v="NA"/>
    <s v="NA"/>
    <s v="NA"/>
    <s v="NA"/>
    <s v="NA"/>
    <s v="NA"/>
    <m/>
    <n v="0"/>
    <n v="0"/>
    <n v="0"/>
    <n v="0"/>
    <n v="57"/>
    <m/>
    <n v="57"/>
    <s v="Searching"/>
    <m/>
    <m/>
    <m/>
  </r>
  <r>
    <s v="DSCN3138"/>
    <s v="M2370415_8"/>
    <n v="8"/>
    <n v="1"/>
    <s v="Mile 237"/>
    <d v="2019-04-15T00:00:00"/>
    <s v="April"/>
    <x v="0"/>
    <d v="1899-12-30T01:06:00"/>
    <s v="Partly cloudy"/>
    <x v="16"/>
    <s v="Food handling"/>
    <s v="NA"/>
    <n v="0"/>
    <n v="0"/>
    <n v="0"/>
    <s v="Animal flesh"/>
    <s v="Animal flesh (snowshoe hare)"/>
    <s v="NA"/>
    <s v="NA"/>
    <m/>
    <m/>
    <m/>
    <s v="NA"/>
    <s v="NA"/>
    <s v="NA"/>
    <s v="NA"/>
    <s v="NA"/>
    <s v="NA"/>
    <s v="NA"/>
    <m/>
    <n v="0"/>
    <n v="0"/>
    <n v="0"/>
    <n v="0"/>
    <n v="66"/>
    <m/>
    <n v="66"/>
    <m/>
    <s v="Same acquisition trip as previous video so does not count as acquisition.  "/>
    <m/>
    <m/>
  </r>
  <r>
    <s v="DSCN2847"/>
    <s v="M2370403_13"/>
    <n v="13"/>
    <n v="1"/>
    <s v="Mile 237"/>
    <d v="2019-04-03T00:00:00"/>
    <s v="April"/>
    <x v="0"/>
    <d v="1899-12-30T00:17:00"/>
    <m/>
    <x v="16"/>
    <s v="Foraging"/>
    <s v="Spruce"/>
    <s v="unknown"/>
    <s v="unknown"/>
    <n v="0"/>
    <m/>
    <s v="NA"/>
    <s v="NA"/>
    <s v="NA"/>
    <m/>
    <m/>
    <m/>
    <s v="NA"/>
    <s v="NA"/>
    <s v="NA"/>
    <s v="NA"/>
    <s v="NA"/>
    <s v="NA"/>
    <s v="NA"/>
    <m/>
    <n v="12"/>
    <n v="0"/>
    <n v="0"/>
    <n v="12"/>
    <n v="0"/>
    <m/>
    <n v="12"/>
    <s v="Searching"/>
    <m/>
    <m/>
    <m/>
  </r>
  <r>
    <s v="DSCN2848"/>
    <s v="M2370403_14"/>
    <n v="14"/>
    <n v="1"/>
    <s v="Mile 237"/>
    <d v="2019-04-03T00:00:00"/>
    <s v="April"/>
    <x v="0"/>
    <d v="1899-12-30T00:15:00"/>
    <m/>
    <x v="16"/>
    <s v="Foraging"/>
    <s v="Spruce"/>
    <s v="unknown"/>
    <s v="unknown"/>
    <n v="0"/>
    <m/>
    <s v="NA"/>
    <s v="NA"/>
    <s v="NA"/>
    <m/>
    <m/>
    <m/>
    <s v="NA"/>
    <s v="NA"/>
    <s v="NA"/>
    <s v="NA"/>
    <s v="NA"/>
    <s v="NA"/>
    <s v="NA"/>
    <m/>
    <n v="15"/>
    <n v="0"/>
    <n v="0"/>
    <n v="15"/>
    <n v="0"/>
    <m/>
    <n v="15"/>
    <s v="Searching/probing"/>
    <m/>
    <n v="2"/>
    <n v="0"/>
  </r>
  <r>
    <s v="DSCN2853"/>
    <s v="M2370403_19"/>
    <n v="19"/>
    <n v="1"/>
    <s v="Mile 237"/>
    <d v="2019-04-03T00:00:00"/>
    <s v="April"/>
    <x v="0"/>
    <d v="1899-12-30T00:26:00"/>
    <m/>
    <x v="16"/>
    <s v="Foraging"/>
    <s v="Spruce"/>
    <s v="unknown"/>
    <s v="unknown"/>
    <n v="0"/>
    <m/>
    <s v="NA"/>
    <s v="NA"/>
    <s v="NA"/>
    <m/>
    <m/>
    <m/>
    <s v="NA"/>
    <s v="NA"/>
    <s v="NA"/>
    <s v="NA"/>
    <s v="NA"/>
    <s v="NA"/>
    <s v="NA"/>
    <m/>
    <n v="21"/>
    <n v="0"/>
    <n v="0"/>
    <n v="21"/>
    <n v="0"/>
    <m/>
    <n v="21"/>
    <s v="Searching"/>
    <m/>
    <m/>
    <m/>
  </r>
  <r>
    <s v="DSCN3011"/>
    <s v="M2370409_1"/>
    <n v="1"/>
    <n v="1"/>
    <s v="Mile 237"/>
    <d v="2019-04-09T00:00:00"/>
    <s v="April"/>
    <x v="0"/>
    <d v="1899-12-30T01:12:00"/>
    <s v="Partly cloudy"/>
    <x v="16"/>
    <s v="Foraging"/>
    <s v="NA"/>
    <s v="unknown"/>
    <n v="0"/>
    <n v="0"/>
    <m/>
    <s v="NA"/>
    <s v="NA"/>
    <s v="NA"/>
    <m/>
    <m/>
    <m/>
    <s v="NA"/>
    <s v="NA"/>
    <s v="NA"/>
    <s v="NA"/>
    <s v="NA"/>
    <s v="NA"/>
    <s v="NA"/>
    <m/>
    <n v="0"/>
    <n v="0"/>
    <n v="0"/>
    <n v="0"/>
    <n v="62"/>
    <m/>
    <n v="62"/>
    <s v="Searching"/>
    <m/>
    <m/>
    <m/>
  </r>
  <r>
    <s v="DSCN3014"/>
    <s v="M2370409_3"/>
    <n v="3"/>
    <n v="1"/>
    <s v="Mile 237"/>
    <d v="2019-04-09T00:00:00"/>
    <s v="April"/>
    <x v="0"/>
    <d v="1899-12-30T01:19:00"/>
    <m/>
    <x v="16"/>
    <s v="Foraging"/>
    <s v="NA"/>
    <s v="unknown"/>
    <n v="0"/>
    <n v="0"/>
    <m/>
    <s v="NA"/>
    <s v="NA"/>
    <s v="NA"/>
    <m/>
    <m/>
    <m/>
    <s v="NA"/>
    <s v="NA"/>
    <s v="NA"/>
    <s v="NA"/>
    <s v="NA"/>
    <s v="NA"/>
    <s v="NA"/>
    <m/>
    <n v="0"/>
    <n v="0"/>
    <n v="0"/>
    <n v="0"/>
    <n v="79"/>
    <m/>
    <n v="79"/>
    <s v="Searching"/>
    <m/>
    <m/>
    <m/>
  </r>
  <r>
    <s v="DSCN3015"/>
    <s v="M2370409_4"/>
    <n v="4"/>
    <n v="1"/>
    <s v="Mile 237"/>
    <d v="2019-04-09T00:00:00"/>
    <s v="April"/>
    <x v="0"/>
    <d v="1899-12-30T00:30:00"/>
    <m/>
    <x v="16"/>
    <s v="Foraging"/>
    <s v="NA"/>
    <s v="unknown"/>
    <n v="0"/>
    <n v="0"/>
    <m/>
    <s v="NA"/>
    <s v="NA"/>
    <s v="NA"/>
    <m/>
    <m/>
    <m/>
    <s v="NA"/>
    <s v="NA"/>
    <s v="NA"/>
    <s v="NA"/>
    <s v="NA"/>
    <s v="NA"/>
    <s v="NA"/>
    <m/>
    <n v="0"/>
    <n v="0"/>
    <n v="0"/>
    <n v="0"/>
    <n v="30"/>
    <m/>
    <n v="30"/>
    <s v="Searching"/>
    <m/>
    <m/>
    <m/>
  </r>
  <r>
    <s v="DSCN3143"/>
    <s v="M2370415_11"/>
    <n v="11"/>
    <n v="1"/>
    <s v="Mile 237"/>
    <d v="2019-04-15T00:00:00"/>
    <s v="April"/>
    <x v="0"/>
    <d v="1899-12-30T00:19:00"/>
    <s v="Partly cloudy"/>
    <x v="16"/>
    <s v="Foraging"/>
    <s v="NA"/>
    <s v="unknown"/>
    <n v="0"/>
    <n v="0"/>
    <m/>
    <s v="NA"/>
    <s v="NA"/>
    <s v="NA"/>
    <m/>
    <m/>
    <m/>
    <s v="NA"/>
    <s v="NA"/>
    <s v="NA"/>
    <s v="NA"/>
    <s v="NA"/>
    <s v="NA"/>
    <s v="NA"/>
    <m/>
    <n v="0"/>
    <n v="0"/>
    <n v="0"/>
    <n v="0"/>
    <n v="7"/>
    <m/>
    <n v="7"/>
    <s v="Searching"/>
    <m/>
    <m/>
    <m/>
  </r>
  <r>
    <s v="DSCN3145"/>
    <s v="M2370415_12"/>
    <n v="12"/>
    <n v="1"/>
    <s v="Mile 237"/>
    <d v="2019-04-15T00:00:00"/>
    <s v="April"/>
    <x v="0"/>
    <d v="1899-12-30T00:29:00"/>
    <s v="Partly cloudy"/>
    <x v="16"/>
    <s v="Foraging"/>
    <s v="NA"/>
    <s v="unknown"/>
    <n v="0"/>
    <n v="0"/>
    <m/>
    <s v="NA"/>
    <s v="NA"/>
    <s v="NA"/>
    <m/>
    <m/>
    <m/>
    <s v="NA"/>
    <s v="NA"/>
    <s v="NA"/>
    <s v="NA"/>
    <s v="NA"/>
    <s v="NA"/>
    <s v="NA"/>
    <m/>
    <n v="0"/>
    <n v="0"/>
    <n v="0"/>
    <n v="0"/>
    <n v="10"/>
    <m/>
    <n v="10"/>
    <s v="Searching"/>
    <m/>
    <m/>
    <m/>
  </r>
  <r>
    <s v="DSCN3148"/>
    <s v="M2370415_15"/>
    <n v="15"/>
    <n v="1"/>
    <s v="Mile 237"/>
    <d v="2019-04-15T00:00:00"/>
    <s v="April"/>
    <x v="0"/>
    <d v="1899-12-30T01:53:00"/>
    <s v="Partly cloudy"/>
    <x v="16"/>
    <s v="Foraging"/>
    <s v="NA"/>
    <s v="unknown"/>
    <n v="0"/>
    <n v="0"/>
    <m/>
    <s v="NA"/>
    <s v="NA"/>
    <s v="NA"/>
    <m/>
    <m/>
    <m/>
    <s v="NA"/>
    <s v="NA"/>
    <s v="NA"/>
    <s v="NA"/>
    <s v="NA"/>
    <s v="NA"/>
    <s v="NA"/>
    <m/>
    <n v="0"/>
    <n v="0"/>
    <n v="0"/>
    <n v="0"/>
    <n v="71"/>
    <m/>
    <n v="71"/>
    <s v="Searching"/>
    <m/>
    <m/>
    <m/>
  </r>
  <r>
    <s v="DSCN3151"/>
    <s v="M2370415_16"/>
    <n v="16"/>
    <n v="1"/>
    <s v="Mile 237"/>
    <d v="2019-04-15T00:00:00"/>
    <s v="April"/>
    <x v="0"/>
    <d v="1899-12-30T00:47:00"/>
    <s v="Partly cloudy"/>
    <x v="16"/>
    <s v="Foraging"/>
    <s v="NA"/>
    <s v="unknown"/>
    <n v="0"/>
    <n v="0"/>
    <m/>
    <s v="NA"/>
    <s v="NA"/>
    <s v="NA"/>
    <m/>
    <m/>
    <m/>
    <s v="NA"/>
    <s v="NA"/>
    <s v="NA"/>
    <s v="NA"/>
    <s v="NA"/>
    <s v="NA"/>
    <s v="NA"/>
    <m/>
    <n v="0"/>
    <n v="0"/>
    <n v="0"/>
    <n v="0"/>
    <n v="47"/>
    <m/>
    <n v="47"/>
    <s v="Searching"/>
    <m/>
    <m/>
    <m/>
  </r>
  <r>
    <s v="DSCN3153"/>
    <s v="M2370415_17"/>
    <n v="17"/>
    <n v="1"/>
    <s v="Mile 237"/>
    <d v="2019-04-15T00:00:00"/>
    <s v="April"/>
    <x v="0"/>
    <d v="1899-12-30T00:31:00"/>
    <s v="Partly cloudy"/>
    <x v="16"/>
    <s v="Foraging"/>
    <s v="Spruce"/>
    <s v="unknown"/>
    <n v="0"/>
    <n v="0"/>
    <m/>
    <s v="NA"/>
    <s v="NA"/>
    <s v="NA"/>
    <m/>
    <m/>
    <m/>
    <s v="NA"/>
    <s v="NA"/>
    <s v="NA"/>
    <s v="NA"/>
    <s v="NA"/>
    <s v="NA"/>
    <s v="NA"/>
    <m/>
    <n v="6"/>
    <n v="0"/>
    <n v="6"/>
    <n v="0"/>
    <n v="0"/>
    <m/>
    <n v="6"/>
    <s v="Searching"/>
    <s v="Grabs a leaf and leaves.  Maybe B&amp;Ug inside?"/>
    <m/>
    <m/>
  </r>
  <r>
    <s v="DSCN3155"/>
    <s v="M2370415_19"/>
    <n v="19"/>
    <n v="1"/>
    <s v="Mile 237"/>
    <d v="2019-04-15T00:00:00"/>
    <s v="April"/>
    <x v="0"/>
    <d v="1899-12-30T00:22:00"/>
    <s v="Partly cloudy"/>
    <x v="16"/>
    <s v="Foraging"/>
    <s v="NA"/>
    <s v="unknown"/>
    <n v="0"/>
    <n v="0"/>
    <m/>
    <s v="NA"/>
    <s v="NA"/>
    <s v="NA"/>
    <m/>
    <m/>
    <m/>
    <s v="NA"/>
    <s v="NA"/>
    <s v="NA"/>
    <s v="NA"/>
    <s v="NA"/>
    <s v="NA"/>
    <s v="NA"/>
    <m/>
    <n v="0"/>
    <n v="0"/>
    <n v="0"/>
    <n v="0"/>
    <n v="9"/>
    <m/>
    <n v="9"/>
    <s v="Searching"/>
    <m/>
    <m/>
    <m/>
  </r>
  <r>
    <s v="DSCN3132"/>
    <s v="M2370415_4"/>
    <n v="4"/>
    <n v="1"/>
    <s v="Mile 237"/>
    <d v="2019-04-15T00:00:00"/>
    <s v="April"/>
    <x v="0"/>
    <d v="1899-12-30T01:00:00"/>
    <s v="Partly cloudy"/>
    <x v="16"/>
    <s v="Foraging"/>
    <s v="NA"/>
    <s v="unknown"/>
    <n v="0"/>
    <n v="0"/>
    <m/>
    <s v="NA"/>
    <s v="NA"/>
    <s v="NA"/>
    <m/>
    <m/>
    <m/>
    <s v="NA"/>
    <s v="NA"/>
    <s v="NA"/>
    <s v="NA"/>
    <s v="NA"/>
    <s v="NA"/>
    <s v="NA"/>
    <m/>
    <n v="0"/>
    <n v="0"/>
    <n v="0"/>
    <n v="0"/>
    <n v="3"/>
    <m/>
    <n v="3"/>
    <s v="Searching"/>
    <m/>
    <m/>
    <m/>
  </r>
  <r>
    <s v="DSCN3136"/>
    <s v="M2370415_6"/>
    <n v="6"/>
    <n v="1"/>
    <s v="Mile 237"/>
    <d v="2019-04-15T00:00:00"/>
    <s v="April"/>
    <x v="0"/>
    <d v="1899-12-30T00:31:00"/>
    <s v="Partly cloudy"/>
    <x v="16"/>
    <s v="Foraging"/>
    <s v="NA"/>
    <s v="unknown"/>
    <n v="0"/>
    <n v="0"/>
    <m/>
    <s v="NA"/>
    <s v="NA"/>
    <s v="NA"/>
    <m/>
    <m/>
    <m/>
    <s v="NA"/>
    <s v="NA"/>
    <s v="NA"/>
    <s v="NA"/>
    <s v="NA"/>
    <s v="NA"/>
    <s v="NA"/>
    <m/>
    <n v="0"/>
    <n v="0"/>
    <n v="0"/>
    <n v="0"/>
    <n v="21"/>
    <m/>
    <n v="21"/>
    <s v="Searching"/>
    <m/>
    <m/>
    <m/>
  </r>
  <r>
    <s v="DSCN0023"/>
    <s v="WW0828_6"/>
    <n v="6"/>
    <n v="1"/>
    <s v="WAC West"/>
    <d v="2018-08-28T00:00:00"/>
    <s v="August"/>
    <x v="1"/>
    <d v="1899-12-30T00:16:00"/>
    <s v="Partly cloudy"/>
    <x v="0"/>
    <s v="Foraging"/>
    <s v="Spruce"/>
    <n v="1"/>
    <m/>
    <n v="0"/>
    <s v="Mushroom"/>
    <s v="Mushroom"/>
    <s v="Spruce exterior foliage"/>
    <s v="NA"/>
    <s v="NA"/>
    <s v="NA"/>
    <s v="NA"/>
    <m/>
    <m/>
    <s v="NA"/>
    <s v="NA"/>
    <m/>
    <m/>
    <m/>
    <m/>
    <n v="0"/>
    <n v="13"/>
    <n v="0"/>
    <n v="13"/>
    <n v="0"/>
    <n v="0"/>
    <n v="13"/>
    <s v="Attending known food item"/>
    <s v="First mushroom visit"/>
    <n v="0"/>
    <n v="0"/>
  </r>
  <r>
    <s v="DSCN0024"/>
    <s v="WW0828_5"/>
    <n v="5"/>
    <n v="1"/>
    <s v="WAC West"/>
    <d v="2018-08-28T00:00:00"/>
    <s v="August"/>
    <x v="1"/>
    <d v="1899-12-30T01:07:00"/>
    <s v="Partly cloudy"/>
    <x v="0"/>
    <s v="Foraging"/>
    <s v="Spruce"/>
    <n v="1"/>
    <m/>
    <n v="0"/>
    <s v="Mushroom"/>
    <s v="Mushroom"/>
    <s v="Spruce exterior foliage"/>
    <s v="NA"/>
    <s v="NA"/>
    <s v="NA"/>
    <s v="NA"/>
    <m/>
    <m/>
    <s v="NA"/>
    <s v="NA"/>
    <m/>
    <m/>
    <m/>
    <m/>
    <n v="0"/>
    <n v="18"/>
    <n v="0"/>
    <n v="18"/>
    <n v="0"/>
    <n v="0"/>
    <n v="18"/>
    <s v="Attending known food item"/>
    <s v="Second visit to mushroom that was cached in tree.  Original cacher unknown"/>
    <n v="0"/>
    <n v="0"/>
  </r>
  <r>
    <s v="DSCN0034"/>
    <s v="WW0828_11"/>
    <n v="11"/>
    <n v="1"/>
    <s v="WAC West"/>
    <d v="2018-08-28T00:00:00"/>
    <s v="August"/>
    <x v="1"/>
    <d v="1899-12-30T00:33:00"/>
    <s v="Partly cloudy"/>
    <x v="0"/>
    <s v="Foraging"/>
    <s v="Spruce"/>
    <s v="unknown"/>
    <m/>
    <n v="1"/>
    <s v="Unknown"/>
    <s v="unknown"/>
    <s v="Spruce trunk"/>
    <s v="Sprunce trunk at base of branch joint"/>
    <s v="Spruce"/>
    <s v="Trunk"/>
    <s v="Under bark"/>
    <m/>
    <m/>
    <n v="0"/>
    <s v="Did not mark (did not recognize as cache while in field)"/>
    <m/>
    <m/>
    <m/>
    <m/>
    <n v="11"/>
    <n v="0"/>
    <n v="11"/>
    <n v="0"/>
    <n v="0"/>
    <n v="0"/>
    <n v="11"/>
    <m/>
    <s v="Unclear if foraging or caching initially, B&amp;Ut then picks something off trunk and places it in another part of the tree. "/>
    <n v="0"/>
    <n v="5"/>
  </r>
  <r>
    <s v="DSCN0035"/>
    <s v="WW0828_12"/>
    <n v="12"/>
    <n v="1"/>
    <s v="WAC West"/>
    <d v="2018-08-28T00:00:00"/>
    <s v="August"/>
    <x v="1"/>
    <d v="1899-12-30T00:59:00"/>
    <s v="Partly cloudy"/>
    <x v="0"/>
    <s v="Foraging"/>
    <s v="Spruce"/>
    <s v="unknown"/>
    <m/>
    <n v="0"/>
    <m/>
    <s v="NA"/>
    <s v="NA"/>
    <s v="NA"/>
    <s v="NA"/>
    <s v="NA"/>
    <s v="NA"/>
    <m/>
    <m/>
    <s v="NA"/>
    <s v="NA"/>
    <m/>
    <m/>
    <m/>
    <m/>
    <n v="36"/>
    <n v="0"/>
    <n v="19"/>
    <n v="17"/>
    <n v="0"/>
    <n v="0"/>
    <n v="36"/>
    <s v="Gleaning"/>
    <s v="Pulls something and drops it.  "/>
    <n v="0"/>
    <n v="2"/>
  </r>
  <r>
    <s v="DSCN0075"/>
    <s v="WW0830_5"/>
    <n v="5"/>
    <n v="1"/>
    <s v="WAC West"/>
    <d v="2018-08-30T00:00:00"/>
    <s v="August"/>
    <x v="1"/>
    <d v="1899-12-30T00:27:00"/>
    <s v="Partly cloudy; light rain"/>
    <x v="0"/>
    <s v="Foraging"/>
    <s v="Spruce"/>
    <n v="1"/>
    <m/>
    <n v="1"/>
    <s v="Unknown"/>
    <s v="unknown"/>
    <s v="Ground"/>
    <s v="Exterior bare spruce branch under bark"/>
    <s v="Spruce"/>
    <s v="Exterior"/>
    <s v="Under bark"/>
    <m/>
    <m/>
    <n v="1"/>
    <s v="Did not mark (did not recognize as cache while in field)"/>
    <m/>
    <m/>
    <m/>
    <m/>
    <n v="6"/>
    <n v="0"/>
    <n v="0"/>
    <n v="6"/>
    <n v="11"/>
    <n v="0"/>
    <n v="17"/>
    <s v="unknown"/>
    <s v="Foraging followed by clear cache (spit visible)"/>
    <n v="0"/>
    <n v="0"/>
  </r>
  <r>
    <s v="DSCN0146"/>
    <s v="CC0831_1"/>
    <n v="1"/>
    <n v="1"/>
    <s v="CCAMP"/>
    <d v="2018-08-31T00:00:00"/>
    <s v="August"/>
    <x v="1"/>
    <d v="1899-12-30T00:24:00"/>
    <m/>
    <x v="17"/>
    <s v="Foraging"/>
    <s v="Spruce"/>
    <s v="unknown"/>
    <m/>
    <n v="0"/>
    <m/>
    <s v="NA"/>
    <s v="NA"/>
    <s v="NA"/>
    <s v="NA"/>
    <s v="NA"/>
    <s v="NA"/>
    <m/>
    <m/>
    <s v="NA"/>
    <s v="NA"/>
    <m/>
    <m/>
    <m/>
    <m/>
    <n v="5"/>
    <n v="12"/>
    <n v="12"/>
    <n v="5"/>
    <n v="0"/>
    <n v="0"/>
    <n v="17"/>
    <s v="Searching"/>
    <n v="0"/>
    <n v="0"/>
    <m/>
  </r>
  <r>
    <s v="DSCN0147"/>
    <s v="CC0831_2"/>
    <n v="2"/>
    <n v="1"/>
    <s v="CCAMP"/>
    <d v="2018-08-31T00:00:00"/>
    <s v="August"/>
    <x v="1"/>
    <d v="1899-12-30T00:20:00"/>
    <m/>
    <x v="17"/>
    <s v="Foraging/food handling"/>
    <s v="Spruce"/>
    <n v="1"/>
    <m/>
    <n v="0"/>
    <s v="Unknown"/>
    <s v="unknown"/>
    <s v="Spruce foliage"/>
    <s v="NA"/>
    <s v="NA"/>
    <s v="NA"/>
    <s v="NA"/>
    <m/>
    <m/>
    <s v="NA"/>
    <s v="NA"/>
    <m/>
    <m/>
    <m/>
    <m/>
    <n v="0"/>
    <n v="2"/>
    <n v="0"/>
    <n v="2"/>
    <n v="0"/>
    <n v="0"/>
    <n v="2"/>
    <m/>
    <s v="Recovered medium sized object and took it to tree interior and then shook it around.  Full throat pouch indicates it did not cache it.  "/>
    <m/>
    <m/>
  </r>
  <r>
    <s v="DSCN0149"/>
    <s v="CC0831_3"/>
    <n v="3"/>
    <n v="1"/>
    <s v="CCAMP"/>
    <d v="2018-08-31T00:00:00"/>
    <s v="August"/>
    <x v="1"/>
    <d v="1899-12-30T00:54:00"/>
    <m/>
    <x v="17"/>
    <s v="Foraging"/>
    <s v="Spruce"/>
    <n v="1"/>
    <m/>
    <n v="0"/>
    <s v="Insect"/>
    <s v="Insect (Moth)"/>
    <s v="Spruce, exterior foliage"/>
    <s v="NA"/>
    <s v="NA"/>
    <s v="NA"/>
    <s v="NA"/>
    <m/>
    <m/>
    <s v="NA"/>
    <s v="NA"/>
    <m/>
    <m/>
    <m/>
    <m/>
    <n v="4"/>
    <n v="28"/>
    <n v="0"/>
    <n v="32"/>
    <n v="0"/>
    <n v="0"/>
    <n v="32"/>
    <s v="Gleaning"/>
    <m/>
    <n v="0"/>
    <n v="1"/>
  </r>
  <r>
    <s v="DSCN0157"/>
    <s v="CC0831_4"/>
    <n v="4"/>
    <n v="1"/>
    <s v="CCAMP"/>
    <d v="2018-08-31T00:00:00"/>
    <s v="August"/>
    <x v="1"/>
    <d v="1899-12-30T00:13:00"/>
    <m/>
    <x v="17"/>
    <s v="Foraging"/>
    <s v="NA"/>
    <s v="unknown"/>
    <m/>
    <n v="0"/>
    <s v="Unknown"/>
    <s v="Unknown"/>
    <s v="NA"/>
    <s v="NA"/>
    <s v="NA"/>
    <s v="NA"/>
    <s v="NA"/>
    <m/>
    <m/>
    <s v="NA"/>
    <s v="NA"/>
    <m/>
    <m/>
    <m/>
    <m/>
    <n v="0"/>
    <n v="0"/>
    <n v="0"/>
    <n v="0"/>
    <n v="10"/>
    <n v="0"/>
    <n v="10"/>
    <s v="unknown"/>
    <m/>
    <n v="0"/>
    <n v="0"/>
  </r>
  <r>
    <s v="DSCN0158"/>
    <s v="CC0831_5"/>
    <n v="5"/>
    <n v="1"/>
    <s v="CCAMP"/>
    <d v="2018-08-31T00:00:00"/>
    <s v="August"/>
    <x v="1"/>
    <d v="1899-12-30T01:32:00"/>
    <m/>
    <x v="17"/>
    <s v="Foraging"/>
    <s v="NA"/>
    <n v="1"/>
    <m/>
    <n v="0"/>
    <s v="Unknown"/>
    <s v="Unknown. Probably mushroom.  Something white. "/>
    <s v="Ground"/>
    <s v="NA"/>
    <s v="NA"/>
    <s v="NA"/>
    <s v="NA"/>
    <m/>
    <m/>
    <s v="NA"/>
    <s v="NA"/>
    <m/>
    <m/>
    <m/>
    <m/>
    <n v="0"/>
    <n v="0"/>
    <n v="0"/>
    <n v="0"/>
    <n v="10"/>
    <n v="0"/>
    <n v="10"/>
    <s v="unknown"/>
    <s v="Came from ground carrying white object. Danyan checked area and did not sign signs of eaten mushroom though. "/>
    <n v="0"/>
    <n v="0"/>
  </r>
  <r>
    <s v="DSCN0057"/>
    <s v="CC0829_4"/>
    <n v="4"/>
    <n v="1"/>
    <s v="CCAMP"/>
    <d v="2018-08-29T00:00:00"/>
    <s v="August"/>
    <x v="1"/>
    <d v="1899-12-30T00:28:00"/>
    <s v="Partly cloudy"/>
    <x v="4"/>
    <s v="Foraging"/>
    <s v="NA"/>
    <s v="unknown"/>
    <m/>
    <n v="0"/>
    <m/>
    <s v="NA"/>
    <s v="NA"/>
    <s v="NA"/>
    <s v="NA"/>
    <s v="NA"/>
    <s v="NA"/>
    <m/>
    <m/>
    <s v="NA"/>
    <s v="NA"/>
    <m/>
    <m/>
    <m/>
    <m/>
    <n v="0"/>
    <n v="0"/>
    <n v="0"/>
    <n v="0"/>
    <n v="15"/>
    <n v="0"/>
    <n v="15"/>
    <s v="Searching "/>
    <m/>
    <n v="0"/>
    <n v="0"/>
  </r>
  <r>
    <s v="DSCN0059"/>
    <s v="CC0829_5"/>
    <n v="5"/>
    <n v="1"/>
    <s v="CCAMP"/>
    <d v="2018-08-29T00:00:00"/>
    <s v="August"/>
    <x v="1"/>
    <d v="1899-12-30T02:07:00"/>
    <s v="Partly cloudy"/>
    <x v="4"/>
    <s v="Foraging"/>
    <s v="Spruce"/>
    <n v="1"/>
    <m/>
    <n v="0"/>
    <s v="Unknown"/>
    <s v="Unknown"/>
    <s v="Spruce trunk"/>
    <s v="NA"/>
    <s v="NA"/>
    <s v="NA"/>
    <s v="NA"/>
    <m/>
    <m/>
    <s v="NA"/>
    <s v="NA"/>
    <m/>
    <m/>
    <m/>
    <m/>
    <n v="30"/>
    <n v="0"/>
    <n v="20"/>
    <n v="10"/>
    <n v="71"/>
    <n v="0"/>
    <n v="101"/>
    <s v="Gleaning, searching "/>
    <m/>
    <n v="0"/>
    <n v="9"/>
  </r>
  <r>
    <s v="DSCN0059"/>
    <s v="CC0829_5"/>
    <n v="5"/>
    <n v="2"/>
    <s v="CCAMP"/>
    <d v="2018-08-29T00:00:00"/>
    <s v="August"/>
    <x v="1"/>
    <d v="1899-12-30T02:07:00"/>
    <s v="Partly cloudy"/>
    <x v="4"/>
    <s v="Foraging"/>
    <s v="Spruce"/>
    <n v="1"/>
    <m/>
    <n v="0"/>
    <s v="Unknown"/>
    <s v="Unknown"/>
    <s v="Exterior bare spruce branch tips"/>
    <s v="NA"/>
    <s v="NA"/>
    <s v="NA"/>
    <s v="NA"/>
    <m/>
    <m/>
    <s v="NA"/>
    <s v="NA"/>
    <m/>
    <m/>
    <m/>
    <m/>
    <n v="0"/>
    <n v="0"/>
    <n v="0"/>
    <n v="0"/>
    <n v="0"/>
    <n v="0"/>
    <n v="0"/>
    <s v="Gleaning, searching "/>
    <m/>
    <n v="0"/>
    <n v="9"/>
  </r>
  <r>
    <s v="DSCN0060"/>
    <s v="CC0829_6"/>
    <n v="6"/>
    <n v="1"/>
    <s v="CCAMP"/>
    <d v="2018-08-29T00:00:00"/>
    <s v="August"/>
    <x v="1"/>
    <d v="1899-12-30T00:55:00"/>
    <s v="Partly cloudy"/>
    <x v="4"/>
    <s v="Foraging/caching"/>
    <s v="Spruce"/>
    <n v="3"/>
    <m/>
    <n v="1"/>
    <s v="Berry"/>
    <s v="Berry (Blueberry)"/>
    <s v="Ground"/>
    <s v="Interior spruce branch in witch hair "/>
    <s v="Spruce"/>
    <s v="Interior"/>
    <s v="Branch under witch hair"/>
    <m/>
    <m/>
    <s v="unknown"/>
    <s v="Did not mark (were not marking at this time)"/>
    <m/>
    <m/>
    <m/>
    <m/>
    <n v="0"/>
    <n v="0"/>
    <n v="0"/>
    <n v="0"/>
    <n v="24"/>
    <n v="0"/>
    <n v="24"/>
    <s v="Searching "/>
    <s v="Aquired two berries, we watched it cache one in a tree, B&amp;Ut could not follow it for the second berry.  "/>
    <m/>
    <m/>
  </r>
  <r>
    <s v="DSCN0061"/>
    <s v="CC0829_7"/>
    <n v="7"/>
    <n v="1"/>
    <s v="CCAMP"/>
    <d v="2018-08-29T00:00:00"/>
    <s v="August"/>
    <x v="1"/>
    <d v="1899-12-30T00:20:00"/>
    <s v="Partly cloudy"/>
    <x v="4"/>
    <s v="Caching/foraging"/>
    <s v="Spruce"/>
    <n v="0"/>
    <m/>
    <n v="1"/>
    <s v="Berry"/>
    <s v="Berry (Blueberry)"/>
    <s v="Ground"/>
    <s v="Exterior spruce branch in witch hair"/>
    <s v="Spruce"/>
    <s v="Exterior"/>
    <s v="Branch under witch hair"/>
    <m/>
    <m/>
    <s v="unknown"/>
    <s v="Did not mark (were not marking at this time)"/>
    <m/>
    <m/>
    <m/>
    <m/>
    <n v="0"/>
    <n v="0"/>
    <n v="0"/>
    <n v="0"/>
    <n v="0"/>
    <n v="0"/>
    <n v="0"/>
    <s v="NA"/>
    <m/>
    <m/>
    <m/>
  </r>
  <r>
    <s v="DSCN0028"/>
    <s v="WW0828_8"/>
    <n v="8"/>
    <n v="1"/>
    <s v="WAC West"/>
    <d v="2018-08-28T00:00:00"/>
    <s v="August"/>
    <x v="1"/>
    <d v="1899-12-30T00:24:00"/>
    <s v="Partly cloudy"/>
    <x v="18"/>
    <s v="Foraging"/>
    <s v="NA"/>
    <n v="1"/>
    <m/>
    <n v="0"/>
    <s v="Mushroom"/>
    <s v="Mushroom"/>
    <s v="Ground"/>
    <s v="NA"/>
    <s v="NA"/>
    <s v="NA"/>
    <s v="NA"/>
    <m/>
    <m/>
    <s v="NA"/>
    <s v="NA"/>
    <m/>
    <m/>
    <m/>
    <m/>
    <n v="0"/>
    <n v="0"/>
    <n v="0"/>
    <n v="0"/>
    <n v="10"/>
    <n v="0"/>
    <n v="10"/>
    <s v="Gleaning"/>
    <s v="White item from ground.  Maybe mushroom or flower"/>
    <m/>
    <n v="8"/>
  </r>
  <r>
    <s v="DSCN0031"/>
    <s v="WW0828_9"/>
    <n v="9"/>
    <n v="1"/>
    <s v="WAC West"/>
    <d v="2018-08-28T00:00:00"/>
    <s v="August"/>
    <x v="1"/>
    <d v="1899-12-30T00:13:00"/>
    <s v="Partly cloudy"/>
    <x v="18"/>
    <s v="Foraging"/>
    <s v="Spruce"/>
    <s v="unknown"/>
    <m/>
    <n v="0"/>
    <s v="Unknown"/>
    <s v="Unknown"/>
    <s v="Spruce, exterior foliage"/>
    <s v="NA"/>
    <s v="NA"/>
    <s v="NA"/>
    <s v="NA"/>
    <m/>
    <m/>
    <s v="NA"/>
    <s v="NA"/>
    <m/>
    <m/>
    <m/>
    <m/>
    <n v="0"/>
    <n v="7"/>
    <n v="0"/>
    <n v="7"/>
    <n v="0"/>
    <n v="0"/>
    <n v="7"/>
    <s v="Searching"/>
    <m/>
    <n v="0"/>
    <n v="0"/>
  </r>
  <r>
    <s v="DSCN0072"/>
    <s v="WW0830_2"/>
    <n v="2"/>
    <n v="1"/>
    <s v="WAC West"/>
    <d v="2018-08-30T00:00:00"/>
    <s v="August"/>
    <x v="1"/>
    <d v="1899-12-30T00:31:00"/>
    <s v="Partly cloudy; light rain"/>
    <x v="18"/>
    <s v="Foraging"/>
    <s v="Spruce"/>
    <n v="1"/>
    <m/>
    <s v="Unknown"/>
    <s v="Mushroom"/>
    <s v="Mushroom"/>
    <s v="spruce cache "/>
    <s v="NA"/>
    <m/>
    <m/>
    <m/>
    <m/>
    <m/>
    <s v="NA"/>
    <s v="NA"/>
    <m/>
    <m/>
    <m/>
    <m/>
    <n v="0"/>
    <n v="0"/>
    <n v="0"/>
    <n v="0"/>
    <n v="0"/>
    <n v="0"/>
    <n v="0"/>
    <s v="Food handling"/>
    <s v="Retrieved cached mushroom from bare branch of spruce tree. "/>
    <n v="0"/>
    <n v="0"/>
  </r>
  <r>
    <s v="DSCN0073"/>
    <s v="WW0830_3"/>
    <n v="3"/>
    <n v="1"/>
    <s v="WAC West"/>
    <d v="2018-08-30T00:00:00"/>
    <s v="August"/>
    <x v="1"/>
    <d v="1899-12-30T00:12:00"/>
    <s v="Partly cloudy; light rain"/>
    <x v="18"/>
    <s v="Food handling"/>
    <s v="Spruce"/>
    <n v="0"/>
    <m/>
    <n v="0"/>
    <s v="Mushroom"/>
    <s v="Mushroom"/>
    <s v="spruce cache "/>
    <s v="NA"/>
    <s v="NA"/>
    <s v="NA"/>
    <s v="NA"/>
    <m/>
    <m/>
    <s v="NA"/>
    <s v="NA"/>
    <m/>
    <m/>
    <m/>
    <m/>
    <n v="0"/>
    <n v="0"/>
    <n v="0"/>
    <n v="0"/>
    <n v="0"/>
    <n v="0"/>
    <n v="0"/>
    <s v="Food handling"/>
    <s v="Retrieved cached mushroom from bare branch of spruce tree (might have been the same mushroom from HS0830_2"/>
    <m/>
    <m/>
  </r>
  <r>
    <s v="DSCN0074"/>
    <s v="WW0830_4"/>
    <n v="4"/>
    <n v="1"/>
    <s v="WAC West"/>
    <d v="2018-08-30T00:00:00"/>
    <s v="August"/>
    <x v="1"/>
    <d v="1899-12-30T00:34:00"/>
    <s v="Partly cloudy; light rain"/>
    <x v="18"/>
    <s v="Food handling"/>
    <s v="Spruce"/>
    <n v="0"/>
    <m/>
    <n v="0"/>
    <s v="Mushroom"/>
    <s v="Mushroom"/>
    <s v="spruce cache "/>
    <s v="NA"/>
    <s v="NA"/>
    <s v="NA"/>
    <s v="NA"/>
    <m/>
    <m/>
    <s v="NA"/>
    <s v="NA"/>
    <m/>
    <m/>
    <m/>
    <m/>
    <n v="0"/>
    <n v="0"/>
    <n v="0"/>
    <n v="0"/>
    <n v="0"/>
    <n v="0"/>
    <n v="0"/>
    <s v="Food handling"/>
    <s v="Retrieved cached mushroom from bare branch of spruce tree (might have been the same mushroom from HS0830_2; WAS SAME FROM HS0830_3)"/>
    <m/>
    <m/>
  </r>
  <r>
    <s v="DSCN0076"/>
    <s v="WW0830_6"/>
    <n v="6"/>
    <n v="1"/>
    <s v="WAC West"/>
    <d v="2018-08-30T00:00:00"/>
    <s v="August"/>
    <x v="1"/>
    <d v="1899-12-30T01:15:00"/>
    <s v="Partly cloudy; light rain"/>
    <x v="18"/>
    <s v="Foraging"/>
    <s v="Spruce"/>
    <n v="1"/>
    <m/>
    <n v="0"/>
    <s v="Unknown"/>
    <s v="Unknown"/>
    <s v="Exterior bare spruce branch"/>
    <s v="NA"/>
    <s v="NA"/>
    <s v="NA"/>
    <s v="NA"/>
    <m/>
    <m/>
    <s v="NA"/>
    <s v="NA"/>
    <m/>
    <m/>
    <m/>
    <m/>
    <n v="4"/>
    <n v="0"/>
    <n v="0"/>
    <n v="4"/>
    <n v="26"/>
    <n v="0"/>
    <n v="30"/>
    <s v="appeared to fly directly to places where food was "/>
    <s v="Substance ID by Kaeli as slime mob.  A sample was collected in the field. "/>
    <n v="1"/>
    <n v="0"/>
  </r>
  <r>
    <s v="DSCN0076"/>
    <s v="WW0830_6"/>
    <n v="6"/>
    <n v="2"/>
    <s v="WAC West"/>
    <d v="2018-08-30T00:00:00"/>
    <s v="August"/>
    <x v="1"/>
    <d v="1899-12-30T01:15:00"/>
    <s v="Partly cloudy; light rain"/>
    <x v="18"/>
    <s v="Foraging"/>
    <s v="Spruce"/>
    <n v="1"/>
    <m/>
    <n v="0"/>
    <s v="Misc"/>
    <s v="Slime mold? "/>
    <s v="Ground"/>
    <s v="NA"/>
    <s v="NA"/>
    <s v="NA"/>
    <s v="NA"/>
    <m/>
    <m/>
    <s v="NA"/>
    <s v="NA"/>
    <m/>
    <m/>
    <m/>
    <m/>
    <n v="0"/>
    <n v="0"/>
    <n v="0"/>
    <n v="0"/>
    <n v="0"/>
    <n v="0"/>
    <n v="0"/>
    <s v="appeared to fly directly to places where food was "/>
    <s v="Substance ID by Kaeli as slime mob.  A sample was collected in the field. "/>
    <n v="1"/>
    <n v="0"/>
  </r>
  <r>
    <s v="DSCN0077"/>
    <s v="WW0830_7"/>
    <n v="7"/>
    <n v="1"/>
    <s v="WAC West"/>
    <d v="2018-08-30T00:00:00"/>
    <s v="August"/>
    <x v="1"/>
    <d v="1899-12-30T00:40:00"/>
    <s v="Partly cloudy; light rain"/>
    <x v="18"/>
    <s v="Foraging"/>
    <s v="NA"/>
    <n v="1"/>
    <m/>
    <n v="0"/>
    <s v="Misc"/>
    <s v="Slime mold?"/>
    <s v="Ground"/>
    <s v="NA"/>
    <s v="NA"/>
    <s v="NA"/>
    <s v="NA"/>
    <m/>
    <m/>
    <s v="NA"/>
    <s v="NA"/>
    <m/>
    <m/>
    <m/>
    <m/>
    <n v="0"/>
    <n v="0"/>
    <n v="0"/>
    <n v="0"/>
    <n v="0"/>
    <n v="0"/>
    <n v="0"/>
    <s v="9 second of feeding from slime mold"/>
    <s v="Substance ID by Kaeli as slime mob.  A sample was collected in the field. "/>
    <n v="0"/>
    <n v="0"/>
  </r>
  <r>
    <s v="DSCN0081"/>
    <s v="B&amp;U0830_1"/>
    <n v="1"/>
    <n v="1"/>
    <s v="B&amp;U"/>
    <d v="2018-08-30T00:00:00"/>
    <s v="August"/>
    <x v="1"/>
    <d v="1899-12-30T00:38:00"/>
    <s v="Partly cloudy; light rain"/>
    <x v="6"/>
    <s v="Foraging"/>
    <s v="Spruce"/>
    <s v="unknown"/>
    <m/>
    <s v="Unknown"/>
    <s v="Unknown"/>
    <s v="Unknown"/>
    <s v="unknown"/>
    <s v="unknown"/>
    <m/>
    <m/>
    <m/>
    <m/>
    <m/>
    <s v="NA"/>
    <s v="NA"/>
    <m/>
    <m/>
    <m/>
    <m/>
    <n v="0"/>
    <n v="24"/>
    <n v="24"/>
    <n v="0"/>
    <n v="0"/>
    <n v="0"/>
    <n v="24"/>
    <s v="Searching; unknown"/>
    <s v="Largley blocked by foliage B&amp;Ut it was obviously B&amp;Usy. "/>
    <n v="0"/>
    <n v="0"/>
  </r>
  <r>
    <s v="DSCN0089"/>
    <s v="B&amp;U0830_5"/>
    <n v="5"/>
    <n v="1"/>
    <s v="B&amp;U"/>
    <d v="2018-08-30T00:00:00"/>
    <s v="August"/>
    <x v="1"/>
    <d v="1899-12-30T00:31:00"/>
    <s v="Partly cloudy; light rain"/>
    <x v="6"/>
    <s v="Caching"/>
    <s v="Spruce"/>
    <n v="0"/>
    <m/>
    <n v="1"/>
    <s v="Mushroom"/>
    <s v="Mushroom"/>
    <s v="Spruce bare branch"/>
    <s v="Interior spruce foliage"/>
    <s v="Spruce"/>
    <s v="Interior"/>
    <s v="Foliage"/>
    <m/>
    <m/>
    <s v="unknown"/>
    <s v="Did not mark (were not marking at this time)"/>
    <m/>
    <m/>
    <m/>
    <m/>
    <n v="0"/>
    <n v="0"/>
    <n v="0"/>
    <n v="0"/>
    <n v="0"/>
    <n v="0"/>
    <n v="0"/>
    <s v="caching"/>
    <s v="Cached mushroom from B&amp;U0830_4"/>
    <n v="0"/>
    <n v="0"/>
  </r>
  <r>
    <s v="DSCN0090"/>
    <s v="B&amp;U0830_6"/>
    <n v="6"/>
    <n v="2"/>
    <s v="B&amp;U"/>
    <d v="2018-08-30T00:00:00"/>
    <s v="August"/>
    <x v="1"/>
    <d v="1899-12-30T01:36:00"/>
    <s v="Partly cloudy; light rain"/>
    <x v="6"/>
    <s v="Caching"/>
    <s v="Spruce"/>
    <n v="1"/>
    <m/>
    <n v="0"/>
    <s v="Unknown"/>
    <s v="Unknown"/>
    <s v="Exterior foliated spruce"/>
    <s v="NA"/>
    <s v="NA"/>
    <s v="NA"/>
    <s v="NA"/>
    <m/>
    <m/>
    <s v="NA"/>
    <s v="NA"/>
    <m/>
    <m/>
    <m/>
    <m/>
    <n v="0"/>
    <n v="0"/>
    <n v="0"/>
    <n v="0"/>
    <n v="0"/>
    <n v="0"/>
    <n v="0"/>
    <s v="Searching"/>
    <s v="Pulls something out of tree. Likely &quot;soft&quot;/temporary cache"/>
    <n v="0"/>
    <n v="0"/>
  </r>
  <r>
    <s v="DSCN0090"/>
    <s v="B&amp;U0830_6"/>
    <n v="6"/>
    <n v="1"/>
    <s v="B&amp;U"/>
    <d v="2018-08-30T00:00:00"/>
    <s v="August"/>
    <x v="1"/>
    <d v="1899-12-30T01:36:00"/>
    <s v="Partly cloudy; light rain"/>
    <x v="6"/>
    <s v="Caching"/>
    <s v="Spruce"/>
    <n v="0"/>
    <m/>
    <n v="1"/>
    <s v="Unknown"/>
    <s v="Unknown"/>
    <s v="unknown"/>
    <s v="Under bark of spruce trunk "/>
    <s v="Spruce"/>
    <s v="Trunk"/>
    <s v="Under bark"/>
    <m/>
    <m/>
    <s v="unknown"/>
    <s v="Did not mark (were not marking at this time)"/>
    <m/>
    <m/>
    <m/>
    <m/>
    <n v="6"/>
    <n v="25"/>
    <n v="16"/>
    <n v="15"/>
    <n v="0"/>
    <n v="0"/>
    <n v="31"/>
    <s v="Searching"/>
    <s v="Something happens at 0:10 mark B&amp;Ut unclear if foraging or caching. Following cache is very clear."/>
    <n v="0"/>
    <n v="0"/>
  </r>
  <r>
    <s v="DSCN0090"/>
    <s v="B&amp;U0830_6"/>
    <n v="6"/>
    <n v="3"/>
    <s v="B&amp;U"/>
    <d v="2018-08-30T00:00:00"/>
    <s v="August"/>
    <x v="1"/>
    <d v="1899-12-30T01:36:00"/>
    <s v="Partly cloudy; light rain"/>
    <x v="6"/>
    <s v="Caching"/>
    <s v="Spruce"/>
    <n v="0"/>
    <m/>
    <n v="1"/>
    <s v="Unknown"/>
    <s v="Unknown"/>
    <s v="Exterior foliated spruce"/>
    <s v="Exterior spruce branch under bark/witch hair"/>
    <s v="Spruce"/>
    <s v="Exterior"/>
    <s v="Branch under witch hair"/>
    <m/>
    <m/>
    <s v="unknown"/>
    <s v="Did not mark (were not marking at this time)"/>
    <m/>
    <m/>
    <m/>
    <m/>
    <n v="0"/>
    <n v="0"/>
    <n v="0"/>
    <n v="0"/>
    <n v="0"/>
    <n v="0"/>
    <n v="0"/>
    <s v="Searching"/>
    <s v="Caches item from earlier in clip. "/>
    <n v="0"/>
    <n v="0"/>
  </r>
  <r>
    <s v="DSCN0096"/>
    <s v="B&amp;U0830_9"/>
    <n v="9"/>
    <n v="1"/>
    <s v="B&amp;U"/>
    <d v="2018-08-30T00:00:00"/>
    <s v="August"/>
    <x v="1"/>
    <d v="1899-12-30T00:51:00"/>
    <s v="Partly cloudy; light rain"/>
    <x v="6"/>
    <s v="Caching/foraging"/>
    <s v="Spruce"/>
    <n v="1"/>
    <m/>
    <n v="1"/>
    <s v="Mushroom"/>
    <s v="Mushroom"/>
    <s v="Interior spruce tree"/>
    <s v="Interior spruce foliage"/>
    <s v="Spruce"/>
    <s v="Interior"/>
    <s v="Foliage"/>
    <m/>
    <m/>
    <s v="unknown"/>
    <s v="Did not mark (were not marking at this time)"/>
    <m/>
    <m/>
    <m/>
    <m/>
    <s v="unknown"/>
    <s v="unknown"/>
    <s v="unknown"/>
    <s v="unknown"/>
    <n v="8"/>
    <n v="0"/>
    <n v="8"/>
    <s v="unknown"/>
    <s v="Unclear if foraging or looking for cache location.  Was clearly manipulating food in bill. "/>
    <m/>
    <m/>
  </r>
  <r>
    <s v="DSCN0108"/>
    <s v="RC0831_1"/>
    <n v="1"/>
    <n v="1"/>
    <s v="Rock Creek"/>
    <d v="2018-08-31T00:00:00"/>
    <s v="August"/>
    <x v="1"/>
    <d v="1899-12-30T00:26:00"/>
    <m/>
    <x v="19"/>
    <s v="Foraging"/>
    <s v="NA"/>
    <n v="0"/>
    <m/>
    <n v="0"/>
    <m/>
    <s v="NA"/>
    <s v="NA"/>
    <s v="NA"/>
    <s v="NA"/>
    <s v="NA"/>
    <s v="NA"/>
    <m/>
    <m/>
    <s v="NA"/>
    <s v="NA"/>
    <m/>
    <m/>
    <m/>
    <m/>
    <n v="0"/>
    <n v="0"/>
    <n v="0"/>
    <n v="0"/>
    <n v="26"/>
    <n v="0"/>
    <n v="26"/>
    <s v="Searching"/>
    <s v="was searching a squirrel midden "/>
    <n v="0"/>
    <n v="0"/>
  </r>
  <r>
    <s v="DSCN0046"/>
    <s v="CC0829_1"/>
    <n v="1"/>
    <n v="1"/>
    <s v="CCAMP"/>
    <d v="2018-08-29T00:00:00"/>
    <s v="August"/>
    <x v="1"/>
    <d v="1899-12-30T00:10:00"/>
    <s v="Partly cloudy"/>
    <x v="20"/>
    <s v="Foraging"/>
    <s v="Spruce"/>
    <s v="unknown"/>
    <m/>
    <n v="0"/>
    <m/>
    <s v="NA"/>
    <s v="NA"/>
    <s v="NA"/>
    <s v="NA"/>
    <s v="NA"/>
    <s v="NA"/>
    <m/>
    <m/>
    <s v="NA"/>
    <s v="NA"/>
    <m/>
    <m/>
    <m/>
    <m/>
    <n v="10"/>
    <n v="0"/>
    <n v="10"/>
    <n v="0"/>
    <n v="0"/>
    <n v="0"/>
    <n v="10"/>
    <s v="Searching "/>
    <m/>
    <n v="0"/>
    <n v="0"/>
  </r>
  <r>
    <s v="DSCN0013"/>
    <s v="WW0828_1"/>
    <n v="1"/>
    <n v="1"/>
    <s v="WAC West"/>
    <d v="2018-08-28T00:00:00"/>
    <s v="August"/>
    <x v="1"/>
    <d v="1899-12-30T00:42:00"/>
    <s v="Partly cloudy"/>
    <x v="11"/>
    <s v="Foraging"/>
    <s v="Spruce"/>
    <s v="unknown"/>
    <m/>
    <s v="Unknown"/>
    <s v="Unknown"/>
    <s v="Unknown"/>
    <s v="unknown"/>
    <s v="NA"/>
    <m/>
    <m/>
    <m/>
    <m/>
    <m/>
    <s v="NA"/>
    <s v="NA"/>
    <m/>
    <m/>
    <m/>
    <m/>
    <n v="0"/>
    <n v="44"/>
    <n v="26"/>
    <n v="18"/>
    <n v="0"/>
    <n v="0"/>
    <n v="44"/>
    <s v="Searching"/>
    <m/>
    <n v="0"/>
    <n v="0"/>
  </r>
  <r>
    <s v="DSCN0015"/>
    <s v="WW0828_2"/>
    <n v="2"/>
    <n v="1"/>
    <s v="WAC West"/>
    <d v="2018-08-28T00:00:00"/>
    <s v="August"/>
    <x v="1"/>
    <d v="1899-12-30T00:11:00"/>
    <s v="Partly cloudy"/>
    <x v="11"/>
    <s v="Foraging"/>
    <s v="Spruce"/>
    <s v="unknown"/>
    <m/>
    <n v="0"/>
    <s v="Unknown"/>
    <s v="Unknown"/>
    <s v="unknown"/>
    <s v="NA"/>
    <s v="NA"/>
    <s v="NA"/>
    <s v="NA"/>
    <m/>
    <m/>
    <s v="NA"/>
    <s v="NA"/>
    <m/>
    <m/>
    <m/>
    <m/>
    <n v="0"/>
    <n v="10"/>
    <n v="0"/>
    <n v="10"/>
    <n v="0"/>
    <n v="0"/>
    <n v="10"/>
    <s v="Gleaning"/>
    <m/>
    <n v="0"/>
    <n v="1"/>
  </r>
  <r>
    <s v="DSCN0020"/>
    <s v="WW0828_3"/>
    <n v="3"/>
    <n v="1"/>
    <s v="WAC West"/>
    <d v="2018-08-28T00:00:00"/>
    <s v="August"/>
    <x v="1"/>
    <d v="1899-12-30T00:28:00"/>
    <s v="Partly cloudy"/>
    <x v="11"/>
    <s v="Food handling"/>
    <s v="Spruce"/>
    <n v="1"/>
    <m/>
    <n v="0"/>
    <s v="Unknown"/>
    <s v="Unknown"/>
    <s v="unknown"/>
    <s v="NA"/>
    <s v="NA"/>
    <s v="NA"/>
    <s v="NA"/>
    <m/>
    <m/>
    <s v="NA"/>
    <s v="NA"/>
    <m/>
    <m/>
    <m/>
    <m/>
    <n v="21"/>
    <n v="0"/>
    <n v="0"/>
    <n v="21"/>
    <n v="0"/>
    <n v="0"/>
    <n v="21"/>
    <s v="Food handling"/>
    <s v="Best guess is dried animal product "/>
    <n v="0"/>
    <n v="0"/>
  </r>
  <r>
    <s v="DSCN0021"/>
    <s v="WW0828_4"/>
    <n v="4"/>
    <n v="1"/>
    <s v="WAC West"/>
    <d v="2018-08-28T00:00:00"/>
    <s v="August"/>
    <x v="1"/>
    <d v="1899-12-30T00:33:00"/>
    <s v="Partly cloudy"/>
    <x v="11"/>
    <s v="Caching, forgaging"/>
    <s v="Spruce"/>
    <s v="unknown"/>
    <m/>
    <n v="1"/>
    <s v="Unknown"/>
    <s v="Unknown"/>
    <s v="unknown"/>
    <s v="Spruce trunk under bark"/>
    <s v="Spruce"/>
    <s v="Trunk"/>
    <s v="Under bark"/>
    <m/>
    <m/>
    <s v="unknown"/>
    <s v="Did not mark (did not recognize as cache while in field)"/>
    <m/>
    <m/>
    <m/>
    <m/>
    <n v="33"/>
    <n v="0"/>
    <n v="33"/>
    <n v="0"/>
    <n v="0"/>
    <n v="0"/>
    <n v="33"/>
    <s v="Gleaning"/>
    <s v="Birds moves to other side of trunk and emerges with food.  Unclear if it got from from trunk or is just manipulating previously aquired food though so not counted as food acquisition. "/>
    <n v="0"/>
    <n v="0"/>
  </r>
  <r>
    <s v="DSCN0021"/>
    <s v="WW0828_4"/>
    <n v="4"/>
    <n v="2"/>
    <s v="WAC West"/>
    <d v="2018-08-28T00:00:00"/>
    <s v="August"/>
    <x v="1"/>
    <d v="1899-12-30T00:33:00"/>
    <s v="Partly cloudy"/>
    <x v="11"/>
    <s v="Foraging"/>
    <s v="Spruce"/>
    <s v="unknown"/>
    <m/>
    <n v="1"/>
    <s v="Unknown"/>
    <s v="Unknown"/>
    <s v="unknown"/>
    <s v="Interior bare spruce branch"/>
    <s v="Spruce"/>
    <s v="Interior"/>
    <s v="Branch"/>
    <m/>
    <m/>
    <s v="unknown"/>
    <s v="Did not mark (did not recognize as cache while in field)"/>
    <m/>
    <m/>
    <m/>
    <m/>
    <n v="0"/>
    <n v="0"/>
    <n v="0"/>
    <n v="0"/>
    <n v="0"/>
    <n v="0"/>
    <n v="0"/>
    <s v="Gleaning"/>
    <m/>
    <n v="0"/>
    <n v="0"/>
  </r>
  <r>
    <s v="DSCN0026"/>
    <s v="WW0828_7"/>
    <n v="7"/>
    <n v="1"/>
    <s v="WAC West"/>
    <d v="2018-08-28T00:00:00"/>
    <s v="August"/>
    <x v="1"/>
    <d v="1899-12-30T00:21:00"/>
    <s v="Partly cloudy"/>
    <x v="11"/>
    <s v="Foraging"/>
    <s v="NA"/>
    <s v="unknown"/>
    <m/>
    <n v="0"/>
    <s v="Unknown"/>
    <s v="Unknown"/>
    <s v="unknown"/>
    <s v="NA"/>
    <s v="NA"/>
    <s v="NA"/>
    <s v="NA"/>
    <m/>
    <m/>
    <s v="NA"/>
    <s v="NA"/>
    <m/>
    <m/>
    <m/>
    <m/>
    <n v="0"/>
    <n v="0"/>
    <n v="0"/>
    <n v="0"/>
    <n v="15"/>
    <n v="0"/>
    <n v="15"/>
    <s v="Searching/gleaning"/>
    <m/>
    <n v="0"/>
    <s v="unknown"/>
  </r>
  <r>
    <s v="DSCN0032"/>
    <s v="WW0828_10"/>
    <n v="10"/>
    <n v="1"/>
    <s v="WAC West"/>
    <d v="2018-08-28T00:00:00"/>
    <s v="August"/>
    <x v="1"/>
    <d v="1899-12-30T00:41:00"/>
    <s v="Partly cloudy"/>
    <x v="11"/>
    <s v="Foraging"/>
    <s v="Spruce"/>
    <n v="0"/>
    <m/>
    <n v="0"/>
    <m/>
    <s v="NA"/>
    <s v="NA"/>
    <s v="NA"/>
    <s v="NA"/>
    <s v="NA"/>
    <s v="NA"/>
    <m/>
    <m/>
    <s v="NA"/>
    <s v="NA"/>
    <m/>
    <m/>
    <m/>
    <m/>
    <n v="0"/>
    <n v="0"/>
    <n v="0"/>
    <n v="0"/>
    <n v="0"/>
    <n v="0"/>
    <n v="0"/>
    <s v="Searching"/>
    <s v="General searching from branch/perches"/>
    <n v="0"/>
    <n v="0"/>
  </r>
  <r>
    <s v="DSCN0037"/>
    <s v="WW0828_13"/>
    <n v="13"/>
    <n v="1"/>
    <s v="WAC West"/>
    <d v="2018-08-28T00:00:00"/>
    <s v="August"/>
    <x v="1"/>
    <d v="1899-12-30T00:12:00"/>
    <s v="Partly cloudy"/>
    <x v="11"/>
    <s v="Foraging"/>
    <s v="Spruce"/>
    <n v="1"/>
    <m/>
    <n v="0"/>
    <s v="Unknown"/>
    <s v="unknown food bolous (or berry?)"/>
    <s v="Interior spruce foliage"/>
    <s v="NA"/>
    <s v="NA"/>
    <s v="NA"/>
    <s v="NA"/>
    <m/>
    <m/>
    <s v="NA"/>
    <s v="NA"/>
    <m/>
    <m/>
    <m/>
    <m/>
    <n v="0"/>
    <n v="5"/>
    <n v="0"/>
    <n v="5"/>
    <n v="0"/>
    <n v="0"/>
    <n v="5"/>
    <s v="Gleaning"/>
    <s v="Looks like bolous"/>
    <n v="0"/>
    <n v="1"/>
  </r>
  <r>
    <s v="DSCN0043"/>
    <s v="B&amp;U0828_1"/>
    <n v="1"/>
    <n v="1"/>
    <s v="B&amp;U"/>
    <d v="2018-08-28T00:00:00"/>
    <s v="August"/>
    <x v="1"/>
    <d v="1899-12-30T00:14:00"/>
    <s v="Partly cloudy"/>
    <x v="11"/>
    <s v="Foraging"/>
    <s v="Spruce"/>
    <s v="unknown"/>
    <m/>
    <n v="0"/>
    <s v="Unknown"/>
    <s v="Unknown"/>
    <s v="NA"/>
    <s v="NA"/>
    <s v="NA"/>
    <s v="NA"/>
    <s v="NA"/>
    <m/>
    <m/>
    <s v="NA"/>
    <s v="NA"/>
    <m/>
    <m/>
    <m/>
    <m/>
    <n v="0"/>
    <n v="7"/>
    <n v="0"/>
    <n v="7"/>
    <n v="0"/>
    <n v="0"/>
    <n v="7"/>
    <s v="Gleaning"/>
    <m/>
    <n v="0"/>
    <n v="1"/>
  </r>
  <r>
    <s v="DSCN0055"/>
    <s v="CC0829_2"/>
    <n v="2"/>
    <n v="1"/>
    <s v="CCAMP"/>
    <d v="2018-08-29T00:00:00"/>
    <s v="August"/>
    <x v="1"/>
    <d v="1899-12-30T00:41:00"/>
    <s v="Partly cloudy"/>
    <x v="11"/>
    <s v="Foraging"/>
    <s v="Spruce"/>
    <s v="unknown"/>
    <m/>
    <s v="Unknown"/>
    <s v="Unknown"/>
    <s v="Unknown"/>
    <s v="unknown"/>
    <s v="unknown"/>
    <m/>
    <m/>
    <m/>
    <m/>
    <m/>
    <s v="NA"/>
    <s v="NA"/>
    <m/>
    <m/>
    <m/>
    <m/>
    <n v="0"/>
    <n v="8"/>
    <n v="0"/>
    <n v="8"/>
    <n v="0"/>
    <n v="0"/>
    <n v="8"/>
    <s v="Gleaning"/>
    <m/>
    <n v="0"/>
    <n v="2"/>
  </r>
  <r>
    <s v="DSCN0065"/>
    <s v="WW0830_1"/>
    <n v="1"/>
    <n v="1"/>
    <s v="WAC West"/>
    <d v="2018-08-30T00:00:00"/>
    <s v="August"/>
    <x v="1"/>
    <d v="1899-12-30T00:19:00"/>
    <s v="Partly cloudy; light rain"/>
    <x v="11"/>
    <s v="Foraging/food handling"/>
    <s v="NA"/>
    <n v="1"/>
    <m/>
    <n v="0"/>
    <s v="Insect"/>
    <s v="Insect (slug)"/>
    <s v="ground"/>
    <s v="NA"/>
    <s v="NA"/>
    <s v="NA"/>
    <s v="NA"/>
    <m/>
    <m/>
    <s v="NA"/>
    <s v="NA"/>
    <m/>
    <m/>
    <m/>
    <m/>
    <n v="0"/>
    <n v="0"/>
    <n v="0"/>
    <n v="0"/>
    <n v="0"/>
    <n v="0"/>
    <n v="0"/>
    <s v="Food handling"/>
    <m/>
    <m/>
    <m/>
  </r>
  <r>
    <s v="DSCN0110"/>
    <s v="RC0831_2"/>
    <n v="2"/>
    <n v="1"/>
    <s v="Rock Creek"/>
    <d v="2018-08-31T00:00:00"/>
    <s v="August"/>
    <x v="1"/>
    <d v="1899-12-30T00:37:00"/>
    <m/>
    <x v="11"/>
    <s v="Foraging"/>
    <s v="NA"/>
    <n v="1"/>
    <m/>
    <n v="0"/>
    <s v="Berry"/>
    <s v="Berry (Blueberry)"/>
    <s v="Ground"/>
    <s v="NA"/>
    <s v="NA"/>
    <s v="NA"/>
    <s v="NA"/>
    <m/>
    <m/>
    <s v="NA"/>
    <s v="NA"/>
    <m/>
    <m/>
    <m/>
    <m/>
    <n v="0"/>
    <n v="0"/>
    <n v="0"/>
    <n v="0"/>
    <n v="6"/>
    <n v="0"/>
    <n v="6"/>
    <s v="plucking berries"/>
    <m/>
    <m/>
    <m/>
  </r>
  <r>
    <s v="DSCN0115"/>
    <s v="RC0831_3"/>
    <n v="3"/>
    <n v="1"/>
    <s v="Rock Creek"/>
    <d v="2018-08-31T00:00:00"/>
    <s v="August"/>
    <x v="1"/>
    <d v="1899-12-30T00:55:00"/>
    <m/>
    <x v="11"/>
    <s v="Foraging"/>
    <s v="Spruce"/>
    <n v="1"/>
    <m/>
    <n v="0"/>
    <s v="Unknown"/>
    <s v="Unknown"/>
    <s v="Ground"/>
    <s v="NA"/>
    <s v="NA"/>
    <s v="NA"/>
    <s v="NA"/>
    <m/>
    <m/>
    <s v="NA"/>
    <s v="NA"/>
    <m/>
    <m/>
    <m/>
    <m/>
    <n v="0"/>
    <n v="0"/>
    <n v="0"/>
    <n v="0"/>
    <n v="19"/>
    <n v="0"/>
    <n v="19"/>
    <s v="unknown"/>
    <s v="Has piece of food while in spruce tree, B&amp;Ut unclear where it got it from.  "/>
    <m/>
    <m/>
  </r>
  <r>
    <s v="DSCN0115"/>
    <s v="RC0831_3"/>
    <n v="3"/>
    <n v="2"/>
    <s v="Rock Creek"/>
    <d v="2018-08-31T00:00:00"/>
    <s v="August"/>
    <x v="1"/>
    <d v="1899-12-30T00:55:00"/>
    <m/>
    <x v="11"/>
    <s v="Foraging"/>
    <s v="Spruce"/>
    <n v="1"/>
    <m/>
    <n v="0"/>
    <s v="Unknown"/>
    <s v="Unknown"/>
    <s v="Ground"/>
    <s v="NA"/>
    <s v="NA"/>
    <s v="NA"/>
    <s v="NA"/>
    <m/>
    <m/>
    <s v="NA"/>
    <s v="NA"/>
    <m/>
    <m/>
    <m/>
    <m/>
    <n v="0"/>
    <n v="0"/>
    <n v="0"/>
    <n v="0"/>
    <n v="0"/>
    <n v="0"/>
    <n v="0"/>
    <s v="unknown"/>
    <s v="(foraging obscured by veg)"/>
    <m/>
    <m/>
  </r>
  <r>
    <s v="DSCN0123"/>
    <s v="M3.50831_1"/>
    <n v="1"/>
    <n v="1"/>
    <s v="Mile 3.5"/>
    <d v="2018-08-31T00:00:00"/>
    <s v="August"/>
    <x v="1"/>
    <d v="1899-12-30T00:33:00"/>
    <m/>
    <x v="11"/>
    <s v="Foraging"/>
    <s v="Spruce"/>
    <s v="unknown"/>
    <m/>
    <s v="Unknown"/>
    <s v="Unknown"/>
    <s v="Unknown"/>
    <s v="NA"/>
    <s v="NA"/>
    <m/>
    <m/>
    <m/>
    <m/>
    <m/>
    <s v="NA"/>
    <s v="NA"/>
    <m/>
    <m/>
    <m/>
    <m/>
    <n v="33"/>
    <n v="0"/>
    <n v="33"/>
    <n v="0"/>
    <n v="0"/>
    <n v="0"/>
    <n v="33"/>
    <s v="unknown"/>
    <m/>
    <m/>
    <m/>
  </r>
  <r>
    <s v="DSCN0133"/>
    <s v="M3.50831_6"/>
    <n v="6"/>
    <n v="1"/>
    <s v="Mile 3.5"/>
    <d v="2018-08-31T00:00:00"/>
    <s v="August"/>
    <x v="1"/>
    <d v="1899-12-30T00:18:00"/>
    <m/>
    <x v="11"/>
    <s v="Foraging"/>
    <s v="Spruce"/>
    <n v="1"/>
    <m/>
    <n v="0"/>
    <s v="Unknown"/>
    <s v="Unknown"/>
    <s v="Interior spruce foliage"/>
    <s v="NA"/>
    <s v="NA"/>
    <s v="NA"/>
    <s v="NA"/>
    <m/>
    <m/>
    <s v="NA"/>
    <s v="NA"/>
    <m/>
    <m/>
    <m/>
    <m/>
    <n v="0"/>
    <n v="0"/>
    <n v="0"/>
    <n v="0"/>
    <n v="0"/>
    <n v="0"/>
    <n v="0"/>
    <m/>
    <s v="recovered large (almond sized) object from spruce needles.  Possibly previous cache? "/>
    <m/>
    <m/>
  </r>
  <r>
    <s v="DSCN0126"/>
    <s v="M3.50831_2"/>
    <n v="2"/>
    <n v="1"/>
    <s v="Mile 3.5"/>
    <d v="2018-08-31T00:00:00"/>
    <s v="August"/>
    <x v="1"/>
    <d v="1899-12-30T00:07:00"/>
    <m/>
    <x v="21"/>
    <s v="Foraging"/>
    <s v="Spruce"/>
    <s v="unknown"/>
    <m/>
    <s v="Unknown"/>
    <s v="Unknown"/>
    <s v="Unknown"/>
    <s v="NA"/>
    <s v="NA"/>
    <m/>
    <m/>
    <m/>
    <m/>
    <m/>
    <s v="NA"/>
    <s v="NA"/>
    <m/>
    <m/>
    <m/>
    <m/>
    <n v="0"/>
    <n v="7"/>
    <n v="0"/>
    <n v="7"/>
    <n v="0"/>
    <n v="0"/>
    <n v="7"/>
    <s v="Gleaning"/>
    <n v="0"/>
    <n v="0"/>
    <n v="5"/>
  </r>
  <r>
    <s v="DSCN0083"/>
    <s v="B&amp;U0830_2"/>
    <n v="2"/>
    <n v="1"/>
    <s v="B&amp;U"/>
    <d v="2018-08-30T00:00:00"/>
    <s v="August"/>
    <x v="1"/>
    <d v="1899-12-30T00:45:00"/>
    <s v="Partly cloudy; light rain"/>
    <x v="14"/>
    <s v="Unknown"/>
    <s v="Spruce"/>
    <s v="unknown"/>
    <m/>
    <s v="Unknown"/>
    <s v="Unknown"/>
    <s v="Unknown"/>
    <s v="unknown"/>
    <s v="unknown"/>
    <m/>
    <m/>
    <m/>
    <m/>
    <m/>
    <s v="NA"/>
    <s v="NA"/>
    <m/>
    <m/>
    <m/>
    <m/>
    <s v="unknown"/>
    <s v="unknown"/>
    <s v="unknown"/>
    <s v="unknown"/>
    <n v="0"/>
    <n v="0"/>
    <n v="0"/>
    <s v="unknown"/>
    <s v="Was doing something in the foliated interior of a spruce B&amp;Ut who knows what?! "/>
    <n v="0"/>
    <n v="0"/>
  </r>
  <r>
    <s v="DSCN0085"/>
    <s v="B&amp;U0830_3"/>
    <n v="3"/>
    <n v="1"/>
    <s v="B&amp;U"/>
    <d v="2018-08-30T00:00:00"/>
    <s v="August"/>
    <x v="1"/>
    <d v="1899-12-30T00:51:00"/>
    <s v="Partly cloudy; light rain"/>
    <x v="14"/>
    <s v="Foraging/unknown"/>
    <s v="Spruce"/>
    <s v="unknown"/>
    <m/>
    <s v="Unknown"/>
    <s v="Unknown"/>
    <s v="Unknown"/>
    <s v="NA"/>
    <s v="NA"/>
    <m/>
    <m/>
    <m/>
    <m/>
    <m/>
    <s v="NA"/>
    <s v="NA"/>
    <m/>
    <m/>
    <m/>
    <m/>
    <n v="23"/>
    <n v="0"/>
    <n v="0"/>
    <n v="23"/>
    <n v="0"/>
    <n v="0"/>
    <n v="23"/>
    <s v="Searching; unknown"/>
    <s v="Spent 22 second in interior on trunk doing something…"/>
    <n v="0"/>
    <n v="0"/>
  </r>
  <r>
    <s v="DSCN0088"/>
    <s v="B&amp;U0830_4"/>
    <n v="4"/>
    <n v="1"/>
    <s v="B&amp;U"/>
    <d v="2018-08-30T00:00:00"/>
    <s v="August"/>
    <x v="1"/>
    <d v="1899-12-30T00:32:00"/>
    <s v="Partly cloudy; light rain"/>
    <x v="14"/>
    <s v="Food handling"/>
    <s v="Spruce"/>
    <n v="1"/>
    <m/>
    <s v="Unknown"/>
    <s v="Mushroom"/>
    <s v="Mushroom"/>
    <s v="Unknown"/>
    <s v="NA"/>
    <m/>
    <m/>
    <m/>
    <m/>
    <m/>
    <s v="NA"/>
    <s v="NA"/>
    <m/>
    <m/>
    <m/>
    <m/>
    <n v="0"/>
    <n v="0"/>
    <n v="0"/>
    <n v="0"/>
    <n v="0"/>
    <n v="0"/>
    <n v="0"/>
    <s v="Food handling"/>
    <s v="Eating mushroom; two locations "/>
    <n v="0"/>
    <n v="0"/>
  </r>
  <r>
    <s v="DSCN0092"/>
    <s v="B&amp;U0830_7"/>
    <n v="7"/>
    <n v="1"/>
    <s v="B&amp;U"/>
    <d v="2018-08-30T00:00:00"/>
    <s v="August"/>
    <x v="1"/>
    <d v="1899-12-30T00:28:00"/>
    <s v="Partly cloudy; light rain"/>
    <x v="14"/>
    <s v="Unknown"/>
    <s v="Spruce"/>
    <s v="unknown"/>
    <m/>
    <s v="Unknown"/>
    <s v="Unknown"/>
    <s v="Unknown"/>
    <s v="unknown"/>
    <s v="unknown"/>
    <m/>
    <m/>
    <m/>
    <m/>
    <m/>
    <s v="NA"/>
    <s v="NA"/>
    <m/>
    <m/>
    <m/>
    <m/>
    <s v="unknown"/>
    <s v="unknown"/>
    <s v="unknown"/>
    <s v="unknown"/>
    <n v="0"/>
    <n v="0"/>
    <n v="0"/>
    <s v="unknown"/>
    <s v="Foraging? Looking for cache site? Unclear. "/>
    <n v="0"/>
    <n v="0"/>
  </r>
  <r>
    <s v="DSCN0094"/>
    <s v="B&amp;U0830_8"/>
    <n v="8"/>
    <n v="1"/>
    <s v="B&amp;U"/>
    <d v="2018-08-30T00:00:00"/>
    <s v="August"/>
    <x v="1"/>
    <d v="1899-12-30T00:08:00"/>
    <s v="Partly cloudy; light rain"/>
    <x v="14"/>
    <s v="Foraging"/>
    <s v="Spruce"/>
    <n v="1"/>
    <m/>
    <n v="0"/>
    <s v="Animal flesh"/>
    <s v="Animal/invert flesh "/>
    <s v="Spruce branch"/>
    <s v="NA"/>
    <s v="NA"/>
    <s v="NA"/>
    <s v="NA"/>
    <m/>
    <m/>
    <s v="NA"/>
    <s v="NA"/>
    <m/>
    <m/>
    <m/>
    <m/>
    <n v="0"/>
    <n v="0"/>
    <n v="0"/>
    <n v="0"/>
    <n v="0"/>
    <n v="0"/>
    <n v="0"/>
    <n v="0"/>
    <s v="Food handling only "/>
    <n v="0"/>
    <n v="0"/>
  </r>
  <r>
    <s v="DSCN0097"/>
    <s v="B&amp;U0830_10"/>
    <n v="10"/>
    <n v="1"/>
    <s v="B&amp;U"/>
    <d v="2018-08-30T00:00:00"/>
    <s v="August"/>
    <x v="1"/>
    <d v="1899-12-30T00:30:00"/>
    <s v="Partly cloudy; light rain"/>
    <x v="14"/>
    <s v="Foraging"/>
    <s v="NA"/>
    <n v="1"/>
    <m/>
    <n v="0"/>
    <s v="Berry"/>
    <s v="Berry (Blueberry)"/>
    <s v="Ground"/>
    <s v="NA"/>
    <s v="NA"/>
    <s v="NA"/>
    <s v="NA"/>
    <m/>
    <m/>
    <s v="NA"/>
    <s v="NA"/>
    <m/>
    <m/>
    <m/>
    <m/>
    <n v="0"/>
    <n v="0"/>
    <n v="0"/>
    <n v="0"/>
    <n v="20"/>
    <n v="0"/>
    <n v="20"/>
    <s v="Searching "/>
    <m/>
    <n v="0"/>
    <n v="0"/>
  </r>
  <r>
    <s v="DSCN0100"/>
    <s v="B&amp;U0830_11"/>
    <n v="11"/>
    <n v="1"/>
    <s v="B&amp;U"/>
    <d v="2018-08-30T00:00:00"/>
    <s v="August"/>
    <x v="1"/>
    <d v="1899-12-30T01:54:00"/>
    <s v="Partly cloudy; light rain"/>
    <x v="14"/>
    <s v="Foraging"/>
    <s v="Spruce"/>
    <n v="1"/>
    <m/>
    <n v="0"/>
    <s v="Unknown"/>
    <s v="Unknown"/>
    <s v="Spruce bare branch"/>
    <s v="NA"/>
    <s v="NA"/>
    <s v="NA"/>
    <s v="NA"/>
    <m/>
    <m/>
    <s v="NA"/>
    <s v="NA"/>
    <m/>
    <m/>
    <m/>
    <m/>
    <n v="18"/>
    <n v="0"/>
    <n v="0"/>
    <n v="18"/>
    <n v="0"/>
    <n v="0"/>
    <n v="18"/>
    <s v="Searching "/>
    <m/>
    <n v="0"/>
    <n v="0"/>
  </r>
  <r>
    <s v="DSCN0101"/>
    <s v="B&amp;U0830_12"/>
    <n v="12"/>
    <n v="1"/>
    <s v="B&amp;U"/>
    <d v="2018-08-30T00:00:00"/>
    <s v="August"/>
    <x v="1"/>
    <d v="1899-12-30T00:35:00"/>
    <s v="Partly cloudy; light rain"/>
    <x v="14"/>
    <s v="Foraging"/>
    <s v="Spruce"/>
    <s v="unknown"/>
    <m/>
    <n v="0"/>
    <s v="Unknown"/>
    <s v="Unknown"/>
    <s v="NA"/>
    <s v="NA"/>
    <s v="NA"/>
    <s v="NA"/>
    <s v="NA"/>
    <m/>
    <m/>
    <s v="NA"/>
    <s v="NA"/>
    <m/>
    <m/>
    <m/>
    <m/>
    <n v="18"/>
    <n v="0"/>
    <n v="18"/>
    <n v="0"/>
    <n v="0"/>
    <n v="0"/>
    <n v="18"/>
    <s v="Searching "/>
    <m/>
    <n v="0"/>
    <n v="1"/>
  </r>
  <r>
    <s v="DSCN0128"/>
    <s v="M3.50831_3"/>
    <n v="3"/>
    <n v="1"/>
    <s v="Mile 3.5"/>
    <d v="2018-08-31T00:00:00"/>
    <s v="August"/>
    <x v="1"/>
    <d v="1899-12-30T00:39:00"/>
    <m/>
    <x v="22"/>
    <s v="Foraging or caching"/>
    <s v="Spruce"/>
    <s v="unknown"/>
    <m/>
    <s v="Unknown"/>
    <s v="Unknown"/>
    <s v="Unknown"/>
    <s v="NA"/>
    <s v="NA"/>
    <m/>
    <m/>
    <m/>
    <m/>
    <m/>
    <s v="NA"/>
    <s v="NA"/>
    <m/>
    <m/>
    <m/>
    <m/>
    <n v="34"/>
    <n v="0"/>
    <n v="0"/>
    <n v="34"/>
    <n v="0"/>
    <n v="0"/>
    <n v="34"/>
    <s v="Gleaning"/>
    <n v="0"/>
    <n v="0"/>
    <n v="5"/>
  </r>
  <r>
    <s v="DSCN0130"/>
    <s v="M3.50831_4"/>
    <n v="4"/>
    <n v="1"/>
    <s v="Mile 3.5"/>
    <d v="2018-08-31T00:00:00"/>
    <s v="August"/>
    <x v="1"/>
    <d v="1899-12-30T00:27:00"/>
    <m/>
    <x v="22"/>
    <s v="Foraging"/>
    <s v="Spruce"/>
    <n v="1"/>
    <m/>
    <n v="0"/>
    <s v="Unknown"/>
    <s v="Unknown"/>
    <s v="Spruce foliage"/>
    <s v="NA"/>
    <s v="NA"/>
    <s v="NA"/>
    <s v="NA"/>
    <m/>
    <m/>
    <s v="NA"/>
    <s v="NA"/>
    <m/>
    <m/>
    <m/>
    <m/>
    <n v="0"/>
    <n v="21"/>
    <n v="0"/>
    <n v="21"/>
    <n v="0"/>
    <n v="0"/>
    <n v="21"/>
    <s v="Gleaning"/>
    <n v="0"/>
    <n v="3"/>
    <m/>
  </r>
  <r>
    <s v="DSCN0131"/>
    <s v="M3.50831_5"/>
    <n v="5"/>
    <n v="1"/>
    <s v="Mile 3.5"/>
    <d v="2018-08-31T00:00:00"/>
    <s v="August"/>
    <x v="1"/>
    <d v="1899-12-30T00:06:00"/>
    <m/>
    <x v="22"/>
    <s v="Food handling"/>
    <s v="Spruce"/>
    <n v="1"/>
    <m/>
    <n v="0"/>
    <s v="Insect"/>
    <s v="Insect (grub of caterpillar)"/>
    <s v="unknown"/>
    <s v="NA"/>
    <s v="NA"/>
    <s v="NA"/>
    <s v="NA"/>
    <m/>
    <m/>
    <s v="NA"/>
    <s v="NA"/>
    <m/>
    <m/>
    <m/>
    <m/>
    <n v="0"/>
    <n v="0"/>
    <n v="0"/>
    <n v="0"/>
    <n v="0"/>
    <n v="0"/>
    <n v="0"/>
    <s v="NA"/>
    <s v="NA"/>
    <m/>
    <m/>
  </r>
  <r>
    <s v="DSCN0056"/>
    <s v="CC0829_3"/>
    <n v="3"/>
    <n v="1"/>
    <s v="CCAMP"/>
    <d v="2018-08-29T00:00:00"/>
    <s v="August"/>
    <x v="1"/>
    <d v="1899-12-30T00:27:00"/>
    <s v="Partly cloudy"/>
    <x v="23"/>
    <s v="Foraging"/>
    <s v="Spruce"/>
    <s v="unknown"/>
    <m/>
    <s v="Unknown"/>
    <s v="Unknown"/>
    <s v="Unknown"/>
    <s v="unknown"/>
    <s v="unknown"/>
    <m/>
    <m/>
    <m/>
    <m/>
    <m/>
    <s v="NA"/>
    <s v="NA"/>
    <m/>
    <m/>
    <m/>
    <m/>
    <n v="24"/>
    <n v="0"/>
    <n v="24"/>
    <n v="0"/>
    <n v="0"/>
    <n v="0"/>
    <n v="24"/>
    <s v="Gleaning"/>
    <s v="Multiple birds "/>
    <n v="0"/>
    <s v="unknown"/>
  </r>
  <r>
    <s v="DSCN2562"/>
    <s v="WW0326_2"/>
    <n v="2"/>
    <n v="1"/>
    <s v="WAC West"/>
    <d v="2019-03-26T00:00:00"/>
    <s v="March"/>
    <x v="0"/>
    <d v="1899-12-30T00:53:00"/>
    <s v="Partly Sunny"/>
    <x v="0"/>
    <s v="Foraging"/>
    <s v="NA"/>
    <n v="1"/>
    <n v="0"/>
    <n v="0"/>
    <s v="Unknown"/>
    <s v="unknown"/>
    <s v="Ground"/>
    <s v="NA"/>
    <m/>
    <m/>
    <m/>
    <s v="NA"/>
    <s v="NA"/>
    <s v="NA"/>
    <s v="NA"/>
    <s v="NA"/>
    <m/>
    <m/>
    <m/>
    <n v="0"/>
    <n v="0"/>
    <n v="0"/>
    <n v="0"/>
    <n v="20"/>
    <m/>
    <n v="20"/>
    <s v="Searching"/>
    <m/>
    <m/>
    <m/>
  </r>
  <r>
    <s v="DSCN2563"/>
    <s v="WW0326_3"/>
    <n v="3"/>
    <n v="1"/>
    <s v="WAC West"/>
    <d v="2019-03-26T00:00:00"/>
    <s v="March"/>
    <x v="0"/>
    <d v="1899-12-30T00:56:00"/>
    <s v="Partly Sunny"/>
    <x v="0"/>
    <s v="Foraging/caching"/>
    <s v="Spruce"/>
    <n v="1"/>
    <n v="0"/>
    <n v="1"/>
    <s v="Berry"/>
    <s v="Berries (3)"/>
    <s v="Ground"/>
    <s v="Exterior spruce branch under witch hair"/>
    <s v="Spruce"/>
    <s v="Exterior"/>
    <s v="Under witchhair"/>
    <s v="N"/>
    <n v="335"/>
    <n v="3"/>
    <n v="63.73948"/>
    <n v="148.89815999999999"/>
    <m/>
    <m/>
    <m/>
    <n v="0"/>
    <n v="0"/>
    <n v="0"/>
    <n v="0"/>
    <n v="34"/>
    <m/>
    <n v="34"/>
    <m/>
    <s v="Food acquisition=3 berries B&amp;Ut presumable only cached one. "/>
    <m/>
    <m/>
  </r>
  <r>
    <s v="DSCN2561"/>
    <s v="WW0326_1"/>
    <n v="1"/>
    <n v="1"/>
    <s v="WAC West"/>
    <d v="2019-03-26T00:00:00"/>
    <s v="March"/>
    <x v="0"/>
    <d v="1899-12-30T00:30:00"/>
    <s v="Partly Sunny"/>
    <x v="0"/>
    <s v="Foraging"/>
    <s v="Spruce"/>
    <n v="1"/>
    <n v="1"/>
    <n v="0"/>
    <s v="Berry"/>
    <s v="Berry (cranberry)"/>
    <s v="Exterior spruce bare branch under bark"/>
    <s v="NA"/>
    <m/>
    <m/>
    <m/>
    <s v="NA"/>
    <s v="NA"/>
    <s v="NA"/>
    <s v="NA"/>
    <s v="NA"/>
    <m/>
    <m/>
    <m/>
    <n v="0"/>
    <n v="0"/>
    <n v="0"/>
    <n v="0"/>
    <n v="0"/>
    <m/>
    <n v="0"/>
    <s v="NA"/>
    <s v="Flew straight to cache from other branch"/>
    <m/>
    <m/>
  </r>
  <r>
    <s v="DSCN2701"/>
    <s v="WW0330_1"/>
    <n v="1"/>
    <n v="1"/>
    <s v="WAC West"/>
    <d v="2019-03-30T00:00:00"/>
    <s v="March"/>
    <x v="0"/>
    <d v="1899-12-30T00:29:00"/>
    <m/>
    <x v="0"/>
    <s v="Foraging"/>
    <s v="NA"/>
    <n v="1"/>
    <n v="0"/>
    <n v="0"/>
    <s v="Unknown"/>
    <s v="unknown"/>
    <s v="Ground"/>
    <s v="NA"/>
    <m/>
    <m/>
    <m/>
    <s v="NA"/>
    <s v="NA"/>
    <s v="NA"/>
    <s v="NA"/>
    <s v="NA"/>
    <s v="NA"/>
    <s v="NA"/>
    <m/>
    <n v="0"/>
    <n v="0"/>
    <n v="0"/>
    <n v="0"/>
    <n v="29"/>
    <m/>
    <n v="29"/>
    <s v="Searching"/>
    <m/>
    <m/>
    <m/>
  </r>
  <r>
    <s v="DSCN2707"/>
    <s v="WW0330_5"/>
    <n v="5"/>
    <n v="1"/>
    <s v="WAC West"/>
    <d v="2019-03-30T00:00:00"/>
    <s v="March"/>
    <x v="0"/>
    <d v="1899-12-30T00:19:00"/>
    <m/>
    <x v="0"/>
    <s v="Foraging"/>
    <s v="NA"/>
    <n v="1"/>
    <n v="0"/>
    <n v="0"/>
    <s v="Unknown"/>
    <s v="unknown"/>
    <s v="Ground"/>
    <s v="NA"/>
    <m/>
    <m/>
    <m/>
    <s v="NA"/>
    <s v="NA"/>
    <s v="NA"/>
    <s v="NA"/>
    <s v="NA"/>
    <s v="NA"/>
    <s v="NA"/>
    <m/>
    <n v="0"/>
    <n v="0"/>
    <n v="0"/>
    <n v="0"/>
    <n v="19"/>
    <m/>
    <n v="19"/>
    <s v="Searching"/>
    <m/>
    <m/>
    <m/>
  </r>
  <r>
    <s v="DSCN2713"/>
    <s v="WW0330_10"/>
    <n v="10"/>
    <n v="1"/>
    <s v="WAC West"/>
    <d v="2019-03-30T00:00:00"/>
    <s v="March"/>
    <x v="0"/>
    <d v="1899-12-30T00:21:00"/>
    <m/>
    <x v="0"/>
    <s v="Foraging"/>
    <s v="NA"/>
    <n v="2"/>
    <n v="0"/>
    <n v="0"/>
    <s v="Unknown"/>
    <s v="unknown"/>
    <s v="Ground"/>
    <s v="NA"/>
    <m/>
    <m/>
    <m/>
    <s v="NA"/>
    <s v="NA"/>
    <s v="NA"/>
    <s v="NA"/>
    <s v="NA"/>
    <s v="NA"/>
    <s v="NA"/>
    <m/>
    <n v="0"/>
    <n v="0"/>
    <n v="0"/>
    <n v="0"/>
    <n v="21"/>
    <m/>
    <n v="21"/>
    <s v="Searching"/>
    <m/>
    <m/>
    <m/>
  </r>
  <r>
    <s v="DSCN2709"/>
    <s v="WW0330_7"/>
    <n v="7"/>
    <n v="1"/>
    <s v="WAC West"/>
    <d v="2019-03-30T00:00:00"/>
    <s v="March"/>
    <x v="0"/>
    <d v="1899-12-30T02:43:00"/>
    <m/>
    <x v="0"/>
    <s v="Foraging"/>
    <s v="NA"/>
    <n v="2"/>
    <n v="0"/>
    <n v="0"/>
    <s v="Unknown"/>
    <s v="unknown"/>
    <s v="Ground"/>
    <s v="NA"/>
    <m/>
    <m/>
    <m/>
    <s v="NA"/>
    <s v="NA"/>
    <s v="NA"/>
    <s v="NA"/>
    <s v="NA"/>
    <s v="NA"/>
    <s v="NA"/>
    <m/>
    <n v="0"/>
    <n v="0"/>
    <n v="0"/>
    <n v="0"/>
    <n v="77"/>
    <m/>
    <n v="77"/>
    <s v="Searching"/>
    <m/>
    <m/>
    <m/>
  </r>
  <r>
    <s v="DSCN2718"/>
    <s v="WW0330_15"/>
    <n v="15"/>
    <n v="1"/>
    <s v="WAC West"/>
    <d v="2019-03-30T00:00:00"/>
    <s v="March"/>
    <x v="0"/>
    <d v="1899-12-30T01:06:00"/>
    <m/>
    <x v="0"/>
    <s v="Foraging"/>
    <s v="NA"/>
    <n v="3"/>
    <n v="0"/>
    <n v="0"/>
    <s v="Unknown"/>
    <s v="unknown (Probably B&amp;Ugs)"/>
    <s v="Ground"/>
    <s v="NA"/>
    <m/>
    <m/>
    <m/>
    <s v="NA"/>
    <s v="NA"/>
    <s v="NA"/>
    <s v="NA"/>
    <s v="NA"/>
    <s v="NA"/>
    <s v="NA"/>
    <m/>
    <n v="0"/>
    <n v="0"/>
    <n v="0"/>
    <n v="0"/>
    <n v="66"/>
    <m/>
    <n v="66"/>
    <s v="Searching"/>
    <m/>
    <m/>
    <m/>
  </r>
  <r>
    <s v="DSCN2717"/>
    <s v="WW0330_14"/>
    <n v="14"/>
    <n v="1"/>
    <s v="WAC West"/>
    <d v="2019-03-30T00:00:00"/>
    <s v="March"/>
    <x v="0"/>
    <d v="1899-12-30T02:48:00"/>
    <m/>
    <x v="0"/>
    <s v="Foraging"/>
    <s v="NA"/>
    <n v="4"/>
    <n v="0"/>
    <n v="0"/>
    <s v="Unknown"/>
    <s v="unknown"/>
    <s v="Ground"/>
    <s v="NA"/>
    <m/>
    <m/>
    <m/>
    <s v="NA"/>
    <s v="NA"/>
    <s v="NA"/>
    <s v="NA"/>
    <s v="NA"/>
    <s v="NA"/>
    <s v="NA"/>
    <m/>
    <n v="0"/>
    <n v="0"/>
    <n v="0"/>
    <n v="0"/>
    <n v="150"/>
    <m/>
    <n v="150"/>
    <s v="Searching"/>
    <m/>
    <m/>
    <m/>
  </r>
  <r>
    <s v="DSCN2712"/>
    <s v="WW0330_9"/>
    <n v="9"/>
    <n v="1"/>
    <s v="WAC West"/>
    <d v="2019-03-30T00:00:00"/>
    <s v="March"/>
    <x v="0"/>
    <d v="1899-12-30T01:00:00"/>
    <m/>
    <x v="0"/>
    <s v="Foraging"/>
    <s v="NA"/>
    <n v="4"/>
    <n v="0"/>
    <n v="0"/>
    <s v="Unknown"/>
    <s v="unknown"/>
    <s v="Ground"/>
    <s v="NA"/>
    <m/>
    <m/>
    <m/>
    <s v="NA"/>
    <s v="NA"/>
    <s v="NA"/>
    <s v="NA"/>
    <s v="NA"/>
    <s v="NA"/>
    <s v="NA"/>
    <m/>
    <n v="0"/>
    <n v="0"/>
    <n v="0"/>
    <n v="0"/>
    <n v="60"/>
    <m/>
    <n v="60"/>
    <s v="Searching"/>
    <m/>
    <m/>
    <m/>
  </r>
  <r>
    <s v="DSCN2716"/>
    <s v="WW0330_13"/>
    <n v="13"/>
    <n v="1"/>
    <s v="WAC West"/>
    <d v="2019-03-30T00:00:00"/>
    <s v="March"/>
    <x v="0"/>
    <d v="1899-12-30T01:17:00"/>
    <m/>
    <x v="0"/>
    <s v="Food handling/caching"/>
    <s v="NA"/>
    <n v="0"/>
    <n v="0"/>
    <n v="1"/>
    <s v="Insect"/>
    <s v="Insect (Balck caterpiller)"/>
    <s v="NA"/>
    <s v="Exterior spruce branch under witch hair"/>
    <s v="Spruce"/>
    <s v="Exterior"/>
    <s v="Under witchhair"/>
    <s v="W"/>
    <n v="280"/>
    <n v="19"/>
    <n v="63.740380000000002"/>
    <n v="148.90360999999999"/>
    <s v="NA"/>
    <s v="NA"/>
    <m/>
    <n v="0"/>
    <n v="0"/>
    <n v="0"/>
    <n v="0"/>
    <n v="0"/>
    <m/>
    <n v="0"/>
    <m/>
    <s v="Caching caterpillar from previous videos"/>
    <m/>
    <m/>
  </r>
  <r>
    <s v="DSCN2720"/>
    <s v="WW0330_17"/>
    <n v="17"/>
    <n v="1"/>
    <s v="WAC West"/>
    <d v="2019-03-30T00:00:00"/>
    <s v="March"/>
    <x v="0"/>
    <d v="1899-12-30T00:09:00"/>
    <m/>
    <x v="0"/>
    <s v="Caching"/>
    <s v="NA"/>
    <n v="0"/>
    <n v="0"/>
    <n v="1"/>
    <s v="Insect"/>
    <s v="Insect (caterpiller)"/>
    <s v="Ground"/>
    <s v="Exterior spruce branch under witch hair"/>
    <m/>
    <m/>
    <m/>
    <n v="315"/>
    <s v="NW"/>
    <n v="20"/>
    <n v="63.740479999999998"/>
    <n v="148.90235999999999"/>
    <s v="NA"/>
    <s v="NA"/>
    <m/>
    <n v="0"/>
    <n v="0"/>
    <n v="0"/>
    <n v="0"/>
    <n v="0"/>
    <m/>
    <n v="0"/>
    <m/>
    <s v="Cached caterpillar from previous row"/>
    <m/>
    <m/>
  </r>
  <r>
    <s v="DSCN2709"/>
    <s v="WW0330_7"/>
    <n v="7"/>
    <n v="2"/>
    <s v="WAC West"/>
    <d v="2019-03-30T00:00:00"/>
    <s v="March"/>
    <x v="0"/>
    <d v="1899-12-30T02:43:00"/>
    <m/>
    <x v="0"/>
    <s v="Foraging/caching"/>
    <s v="NA"/>
    <n v="1"/>
    <n v="0"/>
    <n v="1"/>
    <s v="Insect"/>
    <s v="Spider"/>
    <s v="Ground"/>
    <s v="Exterior spruce branch under witch hair"/>
    <s v="Spruce"/>
    <s v="Exterior"/>
    <s v="Under witchhair"/>
    <s v="NE"/>
    <n v="40"/>
    <s v="unknown"/>
    <n v="63.739150000000002"/>
    <n v="148.90440000000001"/>
    <s v="NA"/>
    <s v="NA"/>
    <m/>
    <n v="0"/>
    <n v="0"/>
    <n v="0"/>
    <n v="0"/>
    <n v="0"/>
    <m/>
    <n v="0"/>
    <s v="Searching"/>
    <s v="Did not cound any foraging time for this one because we don't know exactly when it grabbed it.  All foraging time counted in previous row. Put camera trap on cache tree."/>
    <m/>
    <m/>
  </r>
  <r>
    <s v="DSCN2714"/>
    <s v="WW0330_11"/>
    <n v="11"/>
    <n v="1"/>
    <s v="WAC West"/>
    <d v="2019-03-30T00:00:00"/>
    <s v="March"/>
    <x v="0"/>
    <d v="1899-12-30T00:11:00"/>
    <m/>
    <x v="0"/>
    <s v="Foraging"/>
    <s v="NA"/>
    <n v="1"/>
    <n v="0"/>
    <n v="0"/>
    <s v="Insect"/>
    <s v="Insect (Black caterpiller)"/>
    <s v="Ground"/>
    <s v="NA"/>
    <m/>
    <m/>
    <m/>
    <s v="NA"/>
    <s v="NA"/>
    <s v="NA"/>
    <s v="NA"/>
    <s v="NA"/>
    <s v="NA"/>
    <s v="NA"/>
    <m/>
    <n v="0"/>
    <n v="0"/>
    <n v="0"/>
    <n v="0"/>
    <n v="11"/>
    <m/>
    <n v="11"/>
    <s v="Searching"/>
    <m/>
    <m/>
    <m/>
  </r>
  <r>
    <s v="DSCN2719"/>
    <s v="WW0330_16"/>
    <n v="16"/>
    <n v="1"/>
    <s v="WAC West"/>
    <d v="2019-03-30T00:00:00"/>
    <s v="March"/>
    <x v="0"/>
    <d v="1899-12-30T00:18:00"/>
    <m/>
    <x v="0"/>
    <s v="Foraging"/>
    <s v="NA"/>
    <n v="1"/>
    <n v="0"/>
    <n v="0"/>
    <s v="Insect"/>
    <s v="Insect (caterpiller)"/>
    <s v="Ground"/>
    <s v="NA"/>
    <m/>
    <m/>
    <m/>
    <s v="NA"/>
    <s v="NA"/>
    <s v="NA"/>
    <s v="NA"/>
    <s v="NA"/>
    <s v="NA"/>
    <s v="NA"/>
    <m/>
    <n v="0"/>
    <n v="0"/>
    <n v="0"/>
    <n v="0"/>
    <n v="10"/>
    <m/>
    <n v="10"/>
    <s v="Searching"/>
    <m/>
    <m/>
    <m/>
  </r>
  <r>
    <s v="DSCN2706"/>
    <s v="WW0330_4"/>
    <n v="4"/>
    <n v="1"/>
    <s v="WAC West"/>
    <d v="2019-03-30T00:00:00"/>
    <s v="March"/>
    <x v="0"/>
    <d v="1899-12-30T00:32:00"/>
    <m/>
    <x v="0"/>
    <s v="Foraging"/>
    <s v="NA"/>
    <n v="1"/>
    <n v="0"/>
    <n v="0"/>
    <s v="Berry"/>
    <s v="Berry"/>
    <s v="Ground"/>
    <s v="NA"/>
    <m/>
    <m/>
    <m/>
    <s v="NA"/>
    <s v="NA"/>
    <s v="NA"/>
    <s v="NA"/>
    <s v="NA"/>
    <s v="NA"/>
    <s v="NA"/>
    <m/>
    <n v="0"/>
    <n v="0"/>
    <n v="0"/>
    <n v="0"/>
    <n v="32"/>
    <m/>
    <n v="32"/>
    <s v="Searching"/>
    <m/>
    <m/>
    <m/>
  </r>
  <r>
    <s v="DSCN2715"/>
    <s v="WW0330_12"/>
    <n v="12"/>
    <n v="1"/>
    <s v="WAC West"/>
    <d v="2019-03-30T00:00:00"/>
    <s v="March"/>
    <x v="0"/>
    <d v="1899-12-30T00:18:00"/>
    <m/>
    <x v="0"/>
    <s v="Food handling"/>
    <s v="NA"/>
    <n v="0"/>
    <n v="0"/>
    <n v="0"/>
    <s v="Insect"/>
    <s v="Insect (Black caterpiller)"/>
    <s v="NA"/>
    <s v="NA"/>
    <m/>
    <m/>
    <m/>
    <s v="NA"/>
    <s v="NA"/>
    <s v="NA"/>
    <s v="NA"/>
    <s v="NA"/>
    <s v="NA"/>
    <s v="NA"/>
    <m/>
    <n v="0"/>
    <n v="0"/>
    <n v="0"/>
    <n v="0"/>
    <n v="0"/>
    <m/>
    <n v="0"/>
    <m/>
    <s v="Processing kill"/>
    <m/>
    <m/>
  </r>
  <r>
    <s v="DSCN2707"/>
    <s v="WW0330_6"/>
    <n v="6"/>
    <n v="1"/>
    <s v="WAC West"/>
    <d v="2019-03-30T00:00:00"/>
    <s v="March"/>
    <x v="0"/>
    <d v="1899-12-30T00:27:00"/>
    <m/>
    <x v="0"/>
    <s v="Foraging"/>
    <s v="NA"/>
    <n v="0"/>
    <n v="0"/>
    <n v="0"/>
    <m/>
    <s v="NA"/>
    <s v="NA"/>
    <s v="NA"/>
    <m/>
    <m/>
    <m/>
    <s v="NA"/>
    <s v="NA"/>
    <s v="NA"/>
    <s v="NA"/>
    <s v="NA"/>
    <s v="NA"/>
    <s v="NA"/>
    <m/>
    <n v="0"/>
    <n v="0"/>
    <n v="0"/>
    <n v="0"/>
    <n v="27"/>
    <m/>
    <n v="27"/>
    <s v="Searching"/>
    <m/>
    <m/>
    <m/>
  </r>
  <r>
    <s v="DSCN2711"/>
    <s v="WW0330_8"/>
    <n v="8"/>
    <n v="1"/>
    <s v="WAC West"/>
    <d v="2019-03-30T00:00:00"/>
    <s v="March"/>
    <x v="0"/>
    <d v="1899-12-30T00:20:00"/>
    <m/>
    <x v="0"/>
    <s v="Foraging"/>
    <s v="NA"/>
    <n v="0"/>
    <n v="0"/>
    <n v="0"/>
    <m/>
    <s v="NA"/>
    <s v="NA"/>
    <s v="NA"/>
    <m/>
    <m/>
    <m/>
    <s v="NA"/>
    <s v="NA"/>
    <s v="NA"/>
    <s v="NA"/>
    <s v="NA"/>
    <s v="NA"/>
    <s v="NA"/>
    <m/>
    <n v="0"/>
    <n v="0"/>
    <n v="0"/>
    <n v="0"/>
    <n v="20"/>
    <m/>
    <n v="20"/>
    <s v="Searching"/>
    <m/>
    <m/>
    <m/>
  </r>
  <r>
    <s v="DSCN2567"/>
    <s v="WW0326_4"/>
    <n v="4"/>
    <n v="1"/>
    <s v="WAC West"/>
    <d v="2019-03-26T00:00:00"/>
    <s v="March"/>
    <x v="0"/>
    <d v="1899-12-30T00:34:00"/>
    <s v="Partly Sunny"/>
    <x v="0"/>
    <s v="Foraging"/>
    <s v="NA"/>
    <s v="unknown"/>
    <n v="0"/>
    <n v="0"/>
    <m/>
    <s v="NA"/>
    <s v="NA"/>
    <s v="NA"/>
    <m/>
    <m/>
    <m/>
    <s v="NA"/>
    <s v="NA"/>
    <s v="NA"/>
    <s v="NA"/>
    <s v="NA"/>
    <m/>
    <m/>
    <m/>
    <n v="0"/>
    <n v="0"/>
    <n v="0"/>
    <n v="0"/>
    <n v="27"/>
    <m/>
    <n v="27"/>
    <s v="Searching"/>
    <m/>
    <m/>
    <m/>
  </r>
  <r>
    <s v="DSCN2721"/>
    <s v="WW0330_18"/>
    <n v="18"/>
    <n v="1"/>
    <s v="WAC West"/>
    <d v="2019-03-30T00:00:00"/>
    <s v="March"/>
    <x v="0"/>
    <d v="1899-12-30T00:24:00"/>
    <m/>
    <x v="0"/>
    <s v="Foraging"/>
    <s v="NA"/>
    <s v="unknown"/>
    <n v="0"/>
    <n v="0"/>
    <m/>
    <s v="NA"/>
    <s v="NA"/>
    <s v="NA"/>
    <m/>
    <m/>
    <m/>
    <s v="NA"/>
    <s v="NA"/>
    <s v="NA"/>
    <s v="NA"/>
    <s v="NA"/>
    <s v="NA"/>
    <s v="NA"/>
    <m/>
    <n v="0"/>
    <n v="0"/>
    <n v="0"/>
    <n v="0"/>
    <n v="4"/>
    <m/>
    <n v="4"/>
    <s v="Searching"/>
    <m/>
    <m/>
    <m/>
  </r>
  <r>
    <s v="DSCN2702"/>
    <s v="WW0330_2"/>
    <n v="2"/>
    <n v="1"/>
    <s v="WAC West"/>
    <d v="2019-03-30T00:00:00"/>
    <s v="March"/>
    <x v="0"/>
    <d v="1899-12-30T01:02:00"/>
    <m/>
    <x v="0"/>
    <s v="Foraging"/>
    <s v="NA"/>
    <s v="unknown"/>
    <n v="0"/>
    <n v="0"/>
    <m/>
    <s v="NA"/>
    <s v="NA"/>
    <s v="NA"/>
    <m/>
    <m/>
    <m/>
    <s v="NA"/>
    <s v="NA"/>
    <s v="NA"/>
    <s v="NA"/>
    <s v="NA"/>
    <s v="NA"/>
    <s v="NA"/>
    <m/>
    <n v="0"/>
    <n v="0"/>
    <n v="0"/>
    <n v="0"/>
    <n v="62"/>
    <m/>
    <n v="62"/>
    <s v="Searching"/>
    <m/>
    <m/>
    <m/>
  </r>
  <r>
    <s v="DSCN2703"/>
    <s v="WW0330_3"/>
    <n v="3"/>
    <n v="1"/>
    <s v="WAC West"/>
    <d v="2019-03-30T00:00:00"/>
    <s v="March"/>
    <x v="0"/>
    <d v="1899-12-30T00:40:00"/>
    <m/>
    <x v="0"/>
    <s v="Foraging"/>
    <s v="NA"/>
    <s v="unknown"/>
    <n v="0"/>
    <n v="0"/>
    <m/>
    <s v="NA"/>
    <s v="NA"/>
    <s v="NA"/>
    <m/>
    <m/>
    <m/>
    <s v="NA"/>
    <s v="NA"/>
    <s v="NA"/>
    <s v="NA"/>
    <s v="NA"/>
    <s v="NA"/>
    <s v="NA"/>
    <m/>
    <n v="0"/>
    <n v="0"/>
    <n v="0"/>
    <n v="0"/>
    <n v="34"/>
    <m/>
    <n v="34"/>
    <s v="Searching"/>
    <m/>
    <m/>
    <m/>
  </r>
  <r>
    <s v="DSCN2497"/>
    <s v="CC0325_5"/>
    <n v="5"/>
    <n v="1"/>
    <s v="CCAMP"/>
    <d v="2019-03-25T00:00:00"/>
    <s v="March"/>
    <x v="0"/>
    <d v="1899-12-30T00:30:00"/>
    <s v="Overcast"/>
    <x v="4"/>
    <s v="Foraging"/>
    <s v="NA"/>
    <n v="2"/>
    <n v="0"/>
    <n v="0"/>
    <s v="Berry"/>
    <s v="Berry"/>
    <s v="Ground"/>
    <s v="NA"/>
    <m/>
    <m/>
    <m/>
    <s v="NA"/>
    <s v="NA"/>
    <s v="NA"/>
    <s v="NA"/>
    <s v="NA"/>
    <m/>
    <m/>
    <m/>
    <n v="0"/>
    <n v="0"/>
    <n v="0"/>
    <n v="0"/>
    <n v="18"/>
    <m/>
    <n v="18"/>
    <s v="Searching"/>
    <s v="Missed initial acquisition"/>
    <m/>
    <m/>
  </r>
  <r>
    <s v="DSCN2495"/>
    <s v="CC0325_3"/>
    <n v="3"/>
    <n v="1"/>
    <s v="CCAMP"/>
    <d v="2019-03-25T00:00:00"/>
    <s v="March"/>
    <x v="0"/>
    <d v="1899-12-30T00:37:00"/>
    <s v="Overcast"/>
    <x v="4"/>
    <s v="Foraging"/>
    <s v="Spruce"/>
    <n v="0"/>
    <n v="0"/>
    <n v="0"/>
    <m/>
    <s v="NA"/>
    <s v="NA"/>
    <s v="NA"/>
    <m/>
    <m/>
    <m/>
    <s v="NA"/>
    <s v="NA"/>
    <s v="NA"/>
    <s v="NA"/>
    <s v="NA"/>
    <m/>
    <m/>
    <m/>
    <n v="10"/>
    <n v="0"/>
    <n v="0"/>
    <n v="10"/>
    <n v="0"/>
    <m/>
    <n v="10"/>
    <s v="Searching"/>
    <s v="Suspected foraging"/>
    <m/>
    <m/>
  </r>
  <r>
    <s v="DSCN2496"/>
    <s v="CC0325_4"/>
    <n v="4"/>
    <n v="1"/>
    <s v="CCAMP"/>
    <d v="2019-03-25T00:00:00"/>
    <s v="March"/>
    <x v="0"/>
    <d v="1899-12-30T00:27:00"/>
    <s v="Overcast"/>
    <x v="4"/>
    <s v="Foraging"/>
    <s v="NA"/>
    <n v="0"/>
    <n v="0"/>
    <n v="0"/>
    <m/>
    <s v="NA"/>
    <s v="NA"/>
    <s v="NA"/>
    <m/>
    <m/>
    <m/>
    <s v="NA"/>
    <s v="NA"/>
    <s v="NA"/>
    <s v="NA"/>
    <s v="NA"/>
    <m/>
    <m/>
    <m/>
    <n v="0"/>
    <n v="0"/>
    <n v="0"/>
    <n v="0"/>
    <n v="3"/>
    <m/>
    <n v="3"/>
    <m/>
    <m/>
    <m/>
    <m/>
  </r>
  <r>
    <s v="DSCN2500"/>
    <s v="CC0325_6"/>
    <n v="6"/>
    <n v="1"/>
    <s v="CCAMP"/>
    <d v="2019-03-25T00:00:00"/>
    <s v="March"/>
    <x v="0"/>
    <d v="1899-12-30T00:24:00"/>
    <s v="Overcast"/>
    <x v="4"/>
    <s v="Foraging"/>
    <s v="NA"/>
    <n v="0"/>
    <n v="0"/>
    <n v="0"/>
    <m/>
    <s v="NA"/>
    <s v="NA"/>
    <s v="NA"/>
    <m/>
    <m/>
    <m/>
    <s v="NA"/>
    <s v="NA"/>
    <s v="NA"/>
    <s v="NA"/>
    <s v="NA"/>
    <m/>
    <m/>
    <m/>
    <n v="0"/>
    <n v="0"/>
    <n v="0"/>
    <n v="0"/>
    <n v="11"/>
    <m/>
    <n v="11"/>
    <s v="Searching"/>
    <m/>
    <m/>
    <m/>
  </r>
  <r>
    <s v="DSCN2490"/>
    <s v="CC0325_2"/>
    <n v="2"/>
    <n v="1"/>
    <s v="CCAMP"/>
    <d v="2019-03-25T00:00:00"/>
    <s v="March"/>
    <x v="0"/>
    <d v="1899-12-30T01:05:00"/>
    <s v="Overcast"/>
    <x v="4"/>
    <s v="Foraging"/>
    <s v="NA"/>
    <n v="1"/>
    <n v="0"/>
    <n v="0"/>
    <s v="Berry"/>
    <s v="Berry (3 bluberries, 1 crowberry)"/>
    <s v="Ground"/>
    <s v="NA"/>
    <m/>
    <m/>
    <m/>
    <s v="NA"/>
    <s v="NA"/>
    <s v="NA"/>
    <s v="NA"/>
    <s v="NA"/>
    <m/>
    <m/>
    <m/>
    <n v="0"/>
    <n v="0"/>
    <n v="0"/>
    <n v="0"/>
    <n v="9"/>
    <m/>
    <n v="9"/>
    <s v="Searching"/>
    <m/>
    <m/>
    <m/>
  </r>
  <r>
    <s v="DSCN2501"/>
    <s v="CC0325_7"/>
    <n v="7"/>
    <n v="1"/>
    <s v="CCAMP"/>
    <d v="2019-03-25T00:00:00"/>
    <s v="March"/>
    <x v="0"/>
    <d v="1899-12-30T00:42:00"/>
    <s v="Overcast"/>
    <x v="4"/>
    <s v="Foraging"/>
    <s v="NA"/>
    <s v="unknown"/>
    <s v="unknown"/>
    <s v="Unknown"/>
    <m/>
    <s v="NA"/>
    <s v="NA"/>
    <s v="NA"/>
    <m/>
    <m/>
    <m/>
    <s v="NA"/>
    <s v="NA"/>
    <s v="NA"/>
    <s v="NA"/>
    <s v="NA"/>
    <m/>
    <m/>
    <m/>
    <n v="35"/>
    <n v="0"/>
    <n v="35"/>
    <n v="0"/>
    <n v="0"/>
    <m/>
    <n v="35"/>
    <s v="Searching"/>
    <m/>
    <m/>
    <m/>
  </r>
  <r>
    <s v="DSCN2488"/>
    <s v="CC0325_1"/>
    <n v="1"/>
    <n v="1"/>
    <s v="CCAMP"/>
    <d v="2019-03-25T00:00:00"/>
    <s v="March"/>
    <x v="0"/>
    <d v="1899-12-30T00:13:00"/>
    <s v="Overcast"/>
    <x v="4"/>
    <s v="Foraging"/>
    <s v="NA"/>
    <s v="unknown"/>
    <n v="0"/>
    <n v="0"/>
    <m/>
    <s v="NA"/>
    <s v="NA"/>
    <s v="NA"/>
    <m/>
    <m/>
    <m/>
    <s v="NA"/>
    <s v="NA"/>
    <s v="NA"/>
    <s v="NA"/>
    <s v="NA"/>
    <m/>
    <m/>
    <m/>
    <n v="0"/>
    <n v="0"/>
    <n v="0"/>
    <n v="0"/>
    <n v="3"/>
    <m/>
    <n v="3"/>
    <s v="Searching"/>
    <m/>
    <m/>
    <m/>
  </r>
  <r>
    <s v="DSCN2589"/>
    <s v="B&amp;U0327_7"/>
    <n v="7"/>
    <n v="1"/>
    <s v="B&amp;U"/>
    <d v="2019-03-27T00:00:00"/>
    <s v="March"/>
    <x v="0"/>
    <d v="1899-12-30T00:18:00"/>
    <s v="Overcast"/>
    <x v="6"/>
    <s v="Food handling"/>
    <s v="NA"/>
    <n v="1"/>
    <n v="0"/>
    <n v="0"/>
    <s v="Unknown"/>
    <s v="unknown"/>
    <s v="Ground"/>
    <s v="NA"/>
    <m/>
    <m/>
    <m/>
    <s v="NA"/>
    <s v="NA"/>
    <s v="NA"/>
    <s v="NA"/>
    <s v="NA"/>
    <s v="NA"/>
    <s v="NA"/>
    <m/>
    <n v="0"/>
    <n v="0"/>
    <n v="0"/>
    <n v="0"/>
    <n v="0"/>
    <m/>
    <n v="0"/>
    <s v="Searching"/>
    <s v="Missed acquisition"/>
    <m/>
    <m/>
  </r>
  <r>
    <s v="DSCN2584"/>
    <s v="B&amp;U0327_5"/>
    <n v="5"/>
    <n v="1"/>
    <s v="B&amp;U"/>
    <d v="2019-03-27T00:00:00"/>
    <s v="March"/>
    <x v="0"/>
    <d v="1899-12-30T01:34:00"/>
    <s v="Overcast"/>
    <x v="6"/>
    <s v="Foraging"/>
    <s v="Spruce"/>
    <n v="1"/>
    <n v="1"/>
    <n v="0"/>
    <s v="Unknown"/>
    <s v="unknown"/>
    <s v="Interior spruce branch under bark"/>
    <s v="NA"/>
    <m/>
    <m/>
    <m/>
    <s v="NA"/>
    <s v="NA"/>
    <s v="NA"/>
    <s v="NA"/>
    <s v="NA"/>
    <n v="63.726010000000002"/>
    <n v="148.96159"/>
    <m/>
    <n v="13"/>
    <n v="0"/>
    <n v="13"/>
    <n v="0"/>
    <n v="0"/>
    <m/>
    <n v="13"/>
    <s v="Searching"/>
    <m/>
    <m/>
    <m/>
  </r>
  <r>
    <s v="DSCN2583"/>
    <s v="B&amp;U0327_4"/>
    <n v="4"/>
    <n v="1"/>
    <s v="B&amp;U"/>
    <d v="2019-03-27T00:00:00"/>
    <s v="March"/>
    <x v="0"/>
    <d v="1899-12-30T00:26:00"/>
    <s v="Overcast"/>
    <x v="6"/>
    <s v="Foraging"/>
    <s v="NA"/>
    <n v="1"/>
    <n v="0"/>
    <n v="0"/>
    <s v="Berry"/>
    <s v="Berry"/>
    <s v="Ground"/>
    <s v="NA"/>
    <m/>
    <m/>
    <m/>
    <s v="NA"/>
    <s v="NA"/>
    <s v="NA"/>
    <s v="NA"/>
    <s v="NA"/>
    <s v="NA"/>
    <s v="NA"/>
    <m/>
    <n v="0"/>
    <n v="0"/>
    <n v="0"/>
    <n v="0"/>
    <n v="26"/>
    <m/>
    <n v="26"/>
    <s v="Searching"/>
    <m/>
    <m/>
    <m/>
  </r>
  <r>
    <s v="DSCN2584"/>
    <s v="B&amp;U0327_5"/>
    <n v="5"/>
    <n v="2"/>
    <s v="B&amp;U"/>
    <d v="2019-03-27T00:00:00"/>
    <s v="March"/>
    <x v="0"/>
    <d v="1899-12-30T01:34:00"/>
    <s v="Overcast"/>
    <x v="6"/>
    <s v="Foraging"/>
    <s v="Spruce"/>
    <n v="2"/>
    <n v="1"/>
    <n v="0"/>
    <s v="Berry"/>
    <s v="Berry"/>
    <s v="Ground"/>
    <s v="NA"/>
    <m/>
    <m/>
    <m/>
    <s v="NA"/>
    <s v="NA"/>
    <s v="NA"/>
    <s v="NA"/>
    <s v="NA"/>
    <s v="NA"/>
    <s v="NA"/>
    <m/>
    <n v="0"/>
    <n v="0"/>
    <n v="0"/>
    <n v="0"/>
    <n v="78"/>
    <m/>
    <n v="78"/>
    <s v="Searching"/>
    <s v="Berries aquired during two different foraging attempts"/>
    <m/>
    <m/>
  </r>
  <r>
    <s v="DSCN2580"/>
    <s v="B&amp;U0327_1"/>
    <n v="1"/>
    <n v="1"/>
    <s v="B&amp;U"/>
    <d v="2019-03-27T00:00:00"/>
    <s v="March"/>
    <x v="0"/>
    <d v="1899-12-30T02:44:00"/>
    <s v="Overcast"/>
    <x v="6"/>
    <s v="Food handling"/>
    <s v="Spruce"/>
    <n v="1"/>
    <n v="1"/>
    <n v="0"/>
    <s v="Animal flesh"/>
    <s v="Animal flesh (snowshoe hare)"/>
    <s v="Top of spruce foliage"/>
    <s v="NA"/>
    <m/>
    <m/>
    <m/>
    <s v="NA"/>
    <s v="NA"/>
    <s v="NA"/>
    <s v="NA"/>
    <s v="NA"/>
    <n v="63.725360000000002"/>
    <n v="148.95681999999999"/>
    <m/>
    <n v="0"/>
    <n v="0"/>
    <n v="0"/>
    <n v="0"/>
    <n v="0"/>
    <m/>
    <n v="0"/>
    <m/>
    <s v="Missed acquisition on film B&amp;Ut saw in person. "/>
    <m/>
    <m/>
  </r>
  <r>
    <s v="DSCN2582"/>
    <s v="B&amp;U0327_3"/>
    <n v="3"/>
    <n v="1"/>
    <s v="B&amp;U"/>
    <d v="2019-03-27T00:00:00"/>
    <s v="March"/>
    <x v="0"/>
    <d v="1899-12-30T00:40:00"/>
    <s v="Overcast"/>
    <x v="6"/>
    <s v="Food handling"/>
    <s v="Spruce"/>
    <n v="1"/>
    <n v="1"/>
    <n v="0"/>
    <s v="Animal flesh"/>
    <s v="Animal flesh (snowshoe hare)"/>
    <s v="Top of spruce foliage"/>
    <s v="NA"/>
    <m/>
    <m/>
    <m/>
    <s v="NA"/>
    <s v="NA"/>
    <s v="NA"/>
    <s v="NA"/>
    <s v="NA"/>
    <n v="63.725009999999997"/>
    <n v="148.95760999999999"/>
    <m/>
    <n v="0"/>
    <n v="0"/>
    <n v="0"/>
    <n v="0"/>
    <n v="0"/>
    <m/>
    <n v="0"/>
    <s v="Searching"/>
    <m/>
    <m/>
    <m/>
  </r>
  <r>
    <s v="DSCN2581"/>
    <s v="B&amp;U0327_2"/>
    <n v="2"/>
    <n v="1"/>
    <s v="B&amp;U"/>
    <d v="2019-03-27T00:00:00"/>
    <s v="March"/>
    <x v="0"/>
    <d v="1899-12-30T00:18:00"/>
    <s v="Overcast"/>
    <x v="6"/>
    <s v="Foraging"/>
    <s v="Spruce"/>
    <n v="0"/>
    <n v="0"/>
    <n v="0"/>
    <m/>
    <s v="NA"/>
    <s v="NA"/>
    <s v="NA"/>
    <m/>
    <m/>
    <m/>
    <s v="NA"/>
    <s v="NA"/>
    <s v="NA"/>
    <s v="NA"/>
    <s v="NA"/>
    <s v="NA"/>
    <s v="NA"/>
    <m/>
    <n v="0"/>
    <n v="15"/>
    <n v="0"/>
    <n v="15"/>
    <n v="0"/>
    <m/>
    <n v="15"/>
    <s v="Searching"/>
    <m/>
    <m/>
    <m/>
  </r>
  <r>
    <s v="DSCN2587"/>
    <s v="B&amp;U0327_6"/>
    <n v="6"/>
    <n v="1"/>
    <s v="B&amp;U"/>
    <d v="2019-03-27T00:00:00"/>
    <s v="March"/>
    <x v="0"/>
    <d v="1899-12-30T00:07:00"/>
    <s v="Overcast"/>
    <x v="6"/>
    <s v="Foraging"/>
    <s v="NA"/>
    <n v="0"/>
    <n v="0"/>
    <n v="0"/>
    <m/>
    <s v="NA"/>
    <s v="NA"/>
    <s v="NA"/>
    <m/>
    <m/>
    <m/>
    <s v="NA"/>
    <s v="NA"/>
    <s v="NA"/>
    <s v="NA"/>
    <s v="NA"/>
    <s v="NA"/>
    <s v="NA"/>
    <m/>
    <n v="0"/>
    <n v="0"/>
    <n v="0"/>
    <n v="0"/>
    <n v="7"/>
    <m/>
    <n v="7"/>
    <s v="Searching"/>
    <m/>
    <m/>
    <m/>
  </r>
  <r>
    <s v="DSCN2512"/>
    <s v="M4R0325_6"/>
    <n v="6"/>
    <n v="1"/>
    <s v="M4Roadside"/>
    <d v="2019-03-25T00:00:00"/>
    <s v="March"/>
    <x v="0"/>
    <d v="1899-12-30T00:31:00"/>
    <s v="Overcast"/>
    <x v="7"/>
    <s v="Caching"/>
    <s v="Spruce"/>
    <n v="0"/>
    <n v="0"/>
    <n v="1"/>
    <s v="Berry"/>
    <s v="Berry"/>
    <s v="Ground"/>
    <s v="Exterior spruce branch under witch hair"/>
    <s v="Spruce"/>
    <s v="Exterior"/>
    <s v="Under witchhair"/>
    <m/>
    <m/>
    <n v="10"/>
    <n v="63.72101"/>
    <n v="148.98340999999999"/>
    <m/>
    <m/>
    <m/>
    <n v="0"/>
    <n v="0"/>
    <n v="0"/>
    <n v="0"/>
    <n v="0"/>
    <m/>
    <n v="0"/>
    <m/>
    <s v="Acquisition on previous clip"/>
    <m/>
    <m/>
  </r>
  <r>
    <s v="DSCN2511"/>
    <s v="M4R0325_5"/>
    <n v="5"/>
    <n v="1"/>
    <s v="M4Roadside"/>
    <d v="2019-03-25T00:00:00"/>
    <s v="March"/>
    <x v="0"/>
    <d v="1899-12-30T01:00:00"/>
    <s v="Overcast"/>
    <x v="7"/>
    <s v="Foraging"/>
    <s v="NA"/>
    <n v="1"/>
    <n v="0"/>
    <n v="0"/>
    <s v="Berry"/>
    <s v="Berry"/>
    <s v="Ground"/>
    <s v="NA"/>
    <m/>
    <m/>
    <m/>
    <s v="NA"/>
    <s v="NA"/>
    <s v="NA"/>
    <s v="NA"/>
    <s v="NA"/>
    <m/>
    <m/>
    <m/>
    <n v="0"/>
    <n v="0"/>
    <n v="0"/>
    <n v="0"/>
    <n v="54"/>
    <m/>
    <n v="54"/>
    <s v="Searching"/>
    <m/>
    <m/>
    <m/>
  </r>
  <r>
    <s v="DSCN2533"/>
    <s v="M4R0325_19"/>
    <n v="19"/>
    <n v="1"/>
    <s v="M4Roadside"/>
    <d v="2019-03-25T00:00:00"/>
    <s v="March"/>
    <x v="0"/>
    <d v="1899-12-30T00:15:00"/>
    <s v="Mostly sunny"/>
    <x v="7"/>
    <s v="Foraging"/>
    <s v="Alder"/>
    <s v="unknown"/>
    <s v="unknown"/>
    <s v="Unknown"/>
    <m/>
    <s v="NA"/>
    <s v="NA"/>
    <s v="NA"/>
    <m/>
    <m/>
    <m/>
    <s v="NA"/>
    <s v="NA"/>
    <s v="NA"/>
    <s v="NA"/>
    <s v="NA"/>
    <m/>
    <m/>
    <m/>
    <n v="15"/>
    <n v="0"/>
    <n v="15"/>
    <n v="0"/>
    <n v="0"/>
    <m/>
    <n v="15"/>
    <s v="Searching"/>
    <m/>
    <m/>
    <m/>
  </r>
  <r>
    <s v="DSCN2595"/>
    <s v="M4R0327_2"/>
    <n v="2"/>
    <n v="1"/>
    <s v="M4Roadside"/>
    <d v="2019-03-27T00:00:00"/>
    <s v="March"/>
    <x v="0"/>
    <d v="1899-12-30T00:28:00"/>
    <s v="Overcast"/>
    <x v="7"/>
    <s v="Foraging"/>
    <s v="NA"/>
    <s v="unknown"/>
    <n v="0"/>
    <n v="0"/>
    <m/>
    <s v="NA"/>
    <s v="NA"/>
    <s v="NA"/>
    <m/>
    <m/>
    <m/>
    <s v="NA"/>
    <s v="NA"/>
    <s v="NA"/>
    <s v="NA"/>
    <s v="NA"/>
    <s v="NA"/>
    <s v="NA"/>
    <m/>
    <n v="0"/>
    <n v="0"/>
    <n v="0"/>
    <n v="0"/>
    <n v="28"/>
    <m/>
    <n v="28"/>
    <s v="Searching"/>
    <m/>
    <m/>
    <m/>
  </r>
  <r>
    <s v="DSCN2596"/>
    <s v="M4R0327_3"/>
    <n v="3"/>
    <n v="1"/>
    <s v="M4Roadside"/>
    <d v="2019-03-27T00:00:00"/>
    <s v="March"/>
    <x v="0"/>
    <d v="1899-12-30T00:25:00"/>
    <s v="Overcast"/>
    <x v="7"/>
    <s v="Foraging"/>
    <s v="NA"/>
    <s v="unknown"/>
    <n v="0"/>
    <n v="0"/>
    <m/>
    <s v="NA"/>
    <s v="NA"/>
    <s v="NA"/>
    <m/>
    <m/>
    <m/>
    <s v="NA"/>
    <s v="NA"/>
    <s v="NA"/>
    <s v="NA"/>
    <s v="NA"/>
    <s v="NA"/>
    <s v="NA"/>
    <m/>
    <n v="0"/>
    <n v="0"/>
    <n v="0"/>
    <n v="0"/>
    <n v="25"/>
    <m/>
    <n v="25"/>
    <s v="Searching"/>
    <m/>
    <m/>
    <m/>
  </r>
  <r>
    <s v="DSCN2396"/>
    <s v="TAI0320_13"/>
    <n v="13"/>
    <n v="1"/>
    <s v="Taiga"/>
    <d v="2019-03-20T00:00:00"/>
    <s v="March"/>
    <x v="0"/>
    <d v="1899-12-30T00:26:00"/>
    <s v="Partly cloudy"/>
    <x v="24"/>
    <s v="Foraging"/>
    <s v="Spruce"/>
    <n v="1"/>
    <s v="unknown"/>
    <s v="NA"/>
    <s v="Unknown"/>
    <s v="unknown"/>
    <s v="Under bark of spruce trunk"/>
    <s v="NA"/>
    <m/>
    <m/>
    <m/>
    <s v="NA"/>
    <s v="NA"/>
    <s v="NA"/>
    <s v="NA"/>
    <s v="NA"/>
    <m/>
    <m/>
    <m/>
    <n v="17"/>
    <n v="0"/>
    <n v="17"/>
    <n v="0"/>
    <n v="0"/>
    <m/>
    <n v="17"/>
    <s v="Searching/probing"/>
    <m/>
    <n v="2"/>
    <n v="0"/>
  </r>
  <r>
    <s v="DSCN2393"/>
    <s v="TAI0320_10"/>
    <n v="10"/>
    <n v="1"/>
    <s v="Taiga"/>
    <d v="2019-03-20T00:00:00"/>
    <s v="March"/>
    <x v="0"/>
    <d v="1899-12-30T00:20:00"/>
    <s v="Partly cloudy"/>
    <x v="24"/>
    <s v="Foraging"/>
    <s v="Spruce"/>
    <n v="1"/>
    <s v="unknown"/>
    <n v="0"/>
    <s v="Unknown"/>
    <s v="unknown"/>
    <s v="Bark of Spruce"/>
    <s v="NA"/>
    <m/>
    <m/>
    <m/>
    <s v="NA"/>
    <s v="NA"/>
    <s v="NA"/>
    <s v="NA"/>
    <s v="NA"/>
    <m/>
    <m/>
    <m/>
    <d v="1900-01-14T00:00:00"/>
    <n v="0"/>
    <n v="15"/>
    <n v="0"/>
    <n v="0"/>
    <m/>
    <n v="15"/>
    <s v="Searching"/>
    <m/>
    <n v="0"/>
    <n v="1"/>
  </r>
  <r>
    <s v="DSCN2394"/>
    <s v="TAI0320_11"/>
    <n v="11"/>
    <n v="1"/>
    <s v="Taiga"/>
    <d v="2019-03-20T00:00:00"/>
    <s v="March"/>
    <x v="0"/>
    <d v="1899-12-30T00:52:00"/>
    <s v="Partly cloudy"/>
    <x v="24"/>
    <s v="Foraging"/>
    <s v="Spruce"/>
    <n v="1"/>
    <s v="unknown"/>
    <n v="0"/>
    <s v="Unknown"/>
    <s v="unknown"/>
    <s v="Exterior foliage"/>
    <s v="NA"/>
    <m/>
    <m/>
    <m/>
    <s v="NA"/>
    <s v="NA"/>
    <s v="NA"/>
    <s v="NA"/>
    <s v="NA"/>
    <m/>
    <m/>
    <m/>
    <n v="17"/>
    <m/>
    <n v="17"/>
    <n v="0"/>
    <n v="0"/>
    <m/>
    <n v="17"/>
    <s v="Searching"/>
    <m/>
    <n v="0"/>
    <n v="0"/>
  </r>
  <r>
    <s v="DSCN2410"/>
    <s v="TAI0320_21"/>
    <n v="21"/>
    <n v="1"/>
    <s v="Taiga"/>
    <d v="2019-03-20T00:00:00"/>
    <s v="March"/>
    <x v="0"/>
    <m/>
    <s v="Partly cloudy"/>
    <x v="24"/>
    <s v="Foraging"/>
    <s v="Spruce"/>
    <n v="1"/>
    <s v="unknown"/>
    <n v="0"/>
    <s v="Unknown"/>
    <s v="unknown"/>
    <s v="Exterior spruce bare branch under bark"/>
    <s v="NA"/>
    <m/>
    <m/>
    <m/>
    <s v="NA"/>
    <s v="NA"/>
    <s v="NA"/>
    <s v="NA"/>
    <s v="NA"/>
    <m/>
    <m/>
    <m/>
    <n v="28"/>
    <n v="0"/>
    <n v="16"/>
    <n v="12"/>
    <n v="0"/>
    <m/>
    <n v="28"/>
    <s v="Searching/ GLEAING"/>
    <m/>
    <n v="0"/>
    <n v="4"/>
  </r>
  <r>
    <s v="DSCN2394"/>
    <s v="TAI0320_11"/>
    <n v="11"/>
    <n v="2"/>
    <s v="Taiga"/>
    <d v="2019-03-20T00:00:00"/>
    <s v="March"/>
    <x v="0"/>
    <d v="1899-12-30T00:52:00"/>
    <s v="Partly cloudy"/>
    <x v="24"/>
    <s v="Foraging"/>
    <s v="NA"/>
    <n v="1"/>
    <n v="0"/>
    <n v="0"/>
    <s v="Unknown"/>
    <s v="unknown"/>
    <s v="Ground"/>
    <s v="NA"/>
    <m/>
    <m/>
    <m/>
    <s v="NA"/>
    <s v="NA"/>
    <s v="NA"/>
    <s v="NA"/>
    <s v="NA"/>
    <m/>
    <m/>
    <m/>
    <n v="0"/>
    <n v="0"/>
    <n v="0"/>
    <n v="0"/>
    <n v="5"/>
    <m/>
    <n v="5"/>
    <s v="Searching"/>
    <m/>
    <n v="0"/>
    <n v="0"/>
  </r>
  <r>
    <s v="DSCN2418"/>
    <s v="TAI0320_24"/>
    <n v="24"/>
    <n v="1"/>
    <s v="Taiga"/>
    <d v="2019-03-20T00:00:00"/>
    <s v="March"/>
    <x v="0"/>
    <d v="1899-12-30T00:56:00"/>
    <s v="Partly cloudy"/>
    <x v="24"/>
    <s v="Food handling"/>
    <s v="NA"/>
    <n v="1"/>
    <n v="0"/>
    <n v="0"/>
    <s v="Unknown"/>
    <s v="unknown"/>
    <s v="Ground"/>
    <s v="NA"/>
    <m/>
    <m/>
    <m/>
    <s v="NA"/>
    <s v="NA"/>
    <s v="NA"/>
    <s v="NA"/>
    <s v="NA"/>
    <m/>
    <m/>
    <m/>
    <n v="0"/>
    <n v="0"/>
    <n v="0"/>
    <n v="0"/>
    <n v="0"/>
    <m/>
    <n v="0"/>
    <s v="NA"/>
    <s v="Missed acquisition"/>
    <m/>
    <m/>
  </r>
  <r>
    <s v="DSCN2424"/>
    <s v="TAI0320_26"/>
    <n v="26"/>
    <n v="1"/>
    <s v="Taiga"/>
    <d v="2019-03-20T00:00:00"/>
    <s v="March"/>
    <x v="0"/>
    <d v="1899-12-30T00:29:00"/>
    <s v="Partly cloudy"/>
    <x v="24"/>
    <s v="Foraging"/>
    <s v="NA"/>
    <n v="1"/>
    <n v="0"/>
    <n v="0"/>
    <s v="Unknown"/>
    <s v="unknown"/>
    <s v="Ground"/>
    <s v="NA"/>
    <m/>
    <m/>
    <m/>
    <s v="NA"/>
    <s v="NA"/>
    <s v="NA"/>
    <s v="NA"/>
    <s v="NA"/>
    <m/>
    <m/>
    <m/>
    <n v="0"/>
    <n v="0"/>
    <n v="0"/>
    <n v="0"/>
    <n v="20"/>
    <m/>
    <n v="20"/>
    <s v="Searching"/>
    <m/>
    <m/>
    <m/>
  </r>
  <r>
    <s v="DSCN2428"/>
    <s v="TAI0320_28"/>
    <n v="28"/>
    <n v="1"/>
    <s v="Taiga"/>
    <d v="2019-03-20T00:00:00"/>
    <s v="March"/>
    <x v="0"/>
    <d v="1899-12-30T00:11:00"/>
    <s v="Partly cloudy"/>
    <x v="24"/>
    <s v="Food handling"/>
    <s v="Aspen"/>
    <n v="1"/>
    <n v="1"/>
    <n v="0"/>
    <s v="Unknown"/>
    <s v="unknown"/>
    <s v="Under bark of aspen trunk"/>
    <s v="NA"/>
    <m/>
    <m/>
    <m/>
    <s v="NA"/>
    <s v="NA"/>
    <s v="NA"/>
    <s v="NA"/>
    <s v="NA"/>
    <m/>
    <m/>
    <m/>
    <n v="0"/>
    <n v="0"/>
    <n v="0"/>
    <n v="0"/>
    <n v="0"/>
    <m/>
    <n v="0"/>
    <m/>
    <s v="Missed search. lOOKS ROUND LIKE A BERRY"/>
    <m/>
    <m/>
  </r>
  <r>
    <s v="DSCN2392"/>
    <s v="TAI0320_9"/>
    <n v="9"/>
    <n v="1"/>
    <s v="Taiga"/>
    <d v="2019-03-20T00:00:00"/>
    <s v="March"/>
    <x v="0"/>
    <d v="1899-12-30T00:28:00"/>
    <s v="Partly cloudy"/>
    <x v="24"/>
    <s v="Foraging"/>
    <s v="NA"/>
    <n v="2"/>
    <n v="0"/>
    <n v="0"/>
    <s v="Unknown"/>
    <s v="unknown"/>
    <s v="Ground"/>
    <n v="0"/>
    <m/>
    <m/>
    <m/>
    <n v="0"/>
    <s v="NA"/>
    <s v="NA"/>
    <s v="NA"/>
    <s v="NA"/>
    <m/>
    <m/>
    <m/>
    <n v="0"/>
    <n v="0"/>
    <n v="0"/>
    <n v="0"/>
    <d v="1900-01-27T00:00:00"/>
    <m/>
    <n v="28"/>
    <s v="Searching"/>
    <s v="Searching ground from tree. "/>
    <n v="0"/>
    <n v="0"/>
  </r>
  <r>
    <s v="DSCN2388"/>
    <s v="TAI0320_6"/>
    <n v="6"/>
    <n v="1"/>
    <s v="Taiga"/>
    <d v="2019-03-20T00:00:00"/>
    <s v="March"/>
    <x v="0"/>
    <d v="1899-12-30T00:23:00"/>
    <s v="Partly cloudy"/>
    <x v="24"/>
    <s v="Foraging"/>
    <s v="NA"/>
    <n v="3"/>
    <n v="0"/>
    <n v="0"/>
    <s v="Unknown"/>
    <s v="unknown"/>
    <s v="Ground"/>
    <s v="NA"/>
    <m/>
    <m/>
    <m/>
    <s v="NA"/>
    <s v="NA"/>
    <s v="NA"/>
    <s v="NA"/>
    <s v="NA"/>
    <m/>
    <m/>
    <m/>
    <n v="0"/>
    <n v="0"/>
    <n v="0"/>
    <n v="0"/>
    <n v="23"/>
    <m/>
    <n v="23"/>
    <s v="Searching"/>
    <m/>
    <n v="0"/>
    <n v="0"/>
  </r>
  <r>
    <s v="DSCN2395"/>
    <s v="TAI0320_12"/>
    <n v="12"/>
    <n v="1"/>
    <s v="Taiga"/>
    <d v="2019-03-20T00:00:00"/>
    <s v="March"/>
    <x v="0"/>
    <d v="1899-12-30T00:25:00"/>
    <s v="Partly cloudy"/>
    <x v="24"/>
    <s v="Foraging"/>
    <s v="NA"/>
    <n v="0"/>
    <n v="0"/>
    <n v="0"/>
    <m/>
    <s v="NA"/>
    <s v="NA"/>
    <s v="NA"/>
    <m/>
    <m/>
    <m/>
    <s v="NA"/>
    <s v="NA"/>
    <s v="NA"/>
    <s v="NA"/>
    <s v="NA"/>
    <m/>
    <m/>
    <m/>
    <n v="0"/>
    <n v="0"/>
    <n v="0"/>
    <n v="0"/>
    <n v="25"/>
    <m/>
    <n v="25"/>
    <s v="Searching"/>
    <m/>
    <n v="0"/>
    <n v="0"/>
  </r>
  <r>
    <s v="DSCN2391"/>
    <s v="TAI0320_8"/>
    <n v="8"/>
    <n v="1"/>
    <s v="Taiga"/>
    <d v="2019-03-20T00:00:00"/>
    <s v="March"/>
    <x v="0"/>
    <d v="1899-12-30T00:22:00"/>
    <s v="Partly cloudy"/>
    <x v="24"/>
    <s v="Foraging"/>
    <s v="Spruce"/>
    <n v="0"/>
    <n v="0"/>
    <n v="0"/>
    <m/>
    <s v="NA"/>
    <s v="NA"/>
    <s v="NA"/>
    <m/>
    <m/>
    <m/>
    <s v="NA"/>
    <s v="NA"/>
    <s v="NA"/>
    <s v="NA"/>
    <s v="NA"/>
    <m/>
    <m/>
    <m/>
    <n v="0"/>
    <n v="0"/>
    <n v="0"/>
    <n v="0"/>
    <n v="0"/>
    <m/>
    <n v="0"/>
    <s v="Searching"/>
    <s v="Perched in tree B&amp;Ut appears to be looking at ground.  Not sure how to label. "/>
    <n v="0"/>
    <n v="0"/>
  </r>
  <r>
    <s v="DSCN2413"/>
    <s v="TAI0320_22"/>
    <n v="22"/>
    <n v="1"/>
    <s v="Taiga"/>
    <d v="2019-03-20T00:00:00"/>
    <s v="March"/>
    <x v="0"/>
    <d v="1899-12-30T00:13:00"/>
    <s v="Partly cloudy"/>
    <x v="24"/>
    <s v="Foraging"/>
    <s v="NA"/>
    <n v="1"/>
    <n v="0"/>
    <n v="0"/>
    <s v="Unknown"/>
    <s v="unknown"/>
    <s v="Ground"/>
    <s v="NA"/>
    <m/>
    <m/>
    <m/>
    <s v="NA"/>
    <s v="NA"/>
    <s v="NA"/>
    <s v="NA"/>
    <s v="NA"/>
    <m/>
    <m/>
    <m/>
    <n v="0"/>
    <n v="0"/>
    <n v="0"/>
    <n v="0"/>
    <n v="13"/>
    <m/>
    <n v="13"/>
    <s v="Searching"/>
    <m/>
    <m/>
    <m/>
  </r>
  <r>
    <s v="DSCN2471"/>
    <s v="TAI0322_1"/>
    <n v="1"/>
    <n v="1"/>
    <s v="Taiga"/>
    <d v="2019-03-22T00:00:00"/>
    <s v="March"/>
    <x v="0"/>
    <d v="1899-12-30T02:09:00"/>
    <s v="Partly cloudy"/>
    <x v="24"/>
    <s v="Foraging"/>
    <s v="NA"/>
    <n v="1"/>
    <n v="0"/>
    <n v="0"/>
    <s v="Unknown"/>
    <s v="unknown"/>
    <s v="Ground"/>
    <s v="NA"/>
    <m/>
    <m/>
    <m/>
    <s v="NA"/>
    <s v="NA"/>
    <s v="NA"/>
    <s v="NA"/>
    <s v="NA"/>
    <m/>
    <m/>
    <m/>
    <n v="0"/>
    <n v="0"/>
    <n v="0"/>
    <n v="0"/>
    <n v="17"/>
    <m/>
    <n v="17"/>
    <s v="Searching"/>
    <m/>
    <m/>
    <m/>
  </r>
  <r>
    <s v="DSCN2401"/>
    <s v="TAI0320_15"/>
    <n v="15"/>
    <n v="1"/>
    <s v="Taiga"/>
    <d v="2019-03-20T00:00:00"/>
    <s v="March"/>
    <x v="0"/>
    <d v="1899-12-30T00:39:00"/>
    <s v="Partly cloudy"/>
    <x v="24"/>
    <s v="Unknown"/>
    <s v="Spruce"/>
    <s v="unknown"/>
    <n v="0"/>
    <s v="Unknown"/>
    <m/>
    <s v="unknown"/>
    <s v="uknown"/>
    <s v="NA"/>
    <m/>
    <m/>
    <m/>
    <s v="NA"/>
    <s v="NA"/>
    <s v="NA"/>
    <s v="NA"/>
    <s v="NA"/>
    <m/>
    <m/>
    <m/>
    <n v="0"/>
    <n v="0"/>
    <n v="0"/>
    <n v="0"/>
    <n v="0"/>
    <m/>
    <n v="0"/>
    <s v="Was it caching? Probing? IDK! "/>
    <m/>
    <m/>
    <m/>
  </r>
  <r>
    <s v="DSCN2415"/>
    <s v="TAI0320_23"/>
    <n v="23"/>
    <n v="1"/>
    <s v="Taiga"/>
    <d v="2019-03-20T00:00:00"/>
    <s v="March"/>
    <x v="0"/>
    <d v="1899-12-30T00:27:00"/>
    <s v="Partly cloudy"/>
    <x v="24"/>
    <s v="Foraging"/>
    <s v="NA"/>
    <s v="unknown"/>
    <n v="0"/>
    <n v="0"/>
    <m/>
    <s v="NA"/>
    <s v="NA"/>
    <s v="NA"/>
    <m/>
    <m/>
    <m/>
    <s v="NA"/>
    <s v="NA"/>
    <s v="NA"/>
    <s v="NA"/>
    <s v="NA"/>
    <m/>
    <m/>
    <m/>
    <n v="0"/>
    <n v="0"/>
    <n v="0"/>
    <n v="0"/>
    <n v="27"/>
    <m/>
    <n v="27"/>
    <s v="Searching"/>
    <m/>
    <m/>
    <m/>
  </r>
  <r>
    <s v="DSCN2427"/>
    <s v="TAI0320_27"/>
    <n v="27"/>
    <n v="1"/>
    <s v="Taiga"/>
    <d v="2019-03-20T00:00:00"/>
    <s v="March"/>
    <x v="0"/>
    <d v="1899-12-30T00:23:00"/>
    <s v="Partly cloudy"/>
    <x v="24"/>
    <s v="Foraging"/>
    <s v="NA"/>
    <s v="unknown"/>
    <n v="0"/>
    <n v="0"/>
    <m/>
    <s v="unknown"/>
    <s v="NA"/>
    <s v="NA"/>
    <m/>
    <m/>
    <m/>
    <s v="NA"/>
    <s v="NA"/>
    <s v="NA"/>
    <s v="NA"/>
    <s v="NA"/>
    <m/>
    <m/>
    <m/>
    <n v="0"/>
    <n v="0"/>
    <n v="0"/>
    <n v="0"/>
    <n v="23"/>
    <m/>
    <n v="23"/>
    <s v="Searching"/>
    <m/>
    <m/>
    <m/>
  </r>
  <r>
    <s v="DSCN2389"/>
    <s v="TAI0320_7"/>
    <n v="7"/>
    <n v="1"/>
    <s v="Taiga"/>
    <d v="2019-03-20T00:00:00"/>
    <s v="March"/>
    <x v="0"/>
    <d v="1899-12-30T00:34:00"/>
    <s v="Partly cloudy"/>
    <x v="24"/>
    <s v="Foraging"/>
    <s v="NA"/>
    <s v="unknown"/>
    <n v="0"/>
    <n v="0"/>
    <m/>
    <s v="NA"/>
    <s v="NA"/>
    <s v="NA"/>
    <m/>
    <m/>
    <m/>
    <s v="NA"/>
    <s v="NA"/>
    <s v="NA"/>
    <s v="NA"/>
    <s v="NA"/>
    <m/>
    <m/>
    <m/>
    <n v="0"/>
    <n v="0"/>
    <n v="0"/>
    <n v="0"/>
    <n v="34"/>
    <m/>
    <n v="34"/>
    <s v="Searching"/>
    <s v="Pecks several times B&amp;Ut no confirmed food.  Seems to spit something out at one point. "/>
    <n v="0"/>
    <n v="0"/>
  </r>
  <r>
    <s v="DSCN2625"/>
    <s v="UK0328_2"/>
    <n v="2"/>
    <n v="1"/>
    <s v="Unknown"/>
    <d v="2019-03-28T00:00:00"/>
    <s v="March"/>
    <x v="0"/>
    <d v="1899-12-30T00:20:00"/>
    <m/>
    <x v="25"/>
    <s v="Food handling"/>
    <s v="Spruce"/>
    <n v="1"/>
    <s v="unknown"/>
    <n v="0"/>
    <s v="Unknown"/>
    <s v="unknown"/>
    <s v="Exterior spruce foliage"/>
    <s v="NA"/>
    <m/>
    <m/>
    <m/>
    <s v="NA"/>
    <s v="NA"/>
    <s v="NA"/>
    <s v="NA"/>
    <s v="NA"/>
    <s v="NA"/>
    <s v="NA"/>
    <m/>
    <n v="0"/>
    <n v="0"/>
    <n v="0"/>
    <n v="0"/>
    <n v="0"/>
    <m/>
    <n v="0"/>
    <s v="Searching"/>
    <s v="Video starts just as bird extracts food."/>
    <n v="0"/>
    <n v="0"/>
  </r>
  <r>
    <s v="DSCN2624"/>
    <s v="UK0328_1"/>
    <n v="1"/>
    <n v="1"/>
    <s v="Unknown"/>
    <d v="2019-03-28T00:00:00"/>
    <s v="March"/>
    <x v="0"/>
    <d v="1899-12-30T01:28:00"/>
    <s v="Overcast"/>
    <x v="25"/>
    <s v="Foraging"/>
    <s v="Spruce"/>
    <n v="1"/>
    <s v="unknown"/>
    <n v="0"/>
    <s v="Unknown"/>
    <s v="unknown"/>
    <s v="Spruce trunk under bark"/>
    <s v="NA"/>
    <m/>
    <m/>
    <m/>
    <s v="NA"/>
    <s v="NA"/>
    <s v="NA"/>
    <s v="NA"/>
    <s v="NA"/>
    <s v="NA"/>
    <s v="NA"/>
    <m/>
    <n v="10"/>
    <n v="0"/>
    <n v="10"/>
    <n v="0"/>
    <n v="0"/>
    <m/>
    <n v="10"/>
    <s v="Searching/probing"/>
    <m/>
    <n v="2"/>
    <n v="0"/>
  </r>
  <r>
    <s v="DSCN2626"/>
    <s v="UK0328_3"/>
    <n v="3"/>
    <n v="1"/>
    <s v="Unknown"/>
    <d v="2019-03-28T00:00:00"/>
    <s v="March"/>
    <x v="0"/>
    <d v="1899-12-30T00:45:00"/>
    <m/>
    <x v="25"/>
    <s v="Foraging"/>
    <s v="Spruce"/>
    <s v="unknown"/>
    <s v="unknown"/>
    <s v="Unknown"/>
    <m/>
    <s v="NA"/>
    <s v="NA"/>
    <s v="NA"/>
    <m/>
    <m/>
    <m/>
    <s v="NA"/>
    <s v="NA"/>
    <s v="NA"/>
    <s v="NA"/>
    <s v="NA"/>
    <s v="NA"/>
    <s v="NA"/>
    <m/>
    <n v="20"/>
    <n v="0"/>
    <n v="20"/>
    <n v="0"/>
    <n v="0"/>
    <m/>
    <n v="20"/>
    <s v="Searching/probing"/>
    <m/>
    <n v="3"/>
    <n v="0"/>
  </r>
  <r>
    <s v="DSCN2444"/>
    <s v="BL0322_4"/>
    <n v="4"/>
    <n v="1"/>
    <s v="Boulder"/>
    <d v="2019-03-22T00:00:00"/>
    <s v="March"/>
    <x v="0"/>
    <d v="1899-12-30T00:09:00"/>
    <s v="Partly cloudy"/>
    <x v="26"/>
    <s v="Foraging"/>
    <s v="NA"/>
    <n v="1"/>
    <n v="0"/>
    <n v="0"/>
    <s v="Unknown"/>
    <s v="unknown"/>
    <s v="Ground"/>
    <s v="NA"/>
    <m/>
    <m/>
    <m/>
    <s v="NA"/>
    <s v="NA"/>
    <s v="NA"/>
    <s v="NA"/>
    <s v="NA"/>
    <m/>
    <m/>
    <m/>
    <n v="0"/>
    <n v="0"/>
    <n v="0"/>
    <n v="0"/>
    <n v="9"/>
    <m/>
    <n v="9"/>
    <s v="Searching"/>
    <m/>
    <m/>
    <m/>
  </r>
  <r>
    <s v="DSCN2572"/>
    <s v="AQ0326_1"/>
    <n v="1"/>
    <n v="1"/>
    <s v="Air Quality"/>
    <d v="2019-03-26T00:00:00"/>
    <s v="March"/>
    <x v="0"/>
    <d v="1899-12-30T00:07:00"/>
    <s v="Mostly overcast"/>
    <x v="8"/>
    <s v="Food handling"/>
    <s v="NA"/>
    <n v="1"/>
    <n v="0"/>
    <n v="0"/>
    <s v="Unknown"/>
    <s v="unknown"/>
    <s v="Ground"/>
    <s v="NA"/>
    <m/>
    <m/>
    <m/>
    <s v="NA"/>
    <s v="NA"/>
    <s v="NA"/>
    <s v="NA"/>
    <s v="NA"/>
    <m/>
    <m/>
    <m/>
    <n v="0"/>
    <n v="0"/>
    <n v="0"/>
    <n v="0"/>
    <n v="0"/>
    <m/>
    <n v="0"/>
    <m/>
    <s v="Missed acquisition"/>
    <m/>
    <m/>
  </r>
  <r>
    <s v="DSCN2575"/>
    <s v="AQ0326_2"/>
    <n v="2"/>
    <n v="1"/>
    <s v="Air Quality"/>
    <d v="2019-03-26T00:00:00"/>
    <s v="March"/>
    <x v="0"/>
    <d v="1899-12-30T00:34:00"/>
    <s v="Mostly overcast"/>
    <x v="8"/>
    <s v="Foraging"/>
    <s v="NA"/>
    <n v="0"/>
    <n v="0"/>
    <n v="0"/>
    <m/>
    <s v="NA"/>
    <s v="NA"/>
    <s v="NA"/>
    <m/>
    <m/>
    <m/>
    <s v="NA"/>
    <s v="NA"/>
    <s v="NA"/>
    <s v="NA"/>
    <s v="NA"/>
    <m/>
    <m/>
    <m/>
    <n v="0"/>
    <n v="0"/>
    <n v="0"/>
    <n v="0"/>
    <n v="34"/>
    <m/>
    <n v="34"/>
    <s v="Searching"/>
    <m/>
    <m/>
    <m/>
  </r>
  <r>
    <s v="DSCN2576"/>
    <s v="AQ0326_3"/>
    <n v="3"/>
    <n v="1"/>
    <s v="Air Quality"/>
    <d v="2019-03-26T00:00:00"/>
    <s v="March"/>
    <x v="0"/>
    <d v="1899-12-30T00:15:00"/>
    <s v="Mostly overcast"/>
    <x v="8"/>
    <s v="Foraging"/>
    <s v="NA"/>
    <s v="unknown"/>
    <n v="0"/>
    <n v="0"/>
    <m/>
    <s v="NA"/>
    <s v="NA"/>
    <s v="NA"/>
    <m/>
    <m/>
    <m/>
    <s v="NA"/>
    <s v="NA"/>
    <s v="NA"/>
    <s v="NA"/>
    <s v="NA"/>
    <m/>
    <m/>
    <m/>
    <n v="0"/>
    <n v="0"/>
    <n v="0"/>
    <n v="0"/>
    <n v="8"/>
    <m/>
    <n v="8"/>
    <s v="Searching"/>
    <m/>
    <m/>
    <m/>
  </r>
  <r>
    <s v="DSCN2460"/>
    <s v="BL0322_10"/>
    <n v="10"/>
    <n v="1"/>
    <s v="Boulder"/>
    <d v="2019-03-22T00:00:00"/>
    <s v="March"/>
    <x v="0"/>
    <d v="1899-12-30T00:40:00"/>
    <s v="Partly cloudy"/>
    <x v="10"/>
    <s v="Foraging"/>
    <s v="NA"/>
    <n v="1"/>
    <n v="0"/>
    <n v="0"/>
    <s v="Unknown"/>
    <s v="unknown"/>
    <s v="Ground"/>
    <s v="NA"/>
    <m/>
    <m/>
    <m/>
    <s v="NA"/>
    <s v="NA"/>
    <s v="NA"/>
    <s v="NA"/>
    <s v="NA"/>
    <m/>
    <m/>
    <m/>
    <n v="0"/>
    <n v="0"/>
    <n v="0"/>
    <n v="0"/>
    <n v="8"/>
    <m/>
    <n v="8"/>
    <s v="Searching"/>
    <m/>
    <m/>
    <m/>
  </r>
  <r>
    <s v="DSCN2465"/>
    <s v="BL0322_14"/>
    <n v="14"/>
    <n v="1"/>
    <s v="Boulder"/>
    <d v="2019-03-22T00:00:00"/>
    <s v="March"/>
    <x v="0"/>
    <d v="1899-12-30T00:20:00"/>
    <s v="Partly cloudy"/>
    <x v="10"/>
    <s v="Foraging"/>
    <s v="NA"/>
    <n v="1"/>
    <n v="0"/>
    <n v="0"/>
    <s v="Unknown"/>
    <s v="unknown"/>
    <s v="Ground"/>
    <s v="NA"/>
    <m/>
    <m/>
    <m/>
    <s v="NA"/>
    <s v="NA"/>
    <s v="NA"/>
    <s v="NA"/>
    <s v="NA"/>
    <m/>
    <m/>
    <m/>
    <n v="0"/>
    <n v="0"/>
    <n v="0"/>
    <n v="0"/>
    <n v="20"/>
    <m/>
    <n v="20"/>
    <s v="Searching"/>
    <m/>
    <m/>
    <m/>
  </r>
  <r>
    <s v="DSCN2443"/>
    <s v="BL0322_3"/>
    <n v="3"/>
    <n v="1"/>
    <s v="Boulder"/>
    <d v="2019-03-22T00:00:00"/>
    <s v="March"/>
    <x v="0"/>
    <d v="1899-12-30T00:14:00"/>
    <s v="Partly cloudy"/>
    <x v="10"/>
    <s v="Foraging"/>
    <s v="NA"/>
    <n v="1"/>
    <n v="0"/>
    <n v="0"/>
    <s v="Unknown"/>
    <s v="unknown"/>
    <s v="Ground"/>
    <s v="NA"/>
    <m/>
    <m/>
    <m/>
    <s v="NA"/>
    <s v="NA"/>
    <s v="NA"/>
    <s v="NA"/>
    <s v="NA"/>
    <m/>
    <m/>
    <m/>
    <n v="0"/>
    <n v="0"/>
    <n v="0"/>
    <n v="0"/>
    <n v="14"/>
    <m/>
    <n v="14"/>
    <m/>
    <s v="Missed acquisition"/>
    <m/>
    <m/>
  </r>
  <r>
    <s v="DSCN2446"/>
    <s v="BL0322_5"/>
    <n v="5"/>
    <n v="1"/>
    <s v="Boulder"/>
    <d v="2019-03-22T00:00:00"/>
    <s v="March"/>
    <x v="0"/>
    <d v="1899-12-30T00:20:00"/>
    <s v="Partly cloudy"/>
    <x v="10"/>
    <s v="Foraging"/>
    <s v="NA"/>
    <n v="3"/>
    <n v="0"/>
    <n v="0"/>
    <s v="Unknown"/>
    <s v="unknown"/>
    <s v="Ground"/>
    <s v="NA"/>
    <m/>
    <m/>
    <m/>
    <s v="NA"/>
    <s v="NA"/>
    <s v="NA"/>
    <s v="NA"/>
    <s v="NA"/>
    <m/>
    <m/>
    <m/>
    <n v="0"/>
    <n v="0"/>
    <n v="0"/>
    <n v="0"/>
    <n v="20"/>
    <m/>
    <n v="20"/>
    <s v="Searching"/>
    <m/>
    <m/>
    <m/>
  </r>
  <r>
    <s v="DSCN2434"/>
    <s v="BL0322_1"/>
    <n v="1"/>
    <n v="1"/>
    <s v="Boulder"/>
    <d v="2019-03-22T00:00:00"/>
    <s v="March"/>
    <x v="0"/>
    <d v="1899-12-30T00:28:00"/>
    <s v="Partly cloudy"/>
    <x v="10"/>
    <s v="Foraging"/>
    <s v="NA"/>
    <n v="0"/>
    <n v="0"/>
    <n v="0"/>
    <m/>
    <s v="NA"/>
    <s v="NA"/>
    <s v="NA"/>
    <m/>
    <m/>
    <m/>
    <s v="NA"/>
    <s v="NA"/>
    <s v="NA"/>
    <s v="NA"/>
    <s v="NA"/>
    <m/>
    <m/>
    <m/>
    <n v="0"/>
    <n v="0"/>
    <n v="0"/>
    <n v="0"/>
    <n v="11"/>
    <m/>
    <n v="11"/>
    <s v="Picking"/>
    <m/>
    <m/>
    <m/>
  </r>
  <r>
    <s v="DSCN2461"/>
    <s v="BL0322_11"/>
    <n v="11"/>
    <n v="1"/>
    <s v="Boulder"/>
    <d v="2019-03-22T00:00:00"/>
    <s v="March"/>
    <x v="0"/>
    <d v="1899-12-30T00:08:00"/>
    <s v="Partly cloudy"/>
    <x v="10"/>
    <s v="Foraging"/>
    <s v="NA"/>
    <n v="0"/>
    <n v="0"/>
    <n v="0"/>
    <m/>
    <s v="NA"/>
    <s v="NA"/>
    <s v="NA"/>
    <m/>
    <m/>
    <m/>
    <s v="NA"/>
    <s v="NA"/>
    <s v="NA"/>
    <s v="NA"/>
    <s v="NA"/>
    <m/>
    <m/>
    <m/>
    <n v="0"/>
    <n v="0"/>
    <n v="0"/>
    <n v="0"/>
    <n v="8"/>
    <m/>
    <n v="8"/>
    <s v="Searching"/>
    <m/>
    <m/>
    <m/>
  </r>
  <r>
    <s v="DSCN2435"/>
    <s v="BL0322_2"/>
    <n v="2"/>
    <n v="1"/>
    <s v="Boulder"/>
    <d v="2019-03-22T00:00:00"/>
    <s v="March"/>
    <x v="0"/>
    <d v="1899-12-30T01:09:00"/>
    <s v="Partly cloudy"/>
    <x v="10"/>
    <s v="Foraging"/>
    <s v="Shrubs"/>
    <n v="0"/>
    <n v="0"/>
    <n v="0"/>
    <m/>
    <s v="NA"/>
    <s v="NA"/>
    <s v="NA"/>
    <m/>
    <m/>
    <m/>
    <s v="NA"/>
    <s v="NA"/>
    <s v="NA"/>
    <s v="NA"/>
    <s v="NA"/>
    <m/>
    <m/>
    <m/>
    <n v="10"/>
    <n v="0"/>
    <n v="10"/>
    <n v="0"/>
    <n v="21"/>
    <m/>
    <n v="31"/>
    <s v="Picking"/>
    <s v="Plucked a dried blueberry B&amp;Ut then spit it up.  It did not secure it to the branch nor did it look like typical cache behavior.  So I did not score it as a cache.  "/>
    <m/>
    <m/>
  </r>
  <r>
    <s v="DSCN2462"/>
    <s v="BL0322_12"/>
    <n v="12"/>
    <n v="1"/>
    <s v="Boulder"/>
    <d v="2019-03-22T00:00:00"/>
    <s v="March"/>
    <x v="0"/>
    <d v="1899-12-30T00:18:00"/>
    <s v="Partly cloudy"/>
    <x v="10"/>
    <s v="Foraging"/>
    <s v="NA"/>
    <n v="1"/>
    <n v="0"/>
    <n v="0"/>
    <s v="Berry"/>
    <s v="Berry (crowberry)"/>
    <s v="Ground"/>
    <s v="NA"/>
    <m/>
    <m/>
    <m/>
    <s v="NA"/>
    <s v="NA"/>
    <s v="NA"/>
    <s v="NA"/>
    <s v="NA"/>
    <m/>
    <m/>
    <m/>
    <n v="0"/>
    <n v="0"/>
    <n v="0"/>
    <n v="0"/>
    <n v="18"/>
    <m/>
    <n v="18"/>
    <s v="Searching"/>
    <m/>
    <m/>
    <m/>
  </r>
  <r>
    <s v="DSCN2464"/>
    <s v="BL0322_13"/>
    <n v="13"/>
    <n v="1"/>
    <s v="Boulder"/>
    <d v="2019-03-22T00:00:00"/>
    <s v="March"/>
    <x v="0"/>
    <d v="1899-12-30T00:14:00"/>
    <s v="Partly cloudy"/>
    <x v="10"/>
    <s v="Foraging"/>
    <s v="NA"/>
    <n v="1"/>
    <n v="0"/>
    <n v="0"/>
    <s v="Berry"/>
    <s v="Berry (crowberry)"/>
    <s v="Ground"/>
    <s v="NA"/>
    <m/>
    <m/>
    <m/>
    <s v="NA"/>
    <s v="NA"/>
    <s v="NA"/>
    <s v="NA"/>
    <s v="NA"/>
    <m/>
    <m/>
    <m/>
    <n v="0"/>
    <n v="0"/>
    <n v="0"/>
    <n v="0"/>
    <n v="14"/>
    <m/>
    <n v="14"/>
    <s v="Searching"/>
    <m/>
    <m/>
    <m/>
  </r>
  <r>
    <s v="DSCN2453"/>
    <s v="BL0322_7"/>
    <n v="7"/>
    <n v="1"/>
    <s v="Boulder"/>
    <d v="2019-03-22T00:00:00"/>
    <s v="March"/>
    <x v="0"/>
    <d v="1899-12-30T00:33:00"/>
    <s v="Partly cloudy"/>
    <x v="10"/>
    <s v="Foraging/food handling"/>
    <s v="NA"/>
    <n v="1"/>
    <n v="0"/>
    <n v="0"/>
    <s v="Insect"/>
    <s v="Insect (caterpiller)"/>
    <s v="Ground"/>
    <s v="unknown"/>
    <m/>
    <m/>
    <m/>
    <s v="NA"/>
    <s v="NA"/>
    <s v="NA"/>
    <s v="NA"/>
    <s v="NA"/>
    <m/>
    <m/>
    <m/>
    <n v="0"/>
    <n v="0"/>
    <n v="0"/>
    <n v="0"/>
    <n v="3"/>
    <m/>
    <n v="3"/>
    <s v="Searching"/>
    <m/>
    <m/>
    <m/>
  </r>
  <r>
    <s v="DSCN2447"/>
    <s v="BL0322_6"/>
    <n v="6"/>
    <n v="1"/>
    <s v="Boulder"/>
    <d v="2019-03-22T00:00:00"/>
    <s v="March"/>
    <x v="0"/>
    <d v="1899-12-30T00:31:00"/>
    <s v="Partly cloudy"/>
    <x v="10"/>
    <s v="Foraging"/>
    <s v="NA"/>
    <s v="unknown"/>
    <n v="0"/>
    <n v="0"/>
    <m/>
    <s v="NA"/>
    <s v="NA"/>
    <s v="NA"/>
    <m/>
    <m/>
    <m/>
    <s v="NA"/>
    <s v="NA"/>
    <s v="NA"/>
    <s v="NA"/>
    <s v="NA"/>
    <m/>
    <m/>
    <m/>
    <n v="0"/>
    <n v="0"/>
    <n v="0"/>
    <n v="0"/>
    <n v="31"/>
    <m/>
    <n v="31"/>
    <s v="Searching"/>
    <s v="Scanning ground from tree branches"/>
    <m/>
    <m/>
  </r>
  <r>
    <s v="DSCN2458"/>
    <s v="BL0322_8"/>
    <n v="8"/>
    <n v="1"/>
    <s v="Boulder"/>
    <d v="2019-03-22T00:00:00"/>
    <s v="March"/>
    <x v="0"/>
    <d v="1899-12-30T00:16:00"/>
    <s v="Partly cloudy"/>
    <x v="10"/>
    <s v="Foraging"/>
    <s v="NA"/>
    <s v="unknown"/>
    <n v="0"/>
    <n v="0"/>
    <m/>
    <s v="NA"/>
    <s v="NA"/>
    <s v="NA"/>
    <m/>
    <m/>
    <m/>
    <s v="NA"/>
    <s v="NA"/>
    <s v="NA"/>
    <s v="NA"/>
    <s v="NA"/>
    <m/>
    <m/>
    <m/>
    <n v="0"/>
    <n v="0"/>
    <n v="0"/>
    <n v="0"/>
    <n v="16"/>
    <m/>
    <n v="16"/>
    <s v="Searching"/>
    <m/>
    <m/>
    <m/>
  </r>
  <r>
    <s v="DSCN2459"/>
    <s v="BL0322_9"/>
    <n v="9"/>
    <n v="1"/>
    <s v="Boulder"/>
    <d v="2019-03-22T00:00:00"/>
    <s v="March"/>
    <x v="0"/>
    <d v="1899-12-30T00:16:00"/>
    <s v="Partly cloudy"/>
    <x v="10"/>
    <s v="Foraging"/>
    <s v="NA"/>
    <s v="unknown"/>
    <n v="0"/>
    <n v="0"/>
    <m/>
    <s v="NA"/>
    <s v="NA"/>
    <s v="NA"/>
    <m/>
    <m/>
    <m/>
    <s v="NA"/>
    <s v="NA"/>
    <s v="NA"/>
    <s v="NA"/>
    <s v="NA"/>
    <m/>
    <m/>
    <m/>
    <n v="0"/>
    <n v="0"/>
    <n v="0"/>
    <n v="0"/>
    <n v="16"/>
    <m/>
    <n v="16"/>
    <s v="Searching"/>
    <m/>
    <m/>
    <m/>
  </r>
  <r>
    <s v="DSCN2603"/>
    <s v="M4R0327_7"/>
    <n v="7"/>
    <n v="1"/>
    <s v="M4Roadside"/>
    <d v="2019-03-27T00:00:00"/>
    <s v="March"/>
    <x v="0"/>
    <d v="1899-12-30T00:24:00"/>
    <s v="Overcast"/>
    <x v="11"/>
    <s v="Foraging"/>
    <s v="NA"/>
    <s v="unknown"/>
    <n v="0"/>
    <n v="0"/>
    <m/>
    <s v="NA"/>
    <s v="NA"/>
    <s v="NA"/>
    <m/>
    <m/>
    <m/>
    <s v="NA"/>
    <s v="NA"/>
    <s v="NA"/>
    <s v="NA"/>
    <s v="NA"/>
    <s v="NA"/>
    <s v="NA"/>
    <m/>
    <n v="0"/>
    <n v="0"/>
    <n v="0"/>
    <n v="0"/>
    <n v="12"/>
    <m/>
    <n v="12"/>
    <s v="Searching"/>
    <m/>
    <m/>
    <m/>
  </r>
  <r>
    <s v="DSCN2484"/>
    <s v="MC0325_2"/>
    <n v="2"/>
    <n v="2"/>
    <s v="Mercantile"/>
    <d v="2019-03-25T00:00:00"/>
    <s v="March"/>
    <x v="0"/>
    <d v="1899-12-30T01:37:00"/>
    <s v="Overcast"/>
    <x v="13"/>
    <s v="Foraging"/>
    <s v="Spruce"/>
    <n v="1"/>
    <n v="0"/>
    <n v="0"/>
    <s v="Mushroom"/>
    <s v="Mushroom (squirrel cache)"/>
    <s v="Exterior bare spruce branch"/>
    <s v="NA"/>
    <m/>
    <m/>
    <m/>
    <s v="NA"/>
    <s v="NA"/>
    <s v="NA"/>
    <s v="NA"/>
    <s v="NA"/>
    <m/>
    <m/>
    <m/>
    <n v="14"/>
    <n v="0"/>
    <n v="0"/>
    <n v="14"/>
    <n v="0"/>
    <m/>
    <n v="14"/>
    <s v="Searching"/>
    <s v="Grabbed squirrel cache and moved it to a new tree.  Did not take GPS since it did not appear to cache it itself. "/>
    <m/>
    <m/>
  </r>
  <r>
    <s v="DSCN2484"/>
    <s v="MC0325_2"/>
    <n v="2"/>
    <n v="1"/>
    <s v="Mercantile"/>
    <d v="2019-03-25T00:00:00"/>
    <s v="March"/>
    <x v="0"/>
    <d v="1899-12-30T01:37:00"/>
    <s v="Overcast"/>
    <x v="13"/>
    <s v="Foraging"/>
    <s v="NA"/>
    <n v="1"/>
    <n v="0"/>
    <n v="0"/>
    <s v="Berry"/>
    <s v="Berry (2-crowberries)"/>
    <s v="Ground"/>
    <s v="NA"/>
    <m/>
    <m/>
    <m/>
    <s v="NA"/>
    <s v="NA"/>
    <s v="NA"/>
    <s v="NA"/>
    <s v="NA"/>
    <m/>
    <m/>
    <m/>
    <n v="0"/>
    <n v="0"/>
    <n v="0"/>
    <n v="0"/>
    <n v="11"/>
    <m/>
    <n v="11"/>
    <s v="Searching"/>
    <m/>
    <m/>
    <m/>
  </r>
  <r>
    <s v="DSCN2477"/>
    <s v="MC0325_1"/>
    <n v="1"/>
    <n v="1"/>
    <s v="Mercantile"/>
    <d v="2019-03-25T00:00:00"/>
    <s v="March"/>
    <x v="0"/>
    <d v="1899-12-30T00:09:00"/>
    <s v="Overcast"/>
    <x v="13"/>
    <s v="Foraging"/>
    <s v="NA"/>
    <n v="0"/>
    <n v="0"/>
    <n v="0"/>
    <m/>
    <s v="NA"/>
    <s v="NA"/>
    <s v="NA"/>
    <m/>
    <m/>
    <m/>
    <s v="NA"/>
    <s v="NA"/>
    <s v="NA"/>
    <s v="NA"/>
    <s v="NA"/>
    <m/>
    <m/>
    <m/>
    <n v="0"/>
    <n v="0"/>
    <n v="0"/>
    <n v="0"/>
    <n v="9"/>
    <m/>
    <n v="9"/>
    <s v="Searching"/>
    <m/>
    <m/>
    <m/>
  </r>
  <r>
    <s v="DSCN2611"/>
    <s v="MC0327_1"/>
    <n v="1"/>
    <n v="1"/>
    <s v="M4Roadside"/>
    <d v="2019-03-27T00:00:00"/>
    <s v="March"/>
    <x v="0"/>
    <d v="1899-12-30T00:41:00"/>
    <s v="Partly cloudy"/>
    <x v="13"/>
    <s v="Foraging"/>
    <s v="Spruce"/>
    <n v="0"/>
    <n v="0"/>
    <n v="0"/>
    <m/>
    <s v="NA"/>
    <s v="NA"/>
    <s v="NA"/>
    <m/>
    <m/>
    <m/>
    <s v="NA"/>
    <s v="NA"/>
    <s v="NA"/>
    <s v="NA"/>
    <s v="NA"/>
    <s v="NA"/>
    <s v="NA"/>
    <m/>
    <n v="23"/>
    <n v="0"/>
    <n v="23"/>
    <n v="0"/>
    <n v="0"/>
    <m/>
    <n v="23"/>
    <s v="Searching"/>
    <m/>
    <m/>
    <m/>
  </r>
  <r>
    <s v="DSCN2612"/>
    <s v="MC0327_2"/>
    <n v="2"/>
    <n v="1"/>
    <s v="M4Roadside"/>
    <d v="2019-03-27T00:00:00"/>
    <s v="March"/>
    <x v="0"/>
    <d v="1899-12-30T00:26:00"/>
    <m/>
    <x v="13"/>
    <s v="Foraging"/>
    <s v="Spruce"/>
    <n v="0"/>
    <n v="0"/>
    <n v="0"/>
    <m/>
    <s v="NA"/>
    <s v="NA"/>
    <s v="NA"/>
    <m/>
    <m/>
    <m/>
    <s v="NA"/>
    <s v="NA"/>
    <s v="NA"/>
    <s v="NA"/>
    <s v="NA"/>
    <s v="NA"/>
    <s v="NA"/>
    <m/>
    <n v="0"/>
    <n v="26"/>
    <n v="0"/>
    <n v="26"/>
    <n v="0"/>
    <m/>
    <n v="26"/>
    <s v="Searching"/>
    <m/>
    <m/>
    <m/>
  </r>
  <r>
    <s v="DSCN2621"/>
    <s v="MC0327_3"/>
    <n v="3"/>
    <n v="1"/>
    <s v="M4Roadside"/>
    <d v="2019-03-27T00:00:00"/>
    <s v="March"/>
    <x v="0"/>
    <d v="1899-12-30T00:31:00"/>
    <m/>
    <x v="13"/>
    <s v="Foraging"/>
    <s v="NA"/>
    <n v="0"/>
    <n v="0"/>
    <n v="0"/>
    <m/>
    <s v="NA"/>
    <s v="NA"/>
    <s v="NA"/>
    <m/>
    <m/>
    <m/>
    <s v="NA"/>
    <s v="NA"/>
    <s v="NA"/>
    <s v="NA"/>
    <s v="NA"/>
    <s v="NA"/>
    <s v="NA"/>
    <m/>
    <n v="0"/>
    <n v="0"/>
    <n v="0"/>
    <n v="0"/>
    <n v="30"/>
    <m/>
    <n v="30"/>
    <s v="Searching"/>
    <m/>
    <m/>
    <m/>
  </r>
  <r>
    <s v="DSCN2622"/>
    <s v="MC0327_4"/>
    <n v="4"/>
    <n v="1"/>
    <s v="M4Roadside"/>
    <d v="2019-03-27T00:00:00"/>
    <s v="March"/>
    <x v="0"/>
    <d v="1899-12-30T00:22:00"/>
    <m/>
    <x v="13"/>
    <s v="Foraging"/>
    <s v="NA"/>
    <n v="0"/>
    <n v="0"/>
    <n v="0"/>
    <m/>
    <s v="NA"/>
    <s v="NA"/>
    <s v="NA"/>
    <m/>
    <m/>
    <m/>
    <s v="NA"/>
    <s v="NA"/>
    <s v="NA"/>
    <s v="NA"/>
    <s v="NA"/>
    <s v="NA"/>
    <s v="NA"/>
    <m/>
    <n v="0"/>
    <n v="0"/>
    <n v="0"/>
    <n v="0"/>
    <n v="10"/>
    <m/>
    <n v="10"/>
    <s v="Searching"/>
    <m/>
    <m/>
    <m/>
  </r>
  <r>
    <s v="DSCN2382"/>
    <s v="TAI0320_2"/>
    <n v="2"/>
    <n v="1"/>
    <s v="Taiga"/>
    <d v="2019-03-20T00:00:00"/>
    <s v="March"/>
    <x v="0"/>
    <d v="1899-12-30T00:11:00"/>
    <s v="Partly cloudy"/>
    <x v="27"/>
    <s v="Foraging"/>
    <s v="NA"/>
    <n v="1"/>
    <n v="0"/>
    <n v="0"/>
    <s v="Unknown"/>
    <s v="unknown"/>
    <s v="Ground"/>
    <s v="NA"/>
    <m/>
    <m/>
    <m/>
    <s v="NA"/>
    <s v="NA"/>
    <s v="NA"/>
    <s v="NA"/>
    <s v="NA"/>
    <m/>
    <m/>
    <m/>
    <n v="0"/>
    <n v="0"/>
    <n v="0"/>
    <n v="0"/>
    <n v="9"/>
    <m/>
    <n v="9"/>
    <s v="Searching"/>
    <m/>
    <n v="0"/>
    <n v="0"/>
  </r>
  <r>
    <s v="DSCN2408"/>
    <s v="TAI0320_20"/>
    <n v="20"/>
    <n v="1"/>
    <s v="Taiga"/>
    <d v="2019-03-20T00:00:00"/>
    <s v="March"/>
    <x v="0"/>
    <d v="1899-12-30T00:38:00"/>
    <s v="Partly cloudy"/>
    <x v="27"/>
    <s v="Foraging"/>
    <s v="NA"/>
    <n v="1"/>
    <n v="0"/>
    <n v="0"/>
    <s v="Unknown"/>
    <s v="unknown"/>
    <s v="Ground"/>
    <s v="NA"/>
    <m/>
    <m/>
    <m/>
    <s v="NA"/>
    <s v="MA"/>
    <s v="NA"/>
    <s v="NA"/>
    <s v="NA"/>
    <m/>
    <m/>
    <m/>
    <n v="0"/>
    <n v="0"/>
    <n v="0"/>
    <n v="0"/>
    <n v="12"/>
    <m/>
    <n v="12"/>
    <s v="Searching"/>
    <m/>
    <n v="0"/>
    <n v="0"/>
  </r>
  <r>
    <s v="DSCN2380"/>
    <s v="TAI0320_1"/>
    <n v="1"/>
    <n v="1"/>
    <s v="Taiga"/>
    <d v="2019-03-20T00:00:00"/>
    <s v="March"/>
    <x v="0"/>
    <d v="1899-12-30T00:57:00"/>
    <s v="Partly cloudy"/>
    <x v="27"/>
    <s v="Foraging"/>
    <s v="NA"/>
    <n v="3"/>
    <n v="0"/>
    <n v="0"/>
    <s v="Unknown"/>
    <s v="unknown"/>
    <s v="Ground"/>
    <s v="NA"/>
    <m/>
    <m/>
    <m/>
    <s v="NA"/>
    <s v="NA"/>
    <s v="NA"/>
    <s v="NA"/>
    <s v="NA"/>
    <m/>
    <m/>
    <m/>
    <n v="0"/>
    <n v="0"/>
    <n v="0"/>
    <n v="0"/>
    <n v="34"/>
    <m/>
    <n v="34"/>
    <s v="Searching"/>
    <s v="Did not count last acquisition since it might have been provided bread.  "/>
    <n v="0"/>
    <n v="0"/>
  </r>
  <r>
    <s v="DSCN2387"/>
    <s v="TAI0320_5"/>
    <n v="5"/>
    <n v="1"/>
    <s v="Taiga"/>
    <d v="2019-03-20T00:00:00"/>
    <s v="March"/>
    <x v="0"/>
    <d v="1899-12-30T00:38:00"/>
    <s v="Partly cloudy"/>
    <x v="27"/>
    <s v="Foraging"/>
    <s v="NA"/>
    <n v="5"/>
    <n v="0"/>
    <n v="0"/>
    <s v="Unknown"/>
    <s v="unknown"/>
    <s v="Ground"/>
    <s v="NA"/>
    <m/>
    <m/>
    <m/>
    <s v="NA"/>
    <s v="NA"/>
    <s v="NA"/>
    <s v="NA"/>
    <s v="NA"/>
    <m/>
    <m/>
    <m/>
    <n v="0"/>
    <n v="0"/>
    <n v="0"/>
    <n v="0"/>
    <n v="38"/>
    <m/>
    <n v="38"/>
    <s v="Searching"/>
    <m/>
    <n v="0"/>
    <n v="0"/>
  </r>
  <r>
    <s v="DSCN2398"/>
    <s v="TAI0320_14"/>
    <n v="14"/>
    <n v="1"/>
    <s v="Taiga"/>
    <d v="2019-03-20T00:00:00"/>
    <s v="March"/>
    <x v="0"/>
    <d v="1899-12-30T00:06:00"/>
    <s v="Partly cloudy"/>
    <x v="27"/>
    <s v="Caching"/>
    <s v="Spruce"/>
    <n v="1"/>
    <n v="0"/>
    <n v="1"/>
    <s v="Insect"/>
    <s v="Insect grub"/>
    <s v="Ground"/>
    <s v="Exterior spruce branch under witch hair"/>
    <s v="Spruce"/>
    <s v="Exterior"/>
    <s v="Under witchhair"/>
    <s v="East"/>
    <n v="82"/>
    <s v="unknown"/>
    <n v="63.739370000000001"/>
    <n v="148.91734"/>
    <m/>
    <m/>
    <m/>
    <n v="0"/>
    <n v="0"/>
    <n v="0"/>
    <n v="0"/>
    <n v="0"/>
    <m/>
    <n v="0"/>
    <s v="NA"/>
    <s v="Didn't catch foraging on camera.  Placed camera trap on cache.  "/>
    <m/>
    <m/>
  </r>
  <r>
    <s v="DSCN2405"/>
    <s v="TAI0320_18"/>
    <n v="18"/>
    <n v="1"/>
    <s v="Taiga"/>
    <d v="2019-03-20T00:00:00"/>
    <s v="March"/>
    <x v="0"/>
    <d v="1899-12-30T00:28:00"/>
    <s v="Partly cloudy"/>
    <x v="27"/>
    <s v="Foraging"/>
    <s v="NA"/>
    <n v="0"/>
    <n v="0"/>
    <n v="0"/>
    <m/>
    <s v="NA"/>
    <s v="NA"/>
    <s v="NA"/>
    <m/>
    <m/>
    <m/>
    <s v="NA"/>
    <s v="NA"/>
    <s v="NA"/>
    <s v="NA"/>
    <s v="NA"/>
    <m/>
    <m/>
    <m/>
    <n v="0"/>
    <n v="0"/>
    <n v="0"/>
    <n v="0"/>
    <n v="9"/>
    <m/>
    <n v="9"/>
    <s v="Searching"/>
    <m/>
    <n v="0"/>
    <n v="0"/>
  </r>
  <r>
    <s v="DSCN2420"/>
    <s v="TAI0320_25"/>
    <n v="25"/>
    <n v="1"/>
    <s v="Taiga"/>
    <d v="2019-03-20T00:00:00"/>
    <s v="March"/>
    <x v="0"/>
    <d v="1899-12-30T00:17:00"/>
    <s v="Partly cloudy"/>
    <x v="27"/>
    <s v="Food handling"/>
    <s v="NA"/>
    <n v="1"/>
    <n v="0"/>
    <n v="0"/>
    <s v="Insect"/>
    <s v="Insect grub"/>
    <s v="Ground"/>
    <s v="NA"/>
    <m/>
    <m/>
    <m/>
    <s v="NA"/>
    <s v="NA"/>
    <s v="NA"/>
    <s v="NA"/>
    <s v="NA"/>
    <m/>
    <m/>
    <m/>
    <n v="0"/>
    <n v="0"/>
    <n v="0"/>
    <n v="0"/>
    <n v="0"/>
    <m/>
    <n v="0"/>
    <s v="NA"/>
    <s v="Missed acquisition"/>
    <m/>
    <m/>
  </r>
  <r>
    <s v="DSCN2403"/>
    <s v="RAI0320_16"/>
    <n v="16"/>
    <n v="1"/>
    <s v="Taiga"/>
    <d v="2019-03-20T00:00:00"/>
    <s v="March"/>
    <x v="0"/>
    <d v="1899-12-30T00:10:00"/>
    <s v="Partly cloudy"/>
    <x v="27"/>
    <s v="Foraging"/>
    <s v="NA"/>
    <s v="unknown"/>
    <n v="0"/>
    <n v="0"/>
    <m/>
    <s v="unknown"/>
    <s v="NA"/>
    <s v="NA"/>
    <m/>
    <m/>
    <m/>
    <s v="NA"/>
    <s v="NA"/>
    <s v="NA"/>
    <s v="NA"/>
    <s v="NA"/>
    <m/>
    <m/>
    <m/>
    <n v="4"/>
    <n v="0"/>
    <n v="0"/>
    <n v="4"/>
    <n v="5"/>
    <m/>
    <n v="9"/>
    <s v="Searching/probing"/>
    <m/>
    <n v="1"/>
    <n v="0"/>
  </r>
  <r>
    <s v="DSCN2404"/>
    <s v="TAI0320_17"/>
    <n v="17"/>
    <n v="1"/>
    <s v="Taiga"/>
    <d v="2019-03-20T00:00:00"/>
    <s v="March"/>
    <x v="0"/>
    <d v="1899-12-30T00:30:00"/>
    <s v="Partly cloudy"/>
    <x v="27"/>
    <s v="Foraging"/>
    <s v="NA"/>
    <s v="unknown"/>
    <n v="0"/>
    <n v="0"/>
    <m/>
    <s v="NA"/>
    <s v="NA"/>
    <s v="NA"/>
    <m/>
    <m/>
    <m/>
    <s v="NA"/>
    <s v="NA"/>
    <s v="NA"/>
    <s v="NA"/>
    <s v="NA"/>
    <m/>
    <m/>
    <m/>
    <n v="0"/>
    <n v="0"/>
    <n v="0"/>
    <n v="0"/>
    <n v="22"/>
    <m/>
    <n v="22"/>
    <s v="Searching"/>
    <m/>
    <n v="0"/>
    <n v="0"/>
  </r>
  <r>
    <s v="DSCN2406"/>
    <s v="TAI0320_19"/>
    <n v="19"/>
    <n v="1"/>
    <s v="Taiga"/>
    <d v="2019-03-20T00:00:00"/>
    <s v="March"/>
    <x v="0"/>
    <d v="1899-12-30T00:24:00"/>
    <s v="Partly cloudy"/>
    <x v="27"/>
    <s v="Foraging"/>
    <s v="NA"/>
    <s v="unknown"/>
    <n v="0"/>
    <n v="0"/>
    <m/>
    <s v="NA"/>
    <s v="NA"/>
    <s v="NA"/>
    <m/>
    <m/>
    <m/>
    <s v="NA"/>
    <s v="NA"/>
    <s v="NA"/>
    <s v="NA"/>
    <s v="NA"/>
    <m/>
    <m/>
    <m/>
    <n v="0"/>
    <n v="0"/>
    <n v="0"/>
    <n v="0"/>
    <n v="24"/>
    <m/>
    <n v="24"/>
    <s v="Searching"/>
    <m/>
    <m/>
    <m/>
  </r>
  <r>
    <s v="DSCN2383"/>
    <s v="TAI0320_3"/>
    <n v="3"/>
    <n v="1"/>
    <s v="Taiga"/>
    <d v="2019-03-20T00:00:00"/>
    <s v="March"/>
    <x v="0"/>
    <d v="1899-12-30T00:08:00"/>
    <s v="Partly cloudy"/>
    <x v="27"/>
    <s v="Foraging"/>
    <s v="NA"/>
    <s v="unknown"/>
    <n v="0"/>
    <n v="0"/>
    <m/>
    <s v="NA"/>
    <s v="NA"/>
    <s v="NA"/>
    <m/>
    <m/>
    <m/>
    <s v="NA"/>
    <s v="NA"/>
    <s v="NA"/>
    <s v="NA"/>
    <s v="NA"/>
    <m/>
    <m/>
    <m/>
    <n v="0"/>
    <n v="0"/>
    <n v="0"/>
    <n v="0"/>
    <n v="3"/>
    <m/>
    <n v="3"/>
    <s v="Searching"/>
    <m/>
    <n v="0"/>
    <n v="0"/>
  </r>
  <r>
    <s v="DSCN2384"/>
    <s v="TAI0320_4"/>
    <n v="4"/>
    <n v="1"/>
    <s v="Taiga"/>
    <d v="2019-03-20T00:00:00"/>
    <s v="March"/>
    <x v="0"/>
    <d v="1899-12-30T00:08:00"/>
    <s v="Partly cloudy"/>
    <x v="27"/>
    <s v="Foraging"/>
    <s v="NA"/>
    <s v="unknown"/>
    <n v="0"/>
    <n v="0"/>
    <m/>
    <s v="NA"/>
    <s v="NA"/>
    <s v="NA"/>
    <m/>
    <m/>
    <m/>
    <s v="NA"/>
    <s v="NA"/>
    <s v="NA"/>
    <s v="NA"/>
    <s v="NA"/>
    <m/>
    <m/>
    <m/>
    <n v="0"/>
    <n v="0"/>
    <n v="0"/>
    <n v="0"/>
    <n v="4"/>
    <m/>
    <n v="4"/>
    <s v="Searching"/>
    <m/>
    <n v="0"/>
    <n v="0"/>
  </r>
  <r>
    <s v="DSCN2433"/>
    <s v="HS0321_1"/>
    <n v="1"/>
    <n v="1"/>
    <s v="Horse Shoe"/>
    <d v="2019-03-21T00:00:00"/>
    <s v="March"/>
    <x v="0"/>
    <d v="1899-12-30T00:30:00"/>
    <s v="Partly cloudy"/>
    <x v="28"/>
    <s v="Food handling/Foraging"/>
    <s v="Spruce"/>
    <n v="1"/>
    <s v="unknown"/>
    <n v="0"/>
    <s v="Unknown"/>
    <s v="unknown"/>
    <s v="uknown"/>
    <s v="NA"/>
    <m/>
    <m/>
    <m/>
    <s v="NA"/>
    <s v="NA"/>
    <s v="NA"/>
    <s v="NA"/>
    <s v="NA"/>
    <m/>
    <m/>
    <m/>
    <n v="10"/>
    <n v="0"/>
    <n v="0"/>
    <n v="10"/>
    <n v="0"/>
    <m/>
    <n v="10"/>
    <s v="Picking"/>
    <s v="Missed acquisition. Picking at fallen stum/branch.  Not really interior or exterior"/>
    <m/>
    <m/>
  </r>
  <r>
    <s v="DSCN2467"/>
    <s v="HS0322_1"/>
    <n v="1"/>
    <n v="1"/>
    <s v="Horse Shoe"/>
    <d v="2019-03-22T00:00:00"/>
    <s v="March"/>
    <x v="0"/>
    <d v="1899-12-30T00:23:00"/>
    <s v="Partly cloudy"/>
    <x v="28"/>
    <s v="Foraging"/>
    <s v="Spruce"/>
    <n v="1"/>
    <n v="0"/>
    <n v="1"/>
    <s v="Insect"/>
    <s v="Insect (grub)"/>
    <s v="Ground"/>
    <s v="Under bark of turned over spruce roots"/>
    <s v="Spruce"/>
    <s v="Exterior"/>
    <s v="Under bark"/>
    <s v="NE"/>
    <m/>
    <n v="1"/>
    <n v="63.738889999999998"/>
    <n v="148.9128"/>
    <m/>
    <m/>
    <m/>
    <n v="0"/>
    <n v="0"/>
    <n v="0"/>
    <n v="0"/>
    <n v="0"/>
    <m/>
    <n v="0"/>
    <m/>
    <s v="Missed acquisition"/>
    <m/>
    <m/>
  </r>
  <r>
    <s v="DSCN2524"/>
    <s v="M4R0325_14"/>
    <n v="14"/>
    <n v="1"/>
    <s v="M4Roadside"/>
    <d v="2019-03-25T00:00:00"/>
    <s v="March"/>
    <x v="0"/>
    <d v="1899-12-30T00:43:00"/>
    <s v="Mostly sunny"/>
    <x v="15"/>
    <s v="Foraging"/>
    <s v="NA"/>
    <n v="1"/>
    <n v="0"/>
    <n v="0"/>
    <s v="Unknown"/>
    <s v="unknown"/>
    <s v="Ground"/>
    <s v="NA"/>
    <m/>
    <m/>
    <m/>
    <s v="NA"/>
    <s v="NA"/>
    <s v="NA"/>
    <s v="NA"/>
    <s v="NA"/>
    <m/>
    <m/>
    <m/>
    <n v="0"/>
    <n v="0"/>
    <n v="0"/>
    <n v="0"/>
    <n v="13"/>
    <m/>
    <n v="13"/>
    <s v="Searching"/>
    <s v="Acquisition not recorded"/>
    <m/>
    <m/>
  </r>
  <r>
    <s v="DSCN2515"/>
    <s v="M4R0325_8"/>
    <n v="8"/>
    <n v="1"/>
    <s v="M4Roadside"/>
    <d v="2019-03-25T00:00:00"/>
    <s v="March"/>
    <x v="0"/>
    <d v="1899-12-30T02:25:00"/>
    <s v="Overcast"/>
    <x v="15"/>
    <s v="Foraging"/>
    <s v="NA"/>
    <n v="1"/>
    <n v="0"/>
    <n v="0"/>
    <s v="Insect"/>
    <s v="Insect (grub/caterpillar)"/>
    <s v="Ground"/>
    <s v="NA"/>
    <m/>
    <m/>
    <m/>
    <s v="NA"/>
    <s v="NA"/>
    <s v="NA"/>
    <s v="NA"/>
    <s v="NA"/>
    <m/>
    <m/>
    <m/>
    <n v="0"/>
    <n v="0"/>
    <n v="0"/>
    <n v="0"/>
    <n v="109"/>
    <m/>
    <n v="109"/>
    <s v="Searching"/>
    <s v="Checked possible cache tree B&amp;Ut did not see anything. "/>
    <m/>
    <m/>
  </r>
  <r>
    <s v="DSCN2505"/>
    <s v="M4R0325_1"/>
    <n v="1"/>
    <n v="1"/>
    <s v="M4Roadside"/>
    <d v="2019-03-25T00:00:00"/>
    <s v="March"/>
    <x v="0"/>
    <d v="1899-12-30T00:45:00"/>
    <s v="Overcast"/>
    <x v="15"/>
    <s v="Foraging"/>
    <s v="Spruce"/>
    <n v="0"/>
    <n v="0"/>
    <n v="0"/>
    <m/>
    <s v="NA"/>
    <s v="NA"/>
    <s v="NA"/>
    <m/>
    <m/>
    <m/>
    <s v="NA"/>
    <s v="NA"/>
    <s v="NA"/>
    <s v="NA"/>
    <s v="NA"/>
    <m/>
    <m/>
    <m/>
    <n v="13"/>
    <n v="0"/>
    <n v="0"/>
    <n v="13"/>
    <n v="0"/>
    <m/>
    <n v="13"/>
    <s v="Searching/probing"/>
    <m/>
    <n v="1"/>
    <n v="0"/>
  </r>
  <r>
    <s v="DSCN2517"/>
    <s v="M4R0325_10"/>
    <n v="10"/>
    <n v="1"/>
    <s v="M4Roadside"/>
    <d v="2019-03-25T00:00:00"/>
    <s v="March"/>
    <x v="0"/>
    <d v="1899-12-30T00:54:00"/>
    <s v="Mostly sunny"/>
    <x v="15"/>
    <s v="Foraging"/>
    <s v="NA"/>
    <n v="0"/>
    <n v="0"/>
    <n v="0"/>
    <m/>
    <s v="NA"/>
    <s v="NA"/>
    <s v="NA"/>
    <m/>
    <m/>
    <m/>
    <s v="NA"/>
    <s v="NA"/>
    <s v="NA"/>
    <s v="NA"/>
    <s v="NA"/>
    <m/>
    <m/>
    <m/>
    <n v="0"/>
    <n v="0"/>
    <n v="0"/>
    <n v="0"/>
    <n v="52"/>
    <m/>
    <n v="52"/>
    <s v="Searching"/>
    <m/>
    <m/>
    <m/>
  </r>
  <r>
    <s v="DSCN2527"/>
    <s v="M4R0325_16"/>
    <n v="16"/>
    <n v="1"/>
    <s v="M4Roadside"/>
    <d v="2019-03-25T00:00:00"/>
    <s v="March"/>
    <x v="0"/>
    <d v="1899-12-30T00:18:00"/>
    <s v="Mostly sunny"/>
    <x v="15"/>
    <s v="Foraging"/>
    <s v="NA"/>
    <n v="0"/>
    <n v="0"/>
    <n v="0"/>
    <m/>
    <s v="NA"/>
    <s v="NA"/>
    <s v="NA"/>
    <m/>
    <m/>
    <m/>
    <s v="NA"/>
    <s v="NA"/>
    <s v="NA"/>
    <s v="NA"/>
    <s v="NA"/>
    <m/>
    <m/>
    <m/>
    <n v="0"/>
    <n v="0"/>
    <n v="0"/>
    <n v="0"/>
    <n v="17"/>
    <m/>
    <n v="17"/>
    <s v="Searching"/>
    <m/>
    <m/>
    <m/>
  </r>
  <r>
    <s v="DSCN2529"/>
    <s v="M4R0325_17"/>
    <n v="17"/>
    <n v="1"/>
    <s v="M4Roadside"/>
    <d v="2019-03-25T00:00:00"/>
    <s v="March"/>
    <x v="0"/>
    <d v="1899-12-30T00:28:00"/>
    <s v="Mostly sunny"/>
    <x v="15"/>
    <s v="Foraging"/>
    <s v="NA"/>
    <n v="0"/>
    <n v="0"/>
    <n v="0"/>
    <m/>
    <s v="NA"/>
    <s v="NA"/>
    <s v="NA"/>
    <m/>
    <m/>
    <m/>
    <s v="NA"/>
    <s v="NA"/>
    <s v="NA"/>
    <s v="NA"/>
    <s v="NA"/>
    <m/>
    <m/>
    <m/>
    <n v="0"/>
    <n v="0"/>
    <n v="0"/>
    <n v="0"/>
    <n v="28"/>
    <m/>
    <n v="28"/>
    <s v="Searching"/>
    <m/>
    <m/>
    <m/>
  </r>
  <r>
    <s v="DSCN2506"/>
    <s v="M4R0325_2"/>
    <n v="2"/>
    <n v="1"/>
    <s v="M4Roadside"/>
    <d v="2019-03-25T00:00:00"/>
    <s v="March"/>
    <x v="0"/>
    <d v="1899-12-30T01:49:00"/>
    <s v="Overcast"/>
    <x v="15"/>
    <s v="Foraging"/>
    <s v="Spruce"/>
    <n v="0"/>
    <n v="0"/>
    <n v="0"/>
    <m/>
    <s v="NA"/>
    <s v="NA"/>
    <s v="NA"/>
    <m/>
    <m/>
    <m/>
    <s v="NA"/>
    <s v="NA"/>
    <s v="NA"/>
    <s v="NA"/>
    <s v="NA"/>
    <m/>
    <m/>
    <m/>
    <n v="15"/>
    <n v="0"/>
    <n v="11"/>
    <n v="4"/>
    <n v="19"/>
    <m/>
    <n v="34"/>
    <s v="Searching/probing"/>
    <m/>
    <n v="1"/>
    <n v="0"/>
  </r>
  <r>
    <s v="DSCN2508"/>
    <s v="M4R0325_4"/>
    <n v="4"/>
    <n v="1"/>
    <s v="M4Roadside"/>
    <d v="2019-03-25T00:00:00"/>
    <s v="March"/>
    <x v="0"/>
    <d v="1899-12-30T01:20:00"/>
    <s v="Overcast"/>
    <x v="15"/>
    <s v="Foraging"/>
    <s v="Spruce"/>
    <n v="0"/>
    <n v="0"/>
    <n v="0"/>
    <m/>
    <s v="NA"/>
    <s v="NA"/>
    <s v="NA"/>
    <m/>
    <m/>
    <m/>
    <s v="NA"/>
    <s v="NA"/>
    <s v="NA"/>
    <s v="NA"/>
    <s v="NA"/>
    <m/>
    <m/>
    <m/>
    <n v="21"/>
    <n v="0"/>
    <n v="21"/>
    <n v="0"/>
    <n v="0"/>
    <m/>
    <n v="21"/>
    <s v="Searching/probing"/>
    <s v="Searching in M4R1005_CT3"/>
    <n v="2"/>
    <n v="0"/>
  </r>
  <r>
    <s v="DSCN2514"/>
    <s v="M4R0325_7"/>
    <n v="7"/>
    <n v="1"/>
    <s v="M4Roadside"/>
    <d v="2019-03-25T00:00:00"/>
    <s v="March"/>
    <x v="0"/>
    <d v="1899-12-30T00:07:00"/>
    <s v="Overcast"/>
    <x v="15"/>
    <s v="Foraging"/>
    <s v="NA"/>
    <n v="0"/>
    <n v="0"/>
    <n v="0"/>
    <m/>
    <s v="NA"/>
    <s v="NA"/>
    <s v="NA"/>
    <m/>
    <m/>
    <m/>
    <s v="NA"/>
    <s v="NA"/>
    <s v="NA"/>
    <s v="NA"/>
    <s v="NA"/>
    <m/>
    <m/>
    <m/>
    <n v="0"/>
    <n v="0"/>
    <n v="0"/>
    <n v="0"/>
    <n v="7"/>
    <m/>
    <n v="7"/>
    <s v="Searching"/>
    <m/>
    <m/>
    <m/>
  </r>
  <r>
    <s v="DSCN2519"/>
    <s v="M4R0325_12"/>
    <n v="12"/>
    <n v="1"/>
    <s v="M4Roadside"/>
    <d v="2019-03-25T00:00:00"/>
    <s v="March"/>
    <x v="0"/>
    <d v="1899-12-30T00:24:00"/>
    <s v="Mostly sunny"/>
    <x v="15"/>
    <s v="Foraging"/>
    <s v="NA"/>
    <n v="1"/>
    <n v="0"/>
    <n v="0"/>
    <s v="Berry"/>
    <s v="Berry"/>
    <s v="Ground"/>
    <s v="NA"/>
    <m/>
    <m/>
    <m/>
    <s v="NA"/>
    <s v="NA"/>
    <s v="NA"/>
    <s v="NA"/>
    <s v="NA"/>
    <m/>
    <m/>
    <m/>
    <n v="0"/>
    <n v="0"/>
    <n v="0"/>
    <n v="0"/>
    <n v="24"/>
    <m/>
    <n v="24"/>
    <s v="Searching"/>
    <m/>
    <m/>
    <m/>
  </r>
  <r>
    <s v="DSCN2520"/>
    <s v="M4R0325_13"/>
    <n v="13"/>
    <n v="1"/>
    <s v="M4Roadside"/>
    <d v="2019-03-25T00:00:00"/>
    <s v="March"/>
    <x v="0"/>
    <d v="1899-12-30T00:20:00"/>
    <s v="Mostly sunny"/>
    <x v="15"/>
    <s v="Foraging"/>
    <s v="NA"/>
    <n v="1"/>
    <n v="0"/>
    <n v="0"/>
    <s v="Berry"/>
    <s v="Berry"/>
    <s v="NA"/>
    <s v="NA"/>
    <m/>
    <m/>
    <m/>
    <s v="NA"/>
    <s v="NA"/>
    <s v="NA"/>
    <s v="NA"/>
    <s v="NA"/>
    <m/>
    <m/>
    <m/>
    <n v="0"/>
    <n v="0"/>
    <n v="0"/>
    <n v="0"/>
    <n v="4"/>
    <m/>
    <n v="4"/>
    <s v="Searching"/>
    <s v="Acquisition reported on different video, B&amp;Ut part of this foraging sequence."/>
    <m/>
    <m/>
  </r>
  <r>
    <s v="DSCN2609"/>
    <s v="M4R0327_11"/>
    <n v="11"/>
    <n v="1"/>
    <s v="M4Roadside"/>
    <d v="2019-03-27T00:00:00"/>
    <s v="March"/>
    <x v="0"/>
    <d v="1899-12-30T00:55:00"/>
    <s v="Overcast"/>
    <x v="15"/>
    <s v="Foraging"/>
    <s v="NA"/>
    <n v="1"/>
    <n v="0"/>
    <n v="0"/>
    <s v="Unknown"/>
    <s v="unknown"/>
    <s v="Ground"/>
    <s v="NA"/>
    <m/>
    <m/>
    <m/>
    <s v="NA"/>
    <s v="NA"/>
    <s v="NA"/>
    <s v="NA"/>
    <s v="NA"/>
    <s v="NA"/>
    <s v="NA"/>
    <m/>
    <n v="0"/>
    <n v="0"/>
    <n v="0"/>
    <n v="0"/>
    <n v="55"/>
    <m/>
    <n v="55"/>
    <s v="Searching"/>
    <m/>
    <m/>
    <m/>
  </r>
  <r>
    <s v="DSCN2601"/>
    <s v="M4R0237_6"/>
    <n v="6"/>
    <n v="1"/>
    <s v="M4Roadside"/>
    <d v="2019-03-27T00:00:00"/>
    <s v="March"/>
    <x v="0"/>
    <d v="1899-12-30T01:02:00"/>
    <s v="Overcast"/>
    <x v="15"/>
    <s v="Food handling/Foraging"/>
    <s v="Spruce"/>
    <n v="1"/>
    <s v="unknown"/>
    <n v="0"/>
    <s v="Unknown"/>
    <s v="unknown"/>
    <s v="unknown"/>
    <s v="NA"/>
    <m/>
    <m/>
    <m/>
    <s v="NA"/>
    <s v="NA"/>
    <s v="NA"/>
    <s v="NA"/>
    <s v="NA"/>
    <s v="NA"/>
    <s v="NA"/>
    <m/>
    <n v="0"/>
    <n v="0"/>
    <n v="0"/>
    <n v="0"/>
    <n v="25"/>
    <m/>
    <n v="25"/>
    <s v="Searching"/>
    <m/>
    <m/>
    <m/>
  </r>
  <r>
    <s v="DSCN2600"/>
    <s v="M4R0327_5"/>
    <n v="5"/>
    <n v="2"/>
    <s v="M4Roadside"/>
    <d v="2019-03-27T00:00:00"/>
    <s v="March"/>
    <x v="0"/>
    <d v="1899-12-30T01:38:00"/>
    <s v="Overcast"/>
    <x v="15"/>
    <s v="Foraging"/>
    <s v="NA"/>
    <n v="3"/>
    <n v="0"/>
    <n v="0"/>
    <s v="Unknown"/>
    <s v="unknown"/>
    <s v="Ground"/>
    <s v="NA"/>
    <m/>
    <m/>
    <m/>
    <s v="NA"/>
    <s v="NA"/>
    <s v="NA"/>
    <s v="NA"/>
    <s v="NA"/>
    <s v="NA"/>
    <s v="NA"/>
    <m/>
    <n v="0"/>
    <n v="0"/>
    <n v="0"/>
    <n v="0"/>
    <n v="84"/>
    <m/>
    <n v="84"/>
    <s v="Searching"/>
    <m/>
    <m/>
    <m/>
  </r>
  <r>
    <s v="DSCN2600"/>
    <s v="M4R0327_5"/>
    <n v="5"/>
    <n v="1"/>
    <s v="M4Roadside"/>
    <d v="2019-03-27T00:00:00"/>
    <s v="March"/>
    <x v="0"/>
    <d v="1899-12-30T01:38:00"/>
    <s v="Overcast"/>
    <x v="15"/>
    <s v="Foraging"/>
    <s v="NA"/>
    <n v="1"/>
    <n v="0"/>
    <n v="0"/>
    <s v="Berry"/>
    <s v="Berry"/>
    <s v="Ground"/>
    <s v="NA"/>
    <m/>
    <m/>
    <m/>
    <s v="NA"/>
    <s v="NA"/>
    <s v="NA"/>
    <s v="NA"/>
    <s v="NA"/>
    <s v="NA"/>
    <s v="NA"/>
    <m/>
    <n v="0"/>
    <n v="0"/>
    <n v="0"/>
    <n v="0"/>
    <n v="2"/>
    <m/>
    <n v="2"/>
    <s v="Searching"/>
    <m/>
    <m/>
    <m/>
  </r>
  <r>
    <s v="DSCN2593"/>
    <s v="M4R0327_1"/>
    <n v="1"/>
    <n v="1"/>
    <s v="M4Roadside"/>
    <d v="2019-03-27T00:00:00"/>
    <s v="March"/>
    <x v="0"/>
    <d v="1899-12-30T00:42:00"/>
    <s v="Overcast"/>
    <x v="15"/>
    <s v="Food handling"/>
    <s v="Spruce"/>
    <n v="0"/>
    <n v="0"/>
    <n v="0"/>
    <m/>
    <s v="Feathers and bird shit"/>
    <s v="Interior sprice foliage in crown"/>
    <s v="NA"/>
    <m/>
    <m/>
    <m/>
    <s v="NA"/>
    <s v="NA"/>
    <s v="NA"/>
    <s v="NA"/>
    <s v="NA"/>
    <s v="NA"/>
    <s v="NA"/>
    <m/>
    <n v="0"/>
    <n v="0"/>
    <n v="0"/>
    <n v="0"/>
    <n v="0"/>
    <m/>
    <n v="0"/>
    <m/>
    <s v="Missed acquisition.  The bird appears to be eating it B&amp;Ut in slow motion it becomes evident that it is just flinging stuff away.  Because it's actually not food B&amp;Ut bird shit. "/>
    <m/>
    <m/>
  </r>
  <r>
    <s v="DSCN2598"/>
    <s v="M4R0327_4"/>
    <n v="4"/>
    <n v="1"/>
    <s v="M4Roadside"/>
    <d v="2019-03-27T00:00:00"/>
    <s v="March"/>
    <x v="0"/>
    <d v="1899-12-30T00:19:00"/>
    <s v="Overcast"/>
    <x v="15"/>
    <s v="Foraging"/>
    <s v="NA"/>
    <n v="0"/>
    <n v="0"/>
    <n v="0"/>
    <m/>
    <s v="NA"/>
    <s v="NA"/>
    <s v="NA"/>
    <m/>
    <m/>
    <m/>
    <s v="NA"/>
    <s v="NA"/>
    <s v="NA"/>
    <s v="NA"/>
    <s v="NA"/>
    <s v="NA"/>
    <s v="NA"/>
    <m/>
    <n v="0"/>
    <n v="0"/>
    <n v="0"/>
    <n v="0"/>
    <n v="19"/>
    <m/>
    <n v="19"/>
    <s v="Searching"/>
    <s v="Appears to collect something B&amp;Ut then drops it. "/>
    <m/>
    <m/>
  </r>
  <r>
    <s v="DSCN2531"/>
    <s v="M4R0325_18"/>
    <n v="18"/>
    <n v="1"/>
    <s v="M4Roadside"/>
    <d v="2019-03-25T00:00:00"/>
    <s v="March"/>
    <x v="0"/>
    <d v="1899-12-30T00:09:00"/>
    <s v="Mostly sunny"/>
    <x v="15"/>
    <s v="Foraging"/>
    <s v="Alder"/>
    <s v="unknown"/>
    <s v="unknown"/>
    <s v="Unknown"/>
    <m/>
    <s v="NA"/>
    <s v="NA"/>
    <s v="NA"/>
    <m/>
    <m/>
    <m/>
    <s v="NA"/>
    <s v="NA"/>
    <s v="NA"/>
    <s v="NA"/>
    <s v="NA"/>
    <m/>
    <m/>
    <m/>
    <n v="9"/>
    <n v="0"/>
    <n v="9"/>
    <n v="0"/>
    <n v="0"/>
    <m/>
    <n v="9"/>
    <s v="Searching"/>
    <m/>
    <m/>
    <m/>
  </r>
  <r>
    <s v="DSCN2518"/>
    <s v="M4R0325_11"/>
    <n v="11"/>
    <n v="1"/>
    <s v="M4Roadside"/>
    <d v="2019-03-25T00:00:00"/>
    <s v="March"/>
    <x v="0"/>
    <d v="1899-12-30T00:29:00"/>
    <s v="Mostly sunny"/>
    <x v="15"/>
    <s v="Foraging"/>
    <s v="NA"/>
    <s v="unknown"/>
    <n v="0"/>
    <n v="0"/>
    <m/>
    <s v="NA"/>
    <s v="NA"/>
    <s v="NA"/>
    <m/>
    <m/>
    <m/>
    <s v="NA"/>
    <s v="NA"/>
    <s v="NA"/>
    <s v="NA"/>
    <s v="NA"/>
    <m/>
    <m/>
    <m/>
    <n v="0"/>
    <n v="0"/>
    <n v="0"/>
    <n v="0"/>
    <n v="29"/>
    <m/>
    <n v="29"/>
    <s v="Searching"/>
    <m/>
    <m/>
    <m/>
  </r>
  <r>
    <s v="DSCN2526"/>
    <s v="M4R0325_15"/>
    <n v="15"/>
    <n v="1"/>
    <s v="M4Roadside"/>
    <d v="2019-03-25T00:00:00"/>
    <s v="March"/>
    <x v="0"/>
    <d v="1899-12-30T00:13:00"/>
    <s v="Mostly sunny"/>
    <x v="15"/>
    <s v="Foraging"/>
    <s v="NA"/>
    <s v="unknown"/>
    <n v="0"/>
    <n v="0"/>
    <m/>
    <s v="NA"/>
    <s v="NA"/>
    <s v="NA"/>
    <m/>
    <m/>
    <m/>
    <s v="NA"/>
    <s v="NA"/>
    <s v="NA"/>
    <s v="NA"/>
    <s v="NA"/>
    <m/>
    <m/>
    <m/>
    <n v="0"/>
    <n v="0"/>
    <n v="0"/>
    <n v="0"/>
    <n v="12"/>
    <m/>
    <n v="12"/>
    <s v="Searching"/>
    <m/>
    <m/>
    <m/>
  </r>
  <r>
    <s v="DSCN2507"/>
    <s v="M4R0325_3"/>
    <n v="3"/>
    <n v="1"/>
    <s v="M4Roadside"/>
    <d v="2019-03-25T00:00:00"/>
    <s v="March"/>
    <x v="0"/>
    <d v="1899-12-30T00:55:00"/>
    <s v="Overcast"/>
    <x v="15"/>
    <s v="Foraging"/>
    <s v="Spruce"/>
    <s v="unknown"/>
    <s v="unknown"/>
    <n v="0"/>
    <m/>
    <s v="NA"/>
    <s v="NA"/>
    <s v="NA"/>
    <m/>
    <m/>
    <m/>
    <s v="NA"/>
    <s v="NA"/>
    <s v="NA"/>
    <s v="NA"/>
    <s v="NA"/>
    <m/>
    <m/>
    <m/>
    <n v="14"/>
    <n v="0"/>
    <n v="14"/>
    <n v="0"/>
    <n v="0"/>
    <m/>
    <n v="14"/>
    <s v="Searching"/>
    <m/>
    <n v="0"/>
    <n v="0"/>
  </r>
  <r>
    <s v="DSCN2516"/>
    <s v="M4R0325_9"/>
    <n v="9"/>
    <n v="1"/>
    <s v="M4Roadside"/>
    <d v="2019-03-25T00:00:00"/>
    <s v="March"/>
    <x v="0"/>
    <d v="1899-12-30T00:26:00"/>
    <s v="Overcast"/>
    <x v="15"/>
    <s v="Foraging"/>
    <s v="NA"/>
    <s v="unknown"/>
    <n v="0"/>
    <n v="0"/>
    <m/>
    <s v="NA"/>
    <s v="NA"/>
    <s v="NA"/>
    <m/>
    <m/>
    <m/>
    <s v="NA"/>
    <s v="NA"/>
    <s v="NA"/>
    <s v="NA"/>
    <s v="NA"/>
    <m/>
    <m/>
    <m/>
    <n v="0"/>
    <n v="0"/>
    <n v="0"/>
    <n v="0"/>
    <n v="26"/>
    <m/>
    <n v="26"/>
    <s v="Searching"/>
    <m/>
    <m/>
    <m/>
  </r>
  <r>
    <s v="DSCN2607"/>
    <s v="M4R0327_10"/>
    <n v="10"/>
    <n v="1"/>
    <s v="M4Roadside"/>
    <d v="2019-03-27T00:00:00"/>
    <s v="March"/>
    <x v="0"/>
    <d v="1899-12-30T00:38:00"/>
    <s v="Overcast"/>
    <x v="15"/>
    <s v="Foraging"/>
    <s v="NA"/>
    <s v="unknown"/>
    <n v="0"/>
    <n v="0"/>
    <m/>
    <s v="NA"/>
    <s v="NA"/>
    <s v="NA"/>
    <m/>
    <m/>
    <m/>
    <s v="NA"/>
    <s v="NA"/>
    <s v="NA"/>
    <s v="NA"/>
    <s v="NA"/>
    <s v="NA"/>
    <s v="NA"/>
    <m/>
    <n v="0"/>
    <n v="0"/>
    <n v="0"/>
    <n v="0"/>
    <n v="38"/>
    <m/>
    <n v="38"/>
    <s v="Searching"/>
    <m/>
    <m/>
    <m/>
  </r>
  <r>
    <s v="DSCN2604"/>
    <s v="M4R0327_8"/>
    <n v="8"/>
    <n v="1"/>
    <s v="M4Roadside"/>
    <d v="2019-03-27T00:00:00"/>
    <s v="March"/>
    <x v="0"/>
    <d v="1899-12-30T00:17:00"/>
    <s v="Overcast"/>
    <x v="15"/>
    <s v="Foraging"/>
    <s v="NA"/>
    <s v="unknown"/>
    <n v="0"/>
    <n v="0"/>
    <m/>
    <s v="NA"/>
    <s v="NA"/>
    <s v="NA"/>
    <m/>
    <m/>
    <m/>
    <s v="NA"/>
    <s v="NA"/>
    <s v="NA"/>
    <s v="NA"/>
    <s v="NA"/>
    <s v="NA"/>
    <s v="NA"/>
    <m/>
    <n v="0"/>
    <n v="0"/>
    <n v="0"/>
    <n v="0"/>
    <n v="17"/>
    <m/>
    <n v="17"/>
    <s v="Searching"/>
    <m/>
    <m/>
    <m/>
  </r>
  <r>
    <s v="DSCN2606"/>
    <s v="M4R0327_9"/>
    <n v="9"/>
    <n v="1"/>
    <s v="M4Roadside"/>
    <d v="2019-03-27T00:00:00"/>
    <s v="March"/>
    <x v="0"/>
    <d v="1899-12-30T00:34:00"/>
    <s v="Overcast"/>
    <x v="15"/>
    <s v="Foraging"/>
    <s v="NA"/>
    <s v="unknown"/>
    <n v="0"/>
    <n v="0"/>
    <m/>
    <s v="NA"/>
    <s v="NA"/>
    <s v="NA"/>
    <m/>
    <m/>
    <m/>
    <s v="NA"/>
    <s v="NA"/>
    <s v="NA"/>
    <s v="NA"/>
    <s v="NA"/>
    <s v="NA"/>
    <s v="NA"/>
    <m/>
    <n v="0"/>
    <n v="0"/>
    <n v="0"/>
    <n v="0"/>
    <n v="32"/>
    <m/>
    <n v="32"/>
    <s v="Searching"/>
    <m/>
    <m/>
    <m/>
  </r>
  <r>
    <s v="DSCN2374"/>
    <s v="HS0320_1"/>
    <n v="1"/>
    <n v="1"/>
    <s v="Horse Shoe"/>
    <d v="2019-03-20T00:00:00"/>
    <s v="March"/>
    <x v="0"/>
    <d v="1899-12-30T00:21:00"/>
    <s v="Mostly overcast"/>
    <x v="29"/>
    <s v="Foraging"/>
    <s v="Spruce"/>
    <n v="1"/>
    <s v="unknown"/>
    <n v="0"/>
    <s v="Unknown"/>
    <s v="unknown"/>
    <s v="Interior spruce foliage"/>
    <s v="NA"/>
    <m/>
    <m/>
    <m/>
    <s v="NA"/>
    <m/>
    <m/>
    <m/>
    <m/>
    <m/>
    <m/>
    <m/>
    <n v="0"/>
    <n v="0"/>
    <n v="0"/>
    <n v="0"/>
    <n v="0"/>
    <m/>
    <n v="0"/>
    <s v="NA"/>
    <s v="Didn't catch foraging only extraction"/>
    <n v="0"/>
    <n v="0"/>
  </r>
  <r>
    <s v="DSCN2541"/>
    <s v="M2370326_3"/>
    <n v="3"/>
    <n v="1"/>
    <s v="Mile 237"/>
    <d v="2019-03-26T00:00:00"/>
    <s v="March"/>
    <x v="0"/>
    <d v="1899-12-30T01:11:00"/>
    <s v="Mostly sunny"/>
    <x v="16"/>
    <s v="Caching/foraging"/>
    <s v="Spruce"/>
    <n v="0"/>
    <n v="0"/>
    <n v="1"/>
    <s v="Unknown"/>
    <s v="unknown"/>
    <s v="uknown"/>
    <s v="Exterior spruce branch under witch hair"/>
    <s v="Spruce"/>
    <s v="Exterior"/>
    <s v="Under witchhair"/>
    <s v="N"/>
    <n v="0"/>
    <s v="unknown"/>
    <n v="63.723170000000003"/>
    <n v="148.89055999999999"/>
    <m/>
    <m/>
    <m/>
    <n v="0"/>
    <n v="0"/>
    <n v="0"/>
    <n v="0"/>
    <n v="0"/>
    <m/>
    <n v="0"/>
    <m/>
    <m/>
    <m/>
    <m/>
  </r>
  <r>
    <s v="DSCN2543"/>
    <s v="M2370326_5"/>
    <n v="5"/>
    <n v="2"/>
    <s v="Mile 237"/>
    <d v="2019-03-26T00:00:00"/>
    <s v="March"/>
    <x v="0"/>
    <d v="1899-12-30T01:06:00"/>
    <s v="Mostly sunny"/>
    <x v="16"/>
    <s v="Foraging"/>
    <s v="Spruce"/>
    <n v="1"/>
    <n v="0"/>
    <n v="0"/>
    <s v="Unknown"/>
    <s v="unknown"/>
    <s v="Ground"/>
    <s v="NA"/>
    <m/>
    <m/>
    <m/>
    <s v="NA"/>
    <s v="NA"/>
    <s v="NA"/>
    <s v="NA"/>
    <s v="NA"/>
    <m/>
    <m/>
    <m/>
    <n v="0"/>
    <n v="0"/>
    <n v="0"/>
    <n v="0"/>
    <n v="29"/>
    <m/>
    <n v="29"/>
    <s v="Searching"/>
    <m/>
    <m/>
    <m/>
  </r>
  <r>
    <s v="DSCN2553"/>
    <s v="M2370326_7"/>
    <n v="7"/>
    <n v="1"/>
    <s v="Mile 237"/>
    <d v="2019-03-26T00:00:00"/>
    <s v="March"/>
    <x v="0"/>
    <d v="1899-12-30T00:50:00"/>
    <s v="Mostly sunny"/>
    <x v="16"/>
    <s v="Foraging"/>
    <s v="NA"/>
    <n v="1"/>
    <n v="0"/>
    <n v="0"/>
    <s v="Unknown"/>
    <s v="unknown"/>
    <s v="Ground"/>
    <s v="NA"/>
    <m/>
    <m/>
    <m/>
    <s v="NA"/>
    <s v="NA"/>
    <s v="NA"/>
    <s v="NA"/>
    <s v="NA"/>
    <m/>
    <m/>
    <m/>
    <n v="0"/>
    <n v="0"/>
    <n v="0"/>
    <n v="0"/>
    <n v="50"/>
    <m/>
    <n v="50"/>
    <s v="Searching"/>
    <m/>
    <m/>
    <m/>
  </r>
  <r>
    <s v="DSCN2541"/>
    <s v="M2370326_3"/>
    <n v="3"/>
    <n v="2"/>
    <s v="Mile 237"/>
    <d v="2019-03-26T00:00:00"/>
    <s v="March"/>
    <x v="0"/>
    <d v="1899-12-30T01:11:00"/>
    <s v="Mostly sunny"/>
    <x v="16"/>
    <s v="Caching/foraging"/>
    <s v="Spruce"/>
    <n v="1"/>
    <n v="0"/>
    <n v="0"/>
    <s v="Insect"/>
    <s v="Insect (grub/caterpillar)"/>
    <s v="Ground"/>
    <s v="NA"/>
    <m/>
    <m/>
    <m/>
    <s v="NA"/>
    <s v="NA"/>
    <s v="NA"/>
    <s v="NA"/>
    <s v="NA"/>
    <m/>
    <m/>
    <m/>
    <n v="0"/>
    <n v="0"/>
    <n v="0"/>
    <n v="0"/>
    <n v="5"/>
    <m/>
    <n v="5"/>
    <s v="Searching"/>
    <s v="One other possible cache B&amp;Ut unclear. "/>
    <m/>
    <m/>
  </r>
  <r>
    <s v="DSCN2554"/>
    <s v="M2370326_8"/>
    <n v="8"/>
    <n v="1"/>
    <s v="Mile 237"/>
    <d v="2019-03-26T00:00:00"/>
    <s v="March"/>
    <x v="0"/>
    <d v="1899-12-30T00:40:00"/>
    <s v="Mostly sunny"/>
    <x v="16"/>
    <s v="Foraging"/>
    <s v="NA"/>
    <n v="1"/>
    <n v="0"/>
    <n v="0"/>
    <s v="Insect"/>
    <s v="Insect (unknown flying insect maybe brown lacewing)"/>
    <s v="Ground"/>
    <s v="NA"/>
    <m/>
    <m/>
    <m/>
    <s v="NA"/>
    <s v="NA"/>
    <s v="NA"/>
    <s v="NA"/>
    <s v="NA"/>
    <m/>
    <m/>
    <m/>
    <n v="0"/>
    <n v="0"/>
    <n v="0"/>
    <n v="0"/>
    <n v="40"/>
    <m/>
    <n v="40"/>
    <s v="Searching"/>
    <m/>
    <m/>
    <m/>
  </r>
  <r>
    <s v="DSCN2543"/>
    <s v="M2370326_5"/>
    <n v="5"/>
    <n v="1"/>
    <s v="Mile 237"/>
    <d v="2019-03-26T00:00:00"/>
    <s v="March"/>
    <x v="0"/>
    <d v="1899-12-30T01:06:00"/>
    <s v="Mostly sunny"/>
    <x v="16"/>
    <s v="Foraging/caching"/>
    <s v="Spruce"/>
    <n v="1"/>
    <n v="0"/>
    <n v="1"/>
    <s v="Berry"/>
    <s v="Berry (cranberry)"/>
    <s v="Ground"/>
    <s v="Exterior spruce foliage"/>
    <s v="Spruce"/>
    <s v="Exterior"/>
    <s v="Foliage"/>
    <s v="W"/>
    <n v="270"/>
    <n v="10"/>
    <n v="63.723640000000003"/>
    <n v="148.89089999999999"/>
    <m/>
    <m/>
    <m/>
    <n v="0"/>
    <n v="0"/>
    <n v="0"/>
    <n v="0"/>
    <n v="4"/>
    <m/>
    <n v="4"/>
    <s v="Searching"/>
    <m/>
    <m/>
    <m/>
  </r>
  <r>
    <s v="DSCN2540"/>
    <s v="M2370326_2"/>
    <n v="2"/>
    <n v="1"/>
    <s v="Mile 237"/>
    <d v="2019-03-26T00:00:00"/>
    <s v="March"/>
    <x v="0"/>
    <d v="1899-12-30T00:35:00"/>
    <s v="Mostly sunny"/>
    <x v="16"/>
    <s v="Caching/foraging"/>
    <s v="Aspen"/>
    <n v="0"/>
    <n v="0"/>
    <n v="2"/>
    <s v="Unknown"/>
    <s v="unknown"/>
    <s v="unknown"/>
    <s v="Exterior aspen branch under bark"/>
    <s v="Aspen"/>
    <s v="Exterior"/>
    <s v="Under bark"/>
    <s v="unknown"/>
    <s v="unknown"/>
    <s v="unknown"/>
    <s v="unknown"/>
    <s v="unknown"/>
    <m/>
    <m/>
    <m/>
    <n v="0"/>
    <n v="0"/>
    <n v="0"/>
    <n v="0"/>
    <n v="0"/>
    <m/>
    <n v="0"/>
    <m/>
    <s v="Did not recognize as cache while in field"/>
    <m/>
    <m/>
  </r>
  <r>
    <s v="DSCN2557"/>
    <s v="M2370326_11"/>
    <n v="11"/>
    <n v="1"/>
    <s v="Mile 237"/>
    <d v="2019-03-26T00:00:00"/>
    <s v="March"/>
    <x v="0"/>
    <d v="1899-12-30T00:15:00"/>
    <s v="Mostly sunny"/>
    <x v="16"/>
    <s v="Foraging"/>
    <s v="NA"/>
    <n v="0"/>
    <n v="0"/>
    <n v="0"/>
    <m/>
    <s v="NA"/>
    <s v="NA"/>
    <s v="NA"/>
    <m/>
    <m/>
    <m/>
    <s v="NA"/>
    <s v="NA"/>
    <s v="NA"/>
    <s v="NA"/>
    <s v="NA"/>
    <m/>
    <m/>
    <m/>
    <n v="0"/>
    <n v="0"/>
    <n v="0"/>
    <n v="0"/>
    <n v="15"/>
    <m/>
    <n v="15"/>
    <s v="Searching"/>
    <m/>
    <m/>
    <m/>
  </r>
  <r>
    <s v="DSCN2558"/>
    <s v="M2370326_12"/>
    <n v="12"/>
    <n v="1"/>
    <s v="Mile 237"/>
    <d v="2019-03-26T00:00:00"/>
    <s v="March"/>
    <x v="0"/>
    <d v="1899-12-30T00:49:00"/>
    <s v="Mostly sunny"/>
    <x v="16"/>
    <s v="Foraging"/>
    <s v="NA"/>
    <n v="0"/>
    <n v="0"/>
    <n v="0"/>
    <m/>
    <s v="NA"/>
    <s v="NA"/>
    <s v="NA"/>
    <m/>
    <m/>
    <m/>
    <s v="NA"/>
    <s v="NA"/>
    <s v="NA"/>
    <s v="NA"/>
    <s v="NA"/>
    <m/>
    <m/>
    <m/>
    <n v="0"/>
    <n v="0"/>
    <n v="0"/>
    <n v="0"/>
    <n v="37"/>
    <m/>
    <n v="37"/>
    <s v="Searching"/>
    <m/>
    <m/>
    <m/>
  </r>
  <r>
    <s v="DSCN2555"/>
    <s v="M2370326_9"/>
    <n v="9"/>
    <n v="1"/>
    <s v="Mile 237"/>
    <d v="2019-03-26T00:00:00"/>
    <s v="March"/>
    <x v="0"/>
    <d v="1899-12-30T00:23:00"/>
    <s v="Mostly sunny"/>
    <x v="16"/>
    <s v="Foraging"/>
    <s v="NA"/>
    <n v="0"/>
    <n v="0"/>
    <n v="0"/>
    <m/>
    <s v="NA"/>
    <s v="NA"/>
    <s v="NA"/>
    <m/>
    <m/>
    <m/>
    <s v="NA"/>
    <s v="NA"/>
    <s v="NA"/>
    <s v="NA"/>
    <s v="NA"/>
    <m/>
    <m/>
    <m/>
    <n v="0"/>
    <n v="0"/>
    <n v="0"/>
    <n v="0"/>
    <n v="18"/>
    <m/>
    <n v="18"/>
    <s v="Searching"/>
    <m/>
    <m/>
    <m/>
  </r>
  <r>
    <s v="DSCN2668"/>
    <s v="M2370330_1"/>
    <n v="1"/>
    <n v="1"/>
    <s v="Mile 237"/>
    <d v="2019-03-30T00:00:00"/>
    <s v="March"/>
    <x v="0"/>
    <d v="1899-12-30T00:20:00"/>
    <s v="Clear"/>
    <x v="16"/>
    <s v="Food handling"/>
    <s v="Aspen"/>
    <n v="1"/>
    <s v="unknown"/>
    <n v="0"/>
    <s v="Unknown"/>
    <s v="unknown"/>
    <s v="Aspen bare branch near joint. "/>
    <s v="NA"/>
    <m/>
    <m/>
    <m/>
    <s v="NA"/>
    <s v="NA"/>
    <s v="NA"/>
    <s v="NA"/>
    <s v="NA"/>
    <s v="NA"/>
    <s v="NA"/>
    <m/>
    <n v="0"/>
    <n v="0"/>
    <n v="0"/>
    <n v="0"/>
    <n v="0"/>
    <m/>
    <n v="0"/>
    <s v="Searching"/>
    <s v="Didn't get foraging on tape, just acquisition"/>
    <m/>
    <m/>
  </r>
  <r>
    <s v="DSCN2678"/>
    <s v="M2370330_8"/>
    <n v="8"/>
    <n v="1"/>
    <s v="Mile 237"/>
    <d v="2019-03-30T00:00:00"/>
    <s v="March"/>
    <x v="0"/>
    <d v="1899-12-30T00:35:00"/>
    <m/>
    <x v="16"/>
    <s v="Food handling"/>
    <s v="Aspen"/>
    <n v="1"/>
    <s v="unknown"/>
    <n v="0"/>
    <s v="Unknown"/>
    <s v="unknown (maybe plant?)"/>
    <s v="Aspen branch in knotted wood"/>
    <s v="NA"/>
    <m/>
    <m/>
    <m/>
    <s v="NA"/>
    <s v="NA"/>
    <s v="NA"/>
    <s v="NA"/>
    <s v="NA"/>
    <n v="63.722999999999999"/>
    <n v="148.88878"/>
    <m/>
    <n v="0"/>
    <n v="0"/>
    <n v="0"/>
    <n v="0"/>
    <n v="0"/>
    <m/>
    <n v="0"/>
    <m/>
    <s v="Video starts after bird already pulled firs tfood bit out.  Not sure if cache or not so took point"/>
    <m/>
    <m/>
  </r>
  <r>
    <s v="DSCN2686"/>
    <s v="M2370330_11"/>
    <n v="11"/>
    <n v="1"/>
    <s v="Mile 237"/>
    <d v="2019-03-30T00:00:00"/>
    <s v="March"/>
    <x v="0"/>
    <d v="1899-12-30T00:55:00"/>
    <m/>
    <x v="16"/>
    <s v="Foraging"/>
    <s v="NA"/>
    <n v="1"/>
    <n v="0"/>
    <n v="0"/>
    <s v="Unknown"/>
    <s v="unknown"/>
    <s v="Ground"/>
    <s v="NA"/>
    <m/>
    <m/>
    <m/>
    <s v="NA"/>
    <s v="NA"/>
    <s v="NA"/>
    <s v="NA"/>
    <s v="NA"/>
    <s v="NA"/>
    <s v="NA"/>
    <m/>
    <n v="0"/>
    <n v="0"/>
    <n v="0"/>
    <n v="0"/>
    <n v="53"/>
    <m/>
    <n v="53"/>
    <s v="Searching"/>
    <m/>
    <m/>
    <m/>
  </r>
  <r>
    <s v="DSCN2685"/>
    <s v="M2370330_17"/>
    <n v="17"/>
    <n v="1"/>
    <s v="Mile 237"/>
    <d v="2019-03-30T00:00:00"/>
    <s v="March"/>
    <x v="0"/>
    <d v="1899-12-30T00:20:00"/>
    <m/>
    <x v="16"/>
    <s v="Foraging"/>
    <s v="NA"/>
    <n v="1"/>
    <n v="0"/>
    <n v="0"/>
    <s v="Unknown"/>
    <s v="unknown"/>
    <s v="Ground"/>
    <s v="NA"/>
    <m/>
    <m/>
    <m/>
    <s v="NA"/>
    <s v="NA"/>
    <s v="NA"/>
    <s v="NA"/>
    <s v="NA"/>
    <s v="NA"/>
    <s v="NA"/>
    <m/>
    <n v="0"/>
    <n v="0"/>
    <n v="0"/>
    <n v="0"/>
    <n v="17"/>
    <m/>
    <n v="17"/>
    <s v="Searching"/>
    <m/>
    <m/>
    <m/>
  </r>
  <r>
    <s v="DSCN2696"/>
    <s v="M2370330_18"/>
    <n v="18"/>
    <n v="1"/>
    <s v="Mile 237"/>
    <d v="2019-03-30T00:00:00"/>
    <s v="March"/>
    <x v="0"/>
    <d v="1899-12-30T00:46:00"/>
    <m/>
    <x v="16"/>
    <s v="Foraging"/>
    <s v="NA"/>
    <n v="1"/>
    <n v="0"/>
    <n v="0"/>
    <s v="Unknown"/>
    <s v="unknown"/>
    <s v="Ground"/>
    <s v="NA"/>
    <m/>
    <m/>
    <m/>
    <s v="NA"/>
    <s v="NA"/>
    <s v="NA"/>
    <s v="NA"/>
    <s v="NA"/>
    <s v="NA"/>
    <s v="NA"/>
    <m/>
    <n v="0"/>
    <n v="0"/>
    <n v="0"/>
    <n v="0"/>
    <n v="30"/>
    <m/>
    <n v="30"/>
    <s v="Searching"/>
    <m/>
    <m/>
    <m/>
  </r>
  <r>
    <s v="DSCN2674"/>
    <s v="M2370330_5"/>
    <n v="5"/>
    <n v="1"/>
    <s v="Mile 237"/>
    <d v="2019-03-30T00:00:00"/>
    <s v="March"/>
    <x v="0"/>
    <d v="1899-12-30T00:31:00"/>
    <m/>
    <x v="16"/>
    <s v="Foraging"/>
    <s v="Spruce"/>
    <n v="1"/>
    <s v="unknown"/>
    <n v="0"/>
    <s v="Unknown"/>
    <s v="unknown"/>
    <s v="Interior spruce foliage near crown"/>
    <s v="NA"/>
    <m/>
    <m/>
    <m/>
    <s v="NA"/>
    <s v="NA"/>
    <s v="NA"/>
    <s v="NA"/>
    <s v="NA"/>
    <s v="NA"/>
    <s v="NA"/>
    <m/>
    <n v="0"/>
    <n v="6"/>
    <n v="6"/>
    <n v="0"/>
    <n v="0"/>
    <m/>
    <n v="6"/>
    <s v="Searching"/>
    <m/>
    <m/>
    <m/>
  </r>
  <r>
    <s v="DSCN2671"/>
    <s v="M2370330_2"/>
    <n v="2"/>
    <n v="1"/>
    <s v="Mile 237"/>
    <d v="2019-03-30T00:00:00"/>
    <s v="March"/>
    <x v="0"/>
    <d v="1899-12-30T00:28:00"/>
    <m/>
    <x v="16"/>
    <s v="Foraging"/>
    <s v="Spruce"/>
    <n v="1"/>
    <s v="unknown"/>
    <n v="0"/>
    <s v="Unknown"/>
    <s v="unknown"/>
    <s v="Spruce trunk"/>
    <s v="NA"/>
    <m/>
    <m/>
    <m/>
    <s v="NA"/>
    <s v="NA"/>
    <s v="NA"/>
    <s v="NA"/>
    <s v="NA"/>
    <s v="NA"/>
    <s v="NA"/>
    <m/>
    <n v="19"/>
    <n v="0"/>
    <n v="19"/>
    <n v="0"/>
    <n v="0"/>
    <m/>
    <n v="19"/>
    <s v="Searching"/>
    <m/>
    <m/>
    <m/>
  </r>
  <r>
    <s v="DSCN2677"/>
    <s v="M2370330_7"/>
    <n v="7"/>
    <n v="1"/>
    <s v="Mile 237"/>
    <d v="2019-03-30T00:00:00"/>
    <s v="March"/>
    <x v="0"/>
    <d v="1899-12-30T00:06:00"/>
    <m/>
    <x v="16"/>
    <s v="Food handling"/>
    <s v="Aspen"/>
    <n v="1"/>
    <n v="0"/>
    <n v="0"/>
    <s v="Unknown"/>
    <s v="unknown"/>
    <s v="unknown"/>
    <s v="NA"/>
    <m/>
    <m/>
    <m/>
    <s v="NA"/>
    <s v="NA"/>
    <s v="NA"/>
    <s v="NA"/>
    <s v="NA"/>
    <s v="NA"/>
    <s v="NA"/>
    <m/>
    <n v="0"/>
    <n v="0"/>
    <n v="0"/>
    <n v="0"/>
    <n v="0"/>
    <m/>
    <n v="0"/>
    <m/>
    <s v="Bird arrived with food, not sure where it came from."/>
    <m/>
    <m/>
  </r>
  <r>
    <s v="DSCN2700"/>
    <s v="M2370330_22"/>
    <n v="22"/>
    <n v="1"/>
    <s v="Mile 237"/>
    <d v="2019-03-30T00:00:00"/>
    <s v="March"/>
    <x v="0"/>
    <d v="1899-12-30T00:40:00"/>
    <m/>
    <x v="16"/>
    <s v="Foraging"/>
    <s v="NA"/>
    <n v="2"/>
    <n v="0"/>
    <n v="0"/>
    <s v="Unknown"/>
    <s v="unknown (Probably B&amp;Ugs)"/>
    <s v="Ground"/>
    <s v="NA"/>
    <m/>
    <m/>
    <m/>
    <s v="NA"/>
    <s v="NA"/>
    <s v="NA"/>
    <s v="NA"/>
    <s v="NA"/>
    <s v="NA"/>
    <s v="NA"/>
    <m/>
    <n v="0"/>
    <n v="0"/>
    <n v="0"/>
    <n v="0"/>
    <n v="38"/>
    <m/>
    <n v="38"/>
    <s v="Searching"/>
    <m/>
    <m/>
    <m/>
  </r>
  <r>
    <s v="DSCN2674"/>
    <s v="M2370330_5"/>
    <n v="5"/>
    <n v="2"/>
    <s v="Mile 237"/>
    <d v="2019-03-30T00:00:00"/>
    <s v="March"/>
    <x v="0"/>
    <d v="1899-12-30T00:31:00"/>
    <m/>
    <x v="16"/>
    <s v="Foraging"/>
    <s v="Spruce"/>
    <n v="1"/>
    <n v="0"/>
    <n v="0"/>
    <s v="Misc"/>
    <s v="Spruce cone"/>
    <s v="Exterior spruce foliage"/>
    <s v="NA"/>
    <m/>
    <m/>
    <m/>
    <s v="NA"/>
    <s v="NA"/>
    <s v="NA"/>
    <s v="NA"/>
    <s v="NA"/>
    <s v="NA"/>
    <s v="NA"/>
    <m/>
    <n v="0"/>
    <n v="25"/>
    <n v="0"/>
    <n v="25"/>
    <n v="0"/>
    <m/>
    <n v="25"/>
    <s v="Searching"/>
    <s v="Grabbed cone and seemed to hammer at it. "/>
    <m/>
    <m/>
  </r>
  <r>
    <s v="DSCN2682"/>
    <s v="M2370330_9"/>
    <n v="9"/>
    <n v="1"/>
    <s v="Mile 237"/>
    <d v="2019-03-30T00:00:00"/>
    <s v="March"/>
    <x v="0"/>
    <d v="1899-12-30T00:28:00"/>
    <m/>
    <x v="16"/>
    <s v="Foraging"/>
    <s v="Spruce"/>
    <n v="1"/>
    <n v="0"/>
    <n v="0"/>
    <s v="Insect"/>
    <s v="Insect (flying insect)"/>
    <s v="Exterior foliate spruce branch"/>
    <s v="NA"/>
    <m/>
    <m/>
    <m/>
    <s v="NA"/>
    <s v="NA"/>
    <s v="NA"/>
    <s v="NA"/>
    <s v="NA"/>
    <s v="NA"/>
    <s v="NA"/>
    <m/>
    <n v="4"/>
    <n v="0"/>
    <n v="0"/>
    <n v="4"/>
    <n v="0"/>
    <m/>
    <n v="4"/>
    <s v="Searching"/>
    <s v="There's one frame where you can see the food item.  It is a dark glossy black B&amp;Ut doesn't look like a berry.  Looks like a B&amp;Ug"/>
    <m/>
    <m/>
  </r>
  <r>
    <s v="DSCN2683"/>
    <s v="M2370330_10"/>
    <n v="10"/>
    <n v="1"/>
    <s v="Mile 237"/>
    <d v="2019-03-30T00:00:00"/>
    <s v="March"/>
    <x v="0"/>
    <d v="1899-12-30T00:22:00"/>
    <m/>
    <x v="16"/>
    <s v="Foraging"/>
    <s v="Aspen"/>
    <n v="0"/>
    <n v="0"/>
    <n v="0"/>
    <m/>
    <s v="NA"/>
    <s v="NA"/>
    <s v="NA"/>
    <m/>
    <m/>
    <m/>
    <s v="NA"/>
    <s v="NA"/>
    <s v="NA"/>
    <s v="NA"/>
    <s v="NA"/>
    <s v="NA"/>
    <s v="NA"/>
    <m/>
    <n v="15"/>
    <n v="0"/>
    <n v="0"/>
    <n v="15"/>
    <n v="0"/>
    <m/>
    <n v="15"/>
    <s v="Searching"/>
    <m/>
    <m/>
    <m/>
  </r>
  <r>
    <s v="DSCN2688"/>
    <s v="M2370330_13"/>
    <n v="13"/>
    <n v="1"/>
    <s v="Mile 237"/>
    <d v="2019-03-30T00:00:00"/>
    <s v="March"/>
    <x v="0"/>
    <d v="1899-12-30T00:35:00"/>
    <m/>
    <x v="16"/>
    <s v="Foraging"/>
    <s v="NA"/>
    <n v="0"/>
    <n v="0"/>
    <n v="0"/>
    <m/>
    <s v="NA"/>
    <s v="NA"/>
    <s v="NA"/>
    <m/>
    <m/>
    <m/>
    <s v="NA"/>
    <s v="NA"/>
    <s v="NA"/>
    <s v="NA"/>
    <s v="NA"/>
    <s v="NA"/>
    <s v="NA"/>
    <m/>
    <n v="0"/>
    <n v="0"/>
    <n v="0"/>
    <n v="0"/>
    <n v="35"/>
    <m/>
    <n v="35"/>
    <s v="Searching"/>
    <m/>
    <m/>
    <m/>
  </r>
  <r>
    <s v="DSCN2689"/>
    <s v="M2370330_14"/>
    <n v="14"/>
    <n v="1"/>
    <s v="Mile 237"/>
    <d v="2019-03-30T00:00:00"/>
    <s v="March"/>
    <x v="0"/>
    <d v="1899-12-30T00:06:00"/>
    <m/>
    <x v="16"/>
    <s v="Foraging"/>
    <s v="NA"/>
    <n v="0"/>
    <n v="0"/>
    <n v="0"/>
    <m/>
    <s v="NA"/>
    <s v="NA"/>
    <s v="NA"/>
    <m/>
    <m/>
    <m/>
    <s v="NA"/>
    <s v="NA"/>
    <s v="NA"/>
    <s v="NA"/>
    <s v="NA"/>
    <s v="NA"/>
    <s v="NA"/>
    <m/>
    <n v="0"/>
    <n v="0"/>
    <n v="0"/>
    <n v="0"/>
    <n v="4"/>
    <m/>
    <n v="4"/>
    <s v="Searching"/>
    <m/>
    <m/>
    <m/>
  </r>
  <r>
    <s v="DSCN2673"/>
    <s v="M2370330_4"/>
    <n v="4"/>
    <n v="1"/>
    <s v="Mile 237"/>
    <d v="2019-03-30T00:00:00"/>
    <s v="March"/>
    <x v="0"/>
    <d v="1899-12-30T00:23:00"/>
    <m/>
    <x v="16"/>
    <s v="Foraging"/>
    <s v="Spruce"/>
    <n v="0"/>
    <n v="0"/>
    <n v="0"/>
    <m/>
    <s v="NA"/>
    <s v="NA"/>
    <s v="NA"/>
    <m/>
    <m/>
    <m/>
    <s v="NA"/>
    <s v="NA"/>
    <s v="NA"/>
    <s v="NA"/>
    <s v="NA"/>
    <s v="NA"/>
    <s v="NA"/>
    <m/>
    <n v="0"/>
    <n v="10"/>
    <n v="0"/>
    <n v="10"/>
    <n v="0"/>
    <m/>
    <n v="10"/>
    <m/>
    <m/>
    <m/>
    <m/>
  </r>
  <r>
    <s v="DSCN2676"/>
    <s v="M2370330_6"/>
    <n v="6"/>
    <n v="1"/>
    <s v="Mile 237"/>
    <d v="2019-03-30T00:00:00"/>
    <s v="March"/>
    <x v="0"/>
    <d v="1899-12-30T00:08:00"/>
    <m/>
    <x v="16"/>
    <s v="Foraging"/>
    <s v="Spruce"/>
    <n v="0"/>
    <n v="0"/>
    <n v="0"/>
    <m/>
    <s v="NA"/>
    <s v="NA"/>
    <s v="NA"/>
    <m/>
    <m/>
    <m/>
    <s v="NA"/>
    <s v="NA"/>
    <s v="NA"/>
    <s v="NA"/>
    <s v="NA"/>
    <s v="NA"/>
    <s v="NA"/>
    <m/>
    <n v="6"/>
    <n v="0"/>
    <n v="6"/>
    <n v="0"/>
    <n v="0"/>
    <m/>
    <n v="6"/>
    <s v="Searching"/>
    <m/>
    <m/>
    <m/>
  </r>
  <r>
    <s v="DSCN2542"/>
    <s v="M2370326_4"/>
    <n v="4"/>
    <n v="1"/>
    <s v="Mile 237"/>
    <d v="2019-03-26T00:00:00"/>
    <s v="March"/>
    <x v="0"/>
    <d v="1899-12-30T00:14:00"/>
    <s v="Mostly sunny"/>
    <x v="16"/>
    <s v="Unknown"/>
    <s v="Aspen"/>
    <s v="unknown"/>
    <s v="unknown"/>
    <s v="Unknown"/>
    <m/>
    <s v="NA"/>
    <s v="NA"/>
    <s v="NA"/>
    <m/>
    <m/>
    <m/>
    <s v="NA"/>
    <s v="NA"/>
    <s v="NA"/>
    <s v="NA"/>
    <s v="NA"/>
    <m/>
    <m/>
    <m/>
    <m/>
    <m/>
    <m/>
    <m/>
    <m/>
    <m/>
    <n v="0"/>
    <m/>
    <m/>
    <m/>
    <m/>
  </r>
  <r>
    <s v="DSCN2672"/>
    <s v="M2370330_3"/>
    <n v="3"/>
    <n v="1"/>
    <s v="Mile 237"/>
    <d v="2019-03-30T00:00:00"/>
    <s v="March"/>
    <x v="0"/>
    <d v="1899-12-30T00:13:00"/>
    <m/>
    <x v="16"/>
    <s v="Foraging"/>
    <s v="Spruce"/>
    <s v="unknown"/>
    <s v="unknown"/>
    <s v="Unknown"/>
    <m/>
    <s v="NA"/>
    <s v="NA"/>
    <s v="NA"/>
    <m/>
    <m/>
    <m/>
    <s v="NA"/>
    <s v="NA"/>
    <s v="NA"/>
    <s v="NA"/>
    <s v="NA"/>
    <s v="NA"/>
    <s v="NA"/>
    <m/>
    <n v="0"/>
    <n v="13"/>
    <n v="0"/>
    <n v="13"/>
    <n v="0"/>
    <m/>
    <n v="13"/>
    <s v="Searching"/>
    <m/>
    <m/>
    <m/>
  </r>
  <r>
    <s v="DSCN2536"/>
    <s v="M2370326_1"/>
    <n v="1"/>
    <n v="1"/>
    <s v="Mile 237"/>
    <d v="2019-03-26T00:00:00"/>
    <s v="March"/>
    <x v="0"/>
    <d v="1899-12-30T01:15:00"/>
    <s v="Mostly sunny"/>
    <x v="16"/>
    <s v="Foraging"/>
    <s v="NA"/>
    <s v="unknown"/>
    <n v="0"/>
    <n v="0"/>
    <m/>
    <s v="NA"/>
    <s v="NA"/>
    <s v="NA"/>
    <m/>
    <m/>
    <m/>
    <s v="NA"/>
    <s v="NA"/>
    <s v="NA"/>
    <s v="NA"/>
    <s v="NA"/>
    <m/>
    <m/>
    <m/>
    <n v="0"/>
    <n v="0"/>
    <n v="0"/>
    <n v="0"/>
    <n v="37"/>
    <m/>
    <n v="37"/>
    <s v="Searching"/>
    <m/>
    <m/>
    <m/>
  </r>
  <r>
    <s v="DSCN2556"/>
    <s v="M2370326_10"/>
    <n v="10"/>
    <n v="1"/>
    <s v="Mile 237"/>
    <d v="2019-03-26T00:00:00"/>
    <s v="March"/>
    <x v="0"/>
    <d v="1899-12-30T00:55:00"/>
    <s v="Mostly sunny"/>
    <x v="16"/>
    <s v="Foraging"/>
    <s v="NA"/>
    <s v="unknown"/>
    <n v="0"/>
    <n v="0"/>
    <m/>
    <s v="NA"/>
    <s v="NA"/>
    <s v="NA"/>
    <m/>
    <m/>
    <m/>
    <s v="NA"/>
    <s v="NA"/>
    <s v="NA"/>
    <s v="NA"/>
    <s v="NA"/>
    <m/>
    <m/>
    <m/>
    <n v="0"/>
    <n v="0"/>
    <n v="0"/>
    <n v="0"/>
    <n v="55"/>
    <m/>
    <n v="55"/>
    <s v="Searching"/>
    <m/>
    <m/>
    <m/>
  </r>
  <r>
    <s v="DSCN2550"/>
    <s v="M2370326_6"/>
    <n v="6"/>
    <n v="1"/>
    <s v="Mile 237"/>
    <d v="2019-03-26T00:00:00"/>
    <s v="March"/>
    <x v="0"/>
    <d v="1899-12-30T00:47:00"/>
    <s v="Mostly sunny"/>
    <x v="16"/>
    <s v="Foraging"/>
    <s v="NA"/>
    <s v="unknown"/>
    <n v="0"/>
    <n v="0"/>
    <m/>
    <s v="NA"/>
    <s v="NA"/>
    <s v="NA"/>
    <m/>
    <m/>
    <m/>
    <s v="NA"/>
    <s v="NA"/>
    <s v="NA"/>
    <s v="NA"/>
    <s v="NA"/>
    <m/>
    <m/>
    <m/>
    <n v="0"/>
    <n v="0"/>
    <n v="0"/>
    <n v="0"/>
    <n v="39"/>
    <m/>
    <n v="39"/>
    <s v="Searching"/>
    <m/>
    <m/>
    <m/>
  </r>
  <r>
    <s v="DSCN2687"/>
    <s v="M2370330_12"/>
    <n v="12"/>
    <n v="1"/>
    <s v="Mile 237"/>
    <d v="2019-03-30T00:00:00"/>
    <s v="March"/>
    <x v="0"/>
    <d v="1899-12-30T00:20:00"/>
    <m/>
    <x v="16"/>
    <s v="Foraging"/>
    <s v="NA"/>
    <s v="unknown"/>
    <n v="0"/>
    <n v="0"/>
    <m/>
    <s v="NA"/>
    <s v="NA"/>
    <s v="NA"/>
    <m/>
    <m/>
    <m/>
    <s v="NA"/>
    <s v="NA"/>
    <s v="NA"/>
    <s v="NA"/>
    <s v="NA"/>
    <s v="NA"/>
    <s v="NA"/>
    <m/>
    <n v="0"/>
    <n v="0"/>
    <n v="0"/>
    <n v="0"/>
    <n v="20"/>
    <m/>
    <n v="20"/>
    <s v="Searching"/>
    <m/>
    <m/>
    <m/>
  </r>
  <r>
    <s v="DSCN2691"/>
    <s v="M2370330_15"/>
    <n v="15"/>
    <n v="1"/>
    <s v="Mile 237"/>
    <d v="2019-03-30T00:00:00"/>
    <s v="March"/>
    <x v="0"/>
    <d v="1899-12-30T00:24:00"/>
    <m/>
    <x v="16"/>
    <s v="Foraging"/>
    <s v="NA"/>
    <s v="unknown"/>
    <n v="0"/>
    <n v="0"/>
    <m/>
    <s v="NA"/>
    <s v="NA"/>
    <s v="NA"/>
    <m/>
    <m/>
    <m/>
    <s v="NA"/>
    <s v="NA"/>
    <s v="NA"/>
    <s v="NA"/>
    <s v="NA"/>
    <s v="NA"/>
    <s v="NA"/>
    <m/>
    <n v="0"/>
    <n v="0"/>
    <n v="0"/>
    <n v="0"/>
    <n v="7"/>
    <m/>
    <n v="7"/>
    <s v="Searching"/>
    <m/>
    <m/>
    <m/>
  </r>
  <r>
    <s v="DSCN2694"/>
    <s v="M2370330_16"/>
    <n v="16"/>
    <n v="1"/>
    <s v="Mile 237"/>
    <d v="2019-03-30T00:00:00"/>
    <s v="March"/>
    <x v="0"/>
    <d v="1899-12-30T00:08:00"/>
    <m/>
    <x v="16"/>
    <s v="Foraging"/>
    <s v="NA"/>
    <s v="unknown"/>
    <n v="0"/>
    <n v="0"/>
    <m/>
    <s v="NA"/>
    <s v="NA"/>
    <s v="NA"/>
    <m/>
    <m/>
    <m/>
    <s v="NA"/>
    <s v="NA"/>
    <s v="NA"/>
    <s v="NA"/>
    <s v="NA"/>
    <s v="NA"/>
    <s v="NA"/>
    <m/>
    <n v="0"/>
    <n v="0"/>
    <n v="0"/>
    <n v="0"/>
    <n v="8"/>
    <m/>
    <n v="8"/>
    <s v="Searching"/>
    <m/>
    <m/>
    <m/>
  </r>
  <r>
    <s v="DSCN2697"/>
    <s v="M2370330_19"/>
    <n v="19"/>
    <n v="1"/>
    <s v="Mile 237"/>
    <d v="2019-03-30T00:00:00"/>
    <s v="March"/>
    <x v="0"/>
    <d v="1899-12-30T00:20:00"/>
    <m/>
    <x v="16"/>
    <s v="Foraging"/>
    <s v="NA"/>
    <s v="unknown"/>
    <n v="0"/>
    <n v="0"/>
    <m/>
    <s v="NA"/>
    <s v="NA"/>
    <s v="NA"/>
    <m/>
    <m/>
    <m/>
    <s v="NA"/>
    <s v="NA"/>
    <s v="NA"/>
    <s v="NA"/>
    <s v="NA"/>
    <s v="NA"/>
    <s v="NA"/>
    <m/>
    <n v="0"/>
    <n v="0"/>
    <n v="0"/>
    <n v="0"/>
    <n v="7"/>
    <m/>
    <n v="7"/>
    <s v="Searching"/>
    <m/>
    <m/>
    <m/>
  </r>
  <r>
    <s v="DSCN2698"/>
    <s v="M2370330_20"/>
    <n v="20"/>
    <n v="1"/>
    <s v="Mile 237"/>
    <d v="2019-03-30T00:00:00"/>
    <s v="March"/>
    <x v="0"/>
    <d v="1899-12-30T00:17:00"/>
    <m/>
    <x v="16"/>
    <s v="Foraging"/>
    <s v="NA"/>
    <s v="unknown"/>
    <n v="0"/>
    <n v="0"/>
    <m/>
    <s v="NA"/>
    <s v="NA"/>
    <s v="NA"/>
    <m/>
    <m/>
    <m/>
    <s v="NA"/>
    <s v="NA"/>
    <s v="NA"/>
    <s v="NA"/>
    <s v="NA"/>
    <s v="NA"/>
    <s v="NA"/>
    <m/>
    <n v="0"/>
    <n v="0"/>
    <n v="0"/>
    <n v="0"/>
    <n v="16"/>
    <m/>
    <n v="16"/>
    <s v="Searching"/>
    <m/>
    <m/>
    <m/>
  </r>
  <r>
    <s v="DSCN2699"/>
    <s v="M2370330_21"/>
    <n v="21"/>
    <n v="1"/>
    <s v="Mile 237"/>
    <d v="2019-03-30T00:00:00"/>
    <s v="March"/>
    <x v="0"/>
    <d v="1899-12-30T00:39:00"/>
    <m/>
    <x v="16"/>
    <s v="Foraging"/>
    <s v="NA"/>
    <s v="unknown"/>
    <n v="0"/>
    <n v="0"/>
    <m/>
    <s v="NA"/>
    <s v="NA"/>
    <s v="NA"/>
    <m/>
    <m/>
    <m/>
    <s v="NA"/>
    <s v="NA"/>
    <s v="NA"/>
    <s v="NA"/>
    <s v="NA"/>
    <s v="NA"/>
    <s v="NA"/>
    <m/>
    <n v="0"/>
    <n v="0"/>
    <n v="0"/>
    <n v="0"/>
    <n v="39"/>
    <m/>
    <n v="39"/>
    <s v="Searching"/>
    <m/>
    <m/>
    <m/>
  </r>
  <r>
    <s v="DSCN3852"/>
    <s v="WW0503_1"/>
    <n v="1"/>
    <n v="1"/>
    <s v="WAC West"/>
    <d v="2019-05-03T00:00:00"/>
    <s v="May"/>
    <x v="0"/>
    <d v="1899-12-30T00:29:00"/>
    <s v="Mostly cloudy"/>
    <x v="0"/>
    <s v="Foraging"/>
    <s v="NA"/>
    <n v="1"/>
    <n v="0"/>
    <n v="0"/>
    <s v="Unknown"/>
    <s v="unknown"/>
    <s v="Ground"/>
    <s v="NA"/>
    <m/>
    <m/>
    <m/>
    <s v="NA"/>
    <s v="NA"/>
    <s v="NA"/>
    <s v="NA"/>
    <s v="NA"/>
    <s v="NA"/>
    <s v="NA"/>
    <s v="NA"/>
    <n v="0"/>
    <n v="0"/>
    <n v="0"/>
    <n v="0"/>
    <n v="29"/>
    <m/>
    <n v="29"/>
    <s v="Searching"/>
    <m/>
    <m/>
    <m/>
  </r>
  <r>
    <s v="DSCN3853"/>
    <s v="WW0503_2"/>
    <n v="2"/>
    <n v="1"/>
    <s v="WAC West"/>
    <d v="2019-05-03T00:00:00"/>
    <s v="May"/>
    <x v="0"/>
    <d v="1899-12-30T00:27:00"/>
    <s v="Mostly cloudy"/>
    <x v="0"/>
    <s v="Foraging"/>
    <s v="NA"/>
    <n v="2"/>
    <n v="0"/>
    <n v="0"/>
    <s v="Unknown"/>
    <s v="unknown"/>
    <s v="Ground"/>
    <s v="NA"/>
    <m/>
    <m/>
    <m/>
    <s v="NA"/>
    <s v="NA"/>
    <s v="NA"/>
    <s v="NA"/>
    <s v="NA"/>
    <s v="NA"/>
    <s v="NA"/>
    <s v="NA"/>
    <n v="0"/>
    <n v="0"/>
    <n v="0"/>
    <n v="0"/>
    <n v="25"/>
    <m/>
    <n v="25"/>
    <s v="Searching"/>
    <m/>
    <m/>
    <m/>
  </r>
  <r>
    <s v="DSCN3757"/>
    <s v="MC0502_3"/>
    <n v="3"/>
    <n v="1"/>
    <s v="Mercantile"/>
    <d v="2019-05-02T00:00:00"/>
    <s v="May"/>
    <x v="0"/>
    <d v="1899-12-30T00:31:00"/>
    <s v="Mostly cloudy"/>
    <x v="2"/>
    <s v="Foraging"/>
    <s v="NA"/>
    <n v="1"/>
    <n v="0"/>
    <n v="0"/>
    <s v="Unknown"/>
    <s v="unknown"/>
    <s v="NA"/>
    <s v="NA"/>
    <m/>
    <m/>
    <m/>
    <s v="NA"/>
    <s v="NA"/>
    <s v="NA"/>
    <s v="NA"/>
    <s v="NA"/>
    <s v="NA"/>
    <s v="NA"/>
    <s v="NA"/>
    <n v="0"/>
    <n v="0"/>
    <n v="0"/>
    <n v="0"/>
    <n v="31"/>
    <m/>
    <n v="31"/>
    <s v="Searching"/>
    <m/>
    <m/>
    <m/>
  </r>
  <r>
    <s v="DSCN3886"/>
    <s v="MC0506_4"/>
    <n v="4"/>
    <n v="1"/>
    <s v="Mercantile"/>
    <d v="2019-05-06T00:00:00"/>
    <s v="May"/>
    <x v="0"/>
    <d v="1899-12-30T01:08:00"/>
    <s v="Mostly cloudy"/>
    <x v="2"/>
    <s v="Foraging"/>
    <s v="NA"/>
    <n v="1"/>
    <n v="0"/>
    <n v="0"/>
    <s v="Unknown"/>
    <s v="unknown"/>
    <s v="Ground"/>
    <s v="NA"/>
    <m/>
    <m/>
    <m/>
    <s v="NA"/>
    <s v="NA"/>
    <s v="NA"/>
    <s v="NA"/>
    <s v="NA"/>
    <s v="NA"/>
    <s v="NA"/>
    <s v="NA"/>
    <n v="0"/>
    <n v="0"/>
    <n v="0"/>
    <n v="0"/>
    <n v="66"/>
    <m/>
    <n v="66"/>
    <s v="Searching"/>
    <m/>
    <m/>
    <m/>
  </r>
  <r>
    <s v="DSCN3887"/>
    <s v="MC0506_5"/>
    <n v="5"/>
    <n v="1"/>
    <s v="Mercantile"/>
    <d v="2019-05-06T00:00:00"/>
    <s v="May"/>
    <x v="0"/>
    <d v="1899-12-30T00:12:00"/>
    <s v="Mostly cloudy"/>
    <x v="2"/>
    <s v="Foraging"/>
    <s v="NA"/>
    <n v="1"/>
    <n v="0"/>
    <n v="0"/>
    <s v="Unknown"/>
    <s v="unknown"/>
    <s v="Ground"/>
    <s v="NA"/>
    <m/>
    <m/>
    <m/>
    <s v="NA"/>
    <s v="NA"/>
    <s v="NA"/>
    <s v="NA"/>
    <s v="NA"/>
    <s v="NA"/>
    <s v="NA"/>
    <s v="NA"/>
    <n v="0"/>
    <n v="0"/>
    <n v="0"/>
    <n v="0"/>
    <n v="12"/>
    <m/>
    <n v="12"/>
    <s v="Searching"/>
    <m/>
    <m/>
    <m/>
  </r>
  <r>
    <s v="DSCN3873"/>
    <s v="MC0506_1"/>
    <n v="1"/>
    <n v="1"/>
    <s v="Mercantile"/>
    <d v="2019-05-06T00:00:00"/>
    <s v="May"/>
    <x v="0"/>
    <d v="1899-12-30T00:43:00"/>
    <s v="Mostly cloudy"/>
    <x v="2"/>
    <s v="Foraging"/>
    <s v="Spruce"/>
    <n v="1"/>
    <s v="unknown"/>
    <n v="0"/>
    <s v="Unknown"/>
    <s v="unknown"/>
    <s v="Spruce trunk under bark"/>
    <s v="NA"/>
    <m/>
    <m/>
    <m/>
    <s v="NA"/>
    <s v="NA"/>
    <s v="NA"/>
    <s v="NA"/>
    <s v="NA"/>
    <s v="NA"/>
    <s v="NA"/>
    <s v="NA"/>
    <n v="0"/>
    <n v="0"/>
    <n v="0"/>
    <n v="0"/>
    <n v="33"/>
    <m/>
    <n v="33"/>
    <s v="Searching"/>
    <m/>
    <m/>
    <m/>
  </r>
  <r>
    <s v="DSCN3885"/>
    <s v="MC0506_3"/>
    <n v="3"/>
    <n v="1"/>
    <s v="Mercantile"/>
    <d v="2019-05-06T00:00:00"/>
    <s v="May"/>
    <x v="0"/>
    <d v="1899-12-30T02:22:00"/>
    <s v="Mostly cloudy"/>
    <x v="2"/>
    <s v="Foraging"/>
    <s v="NA"/>
    <n v="3"/>
    <n v="0"/>
    <n v="0"/>
    <s v="Unknown"/>
    <s v="unknown"/>
    <s v="Ground"/>
    <s v="NA"/>
    <m/>
    <m/>
    <m/>
    <s v="NA"/>
    <s v="NA"/>
    <s v="NA"/>
    <s v="NA"/>
    <s v="NA"/>
    <s v="NA"/>
    <s v="NA"/>
    <s v="NA"/>
    <n v="0"/>
    <n v="0"/>
    <n v="0"/>
    <n v="0"/>
    <n v="144"/>
    <m/>
    <n v="144"/>
    <s v="Searching"/>
    <m/>
    <m/>
    <m/>
  </r>
  <r>
    <s v="DSCN3894"/>
    <s v="MC0506_7"/>
    <n v="7"/>
    <n v="1"/>
    <s v="Mercantile"/>
    <d v="2019-05-06T00:00:00"/>
    <s v="May"/>
    <x v="0"/>
    <d v="1899-12-30T00:26:00"/>
    <s v="Mostly cloudy"/>
    <x v="2"/>
    <s v="Food handling"/>
    <s v="NA"/>
    <n v="1"/>
    <n v="0"/>
    <n v="0"/>
    <s v="Insect"/>
    <s v="Insect (Black caterpiller)"/>
    <s v="Ground"/>
    <s v="NA"/>
    <m/>
    <m/>
    <m/>
    <s v="NA"/>
    <s v="NA"/>
    <s v="NA"/>
    <s v="NA"/>
    <s v="NA"/>
    <s v="NA"/>
    <s v="NA"/>
    <s v="NA"/>
    <n v="0"/>
    <n v="0"/>
    <n v="0"/>
    <n v="0"/>
    <n v="0"/>
    <m/>
    <n v="0"/>
    <m/>
    <m/>
    <m/>
    <m/>
  </r>
  <r>
    <s v="DSCN3896"/>
    <s v="MC0506_9"/>
    <n v="9"/>
    <n v="1"/>
    <s v="Mercantile"/>
    <d v="2019-05-06T00:00:00"/>
    <s v="May"/>
    <x v="0"/>
    <d v="1899-12-30T01:21:00"/>
    <s v="Mostly cloudy"/>
    <x v="2"/>
    <s v="Foraging"/>
    <s v="NA"/>
    <n v="1"/>
    <n v="0"/>
    <n v="0"/>
    <s v="Berry"/>
    <s v="Berry (cranberry)"/>
    <s v="Ground"/>
    <s v="NA"/>
    <m/>
    <m/>
    <m/>
    <s v="NA"/>
    <s v="NA"/>
    <s v="NA"/>
    <s v="NA"/>
    <s v="NA"/>
    <s v="NA"/>
    <s v="NA"/>
    <s v="NA"/>
    <n v="0"/>
    <n v="0"/>
    <n v="0"/>
    <n v="0"/>
    <n v="70"/>
    <m/>
    <n v="70"/>
    <s v="Searching"/>
    <m/>
    <m/>
    <m/>
  </r>
  <r>
    <s v="DSCN3895"/>
    <s v="MC0506_8"/>
    <n v="8"/>
    <n v="1"/>
    <s v="Mercantile"/>
    <d v="2019-05-06T00:00:00"/>
    <s v="May"/>
    <x v="0"/>
    <d v="1899-12-30T00:28:00"/>
    <s v="Mostly cloudy"/>
    <x v="2"/>
    <s v="Foraging"/>
    <s v="NA"/>
    <n v="0"/>
    <n v="0"/>
    <n v="0"/>
    <m/>
    <s v="NA"/>
    <s v="NA"/>
    <s v="NA"/>
    <m/>
    <m/>
    <m/>
    <s v="NA"/>
    <s v="NA"/>
    <s v="NA"/>
    <s v="NA"/>
    <s v="NA"/>
    <s v="NA"/>
    <s v="NA"/>
    <s v="NA"/>
    <n v="0"/>
    <n v="0"/>
    <n v="0"/>
    <n v="0"/>
    <n v="12"/>
    <m/>
    <n v="12"/>
    <s v="Searching"/>
    <m/>
    <m/>
    <m/>
  </r>
  <r>
    <s v="DSCN3889"/>
    <s v="MC0506_6"/>
    <n v="6"/>
    <n v="1"/>
    <s v="Mercantile"/>
    <d v="2019-05-06T00:00:00"/>
    <s v="May"/>
    <x v="0"/>
    <d v="1899-12-30T01:47:00"/>
    <s v="Mostly cloudy"/>
    <x v="2"/>
    <s v="Foraging"/>
    <s v="NA"/>
    <n v="0"/>
    <n v="0"/>
    <n v="0"/>
    <s v="Unknown"/>
    <s v="unknown"/>
    <s v="unknown"/>
    <s v="unknown"/>
    <m/>
    <m/>
    <m/>
    <s v="unknown"/>
    <s v="unknown"/>
    <s v="unknown"/>
    <s v="unknown"/>
    <s v="unknown"/>
    <s v="unknown"/>
    <s v="unknown"/>
    <s v="unknown"/>
    <n v="0"/>
    <n v="0"/>
    <n v="0"/>
    <n v="0"/>
    <n v="31"/>
    <m/>
    <n v="31"/>
    <s v="Searching"/>
    <m/>
    <m/>
    <m/>
  </r>
  <r>
    <s v="DSCN3755"/>
    <s v="MC0502_1"/>
    <n v="1"/>
    <n v="1"/>
    <s v="Mercantile"/>
    <d v="2019-05-02T00:00:00"/>
    <s v="May"/>
    <x v="0"/>
    <d v="1899-12-30T00:45:00"/>
    <s v="Mostly cloudy"/>
    <x v="2"/>
    <s v="Foraging"/>
    <s v="NA"/>
    <s v="unknown"/>
    <n v="0"/>
    <n v="0"/>
    <m/>
    <s v="NA"/>
    <s v="NA"/>
    <s v="NA"/>
    <m/>
    <m/>
    <m/>
    <s v="NA"/>
    <s v="NA"/>
    <s v="NA"/>
    <s v="NA"/>
    <s v="NA"/>
    <s v="NA"/>
    <s v="NA"/>
    <s v="NA"/>
    <n v="0"/>
    <n v="0"/>
    <n v="0"/>
    <n v="0"/>
    <n v="45"/>
    <m/>
    <n v="45"/>
    <s v="Searching"/>
    <m/>
    <m/>
    <m/>
  </r>
  <r>
    <s v="DSCN3756"/>
    <s v="MC0502_2"/>
    <n v="2"/>
    <n v="1"/>
    <s v="Mercantile"/>
    <d v="2019-05-02T00:00:00"/>
    <s v="May"/>
    <x v="0"/>
    <d v="1899-12-30T00:55:00"/>
    <s v="Mostly cloudy"/>
    <x v="2"/>
    <s v="Foraging"/>
    <s v="NA"/>
    <s v="unknown"/>
    <n v="0"/>
    <n v="0"/>
    <m/>
    <s v="NA"/>
    <s v="NA"/>
    <s v="NA"/>
    <m/>
    <m/>
    <m/>
    <s v="NA"/>
    <s v="NA"/>
    <s v="NA"/>
    <s v="NA"/>
    <s v="NA"/>
    <s v="NA"/>
    <s v="NA"/>
    <s v="NA"/>
    <n v="0"/>
    <n v="0"/>
    <n v="0"/>
    <n v="0"/>
    <n v="19"/>
    <m/>
    <n v="19"/>
    <s v="Searching"/>
    <m/>
    <m/>
    <m/>
  </r>
  <r>
    <s v="DSCN3884"/>
    <s v="MC0506_2"/>
    <n v="2"/>
    <n v="1"/>
    <s v="Mercantile"/>
    <d v="2019-05-06T00:00:00"/>
    <s v="May"/>
    <x v="0"/>
    <d v="1899-12-30T00:29:00"/>
    <s v="Mostly cloudy"/>
    <x v="2"/>
    <s v="Foraging"/>
    <s v="NA"/>
    <s v="unknown"/>
    <n v="0"/>
    <n v="0"/>
    <m/>
    <s v="NA"/>
    <s v="NA"/>
    <s v="NA"/>
    <m/>
    <m/>
    <m/>
    <s v="NA"/>
    <s v="NA"/>
    <s v="NA"/>
    <s v="NA"/>
    <s v="NA"/>
    <s v="NA"/>
    <s v="NA"/>
    <s v="NA"/>
    <n v="0"/>
    <n v="0"/>
    <n v="0"/>
    <n v="0"/>
    <n v="29"/>
    <m/>
    <n v="29"/>
    <s v="Searching"/>
    <m/>
    <m/>
    <m/>
  </r>
  <r>
    <s v="DSCN3834"/>
    <s v="CC0503_14"/>
    <n v="14"/>
    <n v="2"/>
    <s v="CCAMP"/>
    <d v="2019-05-03T00:00:00"/>
    <s v="May"/>
    <x v="0"/>
    <d v="1899-12-30T01:43:00"/>
    <s v="Overcast, light snow"/>
    <x v="4"/>
    <s v="Foraging"/>
    <s v="NA"/>
    <n v="1"/>
    <n v="0"/>
    <n v="0"/>
    <s v="Unknown"/>
    <s v="unknown"/>
    <s v="Ground"/>
    <s v="NA"/>
    <m/>
    <m/>
    <m/>
    <s v="NA"/>
    <s v="NA"/>
    <s v="NA"/>
    <s v="NA"/>
    <s v="NA"/>
    <s v="NA"/>
    <s v="NA"/>
    <s v="NA"/>
    <n v="0"/>
    <n v="0"/>
    <n v="0"/>
    <n v="0"/>
    <n v="92"/>
    <m/>
    <n v="92"/>
    <s v="Searching"/>
    <m/>
    <m/>
    <m/>
  </r>
  <r>
    <s v="DSCN3839"/>
    <s v="CC0503_19"/>
    <n v="19"/>
    <n v="1"/>
    <s v="CCAMP"/>
    <d v="2019-05-03T00:00:00"/>
    <s v="May"/>
    <x v="0"/>
    <d v="1899-12-30T01:01:00"/>
    <s v="Overcast, light snow"/>
    <x v="4"/>
    <s v="Foraging"/>
    <s v="NA"/>
    <n v="1"/>
    <n v="0"/>
    <n v="0"/>
    <s v="Unknown"/>
    <s v="unknown"/>
    <s v="Ground"/>
    <s v="NA"/>
    <m/>
    <m/>
    <m/>
    <s v="NA"/>
    <s v="NA"/>
    <s v="NA"/>
    <s v="NA"/>
    <s v="NA"/>
    <s v="NA"/>
    <s v="NA"/>
    <s v="NA"/>
    <n v="0"/>
    <n v="0"/>
    <n v="0"/>
    <n v="0"/>
    <n v="54"/>
    <m/>
    <n v="54"/>
    <s v="Searching"/>
    <m/>
    <m/>
    <m/>
  </r>
  <r>
    <s v="DSCN3836"/>
    <s v="CC0503_16"/>
    <n v="16"/>
    <n v="1"/>
    <s v="CCAMP"/>
    <d v="2019-05-03T00:00:00"/>
    <s v="May"/>
    <x v="0"/>
    <d v="1899-12-30T00:38:00"/>
    <s v="Overcast, light snow"/>
    <x v="4"/>
    <s v="Foraging/caching"/>
    <s v="Spruce"/>
    <n v="1"/>
    <n v="0"/>
    <n v="1"/>
    <s v="Insect"/>
    <s v="Insect (caterpiller)"/>
    <s v="Ground"/>
    <s v="Interior spruce foliage"/>
    <s v="Spruce"/>
    <s v="Interior"/>
    <s v="Foliage"/>
    <s v="S"/>
    <n v="165"/>
    <n v="5"/>
    <n v="63.722900000000003"/>
    <n v="148.94708"/>
    <m/>
    <s v="NA"/>
    <s v="NA"/>
    <n v="0"/>
    <n v="0"/>
    <n v="0"/>
    <n v="0"/>
    <n v="23"/>
    <m/>
    <n v="23"/>
    <s v="Searching"/>
    <m/>
    <m/>
    <m/>
  </r>
  <r>
    <s v="DSCN3814"/>
    <s v="CC0503_4"/>
    <n v="4"/>
    <n v="1"/>
    <s v="CCAMP"/>
    <d v="2019-05-03T00:00:00"/>
    <s v="May"/>
    <x v="0"/>
    <d v="1899-12-30T00:10:00"/>
    <s v="Overcast, light snow"/>
    <x v="4"/>
    <s v="Food handling/caching"/>
    <s v="Spruce"/>
    <n v="1"/>
    <n v="0"/>
    <n v="1"/>
    <s v="Insect"/>
    <s v="Insect (caterpille/worm/slug-grub. IDK)"/>
    <s v="Ground"/>
    <s v="Interior spruce foliage"/>
    <s v="Spruce"/>
    <s v="Interior"/>
    <s v="Foliage"/>
    <s v="SE"/>
    <n v="115"/>
    <n v="10"/>
    <n v="63.722990000000003"/>
    <n v="148.94640999999999"/>
    <s v="NA"/>
    <s v="NA"/>
    <s v="NA"/>
    <n v="0"/>
    <n v="0"/>
    <n v="0"/>
    <n v="0"/>
    <n v="0"/>
    <m/>
    <n v="0"/>
    <m/>
    <s v="Missed initial acquisition, B&amp;Ut it caught it near where video picks up.  We are not 100% confident about cache, B&amp;Ut &quot;post-cache&quot; behavior and bill load suggests it cached it. "/>
    <m/>
    <m/>
  </r>
  <r>
    <s v="DSCN3812"/>
    <s v="CC0503_3"/>
    <n v="3"/>
    <n v="1"/>
    <s v="CCAMP"/>
    <d v="2019-05-03T00:00:00"/>
    <s v="May"/>
    <x v="0"/>
    <d v="1899-12-30T00:03:00"/>
    <s v="Overcast, light snow"/>
    <x v="4"/>
    <s v="Food handling"/>
    <s v="NA"/>
    <n v="1"/>
    <n v="0"/>
    <n v="0"/>
    <s v="Insect"/>
    <s v="Insect (caterpiller)"/>
    <s v="Ground"/>
    <s v="NA"/>
    <m/>
    <m/>
    <m/>
    <s v="NA"/>
    <s v="NA"/>
    <s v="NA"/>
    <s v="NA"/>
    <s v="NA"/>
    <s v="NA"/>
    <s v="NA"/>
    <s v="NA"/>
    <n v="0"/>
    <n v="0"/>
    <n v="0"/>
    <n v="0"/>
    <n v="0"/>
    <m/>
    <n v="0"/>
    <s v="Searching"/>
    <m/>
    <m/>
    <m/>
  </r>
  <r>
    <s v="DSCN3819"/>
    <s v="CC0503_6"/>
    <n v="6"/>
    <n v="1"/>
    <s v="CCAMP"/>
    <d v="2019-05-03T00:00:00"/>
    <s v="May"/>
    <x v="0"/>
    <d v="1899-12-30T00:47:00"/>
    <s v="Overcast, light snow"/>
    <x v="4"/>
    <s v="Foraging"/>
    <s v="NA"/>
    <n v="1"/>
    <n v="0"/>
    <n v="0"/>
    <s v="Insect"/>
    <s v="Insect (caterpiller)"/>
    <s v="Ground"/>
    <s v="NA"/>
    <m/>
    <m/>
    <m/>
    <s v="NA"/>
    <s v="NA"/>
    <s v="NA"/>
    <s v="NA"/>
    <s v="NA"/>
    <s v="NA"/>
    <s v="NA"/>
    <s v="NA"/>
    <n v="0"/>
    <n v="0"/>
    <n v="0"/>
    <n v="0"/>
    <n v="20"/>
    <m/>
    <n v="20"/>
    <s v="Searching"/>
    <m/>
    <m/>
    <m/>
  </r>
  <r>
    <s v="DSCN3834"/>
    <s v="CC0503_14"/>
    <n v="14"/>
    <n v="1"/>
    <s v="CCAMP"/>
    <d v="2019-05-03T00:00:00"/>
    <s v="May"/>
    <x v="0"/>
    <d v="1899-12-30T01:43:00"/>
    <s v="Overcast, light snow"/>
    <x v="4"/>
    <s v="Foraging"/>
    <s v="NA"/>
    <n v="1"/>
    <n v="0"/>
    <n v="0"/>
    <s v="Insect"/>
    <s v="Insect (caterpiller)"/>
    <s v="Ground"/>
    <s v="NA"/>
    <m/>
    <m/>
    <m/>
    <s v="NA"/>
    <s v="NA"/>
    <s v="NA"/>
    <s v="NA"/>
    <s v="NA"/>
    <s v="NA"/>
    <s v="NA"/>
    <s v="NA"/>
    <n v="0"/>
    <n v="0"/>
    <n v="0"/>
    <n v="0"/>
    <n v="11"/>
    <m/>
    <n v="11"/>
    <s v="Searching"/>
    <m/>
    <m/>
    <m/>
  </r>
  <r>
    <s v="DSCN3838"/>
    <s v="CC0503_18"/>
    <n v="18"/>
    <n v="1"/>
    <s v="CCAMP"/>
    <d v="2019-05-03T00:00:00"/>
    <s v="May"/>
    <x v="0"/>
    <d v="1899-12-30T00:16:00"/>
    <s v="Overcast, light snow"/>
    <x v="4"/>
    <s v="Foraging"/>
    <s v="NA"/>
    <n v="1"/>
    <n v="0"/>
    <n v="0"/>
    <s v="Insect"/>
    <s v="Insect (caterpiller)"/>
    <s v="Ground"/>
    <s v="NA"/>
    <m/>
    <m/>
    <m/>
    <s v="NA"/>
    <s v="NA"/>
    <s v="NA"/>
    <s v="NA"/>
    <s v="NA"/>
    <s v="NA"/>
    <s v="NA"/>
    <s v="NA"/>
    <n v="0"/>
    <n v="0"/>
    <n v="0"/>
    <n v="0"/>
    <n v="16"/>
    <m/>
    <n v="16"/>
    <s v="Searching"/>
    <m/>
    <m/>
    <m/>
  </r>
  <r>
    <s v="DSCN3821"/>
    <s v="CC0503_7"/>
    <n v="7"/>
    <n v="1"/>
    <s v="CCAMP"/>
    <d v="2019-05-03T00:00:00"/>
    <s v="May"/>
    <x v="0"/>
    <d v="1899-12-30T00:40:00"/>
    <s v="Overcast, light snow"/>
    <x v="4"/>
    <s v="Foraging"/>
    <s v="NA"/>
    <n v="0"/>
    <n v="0"/>
    <n v="0"/>
    <m/>
    <s v="NA"/>
    <s v="NA"/>
    <s v="NA"/>
    <m/>
    <m/>
    <m/>
    <s v="NA"/>
    <s v="NA"/>
    <s v="NA"/>
    <s v="NA"/>
    <s v="NA"/>
    <s v="NA"/>
    <s v="NA"/>
    <s v="NA"/>
    <n v="0"/>
    <n v="0"/>
    <n v="0"/>
    <n v="0"/>
    <n v="40"/>
    <m/>
    <n v="40"/>
    <s v="Searching"/>
    <m/>
    <m/>
    <m/>
  </r>
  <r>
    <s v="DSCN3833"/>
    <s v="CC0503_13"/>
    <n v="13"/>
    <n v="1"/>
    <s v="CCAMP"/>
    <d v="2019-05-04T00:00:00"/>
    <s v="May"/>
    <x v="0"/>
    <d v="1899-12-30T00:15:00"/>
    <s v="Overcast, light snow"/>
    <x v="4"/>
    <s v="Foraging"/>
    <s v=" NA"/>
    <n v="0"/>
    <n v="0"/>
    <n v="0"/>
    <m/>
    <s v="NA"/>
    <s v="NA"/>
    <s v="NA"/>
    <m/>
    <m/>
    <m/>
    <s v="NA"/>
    <s v="NA"/>
    <s v="NA"/>
    <s v="NA"/>
    <s v="NA"/>
    <s v="NA"/>
    <s v="NA"/>
    <s v="NA"/>
    <n v="0"/>
    <n v="0"/>
    <n v="0"/>
    <n v="0"/>
    <n v="15"/>
    <m/>
    <n v="15"/>
    <s v="Searching"/>
    <m/>
    <m/>
    <m/>
  </r>
  <r>
    <s v="DSCN3835"/>
    <s v="CC0503_15"/>
    <n v="15"/>
    <n v="1"/>
    <s v="CCAMP"/>
    <d v="2019-05-05T00:00:00"/>
    <s v="May"/>
    <x v="0"/>
    <d v="1899-12-30T02:02:00"/>
    <s v="Overcast, light snow"/>
    <x v="4"/>
    <s v="Caching"/>
    <s v="Spruce"/>
    <n v="0"/>
    <n v="0"/>
    <n v="1"/>
    <s v="Insect"/>
    <s v="Insect (caterpiller)"/>
    <s v="NA"/>
    <s v="Spruce trunk"/>
    <s v="Spruce"/>
    <s v="Trunk"/>
    <s v="Under bark"/>
    <s v="Unknown, did not recognize as cache in field"/>
    <s v="Unknown, did not recognize as cache in field"/>
    <s v="Unknown, did not recognize as cache in field"/>
    <s v="Unknown, did not recognize as cache in field"/>
    <s v="Unknown, did not recognize as cache in field"/>
    <s v="NA"/>
    <s v="NA"/>
    <s v="NA"/>
    <n v="0"/>
    <n v="0"/>
    <n v="0"/>
    <n v="0"/>
    <n v="0"/>
    <m/>
    <n v="0"/>
    <m/>
    <m/>
    <m/>
    <m/>
  </r>
  <r>
    <s v="DSCN3872"/>
    <s v="CC0506_4"/>
    <n v="4"/>
    <n v="1"/>
    <s v="CCAMP"/>
    <d v="2019-05-06T00:00:00"/>
    <s v="May"/>
    <x v="0"/>
    <d v="1899-12-30T01:49:00"/>
    <s v="Mostly cloudy"/>
    <x v="4"/>
    <s v="Foraging"/>
    <s v="NA"/>
    <n v="0"/>
    <n v="0"/>
    <n v="3"/>
    <s v="Unknown"/>
    <s v="unknown"/>
    <s v="unknown"/>
    <s v="Exterior spruce branch under witch hair"/>
    <s v="Spruce"/>
    <s v="Exterior"/>
    <s v="Under witchhair"/>
    <s v="SW"/>
    <n v="230"/>
    <s v="unknown"/>
    <n v="63.72392"/>
    <n v="148.95093"/>
    <s v="NA"/>
    <s v="NA"/>
    <s v="NA"/>
    <n v="0"/>
    <n v="0"/>
    <n v="0"/>
    <n v="0"/>
    <n v="0"/>
    <m/>
    <n v="0"/>
    <m/>
    <s v="3 Cached all in the same area on a single tree. "/>
    <m/>
    <m/>
  </r>
  <r>
    <s v="DSCN3870"/>
    <s v="CC0506_2"/>
    <n v="2"/>
    <n v="1"/>
    <s v="CCAMP"/>
    <d v="2019-05-06T00:00:00"/>
    <s v="May"/>
    <x v="0"/>
    <d v="1899-12-30T00:13:00"/>
    <s v="Mostly cloudy"/>
    <x v="4"/>
    <s v="Foraging"/>
    <s v="NA"/>
    <n v="1"/>
    <n v="0"/>
    <n v="0"/>
    <s v="Insect"/>
    <s v="Insect (caterpiller)"/>
    <s v="Ground"/>
    <s v="NA"/>
    <m/>
    <m/>
    <m/>
    <s v="NA"/>
    <s v="NA"/>
    <s v="NA"/>
    <s v="NA"/>
    <s v="NA"/>
    <s v="NA"/>
    <s v="NA"/>
    <s v="NA"/>
    <n v="0"/>
    <n v="0"/>
    <n v="0"/>
    <n v="0"/>
    <n v="13"/>
    <m/>
    <n v="13"/>
    <s v="Searching"/>
    <m/>
    <m/>
    <m/>
  </r>
  <r>
    <s v="DSCN3837"/>
    <s v="CC0503_17"/>
    <n v="17"/>
    <n v="1"/>
    <s v="CCAMP"/>
    <d v="2019-05-06T00:00:00"/>
    <s v="May"/>
    <x v="0"/>
    <d v="1899-12-30T00:58:00"/>
    <s v="Overcast, light snow"/>
    <x v="4"/>
    <s v="Foraging"/>
    <s v="NA"/>
    <n v="0"/>
    <n v="0"/>
    <n v="0"/>
    <m/>
    <s v="NA"/>
    <s v="NA"/>
    <s v="NA"/>
    <m/>
    <m/>
    <m/>
    <s v="NA"/>
    <s v="NA"/>
    <s v="NA"/>
    <s v="NA"/>
    <s v="NA"/>
    <s v="NA"/>
    <s v="NA"/>
    <s v="NA"/>
    <n v="0"/>
    <n v="0"/>
    <n v="0"/>
    <n v="0"/>
    <n v="58"/>
    <m/>
    <n v="58"/>
    <s v="Searching"/>
    <m/>
    <m/>
    <m/>
  </r>
  <r>
    <s v="DSCN3871"/>
    <s v="CC0506_3"/>
    <n v="3"/>
    <n v="1"/>
    <s v="CCAMP"/>
    <d v="2019-05-06T00:00:00"/>
    <s v="May"/>
    <x v="0"/>
    <d v="1899-12-30T01:15:00"/>
    <s v="Mostly cloudy"/>
    <x v="4"/>
    <s v="Foraging"/>
    <s v="NA"/>
    <n v="0"/>
    <n v="0"/>
    <n v="0"/>
    <m/>
    <s v="NA"/>
    <s v="NA"/>
    <s v="NA"/>
    <m/>
    <m/>
    <m/>
    <s v="NA"/>
    <s v="NA"/>
    <s v="NA"/>
    <s v="NA"/>
    <s v="NA"/>
    <s v="NA"/>
    <s v="NA"/>
    <s v="NA"/>
    <n v="0"/>
    <n v="0"/>
    <n v="0"/>
    <n v="0"/>
    <n v="45"/>
    <m/>
    <n v="45"/>
    <s v="Searching"/>
    <m/>
    <m/>
    <m/>
  </r>
  <r>
    <s v="DSCN3810"/>
    <s v="CC0503_1"/>
    <n v="1"/>
    <n v="1"/>
    <s v="CCAMP"/>
    <d v="2019-05-07T00:00:00"/>
    <s v="May"/>
    <x v="0"/>
    <d v="1899-12-30T00:36:00"/>
    <s v="Overcast, light snow"/>
    <x v="4"/>
    <s v="Foraging"/>
    <s v="NA"/>
    <n v="1"/>
    <n v="0"/>
    <n v="0"/>
    <s v="Unknown"/>
    <s v="unknown"/>
    <s v="Ground"/>
    <s v="NA"/>
    <m/>
    <m/>
    <m/>
    <s v="NA"/>
    <s v="NA"/>
    <s v="NA"/>
    <s v="NA"/>
    <s v="NA"/>
    <s v="NA"/>
    <s v="NA"/>
    <s v="NA"/>
    <n v="0"/>
    <n v="0"/>
    <n v="0"/>
    <n v="0"/>
    <n v="36"/>
    <m/>
    <n v="36"/>
    <s v="Searching"/>
    <m/>
    <m/>
    <m/>
  </r>
  <r>
    <s v="DSCN3811"/>
    <s v="CC0503_2"/>
    <n v="2"/>
    <n v="1"/>
    <s v="CCAMP"/>
    <d v="2019-05-08T00:00:00"/>
    <s v="May"/>
    <x v="0"/>
    <d v="1899-12-30T00:20:00"/>
    <s v="Overcast, light snow"/>
    <x v="4"/>
    <s v="Foraging"/>
    <s v="NA"/>
    <n v="1"/>
    <n v="0"/>
    <n v="0"/>
    <s v="Unknown"/>
    <s v="unknown"/>
    <s v="Ground"/>
    <s v="NA"/>
    <m/>
    <m/>
    <m/>
    <s v="NA"/>
    <s v="NA"/>
    <s v="NA"/>
    <s v="NA"/>
    <s v="NA"/>
    <s v="NA"/>
    <s v="NA"/>
    <s v="NA"/>
    <n v="0"/>
    <n v="0"/>
    <n v="0"/>
    <n v="0"/>
    <n v="20"/>
    <m/>
    <n v="20"/>
    <s v="Searching"/>
    <m/>
    <m/>
    <m/>
  </r>
  <r>
    <s v="DSCN3826"/>
    <s v="CC0503_10"/>
    <n v="10"/>
    <n v="1"/>
    <s v="CCAMP"/>
    <d v="2019-05-03T00:00:00"/>
    <s v="May"/>
    <x v="0"/>
    <d v="1899-12-30T00:11:00"/>
    <s v="Overcast, light snow"/>
    <x v="4"/>
    <s v="Foraging"/>
    <s v="NA"/>
    <s v="unknown"/>
    <n v="0"/>
    <n v="0"/>
    <m/>
    <s v="NA"/>
    <s v="NA"/>
    <s v="NA"/>
    <m/>
    <m/>
    <m/>
    <s v="NA"/>
    <s v="NA"/>
    <s v="NA"/>
    <s v="NA"/>
    <s v="NA"/>
    <s v="NA"/>
    <s v="NA"/>
    <s v="NA"/>
    <n v="0"/>
    <n v="0"/>
    <n v="0"/>
    <n v="0"/>
    <n v="11"/>
    <m/>
    <n v="11"/>
    <s v="Searching"/>
    <m/>
    <m/>
    <m/>
  </r>
  <r>
    <s v="DSCN3828"/>
    <s v="CC0503_11"/>
    <n v="11"/>
    <n v="1"/>
    <s v="CCAMP"/>
    <d v="2019-05-03T00:00:00"/>
    <s v="May"/>
    <x v="0"/>
    <d v="1899-12-30T00:15:00"/>
    <s v="Overcast, light snow"/>
    <x v="4"/>
    <s v="Foraging"/>
    <s v="NA"/>
    <s v="unknown"/>
    <n v="0"/>
    <n v="0"/>
    <m/>
    <s v="NA"/>
    <s v="NA"/>
    <s v="NA"/>
    <m/>
    <m/>
    <m/>
    <s v="NA"/>
    <s v="NA"/>
    <s v="NA"/>
    <s v="NA"/>
    <s v="NA"/>
    <s v="NA"/>
    <s v="NA"/>
    <s v="NA"/>
    <n v="0"/>
    <n v="0"/>
    <n v="0"/>
    <n v="0"/>
    <n v="15"/>
    <m/>
    <n v="15"/>
    <s v="Searching"/>
    <m/>
    <m/>
    <m/>
  </r>
  <r>
    <s v="DSCN3831"/>
    <s v="CC0503_12"/>
    <n v="12"/>
    <n v="1"/>
    <s v="CCAMP"/>
    <d v="2019-05-03T00:00:00"/>
    <s v="May"/>
    <x v="0"/>
    <d v="1899-12-30T00:34:00"/>
    <s v="Overcast, light snow"/>
    <x v="4"/>
    <s v="Foraging"/>
    <s v="NA"/>
    <s v="unknown"/>
    <n v="0"/>
    <n v="0"/>
    <m/>
    <s v="NA"/>
    <s v="NA"/>
    <s v="NA"/>
    <m/>
    <m/>
    <m/>
    <s v="NA"/>
    <s v="NA"/>
    <s v="NA"/>
    <s v="NA"/>
    <s v="NA"/>
    <s v="NA"/>
    <s v="NA"/>
    <s v="NA"/>
    <n v="0"/>
    <n v="0"/>
    <n v="0"/>
    <n v="0"/>
    <n v="34"/>
    <m/>
    <n v="34"/>
    <s v="Searching"/>
    <m/>
    <m/>
    <m/>
  </r>
  <r>
    <s v="DSCN3930"/>
    <s v="M2370508_2"/>
    <n v="2"/>
    <n v="1"/>
    <s v="Mile 237"/>
    <d v="2019-05-08T00:00:00"/>
    <s v="May"/>
    <x v="0"/>
    <d v="1899-12-30T00:22:00"/>
    <s v="Overcast"/>
    <x v="30"/>
    <s v="Foraging"/>
    <s v="NA"/>
    <n v="5"/>
    <n v="0"/>
    <n v="0"/>
    <s v="Unknown"/>
    <s v="unknown (Probably B&amp;Ugs)"/>
    <s v="Ground"/>
    <s v="NA"/>
    <m/>
    <m/>
    <m/>
    <s v="NA"/>
    <s v="NA"/>
    <s v="NA"/>
    <s v="NA"/>
    <s v="NA"/>
    <s v="NA"/>
    <s v="NA"/>
    <s v="NA"/>
    <n v="0"/>
    <n v="0"/>
    <n v="0"/>
    <n v="0"/>
    <n v="22"/>
    <m/>
    <n v="22"/>
    <s v="Searching"/>
    <m/>
    <m/>
    <m/>
  </r>
  <r>
    <s v="DSCN3929"/>
    <s v="M2370508_1"/>
    <n v="1"/>
    <n v="1"/>
    <s v="Mile 237"/>
    <d v="2019-05-08T00:00:00"/>
    <s v="May"/>
    <x v="0"/>
    <d v="1899-12-30T00:45:00"/>
    <s v="Overcast"/>
    <x v="30"/>
    <s v="Foraging"/>
    <s v="NA"/>
    <n v="0"/>
    <n v="0"/>
    <n v="0"/>
    <m/>
    <s v="NA"/>
    <s v="NA"/>
    <s v="NA"/>
    <m/>
    <m/>
    <m/>
    <s v="NA"/>
    <s v="NA"/>
    <s v="NA"/>
    <s v="NA"/>
    <s v="NA"/>
    <s v="NA"/>
    <s v="NA"/>
    <s v="NA"/>
    <n v="0"/>
    <n v="0"/>
    <n v="0"/>
    <n v="0"/>
    <n v="45"/>
    <m/>
    <n v="45"/>
    <s v="Searching"/>
    <m/>
    <m/>
    <m/>
  </r>
  <r>
    <s v="DSCN3817"/>
    <s v="CC0503_5"/>
    <n v="5"/>
    <n v="1"/>
    <s v="CCAMP"/>
    <d v="2019-05-03T00:00:00"/>
    <s v="May"/>
    <x v="0"/>
    <d v="1899-12-30T00:54:00"/>
    <s v="Overcast, light snow"/>
    <x v="5"/>
    <s v="Foraging"/>
    <s v="NA"/>
    <n v="1"/>
    <n v="0"/>
    <n v="0"/>
    <s v="Unknown"/>
    <s v="unknown"/>
    <s v="Ground"/>
    <s v="NA"/>
    <m/>
    <m/>
    <m/>
    <s v="NA"/>
    <s v="NA"/>
    <s v="NA"/>
    <s v="NA"/>
    <s v="NA"/>
    <s v="NA"/>
    <s v="NA"/>
    <s v="NA"/>
    <n v="0"/>
    <n v="0"/>
    <n v="0"/>
    <n v="0"/>
    <n v="54"/>
    <m/>
    <n v="54"/>
    <s v="Searching"/>
    <m/>
    <m/>
    <m/>
  </r>
  <r>
    <s v="DSCN3840"/>
    <s v="CC0503_20"/>
    <n v="20"/>
    <n v="1"/>
    <s v="CCAMP"/>
    <d v="2019-05-03T00:00:00"/>
    <s v="May"/>
    <x v="0"/>
    <d v="1899-12-30T00:17:00"/>
    <s v="Overcast, light snow"/>
    <x v="5"/>
    <s v="Foraging"/>
    <s v="NA"/>
    <n v="1"/>
    <n v="0"/>
    <n v="0"/>
    <s v="Unknown"/>
    <s v="unknown"/>
    <s v="Ground"/>
    <s v="NA"/>
    <m/>
    <m/>
    <m/>
    <s v="NA"/>
    <s v="NA"/>
    <s v="NA"/>
    <s v="NA"/>
    <s v="NA"/>
    <s v="NA"/>
    <s v="NA"/>
    <s v="NA"/>
    <n v="0"/>
    <n v="0"/>
    <n v="0"/>
    <n v="0"/>
    <n v="17"/>
    <m/>
    <n v="17"/>
    <s v="Searching"/>
    <m/>
    <m/>
    <m/>
  </r>
  <r>
    <s v="DSCN3841"/>
    <s v="CC0503_21"/>
    <n v="21"/>
    <n v="1"/>
    <s v="CCAMP"/>
    <d v="2019-05-03T00:00:00"/>
    <s v="May"/>
    <x v="0"/>
    <d v="1899-12-30T00:31:00"/>
    <s v="Overcast, light snow"/>
    <x v="5"/>
    <s v="Foraging"/>
    <s v="NA"/>
    <n v="1"/>
    <n v="0"/>
    <n v="0"/>
    <s v="Unknown"/>
    <s v="unknown"/>
    <s v="Ground"/>
    <s v="NA"/>
    <m/>
    <m/>
    <m/>
    <s v="NA"/>
    <s v="NA"/>
    <s v="NA"/>
    <s v="NA"/>
    <s v="NA"/>
    <s v="NA"/>
    <s v="NA"/>
    <s v="NA"/>
    <n v="0"/>
    <n v="0"/>
    <n v="0"/>
    <n v="0"/>
    <n v="31"/>
    <m/>
    <n v="31"/>
    <s v="Searching"/>
    <m/>
    <m/>
    <m/>
  </r>
  <r>
    <s v="DSCN3869"/>
    <s v="CC0506_1"/>
    <n v="1"/>
    <n v="1"/>
    <s v="CCAMP"/>
    <d v="2019-05-06T00:00:00"/>
    <s v="May"/>
    <x v="0"/>
    <d v="1899-12-30T00:24:00"/>
    <s v="Mostly cloudy"/>
    <x v="5"/>
    <s v="Foraging"/>
    <s v="NA"/>
    <n v="0"/>
    <n v="0"/>
    <n v="0"/>
    <m/>
    <s v="NA"/>
    <s v="NA"/>
    <s v="NA"/>
    <m/>
    <m/>
    <m/>
    <s v="NA"/>
    <s v="NA"/>
    <s v="NA"/>
    <s v="NA"/>
    <s v="NA"/>
    <s v="NA"/>
    <s v="NA"/>
    <s v="NA"/>
    <n v="0"/>
    <n v="0"/>
    <n v="0"/>
    <n v="0"/>
    <n v="24"/>
    <m/>
    <n v="24"/>
    <s v="Searching"/>
    <m/>
    <m/>
    <m/>
  </r>
  <r>
    <s v="DSCN3824"/>
    <s v="CC0503_8"/>
    <n v="8"/>
    <n v="1"/>
    <s v="CCAMP"/>
    <d v="2019-05-03T00:00:00"/>
    <s v="May"/>
    <x v="0"/>
    <d v="1899-12-30T00:48:00"/>
    <s v="Overcast, light snow"/>
    <x v="5"/>
    <s v="Foraging"/>
    <s v="NA"/>
    <s v="unknown"/>
    <n v="0"/>
    <n v="0"/>
    <m/>
    <s v="NA"/>
    <s v="NA"/>
    <s v="NA"/>
    <m/>
    <m/>
    <m/>
    <s v="NA"/>
    <s v="NA"/>
    <s v="NA"/>
    <s v="NA"/>
    <s v="NA"/>
    <s v="NA"/>
    <s v="NA"/>
    <s v="NA"/>
    <n v="0"/>
    <n v="0"/>
    <n v="0"/>
    <n v="0"/>
    <n v="20"/>
    <m/>
    <n v="20"/>
    <s v="Searching"/>
    <m/>
    <m/>
    <m/>
  </r>
  <r>
    <s v="DSCN3825"/>
    <s v="CC0503_9"/>
    <n v="9"/>
    <n v="1"/>
    <s v="CCAMP"/>
    <d v="2019-05-03T00:00:00"/>
    <s v="May"/>
    <x v="0"/>
    <d v="1899-12-30T00:07:00"/>
    <s v="Overcast, light snow"/>
    <x v="5"/>
    <s v="Foraging"/>
    <s v="NA"/>
    <s v="unknown"/>
    <n v="0"/>
    <n v="0"/>
    <m/>
    <s v="NA"/>
    <s v="NA"/>
    <s v="NA"/>
    <m/>
    <m/>
    <m/>
    <s v="NA"/>
    <s v="NA"/>
    <s v="NA"/>
    <s v="NA"/>
    <s v="NA"/>
    <s v="NA"/>
    <s v="NA"/>
    <s v="NA"/>
    <n v="0"/>
    <n v="0"/>
    <n v="0"/>
    <n v="0"/>
    <n v="7"/>
    <m/>
    <n v="7"/>
    <s v="Searching"/>
    <m/>
    <m/>
    <m/>
  </r>
  <r>
    <s v="DSCN3842"/>
    <s v="CC0503_22"/>
    <n v="22"/>
    <n v="1"/>
    <s v="CCAMP"/>
    <d v="2019-05-03T00:00:00"/>
    <s v="May"/>
    <x v="0"/>
    <d v="1899-12-30T01:39:00"/>
    <s v="Overcast, light snow"/>
    <x v="5"/>
    <s v="Foraging"/>
    <s v="NA"/>
    <s v="unknown"/>
    <n v="0"/>
    <n v="0"/>
    <m/>
    <s v="NA"/>
    <s v="NA"/>
    <s v="NA"/>
    <m/>
    <m/>
    <m/>
    <s v="NA"/>
    <s v="NA"/>
    <s v="NA"/>
    <s v="NA"/>
    <s v="NA"/>
    <s v="NA"/>
    <s v="NA"/>
    <s v="NA"/>
    <n v="0"/>
    <n v="0"/>
    <n v="0"/>
    <n v="0"/>
    <n v="99"/>
    <m/>
    <n v="99"/>
    <s v="Searching"/>
    <m/>
    <m/>
    <m/>
  </r>
  <r>
    <s v="DSCN3777"/>
    <s v="B&amp;U0502_1"/>
    <n v="1"/>
    <n v="1"/>
    <s v="B&amp;U"/>
    <d v="2019-05-02T00:00:00"/>
    <s v="May"/>
    <x v="0"/>
    <d v="1899-12-30T00:20:00"/>
    <s v="Mostly cloudy"/>
    <x v="6"/>
    <s v="Foraging"/>
    <s v="Spruce"/>
    <n v="1"/>
    <n v="1"/>
    <n v="0"/>
    <s v="Unknown"/>
    <s v="unknown"/>
    <s v="Interior spruce foliage "/>
    <s v="NA"/>
    <m/>
    <m/>
    <m/>
    <s v="NA"/>
    <s v="NA"/>
    <s v="NA"/>
    <s v="NA"/>
    <s v="NA"/>
    <n v="63.726010000000002"/>
    <n v="148.95821000000001"/>
    <s v="NA"/>
    <n v="0"/>
    <n v="0"/>
    <n v="0"/>
    <n v="0"/>
    <n v="0"/>
    <m/>
    <n v="0"/>
    <m/>
    <s v="Missed initial acquisition"/>
    <m/>
    <m/>
  </r>
  <r>
    <s v="DSCN3861"/>
    <s v="B&amp;U0505_3"/>
    <n v="3"/>
    <n v="1"/>
    <s v="B&amp;U"/>
    <d v="2019-05-05T00:00:00"/>
    <s v="May"/>
    <x v="0"/>
    <d v="1899-12-30T00:58:00"/>
    <s v="Mostly cloudy"/>
    <x v="6"/>
    <s v="Foraging"/>
    <s v="NA"/>
    <n v="1"/>
    <n v="0"/>
    <n v="0"/>
    <s v="Unknown"/>
    <s v="unknown"/>
    <s v="Ground"/>
    <s v="NA"/>
    <m/>
    <m/>
    <m/>
    <s v="NA"/>
    <s v="NA"/>
    <s v="NA"/>
    <s v="NA"/>
    <s v="NA"/>
    <s v="NA"/>
    <s v="NA"/>
    <s v="NA"/>
    <n v="0"/>
    <n v="0"/>
    <n v="0"/>
    <n v="0"/>
    <n v="54"/>
    <m/>
    <n v="54"/>
    <s v="Searching"/>
    <s v="We could not find a cache"/>
    <m/>
    <m/>
  </r>
  <r>
    <s v="DSCN3779"/>
    <s v="B&amp;U0502_2"/>
    <n v="2"/>
    <n v="1"/>
    <s v="B&amp;U"/>
    <d v="2019-05-02T00:00:00"/>
    <s v="May"/>
    <x v="0"/>
    <d v="1899-12-30T01:48:00"/>
    <s v="Mostly cloudy"/>
    <x v="6"/>
    <s v="Foraging"/>
    <s v="NA"/>
    <s v="unknown"/>
    <n v="0"/>
    <n v="0"/>
    <m/>
    <s v="NA"/>
    <s v="NA"/>
    <s v="NA"/>
    <m/>
    <m/>
    <m/>
    <s v="NA"/>
    <s v="NA"/>
    <s v="NA"/>
    <s v="NA"/>
    <s v="NA"/>
    <s v="NA"/>
    <s v="NA"/>
    <s v="NA"/>
    <n v="0"/>
    <n v="0"/>
    <n v="0"/>
    <n v="0"/>
    <n v="73"/>
    <m/>
    <n v="73"/>
    <s v="Searching"/>
    <m/>
    <m/>
    <m/>
  </r>
  <r>
    <s v="DSCN3862"/>
    <s v="B&amp;U0505_4"/>
    <n v="4"/>
    <n v="1"/>
    <s v="B&amp;U"/>
    <d v="2019-05-05T00:00:00"/>
    <s v="May"/>
    <x v="0"/>
    <d v="1899-12-30T00:34:00"/>
    <s v="Mostly cloudy"/>
    <x v="6"/>
    <s v="Foraging"/>
    <s v="NA"/>
    <s v="unknown"/>
    <n v="0"/>
    <n v="0"/>
    <m/>
    <s v="NA"/>
    <s v="NA"/>
    <s v="NA"/>
    <m/>
    <m/>
    <m/>
    <s v="NA"/>
    <s v="NA"/>
    <s v="NA"/>
    <s v="NA"/>
    <s v="NA"/>
    <s v="NA"/>
    <s v="NA"/>
    <s v="NA"/>
    <n v="0"/>
    <n v="0"/>
    <n v="0"/>
    <n v="0"/>
    <n v="34"/>
    <m/>
    <n v="34"/>
    <s v="Searching"/>
    <m/>
    <m/>
    <m/>
  </r>
  <r>
    <s v="DSCN3863"/>
    <s v="B&amp;U0505_5"/>
    <n v="5"/>
    <n v="1"/>
    <s v="B&amp;U"/>
    <d v="2019-05-05T00:00:00"/>
    <s v="May"/>
    <x v="0"/>
    <d v="1899-12-30T00:18:00"/>
    <s v="Mostly cloudy"/>
    <x v="6"/>
    <s v="Foraging"/>
    <s v="NA"/>
    <s v="unknown"/>
    <n v="0"/>
    <n v="0"/>
    <m/>
    <s v="NA"/>
    <s v="NA"/>
    <s v="NA"/>
    <m/>
    <m/>
    <m/>
    <s v="NA"/>
    <s v="NA"/>
    <s v="NA"/>
    <s v="NA"/>
    <s v="NA"/>
    <s v="NA"/>
    <s v="NA"/>
    <s v="NA"/>
    <n v="0"/>
    <n v="0"/>
    <n v="0"/>
    <n v="0"/>
    <n v="18"/>
    <m/>
    <n v="18"/>
    <s v="Searching"/>
    <m/>
    <m/>
    <m/>
  </r>
  <r>
    <s v="DSCN3864"/>
    <s v="B&amp;U0505_6"/>
    <n v="6"/>
    <n v="1"/>
    <s v="B&amp;U"/>
    <d v="2019-05-05T00:00:00"/>
    <s v="May"/>
    <x v="0"/>
    <d v="1899-12-30T00:38:00"/>
    <s v="Mostly cloudy"/>
    <x v="6"/>
    <s v="Foraging"/>
    <s v="NA"/>
    <s v="unknown"/>
    <n v="0"/>
    <n v="0"/>
    <m/>
    <s v="NA"/>
    <s v="NA"/>
    <s v="NA"/>
    <m/>
    <m/>
    <m/>
    <s v="NA"/>
    <s v="NA"/>
    <s v="NA"/>
    <s v="NA"/>
    <s v="NA"/>
    <s v="NA"/>
    <s v="NA"/>
    <s v="NA"/>
    <n v="0"/>
    <n v="0"/>
    <n v="0"/>
    <n v="0"/>
    <n v="38"/>
    <m/>
    <n v="38"/>
    <s v="Searching"/>
    <m/>
    <m/>
    <m/>
  </r>
  <r>
    <s v="DSCN3768"/>
    <s v="TC0502_1"/>
    <n v="1"/>
    <n v="1"/>
    <s v="Tcamp"/>
    <d v="2019-05-02T00:00:00"/>
    <s v="May"/>
    <x v="0"/>
    <d v="1899-12-30T00:08:00"/>
    <s v="Mostly cloudy"/>
    <x v="31"/>
    <s v="Foraging"/>
    <s v="NA"/>
    <n v="1"/>
    <n v="0"/>
    <n v="0"/>
    <s v="Unknown"/>
    <s v="unknown"/>
    <s v="NA"/>
    <s v="NA"/>
    <m/>
    <m/>
    <m/>
    <s v="NA"/>
    <s v="NA"/>
    <s v="NA"/>
    <s v="NA"/>
    <s v="NA"/>
    <s v="NA"/>
    <s v="NA"/>
    <s v="NA"/>
    <n v="0"/>
    <n v="0"/>
    <n v="0"/>
    <n v="0"/>
    <n v="8"/>
    <m/>
    <n v="8"/>
    <s v="Searching"/>
    <m/>
    <m/>
    <m/>
  </r>
  <r>
    <s v="DSCN3774"/>
    <s v="TC0502_4"/>
    <n v="4"/>
    <n v="1"/>
    <s v="Tcamp"/>
    <d v="2019-05-02T00:00:00"/>
    <s v="May"/>
    <x v="0"/>
    <d v="1899-12-30T00:39:00"/>
    <s v="Mostly cloudy"/>
    <x v="31"/>
    <s v="Caching"/>
    <s v="Spruce"/>
    <n v="0"/>
    <n v="0"/>
    <n v="1"/>
    <s v="Insect"/>
    <s v="Insect (Black caterpiller)"/>
    <s v="NA"/>
    <s v="Exterior spruce branch under witch hair"/>
    <s v="Spruce"/>
    <s v="Exterior"/>
    <s v="Under witchhair"/>
    <s v="NW"/>
    <n v="220"/>
    <n v="20"/>
    <n v="63.733550000000001"/>
    <n v="148.90380999999999"/>
    <s v="NA"/>
    <s v="NA"/>
    <s v="NA"/>
    <n v="0"/>
    <n v="0"/>
    <n v="0"/>
    <n v="0"/>
    <n v="0"/>
    <m/>
    <n v="0"/>
    <m/>
    <m/>
    <m/>
    <m/>
  </r>
  <r>
    <s v="DSCN3774"/>
    <s v="TC0502_4"/>
    <n v="4"/>
    <n v="2"/>
    <s v="Tcamp"/>
    <d v="2019-05-02T00:00:00"/>
    <s v="May"/>
    <x v="0"/>
    <d v="1899-12-30T00:39:00"/>
    <s v="Mostly cloudy"/>
    <x v="31"/>
    <s v="Caching"/>
    <s v="Spruce"/>
    <n v="0"/>
    <n v="0"/>
    <n v="1"/>
    <s v="Insect"/>
    <s v="Insect (Black caterpiller)"/>
    <s v="NA"/>
    <s v="Exterior spruce branch under witch hair"/>
    <s v="Spruce"/>
    <s v="Exterior"/>
    <s v="Under witchhair"/>
    <s v="NW"/>
    <n v="240"/>
    <n v="20"/>
    <n v="63.733550000000001"/>
    <n v="148.90380999999999"/>
    <s v="NA"/>
    <s v="NA"/>
    <s v="NA"/>
    <n v="0"/>
    <n v="0"/>
    <n v="0"/>
    <n v="0"/>
    <n v="0"/>
    <m/>
    <n v="0"/>
    <m/>
    <s v="Different tree from first cache B&amp;Ut same GPS"/>
    <m/>
    <m/>
  </r>
  <r>
    <s v="DSCN3772"/>
    <s v="TC0502_3"/>
    <n v="3"/>
    <n v="1"/>
    <s v="Tcamp"/>
    <d v="2019-05-02T00:00:00"/>
    <s v="May"/>
    <x v="0"/>
    <d v="1899-12-30T00:21:00"/>
    <s v="Mostly cloudy"/>
    <x v="31"/>
    <s v="Food handling"/>
    <s v="NA"/>
    <n v="1"/>
    <n v="0"/>
    <n v="0"/>
    <s v="Insect"/>
    <s v="Insect (Black caterpiller)"/>
    <s v="Ground"/>
    <s v="NA"/>
    <m/>
    <m/>
    <m/>
    <s v="NA"/>
    <s v="NA"/>
    <s v="NA"/>
    <s v="NA"/>
    <s v="NA"/>
    <s v="NA"/>
    <s v="NA"/>
    <s v="NA"/>
    <n v="0"/>
    <n v="0"/>
    <n v="0"/>
    <n v="0"/>
    <n v="0"/>
    <m/>
    <n v="0"/>
    <s v="Searching"/>
    <s v="Missed initial acquisition"/>
    <m/>
    <m/>
  </r>
  <r>
    <s v="DSCN3768"/>
    <s v="TC0502_2"/>
    <n v="2"/>
    <n v="1"/>
    <s v="Tcamp"/>
    <d v="2019-05-02T00:00:00"/>
    <s v="May"/>
    <x v="0"/>
    <d v="1899-12-30T00:15:00"/>
    <s v="Mostly cloudy"/>
    <x v="31"/>
    <s v="Foraging"/>
    <s v="NA"/>
    <n v="0"/>
    <n v="0"/>
    <n v="0"/>
    <s v="Unknown"/>
    <s v="unknown"/>
    <s v="NA"/>
    <s v="NA"/>
    <m/>
    <m/>
    <m/>
    <s v="NA"/>
    <s v="NA"/>
    <s v="NA"/>
    <s v="NA"/>
    <s v="NA"/>
    <s v="NA"/>
    <s v="NA"/>
    <s v="NA"/>
    <n v="0"/>
    <n v="0"/>
    <n v="0"/>
    <n v="0"/>
    <n v="7"/>
    <m/>
    <n v="7"/>
    <s v="Searching"/>
    <m/>
    <m/>
    <m/>
  </r>
  <r>
    <s v="DSCN3899"/>
    <s v="MC0506_10"/>
    <n v="10"/>
    <n v="1"/>
    <s v="Mercantile"/>
    <d v="2019-05-06T00:00:00"/>
    <s v="May"/>
    <x v="0"/>
    <d v="1899-12-30T00:12:00"/>
    <s v="Mostly cloudy"/>
    <x v="13"/>
    <s v="Foraging"/>
    <s v="Spruce"/>
    <n v="1"/>
    <s v="unknown"/>
    <n v="0"/>
    <s v="Unknown"/>
    <s v="unknown"/>
    <s v="Interior spruce dense twigs"/>
    <s v="NA"/>
    <m/>
    <m/>
    <m/>
    <s v="NA"/>
    <s v="NA"/>
    <s v="NA"/>
    <s v="NA"/>
    <s v="NA"/>
    <s v="NA"/>
    <s v="NA"/>
    <s v="NA"/>
    <n v="0"/>
    <n v="0"/>
    <n v="0"/>
    <n v="0"/>
    <n v="0"/>
    <m/>
    <n v="0"/>
    <m/>
    <s v="Missed initial acquisition"/>
    <m/>
    <m/>
  </r>
  <r>
    <s v="DSCN3902"/>
    <s v="MC0506_13"/>
    <n v="13"/>
    <n v="1"/>
    <s v="Mercantile"/>
    <d v="2019-05-06T00:00:00"/>
    <s v="May"/>
    <x v="0"/>
    <d v="1899-12-30T00:13:00"/>
    <s v="Mostly cloudy"/>
    <x v="13"/>
    <s v="Caching"/>
    <s v="Spruce"/>
    <n v="0"/>
    <n v="0"/>
    <n v="1"/>
    <s v="Insect"/>
    <s v="Insect (Black caterpiller)"/>
    <s v="NA"/>
    <s v="Interior spruce foliage"/>
    <s v="Spruce"/>
    <s v="Interior"/>
    <s v="Foliage"/>
    <s v="E"/>
    <n v="95"/>
    <n v="21"/>
    <n v="63.736319999999999"/>
    <n v="148.90260000000001"/>
    <s v="NA"/>
    <s v="NA"/>
    <s v="NA"/>
    <n v="0"/>
    <n v="0"/>
    <n v="0"/>
    <n v="0"/>
    <n v="0"/>
    <m/>
    <n v="0"/>
    <m/>
    <s v="Deployed camera on cache site"/>
    <m/>
    <m/>
  </r>
  <r>
    <s v="DSCN3903"/>
    <s v="MC0506_14"/>
    <n v="14"/>
    <n v="1"/>
    <s v="Mercantile"/>
    <d v="2019-05-06T00:00:00"/>
    <s v="May"/>
    <x v="0"/>
    <d v="1899-12-30T00:10:00"/>
    <s v="Mostly cloudy"/>
    <x v="13"/>
    <s v="Caching"/>
    <s v="Spruce"/>
    <n v="1"/>
    <n v="0"/>
    <n v="1"/>
    <s v="Insect"/>
    <s v="Insect (caterpiller)"/>
    <s v="unknown"/>
    <s v="Exterior spruce branch on bark"/>
    <s v="Spruce"/>
    <s v="Exterior"/>
    <s v="On branch"/>
    <s v="NE"/>
    <n v="39"/>
    <s v="unknown"/>
    <n v="63.736240000000002"/>
    <n v="148.90282999999999"/>
    <s v="NA"/>
    <s v="NA"/>
    <s v="NA"/>
    <n v="0"/>
    <n v="0"/>
    <n v="0"/>
    <n v="0"/>
    <n v="0"/>
    <m/>
    <n v="0"/>
    <m/>
    <s v="Deployed camera on cache site"/>
    <m/>
    <m/>
  </r>
  <r>
    <s v="DSCN3901"/>
    <s v="MC0506_12"/>
    <n v="12"/>
    <n v="1"/>
    <s v="Mercantile"/>
    <d v="2019-05-06T00:00:00"/>
    <s v="May"/>
    <x v="0"/>
    <d v="1899-12-30T00:54:00"/>
    <s v="Mostly cloudy"/>
    <x v="13"/>
    <s v="Foraging"/>
    <s v="NA"/>
    <n v="1"/>
    <n v="0"/>
    <n v="0"/>
    <s v="Insect"/>
    <s v="Insect (Black caterpiller)"/>
    <s v="NA"/>
    <s v="NA"/>
    <m/>
    <m/>
    <m/>
    <s v="NA"/>
    <s v="NA"/>
    <s v="NA"/>
    <s v="NA"/>
    <s v="NA"/>
    <s v="NA"/>
    <s v="NA"/>
    <s v="NA"/>
    <n v="0"/>
    <n v="0"/>
    <n v="0"/>
    <n v="0"/>
    <n v="54"/>
    <m/>
    <n v="54"/>
    <s v="Searching"/>
    <m/>
    <m/>
    <m/>
  </r>
  <r>
    <s v="DSCN3900"/>
    <s v="MC0506_11"/>
    <n v="11"/>
    <n v="1"/>
    <s v="Mercantile"/>
    <d v="2019-05-06T00:00:00"/>
    <s v="May"/>
    <x v="0"/>
    <d v="1899-12-30T00:15:00"/>
    <s v="Mostly cloudy"/>
    <x v="13"/>
    <s v="Foraging"/>
    <s v="NA"/>
    <s v="unknown"/>
    <n v="0"/>
    <n v="0"/>
    <m/>
    <s v="NA"/>
    <s v="NA"/>
    <s v="NA"/>
    <m/>
    <m/>
    <m/>
    <s v="NA"/>
    <s v="NA"/>
    <s v="NA"/>
    <s v="NA"/>
    <s v="NA"/>
    <s v="NA"/>
    <s v="NA"/>
    <s v="NA"/>
    <n v="0"/>
    <n v="0"/>
    <n v="0"/>
    <n v="0"/>
    <n v="15"/>
    <m/>
    <n v="15"/>
    <s v="Searching"/>
    <m/>
    <m/>
    <m/>
  </r>
  <r>
    <s v="DSCN3785"/>
    <s v="B&amp;U0502_6"/>
    <n v="6"/>
    <n v="1"/>
    <s v="B&amp;U"/>
    <d v="2019-05-02T00:00:00"/>
    <s v="May"/>
    <x v="0"/>
    <d v="1899-12-30T00:15:00"/>
    <s v="Mostly cloudy"/>
    <x v="14"/>
    <s v="Foraging"/>
    <s v="Spruce"/>
    <n v="1"/>
    <n v="0"/>
    <n v="0"/>
    <s v="Insect"/>
    <s v="Insect"/>
    <s v="Exterior spruce"/>
    <s v="NA"/>
    <m/>
    <m/>
    <m/>
    <s v="NA"/>
    <s v="NA"/>
    <s v="NA"/>
    <s v="NA"/>
    <s v="NA"/>
    <s v="NA"/>
    <s v="NA"/>
    <s v="NA"/>
    <n v="0"/>
    <n v="5"/>
    <n v="0"/>
    <n v="5"/>
    <n v="5"/>
    <m/>
    <n v="10"/>
    <s v="Fly catching/Searching"/>
    <s v="Wacthed her leap up and grab something so assuming it was an insect based on her behavior.  "/>
    <m/>
    <m/>
  </r>
  <r>
    <s v="DSCN3909"/>
    <s v="B&amp;U0508_3"/>
    <n v="3"/>
    <n v="1"/>
    <s v="B&amp;U"/>
    <d v="2019-05-08T00:00:00"/>
    <s v="May"/>
    <x v="0"/>
    <d v="1899-12-30T00:45:00"/>
    <s v="Overcast, light rain"/>
    <x v="14"/>
    <s v="Foraging"/>
    <s v="NA"/>
    <n v="1"/>
    <n v="0"/>
    <n v="0"/>
    <s v="Unknown"/>
    <s v="unknown"/>
    <s v="Ground"/>
    <s v="NA"/>
    <m/>
    <m/>
    <m/>
    <s v="NA"/>
    <s v="NA"/>
    <s v="NA"/>
    <s v="NA"/>
    <s v="NA"/>
    <s v="NA"/>
    <s v="NA"/>
    <s v="NA"/>
    <n v="0"/>
    <n v="0"/>
    <n v="0"/>
    <n v="0"/>
    <n v="45"/>
    <m/>
    <n v="45"/>
    <s v="Searching"/>
    <m/>
    <m/>
    <m/>
  </r>
  <r>
    <s v="DSCN3907"/>
    <s v="B&amp;U0508_2"/>
    <n v="2"/>
    <n v="1"/>
    <s v="B&amp;U"/>
    <d v="2019-05-08T00:00:00"/>
    <s v="May"/>
    <x v="0"/>
    <d v="1899-12-30T00:11:00"/>
    <s v="Overcast, light rain"/>
    <x v="14"/>
    <s v="Foraging"/>
    <s v="NA"/>
    <n v="0"/>
    <n v="0"/>
    <n v="0"/>
    <m/>
    <s v="NA"/>
    <s v="NA"/>
    <s v="NA"/>
    <m/>
    <m/>
    <m/>
    <s v="NA"/>
    <s v="NA"/>
    <s v="NA"/>
    <s v="NA"/>
    <s v="NA"/>
    <s v="NA"/>
    <s v="NA"/>
    <s v="NA"/>
    <n v="0"/>
    <n v="0"/>
    <n v="0"/>
    <m/>
    <n v="11"/>
    <m/>
    <n v="11"/>
    <s v="Searching"/>
    <m/>
    <m/>
    <m/>
  </r>
  <r>
    <s v="DSCN3782"/>
    <s v="B&amp;U0502_3"/>
    <n v="3"/>
    <n v="1"/>
    <s v="B&amp;U"/>
    <d v="2019-05-02T00:00:00"/>
    <s v="May"/>
    <x v="0"/>
    <d v="1899-12-30T00:56:00"/>
    <s v="Mostly cloudy"/>
    <x v="14"/>
    <s v="Foraging/caching"/>
    <s v="Spruce"/>
    <s v="unknown"/>
    <n v="0"/>
    <n v="1"/>
    <s v="Unknown"/>
    <s v="unknown"/>
    <s v="unknown"/>
    <s v="interior bare spruce"/>
    <s v="Spruce"/>
    <s v="Interior"/>
    <s v="On branch"/>
    <s v="NE"/>
    <n v="32"/>
    <s v="unknown"/>
    <n v="63.72598"/>
    <n v="148.96046000000001"/>
    <s v="NA"/>
    <s v="NA"/>
    <s v="NA"/>
    <n v="0"/>
    <n v="0"/>
    <n v="0"/>
    <n v="0"/>
    <n v="54"/>
    <m/>
    <n v="54"/>
    <s v="Searching"/>
    <s v="Deployed camera. Insect suspended from witch hair on underside of twig"/>
    <m/>
    <m/>
  </r>
  <r>
    <s v="DSCN3858"/>
    <s v="B&amp;U0505_2"/>
    <n v="2"/>
    <n v="1"/>
    <s v="B&amp;U"/>
    <d v="2019-05-05T00:00:00"/>
    <s v="May"/>
    <x v="0"/>
    <d v="1899-12-30T00:48:00"/>
    <s v="Mostly cloudy"/>
    <x v="14"/>
    <s v="Foraging/caching"/>
    <s v="NA"/>
    <s v="unknown"/>
    <n v="0"/>
    <n v="1"/>
    <s v="Insect"/>
    <s v="Insect (caterpiller)"/>
    <s v="unknown"/>
    <s v="Interior spruce branch in witch hair"/>
    <s v="Spruce"/>
    <s v="Interior"/>
    <s v="Under witchhair"/>
    <s v="N"/>
    <n v="355"/>
    <s v="unknown"/>
    <n v="63.72616"/>
    <n v="148.96205"/>
    <s v="NA"/>
    <s v="NA"/>
    <s v="NA"/>
    <n v="0"/>
    <n v="0"/>
    <n v="0"/>
    <n v="0"/>
    <n v="44"/>
    <m/>
    <n v="44"/>
    <s v="Searching"/>
    <m/>
    <m/>
    <m/>
  </r>
  <r>
    <s v="DSCN3783"/>
    <s v="B&amp;U0502_4"/>
    <n v="4"/>
    <n v="1"/>
    <s v="B&amp;U"/>
    <d v="2019-05-02T00:00:00"/>
    <s v="May"/>
    <x v="0"/>
    <d v="1899-12-30T00:40:00"/>
    <s v="Mostly cloudy"/>
    <x v="14"/>
    <s v="Foraging"/>
    <s v="NA"/>
    <s v="unknown"/>
    <n v="0"/>
    <n v="0"/>
    <m/>
    <s v="NA"/>
    <s v="NA"/>
    <s v="NA"/>
    <m/>
    <m/>
    <m/>
    <s v="NA"/>
    <s v="NA"/>
    <s v="NA"/>
    <s v="NA"/>
    <s v="NA"/>
    <s v="NA"/>
    <s v="NA"/>
    <s v="NA"/>
    <n v="0"/>
    <n v="0"/>
    <n v="0"/>
    <n v="0"/>
    <n v="40"/>
    <m/>
    <n v="40"/>
    <s v="Searching"/>
    <m/>
    <m/>
    <m/>
  </r>
  <r>
    <s v="DSCN3784"/>
    <s v="B&amp;U0502_5"/>
    <n v="5"/>
    <n v="1"/>
    <s v="B&amp;U"/>
    <d v="2019-05-02T00:00:00"/>
    <s v="May"/>
    <x v="0"/>
    <d v="1899-12-30T00:43:00"/>
    <s v="Mostly cloudy"/>
    <x v="14"/>
    <s v="Foraging"/>
    <s v="NA"/>
    <s v="unknown"/>
    <n v="0"/>
    <n v="0"/>
    <m/>
    <s v="NA"/>
    <s v="NA"/>
    <s v="NA"/>
    <m/>
    <m/>
    <m/>
    <s v="NA"/>
    <s v="NA"/>
    <s v="NA"/>
    <s v="NA"/>
    <s v="NA"/>
    <s v="NA"/>
    <s v="NA"/>
    <s v="NA"/>
    <n v="0"/>
    <n v="0"/>
    <n v="0"/>
    <n v="0"/>
    <n v="43"/>
    <m/>
    <n v="43"/>
    <s v="Searching"/>
    <m/>
    <m/>
    <m/>
  </r>
  <r>
    <s v="DSCN3857"/>
    <s v="B&amp;U0505_1"/>
    <n v="1"/>
    <n v="1"/>
    <s v="B&amp;U"/>
    <d v="2019-05-05T00:00:00"/>
    <s v="May"/>
    <x v="0"/>
    <d v="1899-12-30T00:49:00"/>
    <s v="Mostly cloudy"/>
    <x v="14"/>
    <s v="Foraging"/>
    <s v="NA"/>
    <s v="unknown"/>
    <n v="0"/>
    <n v="0"/>
    <m/>
    <s v="NA"/>
    <s v="NA"/>
    <s v="NA"/>
    <m/>
    <m/>
    <m/>
    <s v="NA"/>
    <s v="NA"/>
    <s v="NA"/>
    <s v="NA"/>
    <s v="NA"/>
    <s v="NA"/>
    <s v="NA"/>
    <s v="NA"/>
    <n v="0"/>
    <n v="0"/>
    <n v="0"/>
    <n v="0"/>
    <n v="49"/>
    <m/>
    <n v="49"/>
    <s v="Searching"/>
    <m/>
    <m/>
    <m/>
  </r>
  <r>
    <s v="DSCN3906"/>
    <s v="B&amp;U0508_1"/>
    <n v="1"/>
    <n v="1"/>
    <s v="B&amp;U"/>
    <d v="2019-05-08T00:00:00"/>
    <s v="May"/>
    <x v="0"/>
    <d v="1899-12-30T00:27:00"/>
    <s v="Overcast, light rain"/>
    <x v="14"/>
    <s v="Foraging"/>
    <s v="NA"/>
    <s v="unknown"/>
    <n v="0"/>
    <n v="0"/>
    <m/>
    <s v="NA"/>
    <s v="NA"/>
    <s v="NA"/>
    <m/>
    <m/>
    <m/>
    <s v="NA"/>
    <s v="NA"/>
    <s v="NA"/>
    <s v="NA"/>
    <s v="NA"/>
    <s v="NA"/>
    <s v="NA"/>
    <s v="NA"/>
    <n v="0"/>
    <n v="0"/>
    <n v="0"/>
    <n v="0"/>
    <n v="27"/>
    <m/>
    <n v="27"/>
    <s v="Searching"/>
    <m/>
    <m/>
    <m/>
  </r>
  <r>
    <s v="DSCN3912"/>
    <s v="B&amp;U0508_4"/>
    <n v="4"/>
    <n v="1"/>
    <s v="B&amp;U"/>
    <d v="2019-05-08T00:00:00"/>
    <s v="May"/>
    <x v="0"/>
    <d v="1899-12-30T00:13:00"/>
    <s v="Overcast, light rain"/>
    <x v="14"/>
    <s v="Foraging"/>
    <s v="NA"/>
    <s v="unknown"/>
    <n v="0"/>
    <n v="0"/>
    <m/>
    <s v="NA"/>
    <s v="NA"/>
    <s v="NA"/>
    <m/>
    <m/>
    <m/>
    <s v="NA"/>
    <s v="NA"/>
    <s v="NA"/>
    <s v="NA"/>
    <s v="NA"/>
    <s v="NA"/>
    <s v="NA"/>
    <s v="NA"/>
    <n v="0"/>
    <n v="0"/>
    <n v="0"/>
    <n v="0"/>
    <n v="13"/>
    <m/>
    <n v="13"/>
    <s v="Searching"/>
    <m/>
    <m/>
    <m/>
  </r>
  <r>
    <s v="DSCN3913"/>
    <s v="B&amp;U0508_5"/>
    <n v="5"/>
    <n v="1"/>
    <s v="B&amp;U"/>
    <d v="2019-05-08T00:00:00"/>
    <s v="May"/>
    <x v="0"/>
    <d v="1899-12-30T01:04:00"/>
    <s v="Overcast, light rain"/>
    <x v="14"/>
    <s v="Foraging"/>
    <s v="NA"/>
    <s v="unknown"/>
    <n v="0"/>
    <n v="0"/>
    <m/>
    <s v="NA"/>
    <s v="NA"/>
    <s v="NA"/>
    <m/>
    <m/>
    <m/>
    <s v="NA"/>
    <s v="NA"/>
    <s v="NA"/>
    <s v="NA"/>
    <s v="NA"/>
    <s v="NA"/>
    <s v="NA"/>
    <s v="NA"/>
    <n v="0"/>
    <n v="0"/>
    <n v="0"/>
    <n v="0"/>
    <n v="64"/>
    <m/>
    <n v="64"/>
    <s v="Searching"/>
    <m/>
    <m/>
    <m/>
  </r>
  <r>
    <s v="DSCN3936"/>
    <s v="M2370508_6"/>
    <n v="6"/>
    <n v="1"/>
    <s v="Mile 237"/>
    <d v="2019-05-08T00:00:00"/>
    <s v="May"/>
    <x v="0"/>
    <d v="1899-12-30T01:22:00"/>
    <s v="Overcast"/>
    <x v="16"/>
    <s v="Foraging"/>
    <s v="NA"/>
    <n v="1"/>
    <s v="unknown"/>
    <n v="0"/>
    <s v="Unknown"/>
    <s v="unknown"/>
    <s v="Exterior spruce branch Under bark"/>
    <s v="NA"/>
    <m/>
    <m/>
    <m/>
    <s v="NA"/>
    <s v="NA"/>
    <s v="NA"/>
    <s v="NA"/>
    <s v="NA"/>
    <s v="NA"/>
    <s v="NA"/>
    <s v="NA"/>
    <n v="72"/>
    <n v="0"/>
    <n v="48"/>
    <n v="24"/>
    <n v="10"/>
    <m/>
    <n v="82"/>
    <s v="Searching/probing"/>
    <m/>
    <m/>
    <m/>
  </r>
  <r>
    <s v="DSCN3935"/>
    <s v="M2370508_5"/>
    <n v="5"/>
    <n v="1"/>
    <s v="Mile 237"/>
    <d v="2019-05-08T00:00:00"/>
    <s v="May"/>
    <x v="0"/>
    <d v="1899-12-30T00:24:00"/>
    <s v="Overcast"/>
    <x v="16"/>
    <s v="Foraging"/>
    <s v="NA"/>
    <n v="1"/>
    <n v="0"/>
    <n v="0"/>
    <s v="Unknown"/>
    <s v="unknown"/>
    <s v="Ground"/>
    <s v="NA"/>
    <m/>
    <m/>
    <m/>
    <s v="NA"/>
    <s v="NA"/>
    <s v="NA"/>
    <s v="NA"/>
    <s v="NA"/>
    <s v="NA"/>
    <s v="NA"/>
    <s v="NA"/>
    <n v="0"/>
    <n v="0"/>
    <n v="0"/>
    <n v="0"/>
    <n v="25"/>
    <m/>
    <n v="25"/>
    <m/>
    <s v="We didn't count the other two acquisitions as food because we suspected he was drinking. "/>
    <m/>
    <m/>
  </r>
  <r>
    <s v="DSCN3933"/>
    <s v="M2370508_3"/>
    <n v="3"/>
    <n v="1"/>
    <s v="Mile 237"/>
    <d v="2019-05-08T00:00:00"/>
    <s v="May"/>
    <x v="0"/>
    <d v="1899-12-30T00:31:00"/>
    <s v="Overcast"/>
    <x v="16"/>
    <s v="Foraging"/>
    <s v="NA"/>
    <n v="4"/>
    <n v="0"/>
    <n v="0"/>
    <s v="Unknown"/>
    <s v="unknown"/>
    <s v="Ground"/>
    <s v="NA"/>
    <m/>
    <m/>
    <m/>
    <s v="NA"/>
    <s v="NA"/>
    <s v="NA"/>
    <s v="NA"/>
    <s v="NA"/>
    <s v="NA"/>
    <s v="NA"/>
    <s v="NA"/>
    <n v="0"/>
    <n v="0"/>
    <n v="0"/>
    <n v="0"/>
    <n v="29"/>
    <m/>
    <n v="29"/>
    <s v="Searching"/>
    <m/>
    <m/>
    <m/>
  </r>
  <r>
    <s v="DSCN3934"/>
    <s v="M2370508_4"/>
    <n v="4"/>
    <n v="1"/>
    <s v="Mile 237"/>
    <d v="2019-05-08T00:00:00"/>
    <s v="May"/>
    <x v="0"/>
    <d v="1899-12-30T00:06:00"/>
    <s v="Overcast"/>
    <x v="16"/>
    <s v="Foraging"/>
    <s v="NA"/>
    <s v="unknown"/>
    <n v="0"/>
    <n v="0"/>
    <m/>
    <s v="NA"/>
    <s v="NA"/>
    <s v="NA"/>
    <m/>
    <m/>
    <m/>
    <s v="NA"/>
    <s v="NA"/>
    <s v="NA"/>
    <s v="NA"/>
    <s v="NA"/>
    <s v="NA"/>
    <s v="NA"/>
    <s v="NA"/>
    <n v="6"/>
    <n v="0"/>
    <n v="6"/>
    <n v="0"/>
    <n v="0"/>
    <m/>
    <n v="6"/>
    <s v="Probing"/>
    <m/>
    <n v="1"/>
    <n v="0"/>
  </r>
  <r>
    <s v="DSCN2340"/>
    <s v="TC1031_3"/>
    <n v="3"/>
    <n v="1"/>
    <s v="Trail Camp"/>
    <d v="2018-10-31T00:00:00"/>
    <s v="October"/>
    <x v="1"/>
    <d v="1899-12-30T00:06:00"/>
    <s v="Partly cloudy, snowing"/>
    <x v="32"/>
    <s v="Foraging"/>
    <s v="Aspen"/>
    <n v="1"/>
    <m/>
    <n v="0"/>
    <s v="Unknown"/>
    <s v="Unknown"/>
    <s v="Exterior Aspen bare branch"/>
    <s v="NA"/>
    <s v="NA"/>
    <s v="NA"/>
    <s v="NA"/>
    <m/>
    <m/>
    <s v="NA"/>
    <s v="NA"/>
    <m/>
    <m/>
    <m/>
    <m/>
    <n v="0"/>
    <n v="0"/>
    <n v="0"/>
    <n v="0"/>
    <n v="0"/>
    <n v="0"/>
    <n v="0"/>
    <m/>
    <s v="Didn't catch foraging event "/>
    <m/>
    <m/>
  </r>
  <r>
    <s v="DSCN2341"/>
    <s v="TC1031_4"/>
    <n v="4"/>
    <n v="1"/>
    <s v="Trail Camp"/>
    <d v="2018-10-31T00:00:00"/>
    <s v="October"/>
    <x v="1"/>
    <d v="1899-12-30T00:51:00"/>
    <s v="Partly cloudy, snowing"/>
    <x v="32"/>
    <s v="Caching"/>
    <s v="Aspen"/>
    <n v="0"/>
    <m/>
    <n v="1"/>
    <s v="Unknown"/>
    <s v="Unknown"/>
    <s v="unknown"/>
    <s v="Exterior aspen branch under bark"/>
    <s v="Aspen"/>
    <s v="Exterior"/>
    <s v="Under bark"/>
    <m/>
    <m/>
    <s v="unknown"/>
    <n v="63.73142"/>
    <n v="148.89966999999999"/>
    <m/>
    <m/>
    <m/>
    <n v="0"/>
    <n v="0"/>
    <n v="0"/>
    <n v="0"/>
    <n v="0"/>
    <n v="0"/>
    <n v="0"/>
    <m/>
    <s v="Good caching video "/>
    <m/>
    <m/>
  </r>
  <r>
    <s v="DSCN2361"/>
    <s v="TC1031_11"/>
    <n v="11"/>
    <n v="1"/>
    <s v="Trail Camp"/>
    <d v="2018-10-31T00:00:00"/>
    <s v="October"/>
    <x v="1"/>
    <d v="1899-12-30T00:14:00"/>
    <s v="Partly cloudy, snowing"/>
    <x v="32"/>
    <s v="Foraging"/>
    <s v="Spruce"/>
    <n v="0"/>
    <m/>
    <n v="0"/>
    <m/>
    <s v="NA"/>
    <s v="NA"/>
    <s v="NA"/>
    <s v="NA"/>
    <s v="NA"/>
    <s v="NA"/>
    <m/>
    <m/>
    <s v="NA"/>
    <s v="NA"/>
    <m/>
    <m/>
    <m/>
    <m/>
    <n v="14"/>
    <n v="0"/>
    <n v="14"/>
    <n v="0"/>
    <n v="0"/>
    <n v="0"/>
    <n v="14"/>
    <s v="Searching"/>
    <m/>
    <m/>
    <m/>
  </r>
  <r>
    <s v="DSCN2364"/>
    <s v="TC1031_14"/>
    <n v="14"/>
    <n v="1"/>
    <s v="Trail Camp"/>
    <d v="2018-10-31T00:00:00"/>
    <s v="October"/>
    <x v="1"/>
    <d v="1899-12-30T00:07:00"/>
    <s v="Partly cloudy, snowing"/>
    <x v="32"/>
    <s v="Foraging"/>
    <s v="Aspen"/>
    <n v="1"/>
    <m/>
    <n v="0"/>
    <s v="Unknown"/>
    <s v="Unknown"/>
    <s v="Exterior Aspen bare branch"/>
    <s v="NA"/>
    <s v="NA"/>
    <s v="NA"/>
    <s v="NA"/>
    <m/>
    <m/>
    <s v="NA"/>
    <s v="NA"/>
    <m/>
    <m/>
    <m/>
    <m/>
    <n v="0"/>
    <n v="0"/>
    <n v="0"/>
    <n v="0"/>
    <n v="0"/>
    <n v="0"/>
    <n v="0"/>
    <m/>
    <s v="Didn't catch foraging on film"/>
    <m/>
    <m/>
  </r>
  <r>
    <s v="DSCN1339"/>
    <s v="ww1005_1"/>
    <n v="1"/>
    <n v="1"/>
    <s v="WAC West"/>
    <d v="2018-10-05T00:00:00"/>
    <s v="October"/>
    <x v="1"/>
    <d v="1899-12-30T01:15:00"/>
    <s v="Partly Sunny"/>
    <x v="0"/>
    <s v="Foraging"/>
    <s v="Spruce"/>
    <n v="0"/>
    <m/>
    <n v="0"/>
    <m/>
    <s v="NA"/>
    <s v="NA"/>
    <s v="NA"/>
    <s v="NA"/>
    <s v="NA"/>
    <s v="NA"/>
    <m/>
    <m/>
    <s v="NA"/>
    <s v="NA"/>
    <m/>
    <m/>
    <m/>
    <m/>
    <n v="0"/>
    <n v="8"/>
    <n v="0"/>
    <n v="8"/>
    <n v="23"/>
    <n v="0"/>
    <n v="31"/>
    <m/>
    <s v="Was seaching ground B&amp;Ut from low branch"/>
    <m/>
    <m/>
  </r>
  <r>
    <s v="DSCN1340"/>
    <s v="WW1005_2"/>
    <n v="2"/>
    <n v="1"/>
    <s v="WAC West"/>
    <d v="2018-10-05T00:00:00"/>
    <s v="October"/>
    <x v="1"/>
    <d v="1899-12-30T00:38:00"/>
    <s v="Partly Sunny"/>
    <x v="0"/>
    <s v="Foraging"/>
    <s v="NA"/>
    <n v="0"/>
    <m/>
    <n v="0"/>
    <m/>
    <s v="NA"/>
    <s v="NA"/>
    <s v="NA"/>
    <s v="NA"/>
    <s v="NA"/>
    <s v="NA"/>
    <m/>
    <m/>
    <s v="NA"/>
    <s v="NA"/>
    <m/>
    <m/>
    <m/>
    <m/>
    <n v="0"/>
    <n v="0"/>
    <n v="0"/>
    <n v="0"/>
    <n v="20"/>
    <n v="0"/>
    <n v="20"/>
    <m/>
    <m/>
    <m/>
    <m/>
  </r>
  <r>
    <s v="DSCN1343"/>
    <s v="WW1005_3"/>
    <n v="3"/>
    <n v="1"/>
    <s v="WAC West"/>
    <d v="2018-10-05T00:00:00"/>
    <s v="October"/>
    <x v="1"/>
    <d v="1899-12-30T00:32:00"/>
    <s v="Partly Sunny"/>
    <x v="0"/>
    <s v="Foraging/cache retrieval"/>
    <s v="Spruce"/>
    <n v="1"/>
    <m/>
    <n v="0"/>
    <s v="Unknown"/>
    <s v="Unknown probably berry"/>
    <s v="Ground"/>
    <s v="NA"/>
    <s v="NA"/>
    <s v="NA"/>
    <s v="NA"/>
    <m/>
    <m/>
    <s v="NA"/>
    <s v="NA"/>
    <m/>
    <m/>
    <m/>
    <m/>
    <n v="0"/>
    <n v="2"/>
    <n v="0"/>
    <n v="2"/>
    <n v="12"/>
    <n v="0"/>
    <n v="14"/>
    <m/>
    <s v="Counted as cache retrieval due to location of food (exterior spruce foliage) and speed at which bird got it. "/>
    <m/>
    <m/>
  </r>
  <r>
    <s v="DSCN1343"/>
    <s v="WW1005_3"/>
    <n v="3"/>
    <n v="2"/>
    <s v="WAC West"/>
    <d v="2018-10-05T00:00:00"/>
    <s v="October"/>
    <x v="1"/>
    <d v="1899-12-30T00:32:00"/>
    <s v="Partly Sunny"/>
    <x v="0"/>
    <s v="Foraging/cache retrieval"/>
    <s v="Spruce"/>
    <n v="1"/>
    <m/>
    <n v="0"/>
    <s v="Unknown"/>
    <s v="Unknown"/>
    <s v="Exterior spruce foliage"/>
    <s v="NA"/>
    <s v="NA"/>
    <s v="NA"/>
    <s v="NA"/>
    <m/>
    <m/>
    <s v="NA"/>
    <s v="NA"/>
    <m/>
    <m/>
    <m/>
    <m/>
    <n v="0"/>
    <n v="0"/>
    <n v="0"/>
    <n v="0"/>
    <n v="0"/>
    <n v="0"/>
    <n v="0"/>
    <m/>
    <s v="Counted as cache retrieval due to location of food (exterior spruce foliage) and speed at which bird got it. "/>
    <m/>
    <m/>
  </r>
  <r>
    <s v="DSCN1344"/>
    <s v="WW1005_4"/>
    <n v="4"/>
    <n v="1"/>
    <s v="WAC West"/>
    <d v="2018-10-05T00:00:00"/>
    <s v="October"/>
    <x v="1"/>
    <d v="1899-12-30T00:17:00"/>
    <s v="Partly Sunny"/>
    <x v="0"/>
    <s v="Foraging"/>
    <s v="NA"/>
    <s v="unknown"/>
    <m/>
    <n v="0"/>
    <s v="Unknown"/>
    <s v="Unknown"/>
    <s v="NA"/>
    <s v="NA"/>
    <s v="NA"/>
    <s v="NA"/>
    <s v="NA"/>
    <m/>
    <m/>
    <s v="NA"/>
    <s v="NA"/>
    <m/>
    <m/>
    <m/>
    <m/>
    <n v="0"/>
    <n v="0"/>
    <n v="0"/>
    <n v="0"/>
    <n v="3"/>
    <n v="0"/>
    <n v="3"/>
    <m/>
    <m/>
    <m/>
    <m/>
  </r>
  <r>
    <s v="DSCN1345"/>
    <s v="WW1005_5"/>
    <n v="5"/>
    <n v="1"/>
    <s v="WAC West"/>
    <d v="2018-10-05T00:00:00"/>
    <s v="October"/>
    <x v="1"/>
    <d v="1899-12-30T00:19:00"/>
    <s v="Partly Sunny"/>
    <x v="0"/>
    <s v="Caching"/>
    <s v="Spruce"/>
    <n v="1"/>
    <m/>
    <n v="1"/>
    <s v="Unknown"/>
    <s v="Unknown"/>
    <s v="Ground"/>
    <s v="Spruce trunk"/>
    <s v="Spruce"/>
    <s v="Trunk"/>
    <s v="Under bark"/>
    <m/>
    <m/>
    <s v="unknown"/>
    <n v="63.738579999999999"/>
    <n v="148.90271000000001"/>
    <m/>
    <m/>
    <m/>
    <n v="0"/>
    <n v="0"/>
    <n v="0"/>
    <n v="0"/>
    <n v="0"/>
    <n v="0"/>
    <n v="0"/>
    <m/>
    <s v="Both suspected B&amp;Ut unconfirmed cahces"/>
    <m/>
    <m/>
  </r>
  <r>
    <s v="DSCN1345"/>
    <s v="WW1005_5"/>
    <n v="5"/>
    <n v="2"/>
    <s v="WAC West"/>
    <d v="2018-10-05T00:00:00"/>
    <s v="October"/>
    <x v="1"/>
    <d v="1899-12-30T00:19:00"/>
    <s v="Partly Sunny"/>
    <x v="0"/>
    <s v="Caching"/>
    <s v="Spruce"/>
    <n v="0"/>
    <m/>
    <n v="1"/>
    <s v="Unknown"/>
    <s v="Unknown"/>
    <s v="Ground"/>
    <s v="Exterior spruce foliage"/>
    <s v="Spruce"/>
    <s v="Exterior"/>
    <s v="Foliage"/>
    <m/>
    <m/>
    <s v="unknown"/>
    <n v="63.738619999999997"/>
    <n v="148.90286"/>
    <m/>
    <m/>
    <m/>
    <n v="0"/>
    <n v="0"/>
    <n v="0"/>
    <n v="0"/>
    <n v="0"/>
    <n v="0"/>
    <n v="0"/>
    <m/>
    <s v="Both suspected B&amp;Ut unconfirmed cahces"/>
    <m/>
    <m/>
  </r>
  <r>
    <s v="DSCN1346"/>
    <s v="WW1005_6"/>
    <n v="6"/>
    <n v="1"/>
    <s v="WAC West"/>
    <d v="2018-10-05T00:00:00"/>
    <s v="October"/>
    <x v="1"/>
    <d v="1899-12-30T00:05:00"/>
    <s v="Partly Sunny"/>
    <x v="0"/>
    <s v="Caching/foraging"/>
    <s v="Spruce"/>
    <n v="0"/>
    <m/>
    <n v="1"/>
    <s v="Unknown"/>
    <s v="Unknown"/>
    <s v="unknown"/>
    <s v="Exterior bare spruce branch"/>
    <s v="Spruce"/>
    <s v="Exterior"/>
    <s v="Branch"/>
    <m/>
    <m/>
    <s v="unknown"/>
    <n v="63.738590000000002"/>
    <n v="148.90305000000001"/>
    <m/>
    <m/>
    <m/>
    <n v="0"/>
    <n v="0"/>
    <n v="0"/>
    <n v="0"/>
    <n v="2"/>
    <n v="0"/>
    <n v="2"/>
    <m/>
    <s v="Confirmed naked eye cache by KS"/>
    <m/>
    <m/>
  </r>
  <r>
    <s v="DSCN1348"/>
    <s v="WW1005_7"/>
    <n v="7"/>
    <n v="1"/>
    <s v="WAC West"/>
    <d v="2018-10-05T00:00:00"/>
    <s v="October"/>
    <x v="1"/>
    <d v="1899-12-30T00:32:00"/>
    <s v="Partly Sunny"/>
    <x v="0"/>
    <s v="Foraging"/>
    <s v="NA"/>
    <n v="1"/>
    <m/>
    <n v="0"/>
    <s v="Unknown"/>
    <s v="Unknown. Something attached to a plant (berry? B&amp;Ug?)"/>
    <s v="Ground"/>
    <s v="NA"/>
    <s v="NA"/>
    <s v="NA"/>
    <s v="NA"/>
    <m/>
    <m/>
    <s v="NA"/>
    <s v="NA"/>
    <m/>
    <m/>
    <m/>
    <m/>
    <n v="0"/>
    <n v="0"/>
    <n v="0"/>
    <n v="0"/>
    <n v="28"/>
    <n v="0"/>
    <n v="28"/>
    <m/>
    <m/>
    <m/>
    <m/>
  </r>
  <r>
    <s v="DSCN1810"/>
    <s v="WW1016_1"/>
    <n v="1"/>
    <n v="1"/>
    <s v="WAC West"/>
    <d v="2018-10-16T00:00:00"/>
    <s v="October"/>
    <x v="1"/>
    <d v="1899-12-30T00:35:00"/>
    <s v="Overcast"/>
    <x v="0"/>
    <s v="Foraging/caching"/>
    <s v="Spruce"/>
    <s v="unknown"/>
    <m/>
    <n v="1"/>
    <s v="Unknown"/>
    <s v="Unknown"/>
    <s v="unknown"/>
    <s v="Interior bare spruce branch under bark"/>
    <s v="Spruce"/>
    <s v="Interior"/>
    <s v="Under bark"/>
    <m/>
    <m/>
    <s v="unknown"/>
    <n v="63.738300000000002"/>
    <n v="148.90355"/>
    <m/>
    <m/>
    <m/>
    <n v="26"/>
    <n v="0"/>
    <n v="26"/>
    <n v="0"/>
    <n v="0"/>
    <n v="0"/>
    <n v="26"/>
    <s v="Probing"/>
    <m/>
    <n v="3"/>
    <n v="0"/>
  </r>
  <r>
    <s v="DSCN1811"/>
    <s v="WW1016_2"/>
    <n v="2"/>
    <n v="1"/>
    <s v="WAC West"/>
    <d v="2018-10-16T00:00:00"/>
    <s v="October"/>
    <x v="1"/>
    <d v="1899-12-30T00:21:00"/>
    <s v="Overcast"/>
    <x v="0"/>
    <s v="Foraging"/>
    <s v="Spruce"/>
    <n v="1"/>
    <m/>
    <n v="0"/>
    <s v="Unknown"/>
    <s v="Unkown (maybe spruce seed)"/>
    <s v="Spruce cone"/>
    <s v="NA"/>
    <s v="NA"/>
    <s v="NA"/>
    <s v="NA"/>
    <m/>
    <m/>
    <s v="NA"/>
    <s v="NA"/>
    <m/>
    <m/>
    <m/>
    <m/>
    <n v="0"/>
    <n v="10"/>
    <n v="0"/>
    <n v="10"/>
    <n v="0"/>
    <n v="0"/>
    <n v="10"/>
    <m/>
    <m/>
    <m/>
    <m/>
  </r>
  <r>
    <s v="DSCN1812"/>
    <s v="WW1016_3"/>
    <n v="3"/>
    <n v="1"/>
    <s v="WAC West"/>
    <d v="2018-10-16T00:00:00"/>
    <s v="October"/>
    <x v="1"/>
    <d v="1899-12-30T01:10:00"/>
    <s v="Overcast"/>
    <x v="0"/>
    <s v="Foraging/caching"/>
    <s v="Spruce"/>
    <n v="1"/>
    <m/>
    <n v="1"/>
    <s v="Unknown"/>
    <s v="Unknown"/>
    <s v="Top of sappling from foliage"/>
    <s v="Interior spruce foliage "/>
    <s v="Spruce"/>
    <s v="Interior"/>
    <s v="Foliage"/>
    <m/>
    <m/>
    <n v="7"/>
    <n v="63.738460000000003"/>
    <n v="148.90312"/>
    <m/>
    <m/>
    <m/>
    <n v="0"/>
    <n v="0"/>
    <n v="0"/>
    <n v="0"/>
    <n v="7"/>
    <n v="0"/>
    <n v="7"/>
    <m/>
    <s v="Get plucked food from tree, no foraging time.  "/>
    <m/>
    <m/>
  </r>
  <r>
    <s v="DSCN1812"/>
    <s v="WW1016_3"/>
    <n v="3"/>
    <n v="2"/>
    <s v="WAC West"/>
    <d v="2018-10-16T00:00:00"/>
    <s v="October"/>
    <x v="1"/>
    <d v="1899-12-30T01:10:00"/>
    <s v="Overcast"/>
    <x v="0"/>
    <s v="Foraging"/>
    <s v="Spruce"/>
    <n v="1"/>
    <m/>
    <n v="0"/>
    <s v="Berry"/>
    <s v="Berry"/>
    <s v="Ground"/>
    <s v="NA"/>
    <s v="NA"/>
    <s v="NA"/>
    <s v="NA"/>
    <m/>
    <m/>
    <s v="NA"/>
    <s v="NA"/>
    <m/>
    <m/>
    <m/>
    <m/>
    <n v="0"/>
    <n v="0"/>
    <n v="0"/>
    <n v="0"/>
    <n v="0"/>
    <n v="0"/>
    <n v="0"/>
    <m/>
    <s v="Get plucked food from tree, no foraging time.  "/>
    <m/>
    <m/>
  </r>
  <r>
    <s v="DSCN1823"/>
    <s v="WW1016_4"/>
    <n v="4"/>
    <n v="1"/>
    <s v="WAC West"/>
    <d v="2018-10-16T00:00:00"/>
    <s v="October"/>
    <x v="1"/>
    <d v="1899-12-30T00:34:00"/>
    <s v="Overcast"/>
    <x v="0"/>
    <s v="Foraging"/>
    <s v="NA"/>
    <n v="1"/>
    <m/>
    <n v="0"/>
    <s v="Unknown"/>
    <s v="Unknown"/>
    <s v="Interior spruce foliage"/>
    <s v="NA"/>
    <s v="NA"/>
    <s v="NA"/>
    <s v="NA"/>
    <m/>
    <m/>
    <s v="NA"/>
    <s v="NA"/>
    <m/>
    <m/>
    <m/>
    <m/>
    <n v="0"/>
    <n v="0"/>
    <n v="0"/>
    <n v="0"/>
    <n v="0"/>
    <n v="0"/>
    <n v="0"/>
    <m/>
    <s v="Some kind of orange stringy thing.  Missed acquisition on camera B&amp;Ut witnessed in person. "/>
    <m/>
    <m/>
  </r>
  <r>
    <s v="DSCN1824"/>
    <s v="WW1016_5"/>
    <n v="5"/>
    <n v="1"/>
    <s v="WAC West"/>
    <d v="2018-10-16T00:00:00"/>
    <s v="October"/>
    <x v="1"/>
    <d v="1899-12-30T00:17:00"/>
    <s v="Overcast"/>
    <x v="0"/>
    <s v="Caching"/>
    <s v="Spruce"/>
    <n v="0"/>
    <m/>
    <n v="1"/>
    <s v="Unknown"/>
    <s v="Unknown"/>
    <s v="unknown"/>
    <s v="Spruce trunk"/>
    <s v="Spruce"/>
    <s v="Trunk"/>
    <s v="Under bark"/>
    <m/>
    <m/>
    <s v="unknown"/>
    <n v="63.739269999999998"/>
    <n v="148.98978"/>
    <m/>
    <m/>
    <m/>
    <n v="0"/>
    <n v="0"/>
    <n v="0"/>
    <n v="0"/>
    <n v="0"/>
    <n v="0"/>
    <n v="0"/>
    <m/>
    <m/>
    <m/>
    <m/>
  </r>
  <r>
    <s v="DSCN2083"/>
    <s v="WW1024_1"/>
    <n v="1"/>
    <n v="1"/>
    <s v="WAC West"/>
    <d v="2018-10-24T00:00:00"/>
    <s v="October"/>
    <x v="1"/>
    <d v="1899-12-30T00:25:00"/>
    <m/>
    <x v="0"/>
    <s v="Foraging"/>
    <s v="Spruce"/>
    <n v="1"/>
    <m/>
    <n v="0"/>
    <s v="Unknown"/>
    <s v="Unknown"/>
    <s v="Interior spruce near trunk behind foliage"/>
    <s v="NA"/>
    <s v="NA"/>
    <s v="NA"/>
    <s v="NA"/>
    <m/>
    <m/>
    <s v="NA"/>
    <s v="NA"/>
    <m/>
    <m/>
    <m/>
    <m/>
    <n v="7"/>
    <n v="0"/>
    <n v="7"/>
    <n v="0"/>
    <n v="0"/>
    <n v="0"/>
    <n v="7"/>
    <s v="Searching"/>
    <m/>
    <m/>
    <m/>
  </r>
  <r>
    <s v="DSCN2084"/>
    <s v="WW1024_2"/>
    <n v="2"/>
    <n v="1"/>
    <s v="WAC West"/>
    <d v="2018-10-24T00:00:00"/>
    <s v="October"/>
    <x v="1"/>
    <d v="1899-12-30T00:10:00"/>
    <m/>
    <x v="0"/>
    <s v="Foraging"/>
    <s v="Spruce"/>
    <n v="0"/>
    <m/>
    <n v="0"/>
    <m/>
    <s v="NA"/>
    <s v="NA"/>
    <s v="NA"/>
    <s v="NA"/>
    <s v="NA"/>
    <s v="NA"/>
    <m/>
    <m/>
    <s v="NA"/>
    <s v="NA"/>
    <m/>
    <m/>
    <m/>
    <m/>
    <n v="0"/>
    <n v="8"/>
    <n v="0"/>
    <n v="8"/>
    <n v="0"/>
    <n v="0"/>
    <n v="8"/>
    <s v="Searching"/>
    <m/>
    <m/>
    <m/>
  </r>
  <r>
    <s v="DSCN2090"/>
    <s v="WW1024_3"/>
    <n v="3"/>
    <n v="1"/>
    <s v="WAC West"/>
    <d v="2018-10-24T00:00:00"/>
    <s v="October"/>
    <x v="1"/>
    <d v="1899-12-30T00:16:00"/>
    <m/>
    <x v="0"/>
    <s v="Foraging (Cache recovery)"/>
    <s v="Spruce"/>
    <n v="1"/>
    <m/>
    <n v="0"/>
    <s v="Berry"/>
    <s v="Berry (Blueberry)"/>
    <s v="interior spruce foliage "/>
    <s v="NA"/>
    <s v="NA"/>
    <s v="NA"/>
    <s v="NA"/>
    <m/>
    <m/>
    <s v="NA"/>
    <s v="NA"/>
    <m/>
    <m/>
    <m/>
    <m/>
    <n v="0"/>
    <n v="0"/>
    <n v="0"/>
    <n v="0"/>
    <n v="0"/>
    <n v="0"/>
    <n v="0"/>
    <m/>
    <s v="Video start after bird finished foraging. "/>
    <m/>
    <m/>
  </r>
  <r>
    <s v="DSCN2091"/>
    <s v="WW1024_4"/>
    <n v="4"/>
    <n v="1"/>
    <s v="WAC West"/>
    <d v="2018-10-24T00:00:00"/>
    <s v="October"/>
    <x v="1"/>
    <d v="1899-12-30T00:30:00"/>
    <m/>
    <x v="0"/>
    <s v="Foraging"/>
    <s v="Spruce"/>
    <s v="1 possible"/>
    <m/>
    <n v="0"/>
    <s v="Unknown"/>
    <s v="Unknown"/>
    <s v="Exterior dense foliage of spruce"/>
    <s v="NA"/>
    <s v="NA"/>
    <s v="NA"/>
    <s v="NA"/>
    <m/>
    <m/>
    <s v="NA"/>
    <s v="NA"/>
    <m/>
    <m/>
    <m/>
    <m/>
    <n v="11"/>
    <n v="9"/>
    <n v="11"/>
    <n v="9"/>
    <n v="0"/>
    <n v="0"/>
    <n v="20"/>
    <m/>
    <s v="Didn't see forage B&amp;Ut saw bird smacking.  "/>
    <m/>
    <m/>
  </r>
  <r>
    <s v="DSCN2092"/>
    <s v="WW1024_5"/>
    <n v="5"/>
    <n v="1"/>
    <s v="WAC West"/>
    <d v="2018-10-24T00:00:00"/>
    <s v="October"/>
    <x v="1"/>
    <d v="1899-12-30T00:10:00"/>
    <m/>
    <x v="0"/>
    <s v="Foraging (Cache recovery)"/>
    <s v="Spruce"/>
    <n v="1"/>
    <m/>
    <n v="0"/>
    <s v="Berry"/>
    <s v="Berry (Blueberry)"/>
    <s v="Spruce trunk under bark"/>
    <s v="NA"/>
    <s v="NA"/>
    <s v="NA"/>
    <s v="NA"/>
    <m/>
    <m/>
    <s v="NA"/>
    <s v="NA"/>
    <m/>
    <m/>
    <m/>
    <m/>
    <n v="6"/>
    <n v="2"/>
    <n v="6"/>
    <n v="2"/>
    <n v="0"/>
    <n v="0"/>
    <n v="8"/>
    <m/>
    <m/>
    <m/>
    <m/>
  </r>
  <r>
    <s v="DSCN2096"/>
    <s v="WW1024_6"/>
    <n v="6"/>
    <n v="1"/>
    <s v="WAC West"/>
    <d v="2018-10-24T00:00:00"/>
    <s v="October"/>
    <x v="1"/>
    <d v="1899-12-30T00:56:00"/>
    <m/>
    <x v="0"/>
    <s v="Foraging"/>
    <s v="Spruce"/>
    <n v="1"/>
    <m/>
    <n v="0"/>
    <s v="Unknown"/>
    <s v="Unknown"/>
    <s v="Spruce trunk of sapplng"/>
    <s v="NA"/>
    <s v="NA"/>
    <s v="NA"/>
    <s v="NA"/>
    <m/>
    <m/>
    <s v="NA"/>
    <s v="NA"/>
    <m/>
    <m/>
    <m/>
    <m/>
    <n v="0"/>
    <n v="0"/>
    <n v="0"/>
    <n v="0"/>
    <n v="28"/>
    <n v="0"/>
    <n v="28"/>
    <m/>
    <m/>
    <m/>
    <m/>
  </r>
  <r>
    <s v="DSCN2096"/>
    <s v="WW1024_6"/>
    <n v="6"/>
    <n v="2"/>
    <s v="WAC West"/>
    <d v="2018-10-24T00:00:00"/>
    <s v="October"/>
    <x v="1"/>
    <d v="1899-12-30T00:56:00"/>
    <m/>
    <x v="0"/>
    <s v="Foraging"/>
    <s v="Spruce"/>
    <n v="1"/>
    <m/>
    <n v="0"/>
    <s v="Unknown"/>
    <s v="Unknown"/>
    <s v="Ground"/>
    <s v="NA"/>
    <s v="NA"/>
    <s v="NA"/>
    <s v="NA"/>
    <m/>
    <m/>
    <s v="NA"/>
    <s v="NA"/>
    <m/>
    <m/>
    <m/>
    <m/>
    <n v="0"/>
    <n v="0"/>
    <n v="0"/>
    <n v="0"/>
    <n v="0"/>
    <n v="0"/>
    <n v="0"/>
    <m/>
    <m/>
    <m/>
    <m/>
  </r>
  <r>
    <s v="DSCN2097"/>
    <s v="WW1024_7"/>
    <n v="7"/>
    <n v="1"/>
    <s v="WAC West"/>
    <d v="2018-10-24T00:00:00"/>
    <s v="October"/>
    <x v="1"/>
    <d v="1899-12-30T00:33:00"/>
    <m/>
    <x v="0"/>
    <s v="Foraging"/>
    <s v="Spruce"/>
    <n v="0"/>
    <m/>
    <n v="0"/>
    <m/>
    <s v="NA"/>
    <s v="NA"/>
    <s v="NA"/>
    <s v="NA"/>
    <s v="NA"/>
    <s v="NA"/>
    <m/>
    <m/>
    <s v="NA"/>
    <s v="NA"/>
    <m/>
    <m/>
    <m/>
    <m/>
    <n v="0"/>
    <n v="33"/>
    <n v="0"/>
    <n v="33"/>
    <n v="0"/>
    <n v="0"/>
    <n v="33"/>
    <s v="Searching"/>
    <m/>
    <m/>
    <m/>
  </r>
  <r>
    <s v="DSCN1533"/>
    <s v="MC1012_1"/>
    <n v="1"/>
    <n v="1"/>
    <s v="Mercantile"/>
    <d v="2018-10-12T00:00:00"/>
    <s v="October"/>
    <x v="1"/>
    <d v="1899-12-30T00:17:00"/>
    <s v="Overcast"/>
    <x v="2"/>
    <s v="Caching"/>
    <s v="Spruce"/>
    <n v="0"/>
    <m/>
    <n v="1"/>
    <s v="Unknown"/>
    <s v="Unknown"/>
    <s v="unknown"/>
    <s v="Spruce trunk under bark"/>
    <s v="Spruce"/>
    <s v="Trunk"/>
    <s v="Under bark"/>
    <m/>
    <m/>
    <s v="unknown"/>
    <n v="63.733600000000003"/>
    <n v="148.89886000000001"/>
    <m/>
    <m/>
    <m/>
    <n v="0"/>
    <n v="0"/>
    <n v="0"/>
    <n v="0"/>
    <n v="0"/>
    <n v="0"/>
    <n v="0"/>
    <m/>
    <m/>
    <m/>
    <m/>
  </r>
  <r>
    <s v="DSCN1535"/>
    <s v="MC1012_2"/>
    <n v="2"/>
    <n v="1"/>
    <s v="Mercantile"/>
    <d v="2018-10-12T00:00:00"/>
    <s v="October"/>
    <x v="1"/>
    <d v="1899-12-30T00:17:00"/>
    <s v="Overcast"/>
    <x v="2"/>
    <s v="Foraging"/>
    <s v="NA"/>
    <n v="1"/>
    <m/>
    <n v="0"/>
    <s v="Berry"/>
    <s v="Berry (Blueberry)"/>
    <s v="Ground"/>
    <s v="NA"/>
    <s v="NA"/>
    <s v="NA"/>
    <s v="NA"/>
    <m/>
    <m/>
    <s v="NA"/>
    <s v="NA"/>
    <m/>
    <m/>
    <m/>
    <m/>
    <n v="0"/>
    <n v="0"/>
    <n v="0"/>
    <n v="0"/>
    <n v="13"/>
    <n v="0"/>
    <n v="13"/>
    <m/>
    <m/>
    <m/>
    <m/>
  </r>
  <r>
    <s v="DSCN1536"/>
    <s v="MC1012_3"/>
    <n v="3"/>
    <n v="1"/>
    <s v="Mercantile"/>
    <d v="2018-10-12T00:00:00"/>
    <s v="October"/>
    <x v="1"/>
    <d v="1899-12-30T00:40:00"/>
    <s v="Overcast"/>
    <x v="2"/>
    <s v="Caching"/>
    <s v="Spruce"/>
    <n v="0"/>
    <m/>
    <n v="2"/>
    <s v="Berry"/>
    <s v="Berry (Blueberry)"/>
    <s v="Ground"/>
    <s v="Interior spruce foliage"/>
    <s v="Spruce"/>
    <s v="Interior"/>
    <s v="Foliage"/>
    <m/>
    <m/>
    <n v="4"/>
    <n v="63.732779999999998"/>
    <n v="148.89912000000001"/>
    <m/>
    <m/>
    <m/>
    <n v="0"/>
    <n v="0"/>
    <n v="0"/>
    <n v="0"/>
    <n v="0"/>
    <n v="0"/>
    <n v="0"/>
    <m/>
    <m/>
    <m/>
    <m/>
  </r>
  <r>
    <s v="DSCN1536"/>
    <s v="MC1012_3"/>
    <n v="3"/>
    <n v="2"/>
    <s v="Mercantile"/>
    <d v="2018-10-12T00:00:00"/>
    <s v="October"/>
    <x v="1"/>
    <d v="1899-12-30T00:40:00"/>
    <s v="Overcast"/>
    <x v="2"/>
    <s v="Caching"/>
    <s v="Spruce"/>
    <n v="0"/>
    <m/>
    <n v="1"/>
    <s v="Berry"/>
    <s v="Berry (Blueberry)"/>
    <s v="Ground"/>
    <s v="Exterior spruce foliage at tippy top of tree"/>
    <s v="Spruce"/>
    <s v="Exterior"/>
    <s v="Foliage"/>
    <m/>
    <m/>
    <n v="11"/>
    <n v="63.732810000000001"/>
    <n v="148.89922999999999"/>
    <m/>
    <m/>
    <m/>
    <n v="0"/>
    <n v="0"/>
    <n v="0"/>
    <n v="0"/>
    <n v="0"/>
    <n v="0"/>
    <n v="0"/>
    <m/>
    <m/>
    <m/>
    <m/>
  </r>
  <r>
    <s v="DSCN1537"/>
    <s v="MC1012_4"/>
    <n v="4"/>
    <n v="1"/>
    <s v="Mercantile"/>
    <d v="2018-10-12T00:00:00"/>
    <s v="October"/>
    <x v="1"/>
    <d v="1899-12-30T00:33:00"/>
    <s v="Overcast"/>
    <x v="2"/>
    <s v="Caching"/>
    <s v="Aspen and spruce"/>
    <n v="0"/>
    <m/>
    <n v="1"/>
    <s v="Berry"/>
    <s v="Berry (Blueberry)"/>
    <s v="Ground"/>
    <s v="Exterior aspen branch"/>
    <s v="Aspen"/>
    <s v="Exterior"/>
    <s v="On bark"/>
    <m/>
    <m/>
    <n v="35"/>
    <n v="63.73254"/>
    <n v="148.89954"/>
    <m/>
    <m/>
    <m/>
    <n v="0"/>
    <n v="0"/>
    <n v="0"/>
    <n v="0"/>
    <n v="0"/>
    <n v="0"/>
    <n v="0"/>
    <m/>
    <m/>
    <m/>
    <m/>
  </r>
  <r>
    <s v="DSCN1537"/>
    <s v="MC1012_4"/>
    <n v="4"/>
    <n v="2"/>
    <s v="Mercantile"/>
    <d v="2018-10-12T00:00:00"/>
    <s v="October"/>
    <x v="1"/>
    <d v="1899-12-30T00:33:00"/>
    <s v="Overcast"/>
    <x v="2"/>
    <s v="Caching"/>
    <s v="Aspen and spruce"/>
    <n v="0"/>
    <m/>
    <n v="1"/>
    <s v="Berry"/>
    <s v="Berry (Blueberry)"/>
    <s v="Ground"/>
    <s v="Exterior spruce branch under witch hair"/>
    <s v="Spruce"/>
    <s v="Exterior"/>
    <s v="Branch under witch hair"/>
    <m/>
    <m/>
    <n v="45"/>
    <n v="63.73245"/>
    <n v="148.89957000000001"/>
    <m/>
    <m/>
    <m/>
    <n v="0"/>
    <n v="0"/>
    <n v="0"/>
    <n v="0"/>
    <n v="0"/>
    <n v="0"/>
    <n v="0"/>
    <m/>
    <m/>
    <m/>
    <m/>
  </r>
  <r>
    <s v="DSCN1546"/>
    <s v="MC1012_6"/>
    <n v="6"/>
    <n v="1"/>
    <s v="Mercantile"/>
    <d v="2018-10-12T00:00:00"/>
    <s v="October"/>
    <x v="1"/>
    <d v="1899-12-30T00:29:00"/>
    <s v="Overcast"/>
    <x v="2"/>
    <s v="Foraging"/>
    <s v="Aspen"/>
    <n v="0"/>
    <m/>
    <n v="0"/>
    <m/>
    <s v="NA"/>
    <s v="NA"/>
    <s v="NA"/>
    <s v="NA"/>
    <s v="NA"/>
    <s v="NA"/>
    <m/>
    <m/>
    <s v="NA"/>
    <s v="NA"/>
    <m/>
    <m/>
    <m/>
    <m/>
    <n v="7"/>
    <n v="7"/>
    <n v="0"/>
    <n v="14"/>
    <n v="0"/>
    <n v="0"/>
    <n v="14"/>
    <s v="Probing"/>
    <m/>
    <n v="1"/>
    <n v="0"/>
  </r>
  <r>
    <s v="DSCN1555"/>
    <s v="MC1012_9"/>
    <n v="9"/>
    <n v="1"/>
    <s v="Mercantile"/>
    <d v="2018-10-12T00:00:00"/>
    <s v="October"/>
    <x v="1"/>
    <d v="1899-12-30T00:07:00"/>
    <s v="Overcast"/>
    <x v="2"/>
    <s v="Foraging"/>
    <s v="NA"/>
    <n v="1"/>
    <m/>
    <n v="0"/>
    <s v="Berry"/>
    <s v="Berry (Cranberry)"/>
    <s v="Ground"/>
    <s v="NA"/>
    <s v="NA"/>
    <s v="NA"/>
    <s v="NA"/>
    <m/>
    <m/>
    <s v="NA"/>
    <s v="NA"/>
    <m/>
    <m/>
    <m/>
    <m/>
    <n v="0"/>
    <n v="0"/>
    <n v="0"/>
    <n v="0"/>
    <n v="5"/>
    <n v="0"/>
    <n v="5"/>
    <m/>
    <m/>
    <m/>
    <m/>
  </r>
  <r>
    <s v="DSCN1898"/>
    <s v="MC1019_3"/>
    <n v="3"/>
    <n v="1"/>
    <s v="Mercantile"/>
    <d v="2018-10-19T00:00:00"/>
    <s v="October"/>
    <x v="1"/>
    <d v="1899-12-30T00:57:00"/>
    <m/>
    <x v="2"/>
    <s v="Foraging"/>
    <s v="Aspen"/>
    <n v="4"/>
    <m/>
    <n v="0"/>
    <s v="Unknown"/>
    <s v="Unknown"/>
    <s v="bare aspen branch"/>
    <s v="NA"/>
    <s v="NA"/>
    <s v="NA"/>
    <s v="NA"/>
    <m/>
    <m/>
    <s v="NA"/>
    <s v="NA"/>
    <m/>
    <m/>
    <m/>
    <m/>
    <n v="57"/>
    <n v="0"/>
    <n v="0"/>
    <n v="57"/>
    <n v="0"/>
    <n v="0"/>
    <n v="57"/>
    <s v="Searching/gleaning"/>
    <m/>
    <m/>
    <m/>
  </r>
  <r>
    <s v="DSCN1907"/>
    <s v="MC1019_7"/>
    <n v="7"/>
    <n v="1"/>
    <s v="Mercantile"/>
    <d v="2018-10-19T00:00:00"/>
    <s v="October"/>
    <x v="1"/>
    <d v="1899-12-30T00:26:00"/>
    <m/>
    <x v="2"/>
    <s v="Foraging"/>
    <s v="NA"/>
    <n v="1"/>
    <m/>
    <n v="0"/>
    <s v="Human food"/>
    <s v="Human food"/>
    <s v="Picinic table"/>
    <s v="NA"/>
    <s v="NA"/>
    <s v="NA"/>
    <s v="NA"/>
    <m/>
    <m/>
    <s v="NA"/>
    <s v="NA"/>
    <m/>
    <m/>
    <m/>
    <m/>
    <n v="0"/>
    <n v="0"/>
    <n v="0"/>
    <n v="0"/>
    <n v="0"/>
    <n v="22"/>
    <n v="22"/>
    <m/>
    <s v="Campt stove and picinic table"/>
    <m/>
    <m/>
  </r>
  <r>
    <s v="DSCN1913"/>
    <s v="MC1019_8"/>
    <n v="8"/>
    <n v="1"/>
    <s v="Mercantile"/>
    <d v="2018-10-19T00:00:00"/>
    <s v="October"/>
    <x v="1"/>
    <d v="1899-12-30T00:20:00"/>
    <m/>
    <x v="2"/>
    <s v="Foraging"/>
    <s v="Spruce"/>
    <n v="0"/>
    <m/>
    <n v="0"/>
    <m/>
    <s v="NA"/>
    <s v="NA"/>
    <s v="NA"/>
    <s v="NA"/>
    <s v="NA"/>
    <s v="NA"/>
    <m/>
    <m/>
    <s v="NA"/>
    <s v="NA"/>
    <m/>
    <m/>
    <m/>
    <m/>
    <n v="5"/>
    <n v="9"/>
    <n v="5"/>
    <n v="9"/>
    <n v="0"/>
    <n v="0"/>
    <n v="14"/>
    <s v="Searching"/>
    <m/>
    <m/>
    <m/>
  </r>
  <r>
    <s v="DSCN1918"/>
    <s v="MC1019_9"/>
    <n v="9"/>
    <n v="1"/>
    <s v="Mercantile"/>
    <d v="2018-10-19T00:00:00"/>
    <s v="October"/>
    <x v="1"/>
    <d v="1899-12-30T00:54:00"/>
    <m/>
    <x v="2"/>
    <s v="Foraging"/>
    <s v="Aspen and spruce"/>
    <n v="1"/>
    <m/>
    <n v="0"/>
    <s v="Insect"/>
    <s v="Insect"/>
    <s v="Curled up aspen leaf"/>
    <s v="NA"/>
    <s v="NA"/>
    <s v="NA"/>
    <s v="NA"/>
    <m/>
    <m/>
    <s v="NA"/>
    <s v="NA"/>
    <m/>
    <m/>
    <m/>
    <m/>
    <n v="10"/>
    <n v="0"/>
    <n v="0"/>
    <n v="10"/>
    <n v="0"/>
    <n v="0"/>
    <n v="10"/>
    <m/>
    <m/>
    <m/>
    <m/>
  </r>
  <r>
    <s v="DSCN1919"/>
    <s v="MC1019_10"/>
    <n v="10"/>
    <n v="1"/>
    <s v="Mercantile"/>
    <d v="2018-10-19T00:00:00"/>
    <s v="October"/>
    <x v="1"/>
    <d v="1899-12-30T00:19:00"/>
    <m/>
    <x v="2"/>
    <s v="Foraging"/>
    <s v="Aspen and spruce"/>
    <s v="unknown"/>
    <m/>
    <s v="Unknown"/>
    <s v="Unknown"/>
    <s v="Unknown"/>
    <s v="NA"/>
    <s v="NA"/>
    <m/>
    <m/>
    <m/>
    <m/>
    <m/>
    <s v="NA"/>
    <s v="NA"/>
    <m/>
    <m/>
    <m/>
    <m/>
    <n v="19"/>
    <n v="0"/>
    <n v="13"/>
    <n v="6"/>
    <n v="0"/>
    <n v="0"/>
    <n v="19"/>
    <m/>
    <m/>
    <m/>
    <m/>
  </r>
  <r>
    <s v="DSCN1920"/>
    <s v="MC1019_11"/>
    <n v="11"/>
    <n v="1"/>
    <s v="Mercantile"/>
    <d v="2018-10-19T00:00:00"/>
    <s v="October"/>
    <x v="1"/>
    <d v="1899-12-30T00:57:00"/>
    <m/>
    <x v="2"/>
    <s v="Foraging"/>
    <s v="Aspen"/>
    <n v="2"/>
    <m/>
    <n v="0"/>
    <s v="Unknown"/>
    <s v="Unknown"/>
    <s v="Under aspen bark"/>
    <s v="NA"/>
    <s v="NA"/>
    <s v="NA"/>
    <s v="NA"/>
    <m/>
    <m/>
    <s v="NA"/>
    <s v="NA"/>
    <m/>
    <m/>
    <m/>
    <m/>
    <n v="40"/>
    <n v="0"/>
    <n v="36"/>
    <n v="4"/>
    <n v="0"/>
    <n v="0"/>
    <n v="40"/>
    <s v="Probing"/>
    <m/>
    <n v="4"/>
    <n v="0"/>
  </r>
  <r>
    <s v="DSCN1925"/>
    <s v="MC1019_13"/>
    <n v="13"/>
    <n v="1"/>
    <s v="Mercantile"/>
    <d v="2018-10-19T00:00:00"/>
    <s v="October"/>
    <x v="1"/>
    <d v="1899-12-30T00:26:00"/>
    <m/>
    <x v="2"/>
    <s v="Foraging"/>
    <s v="Spruce, Aspen"/>
    <n v="0"/>
    <m/>
    <n v="0"/>
    <m/>
    <s v="NA"/>
    <s v="NA"/>
    <s v="NA"/>
    <s v="NA"/>
    <s v="NA"/>
    <s v="NA"/>
    <m/>
    <m/>
    <s v="NA"/>
    <s v="NA"/>
    <m/>
    <m/>
    <m/>
    <m/>
    <n v="5"/>
    <n v="13"/>
    <n v="0"/>
    <n v="18"/>
    <n v="0"/>
    <n v="0"/>
    <n v="18"/>
    <s v="Searching "/>
    <m/>
    <m/>
    <m/>
  </r>
  <r>
    <s v="DSCN1926"/>
    <s v="MC1019_14"/>
    <n v="14"/>
    <n v="1"/>
    <s v="Mercantile"/>
    <d v="2018-10-19T00:00:00"/>
    <s v="October"/>
    <x v="1"/>
    <d v="1899-12-30T00:33:00"/>
    <m/>
    <x v="2"/>
    <s v="Foraging"/>
    <s v="Aspen"/>
    <n v="0"/>
    <m/>
    <n v="0"/>
    <m/>
    <s v="NA"/>
    <s v="NA"/>
    <s v="NA"/>
    <s v="NA"/>
    <s v="NA"/>
    <s v="NA"/>
    <m/>
    <m/>
    <s v="NA"/>
    <s v="NA"/>
    <m/>
    <m/>
    <m/>
    <m/>
    <n v="29"/>
    <n v="0"/>
    <n v="0"/>
    <n v="29"/>
    <n v="0"/>
    <n v="0"/>
    <n v="29"/>
    <s v="Searching"/>
    <m/>
    <m/>
    <m/>
  </r>
  <r>
    <s v="DSCN1928"/>
    <s v="MC1019_15"/>
    <n v="15"/>
    <n v="1"/>
    <s v="Mercantile"/>
    <d v="2018-10-19T00:00:00"/>
    <s v="October"/>
    <x v="1"/>
    <d v="1899-12-30T00:42:00"/>
    <m/>
    <x v="2"/>
    <s v="Foraging"/>
    <s v="Spruce"/>
    <n v="1"/>
    <m/>
    <n v="0"/>
    <s v="Unknown"/>
    <s v="Unknown"/>
    <s v="bare aspen branch"/>
    <s v="NA"/>
    <s v="NA"/>
    <s v="NA"/>
    <s v="NA"/>
    <m/>
    <m/>
    <s v="NA"/>
    <s v="NA"/>
    <m/>
    <m/>
    <m/>
    <m/>
    <n v="0"/>
    <n v="20"/>
    <n v="0"/>
    <n v="20"/>
    <n v="0"/>
    <n v="0"/>
    <n v="20"/>
    <s v="Searching"/>
    <m/>
    <m/>
    <m/>
  </r>
  <r>
    <s v="DSCN1930"/>
    <s v="MC1019_16"/>
    <n v="16"/>
    <n v="1"/>
    <s v="Mercantile"/>
    <d v="2018-10-19T00:00:00"/>
    <s v="October"/>
    <x v="1"/>
    <d v="1899-12-30T00:10:00"/>
    <m/>
    <x v="2"/>
    <s v="Foraging"/>
    <s v="NA"/>
    <n v="1"/>
    <m/>
    <n v="0"/>
    <s v="Unknown"/>
    <s v="Unknown"/>
    <s v="Ground"/>
    <s v="NA"/>
    <s v="NA"/>
    <s v="NA"/>
    <s v="NA"/>
    <m/>
    <m/>
    <s v="NA"/>
    <s v="NA"/>
    <m/>
    <m/>
    <m/>
    <m/>
    <n v="0"/>
    <n v="0"/>
    <n v="0"/>
    <n v="0"/>
    <n v="0"/>
    <n v="0"/>
    <n v="0"/>
    <m/>
    <s v="Starting filimg after it pcked it up "/>
    <m/>
    <m/>
  </r>
  <r>
    <s v="DSCN1931"/>
    <s v="MC1019_17"/>
    <n v="17"/>
    <n v="1"/>
    <s v="Mercantile"/>
    <d v="2018-10-19T00:00:00"/>
    <s v="October"/>
    <x v="1"/>
    <d v="1899-12-30T00:25:00"/>
    <m/>
    <x v="2"/>
    <s v="Foraging or caching"/>
    <s v="Spruce"/>
    <s v="unknown"/>
    <m/>
    <s v="Unknown"/>
    <s v="Unknown"/>
    <s v="Unknown"/>
    <s v="NA"/>
    <s v="NA"/>
    <m/>
    <m/>
    <m/>
    <m/>
    <m/>
    <s v="NA"/>
    <s v="NA"/>
    <m/>
    <m/>
    <m/>
    <m/>
    <n v="15"/>
    <n v="0"/>
    <n v="10"/>
    <n v="5"/>
    <n v="0"/>
    <n v="0"/>
    <n v="15"/>
    <s v="Searching"/>
    <s v="Was wither foraging or caching.  Provided foraging time just in case. "/>
    <m/>
    <m/>
  </r>
  <r>
    <s v="DSCN1932"/>
    <s v="MC1019_18"/>
    <n v="18"/>
    <n v="1"/>
    <s v="Mercantile"/>
    <d v="2018-10-19T00:00:00"/>
    <s v="October"/>
    <x v="1"/>
    <d v="1899-12-30T00:10:00"/>
    <m/>
    <x v="2"/>
    <s v="Foraging or caching"/>
    <s v="Spruce"/>
    <s v="unknown"/>
    <m/>
    <s v="Unknown"/>
    <s v="Unknown"/>
    <s v="Unknown"/>
    <s v="NA"/>
    <s v="NA"/>
    <m/>
    <m/>
    <m/>
    <m/>
    <m/>
    <s v="NA"/>
    <s v="NA"/>
    <m/>
    <m/>
    <m/>
    <m/>
    <n v="10"/>
    <n v="0"/>
    <n v="10"/>
    <n v="0"/>
    <n v="0"/>
    <n v="0"/>
    <n v="10"/>
    <m/>
    <m/>
    <m/>
    <m/>
  </r>
  <r>
    <s v="DSCN1934"/>
    <s v="MC1019_19"/>
    <n v="19"/>
    <n v="1"/>
    <s v="Mercantile"/>
    <d v="2018-10-19T00:00:00"/>
    <s v="October"/>
    <x v="1"/>
    <d v="1899-12-30T00:16:00"/>
    <m/>
    <x v="2"/>
    <s v="Caching"/>
    <s v="Spruce"/>
    <n v="0"/>
    <m/>
    <n v="1"/>
    <s v="Unknown"/>
    <s v="Unknown"/>
    <s v="unknown"/>
    <s v="Exterior spruce tree in mistletoe"/>
    <s v="Spruce"/>
    <s v="Exterior"/>
    <s v="Under bark"/>
    <m/>
    <m/>
    <s v="unknown"/>
    <n v="63.735639999999997"/>
    <n v="148.89315999999999"/>
    <m/>
    <m/>
    <m/>
    <n v="0"/>
    <n v="0"/>
    <n v="0"/>
    <n v="0"/>
    <n v="0"/>
    <n v="0"/>
    <n v="0"/>
    <m/>
    <m/>
    <m/>
    <m/>
  </r>
  <r>
    <s v="DSCN1937"/>
    <s v="MC1019_21"/>
    <n v="21"/>
    <n v="1"/>
    <s v="Mercantile"/>
    <d v="2018-10-19T00:00:00"/>
    <s v="October"/>
    <x v="1"/>
    <d v="1899-12-30T00:54:00"/>
    <m/>
    <x v="2"/>
    <s v="Foraging"/>
    <s v="Spruce"/>
    <n v="0"/>
    <m/>
    <n v="0"/>
    <m/>
    <s v="NA"/>
    <s v="NA"/>
    <s v="NA"/>
    <s v="NA"/>
    <s v="NA"/>
    <s v="NA"/>
    <m/>
    <m/>
    <s v="NA"/>
    <s v="NA"/>
    <m/>
    <m/>
    <m/>
    <m/>
    <n v="7"/>
    <n v="0"/>
    <n v="7"/>
    <n v="0"/>
    <n v="0"/>
    <n v="0"/>
    <n v="7"/>
    <s v="Probing"/>
    <s v="Had a leaf at the start of the video B&amp;Ut no telling if there was food in it or not"/>
    <n v="3"/>
    <n v="0"/>
  </r>
  <r>
    <s v="DSCN1939"/>
    <s v="MC1019_23"/>
    <n v="23"/>
    <n v="1"/>
    <s v="Mercantile"/>
    <d v="2018-10-19T00:00:00"/>
    <s v="October"/>
    <x v="1"/>
    <d v="1899-12-30T00:13:00"/>
    <m/>
    <x v="2"/>
    <s v="Foraging"/>
    <s v="Spruce"/>
    <n v="0"/>
    <m/>
    <n v="0"/>
    <m/>
    <s v="NA"/>
    <s v="NA"/>
    <s v="NA"/>
    <s v="NA"/>
    <s v="NA"/>
    <s v="NA"/>
    <m/>
    <m/>
    <s v="NA"/>
    <s v="NA"/>
    <m/>
    <m/>
    <m/>
    <m/>
    <n v="0"/>
    <n v="13"/>
    <n v="0"/>
    <n v="13"/>
    <n v="0"/>
    <n v="0"/>
    <n v="13"/>
    <s v="Searching"/>
    <m/>
    <m/>
    <m/>
  </r>
  <r>
    <s v="DSCN1942"/>
    <s v="MC1019_25"/>
    <n v="25"/>
    <n v="1"/>
    <s v="Mercantile"/>
    <d v="2018-10-19T00:00:00"/>
    <s v="October"/>
    <x v="1"/>
    <d v="1899-12-30T00:16:00"/>
    <m/>
    <x v="2"/>
    <s v="Foraging"/>
    <s v="Aspen"/>
    <n v="0"/>
    <m/>
    <n v="0"/>
    <m/>
    <s v="NA"/>
    <s v="NA"/>
    <s v="NA"/>
    <s v="NA"/>
    <s v="NA"/>
    <s v="NA"/>
    <m/>
    <m/>
    <s v="NA"/>
    <s v="NA"/>
    <m/>
    <m/>
    <m/>
    <m/>
    <n v="13"/>
    <n v="0"/>
    <n v="0"/>
    <n v="13"/>
    <n v="0"/>
    <n v="0"/>
    <n v="13"/>
    <s v="Probing"/>
    <m/>
    <n v="1"/>
    <n v="0"/>
  </r>
  <r>
    <s v="DSCN1944"/>
    <s v="MC1019_26"/>
    <n v="26"/>
    <n v="1"/>
    <s v="Mercantile"/>
    <d v="2018-10-19T00:00:00"/>
    <s v="October"/>
    <x v="1"/>
    <d v="1899-12-30T00:19:00"/>
    <m/>
    <x v="2"/>
    <s v="Foraging"/>
    <s v="Spruce"/>
    <n v="1"/>
    <m/>
    <n v="0"/>
    <s v="Unknown"/>
    <s v="Unknown"/>
    <s v="Spruce trunk)"/>
    <s v="NA"/>
    <s v="NA"/>
    <s v="NA"/>
    <s v="NA"/>
    <m/>
    <m/>
    <s v="NA"/>
    <s v="NA"/>
    <m/>
    <m/>
    <m/>
    <m/>
    <n v="19"/>
    <n v="0"/>
    <n v="19"/>
    <n v="0"/>
    <n v="0"/>
    <n v="0"/>
    <n v="19"/>
    <s v="Gleaning"/>
    <m/>
    <n v="0"/>
    <n v="2"/>
  </r>
  <r>
    <s v="DSCN1944"/>
    <s v="MC1019_26"/>
    <n v="26"/>
    <n v="2"/>
    <s v="Mercantile"/>
    <d v="2018-10-19T00:00:00"/>
    <s v="October"/>
    <x v="1"/>
    <d v="1899-12-30T00:19:00"/>
    <m/>
    <x v="2"/>
    <s v="Foraging"/>
    <s v="Spruce"/>
    <n v="1"/>
    <m/>
    <n v="0"/>
    <s v="Insect"/>
    <s v="Insect (worm or caterpillar)"/>
    <s v="Spruce trunk"/>
    <s v="NA"/>
    <s v="NA"/>
    <s v="NA"/>
    <s v="NA"/>
    <m/>
    <m/>
    <s v="NA"/>
    <s v="NA"/>
    <m/>
    <m/>
    <m/>
    <m/>
    <n v="0"/>
    <n v="0"/>
    <n v="0"/>
    <n v="0"/>
    <n v="0"/>
    <n v="0"/>
    <n v="0"/>
    <s v="Gleaning"/>
    <m/>
    <n v="0"/>
    <n v="2"/>
  </r>
  <r>
    <s v="DSCN1950"/>
    <s v="MC1019_27"/>
    <n v="27"/>
    <n v="1"/>
    <s v="Mercantile"/>
    <d v="2018-10-19T00:00:00"/>
    <s v="October"/>
    <x v="1"/>
    <d v="1899-12-30T00:22:00"/>
    <m/>
    <x v="2"/>
    <s v="Foraging"/>
    <s v="Aspen and spruce"/>
    <s v="unknown"/>
    <m/>
    <n v="0"/>
    <m/>
    <s v="NA"/>
    <s v="NA"/>
    <s v="NA"/>
    <s v="NA"/>
    <s v="NA"/>
    <s v="NA"/>
    <m/>
    <m/>
    <s v="NA"/>
    <s v="NA"/>
    <m/>
    <m/>
    <m/>
    <m/>
    <n v="9"/>
    <n v="2"/>
    <n v="0"/>
    <n v="11"/>
    <n v="0"/>
    <n v="0"/>
    <n v="11"/>
    <s v="Searching"/>
    <m/>
    <m/>
    <m/>
  </r>
  <r>
    <s v="DSCN1954"/>
    <s v="MC1019_28"/>
    <n v="28"/>
    <n v="1"/>
    <s v="Mercantile"/>
    <d v="2018-10-19T00:00:00"/>
    <s v="October"/>
    <x v="1"/>
    <d v="1899-12-30T00:14:00"/>
    <m/>
    <x v="2"/>
    <s v="Foraging"/>
    <s v="NA"/>
    <n v="1"/>
    <m/>
    <n v="0"/>
    <s v="Unknown"/>
    <s v="Unknown"/>
    <s v="Ground"/>
    <s v="NA"/>
    <s v="NA"/>
    <s v="NA"/>
    <s v="NA"/>
    <m/>
    <m/>
    <s v="NA"/>
    <s v="NA"/>
    <m/>
    <m/>
    <m/>
    <m/>
    <n v="0"/>
    <n v="0"/>
    <n v="0"/>
    <n v="0"/>
    <n v="8"/>
    <n v="0"/>
    <n v="8"/>
    <m/>
    <m/>
    <m/>
    <m/>
  </r>
  <r>
    <s v="DSCN2058"/>
    <s v="MC1024_1"/>
    <n v="1"/>
    <n v="1"/>
    <s v="Mercantile"/>
    <d v="2018-10-24T00:00:00"/>
    <s v="October"/>
    <x v="1"/>
    <d v="1899-12-30T00:16:00"/>
    <s v="Overcast"/>
    <x v="2"/>
    <s v="Foraging"/>
    <s v="Spruce"/>
    <n v="1"/>
    <m/>
    <n v="0"/>
    <s v="Unknown"/>
    <s v="Unknown"/>
    <s v="Exterior dense foliage of spruce"/>
    <s v="NA"/>
    <s v="NA"/>
    <s v="NA"/>
    <s v="NA"/>
    <m/>
    <m/>
    <s v="NA"/>
    <s v="NA"/>
    <m/>
    <m/>
    <m/>
    <m/>
    <n v="0"/>
    <n v="6"/>
    <n v="0"/>
    <n v="6"/>
    <n v="0"/>
    <n v="0"/>
    <n v="6"/>
    <s v="Searching"/>
    <m/>
    <m/>
    <m/>
  </r>
  <r>
    <s v="DSCN2059"/>
    <s v="MC1024_2"/>
    <n v="2"/>
    <n v="1"/>
    <s v="Mercantile"/>
    <d v="2018-10-24T00:00:00"/>
    <s v="October"/>
    <x v="1"/>
    <d v="1899-12-30T00:17:00"/>
    <m/>
    <x v="2"/>
    <s v="Caching"/>
    <s v="Spruce"/>
    <n v="0"/>
    <m/>
    <n v="1"/>
    <s v="Unknown"/>
    <s v="Unknown"/>
    <s v="Exterior dense foliage of spruce"/>
    <s v="Exterior spruce foliage"/>
    <s v="Spruce"/>
    <s v="Exterior"/>
    <s v="Foliage"/>
    <m/>
    <m/>
    <n v="5"/>
    <n v="63.736159999999998"/>
    <n v="148.89746"/>
    <m/>
    <m/>
    <m/>
    <n v="0"/>
    <n v="0"/>
    <n v="0"/>
    <n v="0"/>
    <n v="0"/>
    <n v="0"/>
    <n v="0"/>
    <m/>
    <m/>
    <m/>
    <m/>
  </r>
  <r>
    <s v="DSCN2156"/>
    <s v="MC1025_4"/>
    <n v="4"/>
    <n v="1"/>
    <s v="Mercantile"/>
    <d v="2018-10-25T00:00:00"/>
    <s v="October"/>
    <x v="1"/>
    <d v="1899-12-30T00:38:00"/>
    <m/>
    <x v="2"/>
    <s v="Foraging"/>
    <s v="Spruce, Aspen"/>
    <n v="0"/>
    <m/>
    <n v="0"/>
    <m/>
    <s v="NA"/>
    <s v="NA"/>
    <s v="NA"/>
    <s v="NA"/>
    <s v="NA"/>
    <s v="NA"/>
    <m/>
    <m/>
    <s v="NA"/>
    <s v="NA"/>
    <m/>
    <m/>
    <m/>
    <m/>
    <n v="19"/>
    <n v="8"/>
    <n v="8"/>
    <n v="19"/>
    <n v="0"/>
    <n v="0"/>
    <n v="27"/>
    <s v="Probing"/>
    <m/>
    <n v="1"/>
    <n v="0"/>
  </r>
  <r>
    <s v="DSCN2158"/>
    <s v="MC1025_6"/>
    <n v="6"/>
    <n v="1"/>
    <s v="Mercantile"/>
    <d v="2018-10-25T00:00:00"/>
    <s v="October"/>
    <x v="1"/>
    <d v="1899-12-30T00:16:00"/>
    <m/>
    <x v="2"/>
    <s v="Foraging"/>
    <s v="Spruce"/>
    <n v="0"/>
    <m/>
    <n v="0"/>
    <m/>
    <s v="NA"/>
    <s v="NA"/>
    <s v="NA"/>
    <s v="NA"/>
    <s v="NA"/>
    <s v="NA"/>
    <m/>
    <m/>
    <s v="NA"/>
    <s v="NA"/>
    <m/>
    <m/>
    <m/>
    <m/>
    <n v="11"/>
    <n v="0"/>
    <n v="11"/>
    <n v="0"/>
    <n v="6"/>
    <n v="0"/>
    <n v="17"/>
    <m/>
    <m/>
    <m/>
    <m/>
  </r>
  <r>
    <s v="DSCN2163"/>
    <s v="MC1025_8"/>
    <n v="8"/>
    <n v="1"/>
    <s v="Mercantile"/>
    <d v="2018-10-25T00:00:00"/>
    <s v="October"/>
    <x v="1"/>
    <d v="1899-12-30T00:08:00"/>
    <m/>
    <x v="2"/>
    <s v="Food handling"/>
    <s v="Spruce"/>
    <n v="1"/>
    <m/>
    <n v="0"/>
    <s v="Unknown"/>
    <s v="Unknown"/>
    <s v="unknown"/>
    <s v="NA"/>
    <s v="NA"/>
    <s v="NA"/>
    <s v="NA"/>
    <m/>
    <m/>
    <s v="NA"/>
    <s v="NA"/>
    <m/>
    <m/>
    <m/>
    <m/>
    <n v="0"/>
    <n v="0"/>
    <n v="0"/>
    <n v="0"/>
    <n v="0"/>
    <n v="0"/>
    <n v="0"/>
    <m/>
    <s v="Could not find cache so did not mark. "/>
    <m/>
    <m/>
  </r>
  <r>
    <s v="DSCN2166"/>
    <s v="MC1025_9"/>
    <n v="9"/>
    <n v="1"/>
    <s v="Mercantile"/>
    <d v="2018-10-25T00:00:00"/>
    <s v="October"/>
    <x v="1"/>
    <d v="1899-12-30T00:49:00"/>
    <m/>
    <x v="2"/>
    <s v="Foraging"/>
    <s v="Spruce"/>
    <n v="0"/>
    <m/>
    <n v="0"/>
    <m/>
    <s v="NA"/>
    <s v="NA"/>
    <s v="NA"/>
    <s v="NA"/>
    <s v="NA"/>
    <s v="NA"/>
    <m/>
    <m/>
    <s v="NA"/>
    <s v="NA"/>
    <m/>
    <m/>
    <m/>
    <m/>
    <n v="8"/>
    <n v="2"/>
    <n v="2"/>
    <n v="8"/>
    <n v="0"/>
    <n v="0"/>
    <n v="10"/>
    <m/>
    <m/>
    <m/>
    <m/>
  </r>
  <r>
    <s v="DSCN2168"/>
    <s v="MC1025_10"/>
    <n v="10"/>
    <n v="1"/>
    <s v="Mercantile"/>
    <d v="2018-10-25T00:00:00"/>
    <s v="October"/>
    <x v="1"/>
    <d v="1899-12-30T01:35:00"/>
    <m/>
    <x v="2"/>
    <s v="Foraging"/>
    <s v="Spruce"/>
    <n v="1"/>
    <m/>
    <n v="1"/>
    <s v="Animal flesh"/>
    <s v="Animal flesh (Snowshoe hare)"/>
    <s v="Ground"/>
    <s v="Interior bare spruce branch "/>
    <s v="Spruce"/>
    <s v="Interior"/>
    <s v="Branch"/>
    <m/>
    <m/>
    <n v="9"/>
    <n v="63.732770000000002"/>
    <n v="148.89867000000001"/>
    <m/>
    <m/>
    <m/>
    <n v="0"/>
    <n v="0"/>
    <n v="0"/>
    <n v="0"/>
    <n v="0"/>
    <n v="0"/>
    <n v="0"/>
    <m/>
    <m/>
    <m/>
    <m/>
  </r>
  <r>
    <s v="DSCN2168"/>
    <s v="MC1025_10"/>
    <n v="10"/>
    <n v="2"/>
    <s v="Mercantile"/>
    <d v="2018-10-25T00:00:00"/>
    <s v="October"/>
    <x v="1"/>
    <d v="1899-12-30T01:35:00"/>
    <m/>
    <x v="2"/>
    <s v="Foraging"/>
    <s v="Spruce"/>
    <n v="1"/>
    <m/>
    <n v="1"/>
    <s v="Animal flesh"/>
    <s v="Animal flesh (Snowshoe hare)"/>
    <s v="Ground"/>
    <s v="Exterior spruce foliage"/>
    <s v="Spruce"/>
    <s v="Exterior"/>
    <s v="Foliage"/>
    <m/>
    <m/>
    <n v="9"/>
    <n v="63.732770000000002"/>
    <n v="148.89867000000001"/>
    <m/>
    <m/>
    <m/>
    <n v="0"/>
    <n v="0"/>
    <n v="0"/>
    <n v="0"/>
    <n v="0"/>
    <n v="0"/>
    <n v="0"/>
    <s v="Same tree as previous cache"/>
    <m/>
    <m/>
    <m/>
  </r>
  <r>
    <s v="DSCN2169"/>
    <s v="MC1025_11"/>
    <n v="11"/>
    <n v="1"/>
    <s v="Mercantile"/>
    <d v="2018-10-25T00:00:00"/>
    <s v="October"/>
    <x v="1"/>
    <d v="1899-12-30T00:28:00"/>
    <m/>
    <x v="2"/>
    <s v="Caching"/>
    <s v="Spruce"/>
    <n v="0"/>
    <m/>
    <n v="1"/>
    <s v="Animal flesh"/>
    <s v="Animal flesh (Snowshoe hare)"/>
    <s v="Ground"/>
    <s v="Exterior spruce foliage"/>
    <s v="Spruce"/>
    <s v="Exterior"/>
    <s v="Foliage"/>
    <m/>
    <m/>
    <n v="25"/>
    <n v="63.733040000000003"/>
    <n v="148.89887999999999"/>
    <m/>
    <m/>
    <m/>
    <n v="0"/>
    <n v="0"/>
    <n v="0"/>
    <n v="0"/>
    <n v="0"/>
    <n v="0"/>
    <n v="0"/>
    <m/>
    <s v="Same hare as before "/>
    <m/>
    <m/>
  </r>
  <r>
    <s v="DSCN2170"/>
    <s v="MC1025_12"/>
    <n v="12"/>
    <n v="1"/>
    <s v="Mercantile"/>
    <d v="2018-10-25T00:00:00"/>
    <s v="October"/>
    <x v="1"/>
    <d v="1899-12-30T00:50:00"/>
    <m/>
    <x v="2"/>
    <s v="Caching"/>
    <s v="Spruce"/>
    <n v="0"/>
    <m/>
    <n v="1"/>
    <s v="Animal flesh"/>
    <s v="Animal flesh (Snowshoe hare)"/>
    <s v="Ground"/>
    <s v="Exterior spruce foliage"/>
    <s v="Spruce"/>
    <s v="Exterior"/>
    <s v="Foliage"/>
    <m/>
    <m/>
    <n v="30"/>
    <n v="63.733040000000003"/>
    <n v="148.89893000000001"/>
    <m/>
    <m/>
    <m/>
    <n v="0"/>
    <n v="0"/>
    <n v="0"/>
    <n v="0"/>
    <n v="0"/>
    <n v="0"/>
    <n v="0"/>
    <m/>
    <s v="Caching from piece of hare it took earlier"/>
    <m/>
    <m/>
  </r>
  <r>
    <s v="DSCN2170"/>
    <s v="MC1025_12"/>
    <n v="12"/>
    <n v="2"/>
    <s v="Mercantile"/>
    <d v="2018-10-25T00:00:00"/>
    <s v="October"/>
    <x v="1"/>
    <d v="1899-12-30T00:50:00"/>
    <m/>
    <x v="2"/>
    <s v="Caching"/>
    <s v="Spruce"/>
    <n v="0"/>
    <m/>
    <n v="1"/>
    <s v="Animal flesh"/>
    <s v="Animal flesh (Snowshoe hare)"/>
    <s v="Ground"/>
    <s v="Exterior spruce foliage"/>
    <s v="Spruce"/>
    <s v="Exterior"/>
    <s v="Foliage"/>
    <m/>
    <m/>
    <n v="30"/>
    <n v="63.733020000000003"/>
    <n v="148.89896999999999"/>
    <m/>
    <m/>
    <m/>
    <n v="0"/>
    <n v="0"/>
    <n v="0"/>
    <n v="0"/>
    <n v="0"/>
    <n v="0"/>
    <n v="0"/>
    <m/>
    <s v="Caching from piece of hare it took earlier"/>
    <m/>
    <m/>
  </r>
  <r>
    <s v="DSCN2257"/>
    <s v="MC1029_1"/>
    <n v="1"/>
    <n v="1"/>
    <s v="Mercantile"/>
    <d v="2018-10-29T00:00:00"/>
    <s v="October"/>
    <x v="1"/>
    <d v="1899-12-30T00:39:00"/>
    <s v="Clear"/>
    <x v="2"/>
    <s v="Foraging"/>
    <s v="NA"/>
    <n v="1"/>
    <m/>
    <n v="0"/>
    <s v="Berry"/>
    <s v="Berry"/>
    <s v="Ground"/>
    <s v="NA"/>
    <s v="NA"/>
    <s v="NA"/>
    <s v="NA"/>
    <m/>
    <m/>
    <s v="NA"/>
    <s v="NA"/>
    <m/>
    <m/>
    <m/>
    <m/>
    <n v="0"/>
    <n v="0"/>
    <n v="0"/>
    <n v="0"/>
    <n v="12"/>
    <n v="0"/>
    <n v="12"/>
    <m/>
    <m/>
    <m/>
    <m/>
  </r>
  <r>
    <s v="DSCN2258"/>
    <s v="MC1029_2"/>
    <n v="2"/>
    <n v="1"/>
    <s v="Mercantile"/>
    <d v="2018-10-29T00:00:00"/>
    <s v="October"/>
    <x v="1"/>
    <d v="1899-12-30T00:08:00"/>
    <s v="Clear"/>
    <x v="2"/>
    <s v="Foraging"/>
    <s v="NA"/>
    <s v="unknown"/>
    <m/>
    <n v="0"/>
    <m/>
    <s v="NA"/>
    <s v="NA"/>
    <s v="NA"/>
    <s v="NA"/>
    <s v="NA"/>
    <s v="NA"/>
    <m/>
    <m/>
    <s v="NA"/>
    <s v="NA"/>
    <m/>
    <m/>
    <m/>
    <m/>
    <n v="0"/>
    <n v="0"/>
    <n v="0"/>
    <n v="0"/>
    <n v="4"/>
    <n v="0"/>
    <n v="4"/>
    <m/>
    <m/>
    <m/>
    <m/>
  </r>
  <r>
    <s v="DSCN2259"/>
    <s v="MC1029_3"/>
    <n v="3"/>
    <n v="1"/>
    <s v="Mercantile"/>
    <d v="2018-10-29T00:00:00"/>
    <s v="October"/>
    <x v="1"/>
    <d v="1899-12-30T00:47:00"/>
    <s v="Clear"/>
    <x v="2"/>
    <s v="Foraging (Cache recovery)"/>
    <s v="Spruce"/>
    <n v="1"/>
    <m/>
    <n v="0"/>
    <s v="Berry"/>
    <s v="Berry (Blueberry)"/>
    <s v="Exterior spruce foliage"/>
    <s v="NA"/>
    <s v="NA"/>
    <s v="NA"/>
    <s v="NA"/>
    <m/>
    <m/>
    <s v="NA"/>
    <s v="NA"/>
    <m/>
    <m/>
    <m/>
    <m/>
    <n v="0"/>
    <n v="0"/>
    <n v="0"/>
    <n v="0"/>
    <n v="0"/>
    <n v="0"/>
    <n v="0"/>
    <m/>
    <s v="Video starts after it already got berry"/>
    <m/>
    <m/>
  </r>
  <r>
    <s v="DSCN2260"/>
    <s v="MC1029_4"/>
    <n v="4"/>
    <n v="1"/>
    <s v="Mercantile"/>
    <d v="2018-10-29T00:00:00"/>
    <s v="October"/>
    <x v="1"/>
    <d v="1899-12-30T00:24:00"/>
    <s v="Clear"/>
    <x v="2"/>
    <s v="Foraging"/>
    <s v="NA"/>
    <n v="1"/>
    <m/>
    <n v="0"/>
    <s v="Berry"/>
    <s v="Berry (Blueberry)"/>
    <s v="Ground"/>
    <s v="NA"/>
    <s v="NA"/>
    <s v="NA"/>
    <s v="NA"/>
    <m/>
    <m/>
    <s v="NA"/>
    <s v="NA"/>
    <m/>
    <m/>
    <m/>
    <m/>
    <n v="0"/>
    <n v="0"/>
    <n v="0"/>
    <n v="0"/>
    <n v="23"/>
    <n v="0"/>
    <n v="23"/>
    <m/>
    <m/>
    <m/>
    <m/>
  </r>
  <r>
    <s v="DSCN2261"/>
    <s v="MC1029_5"/>
    <n v="5"/>
    <n v="1"/>
    <s v="Mercantile"/>
    <d v="2018-10-29T00:00:00"/>
    <s v="October"/>
    <x v="1"/>
    <d v="1899-12-30T00:41:00"/>
    <s v="Clear"/>
    <x v="2"/>
    <s v="Foraging"/>
    <s v="NA"/>
    <s v="unknown"/>
    <m/>
    <s v="Unknown"/>
    <s v="Unknown"/>
    <s v="Unknown"/>
    <s v="NA"/>
    <s v="NA"/>
    <m/>
    <m/>
    <m/>
    <m/>
    <m/>
    <s v="NA"/>
    <s v="NA"/>
    <m/>
    <m/>
    <m/>
    <m/>
    <n v="0"/>
    <n v="41"/>
    <n v="0"/>
    <n v="41"/>
    <n v="0"/>
    <n v="0"/>
    <n v="41"/>
    <m/>
    <m/>
    <m/>
    <m/>
  </r>
  <r>
    <s v="DSCB1853"/>
    <s v="RC1017_5"/>
    <n v="5"/>
    <n v="1"/>
    <s v="CCAMP"/>
    <d v="2018-10-17T00:00:00"/>
    <s v="October"/>
    <x v="1"/>
    <d v="1899-12-30T00:16:00"/>
    <s v="Overcast"/>
    <x v="4"/>
    <s v="Foraging"/>
    <s v="Spruce"/>
    <s v="unknown"/>
    <m/>
    <n v="0"/>
    <m/>
    <s v="NA"/>
    <s v="NA"/>
    <s v="NA"/>
    <s v="NA"/>
    <s v="NA"/>
    <s v="NA"/>
    <m/>
    <m/>
    <s v="NA"/>
    <s v="NA"/>
    <m/>
    <m/>
    <m/>
    <m/>
    <n v="0"/>
    <n v="16"/>
    <n v="0"/>
    <n v="16"/>
    <n v="0"/>
    <n v="0"/>
    <n v="16"/>
    <m/>
    <m/>
    <m/>
    <m/>
  </r>
  <r>
    <s v="DSCN1432"/>
    <s v="RC1008_1"/>
    <n v="1"/>
    <n v="1"/>
    <s v="CCAMP"/>
    <d v="2018-10-08T00:00:00"/>
    <s v="October"/>
    <x v="1"/>
    <d v="1899-12-30T00:34:00"/>
    <s v="Partly cloudy"/>
    <x v="4"/>
    <s v="Foraging/caching"/>
    <s v="Spruce"/>
    <n v="1"/>
    <m/>
    <n v="1"/>
    <s v="Unknown"/>
    <s v="Unknown"/>
    <s v="Ground"/>
    <s v="Interior bare spruce branch under bark"/>
    <s v="Spruce"/>
    <s v="Interior"/>
    <s v="Under bark"/>
    <m/>
    <m/>
    <n v="5"/>
    <n v="63.7239"/>
    <n v="148.94981000000001"/>
    <m/>
    <m/>
    <m/>
    <n v="0"/>
    <n v="0"/>
    <n v="0"/>
    <n v="0"/>
    <n v="2"/>
    <n v="0"/>
    <n v="2"/>
    <m/>
    <m/>
    <m/>
    <m/>
  </r>
  <r>
    <s v="DSCN1433"/>
    <s v="RC1008_2"/>
    <n v="2"/>
    <n v="1"/>
    <s v="CCAMP"/>
    <d v="2018-10-08T00:00:00"/>
    <s v="October"/>
    <x v="1"/>
    <d v="1899-12-30T00:08:00"/>
    <s v="Mostly sunny"/>
    <x v="4"/>
    <s v="Foraging"/>
    <s v="Spruce"/>
    <n v="1"/>
    <m/>
    <n v="0"/>
    <s v="Insect"/>
    <s v="Insect (worm or caterpillar)"/>
    <s v="Exterior bare spruce branch"/>
    <s v="NA"/>
    <s v="NA"/>
    <s v="NA"/>
    <s v="NA"/>
    <m/>
    <m/>
    <s v="NA"/>
    <s v="NA"/>
    <m/>
    <m/>
    <m/>
    <m/>
    <n v="5"/>
    <n v="0"/>
    <n v="0"/>
    <n v="5"/>
    <n v="0"/>
    <n v="0"/>
    <n v="5"/>
    <m/>
    <m/>
    <m/>
    <m/>
  </r>
  <r>
    <s v="DSCN1435"/>
    <s v="RC1008_3"/>
    <n v="3"/>
    <n v="1"/>
    <s v="CCAMP"/>
    <d v="2018-10-08T00:00:00"/>
    <s v="October"/>
    <x v="1"/>
    <d v="1899-12-30T00:16:00"/>
    <s v="Mostly sunny"/>
    <x v="4"/>
    <s v="Foraging/caching"/>
    <s v="Willow"/>
    <n v="1"/>
    <m/>
    <n v="1"/>
    <s v="Berry"/>
    <s v="Berry (Blueberry)"/>
    <s v="Ground"/>
    <s v="Dead shrub, maybe an alder"/>
    <s v="Shrub"/>
    <s v="Exterior"/>
    <s v="Under bark"/>
    <m/>
    <m/>
    <n v="5"/>
    <n v="63.724020000000003"/>
    <n v="148.95114000000001"/>
    <m/>
    <m/>
    <m/>
    <n v="0"/>
    <n v="0"/>
    <n v="0"/>
    <n v="0"/>
    <n v="0"/>
    <n v="0"/>
    <n v="0"/>
    <m/>
    <s v="Foraging not caught on tape. "/>
    <m/>
    <m/>
  </r>
  <r>
    <s v="DSCN1438"/>
    <s v="RC1008_4"/>
    <n v="4"/>
    <n v="1"/>
    <s v="CCAMP"/>
    <d v="2018-10-08T00:00:00"/>
    <s v="October"/>
    <x v="1"/>
    <d v="1899-12-30T00:33:00"/>
    <s v="Mostly sunny"/>
    <x v="4"/>
    <s v="Caching"/>
    <s v="Spruce"/>
    <n v="1"/>
    <m/>
    <n v="1"/>
    <s v="Unknown"/>
    <s v="Unknown"/>
    <s v="Ground"/>
    <s v="Interior bare spruce branch under bark"/>
    <s v="Spruce"/>
    <s v="Interior"/>
    <s v="Under bark"/>
    <m/>
    <m/>
    <n v="2"/>
    <n v="63.723999999999997"/>
    <n v="148.94900999999999"/>
    <m/>
    <m/>
    <m/>
    <n v="0"/>
    <n v="0"/>
    <n v="0"/>
    <n v="0"/>
    <n v="0"/>
    <n v="0"/>
    <n v="0"/>
    <m/>
    <s v="Foraging not caught on tape. "/>
    <m/>
    <m/>
  </r>
  <r>
    <s v="DSCN1439"/>
    <s v="RC1008_5"/>
    <n v="5"/>
    <n v="1"/>
    <s v="CCAMP"/>
    <d v="2018-10-08T00:00:00"/>
    <s v="October"/>
    <x v="1"/>
    <d v="1899-12-30T00:41:00"/>
    <s v="Mostly sunny"/>
    <x v="4"/>
    <s v="Foraging"/>
    <s v="NA"/>
    <n v="1"/>
    <m/>
    <n v="0"/>
    <s v="Unknown"/>
    <s v="Unknown"/>
    <s v="Ground"/>
    <s v="NA"/>
    <s v="NA"/>
    <s v="NA"/>
    <s v="NA"/>
    <m/>
    <m/>
    <s v="NA"/>
    <s v="NA"/>
    <m/>
    <m/>
    <m/>
    <m/>
    <n v="0"/>
    <n v="0"/>
    <n v="0"/>
    <n v="0"/>
    <n v="29"/>
    <n v="0"/>
    <n v="29"/>
    <m/>
    <m/>
    <m/>
    <m/>
  </r>
  <r>
    <s v="DSCN1441"/>
    <s v="RC1008_6"/>
    <n v="6"/>
    <n v="1"/>
    <s v="CCAMP"/>
    <d v="2018-10-08T00:00:00"/>
    <s v="October"/>
    <x v="1"/>
    <d v="1899-12-30T00:25:00"/>
    <s v="Mostly sunny"/>
    <x v="4"/>
    <s v="Foraging"/>
    <s v="NA"/>
    <n v="1"/>
    <m/>
    <n v="0"/>
    <s v="Unknown"/>
    <s v="Unknown"/>
    <s v="Ground"/>
    <s v="NA"/>
    <s v="NA"/>
    <s v="NA"/>
    <s v="NA"/>
    <m/>
    <m/>
    <s v="NA"/>
    <s v="NA"/>
    <m/>
    <m/>
    <m/>
    <m/>
    <n v="0"/>
    <n v="0"/>
    <n v="0"/>
    <n v="0"/>
    <n v="2"/>
    <n v="0"/>
    <n v="2"/>
    <m/>
    <m/>
    <m/>
    <m/>
  </r>
  <r>
    <s v="DSCN1442"/>
    <s v="RC1008_7"/>
    <n v="7"/>
    <n v="1"/>
    <s v="CCAMP"/>
    <d v="2018-10-08T00:00:00"/>
    <s v="October"/>
    <x v="1"/>
    <d v="1899-12-30T00:33:00"/>
    <s v="Mostly sunny"/>
    <x v="4"/>
    <s v="Caching"/>
    <s v="Spruce"/>
    <n v="0"/>
    <m/>
    <n v="1"/>
    <s v="Unknown"/>
    <s v="Unknown"/>
    <s v="Ground"/>
    <s v="Interior bare spruce branch under bark"/>
    <s v="Spruce"/>
    <s v="Interior"/>
    <s v="Under bark"/>
    <m/>
    <m/>
    <n v="7"/>
    <n v="63.724110000000003"/>
    <n v="148.95033000000001"/>
    <m/>
    <m/>
    <m/>
    <n v="0"/>
    <n v="0"/>
    <n v="0"/>
    <n v="0"/>
    <n v="0"/>
    <n v="0"/>
    <n v="0"/>
    <m/>
    <s v="cache from previous video. "/>
    <m/>
    <m/>
  </r>
  <r>
    <s v="DSCN1443"/>
    <s v="RC1008_8"/>
    <n v="8"/>
    <n v="1"/>
    <s v="CCAMP"/>
    <d v="2018-10-08T00:00:00"/>
    <s v="October"/>
    <x v="1"/>
    <d v="1899-12-30T01:18:00"/>
    <s v="Mostly sunny"/>
    <x v="4"/>
    <s v="Foraging/caching"/>
    <s v="Spruce"/>
    <n v="1"/>
    <m/>
    <n v="1"/>
    <s v="Unknown"/>
    <s v="Unknown"/>
    <s v="Ground"/>
    <s v="Interior bare spruce branch under bark"/>
    <s v="Spruce"/>
    <s v="Interior"/>
    <s v="Under bark"/>
    <m/>
    <m/>
    <n v="9"/>
    <n v="63.723779999999998"/>
    <n v="148.95067"/>
    <m/>
    <m/>
    <m/>
    <n v="0"/>
    <n v="0"/>
    <n v="0"/>
    <n v="0"/>
    <n v="30"/>
    <n v="0"/>
    <n v="30"/>
    <m/>
    <m/>
    <m/>
    <m/>
  </r>
  <r>
    <s v="DSCN1445"/>
    <s v="RC1008_9"/>
    <n v="9"/>
    <n v="1"/>
    <s v="CCAMP"/>
    <d v="2018-10-08T00:00:00"/>
    <s v="October"/>
    <x v="1"/>
    <d v="1899-12-30T00:14:00"/>
    <s v="Mostly sunny"/>
    <x v="4"/>
    <s v="Foraging"/>
    <s v="NA"/>
    <s v="unknown"/>
    <m/>
    <n v="0"/>
    <s v="Unknown"/>
    <s v="Unknown"/>
    <s v="NA"/>
    <s v="NA"/>
    <s v="NA"/>
    <s v="NA"/>
    <s v="NA"/>
    <m/>
    <m/>
    <s v="NA"/>
    <s v="NA"/>
    <m/>
    <m/>
    <m/>
    <m/>
    <n v="0"/>
    <n v="0"/>
    <n v="0"/>
    <n v="0"/>
    <n v="14"/>
    <n v="0"/>
    <n v="14"/>
    <m/>
    <m/>
    <m/>
    <m/>
  </r>
  <r>
    <s v="DSCN1446"/>
    <s v="RC1008_10"/>
    <n v="10"/>
    <n v="1"/>
    <s v="CCAMP"/>
    <d v="2018-10-08T00:00:00"/>
    <s v="October"/>
    <x v="1"/>
    <d v="1899-12-30T00:52:00"/>
    <s v="Mostly sunny"/>
    <x v="4"/>
    <s v="Foraging"/>
    <s v="NA"/>
    <n v="1"/>
    <m/>
    <n v="0"/>
    <s v="Unknown"/>
    <s v="Unknown"/>
    <s v="Ground"/>
    <s v="NA"/>
    <s v="NA"/>
    <s v="NA"/>
    <s v="NA"/>
    <m/>
    <m/>
    <s v="NA"/>
    <s v="NA"/>
    <m/>
    <m/>
    <m/>
    <m/>
    <n v="0"/>
    <n v="0"/>
    <n v="0"/>
    <n v="0"/>
    <n v="16"/>
    <n v="0"/>
    <n v="16"/>
    <m/>
    <m/>
    <m/>
    <m/>
  </r>
  <r>
    <s v="DSCN1465"/>
    <s v="RC1009_2"/>
    <n v="2"/>
    <n v="1"/>
    <s v="CCAMP"/>
    <d v="2018-10-09T00:00:00"/>
    <s v="October"/>
    <x v="1"/>
    <d v="1899-12-30T00:18:00"/>
    <s v="Mostly cloudy"/>
    <x v="4"/>
    <s v="Foraging"/>
    <s v="NA"/>
    <n v="1"/>
    <m/>
    <n v="0"/>
    <s v="Berry"/>
    <s v="Berry (Soapberry)"/>
    <s v="Ground"/>
    <s v="NA"/>
    <s v="NA"/>
    <s v="NA"/>
    <s v="NA"/>
    <m/>
    <m/>
    <s v="NA"/>
    <s v="NA"/>
    <m/>
    <m/>
    <m/>
    <m/>
    <n v="0"/>
    <n v="0"/>
    <n v="0"/>
    <n v="0"/>
    <n v="15"/>
    <n v="0"/>
    <n v="15"/>
    <m/>
    <m/>
    <m/>
    <m/>
  </r>
  <r>
    <s v="DSCN1473"/>
    <s v="RC1009_4"/>
    <n v="4"/>
    <n v="1"/>
    <s v="CCAMP"/>
    <d v="2018-10-09T00:00:00"/>
    <s v="October"/>
    <x v="1"/>
    <d v="1899-12-30T00:10:00"/>
    <s v="Mostly cloudy"/>
    <x v="4"/>
    <s v="Caching"/>
    <s v="Spruce"/>
    <n v="0"/>
    <m/>
    <n v="1"/>
    <s v="Unknown"/>
    <s v="Unknown"/>
    <s v="unknown"/>
    <s v="Witch broom in exterior spruce"/>
    <s v="Spruce"/>
    <s v="Exterior"/>
    <s v="In mistoe"/>
    <m/>
    <m/>
    <s v="unknown"/>
    <n v="63.724910000000001"/>
    <n v="148.94807"/>
    <m/>
    <m/>
    <m/>
    <n v="0"/>
    <n v="0"/>
    <n v="0"/>
    <n v="0"/>
    <n v="0"/>
    <n v="0"/>
    <n v="0"/>
    <m/>
    <m/>
    <m/>
    <m/>
  </r>
  <r>
    <s v="DSCN1474"/>
    <s v="RC1009_5"/>
    <n v="5"/>
    <n v="1"/>
    <s v="CCAMP"/>
    <d v="2018-10-09T00:00:00"/>
    <s v="October"/>
    <x v="1"/>
    <d v="1899-12-30T00:14:00"/>
    <s v="Mostly cloudy"/>
    <x v="4"/>
    <s v="Caching"/>
    <s v="Spruce"/>
    <n v="0"/>
    <m/>
    <n v="1"/>
    <s v="Unknown"/>
    <s v="Unknown"/>
    <s v="unknown"/>
    <s v="Interior bare spruce branch under bark"/>
    <s v="Spruce"/>
    <s v="Interior"/>
    <s v="Under bark"/>
    <m/>
    <m/>
    <s v="unknown"/>
    <n v="63.724910000000001"/>
    <n v="148.94807"/>
    <m/>
    <m/>
    <m/>
    <n v="0"/>
    <n v="0"/>
    <n v="0"/>
    <n v="0"/>
    <n v="0"/>
    <n v="0"/>
    <n v="0"/>
    <m/>
    <s v="Possible second cache from tree in previous video.  "/>
    <m/>
    <m/>
  </r>
  <r>
    <s v="DSCN1485"/>
    <s v="RC1009_7"/>
    <n v="7"/>
    <n v="1"/>
    <s v="CCAMP"/>
    <d v="2018-10-09T00:00:00"/>
    <s v="October"/>
    <x v="1"/>
    <d v="1899-12-30T00:14:00"/>
    <s v="Mostly cloudy"/>
    <x v="4"/>
    <s v="Foraging"/>
    <s v="Spruce"/>
    <n v="0"/>
    <m/>
    <n v="0"/>
    <m/>
    <s v="NA"/>
    <s v="NA"/>
    <s v="NA"/>
    <s v="NA"/>
    <s v="NA"/>
    <s v="NA"/>
    <m/>
    <m/>
    <s v="NA"/>
    <s v="NA"/>
    <m/>
    <m/>
    <m/>
    <m/>
    <n v="14"/>
    <n v="0"/>
    <n v="14"/>
    <n v="0"/>
    <n v="0"/>
    <n v="0"/>
    <n v="14"/>
    <s v="Probing"/>
    <s v="Called cachiing in video, B&amp;Ut after being unable to locate what should have been a very obvious  cache we concluded it was more likely foraging.  "/>
    <n v="1"/>
    <n v="0"/>
  </r>
  <r>
    <s v="DSCN1487"/>
    <s v="RC1009_8"/>
    <n v="8"/>
    <n v="1"/>
    <s v="CCAMP"/>
    <d v="2018-10-09T00:00:00"/>
    <s v="October"/>
    <x v="1"/>
    <d v="1899-12-30T00:03:00"/>
    <s v="Mostly cloudy"/>
    <x v="4"/>
    <s v="Foraging"/>
    <s v="NA"/>
    <n v="1"/>
    <m/>
    <n v="0"/>
    <s v="Unknown"/>
    <s v="Unknown"/>
    <s v="Ground"/>
    <s v="NA"/>
    <s v="NA"/>
    <s v="NA"/>
    <s v="NA"/>
    <m/>
    <m/>
    <s v="NA"/>
    <s v="NA"/>
    <m/>
    <m/>
    <m/>
    <m/>
    <n v="0"/>
    <n v="0"/>
    <n v="0"/>
    <n v="0"/>
    <n v="10"/>
    <n v="0"/>
    <n v="10"/>
    <m/>
    <s v="Video clip is 3sec, B&amp;Ut total foraging time as calculated in the field was 10.  "/>
    <m/>
    <m/>
  </r>
  <r>
    <s v="DSCN1488"/>
    <s v="RC1009_9"/>
    <n v="9"/>
    <n v="1"/>
    <s v="CCAMP"/>
    <d v="2018-10-09T00:00:00"/>
    <s v="October"/>
    <x v="1"/>
    <d v="1899-12-30T00:12:00"/>
    <s v="Mostly cloudy"/>
    <x v="4"/>
    <s v="Foraging"/>
    <s v="NA"/>
    <n v="1"/>
    <m/>
    <n v="0"/>
    <s v="Unknown"/>
    <s v="Unknown"/>
    <s v="Ground"/>
    <s v="NA"/>
    <s v="NA"/>
    <s v="NA"/>
    <s v="NA"/>
    <m/>
    <m/>
    <s v="NA"/>
    <s v="NA"/>
    <m/>
    <m/>
    <m/>
    <m/>
    <n v="0"/>
    <n v="0"/>
    <n v="0"/>
    <n v="0"/>
    <n v="9"/>
    <n v="0"/>
    <n v="9"/>
    <m/>
    <m/>
    <m/>
    <m/>
  </r>
  <r>
    <s v="DSCN1489"/>
    <s v="RC1009_10"/>
    <n v="10"/>
    <n v="1"/>
    <s v="CCAMP"/>
    <d v="2018-10-09T00:00:00"/>
    <s v="October"/>
    <x v="1"/>
    <d v="1899-12-30T00:05:00"/>
    <s v="Mostly cloudy"/>
    <x v="4"/>
    <s v="Foraging"/>
    <s v="Spruce"/>
    <s v="unknown"/>
    <m/>
    <n v="0"/>
    <s v="Unknown"/>
    <s v="Unknown"/>
    <s v="NA"/>
    <s v="NA"/>
    <s v="NA"/>
    <s v="NA"/>
    <s v="NA"/>
    <m/>
    <m/>
    <s v="NA"/>
    <s v="NA"/>
    <m/>
    <m/>
    <m/>
    <m/>
    <n v="5"/>
    <n v="0"/>
    <n v="5"/>
    <n v="0"/>
    <n v="0"/>
    <n v="0"/>
    <n v="5"/>
    <s v="Probing"/>
    <s v="Called cachiing in video, B&amp;Ut after being unable to locate what should have been a very obvious  cache we concluded it was more likely foraging.  "/>
    <n v="2"/>
    <n v="0"/>
  </r>
  <r>
    <s v="DSCN1490"/>
    <s v="RC1009_11"/>
    <n v="11"/>
    <n v="1"/>
    <s v="CCAMP"/>
    <d v="2018-10-09T00:00:00"/>
    <s v="October"/>
    <x v="1"/>
    <d v="1899-12-30T00:29:00"/>
    <s v="Mostly cloudy"/>
    <x v="4"/>
    <s v="Foraging"/>
    <s v="NA"/>
    <s v="unknown"/>
    <m/>
    <n v="0"/>
    <s v="Unknown"/>
    <s v="Unknown"/>
    <s v="NA"/>
    <s v="NA"/>
    <s v="NA"/>
    <s v="NA"/>
    <s v="NA"/>
    <m/>
    <m/>
    <s v="NA"/>
    <s v="NA"/>
    <m/>
    <m/>
    <m/>
    <m/>
    <n v="0"/>
    <n v="0"/>
    <n v="0"/>
    <n v="0"/>
    <n v="21"/>
    <n v="0"/>
    <n v="21"/>
    <m/>
    <m/>
    <m/>
    <m/>
  </r>
  <r>
    <s v="DSCN1491"/>
    <s v="RC1009_12"/>
    <n v="12"/>
    <n v="1"/>
    <s v="CCAMP"/>
    <d v="2018-10-09T00:00:00"/>
    <s v="October"/>
    <x v="1"/>
    <d v="1899-12-30T00:35:00"/>
    <s v="Mostly cloudy"/>
    <x v="4"/>
    <s v="Foraging"/>
    <s v="Spruce"/>
    <s v="unknown"/>
    <m/>
    <n v="0"/>
    <s v="Unknown"/>
    <s v="Unknown"/>
    <s v="NA"/>
    <s v="NA"/>
    <s v="NA"/>
    <s v="NA"/>
    <s v="NA"/>
    <m/>
    <m/>
    <s v="NA"/>
    <s v="NA"/>
    <m/>
    <m/>
    <m/>
    <m/>
    <n v="13"/>
    <n v="0"/>
    <n v="13"/>
    <n v="0"/>
    <n v="0"/>
    <n v="0"/>
    <n v="13"/>
    <s v="Probing"/>
    <s v="Called cachiing in video, B&amp;Ut after being unable to locate what should have been a very obvious  cache we concluded it was more likely foraging.  "/>
    <n v="4"/>
    <n v="0"/>
  </r>
  <r>
    <s v="DSCN1492"/>
    <s v="RC1009_13"/>
    <n v="13"/>
    <n v="1"/>
    <s v="CCAMP"/>
    <d v="2018-10-09T00:00:00"/>
    <s v="October"/>
    <x v="1"/>
    <d v="1899-12-30T00:27:00"/>
    <s v="Mostly cloudy"/>
    <x v="4"/>
    <s v="Foraging"/>
    <s v="Spruce"/>
    <n v="1"/>
    <m/>
    <n v="0"/>
    <s v="Unknown"/>
    <s v="Unknown"/>
    <s v="Exterior bare branch in witch hair"/>
    <s v="NA"/>
    <s v="NA"/>
    <s v="NA"/>
    <s v="NA"/>
    <m/>
    <m/>
    <s v="NA"/>
    <s v="NA"/>
    <m/>
    <m/>
    <m/>
    <m/>
    <n v="27"/>
    <n v="0"/>
    <n v="0"/>
    <n v="27"/>
    <n v="0"/>
    <n v="0"/>
    <n v="27"/>
    <s v="Gleaning"/>
    <m/>
    <n v="0"/>
    <n v="5"/>
  </r>
  <r>
    <s v="DSCN1493"/>
    <s v="RC1009_14"/>
    <n v="14"/>
    <n v="1"/>
    <s v="CCAMP"/>
    <d v="2018-10-09T00:00:00"/>
    <s v="October"/>
    <x v="1"/>
    <d v="1899-12-30T02:25:00"/>
    <s v="Mostly cloudy"/>
    <x v="4"/>
    <s v="Foraging"/>
    <s v="Spruce"/>
    <n v="1"/>
    <m/>
    <n v="0"/>
    <s v="Unknown"/>
    <s v="unknown, looked like a previsouly cached bolus"/>
    <s v="Exterior bare branch under bark"/>
    <s v="na"/>
    <s v="NA"/>
    <s v="NA"/>
    <s v="NA"/>
    <m/>
    <m/>
    <s v="NA"/>
    <s v="NA"/>
    <m/>
    <m/>
    <m/>
    <m/>
    <n v="45"/>
    <n v="38"/>
    <n v="0"/>
    <n v="83"/>
    <n v="0"/>
    <n v="0"/>
    <n v="83"/>
    <s v="Probing"/>
    <m/>
    <n v="3"/>
    <n v="0"/>
  </r>
  <r>
    <s v="DSCN1562"/>
    <s v="RC1012_5"/>
    <n v="5"/>
    <n v="1"/>
    <s v="CCAMP"/>
    <d v="2018-10-12T00:00:00"/>
    <s v="October"/>
    <x v="1"/>
    <d v="1899-12-30T00:48:00"/>
    <s v="Overcast"/>
    <x v="4"/>
    <s v="Foraging"/>
    <s v="NA"/>
    <n v="1"/>
    <m/>
    <n v="0"/>
    <s v="Berry"/>
    <s v="Berry (Blueberry)"/>
    <s v="Ground"/>
    <s v="NA"/>
    <s v="NA"/>
    <s v="NA"/>
    <s v="NA"/>
    <m/>
    <m/>
    <s v="NA"/>
    <s v="NA"/>
    <m/>
    <m/>
    <m/>
    <m/>
    <n v="0"/>
    <n v="0"/>
    <n v="0"/>
    <n v="0"/>
    <n v="16"/>
    <n v="0"/>
    <n v="16"/>
    <m/>
    <m/>
    <m/>
    <m/>
  </r>
  <r>
    <s v="DSCN1563"/>
    <s v="RC1012_6"/>
    <n v="6"/>
    <n v="1"/>
    <s v="CCAMP"/>
    <d v="2018-10-12T00:00:00"/>
    <s v="October"/>
    <x v="1"/>
    <d v="1899-12-30T00:16:00"/>
    <s v="Overcast"/>
    <x v="4"/>
    <s v="Caching"/>
    <s v="Spruce"/>
    <n v="0"/>
    <m/>
    <n v="1"/>
    <s v="Berry"/>
    <s v="Berry (Blueberry)"/>
    <s v="Ground"/>
    <s v="Exterior spruce branch under bark/witch hair"/>
    <s v="Spruce"/>
    <s v="Exterior"/>
    <s v="Under bark and witch hair "/>
    <m/>
    <m/>
    <s v="unknown-didn't record in field"/>
    <n v="63.722360000000002"/>
    <s v="148. 94931"/>
    <m/>
    <m/>
    <m/>
    <n v="0"/>
    <n v="0"/>
    <n v="0"/>
    <n v="0"/>
    <n v="0"/>
    <n v="0"/>
    <n v="0"/>
    <m/>
    <m/>
    <m/>
    <m/>
  </r>
  <r>
    <s v="DSCN1850"/>
    <s v="RC1017_4"/>
    <n v="4"/>
    <n v="1"/>
    <s v="CCAMP"/>
    <d v="2018-10-17T00:00:00"/>
    <s v="October"/>
    <x v="1"/>
    <d v="1899-12-30T00:12:00"/>
    <s v="Overcast"/>
    <x v="4"/>
    <s v="Foraging"/>
    <s v="NA"/>
    <n v="1"/>
    <m/>
    <n v="0"/>
    <s v="Unknown"/>
    <s v="Unknown"/>
    <s v="Ground"/>
    <s v="NA"/>
    <s v="NA"/>
    <s v="NA"/>
    <s v="NA"/>
    <m/>
    <m/>
    <s v="NA"/>
    <s v="NA"/>
    <m/>
    <m/>
    <m/>
    <m/>
    <n v="0"/>
    <n v="0"/>
    <n v="0"/>
    <n v="0"/>
    <n v="9"/>
    <n v="0"/>
    <n v="9"/>
    <m/>
    <s v="Foraging on gravel"/>
    <m/>
    <m/>
  </r>
  <r>
    <s v="DSCN1854"/>
    <s v="RC1017_6"/>
    <n v="6"/>
    <n v="1"/>
    <s v="CCAMP"/>
    <d v="2018-10-17T00:00:00"/>
    <s v="October"/>
    <x v="1"/>
    <d v="1899-12-30T00:13:00"/>
    <s v="Overcast"/>
    <x v="4"/>
    <s v="Foraging"/>
    <s v="Spruce"/>
    <n v="1"/>
    <m/>
    <n v="0"/>
    <s v="Unknown"/>
    <s v="unknown. Maybe cached mushroom"/>
    <s v="Exterior dense foliage of spruce"/>
    <s v="NA"/>
    <s v="NA"/>
    <s v="NA"/>
    <s v="NA"/>
    <m/>
    <m/>
    <s v="NA"/>
    <s v="NA"/>
    <m/>
    <m/>
    <m/>
    <m/>
    <n v="0"/>
    <n v="10"/>
    <n v="0"/>
    <n v="10"/>
    <n v="0"/>
    <n v="0"/>
    <n v="10"/>
    <m/>
    <m/>
    <m/>
    <m/>
  </r>
  <r>
    <s v="DSCN1855"/>
    <s v="RC1017_7"/>
    <n v="7"/>
    <n v="1"/>
    <s v="CCAMP"/>
    <d v="2018-10-17T00:00:00"/>
    <s v="October"/>
    <x v="1"/>
    <d v="1899-12-30T00:41:00"/>
    <s v="Overcast"/>
    <x v="4"/>
    <s v="Foraging"/>
    <s v="Spruce"/>
    <s v="unknown"/>
    <m/>
    <n v="0"/>
    <m/>
    <s v="NA"/>
    <s v="NA"/>
    <s v="NA"/>
    <s v="NA"/>
    <s v="NA"/>
    <s v="NA"/>
    <m/>
    <m/>
    <s v="NA"/>
    <s v="NA"/>
    <m/>
    <m/>
    <m/>
    <m/>
    <n v="5"/>
    <n v="26"/>
    <n v="0"/>
    <n v="31"/>
    <n v="0"/>
    <n v="0"/>
    <n v="31"/>
    <m/>
    <m/>
    <m/>
    <m/>
  </r>
  <r>
    <s v="DSCN2101"/>
    <s v="RC1024_1"/>
    <n v="1"/>
    <n v="1"/>
    <s v="CCAMP"/>
    <d v="2018-10-24T00:00:00"/>
    <s v="October"/>
    <x v="1"/>
    <d v="1899-12-30T01:37:00"/>
    <m/>
    <x v="4"/>
    <s v="Foraging"/>
    <s v="Spruce"/>
    <s v="unknown"/>
    <m/>
    <n v="0"/>
    <m/>
    <s v="NA"/>
    <s v="NA"/>
    <s v="NA"/>
    <s v="NA"/>
    <s v="NA"/>
    <s v="NA"/>
    <m/>
    <m/>
    <s v="NA"/>
    <s v="NA"/>
    <m/>
    <m/>
    <m/>
    <m/>
    <n v="20"/>
    <n v="17"/>
    <n v="20"/>
    <n v="17"/>
    <n v="0"/>
    <n v="0"/>
    <n v="37"/>
    <s v="Gleaning"/>
    <m/>
    <n v="0"/>
    <n v="1"/>
  </r>
  <r>
    <s v="DSCN2102"/>
    <s v="RC1024_2"/>
    <n v="2"/>
    <n v="1"/>
    <s v="CCAMP"/>
    <d v="2018-10-24T00:00:00"/>
    <s v="October"/>
    <x v="1"/>
    <d v="1899-12-30T00:11:00"/>
    <m/>
    <x v="4"/>
    <s v="Foraging"/>
    <s v="Spruce"/>
    <n v="0"/>
    <m/>
    <n v="0"/>
    <m/>
    <s v="NA"/>
    <s v="NA"/>
    <s v="NA"/>
    <s v="NA"/>
    <s v="NA"/>
    <s v="NA"/>
    <m/>
    <m/>
    <s v="NA"/>
    <s v="NA"/>
    <m/>
    <m/>
    <m/>
    <m/>
    <n v="8"/>
    <n v="0"/>
    <n v="8"/>
    <n v="0"/>
    <n v="0"/>
    <n v="0"/>
    <n v="8"/>
    <s v="Searching"/>
    <m/>
    <m/>
    <m/>
  </r>
  <r>
    <s v="DSCN2103"/>
    <s v="RC1024_3"/>
    <n v="3"/>
    <n v="1"/>
    <s v="CCAMP"/>
    <d v="2018-10-24T00:00:00"/>
    <s v="October"/>
    <x v="1"/>
    <d v="1899-12-30T00:25:00"/>
    <m/>
    <x v="4"/>
    <s v="Foraging"/>
    <s v="Spruce"/>
    <s v="unknown"/>
    <m/>
    <n v="0"/>
    <m/>
    <s v="NA"/>
    <s v="NA"/>
    <s v="NA"/>
    <s v="NA"/>
    <s v="NA"/>
    <s v="NA"/>
    <m/>
    <m/>
    <s v="NA"/>
    <s v="NA"/>
    <m/>
    <m/>
    <m/>
    <m/>
    <n v="0"/>
    <n v="21"/>
    <n v="0"/>
    <n v="21"/>
    <n v="0"/>
    <n v="0"/>
    <n v="21"/>
    <s v="Searching"/>
    <m/>
    <m/>
    <m/>
  </r>
  <r>
    <s v="DSCN2104"/>
    <s v="RC1024_4"/>
    <n v="4"/>
    <n v="1"/>
    <s v="CCAMP"/>
    <d v="2018-10-24T00:00:00"/>
    <s v="October"/>
    <x v="1"/>
    <d v="1899-12-30T00:21:00"/>
    <m/>
    <x v="4"/>
    <s v="Foraging"/>
    <s v="Spruce"/>
    <n v="0"/>
    <m/>
    <n v="0"/>
    <m/>
    <s v="NA"/>
    <s v="NA"/>
    <s v="NA"/>
    <s v="NA"/>
    <s v="NA"/>
    <s v="NA"/>
    <m/>
    <m/>
    <s v="NA"/>
    <s v="NA"/>
    <m/>
    <m/>
    <m/>
    <m/>
    <n v="0"/>
    <n v="20"/>
    <n v="0"/>
    <n v="20"/>
    <n v="0"/>
    <n v="0"/>
    <n v="20"/>
    <s v="Searching "/>
    <m/>
    <m/>
    <m/>
  </r>
  <r>
    <s v="DSCN2107"/>
    <s v="RC1024_7"/>
    <n v="7"/>
    <n v="1"/>
    <s v="CCAMP"/>
    <d v="2018-10-24T00:00:00"/>
    <s v="October"/>
    <x v="1"/>
    <d v="1899-12-30T00:10:00"/>
    <m/>
    <x v="4"/>
    <s v="Foraging"/>
    <s v="Spruce"/>
    <n v="0"/>
    <m/>
    <n v="0"/>
    <m/>
    <s v="NA"/>
    <s v="NA"/>
    <s v="NA"/>
    <s v="NA"/>
    <s v="NA"/>
    <s v="NA"/>
    <m/>
    <m/>
    <s v="NA"/>
    <s v="NA"/>
    <m/>
    <m/>
    <m/>
    <m/>
    <n v="0"/>
    <n v="10"/>
    <n v="0"/>
    <n v="10"/>
    <n v="0"/>
    <n v="0"/>
    <n v="10"/>
    <s v="Searching"/>
    <m/>
    <m/>
    <m/>
  </r>
  <r>
    <s v="DSCN2320"/>
    <s v="RC1031_5"/>
    <n v="5"/>
    <n v="1"/>
    <s v="CCAMP"/>
    <d v="2018-10-31T00:00:00"/>
    <s v="October"/>
    <x v="1"/>
    <d v="1899-12-30T00:51:00"/>
    <s v="Partly cloudy"/>
    <x v="4"/>
    <s v="Foraging"/>
    <s v="Spruce"/>
    <s v="unknown"/>
    <m/>
    <s v="Unknown"/>
    <s v="Unknown"/>
    <s v="Unknown"/>
    <s v="NA"/>
    <s v="NA"/>
    <m/>
    <m/>
    <m/>
    <m/>
    <m/>
    <s v="NA"/>
    <s v="NA"/>
    <m/>
    <m/>
    <m/>
    <m/>
    <n v="0"/>
    <n v="51"/>
    <n v="0"/>
    <n v="51"/>
    <n v="0"/>
    <n v="0"/>
    <n v="51"/>
    <m/>
    <m/>
    <m/>
    <m/>
  </r>
  <r>
    <s v="DSCN2327"/>
    <s v="RC1031_7"/>
    <n v="7"/>
    <n v="1"/>
    <s v="CCAMP"/>
    <d v="2018-10-31T00:00:00"/>
    <s v="October"/>
    <x v="1"/>
    <d v="1899-12-30T00:18:00"/>
    <s v="Partly cloudy"/>
    <x v="4"/>
    <s v="Foraging"/>
    <s v="NA"/>
    <n v="0"/>
    <m/>
    <n v="0"/>
    <m/>
    <s v="NA"/>
    <s v="NA"/>
    <s v="NA"/>
    <s v="NA"/>
    <s v="NA"/>
    <s v="NA"/>
    <m/>
    <m/>
    <s v="NA"/>
    <s v="NA"/>
    <m/>
    <m/>
    <m/>
    <m/>
    <n v="0"/>
    <n v="0"/>
    <n v="0"/>
    <n v="0"/>
    <n v="10"/>
    <n v="0"/>
    <n v="10"/>
    <m/>
    <m/>
    <m/>
    <m/>
  </r>
  <r>
    <s v="DSCN2328"/>
    <s v="RC1031_8"/>
    <n v="8"/>
    <n v="1"/>
    <s v="CCAMP"/>
    <d v="2018-10-31T00:00:00"/>
    <s v="October"/>
    <x v="1"/>
    <d v="1899-12-30T00:14:00"/>
    <s v="Partly cloudy"/>
    <x v="4"/>
    <s v="Foraging"/>
    <s v="Spruce"/>
    <s v="unknown"/>
    <m/>
    <n v="0"/>
    <m/>
    <s v="NA"/>
    <s v="NA"/>
    <s v="NA"/>
    <s v="NA"/>
    <s v="NA"/>
    <s v="NA"/>
    <m/>
    <m/>
    <s v="NA"/>
    <s v="NA"/>
    <m/>
    <m/>
    <m/>
    <m/>
    <n v="8"/>
    <n v="0"/>
    <n v="0"/>
    <n v="8"/>
    <n v="4"/>
    <n v="0"/>
    <n v="12"/>
    <s v="Searching"/>
    <m/>
    <m/>
    <m/>
  </r>
  <r>
    <s v="No video"/>
    <m/>
    <m/>
    <n v="1"/>
    <s v="CCAMP"/>
    <d v="2018-10-09T00:00:00"/>
    <s v="October"/>
    <x v="1"/>
    <m/>
    <s v="Mostly cloudy"/>
    <x v="4"/>
    <s v="Caching"/>
    <s v="Aspen"/>
    <n v="0"/>
    <m/>
    <n v="1"/>
    <s v="Unknown"/>
    <s v="Unknown"/>
    <s v="unknown"/>
    <s v="unknown"/>
    <s v="Unknown"/>
    <s v="Unknown"/>
    <s v="Unknown"/>
    <m/>
    <m/>
    <s v="unknown"/>
    <n v="63.723750000000003"/>
    <n v="148.95131000000001"/>
    <m/>
    <m/>
    <m/>
    <n v="0"/>
    <n v="0"/>
    <n v="0"/>
    <n v="0"/>
    <n v="0"/>
    <n v="0"/>
    <n v="0"/>
    <m/>
    <s v="Observed by KS.  B&amp;Ut she can't remember any details about the cache :( "/>
    <m/>
    <m/>
  </r>
  <r>
    <s v="DSCN1206"/>
    <s v="M2371011_3"/>
    <n v="3"/>
    <n v="1"/>
    <s v="Mile 237"/>
    <d v="2018-10-11T00:00:00"/>
    <s v="October"/>
    <x v="1"/>
    <d v="1899-12-30T00:26:00"/>
    <m/>
    <x v="30"/>
    <s v="Foraging or caching"/>
    <s v="Aspen"/>
    <s v="unknown"/>
    <m/>
    <s v="Unknown"/>
    <s v="Unknown"/>
    <s v="Unknown"/>
    <s v="Under bare spruce branch bark"/>
    <s v="Under bare spruce branch bark"/>
    <m/>
    <m/>
    <m/>
    <m/>
    <m/>
    <s v="unknown"/>
    <n v="63.724080000000001"/>
    <n v="148.88910000000001"/>
    <m/>
    <m/>
    <m/>
    <n v="0"/>
    <n v="0"/>
    <n v="0"/>
    <n v="0"/>
    <n v="0"/>
    <n v="0"/>
    <n v="0"/>
    <m/>
    <s v="Was either obtaining food from branch or placing it there.  Impossible to tell. "/>
    <m/>
    <m/>
  </r>
  <r>
    <s v="DSCN1502"/>
    <s v="M2371011_1"/>
    <n v="1"/>
    <n v="1"/>
    <s v="Mile 237"/>
    <d v="2018-10-11T00:00:00"/>
    <s v="October"/>
    <x v="1"/>
    <d v="1899-12-30T00:01:00"/>
    <s v="Overcast, light rain"/>
    <x v="30"/>
    <s v="Food handling"/>
    <s v="Spruce"/>
    <n v="1"/>
    <m/>
    <n v="0"/>
    <s v="Insect"/>
    <s v="Insect (Beetle grub)"/>
    <s v="unknown"/>
    <s v="NA"/>
    <s v="NA"/>
    <s v="NA"/>
    <s v="NA"/>
    <m/>
    <m/>
    <s v="NA"/>
    <s v="NA"/>
    <m/>
    <m/>
    <m/>
    <m/>
    <n v="0"/>
    <n v="0"/>
    <n v="0"/>
    <n v="0"/>
    <n v="0"/>
    <n v="0"/>
    <n v="0"/>
    <m/>
    <s v="Seen holding grub"/>
    <m/>
    <m/>
  </r>
  <r>
    <s v="DSCN1503"/>
    <s v="M2371011_2"/>
    <n v="2"/>
    <n v="1"/>
    <s v="Mile 237"/>
    <d v="2018-10-11T00:00:00"/>
    <s v="October"/>
    <x v="1"/>
    <d v="1899-12-30T00:07:00"/>
    <m/>
    <x v="30"/>
    <s v="Caching"/>
    <s v="NA"/>
    <n v="0"/>
    <m/>
    <n v="1"/>
    <s v="Insect"/>
    <s v="Insect (Beetle grub)"/>
    <s v="unknown"/>
    <s v="Under bark/witch hair in dead shrub branch.  "/>
    <s v="Shrub"/>
    <s v="Exterior"/>
    <s v="Under bark and witch hair "/>
    <m/>
    <m/>
    <s v="unknown"/>
    <n v="63.725389999999997"/>
    <n v="148.88972000000001"/>
    <m/>
    <m/>
    <m/>
    <n v="0"/>
    <n v="0"/>
    <n v="0"/>
    <n v="0"/>
    <n v="0"/>
    <n v="0"/>
    <n v="0"/>
    <m/>
    <s v="Cached food from previous video. Put camera on this cache site "/>
    <m/>
    <m/>
  </r>
  <r>
    <s v="DSCN1526"/>
    <s v="M2371011_5"/>
    <n v="5"/>
    <n v="1"/>
    <s v="Mile 237"/>
    <d v="2018-10-11T00:00:00"/>
    <s v="October"/>
    <x v="1"/>
    <d v="1899-12-30T00:19:00"/>
    <s v="Overcast"/>
    <x v="30"/>
    <s v="Caching"/>
    <s v="Spruce"/>
    <n v="0"/>
    <m/>
    <n v="1"/>
    <s v="Unknown"/>
    <s v="Unknown"/>
    <s v="Ground"/>
    <s v="Exterior spruce branch under bark/witch hair"/>
    <s v="Spruce"/>
    <s v="Exterior"/>
    <s v="Under bark and witch hair "/>
    <m/>
    <m/>
    <n v="101"/>
    <n v="63.72372"/>
    <n v="148.88693000000001"/>
    <m/>
    <m/>
    <m/>
    <n v="0"/>
    <n v="0"/>
    <n v="0"/>
    <n v="0"/>
    <n v="0"/>
    <n v="0"/>
    <n v="0"/>
    <m/>
    <s v="Observed by TG.  "/>
    <m/>
    <m/>
  </r>
  <r>
    <s v="DSCN1778"/>
    <s v="M2371016_1"/>
    <n v="1"/>
    <n v="1"/>
    <s v="Mile 237"/>
    <d v="2018-10-16T00:00:00"/>
    <s v="October"/>
    <x v="1"/>
    <d v="1899-12-30T00:09:00"/>
    <s v="Overcast, light rain"/>
    <x v="30"/>
    <s v="Foraging"/>
    <s v="NA"/>
    <n v="1"/>
    <m/>
    <n v="0"/>
    <s v="Unknown"/>
    <s v="Unknown"/>
    <s v="Ground"/>
    <s v="NA"/>
    <s v="NA"/>
    <s v="NA"/>
    <s v="NA"/>
    <m/>
    <m/>
    <s v="NA"/>
    <s v="NA"/>
    <m/>
    <m/>
    <m/>
    <m/>
    <n v="0"/>
    <n v="0"/>
    <n v="0"/>
    <n v="0"/>
    <n v="9"/>
    <n v="0"/>
    <n v="9"/>
    <m/>
    <s v="Foraging on trail.  Picking things out of gravel. "/>
    <m/>
    <m/>
  </r>
  <r>
    <s v="DSCN1780"/>
    <s v="M2371016_2"/>
    <n v="2"/>
    <n v="1"/>
    <s v="Mile 237"/>
    <d v="2018-10-16T00:00:00"/>
    <s v="October"/>
    <x v="1"/>
    <d v="1899-12-30T00:58:00"/>
    <s v="Overcast"/>
    <x v="30"/>
    <s v="Foraging"/>
    <s v="NA"/>
    <n v="2"/>
    <m/>
    <n v="0"/>
    <s v="Unknown"/>
    <s v="Unknown"/>
    <s v="Ground"/>
    <s v="NA"/>
    <s v="NA"/>
    <s v="NA"/>
    <s v="NA"/>
    <m/>
    <m/>
    <s v="NA"/>
    <s v="NA"/>
    <m/>
    <m/>
    <m/>
    <m/>
    <n v="0"/>
    <n v="0"/>
    <n v="0"/>
    <n v="0"/>
    <n v="58"/>
    <n v="0"/>
    <n v="58"/>
    <m/>
    <s v="Foraging on trail.  Picking things out of gravel. "/>
    <m/>
    <m/>
  </r>
  <r>
    <s v="DSCN1780"/>
    <s v="M2371016_2"/>
    <n v="2"/>
    <n v="1"/>
    <s v="Mile 237"/>
    <d v="2018-10-16T00:00:00"/>
    <s v="October"/>
    <x v="1"/>
    <d v="1899-12-30T00:58:00"/>
    <s v="Overcast"/>
    <x v="30"/>
    <s v="Foraging"/>
    <s v="NA"/>
    <n v="2"/>
    <m/>
    <n v="0"/>
    <s v="Unknown"/>
    <s v="Unknown"/>
    <s v="Ground"/>
    <s v="NA"/>
    <s v="NA"/>
    <s v="NA"/>
    <s v="NA"/>
    <m/>
    <m/>
    <s v="NA"/>
    <s v="NA"/>
    <m/>
    <m/>
    <m/>
    <m/>
    <n v="0"/>
    <n v="0"/>
    <n v="0"/>
    <n v="0"/>
    <n v="58"/>
    <n v="0"/>
    <n v="58"/>
    <m/>
    <s v="Foraging on trail.  Picking things out of gravel. "/>
    <m/>
    <m/>
  </r>
  <r>
    <s v="DSCN1787"/>
    <s v="M2371016_7"/>
    <n v="7"/>
    <n v="1"/>
    <s v="Mile 237"/>
    <d v="2018-10-16T00:00:00"/>
    <s v="October"/>
    <x v="1"/>
    <d v="1899-12-30T00:15:00"/>
    <s v="Overcast"/>
    <x v="30"/>
    <s v="Foraging"/>
    <s v="NA"/>
    <n v="1"/>
    <m/>
    <n v="0"/>
    <s v="Unknown"/>
    <s v="Unknown"/>
    <s v="Ground"/>
    <s v="NA"/>
    <s v="NA"/>
    <s v="NA"/>
    <s v="NA"/>
    <m/>
    <m/>
    <s v="NA"/>
    <s v="NA"/>
    <m/>
    <m/>
    <m/>
    <m/>
    <n v="0"/>
    <n v="0"/>
    <n v="0"/>
    <n v="0"/>
    <n v="15"/>
    <n v="0"/>
    <n v="15"/>
    <m/>
    <s v="Foraging on trail.  Picking things out of gravel. "/>
    <m/>
    <m/>
  </r>
  <r>
    <s v="DSCN1795"/>
    <s v="M2371016_9"/>
    <n v="9"/>
    <n v="1"/>
    <s v="Mile 237"/>
    <d v="2018-10-16T00:00:00"/>
    <s v="October"/>
    <x v="1"/>
    <d v="1899-12-30T00:48:00"/>
    <s v="Overcast"/>
    <x v="30"/>
    <s v="Foraging"/>
    <s v="NA"/>
    <s v="unknown"/>
    <m/>
    <n v="0"/>
    <s v="Unknown"/>
    <s v="Unknown"/>
    <s v="NA"/>
    <s v="NA"/>
    <s v="NA"/>
    <s v="NA"/>
    <s v="NA"/>
    <m/>
    <m/>
    <s v="NA"/>
    <s v="NA"/>
    <m/>
    <m/>
    <m/>
    <m/>
    <n v="4"/>
    <n v="0"/>
    <n v="0"/>
    <n v="4"/>
    <n v="0"/>
    <n v="0"/>
    <n v="4"/>
    <m/>
    <s v="shrub branch on ground"/>
    <m/>
    <m/>
  </r>
  <r>
    <s v="DSCN2301"/>
    <s v="M2371030_1"/>
    <n v="1"/>
    <n v="1"/>
    <s v="Mile 237"/>
    <d v="2018-10-30T00:00:00"/>
    <s v="October"/>
    <x v="1"/>
    <d v="1899-12-30T00:40:00"/>
    <s v="Clear"/>
    <x v="30"/>
    <s v="Foraging"/>
    <s v="Aspen"/>
    <n v="0"/>
    <m/>
    <n v="0"/>
    <m/>
    <s v="NA"/>
    <s v="NA"/>
    <s v="NA"/>
    <s v="NA"/>
    <s v="NA"/>
    <s v="NA"/>
    <m/>
    <m/>
    <s v="NA"/>
    <s v="NA"/>
    <m/>
    <m/>
    <m/>
    <m/>
    <n v="17"/>
    <n v="0"/>
    <n v="0"/>
    <n v="17"/>
    <n v="0"/>
    <n v="0"/>
    <n v="17"/>
    <m/>
    <m/>
    <m/>
    <m/>
  </r>
  <r>
    <s v="DSCN1805"/>
    <s v="HS1016_1"/>
    <n v="1"/>
    <n v="1"/>
    <s v="Horse Shoe"/>
    <d v="2018-10-16T00:00:00"/>
    <s v="October"/>
    <x v="1"/>
    <d v="1899-12-30T00:35:00"/>
    <s v="Overcast"/>
    <x v="33"/>
    <s v="Foraging"/>
    <s v="Spruce"/>
    <n v="0"/>
    <m/>
    <n v="0"/>
    <m/>
    <s v="NA"/>
    <s v="NA"/>
    <s v="NA"/>
    <s v="NA"/>
    <s v="NA"/>
    <s v="NA"/>
    <m/>
    <m/>
    <s v="NA"/>
    <s v="NA"/>
    <m/>
    <m/>
    <m/>
    <m/>
    <n v="5"/>
    <n v="0"/>
    <n v="5"/>
    <n v="0"/>
    <n v="0"/>
    <n v="0"/>
    <n v="5"/>
    <m/>
    <m/>
    <m/>
    <m/>
  </r>
  <r>
    <s v="DSCN1806"/>
    <s v="HS1016_2"/>
    <n v="2"/>
    <n v="1"/>
    <s v="Horse Shoe"/>
    <d v="2018-10-16T00:00:00"/>
    <s v="October"/>
    <x v="1"/>
    <d v="1899-12-30T00:29:00"/>
    <s v="Overcast"/>
    <x v="33"/>
    <s v="Foraging"/>
    <s v="Spruce"/>
    <n v="0"/>
    <m/>
    <n v="0"/>
    <m/>
    <s v="NA"/>
    <s v="NA"/>
    <s v="NA"/>
    <s v="NA"/>
    <s v="NA"/>
    <s v="NA"/>
    <m/>
    <m/>
    <s v="NA"/>
    <s v="NA"/>
    <m/>
    <m/>
    <m/>
    <m/>
    <n v="29"/>
    <n v="0"/>
    <n v="29"/>
    <n v="0"/>
    <n v="0"/>
    <n v="0"/>
    <n v="29"/>
    <s v="Probing"/>
    <m/>
    <n v="1"/>
    <n v="0"/>
  </r>
  <r>
    <s v="DSCN1813"/>
    <s v="HS1016_3"/>
    <n v="3"/>
    <n v="1"/>
    <s v="Horse Shoe"/>
    <d v="2018-10-16T00:00:00"/>
    <s v="October"/>
    <x v="1"/>
    <d v="1899-12-30T00:50:00"/>
    <s v="Overcast"/>
    <x v="33"/>
    <s v="Foraging"/>
    <s v="Spruce"/>
    <n v="1"/>
    <m/>
    <n v="0"/>
    <s v="Unknown"/>
    <s v="Unknown"/>
    <s v="Spruce trunk under bark"/>
    <s v="NA"/>
    <s v="NA"/>
    <s v="NA"/>
    <s v="NA"/>
    <m/>
    <m/>
    <s v="NA"/>
    <s v="NA"/>
    <m/>
    <m/>
    <m/>
    <m/>
    <n v="50"/>
    <n v="0"/>
    <n v="50"/>
    <n v="0"/>
    <n v="0"/>
    <n v="0"/>
    <n v="50"/>
    <m/>
    <m/>
    <m/>
    <m/>
  </r>
  <r>
    <s v="DSCN1814"/>
    <s v="HS1016_4"/>
    <n v="4"/>
    <n v="1"/>
    <s v="Horse Shoe"/>
    <d v="2018-10-16T00:00:00"/>
    <s v="October"/>
    <x v="1"/>
    <d v="1899-12-30T00:21:00"/>
    <s v="Overcast"/>
    <x v="33"/>
    <s v="Foraging"/>
    <s v="NA"/>
    <n v="1"/>
    <m/>
    <n v="0"/>
    <s v="Berry"/>
    <s v="Berry (Blueberry)"/>
    <s v="Ground"/>
    <s v="NA"/>
    <s v="NA"/>
    <s v="NA"/>
    <s v="NA"/>
    <m/>
    <m/>
    <s v="NA"/>
    <s v="NA"/>
    <m/>
    <m/>
    <m/>
    <m/>
    <n v="0"/>
    <n v="0"/>
    <n v="0"/>
    <n v="0"/>
    <n v="15"/>
    <n v="0"/>
    <n v="15"/>
    <m/>
    <m/>
    <m/>
    <m/>
  </r>
  <r>
    <s v="DSCN1815"/>
    <s v="HS1016_5"/>
    <n v="5"/>
    <n v="1"/>
    <s v="Horse Shoe"/>
    <d v="2018-10-16T00:00:00"/>
    <s v="October"/>
    <x v="1"/>
    <d v="1899-12-30T00:26:00"/>
    <s v="Overcast"/>
    <x v="33"/>
    <s v="Food handling"/>
    <s v="NA"/>
    <n v="1"/>
    <m/>
    <n v="0"/>
    <s v="Unknown"/>
    <s v="Unknown"/>
    <s v="unknown"/>
    <s v="NA"/>
    <s v="NA"/>
    <s v="NA"/>
    <s v="NA"/>
    <m/>
    <m/>
    <s v="NA"/>
    <s v="NA"/>
    <m/>
    <m/>
    <m/>
    <m/>
    <n v="0"/>
    <n v="0"/>
    <n v="0"/>
    <n v="0"/>
    <n v="0"/>
    <n v="0"/>
    <n v="0"/>
    <m/>
    <m/>
    <m/>
    <m/>
  </r>
  <r>
    <s v="DSCN1819"/>
    <s v="HS1016_6"/>
    <n v="6"/>
    <n v="1"/>
    <s v="Horse Shoe"/>
    <d v="2018-10-16T00:00:00"/>
    <s v="October"/>
    <x v="1"/>
    <d v="1899-12-30T00:28:00"/>
    <s v="Overcast"/>
    <x v="33"/>
    <s v="Foraging"/>
    <s v="Spruce"/>
    <n v="0"/>
    <m/>
    <n v="0"/>
    <m/>
    <s v="NA"/>
    <s v="NA"/>
    <s v="NA"/>
    <s v="NA"/>
    <s v="NA"/>
    <s v="NA"/>
    <m/>
    <m/>
    <s v="NA"/>
    <s v="NA"/>
    <m/>
    <m/>
    <m/>
    <m/>
    <n v="26"/>
    <n v="0"/>
    <n v="26"/>
    <n v="0"/>
    <n v="0"/>
    <n v="0"/>
    <n v="26"/>
    <m/>
    <m/>
    <m/>
    <m/>
  </r>
  <r>
    <s v="DSCN2063"/>
    <s v="HS1024_1"/>
    <n v="1"/>
    <n v="1"/>
    <s v="Horse Shoe"/>
    <d v="2018-10-24T00:00:00"/>
    <s v="October"/>
    <x v="1"/>
    <d v="1899-12-30T00:17:00"/>
    <m/>
    <x v="33"/>
    <s v="Food handling"/>
    <s v="Spruce"/>
    <n v="1"/>
    <m/>
    <n v="0"/>
    <s v="Animal flesh"/>
    <s v="Animal flesh"/>
    <s v="unknown"/>
    <s v="NA"/>
    <s v="NA"/>
    <s v="NA"/>
    <s v="NA"/>
    <m/>
    <m/>
    <s v="NA"/>
    <s v="NA"/>
    <m/>
    <m/>
    <m/>
    <m/>
    <n v="0"/>
    <n v="0"/>
    <n v="0"/>
    <n v="0"/>
    <n v="0"/>
    <n v="0"/>
    <n v="0"/>
    <m/>
    <m/>
    <m/>
    <m/>
  </r>
  <r>
    <s v="DSCN2064"/>
    <s v="HS1024_2"/>
    <n v="2"/>
    <n v="1"/>
    <s v="Horse Shoe"/>
    <d v="2018-10-24T00:00:00"/>
    <s v="October"/>
    <x v="1"/>
    <d v="1899-12-30T00:25:00"/>
    <m/>
    <x v="33"/>
    <s v="Food handling"/>
    <s v="Spruce"/>
    <n v="0"/>
    <m/>
    <n v="0"/>
    <s v="Animal flesh"/>
    <s v="Animal flesh"/>
    <s v="unknown"/>
    <s v="NA"/>
    <s v="NA"/>
    <s v="NA"/>
    <s v="NA"/>
    <m/>
    <m/>
    <s v="NA"/>
    <s v="NA"/>
    <m/>
    <m/>
    <m/>
    <m/>
    <n v="0"/>
    <n v="0"/>
    <n v="0"/>
    <n v="0"/>
    <n v="0"/>
    <n v="0"/>
    <n v="0"/>
    <m/>
    <s v="Same piece in previous video "/>
    <m/>
    <m/>
  </r>
  <r>
    <s v="DSCN2065"/>
    <s v="HS1024_3"/>
    <n v="3"/>
    <n v="1"/>
    <s v="Horse Shoe"/>
    <d v="2018-10-24T00:00:00"/>
    <s v="October"/>
    <x v="1"/>
    <d v="1899-12-30T00:07:00"/>
    <m/>
    <x v="33"/>
    <s v="Food handling"/>
    <s v="Spruce"/>
    <n v="0"/>
    <m/>
    <n v="0"/>
    <s v="Animal flesh"/>
    <s v="Animal flesh"/>
    <s v="unknown"/>
    <s v="NA"/>
    <s v="NA"/>
    <s v="NA"/>
    <s v="NA"/>
    <m/>
    <m/>
    <s v="NA"/>
    <s v="NA"/>
    <m/>
    <m/>
    <m/>
    <m/>
    <n v="0"/>
    <n v="0"/>
    <n v="0"/>
    <n v="0"/>
    <n v="0"/>
    <n v="0"/>
    <n v="0"/>
    <m/>
    <s v="Same piece in previous video "/>
    <m/>
    <m/>
  </r>
  <r>
    <s v="DSCN2069"/>
    <s v="HS1024_4"/>
    <n v="4"/>
    <n v="1"/>
    <s v="Horse Shoe"/>
    <d v="2018-10-24T00:00:00"/>
    <s v="October"/>
    <x v="1"/>
    <d v="1899-12-30T00:25:00"/>
    <m/>
    <x v="33"/>
    <s v="Foraging"/>
    <s v="Spruce"/>
    <s v="unknown"/>
    <m/>
    <n v="0"/>
    <m/>
    <s v="NA"/>
    <s v="NA"/>
    <s v="NA"/>
    <s v="NA"/>
    <s v="NA"/>
    <s v="NA"/>
    <m/>
    <m/>
    <s v="NA"/>
    <s v="NA"/>
    <m/>
    <m/>
    <m/>
    <m/>
    <n v="25"/>
    <n v="0"/>
    <n v="25"/>
    <n v="0"/>
    <n v="0"/>
    <n v="0"/>
    <n v="25"/>
    <s v="Searching"/>
    <m/>
    <m/>
    <m/>
  </r>
  <r>
    <s v="DSCN2086"/>
    <s v="HS1024_5"/>
    <n v="5"/>
    <n v="1"/>
    <s v="Horse Shoe"/>
    <d v="2018-10-24T00:00:00"/>
    <s v="October"/>
    <x v="1"/>
    <d v="1899-12-30T00:20:00"/>
    <m/>
    <x v="33"/>
    <s v="Foraging"/>
    <s v="Spruce"/>
    <n v="0"/>
    <m/>
    <n v="0"/>
    <m/>
    <s v="NA"/>
    <s v="NA"/>
    <s v="NA"/>
    <s v="NA"/>
    <s v="NA"/>
    <s v="NA"/>
    <m/>
    <m/>
    <s v="NA"/>
    <s v="NA"/>
    <m/>
    <m/>
    <m/>
    <m/>
    <n v="10"/>
    <n v="6"/>
    <n v="10"/>
    <n v="6"/>
    <n v="0"/>
    <n v="0"/>
    <n v="16"/>
    <s v="Searching"/>
    <m/>
    <m/>
    <m/>
  </r>
  <r>
    <s v="DSCN2093"/>
    <s v="HS1024_6"/>
    <n v="6"/>
    <n v="1"/>
    <s v="Horse Shoe"/>
    <d v="2018-10-24T00:00:00"/>
    <s v="October"/>
    <x v="1"/>
    <d v="1899-12-30T00:26:00"/>
    <m/>
    <x v="33"/>
    <s v="Foraging"/>
    <s v="Spruce"/>
    <s v="unknown"/>
    <m/>
    <n v="0"/>
    <m/>
    <s v="NA"/>
    <s v="NA"/>
    <s v="NA"/>
    <s v="NA"/>
    <s v="NA"/>
    <s v="NA"/>
    <m/>
    <m/>
    <s v="NA"/>
    <s v="NA"/>
    <m/>
    <m/>
    <m/>
    <m/>
    <n v="12"/>
    <n v="0"/>
    <n v="12"/>
    <n v="0"/>
    <n v="2"/>
    <n v="0"/>
    <n v="14"/>
    <s v="Searching"/>
    <m/>
    <m/>
    <m/>
  </r>
  <r>
    <s v="DSCN2041"/>
    <s v="RC1024_26"/>
    <n v="26"/>
    <n v="1"/>
    <s v="CCAMP"/>
    <d v="2018-10-24T00:00:00"/>
    <s v="October"/>
    <x v="1"/>
    <d v="1899-12-30T00:20:00"/>
    <m/>
    <x v="5"/>
    <s v="Caching"/>
    <s v="Spruce"/>
    <n v="0"/>
    <m/>
    <n v="1"/>
    <s v="Unknown"/>
    <s v="Unknown"/>
    <s v="Top of spruce in witch broom"/>
    <s v="Spruce trunk"/>
    <s v="Spruce"/>
    <s v="Trunk"/>
    <s v="Under bark"/>
    <m/>
    <m/>
    <n v="10"/>
    <n v="63.722700000000003"/>
    <n v="148.95214999999999"/>
    <m/>
    <m/>
    <m/>
    <n v="0"/>
    <n v="0"/>
    <n v="0"/>
    <n v="0"/>
    <n v="0"/>
    <n v="0"/>
    <n v="0"/>
    <m/>
    <m/>
    <m/>
    <m/>
  </r>
  <r>
    <s v="DSCN2105"/>
    <s v="RC1024_5"/>
    <n v="5"/>
    <n v="1"/>
    <s v="CCAMP"/>
    <d v="2018-10-24T00:00:00"/>
    <s v="October"/>
    <x v="1"/>
    <d v="1899-12-30T00:06:00"/>
    <m/>
    <x v="5"/>
    <s v="Foraging"/>
    <s v="NA"/>
    <n v="1"/>
    <m/>
    <n v="0"/>
    <s v="Berry"/>
    <s v="Berry (Blueberry)"/>
    <s v="Ground"/>
    <s v="NA"/>
    <s v="NA"/>
    <s v="NA"/>
    <s v="NA"/>
    <m/>
    <m/>
    <s v="NA"/>
    <s v="NA"/>
    <m/>
    <m/>
    <m/>
    <m/>
    <n v="0"/>
    <n v="0"/>
    <n v="0"/>
    <n v="0"/>
    <n v="0"/>
    <n v="0"/>
    <n v="0"/>
    <m/>
    <s v="Video start after bird finished foraging.  SIMILAR COMBO TO MOM, B&amp;UT WE SAW MOM THAT DAY AND SHE HAD ALL HER BANDS "/>
    <m/>
    <m/>
  </r>
  <r>
    <s v="DSCN2106"/>
    <s v="RC1024_6"/>
    <n v="6"/>
    <n v="1"/>
    <s v="CCAMP"/>
    <d v="2018-10-24T00:00:00"/>
    <s v="October"/>
    <x v="1"/>
    <d v="1899-12-30T00:28:00"/>
    <m/>
    <x v="5"/>
    <s v="Caching"/>
    <s v="Spruce"/>
    <n v="0"/>
    <m/>
    <n v="1"/>
    <s v="Berry"/>
    <s v="Berry (Blueberry)"/>
    <s v="Ground"/>
    <s v="Interior crown of spruce foliage"/>
    <s v="Spruce"/>
    <s v="Interior"/>
    <s v="Foliage"/>
    <m/>
    <m/>
    <n v="8"/>
    <n v="63.723059999999997"/>
    <n v="148.95411999999999"/>
    <m/>
    <m/>
    <m/>
    <n v="0"/>
    <n v="0"/>
    <n v="0"/>
    <n v="0"/>
    <n v="0"/>
    <n v="0"/>
    <n v="0"/>
    <m/>
    <s v="Strongly suspected cache.  Again, not LB/RS "/>
    <m/>
    <m/>
  </r>
  <r>
    <s v="DSCN2108"/>
    <s v="RC1024_8"/>
    <n v="8"/>
    <n v="2"/>
    <s v="CCAMP"/>
    <d v="2018-10-24T00:00:00"/>
    <s v="October"/>
    <x v="1"/>
    <d v="1899-12-30T02:21:00"/>
    <m/>
    <x v="5"/>
    <s v="Foraging/caching"/>
    <s v="Spruce"/>
    <n v="2"/>
    <m/>
    <n v="2"/>
    <s v="Berry"/>
    <s v="Berry (Blueberry)"/>
    <s v="Ground"/>
    <s v="Exterior spruce under witch hair"/>
    <s v="Spruce"/>
    <s v="Exterior"/>
    <s v="Branch under witch hair"/>
    <m/>
    <m/>
    <n v="5"/>
    <n v="63.723419999999997"/>
    <n v="148.95421999999999"/>
    <m/>
    <m/>
    <m/>
    <n v="0"/>
    <n v="0"/>
    <n v="0"/>
    <n v="0"/>
    <n v="0"/>
    <n v="0"/>
    <n v="0"/>
    <s v="Probing"/>
    <s v="Second one we were able to find and photograph in tree. Third was too high to find. Again, not seahawk's mom"/>
    <n v="3"/>
    <m/>
  </r>
  <r>
    <s v="DSCN2108"/>
    <s v="RC1024_8"/>
    <n v="8"/>
    <n v="1"/>
    <s v="CCAMP"/>
    <d v="2018-10-24T00:00:00"/>
    <s v="October"/>
    <x v="1"/>
    <d v="1899-12-30T02:21:00"/>
    <m/>
    <x v="5"/>
    <s v="Foraging/caching"/>
    <s v="Spruce"/>
    <n v="0"/>
    <m/>
    <n v="1"/>
    <s v="Unknown"/>
    <s v="Unknown"/>
    <s v="Unknown"/>
    <s v="Interior spruce near trunk under witch hair"/>
    <s v="Spruce"/>
    <s v="Interior"/>
    <s v="Branch under witch hair"/>
    <m/>
    <m/>
    <s v="Unknown"/>
    <n v="63.723379999999999"/>
    <n v="148.95421999999999"/>
    <m/>
    <m/>
    <m/>
    <n v="25"/>
    <n v="27"/>
    <n v="8"/>
    <n v="44"/>
    <n v="24"/>
    <n v="0"/>
    <n v="76"/>
    <s v="Probing"/>
    <s v="Missed foraging and caching for event 1.  "/>
    <n v="3"/>
    <m/>
  </r>
  <r>
    <s v="DSCN2111"/>
    <s v="RC1024_9"/>
    <n v="9"/>
    <n v="1"/>
    <s v="CCAMP"/>
    <d v="2018-10-24T00:00:00"/>
    <s v="October"/>
    <x v="1"/>
    <d v="1899-12-30T00:29:00"/>
    <m/>
    <x v="5"/>
    <s v="Foraging"/>
    <s v="Spruce"/>
    <n v="0"/>
    <m/>
    <n v="0"/>
    <m/>
    <s v="NA"/>
    <s v="NA"/>
    <s v="NA"/>
    <s v="NA"/>
    <s v="NA"/>
    <s v="NA"/>
    <m/>
    <m/>
    <s v="NA"/>
    <s v="NA"/>
    <m/>
    <m/>
    <m/>
    <m/>
    <n v="0"/>
    <n v="6"/>
    <n v="0"/>
    <n v="6"/>
    <n v="0"/>
    <n v="0"/>
    <n v="6"/>
    <s v="Searching"/>
    <m/>
    <m/>
    <m/>
  </r>
  <r>
    <s v="DSCN2112"/>
    <s v="RC1024_10"/>
    <n v="10"/>
    <n v="1"/>
    <s v="CCAMP"/>
    <d v="2018-10-24T00:00:00"/>
    <s v="October"/>
    <x v="1"/>
    <d v="1899-12-30T00:10:00"/>
    <m/>
    <x v="5"/>
    <s v="Foraging"/>
    <s v="Spruce"/>
    <n v="0"/>
    <m/>
    <n v="0"/>
    <m/>
    <s v="NA"/>
    <s v="NA"/>
    <s v="NA"/>
    <s v="NA"/>
    <s v="NA"/>
    <s v="NA"/>
    <m/>
    <m/>
    <s v="NA"/>
    <s v="NA"/>
    <m/>
    <m/>
    <m/>
    <m/>
    <n v="0"/>
    <n v="8"/>
    <n v="8"/>
    <n v="0"/>
    <n v="0"/>
    <n v="0"/>
    <n v="8"/>
    <s v="Searching"/>
    <m/>
    <m/>
    <m/>
  </r>
  <r>
    <s v="DSCN2113"/>
    <s v="RC1024_11"/>
    <n v="11"/>
    <n v="1"/>
    <s v="CCAMP"/>
    <d v="2018-10-24T00:00:00"/>
    <s v="October"/>
    <x v="1"/>
    <d v="1899-12-30T00:10:00"/>
    <m/>
    <x v="5"/>
    <s v="Foraging"/>
    <s v="Spruce"/>
    <n v="0"/>
    <m/>
    <n v="0"/>
    <m/>
    <s v="NA"/>
    <s v="NA"/>
    <s v="NA"/>
    <s v="NA"/>
    <s v="NA"/>
    <s v="NA"/>
    <m/>
    <m/>
    <s v="NA"/>
    <s v="NA"/>
    <m/>
    <m/>
    <m/>
    <m/>
    <n v="8"/>
    <n v="0"/>
    <n v="8"/>
    <n v="0"/>
    <n v="0"/>
    <n v="0"/>
    <n v="8"/>
    <s v="Searching"/>
    <m/>
    <m/>
    <m/>
  </r>
  <r>
    <s v="DSCN2114"/>
    <s v="RC1024_12"/>
    <n v="12"/>
    <n v="1"/>
    <s v="CCAMP"/>
    <d v="2018-10-24T00:00:00"/>
    <s v="October"/>
    <x v="1"/>
    <d v="1899-12-30T00:25:00"/>
    <m/>
    <x v="5"/>
    <s v="Foraging"/>
    <s v="NA"/>
    <n v="1"/>
    <m/>
    <n v="0"/>
    <s v="Berry"/>
    <s v="Berry (Blueberry)"/>
    <s v="Ground"/>
    <s v="NA"/>
    <s v="NA"/>
    <s v="NA"/>
    <s v="NA"/>
    <m/>
    <m/>
    <s v="NA"/>
    <s v="NA"/>
    <m/>
    <m/>
    <m/>
    <m/>
    <n v="0"/>
    <n v="0"/>
    <n v="0"/>
    <n v="0"/>
    <n v="23"/>
    <n v="0"/>
    <n v="23"/>
    <m/>
    <m/>
    <m/>
    <m/>
  </r>
  <r>
    <s v="DSCN2115"/>
    <s v="RC1024_13"/>
    <n v="13"/>
    <n v="1"/>
    <s v="CCAMP"/>
    <d v="2018-10-24T00:00:00"/>
    <s v="October"/>
    <x v="1"/>
    <d v="1899-12-30T00:39:00"/>
    <m/>
    <x v="5"/>
    <s v="Foraging"/>
    <s v="Spruce"/>
    <s v="unknown"/>
    <m/>
    <n v="0"/>
    <s v="Unknown"/>
    <s v="Unknown"/>
    <s v="NA"/>
    <s v="NA"/>
    <s v="NA"/>
    <s v="NA"/>
    <s v="NA"/>
    <m/>
    <m/>
    <s v="NA"/>
    <s v="NA"/>
    <m/>
    <m/>
    <m/>
    <m/>
    <n v="37"/>
    <n v="0"/>
    <n v="0"/>
    <n v="37"/>
    <n v="0"/>
    <n v="0"/>
    <n v="37"/>
    <m/>
    <m/>
    <m/>
    <m/>
  </r>
  <r>
    <s v="DSCN2127"/>
    <s v="RC1024_16"/>
    <n v="16"/>
    <n v="1"/>
    <s v="CCAMP"/>
    <d v="2018-10-24T00:00:00"/>
    <s v="October"/>
    <x v="1"/>
    <d v="1899-12-30T01:04:00"/>
    <m/>
    <x v="5"/>
    <s v="Foraging"/>
    <s v="Aspen and spruce"/>
    <n v="1"/>
    <m/>
    <n v="0"/>
    <s v="Unknown"/>
    <s v="Unknown"/>
    <s v="Aspen branch under bark"/>
    <s v="NA"/>
    <s v="NA"/>
    <s v="NA"/>
    <s v="NA"/>
    <m/>
    <m/>
    <s v="NA"/>
    <s v="NA"/>
    <m/>
    <m/>
    <m/>
    <m/>
    <n v="64"/>
    <n v="0"/>
    <n v="0"/>
    <n v="64"/>
    <n v="0"/>
    <n v="0"/>
    <n v="64"/>
    <s v="Probing"/>
    <s v="Not mom! "/>
    <n v="1"/>
    <n v="0"/>
  </r>
  <r>
    <s v="DSCN2130"/>
    <s v="RC1024_18"/>
    <n v="18"/>
    <n v="1"/>
    <s v="CCAMP"/>
    <d v="2018-10-24T00:00:00"/>
    <s v="October"/>
    <x v="1"/>
    <d v="1899-12-30T00:27:00"/>
    <m/>
    <x v="5"/>
    <s v="Foraging (cache recovery)/food handling"/>
    <s v="Spruce"/>
    <n v="1"/>
    <m/>
    <n v="0"/>
    <s v="Animal flesh"/>
    <s v="Animal flesh (Piece of vole)"/>
    <s v="Spruce branch"/>
    <s v="NA"/>
    <s v="NA"/>
    <s v="NA"/>
    <s v="NA"/>
    <m/>
    <m/>
    <s v="NA"/>
    <s v="NA"/>
    <m/>
    <m/>
    <m/>
    <m/>
    <n v="0"/>
    <n v="0"/>
    <n v="0"/>
    <n v="0"/>
    <n v="0"/>
    <n v="0"/>
    <n v="0"/>
    <m/>
    <m/>
    <m/>
    <m/>
  </r>
  <r>
    <s v="DSCN2131"/>
    <s v="RC1024_19"/>
    <n v="19"/>
    <n v="1"/>
    <s v="CCAMP"/>
    <d v="2018-10-24T00:00:00"/>
    <s v="October"/>
    <x v="1"/>
    <d v="1899-12-30T00:25:00"/>
    <m/>
    <x v="5"/>
    <s v="Food handling"/>
    <s v="Spruce"/>
    <n v="0"/>
    <m/>
    <n v="0"/>
    <s v="Animal flesh"/>
    <s v="Animal flesh (Piece of vole)"/>
    <s v="Spruce branch"/>
    <s v="NA"/>
    <s v="NA"/>
    <s v="NA"/>
    <s v="NA"/>
    <m/>
    <m/>
    <s v="NA"/>
    <s v="NA"/>
    <m/>
    <m/>
    <m/>
    <m/>
    <n v="0"/>
    <n v="0"/>
    <n v="0"/>
    <n v="0"/>
    <n v="0"/>
    <n v="0"/>
    <n v="0"/>
    <m/>
    <s v="Same as previous video"/>
    <m/>
    <m/>
  </r>
  <r>
    <s v="DSCN2132"/>
    <s v="RC1024_20"/>
    <n v="20"/>
    <n v="1"/>
    <s v="CCAMP"/>
    <d v="2018-10-24T00:00:00"/>
    <s v="October"/>
    <x v="1"/>
    <d v="1899-12-30T01:22:00"/>
    <m/>
    <x v="5"/>
    <s v="Food handling/caching"/>
    <s v="Spruce and birch"/>
    <n v="0"/>
    <m/>
    <n v="1"/>
    <s v="Animal flesh"/>
    <s v="Animal flesh (Piece of vole)"/>
    <s v="Spruce branch"/>
    <s v="Exterior spruce foliage"/>
    <s v="Spruce"/>
    <s v="Exterior"/>
    <s v="Foliage"/>
    <m/>
    <m/>
    <n v="8"/>
    <n v="63.724319999999999"/>
    <n v="148.95133999999999"/>
    <m/>
    <m/>
    <m/>
    <n v="0"/>
    <n v="0"/>
    <n v="0"/>
    <n v="0"/>
    <n v="0"/>
    <n v="0"/>
    <n v="0"/>
    <m/>
    <s v="Same as previous video"/>
    <m/>
    <m/>
  </r>
  <r>
    <s v="DSCN2132"/>
    <s v="RC1024_20"/>
    <n v="20"/>
    <n v="2"/>
    <s v="CCAMP"/>
    <d v="2018-10-24T00:00:00"/>
    <s v="October"/>
    <x v="1"/>
    <d v="1899-12-30T01:22:00"/>
    <m/>
    <x v="5"/>
    <s v="Food handling/caching"/>
    <s v="Spruce and birch"/>
    <n v="0"/>
    <m/>
    <n v="1"/>
    <s v="Animal flesh"/>
    <s v="Animal flesh (Piece of vole)"/>
    <s v="Spruce branch"/>
    <s v="Under birch bark on trunk"/>
    <s v="Birch"/>
    <s v="Trunk"/>
    <s v="Under bark"/>
    <m/>
    <m/>
    <n v="8"/>
    <n v="63.724290000000003"/>
    <n v="148.95132000000001"/>
    <m/>
    <m/>
    <m/>
    <n v="0"/>
    <n v="0"/>
    <n v="0"/>
    <n v="0"/>
    <n v="0"/>
    <n v="0"/>
    <n v="0"/>
    <m/>
    <s v="Same as previous video"/>
    <m/>
    <m/>
  </r>
  <r>
    <s v="DSCN2135"/>
    <s v="RC1024_21"/>
    <n v="21"/>
    <n v="1"/>
    <s v="CCAMP"/>
    <d v="2018-10-24T00:00:00"/>
    <s v="October"/>
    <x v="1"/>
    <d v="1899-12-30T00:18:00"/>
    <m/>
    <x v="5"/>
    <s v="Foraging"/>
    <s v="NA"/>
    <s v="unknown"/>
    <m/>
    <n v="0"/>
    <m/>
    <s v="NA"/>
    <s v="NA"/>
    <s v="NA"/>
    <s v="NA"/>
    <s v="NA"/>
    <s v="NA"/>
    <m/>
    <m/>
    <s v="NA"/>
    <s v="NA"/>
    <m/>
    <m/>
    <m/>
    <m/>
    <n v="0"/>
    <n v="0"/>
    <n v="0"/>
    <n v="0"/>
    <n v="2"/>
    <n v="0"/>
    <n v="2"/>
    <m/>
    <m/>
    <m/>
    <m/>
  </r>
  <r>
    <s v="DSCN2136"/>
    <s v="RC1024_22"/>
    <n v="22"/>
    <n v="1"/>
    <s v="CCAMP"/>
    <d v="2018-10-24T00:00:00"/>
    <s v="October"/>
    <x v="1"/>
    <d v="1899-12-30T00:23:00"/>
    <m/>
    <x v="5"/>
    <s v="Foraging"/>
    <s v="Spruce"/>
    <n v="0"/>
    <m/>
    <n v="0"/>
    <m/>
    <s v="NA"/>
    <s v="NA"/>
    <s v="NA"/>
    <s v="NA"/>
    <s v="NA"/>
    <s v="NA"/>
    <m/>
    <m/>
    <s v="NA"/>
    <s v="NA"/>
    <m/>
    <m/>
    <m/>
    <m/>
    <n v="0"/>
    <n v="21"/>
    <n v="0"/>
    <n v="21"/>
    <n v="0"/>
    <n v="0"/>
    <n v="21"/>
    <s v="Searching"/>
    <m/>
    <m/>
    <m/>
  </r>
  <r>
    <s v="DSCN2137"/>
    <s v="RC1024_23"/>
    <n v="23"/>
    <n v="1"/>
    <s v="CCAMP"/>
    <d v="2018-10-24T00:00:00"/>
    <s v="October"/>
    <x v="1"/>
    <d v="1899-12-30T00:07:00"/>
    <m/>
    <x v="5"/>
    <s v="Foraging"/>
    <s v="Spruce"/>
    <n v="0"/>
    <m/>
    <n v="0"/>
    <m/>
    <s v="NA"/>
    <s v="NA"/>
    <s v="NA"/>
    <s v="NA"/>
    <s v="NA"/>
    <s v="NA"/>
    <m/>
    <m/>
    <s v="NA"/>
    <s v="NA"/>
    <m/>
    <m/>
    <m/>
    <m/>
    <n v="6"/>
    <n v="0"/>
    <n v="6"/>
    <n v="0"/>
    <n v="0"/>
    <n v="0"/>
    <n v="6"/>
    <s v="Searching"/>
    <m/>
    <m/>
    <m/>
  </r>
  <r>
    <s v="DSCN2139"/>
    <s v="RC1024_24"/>
    <n v="24"/>
    <n v="1"/>
    <s v="CCAMP"/>
    <d v="2018-10-24T00:00:00"/>
    <s v="October"/>
    <x v="1"/>
    <d v="1899-12-30T00:23:00"/>
    <m/>
    <x v="5"/>
    <s v="Caching"/>
    <s v="Spruce"/>
    <n v="0"/>
    <m/>
    <n v="1"/>
    <s v="Unknown"/>
    <s v="Unknown"/>
    <s v="unknown"/>
    <s v="Spruce trunk under bark"/>
    <s v="Spruce"/>
    <s v="Trunk"/>
    <s v="Under bark"/>
    <m/>
    <m/>
    <s v="unknown"/>
    <n v="63.722619999999999"/>
    <n v="148.95219"/>
    <m/>
    <m/>
    <m/>
    <n v="0"/>
    <n v="0"/>
    <n v="0"/>
    <n v="0"/>
    <n v="0"/>
    <n v="0"/>
    <n v="0"/>
    <m/>
    <s v="Suspected B&amp;Ut unconfirmed cache"/>
    <m/>
    <m/>
  </r>
  <r>
    <s v="DSCN2140"/>
    <s v="RC1024_25"/>
    <n v="25"/>
    <n v="1"/>
    <s v="CCAMP"/>
    <d v="2018-10-24T00:00:00"/>
    <s v="October"/>
    <x v="1"/>
    <d v="1899-12-30T00:05:00"/>
    <m/>
    <x v="5"/>
    <s v="Foraging"/>
    <s v="Spruce"/>
    <n v="1"/>
    <m/>
    <n v="0"/>
    <s v="Unknown"/>
    <s v="Unknown"/>
    <s v="Top of spruce in witch broom"/>
    <s v="NA"/>
    <s v="NA"/>
    <s v="NA"/>
    <s v="NA"/>
    <m/>
    <m/>
    <s v="NA"/>
    <s v="NA"/>
    <m/>
    <m/>
    <m/>
    <m/>
    <n v="0"/>
    <n v="0"/>
    <n v="0"/>
    <n v="0"/>
    <n v="0"/>
    <n v="0"/>
    <n v="0"/>
    <m/>
    <s v="Video start after bird finished foraging. "/>
    <m/>
    <m/>
  </r>
  <r>
    <s v="DSCN2142"/>
    <s v="RC1024_27"/>
    <n v="27"/>
    <n v="1"/>
    <s v="CCAMP"/>
    <d v="2018-10-24T00:00:00"/>
    <s v="October"/>
    <x v="1"/>
    <d v="1899-12-30T00:32:00"/>
    <m/>
    <x v="5"/>
    <s v="Foraging"/>
    <s v="Spruce"/>
    <s v="unknown"/>
    <m/>
    <n v="0"/>
    <s v="Unknown"/>
    <s v="Unknown"/>
    <s v="NA"/>
    <s v="NA"/>
    <s v="NA"/>
    <s v="NA"/>
    <s v="NA"/>
    <m/>
    <m/>
    <s v="NA"/>
    <s v="NA"/>
    <m/>
    <m/>
    <m/>
    <m/>
    <n v="7"/>
    <n v="24"/>
    <n v="14"/>
    <n v="17"/>
    <n v="0"/>
    <n v="0"/>
    <n v="31"/>
    <m/>
    <m/>
    <m/>
    <m/>
  </r>
  <r>
    <s v="DSCN2310"/>
    <s v="RC1031_1"/>
    <n v="1"/>
    <n v="1"/>
    <s v="CCAMP"/>
    <d v="2018-10-31T00:00:00"/>
    <s v="October"/>
    <x v="1"/>
    <d v="1899-12-30T00:11:00"/>
    <s v="Partly cloudy"/>
    <x v="5"/>
    <s v="Foraging"/>
    <s v="Spruce"/>
    <n v="1"/>
    <m/>
    <n v="0"/>
    <s v="Unknown"/>
    <s v="Unknown"/>
    <s v="Exterior spruce foliage"/>
    <s v="NA"/>
    <s v="NA"/>
    <s v="NA"/>
    <s v="NA"/>
    <m/>
    <m/>
    <s v="NA"/>
    <s v="NA"/>
    <m/>
    <m/>
    <m/>
    <m/>
    <n v="0"/>
    <n v="0"/>
    <n v="0"/>
    <n v="0"/>
    <n v="0"/>
    <n v="0"/>
    <n v="0"/>
    <m/>
    <s v="Did not catch foraging "/>
    <m/>
    <m/>
  </r>
  <r>
    <s v="DSCN2318"/>
    <s v="RC1031_3"/>
    <n v="3"/>
    <n v="1"/>
    <s v="CCAMP"/>
    <d v="2018-10-31T00:00:00"/>
    <s v="October"/>
    <x v="1"/>
    <d v="1899-12-30T00:45:00"/>
    <s v="Partly cloudy"/>
    <x v="5"/>
    <s v="Foraging"/>
    <s v="Spruce"/>
    <n v="1"/>
    <m/>
    <n v="0"/>
    <s v="Unknown"/>
    <s v="Unknown"/>
    <s v="Exterior bare branch in witch hair"/>
    <s v="NA"/>
    <s v="NA"/>
    <s v="NA"/>
    <s v="NA"/>
    <m/>
    <m/>
    <s v="NA"/>
    <s v="NA"/>
    <m/>
    <m/>
    <m/>
    <m/>
    <n v="45"/>
    <n v="0"/>
    <n v="0"/>
    <n v="45"/>
    <n v="0"/>
    <n v="0"/>
    <n v="45"/>
    <s v="Gleaning"/>
    <m/>
    <n v="0"/>
    <n v="3"/>
  </r>
  <r>
    <s v="DSCN2324"/>
    <s v="RC1031_6"/>
    <n v="6"/>
    <n v="1"/>
    <s v="CCAMP"/>
    <d v="2018-10-31T00:00:00"/>
    <s v="October"/>
    <x v="1"/>
    <d v="1899-12-30T00:37:00"/>
    <s v="Partly cloudy"/>
    <x v="5"/>
    <s v="Caching"/>
    <s v="Spruce"/>
    <n v="0"/>
    <m/>
    <n v="1"/>
    <s v="Unknown"/>
    <s v="Unknown"/>
    <s v="unknown"/>
    <s v="Interior bare spruce branch under bark"/>
    <s v="Spruce"/>
    <s v="Interior"/>
    <s v="Under bark"/>
    <m/>
    <m/>
    <s v="unknown"/>
    <n v="63.722760000000001"/>
    <n v="148.95087000000001"/>
    <m/>
    <m/>
    <m/>
    <n v="0"/>
    <n v="0"/>
    <n v="0"/>
    <n v="0"/>
    <n v="0"/>
    <n v="0"/>
    <n v="0"/>
    <m/>
    <m/>
    <m/>
    <m/>
  </r>
  <r>
    <s v="DSCN2333"/>
    <s v="RC1031_11"/>
    <n v="11"/>
    <n v="1"/>
    <s v="CCAMP"/>
    <d v="2018-10-31T00:00:00"/>
    <s v="October"/>
    <x v="1"/>
    <d v="1899-12-30T00:24:00"/>
    <s v="Partly cloudy"/>
    <x v="5"/>
    <s v="Foraging"/>
    <s v="Spruce"/>
    <n v="0"/>
    <m/>
    <n v="0"/>
    <m/>
    <s v="NA"/>
    <s v="NA"/>
    <s v="NA"/>
    <s v="NA"/>
    <s v="NA"/>
    <s v="NA"/>
    <m/>
    <m/>
    <s v="NA"/>
    <s v="NA"/>
    <m/>
    <m/>
    <m/>
    <m/>
    <n v="17"/>
    <n v="0"/>
    <n v="17"/>
    <n v="0"/>
    <n v="0"/>
    <n v="0"/>
    <n v="17"/>
    <m/>
    <m/>
    <m/>
    <m/>
  </r>
  <r>
    <s v="DSCN1350"/>
    <s v="B&amp;U1006_1"/>
    <n v="1"/>
    <n v="1"/>
    <s v="B&amp;U"/>
    <d v="2018-10-06T00:00:00"/>
    <s v="October"/>
    <x v="1"/>
    <d v="1899-12-30T00:10:00"/>
    <s v="Mostly sunny"/>
    <x v="6"/>
    <s v="Foraging"/>
    <s v="NA"/>
    <n v="1"/>
    <m/>
    <n v="0"/>
    <s v="Berry"/>
    <s v="Berry (Blueberry)"/>
    <s v="Ground"/>
    <s v="NA"/>
    <s v="NA"/>
    <s v="NA"/>
    <s v="NA"/>
    <m/>
    <m/>
    <s v="NA"/>
    <s v="NA"/>
    <m/>
    <m/>
    <m/>
    <m/>
    <n v="0"/>
    <n v="0"/>
    <n v="0"/>
    <n v="0"/>
    <n v="10"/>
    <n v="0"/>
    <n v="10"/>
    <s v="Searching"/>
    <m/>
    <m/>
    <m/>
  </r>
  <r>
    <s v="DSCN1351"/>
    <s v="B&amp;U1006_2"/>
    <n v="2"/>
    <n v="1"/>
    <s v="B&amp;U"/>
    <d v="2018-10-06T00:00:00"/>
    <s v="October"/>
    <x v="1"/>
    <d v="1899-12-30T00:14:00"/>
    <s v="Mostly sunny"/>
    <x v="6"/>
    <s v="Foraging"/>
    <s v="NA"/>
    <n v="1"/>
    <m/>
    <n v="0"/>
    <s v="Unknown"/>
    <s v="Unknown"/>
    <s v="Ground"/>
    <s v="NA"/>
    <s v="NA"/>
    <s v="NA"/>
    <s v="NA"/>
    <m/>
    <m/>
    <s v="NA"/>
    <s v="NA"/>
    <m/>
    <m/>
    <m/>
    <m/>
    <n v="0"/>
    <n v="0"/>
    <n v="0"/>
    <n v="0"/>
    <n v="10"/>
    <n v="0"/>
    <n v="10"/>
    <m/>
    <s v="Likely B&amp;Ug B&amp;Ut not sure enough to mark.  "/>
    <m/>
    <m/>
  </r>
  <r>
    <s v="DSCN1353"/>
    <s v="B&amp;U1006_4"/>
    <n v="4"/>
    <n v="1"/>
    <s v="B&amp;U"/>
    <d v="2018-10-06T00:00:00"/>
    <s v="October"/>
    <x v="1"/>
    <d v="1899-12-30T00:16:00"/>
    <s v="Mostly sunny"/>
    <x v="6"/>
    <s v="Foraging"/>
    <s v="NA"/>
    <n v="1"/>
    <m/>
    <n v="0"/>
    <s v="Berry"/>
    <s v="Berry (Pumpkin berry)"/>
    <s v="Ground"/>
    <s v="NA"/>
    <s v="NA"/>
    <s v="NA"/>
    <s v="NA"/>
    <m/>
    <m/>
    <s v="NA"/>
    <s v="NA"/>
    <m/>
    <m/>
    <m/>
    <m/>
    <n v="0"/>
    <n v="0"/>
    <n v="0"/>
    <n v="0"/>
    <n v="0"/>
    <n v="0"/>
    <n v="0"/>
    <m/>
    <s v="Not recorded on camera"/>
    <m/>
    <m/>
  </r>
  <r>
    <s v="DSCN1354"/>
    <s v="B&amp;U1006_5"/>
    <n v="5"/>
    <n v="1"/>
    <s v="B&amp;U"/>
    <d v="2018-10-06T00:00:00"/>
    <s v="October"/>
    <x v="1"/>
    <d v="1899-12-30T00:11:00"/>
    <s v="Mostly sunny"/>
    <x v="6"/>
    <s v="Food handling"/>
    <s v="NA"/>
    <n v="0"/>
    <m/>
    <n v="0"/>
    <s v="Berry"/>
    <s v="Berry (Pumpkin berry)"/>
    <s v="NA"/>
    <s v="NA"/>
    <s v="NA"/>
    <s v="NA"/>
    <s v="NA"/>
    <m/>
    <m/>
    <s v="NA"/>
    <s v="NA"/>
    <m/>
    <m/>
    <m/>
    <m/>
    <n v="0"/>
    <n v="0"/>
    <n v="0"/>
    <n v="0"/>
    <n v="0"/>
    <n v="0"/>
    <n v="0"/>
    <m/>
    <s v="Manipulating orange berry from previous video"/>
    <m/>
    <m/>
  </r>
  <r>
    <s v="DSCN1355"/>
    <s v="B&amp;U1006_6"/>
    <n v="6"/>
    <n v="1"/>
    <s v="B&amp;U"/>
    <d v="2018-10-06T00:00:00"/>
    <s v="October"/>
    <x v="1"/>
    <d v="1899-12-30T00:17:00"/>
    <s v="Mostly sunny"/>
    <x v="6"/>
    <s v="Caching"/>
    <s v="Spruce"/>
    <n v="0"/>
    <m/>
    <n v="1"/>
    <s v="Unknown"/>
    <s v="unknown, B&amp;Ut could have included orange berry from before"/>
    <s v="unknown"/>
    <s v="Spruce trunk under bark"/>
    <s v="Spruce"/>
    <s v="Trunk"/>
    <s v="Under bark"/>
    <m/>
    <m/>
    <s v="unknown"/>
    <n v="63.724710000000002"/>
    <n v="148.95338000000001"/>
    <m/>
    <m/>
    <m/>
    <n v="0"/>
    <n v="0"/>
    <n v="0"/>
    <n v="0"/>
    <n v="0"/>
    <n v="0"/>
    <n v="0"/>
    <m/>
    <m/>
    <m/>
    <m/>
  </r>
  <r>
    <s v="DSCN1360"/>
    <s v="B&amp;U1006_7"/>
    <n v="7"/>
    <n v="1"/>
    <s v="B&amp;U"/>
    <d v="2018-10-06T00:00:00"/>
    <s v="October"/>
    <x v="1"/>
    <d v="1899-12-30T00:13:00"/>
    <s v="Mostly sunny"/>
    <x v="6"/>
    <s v="Caching"/>
    <s v="Spruce"/>
    <n v="0"/>
    <m/>
    <n v="1"/>
    <s v="Unknown"/>
    <s v="Unknown"/>
    <s v="unknown"/>
    <s v="Spruce trunk under bark"/>
    <s v="Spruce"/>
    <s v="Trunk"/>
    <s v="Under bark and witch hair "/>
    <m/>
    <m/>
    <s v="unknown"/>
    <n v="63.72475"/>
    <n v="148.95241999999999"/>
    <m/>
    <m/>
    <m/>
    <n v="0"/>
    <n v="0"/>
    <n v="0"/>
    <n v="0"/>
    <n v="0"/>
    <n v="0"/>
    <n v="0"/>
    <m/>
    <s v="Excellent cache video.  "/>
    <m/>
    <m/>
  </r>
  <r>
    <s v="DSCN1361"/>
    <s v="B&amp;U1006_8"/>
    <n v="8"/>
    <n v="1"/>
    <s v="B&amp;U"/>
    <d v="2018-10-06T00:00:00"/>
    <s v="October"/>
    <x v="1"/>
    <d v="1899-12-30T00:22:00"/>
    <s v="Mostly sunny"/>
    <x v="6"/>
    <s v="Caching"/>
    <s v="Spruce"/>
    <n v="1"/>
    <m/>
    <n v="1"/>
    <s v="Unknown"/>
    <s v="Unknown"/>
    <s v="Ground"/>
    <s v="Exterior spruce branch under bark/witch hair"/>
    <s v="Spruce"/>
    <s v="Exterior"/>
    <s v="Under bark and witch hair "/>
    <m/>
    <m/>
    <n v="1"/>
    <n v="63.724789999999999"/>
    <n v="148.95250999999999"/>
    <m/>
    <m/>
    <m/>
    <n v="0"/>
    <n v="0"/>
    <n v="0"/>
    <n v="0"/>
    <n v="0"/>
    <n v="0"/>
    <n v="0"/>
    <m/>
    <s v="Cache not recorded on video.  Second cache found by accident in same tree.  Large piece of mushroom (based on texture and smell).  KS notcied it sticking out from under a piece of bark on the trunk.  You could see the cystalized saliva.  KS collected.  We also returned later to put a camera on this cache tree. "/>
    <m/>
    <m/>
  </r>
  <r>
    <s v="DSCN1362"/>
    <s v="B&amp;U1006_9"/>
    <n v="9"/>
    <n v="1"/>
    <s v="B&amp;U"/>
    <d v="2018-10-06T00:00:00"/>
    <s v="October"/>
    <x v="1"/>
    <d v="1899-12-30T00:18:00"/>
    <s v="Mostly sunny"/>
    <x v="6"/>
    <s v="Caching"/>
    <s v="Spruce"/>
    <n v="0"/>
    <m/>
    <n v="1"/>
    <s v="Unknown"/>
    <s v="Unknown"/>
    <s v="unknown"/>
    <s v="Exterior spruce foliage"/>
    <s v="Spruce"/>
    <s v="Exterior"/>
    <s v="Foliage"/>
    <m/>
    <m/>
    <s v="unknown"/>
    <n v="63.724919999999997"/>
    <n v="148.95245"/>
    <m/>
    <m/>
    <m/>
    <n v="0"/>
    <n v="0"/>
    <n v="0"/>
    <n v="0"/>
    <n v="0"/>
    <n v="0"/>
    <n v="0"/>
    <m/>
    <s v="Caches not recorded on video"/>
    <m/>
    <m/>
  </r>
  <r>
    <s v="DSCN1362"/>
    <s v="B&amp;U1006_9"/>
    <n v="9"/>
    <n v="2"/>
    <s v="B&amp;U"/>
    <d v="2018-10-06T00:00:00"/>
    <s v="October"/>
    <x v="1"/>
    <d v="1899-12-30T00:18:00"/>
    <s v="Mostly sunny"/>
    <x v="6"/>
    <s v="Caching"/>
    <s v="Spruce"/>
    <n v="0"/>
    <m/>
    <n v="1"/>
    <s v="Unknown"/>
    <s v="Unknown"/>
    <s v="unknown"/>
    <s v="Exterior spruce foliage"/>
    <s v="Spruce"/>
    <s v="Exterior"/>
    <s v="Foliage"/>
    <m/>
    <m/>
    <s v="unknown"/>
    <n v="63.724919999999997"/>
    <n v="148.95258000000001"/>
    <m/>
    <m/>
    <m/>
    <n v="0"/>
    <n v="0"/>
    <n v="0"/>
    <n v="0"/>
    <n v="0"/>
    <n v="0"/>
    <n v="0"/>
    <m/>
    <s v="Caches not recorded on video"/>
    <m/>
    <m/>
  </r>
  <r>
    <s v="DSCN1866"/>
    <s v="B&amp;U1017_6"/>
    <n v="6"/>
    <n v="1"/>
    <s v="B&amp;U"/>
    <d v="2018-10-17T00:00:00"/>
    <s v="October"/>
    <x v="1"/>
    <d v="1899-12-30T00:11:00"/>
    <s v="Overcast"/>
    <x v="6"/>
    <s v="Foraging"/>
    <s v="NA"/>
    <n v="1"/>
    <m/>
    <n v="0"/>
    <s v="Berry"/>
    <s v="Berry (Blueberry)"/>
    <s v="Ground"/>
    <s v="NA"/>
    <s v="NA"/>
    <s v="NA"/>
    <s v="NA"/>
    <m/>
    <m/>
    <s v="NA"/>
    <s v="NA"/>
    <m/>
    <m/>
    <m/>
    <m/>
    <n v="0"/>
    <n v="0"/>
    <n v="0"/>
    <n v="0"/>
    <n v="10"/>
    <n v="0"/>
    <n v="10"/>
    <m/>
    <m/>
    <m/>
    <m/>
  </r>
  <r>
    <s v="DSCN1867"/>
    <s v="B&amp;U1017_7"/>
    <n v="7"/>
    <n v="1"/>
    <s v="B&amp;U"/>
    <d v="2018-10-17T00:00:00"/>
    <s v="October"/>
    <x v="1"/>
    <d v="1899-12-30T00:14:00"/>
    <s v="Overcast"/>
    <x v="6"/>
    <s v="Caching"/>
    <s v="Spruce"/>
    <n v="0"/>
    <m/>
    <n v="1"/>
    <s v="Berry"/>
    <s v="Berry (Blueberry)"/>
    <s v="Ground"/>
    <s v="Interior bare spruce branch under bark"/>
    <s v="Spruce"/>
    <s v="Interior"/>
    <s v="Under bark"/>
    <m/>
    <m/>
    <n v="8"/>
    <n v="63.725540000000002"/>
    <n v="148.9563"/>
    <m/>
    <m/>
    <m/>
    <n v="0"/>
    <n v="0"/>
    <n v="0"/>
    <n v="0"/>
    <n v="0"/>
    <n v="0"/>
    <n v="0"/>
    <m/>
    <m/>
    <m/>
    <m/>
  </r>
  <r>
    <s v="DSCN1869"/>
    <s v="B&amp;U1017_8"/>
    <n v="8"/>
    <n v="1"/>
    <s v="B&amp;U"/>
    <d v="2018-10-17T00:00:00"/>
    <s v="October"/>
    <x v="1"/>
    <d v="1899-12-30T00:41:00"/>
    <s v="Overcast"/>
    <x v="6"/>
    <s v="Foraging"/>
    <s v="Spruce"/>
    <s v="unknown"/>
    <m/>
    <n v="0"/>
    <m/>
    <s v="NA"/>
    <s v="NA"/>
    <s v="NA"/>
    <s v="NA"/>
    <s v="NA"/>
    <s v="NA"/>
    <m/>
    <m/>
    <s v="NA"/>
    <s v="NA"/>
    <m/>
    <m/>
    <m/>
    <m/>
    <n v="0"/>
    <n v="30"/>
    <n v="0"/>
    <n v="30"/>
    <n v="0"/>
    <n v="0"/>
    <n v="30"/>
    <m/>
    <m/>
    <m/>
    <m/>
  </r>
  <r>
    <s v="DSCN2196"/>
    <s v="B&amp;U1029_1"/>
    <n v="1"/>
    <n v="1"/>
    <s v="B&amp;U"/>
    <d v="2018-10-29T00:00:00"/>
    <s v="October"/>
    <x v="1"/>
    <d v="1899-12-30T01:07:00"/>
    <s v="Clear"/>
    <x v="6"/>
    <s v="Foraging"/>
    <s v="Spruce"/>
    <s v="unknown"/>
    <m/>
    <s v="Unknown"/>
    <s v="Unknown"/>
    <s v="Unknown"/>
    <s v="NA"/>
    <s v="NA"/>
    <m/>
    <m/>
    <m/>
    <m/>
    <m/>
    <s v="NA"/>
    <s v="NA"/>
    <m/>
    <m/>
    <m/>
    <m/>
    <n v="0"/>
    <n v="67"/>
    <n v="0"/>
    <n v="67"/>
    <n v="0"/>
    <n v="0"/>
    <n v="67"/>
    <s v="Searching "/>
    <s v="View obstructed for a lot of it"/>
    <m/>
    <m/>
  </r>
  <r>
    <s v="DSCN2199"/>
    <s v="B&amp;U1029_2"/>
    <n v="2"/>
    <n v="1"/>
    <s v="B&amp;U"/>
    <d v="2018-10-29T00:00:00"/>
    <s v="October"/>
    <x v="1"/>
    <d v="1899-12-30T00:50:00"/>
    <s v="Clear"/>
    <x v="6"/>
    <s v="Foraging"/>
    <s v="Spruce"/>
    <n v="1"/>
    <m/>
    <n v="0"/>
    <s v="Unknown"/>
    <s v="Unknown"/>
    <s v="Exterior dense foliage of spruce"/>
    <s v="NA"/>
    <s v="NA"/>
    <s v="NA"/>
    <s v="NA"/>
    <m/>
    <m/>
    <s v="NA"/>
    <s v="NA"/>
    <m/>
    <m/>
    <m/>
    <m/>
    <n v="0"/>
    <n v="24"/>
    <n v="0"/>
    <n v="24"/>
    <n v="0"/>
    <n v="0"/>
    <n v="24"/>
    <m/>
    <s v="Thought it was a cache B&amp;Ut decided it wasn't.  Just in case, the GPS is 63.72587, 148.95973"/>
    <m/>
    <m/>
  </r>
  <r>
    <s v="DSCN2209"/>
    <s v="B&amp;U1029_7"/>
    <n v="7"/>
    <n v="1"/>
    <s v="B&amp;U"/>
    <d v="2018-10-29T00:00:00"/>
    <s v="October"/>
    <x v="1"/>
    <d v="1899-12-30T01:15:00"/>
    <s v="Clear"/>
    <x v="6"/>
    <s v="Foraging"/>
    <s v="Spruce"/>
    <s v="unknown"/>
    <m/>
    <n v="0"/>
    <m/>
    <s v="NA"/>
    <s v="NA"/>
    <s v="NA"/>
    <s v="NA"/>
    <s v="NA"/>
    <s v="NA"/>
    <m/>
    <m/>
    <s v="NA"/>
    <s v="NA"/>
    <m/>
    <m/>
    <m/>
    <m/>
    <n v="0"/>
    <n v="12"/>
    <n v="0"/>
    <n v="12"/>
    <n v="0"/>
    <n v="0"/>
    <n v="12"/>
    <m/>
    <m/>
    <m/>
    <m/>
  </r>
  <r>
    <s v="DSCN2211"/>
    <s v="B&amp;U1029_8"/>
    <n v="8"/>
    <n v="1"/>
    <s v="B&amp;U"/>
    <d v="2018-10-29T00:00:00"/>
    <s v="October"/>
    <x v="1"/>
    <d v="1899-12-30T00:34:00"/>
    <s v="Clear"/>
    <x v="6"/>
    <s v="Foraging"/>
    <s v="Spruce"/>
    <s v="unknown"/>
    <m/>
    <n v="0"/>
    <m/>
    <s v="NA"/>
    <s v="NA"/>
    <s v="NA"/>
    <s v="NA"/>
    <s v="NA"/>
    <s v="NA"/>
    <m/>
    <m/>
    <s v="NA"/>
    <s v="NA"/>
    <m/>
    <m/>
    <m/>
    <m/>
    <n v="7"/>
    <n v="27"/>
    <n v="7"/>
    <n v="27"/>
    <n v="0"/>
    <n v="0"/>
    <n v="34"/>
    <m/>
    <m/>
    <m/>
    <m/>
  </r>
  <r>
    <s v="DSCN2212"/>
    <s v="B&amp;U1029_9"/>
    <n v="9"/>
    <n v="1"/>
    <s v="B&amp;U"/>
    <d v="2018-10-29T00:00:00"/>
    <s v="October"/>
    <x v="1"/>
    <d v="1899-12-30T01:01:00"/>
    <s v="Clear"/>
    <x v="6"/>
    <s v="Foraging"/>
    <s v="Spruce"/>
    <n v="1"/>
    <m/>
    <n v="0"/>
    <s v="Unknown"/>
    <s v="Unknown"/>
    <s v="Exterior dense foliage of spruce"/>
    <s v="NA"/>
    <s v="NA"/>
    <s v="NA"/>
    <s v="NA"/>
    <m/>
    <m/>
    <s v="NA"/>
    <s v="NA"/>
    <m/>
    <m/>
    <m/>
    <m/>
    <n v="2"/>
    <n v="10"/>
    <n v="2"/>
    <n v="10"/>
    <n v="0"/>
    <n v="0"/>
    <n v="12"/>
    <m/>
    <m/>
    <m/>
    <m/>
  </r>
  <r>
    <s v="DSCN2220"/>
    <s v="B&amp;U1029_11"/>
    <n v="11"/>
    <n v="1"/>
    <s v="B&amp;U"/>
    <d v="2018-10-29T00:00:00"/>
    <s v="October"/>
    <x v="1"/>
    <d v="1899-12-30T00:24:00"/>
    <s v="Clear"/>
    <x v="6"/>
    <s v="Foraging"/>
    <s v="Spruce"/>
    <s v="unknown"/>
    <m/>
    <s v="Unknown"/>
    <s v="Unknown"/>
    <s v="Unknown"/>
    <s v="NA"/>
    <s v="NA"/>
    <m/>
    <m/>
    <m/>
    <m/>
    <m/>
    <s v="NA"/>
    <s v="NA"/>
    <m/>
    <m/>
    <m/>
    <m/>
    <n v="22"/>
    <n v="0"/>
    <n v="22"/>
    <n v="0"/>
    <n v="0"/>
    <n v="0"/>
    <n v="22"/>
    <m/>
    <m/>
    <m/>
    <m/>
  </r>
  <r>
    <s v="DSCN2222"/>
    <s v="B&amp;U1029_12"/>
    <n v="12"/>
    <n v="1"/>
    <s v="B&amp;U"/>
    <d v="2018-10-29T00:00:00"/>
    <s v="October"/>
    <x v="1"/>
    <d v="1899-12-30T00:32:00"/>
    <s v="Clear"/>
    <x v="6"/>
    <s v="Foraging"/>
    <s v="Spruce"/>
    <n v="0"/>
    <m/>
    <n v="0"/>
    <m/>
    <s v="NA"/>
    <s v="NA"/>
    <s v="NA"/>
    <s v="NA"/>
    <s v="NA"/>
    <s v="NA"/>
    <m/>
    <m/>
    <s v="NA"/>
    <s v="NA"/>
    <m/>
    <m/>
    <m/>
    <m/>
    <n v="0"/>
    <n v="25"/>
    <n v="0"/>
    <n v="25"/>
    <n v="0"/>
    <n v="0"/>
    <n v="25"/>
    <m/>
    <m/>
    <m/>
    <m/>
  </r>
  <r>
    <s v="DSCN2223"/>
    <s v="B&amp;U1029_13"/>
    <n v="13"/>
    <n v="1"/>
    <s v="B&amp;U"/>
    <d v="2018-10-29T00:00:00"/>
    <s v="October"/>
    <x v="1"/>
    <d v="1899-12-30T01:43:00"/>
    <s v="Clear"/>
    <x v="6"/>
    <s v="Foraging"/>
    <s v="Spruce"/>
    <n v="1"/>
    <m/>
    <n v="0"/>
    <s v="Unknown"/>
    <s v="Unknown"/>
    <s v="Exterior dense foliage of spruce"/>
    <s v="NA"/>
    <s v="NA"/>
    <s v="NA"/>
    <s v="NA"/>
    <m/>
    <m/>
    <s v="NA"/>
    <s v="NA"/>
    <m/>
    <m/>
    <m/>
    <m/>
    <n v="47"/>
    <n v="38"/>
    <n v="47"/>
    <n v="38"/>
    <n v="0"/>
    <n v="0"/>
    <n v="85"/>
    <s v="Probing"/>
    <m/>
    <n v="2"/>
    <n v="0"/>
  </r>
  <r>
    <s v="DSCN2226"/>
    <s v="B&amp;U1029_14"/>
    <n v="14"/>
    <n v="1"/>
    <s v="B&amp;U"/>
    <d v="2018-10-29T00:00:00"/>
    <s v="October"/>
    <x v="1"/>
    <d v="1899-12-30T00:14:00"/>
    <s v="Clear"/>
    <x v="6"/>
    <s v="Foraring"/>
    <s v="Spruce"/>
    <n v="1"/>
    <m/>
    <n v="0"/>
    <s v="Unknown"/>
    <s v="Unknown"/>
    <s v="Exterior spruce"/>
    <s v="NA"/>
    <s v="NA"/>
    <s v="NA"/>
    <s v="NA"/>
    <m/>
    <m/>
    <s v="NA"/>
    <s v="NA"/>
    <m/>
    <m/>
    <m/>
    <m/>
    <n v="0"/>
    <n v="0"/>
    <n v="0"/>
    <n v="0"/>
    <n v="0"/>
    <n v="0"/>
    <n v="0"/>
    <m/>
    <m/>
    <m/>
    <m/>
  </r>
  <r>
    <s v="DSCN2227"/>
    <s v="B&amp;U1029_15"/>
    <n v="15"/>
    <n v="1"/>
    <s v="B&amp;U"/>
    <d v="2018-10-29T00:00:00"/>
    <s v="October"/>
    <x v="1"/>
    <d v="1899-12-30T00:23:00"/>
    <s v="Clear"/>
    <x v="6"/>
    <s v="Caching"/>
    <s v="Spruce"/>
    <n v="0"/>
    <m/>
    <n v="1"/>
    <s v="Unknown"/>
    <s v="Unknown"/>
    <s v="Exterior spruce"/>
    <s v="Exterior spruce branch under bark/witch hair"/>
    <s v="Spruce"/>
    <s v="Exterior"/>
    <s v="Under bark and witch hair "/>
    <m/>
    <m/>
    <s v="unknown"/>
    <n v="63.725090000000002"/>
    <n v="148.96426"/>
    <m/>
    <m/>
    <m/>
    <n v="0"/>
    <n v="0"/>
    <n v="0"/>
    <n v="0"/>
    <n v="0"/>
    <n v="0"/>
    <n v="0"/>
    <m/>
    <s v="Cached item from previous video"/>
    <m/>
    <m/>
  </r>
  <r>
    <s v="DSCN2229"/>
    <s v="B&amp;U1029_17"/>
    <n v="17"/>
    <n v="1"/>
    <s v="B&amp;U"/>
    <d v="2018-10-29T00:00:00"/>
    <s v="October"/>
    <x v="1"/>
    <d v="1899-12-30T00:20:00"/>
    <s v="Clear"/>
    <x v="6"/>
    <s v="Foraging (Cache recovery)"/>
    <s v="Spruce"/>
    <n v="1"/>
    <m/>
    <n v="0"/>
    <s v="Unknown"/>
    <s v="Unknown"/>
    <s v="Interior bare spruce branch under bark"/>
    <s v="NA"/>
    <s v="NA"/>
    <s v="NA"/>
    <s v="NA"/>
    <m/>
    <m/>
    <s v="NA"/>
    <s v="NA"/>
    <m/>
    <m/>
    <m/>
    <m/>
    <n v="13"/>
    <n v="0"/>
    <n v="13"/>
    <n v="0"/>
    <n v="0"/>
    <n v="0"/>
    <n v="13"/>
    <s v="Probing"/>
    <m/>
    <n v="4"/>
    <n v="0"/>
  </r>
  <r>
    <s v="DSCN2230"/>
    <s v="B&amp;U1029_18"/>
    <n v="18"/>
    <n v="1"/>
    <s v="B&amp;U"/>
    <d v="2018-10-29T00:00:00"/>
    <s v="October"/>
    <x v="1"/>
    <d v="1899-12-30T00:42:00"/>
    <s v="Clear"/>
    <x v="6"/>
    <s v="Foraging"/>
    <s v="Spruce"/>
    <s v="unknown"/>
    <m/>
    <s v="Unknown"/>
    <s v="Unknown"/>
    <s v="Unknown"/>
    <s v="NA"/>
    <s v="NA"/>
    <m/>
    <m/>
    <m/>
    <m/>
    <m/>
    <s v="NA"/>
    <s v="NA"/>
    <m/>
    <m/>
    <m/>
    <m/>
    <n v="0"/>
    <n v="35"/>
    <n v="0"/>
    <n v="35"/>
    <n v="0"/>
    <n v="0"/>
    <n v="35"/>
    <s v="Searching"/>
    <m/>
    <m/>
    <m/>
  </r>
  <r>
    <s v="DSCN2233"/>
    <s v="B&amp;U1029_19"/>
    <n v="19"/>
    <n v="1"/>
    <s v="B&amp;U"/>
    <d v="2018-10-29T00:00:00"/>
    <s v="October"/>
    <x v="1"/>
    <d v="1899-12-30T00:27:00"/>
    <s v="Clear"/>
    <x v="6"/>
    <s v="Foraging"/>
    <s v="Spruce"/>
    <s v="unknown"/>
    <m/>
    <s v="Unknown"/>
    <s v="Unknown"/>
    <s v="Unknown"/>
    <s v="NA"/>
    <s v="NA"/>
    <m/>
    <m/>
    <m/>
    <m/>
    <m/>
    <s v="NA"/>
    <s v="NA"/>
    <m/>
    <m/>
    <m/>
    <m/>
    <n v="0"/>
    <n v="6"/>
    <n v="0"/>
    <n v="6"/>
    <n v="0"/>
    <n v="0"/>
    <n v="6"/>
    <m/>
    <m/>
    <m/>
    <m/>
  </r>
  <r>
    <s v="DSCN2235"/>
    <s v="B&amp;U1029_20"/>
    <n v="20"/>
    <n v="1"/>
    <s v="B&amp;U"/>
    <d v="2018-10-29T00:00:00"/>
    <s v="October"/>
    <x v="1"/>
    <d v="1899-12-30T00:17:00"/>
    <s v="Clear"/>
    <x v="6"/>
    <s v="Foraging"/>
    <s v="Spruce"/>
    <s v="unknown"/>
    <m/>
    <s v="Unknown"/>
    <s v="Unknown"/>
    <s v="Unknown"/>
    <s v="NA"/>
    <s v="NA"/>
    <m/>
    <m/>
    <m/>
    <m/>
    <m/>
    <s v="NA"/>
    <s v="NA"/>
    <m/>
    <m/>
    <m/>
    <m/>
    <n v="0"/>
    <n v="16"/>
    <n v="0"/>
    <n v="16"/>
    <n v="0"/>
    <n v="0"/>
    <n v="16"/>
    <m/>
    <m/>
    <m/>
    <m/>
  </r>
  <r>
    <s v="DSCN1447"/>
    <s v="RC1008_11"/>
    <n v="11"/>
    <n v="1"/>
    <s v="Rock Creek"/>
    <d v="2018-10-08T00:00:00"/>
    <s v="October"/>
    <x v="1"/>
    <d v="1899-12-30T00:16:00"/>
    <s v="Mostly sunny"/>
    <x v="34"/>
    <s v="Caching"/>
    <s v="Spruce"/>
    <n v="1"/>
    <m/>
    <n v="1"/>
    <s v="Unknown"/>
    <s v="Unknown"/>
    <s v="Ground"/>
    <s v="Exterior spruce branch under bark/witch hair"/>
    <s v="Spruce"/>
    <s v="Exterior"/>
    <s v="Under bark and witch hair "/>
    <m/>
    <m/>
    <n v="1"/>
    <n v="63.723610000000001"/>
    <n v="148.95204000000001"/>
    <m/>
    <m/>
    <m/>
    <n v="0"/>
    <n v="0"/>
    <n v="0"/>
    <n v="0"/>
    <n v="0"/>
    <n v="0"/>
    <n v="0"/>
    <m/>
    <s v="Foraging not caught on tape"/>
    <m/>
    <m/>
  </r>
  <r>
    <s v="DSCN1448"/>
    <s v="RC1008_12"/>
    <n v="12"/>
    <n v="1"/>
    <s v="Rock Creek"/>
    <d v="2018-10-08T00:00:00"/>
    <s v="October"/>
    <x v="1"/>
    <d v="1899-12-30T00:13:00"/>
    <s v="Mostly sunny"/>
    <x v="34"/>
    <s v="Foraging"/>
    <s v="NA"/>
    <n v="2"/>
    <m/>
    <n v="0"/>
    <s v="Unknown"/>
    <s v="Unknown"/>
    <s v="Ground"/>
    <s v="NA"/>
    <s v="NA"/>
    <s v="NA"/>
    <s v="NA"/>
    <m/>
    <m/>
    <s v="NA"/>
    <s v="NA"/>
    <m/>
    <m/>
    <m/>
    <m/>
    <n v="0"/>
    <n v="0"/>
    <n v="0"/>
    <n v="0"/>
    <n v="10"/>
    <n v="0"/>
    <n v="10"/>
    <m/>
    <m/>
    <m/>
    <m/>
  </r>
  <r>
    <s v="DSCN1452"/>
    <s v="RC1008_13"/>
    <n v="13"/>
    <n v="1"/>
    <s v="Rock Creek"/>
    <d v="2018-10-08T00:00:00"/>
    <s v="October"/>
    <x v="1"/>
    <d v="1899-12-30T00:30:00"/>
    <s v="Mostly sunny"/>
    <x v="34"/>
    <s v="Foraging/caching"/>
    <s v="Spruce"/>
    <n v="1"/>
    <m/>
    <n v="1"/>
    <s v="Insect"/>
    <s v="Insect (Beetle grub)"/>
    <s v="Ground"/>
    <s v="Exterior spruce branch under bark/witch hair"/>
    <s v="Spruce"/>
    <s v="Exterior"/>
    <s v="Under bark and witch hair "/>
    <m/>
    <m/>
    <n v="2"/>
    <n v="63.724409999999999"/>
    <n v="148.95231999999999"/>
    <m/>
    <m/>
    <m/>
    <n v="0"/>
    <n v="0"/>
    <n v="0"/>
    <n v="0"/>
    <n v="4"/>
    <n v="0"/>
    <n v="4"/>
    <m/>
    <s v="Photographed and collected beetle grub.  "/>
    <m/>
    <m/>
  </r>
  <r>
    <s v="DSCN1458"/>
    <s v="RC1009_1"/>
    <n v="1"/>
    <n v="1"/>
    <s v="Rock Creek"/>
    <d v="2018-10-09T00:00:00"/>
    <s v="October"/>
    <x v="1"/>
    <d v="1899-12-30T00:14:00"/>
    <s v="Mostly cloudy"/>
    <x v="34"/>
    <s v="Foraging or caching"/>
    <s v="Spruce"/>
    <s v="unknown"/>
    <m/>
    <s v="Unknown"/>
    <s v="Unknown"/>
    <s v="Unknown"/>
    <s v="NA"/>
    <s v="Aspen trunk"/>
    <m/>
    <m/>
    <m/>
    <m/>
    <m/>
    <s v="unknown"/>
    <n v="63.723520000000001"/>
    <n v="148.95076"/>
    <m/>
    <m/>
    <m/>
    <n v="14"/>
    <n v="0"/>
    <n v="14"/>
    <n v="0"/>
    <n v="0"/>
    <n v="0"/>
    <n v="14"/>
    <m/>
    <s v="Could have either been caching or foraging.  Provided data for either possibility "/>
    <m/>
    <m/>
  </r>
  <r>
    <s v="DSCN1471"/>
    <s v="RC1009_3"/>
    <n v="3"/>
    <n v="1"/>
    <s v="Rock Creek"/>
    <d v="2018-10-09T00:00:00"/>
    <s v="October"/>
    <x v="1"/>
    <d v="1899-12-30T00:16:00"/>
    <s v="Mostly cloudy"/>
    <x v="34"/>
    <s v="Caching"/>
    <s v="Spruce"/>
    <n v="0"/>
    <m/>
    <n v="1"/>
    <s v="Unknown"/>
    <s v="Unknown"/>
    <s v="unknown"/>
    <s v="Exterior spruce branch under bark/witch hair"/>
    <s v="Spruce"/>
    <s v="Exterior"/>
    <s v="Under bark and witch hair "/>
    <m/>
    <m/>
    <s v="unknown"/>
    <n v="63.724490000000003"/>
    <n v="148.94810000000001"/>
    <m/>
    <m/>
    <m/>
    <n v="0"/>
    <n v="0"/>
    <n v="0"/>
    <n v="0"/>
    <n v="0"/>
    <n v="0"/>
    <n v="0"/>
    <m/>
    <s v="Not captured on film.  Observed by DL. "/>
    <m/>
    <m/>
  </r>
  <r>
    <s v="DSCN1484"/>
    <s v="RC1009_6"/>
    <n v="6"/>
    <n v="1"/>
    <s v="Rock Creek"/>
    <d v="2018-10-09T00:00:00"/>
    <s v="October"/>
    <x v="1"/>
    <d v="1899-12-30T00:25:00"/>
    <s v="Mostly cloudy"/>
    <x v="34"/>
    <s v="Foraging"/>
    <s v="NA"/>
    <s v="unknown"/>
    <m/>
    <n v="0"/>
    <s v="Unknown"/>
    <s v="Unknown"/>
    <s v="NA"/>
    <s v="NA"/>
    <s v="NA"/>
    <s v="NA"/>
    <s v="NA"/>
    <m/>
    <m/>
    <s v="NA"/>
    <s v="NA"/>
    <m/>
    <m/>
    <m/>
    <m/>
    <n v="0"/>
    <n v="0"/>
    <n v="0"/>
    <n v="0"/>
    <n v="22"/>
    <n v="0"/>
    <n v="22"/>
    <m/>
    <m/>
    <m/>
    <m/>
  </r>
  <r>
    <s v="DSCN1529"/>
    <s v="RC1012_1"/>
    <n v="1"/>
    <n v="1"/>
    <s v="Rock Creek"/>
    <d v="2018-10-12T00:00:00"/>
    <s v="October"/>
    <x v="1"/>
    <d v="1899-12-30T00:11:00"/>
    <s v="Overcast"/>
    <x v="34"/>
    <s v="Food handling/caching"/>
    <s v="Spruce"/>
    <n v="1"/>
    <m/>
    <n v="1"/>
    <s v="Unknown"/>
    <s v="Unknown"/>
    <s v="unknown"/>
    <s v="Interior spruce foliage "/>
    <s v="Spruce"/>
    <s v="Interior"/>
    <s v="Foliage"/>
    <m/>
    <m/>
    <s v="unknown"/>
    <n v="63.722709999999999"/>
    <n v="148.95956000000001"/>
    <m/>
    <m/>
    <m/>
    <n v="0"/>
    <n v="0"/>
    <n v="0"/>
    <n v="0"/>
    <n v="0"/>
    <n v="0"/>
    <n v="0"/>
    <m/>
    <s v="Caching event not recorded on video. "/>
    <m/>
    <m/>
  </r>
  <r>
    <s v="DSCN1559"/>
    <s v="RC1012_3"/>
    <n v="3"/>
    <n v="1"/>
    <s v="Rock Creek"/>
    <d v="2018-10-12T00:00:00"/>
    <s v="October"/>
    <x v="1"/>
    <d v="1899-12-30T00:54:00"/>
    <s v="Overcast"/>
    <x v="34"/>
    <s v="Foraging/caching"/>
    <s v="Spruce"/>
    <n v="1"/>
    <m/>
    <n v="1"/>
    <s v="Berry"/>
    <s v="Berry (Blueberry)"/>
    <s v="Ground"/>
    <s v="Under bark of spruce trunk (about 4ft off ground)"/>
    <s v="Spruce"/>
    <s v="Trunk"/>
    <s v="Under bark"/>
    <m/>
    <m/>
    <n v="2"/>
    <n v="63.72354"/>
    <n v="148.94923"/>
    <m/>
    <m/>
    <m/>
    <n v="0"/>
    <n v="0"/>
    <n v="0"/>
    <n v="0"/>
    <n v="21"/>
    <n v="0"/>
    <n v="21"/>
    <m/>
    <s v="Was able to find and photograph cache site.  The bird had shoved the blueberry under a bark chip.  It was very snug! Put trail cam on this site. "/>
    <m/>
    <m/>
  </r>
  <r>
    <s v="DSCN1559"/>
    <s v="RC1012_3"/>
    <n v="3"/>
    <n v="2"/>
    <s v="Rock Creek"/>
    <d v="2018-10-12T00:00:00"/>
    <s v="October"/>
    <x v="1"/>
    <d v="1899-12-30T00:54:00"/>
    <s v="Overcast"/>
    <x v="34"/>
    <s v="Foraging"/>
    <s v="Spruce"/>
    <n v="1"/>
    <m/>
    <n v="0"/>
    <s v="Berry"/>
    <s v="Berry (Soapberry)"/>
    <s v="Ground"/>
    <s v="NA"/>
    <s v="NA"/>
    <s v="NA"/>
    <s v="NA"/>
    <m/>
    <m/>
    <s v="NA"/>
    <s v="NA"/>
    <m/>
    <m/>
    <m/>
    <m/>
    <n v="0"/>
    <n v="0"/>
    <n v="0"/>
    <n v="0"/>
    <n v="0"/>
    <n v="0"/>
    <n v="0"/>
    <m/>
    <s v="Was able to find and photograph cache site.  The bird had shoved the blueberry under a bark chip.  It was very snug! "/>
    <m/>
    <m/>
  </r>
  <r>
    <s v="DSCN1564"/>
    <s v="RC1012_7"/>
    <n v="7"/>
    <n v="1"/>
    <s v="Rock Creek"/>
    <d v="2018-10-12T00:00:00"/>
    <s v="October"/>
    <x v="1"/>
    <d v="1899-12-30T00:11:00"/>
    <s v="Overcast"/>
    <x v="34"/>
    <s v="Foraging"/>
    <s v="Spruce"/>
    <n v="1"/>
    <m/>
    <n v="0"/>
    <s v="Unknown"/>
    <s v="Unknown"/>
    <s v="Spruce foliage"/>
    <s v="NA"/>
    <s v="NA"/>
    <s v="NA"/>
    <s v="NA"/>
    <m/>
    <m/>
    <s v="NA"/>
    <s v="NA"/>
    <m/>
    <m/>
    <m/>
    <m/>
    <n v="0"/>
    <n v="6"/>
    <n v="0"/>
    <n v="6"/>
    <n v="0"/>
    <n v="0"/>
    <n v="6"/>
    <m/>
    <m/>
    <m/>
    <m/>
  </r>
  <r>
    <s v="DSCN1565"/>
    <s v="RC1012_8"/>
    <n v="8"/>
    <n v="1"/>
    <s v="Rock Creek"/>
    <d v="2018-10-12T00:00:00"/>
    <s v="October"/>
    <x v="1"/>
    <d v="1899-12-30T00:18:00"/>
    <s v="Overcast"/>
    <x v="34"/>
    <s v="Foraging"/>
    <s v="NA"/>
    <n v="1"/>
    <m/>
    <n v="0"/>
    <s v="Berry"/>
    <s v="Berry"/>
    <s v="Ground"/>
    <s v="NA"/>
    <s v="NA"/>
    <s v="NA"/>
    <s v="NA"/>
    <m/>
    <m/>
    <s v="NA"/>
    <s v="NA"/>
    <m/>
    <m/>
    <m/>
    <m/>
    <n v="0"/>
    <n v="0"/>
    <n v="0"/>
    <n v="0"/>
    <n v="0"/>
    <n v="0"/>
    <n v="0"/>
    <m/>
    <s v="Didn’t record foraging on video. "/>
    <m/>
    <m/>
  </r>
  <r>
    <s v="DSCN1566"/>
    <s v="RC1012_9"/>
    <n v="9"/>
    <n v="1"/>
    <s v="Rock Creek"/>
    <d v="2018-10-12T00:00:00"/>
    <s v="October"/>
    <x v="1"/>
    <d v="1899-12-30T00:36:00"/>
    <s v="Overcast"/>
    <x v="34"/>
    <s v="Caching"/>
    <s v="Spruce"/>
    <n v="0"/>
    <m/>
    <n v="1"/>
    <s v="Berry"/>
    <s v="Berry"/>
    <s v="Ground"/>
    <s v="Exterior spruce foliage"/>
    <s v="Spruce"/>
    <s v="Exterior"/>
    <s v="Foliage"/>
    <m/>
    <m/>
    <s v="unknown-didn't record in field"/>
    <n v="63.722029999999997"/>
    <n v="148.94954999999999"/>
    <m/>
    <m/>
    <m/>
    <n v="0"/>
    <n v="0"/>
    <n v="0"/>
    <n v="0"/>
    <n v="0"/>
    <n v="0"/>
    <n v="0"/>
    <m/>
    <m/>
    <m/>
    <m/>
  </r>
  <r>
    <s v="DSCN1568"/>
    <s v="RC1012_10"/>
    <n v="10"/>
    <n v="1"/>
    <s v="Rock Creek"/>
    <d v="2018-10-12T00:00:00"/>
    <s v="October"/>
    <x v="1"/>
    <d v="1899-12-30T00:47:00"/>
    <s v="Overcast"/>
    <x v="34"/>
    <s v="Caching"/>
    <s v="Spruce"/>
    <n v="0"/>
    <m/>
    <n v="1"/>
    <s v="Unknown"/>
    <s v="Unknown"/>
    <s v="unknown"/>
    <s v="Exterior spruce branch under bark/witch hair "/>
    <s v="Spruce"/>
    <s v="Exterior"/>
    <s v="Under bark and witch hair "/>
    <m/>
    <m/>
    <s v="unknown-didn't record in field"/>
    <n v="63.722029999999997"/>
    <n v="148.94855000000001"/>
    <m/>
    <m/>
    <m/>
    <n v="0"/>
    <n v="0"/>
    <n v="0"/>
    <n v="0"/>
    <n v="0"/>
    <n v="0"/>
    <n v="0"/>
    <m/>
    <m/>
    <m/>
    <m/>
  </r>
  <r>
    <s v="DSCN1568"/>
    <s v="RC1012_10"/>
    <n v="10"/>
    <n v="2"/>
    <s v="Rock Creek"/>
    <d v="2018-10-12T00:00:00"/>
    <s v="October"/>
    <x v="1"/>
    <d v="1899-12-30T00:47:00"/>
    <s v="Overcast"/>
    <x v="34"/>
    <s v="Caching"/>
    <s v="Spruce"/>
    <n v="0"/>
    <m/>
    <n v="1"/>
    <s v="Unknown"/>
    <s v="Unknown"/>
    <s v="unknown"/>
    <s v="Interior bare branch bark/withc hair"/>
    <s v="Spruce"/>
    <s v="Interior"/>
    <s v="Under bark and witch hair "/>
    <m/>
    <m/>
    <s v="unknown-didn't record in field"/>
    <n v="63.722029999999997"/>
    <n v="148.94855000000001"/>
    <m/>
    <m/>
    <m/>
    <n v="0"/>
    <n v="0"/>
    <n v="0"/>
    <n v="0"/>
    <n v="0"/>
    <n v="0"/>
    <n v="0"/>
    <m/>
    <s v="Same tree as previous cache tree"/>
    <m/>
    <m/>
  </r>
  <r>
    <s v="DSCN1568"/>
    <s v="RC1012_10"/>
    <n v="10"/>
    <n v="3"/>
    <s v="Rock Creek"/>
    <d v="2018-10-12T00:00:00"/>
    <s v="October"/>
    <x v="1"/>
    <d v="1899-12-30T00:47:00"/>
    <s v="Overcast"/>
    <x v="34"/>
    <s v="Caching"/>
    <s v="Spruce"/>
    <n v="0"/>
    <m/>
    <n v="1"/>
    <s v="Unknown"/>
    <s v="Unknown"/>
    <s v="unknown"/>
    <s v="Interior spruce foliage "/>
    <s v="Spruce"/>
    <s v="Interior"/>
    <s v="Foliage"/>
    <m/>
    <m/>
    <s v="unknown-didn't record in field"/>
    <n v="63.72204"/>
    <n v="148.94962000000001"/>
    <m/>
    <m/>
    <m/>
    <n v="0"/>
    <n v="0"/>
    <n v="0"/>
    <n v="0"/>
    <n v="0"/>
    <n v="0"/>
    <n v="0"/>
    <m/>
    <m/>
    <m/>
    <m/>
  </r>
  <r>
    <s v="DSCN1847"/>
    <s v="RC1017_1"/>
    <n v="1"/>
    <n v="1"/>
    <s v="Rock Creek"/>
    <d v="2018-10-17T00:00:00"/>
    <s v="October"/>
    <x v="1"/>
    <d v="1899-12-30T00:44:00"/>
    <s v="Overcast"/>
    <x v="34"/>
    <s v="Foraging"/>
    <s v="Spruce"/>
    <n v="2"/>
    <m/>
    <n v="0"/>
    <s v="Unknown"/>
    <s v="Unknown"/>
    <s v="Exterior dense foliage of spruce"/>
    <s v="NA"/>
    <s v="NA"/>
    <s v="NA"/>
    <s v="NA"/>
    <m/>
    <m/>
    <s v="NA"/>
    <s v="NA"/>
    <m/>
    <m/>
    <m/>
    <m/>
    <n v="0"/>
    <n v="44"/>
    <n v="0"/>
    <n v="44"/>
    <n v="0"/>
    <n v="0"/>
    <n v="44"/>
    <s v="Searching"/>
    <m/>
    <m/>
    <m/>
  </r>
  <r>
    <s v="DSCN1848"/>
    <s v="RC1017_2"/>
    <n v="2"/>
    <n v="1"/>
    <s v="Rock Creek"/>
    <d v="2018-10-17T00:00:00"/>
    <s v="October"/>
    <x v="1"/>
    <d v="1899-12-30T00:29:00"/>
    <s v="Overcast"/>
    <x v="34"/>
    <s v="Foraging"/>
    <s v="Spruce"/>
    <n v="1"/>
    <m/>
    <n v="0"/>
    <s v="Unknown"/>
    <s v="Unknown"/>
    <s v="Exterior dense foliage of spruce"/>
    <s v="NA"/>
    <s v="NA"/>
    <s v="NA"/>
    <s v="NA"/>
    <m/>
    <m/>
    <s v="NA"/>
    <s v="NA"/>
    <m/>
    <m/>
    <m/>
    <m/>
    <n v="0"/>
    <n v="15"/>
    <n v="0"/>
    <n v="15"/>
    <n v="0"/>
    <n v="0"/>
    <n v="15"/>
    <s v="Searching"/>
    <m/>
    <m/>
    <m/>
  </r>
  <r>
    <s v="DSCN1848"/>
    <s v="RC1017_2"/>
    <n v="2"/>
    <n v="1"/>
    <s v="Rock Creek"/>
    <d v="2018-10-17T00:00:00"/>
    <s v="October"/>
    <x v="1"/>
    <d v="1899-12-30T00:29:00"/>
    <s v="Overcast"/>
    <x v="34"/>
    <s v="Foraging/cache recovery"/>
    <s v="Spruce"/>
    <n v="1"/>
    <m/>
    <n v="0"/>
    <s v="Berry"/>
    <s v="Berry (dried)"/>
    <s v="Exterior dense foliage of spruce"/>
    <s v="NA"/>
    <s v="NA"/>
    <s v="NA"/>
    <s v="NA"/>
    <m/>
    <m/>
    <s v="NA"/>
    <s v="NA"/>
    <m/>
    <m/>
    <m/>
    <m/>
    <n v="0"/>
    <n v="15"/>
    <n v="0"/>
    <n v="15"/>
    <n v="0"/>
    <n v="0"/>
    <n v="15"/>
    <s v="Searching"/>
    <m/>
    <m/>
    <m/>
  </r>
  <r>
    <s v="DSCN1849"/>
    <s v="RC1017_3"/>
    <n v="3"/>
    <n v="1"/>
    <s v="Rock Creek"/>
    <d v="2018-10-17T00:00:00"/>
    <s v="October"/>
    <x v="1"/>
    <d v="1899-12-30T00:33:00"/>
    <s v="Overcast"/>
    <x v="34"/>
    <s v="Foraging"/>
    <s v="Spruce"/>
    <s v="unknown"/>
    <m/>
    <n v="0"/>
    <m/>
    <s v="NA"/>
    <s v="NA"/>
    <s v="NA"/>
    <s v="NA"/>
    <s v="NA"/>
    <s v="NA"/>
    <m/>
    <m/>
    <s v="NA"/>
    <s v="NA"/>
    <m/>
    <m/>
    <m/>
    <m/>
    <n v="28"/>
    <n v="0"/>
    <n v="10"/>
    <n v="18"/>
    <n v="0"/>
    <n v="0"/>
    <n v="28"/>
    <s v="Probing"/>
    <m/>
    <n v="2"/>
    <n v="0"/>
  </r>
  <r>
    <s v="DSCN1857"/>
    <s v="RC1017_8"/>
    <n v="8"/>
    <n v="1"/>
    <s v="Rock Creek"/>
    <d v="2018-10-17T00:00:00"/>
    <s v="October"/>
    <x v="1"/>
    <d v="1899-12-30T00:22:00"/>
    <s v="Overcast"/>
    <x v="34"/>
    <s v="Caching"/>
    <s v="Spruce"/>
    <n v="0"/>
    <m/>
    <n v="1"/>
    <s v="Unknown"/>
    <s v="Unknown"/>
    <s v="unknown"/>
    <s v="Spruce trunk under bark"/>
    <s v="Spruce"/>
    <s v="Trunk"/>
    <s v="Under bark"/>
    <m/>
    <m/>
    <s v="unknown"/>
    <n v="63.722830000000002"/>
    <n v="148.95454000000001"/>
    <m/>
    <m/>
    <m/>
    <n v="0"/>
    <n v="0"/>
    <n v="0"/>
    <n v="0"/>
    <n v="0"/>
    <n v="0"/>
    <n v="0"/>
    <m/>
    <m/>
    <m/>
    <m/>
  </r>
  <r>
    <s v="DSCN1859"/>
    <s v="RC1017_9"/>
    <n v="9"/>
    <n v="1"/>
    <s v="Rock Creek"/>
    <d v="2018-10-17T00:00:00"/>
    <s v="October"/>
    <x v="1"/>
    <d v="1899-12-30T00:32:00"/>
    <s v="Overcast"/>
    <x v="34"/>
    <s v="Foraging"/>
    <s v="Spruce"/>
    <s v="unknown"/>
    <m/>
    <n v="0"/>
    <m/>
    <s v="NA"/>
    <s v="NA"/>
    <s v="NA"/>
    <s v="NA"/>
    <s v="NA"/>
    <s v="NA"/>
    <m/>
    <m/>
    <s v="NA"/>
    <s v="NA"/>
    <m/>
    <m/>
    <m/>
    <m/>
    <n v="25"/>
    <n v="0"/>
    <n v="10"/>
    <n v="15"/>
    <n v="0"/>
    <n v="0"/>
    <n v="25"/>
    <m/>
    <m/>
    <m/>
    <m/>
  </r>
  <r>
    <s v="DSCN1860"/>
    <s v="RC1017_10"/>
    <n v="10"/>
    <n v="1"/>
    <s v="Rock Creek"/>
    <d v="2018-10-17T00:00:00"/>
    <s v="October"/>
    <x v="1"/>
    <d v="1899-12-30T00:12:00"/>
    <s v="Overcast"/>
    <x v="34"/>
    <s v="Foraging"/>
    <s v="Spruce"/>
    <n v="1"/>
    <m/>
    <n v="0"/>
    <s v="Unknown"/>
    <s v="Unknown"/>
    <s v="Exterior bare spruce branch"/>
    <s v="NA"/>
    <s v="NA"/>
    <s v="NA"/>
    <s v="NA"/>
    <m/>
    <m/>
    <s v="NA"/>
    <s v="NA"/>
    <m/>
    <m/>
    <m/>
    <m/>
    <n v="12"/>
    <n v="0"/>
    <n v="5"/>
    <n v="7"/>
    <n v="0"/>
    <n v="0"/>
    <n v="12"/>
    <m/>
    <m/>
    <m/>
    <m/>
  </r>
  <r>
    <s v="DSCN1861"/>
    <s v="RC1017_11"/>
    <n v="11"/>
    <n v="1"/>
    <s v="Rock Creek"/>
    <d v="2018-10-17T00:00:00"/>
    <s v="October"/>
    <x v="1"/>
    <d v="1899-12-30T00:51:00"/>
    <s v="Overcast"/>
    <x v="34"/>
    <s v="Foraging"/>
    <s v="Spruce"/>
    <n v="1"/>
    <m/>
    <n v="0"/>
    <s v="Berry"/>
    <s v="Berry (Blueberry)"/>
    <s v="Ground"/>
    <s v="NA"/>
    <s v="NA"/>
    <s v="NA"/>
    <s v="NA"/>
    <m/>
    <m/>
    <s v="NA"/>
    <s v="NA"/>
    <m/>
    <m/>
    <m/>
    <m/>
    <n v="13"/>
    <n v="0"/>
    <n v="0"/>
    <n v="13"/>
    <n v="10"/>
    <n v="0"/>
    <n v="23"/>
    <m/>
    <m/>
    <m/>
    <m/>
  </r>
  <r>
    <s v="DSCN1262"/>
    <s v="AQ1004_1"/>
    <n v="1"/>
    <n v="1"/>
    <s v="Air Quality"/>
    <d v="2018-10-04T00:00:00"/>
    <s v="October"/>
    <x v="1"/>
    <d v="1899-12-30T00:18:00"/>
    <s v="Overcast"/>
    <x v="35"/>
    <s v="Food handling"/>
    <s v="Spruce"/>
    <n v="1"/>
    <m/>
    <n v="0"/>
    <s v="Unknown"/>
    <s v="Unknown"/>
    <s v="unknown"/>
    <s v="NA"/>
    <s v="NA"/>
    <s v="NA"/>
    <s v="NA"/>
    <m/>
    <m/>
    <s v="NA"/>
    <s v="NA"/>
    <m/>
    <m/>
    <m/>
    <m/>
    <n v="0"/>
    <n v="0"/>
    <n v="0"/>
    <n v="0"/>
    <n v="0"/>
    <n v="0"/>
    <n v="0"/>
    <m/>
    <s v="Video start after bird finished foraging. "/>
    <m/>
    <m/>
  </r>
  <r>
    <s v="DSCN1389"/>
    <s v="AQ1007_5"/>
    <n v="5"/>
    <n v="1"/>
    <s v="Air Quality"/>
    <d v="2018-10-07T00:00:00"/>
    <s v="October"/>
    <x v="1"/>
    <d v="1899-12-30T01:23:00"/>
    <s v="Overcast"/>
    <x v="35"/>
    <s v="Foraging"/>
    <s v="Spruce"/>
    <n v="0"/>
    <m/>
    <n v="0"/>
    <m/>
    <s v="NA"/>
    <s v="NA"/>
    <s v="NA"/>
    <s v="NA"/>
    <s v="NA"/>
    <s v="NA"/>
    <m/>
    <m/>
    <s v="NA"/>
    <s v="NA"/>
    <s v="NA"/>
    <m/>
    <m/>
    <m/>
    <n v="18"/>
    <n v="0"/>
    <n v="0"/>
    <n v="18"/>
    <n v="0"/>
    <n v="0"/>
    <n v="18"/>
    <m/>
    <s v="Two birds in this video.  The first (O/BS) is the one foraging in the tree.  We did not document any food acquisitions or caches for that birds.  The rest of the data is based on the second bird (PG/PS)"/>
    <m/>
    <m/>
  </r>
  <r>
    <s v="DSCN1569"/>
    <s v="AQ1012_1"/>
    <n v="1"/>
    <n v="1"/>
    <s v="Air Quality"/>
    <d v="2018-10-12T00:00:00"/>
    <s v="October"/>
    <x v="1"/>
    <d v="1899-12-30T00:29:00"/>
    <s v="Overcast"/>
    <x v="35"/>
    <s v="Foraging/caching"/>
    <s v="Spruce"/>
    <n v="1"/>
    <m/>
    <n v="1"/>
    <s v="Berry"/>
    <s v="Berry (Blueberry)"/>
    <s v="Ground"/>
    <s v="Exterior spruce branch under bark/witch hair"/>
    <s v="Spruce"/>
    <s v="Exterior"/>
    <s v="Branch under witch hair"/>
    <m/>
    <m/>
    <n v="1"/>
    <n v="63.723140000000001"/>
    <n v="148.96843999999999"/>
    <m/>
    <m/>
    <m/>
    <n v="0"/>
    <n v="0"/>
    <n v="0"/>
    <n v="0"/>
    <n v="12"/>
    <n v="0"/>
    <n v="12"/>
    <m/>
    <m/>
    <m/>
    <m/>
  </r>
  <r>
    <s v="DSCN1569"/>
    <s v="AQ1012_1"/>
    <n v="1"/>
    <n v="1"/>
    <s v="Air Quality"/>
    <d v="2018-10-12T00:00:00"/>
    <s v="October"/>
    <x v="1"/>
    <d v="1899-12-30T00:29:00"/>
    <s v="Overcast"/>
    <x v="35"/>
    <s v="Foraging/caching"/>
    <s v="Spruce"/>
    <n v="1"/>
    <m/>
    <n v="1"/>
    <s v="Berry"/>
    <s v="Berry (Blueberry)"/>
    <s v="Ground"/>
    <s v="Exterior spruce branch under bark/witch hair"/>
    <s v="Spruce"/>
    <s v="Exterior"/>
    <s v="Branch under witch hair"/>
    <m/>
    <m/>
    <n v="1"/>
    <n v="63.723140000000001"/>
    <n v="148.96843999999999"/>
    <m/>
    <m/>
    <m/>
    <n v="0"/>
    <n v="0"/>
    <n v="0"/>
    <n v="0"/>
    <n v="3"/>
    <n v="0"/>
    <n v="3"/>
    <m/>
    <m/>
    <m/>
    <m/>
  </r>
  <r>
    <s v="DSCN1276"/>
    <s v="M4R1005_2"/>
    <n v="2"/>
    <n v="1"/>
    <s v="M4Roadside"/>
    <d v="2018-10-05T00:00:00"/>
    <s v="October"/>
    <x v="1"/>
    <d v="1899-12-30T00:54:00"/>
    <s v="Overcast"/>
    <x v="7"/>
    <s v="Foraging"/>
    <s v="NA"/>
    <s v="unknown"/>
    <m/>
    <n v="0"/>
    <s v="Unknown"/>
    <s v="Unknown"/>
    <s v="Ground"/>
    <s v="NA"/>
    <s v="NA"/>
    <s v="NA"/>
    <s v="NA"/>
    <m/>
    <m/>
    <s v="NA"/>
    <s v="NA"/>
    <m/>
    <m/>
    <m/>
    <m/>
    <n v="0"/>
    <n v="0"/>
    <n v="0"/>
    <n v="0"/>
    <n v="44"/>
    <n v="0"/>
    <n v="44"/>
    <m/>
    <m/>
    <m/>
    <m/>
  </r>
  <r>
    <s v="DSCN1277"/>
    <s v="M4R1005_3"/>
    <n v="3"/>
    <n v="1"/>
    <s v="M4Roadside"/>
    <d v="2018-10-05T00:00:00"/>
    <s v="October"/>
    <x v="1"/>
    <d v="1899-12-30T00:23:00"/>
    <s v="Overcast"/>
    <x v="7"/>
    <s v="Foraging"/>
    <s v="NA"/>
    <n v="1"/>
    <m/>
    <n v="0"/>
    <s v="Berry"/>
    <s v="Berry (Blueberry)"/>
    <s v="Ground"/>
    <s v="NA"/>
    <s v="NA"/>
    <s v="NA"/>
    <s v="NA"/>
    <m/>
    <m/>
    <s v="NA"/>
    <s v="NA"/>
    <m/>
    <m/>
    <m/>
    <m/>
    <n v="0"/>
    <n v="0"/>
    <n v="0"/>
    <n v="0"/>
    <n v="17"/>
    <n v="0"/>
    <n v="17"/>
    <m/>
    <m/>
    <m/>
    <m/>
  </r>
  <r>
    <s v="DSCN1329"/>
    <s v="M4R1005_4"/>
    <n v="4"/>
    <n v="1"/>
    <s v="M4Roadside"/>
    <d v="2018-10-05T00:00:00"/>
    <s v="October"/>
    <x v="1"/>
    <d v="1899-12-30T00:14:00"/>
    <s v="Overcast"/>
    <x v="7"/>
    <s v="Foraging"/>
    <s v="Spruce"/>
    <s v="unknown"/>
    <m/>
    <n v="1"/>
    <s v="Unknown"/>
    <s v="Unknown"/>
    <s v="Ground"/>
    <s v="Exterior spruce branch under bark/witch hair"/>
    <s v="Spruce"/>
    <s v="Exterior"/>
    <s v="Under bark and witch hair "/>
    <m/>
    <m/>
    <n v="10"/>
    <n v="63.721789999999999"/>
    <n v="148.98455999999999"/>
    <m/>
    <m/>
    <m/>
    <n v="0"/>
    <n v="0"/>
    <n v="0"/>
    <n v="0"/>
    <n v="0"/>
    <n v="0"/>
    <n v="0"/>
    <m/>
    <m/>
    <m/>
    <m/>
  </r>
  <r>
    <s v="DSCN1335"/>
    <s v="M4R1005_5"/>
    <n v="5"/>
    <n v="1"/>
    <s v="M4Roadside"/>
    <d v="2018-10-05T00:00:00"/>
    <s v="October"/>
    <x v="1"/>
    <d v="1899-12-30T00:15:00"/>
    <s v="Overcast"/>
    <x v="7"/>
    <s v="Caching"/>
    <s v="Spruce"/>
    <s v="unknown"/>
    <m/>
    <n v="1"/>
    <s v="Unknown"/>
    <s v="Unknown"/>
    <s v="Ground"/>
    <s v="Exterior spruce branch under bark/witch hair"/>
    <s v="Spruce"/>
    <s v="Exterior"/>
    <s v="Under bark and witch hair "/>
    <m/>
    <m/>
    <s v="unknown"/>
    <n v="63.720469999999999"/>
    <n v="148.98471000000001"/>
    <m/>
    <m/>
    <m/>
    <n v="0"/>
    <n v="0"/>
    <n v="0"/>
    <n v="0"/>
    <n v="0"/>
    <n v="0"/>
    <n v="0"/>
    <m/>
    <s v="Did not observe cache with camera, B&amp;Ut KS reasonably confident she saw it with naked eye. "/>
    <m/>
    <m/>
  </r>
  <r>
    <s v="DSCN1413"/>
    <s v="M4R1008_5"/>
    <n v="5"/>
    <n v="1"/>
    <s v="M4Roadside"/>
    <d v="2018-10-08T00:00:00"/>
    <s v="October"/>
    <x v="1"/>
    <d v="1899-12-30T00:11:00"/>
    <s v="Partly cloudy"/>
    <x v="7"/>
    <s v="Foraging"/>
    <s v="NA"/>
    <n v="1"/>
    <m/>
    <n v="0"/>
    <s v="Berry"/>
    <s v="Berry (Blueberry)"/>
    <s v="Ground"/>
    <s v="NA"/>
    <s v="NA"/>
    <s v="NA"/>
    <s v="NA"/>
    <m/>
    <m/>
    <s v="NA"/>
    <s v="NA"/>
    <m/>
    <m/>
    <m/>
    <m/>
    <n v="0"/>
    <n v="0"/>
    <n v="0"/>
    <n v="0"/>
    <n v="11"/>
    <n v="0"/>
    <n v="11"/>
    <m/>
    <m/>
    <m/>
    <m/>
  </r>
  <r>
    <s v="DSCN1414"/>
    <s v="M4R1008_6"/>
    <n v="6"/>
    <n v="1"/>
    <s v="M4Roadside"/>
    <d v="2018-10-08T00:00:00"/>
    <s v="October"/>
    <x v="1"/>
    <d v="1899-12-30T00:35:00"/>
    <s v="Partly cloudy"/>
    <x v="7"/>
    <s v="Caching"/>
    <s v="Spruce"/>
    <n v="0"/>
    <m/>
    <n v="1"/>
    <s v="Unknown"/>
    <s v="Unknown"/>
    <s v="unknown"/>
    <s v="Exterior bare spruce branch"/>
    <s v="Spruce"/>
    <s v="Exterior"/>
    <s v="Branch"/>
    <m/>
    <m/>
    <s v="unknown"/>
    <n v="63.719549999999998"/>
    <n v="148.98508000000001"/>
    <m/>
    <m/>
    <m/>
    <n v="0"/>
    <n v="0"/>
    <n v="0"/>
    <n v="0"/>
    <n v="0"/>
    <n v="0"/>
    <n v="0"/>
    <m/>
    <s v="No video of event.  Observed by DL.  "/>
    <m/>
    <m/>
  </r>
  <r>
    <s v="DSCN1574"/>
    <s v="M4R1015_1"/>
    <n v="1"/>
    <n v="1"/>
    <s v="M4Roadside"/>
    <d v="2018-10-15T00:00:00"/>
    <s v="October"/>
    <x v="1"/>
    <d v="1899-12-30T00:23:00"/>
    <s v="Overcast"/>
    <x v="7"/>
    <s v="Foraging"/>
    <s v="NA"/>
    <n v="1"/>
    <m/>
    <n v="0"/>
    <s v="Berry"/>
    <s v="Berry (Blueberry)"/>
    <s v="Ground"/>
    <s v="unknown"/>
    <s v="NA"/>
    <s v="NA"/>
    <s v="NA"/>
    <m/>
    <m/>
    <s v="NA"/>
    <s v="NA"/>
    <m/>
    <m/>
    <m/>
    <m/>
    <n v="0"/>
    <n v="0"/>
    <n v="0"/>
    <n v="0"/>
    <n v="14"/>
    <n v="0"/>
    <n v="14"/>
    <m/>
    <m/>
    <m/>
    <m/>
  </r>
  <r>
    <s v="DSCN1575"/>
    <s v="M4R1015_2"/>
    <n v="2"/>
    <n v="1"/>
    <s v="M4Roadside"/>
    <d v="2018-10-15T00:00:00"/>
    <s v="October"/>
    <x v="1"/>
    <d v="1899-12-30T00:15:00"/>
    <s v="Overcast"/>
    <x v="7"/>
    <s v="Foraging"/>
    <s v="NA"/>
    <n v="1"/>
    <m/>
    <n v="0"/>
    <s v="Animal flesh"/>
    <s v="Animal flesh (Snowshoe hare)"/>
    <s v="Ground"/>
    <s v="NA"/>
    <s v="NA"/>
    <s v="NA"/>
    <s v="NA"/>
    <m/>
    <m/>
    <s v="NA"/>
    <s v="NA"/>
    <m/>
    <m/>
    <m/>
    <m/>
    <n v="0"/>
    <n v="0"/>
    <n v="0"/>
    <n v="0"/>
    <n v="0"/>
    <n v="0"/>
    <n v="0"/>
    <m/>
    <s v="13 Foraging for OB/YS, 4 for WG/OS"/>
    <m/>
    <m/>
  </r>
  <r>
    <s v="DSCN1582"/>
    <s v="M4R1015_7"/>
    <n v="7"/>
    <n v="1"/>
    <s v="M4Roadside"/>
    <d v="2018-10-15T00:00:00"/>
    <s v="October"/>
    <x v="1"/>
    <d v="1899-12-30T00:36:00"/>
    <s v="Overcast"/>
    <x v="7"/>
    <s v="Foraging"/>
    <s v="NA"/>
    <n v="1"/>
    <m/>
    <n v="0"/>
    <s v="Animal flesh"/>
    <s v="Animal flesh (Snowshoe hare)"/>
    <s v="Ground"/>
    <s v="NA"/>
    <s v="NA"/>
    <s v="NA"/>
    <s v="NA"/>
    <m/>
    <m/>
    <s v="NA"/>
    <s v="NA"/>
    <m/>
    <m/>
    <m/>
    <m/>
    <n v="0"/>
    <n v="0"/>
    <n v="0"/>
    <n v="0"/>
    <n v="0"/>
    <n v="0"/>
    <n v="0"/>
    <m/>
    <m/>
    <m/>
    <m/>
  </r>
  <r>
    <s v="DSCN1594"/>
    <s v="M4R1015_17"/>
    <n v="17"/>
    <n v="3"/>
    <s v="M4Roadside"/>
    <d v="2018-10-15T00:00:00"/>
    <s v="October"/>
    <x v="1"/>
    <d v="1899-12-30T02:42:00"/>
    <s v="Overcast"/>
    <x v="7"/>
    <s v="Foraging"/>
    <s v="NA"/>
    <n v="1"/>
    <m/>
    <n v="0"/>
    <s v="Animal flesh"/>
    <s v="Animal flesh (Snowshoe hare)"/>
    <s v="Ground"/>
    <s v="NA"/>
    <s v="NA"/>
    <s v="NA"/>
    <s v="NA"/>
    <m/>
    <m/>
    <s v="NA"/>
    <s v="NA"/>
    <m/>
    <m/>
    <m/>
    <m/>
    <n v="0"/>
    <n v="0"/>
    <n v="0"/>
    <n v="0"/>
    <n v="0"/>
    <n v="0"/>
    <n v="0"/>
    <m/>
    <m/>
    <m/>
    <m/>
  </r>
  <r>
    <s v="DSCN1599"/>
    <s v="M4R1015_22"/>
    <n v="22"/>
    <n v="1"/>
    <s v="M4Roadside"/>
    <d v="2018-10-15T00:00:00"/>
    <s v="October"/>
    <x v="1"/>
    <d v="1899-12-30T00:22:00"/>
    <s v="Overcast"/>
    <x v="7"/>
    <s v="Foraging"/>
    <s v="NA"/>
    <n v="1"/>
    <m/>
    <n v="0"/>
    <s v="Animal flesh"/>
    <s v="Animal flesh (Snowshoe hare)"/>
    <s v="Ground"/>
    <s v="NA"/>
    <s v="NA"/>
    <s v="NA"/>
    <s v="NA"/>
    <m/>
    <m/>
    <s v="NA"/>
    <s v="NA"/>
    <m/>
    <m/>
    <m/>
    <m/>
    <n v="0"/>
    <n v="0"/>
    <n v="0"/>
    <n v="0"/>
    <n v="0"/>
    <n v="0"/>
    <n v="0"/>
    <m/>
    <m/>
    <m/>
    <m/>
  </r>
  <r>
    <s v="DSCN1603"/>
    <s v="M4R1015_24"/>
    <n v="24"/>
    <n v="1"/>
    <s v="M4Roadside"/>
    <d v="2018-10-15T00:00:00"/>
    <s v="October"/>
    <x v="1"/>
    <d v="1899-12-30T00:27:00"/>
    <s v="Overcast"/>
    <x v="7"/>
    <s v="Caching"/>
    <s v="Spruce"/>
    <n v="0"/>
    <m/>
    <n v="1"/>
    <s v="Animal flesh"/>
    <s v="Animal flesh (Snowshoe hare)"/>
    <s v="Ground"/>
    <s v="Exterior spruce foliage"/>
    <s v="Spruce"/>
    <s v="Exterior"/>
    <s v="Foliage"/>
    <m/>
    <m/>
    <n v="23"/>
    <n v="63.722029999999997"/>
    <n v="148.98781"/>
    <m/>
    <m/>
    <m/>
    <n v="0"/>
    <n v="0"/>
    <n v="0"/>
    <n v="0"/>
    <n v="0"/>
    <n v="0"/>
    <n v="0"/>
    <m/>
    <m/>
    <m/>
    <m/>
  </r>
  <r>
    <s v="DSCN1659"/>
    <s v="M4R1015_30"/>
    <n v="30"/>
    <n v="1"/>
    <s v="M4Roadside"/>
    <d v="2018-10-15T00:00:00"/>
    <s v="October"/>
    <x v="1"/>
    <d v="1899-12-30T00:43:00"/>
    <s v="Overcast"/>
    <x v="7"/>
    <s v="Foraging"/>
    <s v="NA"/>
    <n v="1"/>
    <m/>
    <n v="0"/>
    <s v="Animal flesh"/>
    <s v="Animal flesh (Snowshoe hare)"/>
    <s v="Ground"/>
    <s v="NA"/>
    <s v="NA"/>
    <s v="NA"/>
    <s v="NA"/>
    <m/>
    <m/>
    <s v="NA"/>
    <s v="NA"/>
    <m/>
    <m/>
    <m/>
    <m/>
    <n v="0"/>
    <n v="0"/>
    <n v="0"/>
    <n v="0"/>
    <n v="0"/>
    <n v="0"/>
    <n v="0"/>
    <m/>
    <m/>
    <m/>
    <m/>
  </r>
  <r>
    <s v="DSCN1886"/>
    <s v="M4R1018_3"/>
    <n v="3"/>
    <n v="1"/>
    <s v="M4Roadside"/>
    <d v="2018-10-18T00:00:00"/>
    <s v="October"/>
    <x v="1"/>
    <d v="1899-12-30T00:46:00"/>
    <s v="Overcast"/>
    <x v="7"/>
    <s v="Caching/foraging"/>
    <s v="Spruce"/>
    <n v="1"/>
    <m/>
    <n v="1"/>
    <s v="Berry"/>
    <s v="Berry (Blueberry)"/>
    <s v="Ground"/>
    <s v="Exterior spruce foliage"/>
    <s v="Spruce"/>
    <s v="Exterior"/>
    <s v="Foliage"/>
    <m/>
    <m/>
    <n v="10"/>
    <n v="63.721490000000003"/>
    <n v="148.98593"/>
    <m/>
    <m/>
    <m/>
    <n v="0"/>
    <n v="0"/>
    <n v="0"/>
    <n v="0"/>
    <n v="22"/>
    <n v="0"/>
    <n v="22"/>
    <m/>
    <m/>
    <m/>
    <m/>
  </r>
  <r>
    <s v="DSCN1887"/>
    <s v="M4R1018_4"/>
    <n v="4"/>
    <n v="1"/>
    <s v="M4Roadside"/>
    <d v="2018-10-18T00:00:00"/>
    <s v="October"/>
    <x v="1"/>
    <d v="1899-12-30T00:19:00"/>
    <s v="Overcast"/>
    <x v="7"/>
    <s v="Caching/foraging"/>
    <s v="Spruce"/>
    <n v="1"/>
    <m/>
    <n v="1"/>
    <s v="Berry"/>
    <s v="Berry (Blueberry)"/>
    <s v="Ground"/>
    <s v="Exterior spruce branch under bark/witch hair"/>
    <s v="Spruce"/>
    <s v="Exterior"/>
    <s v="Under bark and witch hair "/>
    <m/>
    <m/>
    <n v="15"/>
    <n v="63.721530000000001"/>
    <n v="148.98598999999999"/>
    <m/>
    <m/>
    <m/>
    <n v="0"/>
    <n v="0"/>
    <n v="0"/>
    <n v="0"/>
    <n v="7"/>
    <n v="0"/>
    <n v="7"/>
    <m/>
    <m/>
    <m/>
    <m/>
  </r>
  <r>
    <s v="DSCN1888"/>
    <s v="M4R1018_5"/>
    <n v="5"/>
    <n v="1"/>
    <s v="M4Roadside"/>
    <d v="2018-10-18T00:00:00"/>
    <s v="October"/>
    <x v="1"/>
    <d v="1899-12-30T00:29:00"/>
    <s v="Overcast"/>
    <x v="7"/>
    <s v="Foraging"/>
    <s v="NA"/>
    <n v="1"/>
    <m/>
    <n v="0"/>
    <s v="Berry"/>
    <s v="Berry (Blueberry)"/>
    <s v="Ground"/>
    <s v="NA"/>
    <s v="NA"/>
    <s v="NA"/>
    <s v="NA"/>
    <m/>
    <m/>
    <s v="NA"/>
    <s v="NA"/>
    <m/>
    <m/>
    <m/>
    <m/>
    <n v="0"/>
    <n v="0"/>
    <n v="0"/>
    <n v="0"/>
    <n v="20"/>
    <n v="0"/>
    <n v="20"/>
    <m/>
    <m/>
    <m/>
    <m/>
  </r>
  <r>
    <s v="DSCN1997"/>
    <s v="M4R1023_1"/>
    <n v="1"/>
    <n v="1"/>
    <s v="M4Roadside"/>
    <d v="2018-10-23T00:00:00"/>
    <s v="October"/>
    <x v="1"/>
    <d v="1899-12-30T01:15:00"/>
    <s v="Mostly cloudy"/>
    <x v="7"/>
    <s v="Foraging"/>
    <s v="Spruce"/>
    <n v="1"/>
    <m/>
    <n v="0"/>
    <s v="Human food"/>
    <s v="Human food (chicken?)"/>
    <s v="Exteriro bare spruce branch tucked under witch hair"/>
    <s v="NA"/>
    <s v="NA"/>
    <s v="NA"/>
    <s v="NA"/>
    <m/>
    <m/>
    <s v="NA"/>
    <s v="NA"/>
    <m/>
    <m/>
    <m/>
    <m/>
    <n v="0"/>
    <n v="0"/>
    <n v="0"/>
    <n v="0"/>
    <n v="0"/>
    <n v="0"/>
    <n v="0"/>
    <m/>
    <s v="Missed acquisition on camera"/>
    <m/>
    <m/>
  </r>
  <r>
    <s v="DSCN2033"/>
    <s v="K21023_1"/>
    <n v="1"/>
    <n v="1"/>
    <s v="Kennel_2"/>
    <d v="2018-10-23T00:00:00"/>
    <s v="October"/>
    <x v="1"/>
    <d v="1899-12-30T00:35:00"/>
    <m/>
    <x v="36"/>
    <s v="Foraging"/>
    <s v="Spruce"/>
    <s v="unknown"/>
    <m/>
    <n v="0"/>
    <s v="Unknown"/>
    <s v="Unknown"/>
    <s v="NA"/>
    <s v="NA"/>
    <s v="NA"/>
    <s v="NA"/>
    <s v="NA"/>
    <m/>
    <m/>
    <s v="NA"/>
    <s v="NA"/>
    <m/>
    <m/>
    <m/>
    <m/>
    <n v="14"/>
    <n v="0"/>
    <n v="14"/>
    <n v="0"/>
    <n v="0"/>
    <n v="0"/>
    <n v="14"/>
    <s v="Searching"/>
    <m/>
    <m/>
    <m/>
  </r>
  <r>
    <s v="DSCN1369"/>
    <s v="AQ1007_1"/>
    <n v="1"/>
    <n v="1"/>
    <s v="Air Quality"/>
    <d v="2018-10-07T00:00:00"/>
    <s v="October"/>
    <x v="1"/>
    <d v="1899-12-30T00:15:00"/>
    <s v="Overcast"/>
    <x v="8"/>
    <s v="Foraging"/>
    <s v="NA"/>
    <n v="1"/>
    <m/>
    <n v="0"/>
    <s v="Unknown"/>
    <s v="Unknown"/>
    <s v="Ground"/>
    <s v="NA"/>
    <s v="NA"/>
    <s v="NA"/>
    <s v="NA"/>
    <m/>
    <m/>
    <s v="NA"/>
    <s v="NA"/>
    <m/>
    <m/>
    <m/>
    <m/>
    <n v="0"/>
    <n v="0"/>
    <n v="0"/>
    <n v="0"/>
    <n v="0"/>
    <n v="0"/>
    <n v="0"/>
    <m/>
    <s v="Not captured on video.  "/>
    <m/>
    <m/>
  </r>
  <r>
    <s v="DSCN1373"/>
    <s v="AQ1007_3"/>
    <n v="3"/>
    <n v="1"/>
    <s v="Air Quality"/>
    <d v="2018-10-07T00:00:00"/>
    <s v="October"/>
    <x v="1"/>
    <d v="1899-12-30T01:27:00"/>
    <s v="Overcast"/>
    <x v="8"/>
    <s v="Caching"/>
    <s v="Spruce"/>
    <n v="1"/>
    <m/>
    <n v="1"/>
    <s v="Unknown"/>
    <s v="Unknown"/>
    <s v="Spruce branch near lichen"/>
    <s v="Exterior spruce branch under bark"/>
    <s v="Spruce"/>
    <s v="Exterior"/>
    <s v="Branch under bark"/>
    <m/>
    <m/>
    <s v="unknown"/>
    <n v="63.721200000000003"/>
    <n v="148.96514999999999"/>
    <m/>
    <m/>
    <m/>
    <n v="0"/>
    <n v="0"/>
    <n v="0"/>
    <n v="0"/>
    <n v="0"/>
    <n v="0"/>
    <n v="0"/>
    <m/>
    <m/>
    <m/>
    <m/>
  </r>
  <r>
    <s v="DSCN1373"/>
    <s v="AQ1007_3"/>
    <n v="3"/>
    <n v="2"/>
    <s v="Air Quality"/>
    <d v="2018-10-07T00:00:00"/>
    <s v="October"/>
    <x v="1"/>
    <d v="1899-12-30T01:27:00"/>
    <s v="Overcast"/>
    <x v="8"/>
    <s v="Caching"/>
    <s v="Spruce"/>
    <n v="0"/>
    <m/>
    <n v="2"/>
    <s v="Unknown"/>
    <s v="Unknown"/>
    <s v="Spruce branch near lichen"/>
    <s v="Exterior spruce branch under bark"/>
    <s v="Spruce"/>
    <s v="Exterior"/>
    <s v="Under bark"/>
    <m/>
    <m/>
    <s v="unknown"/>
    <n v="63.721200000000003"/>
    <n v="148.96527"/>
    <m/>
    <m/>
    <m/>
    <n v="0"/>
    <n v="0"/>
    <n v="0"/>
    <n v="0"/>
    <n v="0"/>
    <n v="0"/>
    <n v="0"/>
    <m/>
    <m/>
    <m/>
    <m/>
  </r>
  <r>
    <s v="DSCN1386"/>
    <s v="AQ1007_4"/>
    <n v="4"/>
    <n v="1"/>
    <s v="Air Quality"/>
    <d v="2018-10-07T00:00:00"/>
    <s v="October"/>
    <x v="1"/>
    <d v="1899-12-30T00:34:00"/>
    <s v="Overcast"/>
    <x v="8"/>
    <s v="Foraging"/>
    <s v="Spruce"/>
    <n v="1"/>
    <m/>
    <n v="0"/>
    <s v="Unknown"/>
    <s v="Unknown"/>
    <s v="Exterior foliated spruce"/>
    <s v="NA"/>
    <s v="NA"/>
    <s v="NA"/>
    <s v="NA"/>
    <m/>
    <m/>
    <s v="NA"/>
    <s v="NA"/>
    <m/>
    <m/>
    <m/>
    <m/>
    <n v="0"/>
    <n v="33"/>
    <n v="0"/>
    <n v="33"/>
    <n v="0"/>
    <n v="0"/>
    <n v="33"/>
    <s v="Searching"/>
    <m/>
    <m/>
    <m/>
  </r>
  <r>
    <s v="DSCN1389"/>
    <s v="AQ1007_5"/>
    <n v="5"/>
    <n v="1"/>
    <s v="Air Quality"/>
    <d v="2018-10-07T00:00:00"/>
    <s v="October"/>
    <x v="1"/>
    <d v="1899-12-30T01:23:00"/>
    <s v="Overcast"/>
    <x v="8"/>
    <s v="Foraging/caching"/>
    <s v="Spruce"/>
    <n v="2"/>
    <m/>
    <n v="1"/>
    <s v="Berry"/>
    <s v="Berry (Blueberry)"/>
    <s v="Ground"/>
    <s v="Exterior spruce foliage under witchhair"/>
    <s v="Spruce"/>
    <s v="Exterior"/>
    <s v="Foliage and witch hair"/>
    <m/>
    <m/>
    <n v="4"/>
    <n v="63.722389999999997"/>
    <n v="148.96592999999999"/>
    <m/>
    <m/>
    <m/>
    <n v="0"/>
    <n v="0"/>
    <n v="0"/>
    <n v="0"/>
    <n v="18"/>
    <n v="0"/>
    <n v="18"/>
    <m/>
    <s v="Two birds in this video.  The first (O/BS) is the one foraging in the tree.  We did not document any food acquisitions or caches for that birds.  The rest of the data is based on the second bird (PG/PS)"/>
    <m/>
    <m/>
  </r>
  <r>
    <s v="DSCN1389"/>
    <s v="AQ1007_5"/>
    <n v="5"/>
    <n v="3"/>
    <s v="Air Quality"/>
    <d v="2018-10-07T00:00:00"/>
    <s v="October"/>
    <x v="1"/>
    <d v="1899-12-30T01:23:00"/>
    <s v="Overcast"/>
    <x v="8"/>
    <s v="Caching"/>
    <s v="Spruce"/>
    <n v="1"/>
    <m/>
    <n v="1"/>
    <s v="Berry"/>
    <s v="Berry (Blueberry)"/>
    <s v="Ground"/>
    <s v="Interior bare spruce branch near trunk"/>
    <s v="Spruce"/>
    <s v="Interior"/>
    <s v="Branch"/>
    <m/>
    <m/>
    <n v="13"/>
    <n v="63.722320000000003"/>
    <n v="148.96617000000001"/>
    <m/>
    <m/>
    <m/>
    <n v="0"/>
    <n v="0"/>
    <n v="0"/>
    <n v="0"/>
    <n v="0"/>
    <n v="0"/>
    <n v="0"/>
    <m/>
    <s v="Cached and then foraged."/>
    <m/>
    <m/>
  </r>
  <r>
    <s v="DSCN1389"/>
    <s v="AQ1007_5"/>
    <n v="5"/>
    <n v="2"/>
    <s v="Air Quality"/>
    <d v="2018-10-07T00:00:00"/>
    <s v="October"/>
    <x v="1"/>
    <d v="1899-12-30T01:23:00"/>
    <s v="Overcast"/>
    <x v="8"/>
    <s v="Caching"/>
    <s v="Spruce"/>
    <n v="0"/>
    <m/>
    <n v="2"/>
    <s v="Unknown"/>
    <s v="Unknown"/>
    <s v="Ground"/>
    <s v="Exterior spruce foliage under witchhair"/>
    <s v="Spruce"/>
    <s v="Exterior"/>
    <s v="Foliage"/>
    <m/>
    <m/>
    <n v="21"/>
    <n v="63.722290000000001"/>
    <n v="148.96632"/>
    <m/>
    <m/>
    <m/>
    <n v="0"/>
    <n v="0"/>
    <n v="0"/>
    <n v="0"/>
    <n v="0"/>
    <n v="0"/>
    <n v="0"/>
    <m/>
    <m/>
    <m/>
    <m/>
  </r>
  <r>
    <s v="DSCN2036"/>
    <s v="AQ1023_1"/>
    <n v="1"/>
    <n v="1"/>
    <s v="Air Quality"/>
    <d v="2018-10-23T00:00:00"/>
    <s v="October"/>
    <x v="1"/>
    <d v="1899-12-30T00:27:00"/>
    <m/>
    <x v="8"/>
    <s v="Foraging"/>
    <s v="NA"/>
    <s v="unknown"/>
    <m/>
    <n v="0"/>
    <s v="Unknown"/>
    <s v="Unknown"/>
    <s v="NA"/>
    <s v="NA"/>
    <s v="NA"/>
    <s v="NA"/>
    <s v="NA"/>
    <m/>
    <m/>
    <s v="NA"/>
    <s v="NA"/>
    <m/>
    <m/>
    <m/>
    <m/>
    <n v="0"/>
    <n v="0"/>
    <n v="0"/>
    <n v="0"/>
    <n v="27"/>
    <n v="0"/>
    <n v="27"/>
    <m/>
    <m/>
    <m/>
    <m/>
  </r>
  <r>
    <s v="DSCN2039"/>
    <s v="AQ1023_3"/>
    <n v="3"/>
    <n v="1"/>
    <s v="Air Quality"/>
    <d v="2018-10-23T00:00:00"/>
    <s v="October"/>
    <x v="1"/>
    <d v="1899-12-30T00:27:00"/>
    <m/>
    <x v="8"/>
    <s v="Foraging"/>
    <s v="NA"/>
    <n v="0"/>
    <m/>
    <n v="0"/>
    <m/>
    <s v="NA"/>
    <s v="NA"/>
    <s v="NA"/>
    <s v="NA"/>
    <s v="NA"/>
    <s v="NA"/>
    <m/>
    <m/>
    <s v="NA"/>
    <s v="NA"/>
    <m/>
    <m/>
    <m/>
    <m/>
    <n v="0"/>
    <n v="0"/>
    <n v="0"/>
    <n v="0"/>
    <n v="27"/>
    <n v="0"/>
    <n v="27"/>
    <m/>
    <s v="Looking at ground from low branch"/>
    <m/>
    <m/>
  </r>
  <r>
    <s v="DSCN2042"/>
    <s v="AQ1023_4"/>
    <n v="4"/>
    <n v="1"/>
    <s v="Air Quality"/>
    <d v="2018-10-23T00:00:00"/>
    <s v="October"/>
    <x v="1"/>
    <d v="1899-12-30T00:17:00"/>
    <m/>
    <x v="8"/>
    <s v="Foraging"/>
    <s v="NA"/>
    <n v="0"/>
    <m/>
    <n v="0"/>
    <m/>
    <s v="NA"/>
    <s v="NA"/>
    <s v="NA"/>
    <s v="NA"/>
    <s v="NA"/>
    <s v="NA"/>
    <m/>
    <m/>
    <s v="NA"/>
    <s v="NA"/>
    <m/>
    <m/>
    <m/>
    <m/>
    <n v="0"/>
    <n v="0"/>
    <n v="0"/>
    <n v="0"/>
    <n v="16"/>
    <n v="0"/>
    <n v="16"/>
    <m/>
    <s v="Looking at ground from low branch"/>
    <m/>
    <m/>
  </r>
  <r>
    <s v="DSCN2045"/>
    <s v="AQ1023_6"/>
    <n v="6"/>
    <n v="1"/>
    <s v="Air Quality"/>
    <d v="2018-10-23T00:00:00"/>
    <s v="October"/>
    <x v="1"/>
    <d v="1899-12-30T00:10:00"/>
    <m/>
    <x v="8"/>
    <s v="Foraging"/>
    <s v="NA"/>
    <s v="unknown"/>
    <m/>
    <n v="0"/>
    <m/>
    <s v="NA"/>
    <s v="NA"/>
    <s v="NA"/>
    <s v="NA"/>
    <s v="NA"/>
    <s v="NA"/>
    <m/>
    <m/>
    <s v="NA"/>
    <s v="NA"/>
    <m/>
    <m/>
    <m/>
    <m/>
    <n v="0"/>
    <n v="0"/>
    <n v="0"/>
    <n v="0"/>
    <n v="2"/>
    <n v="0"/>
    <n v="2"/>
    <m/>
    <m/>
    <m/>
    <m/>
  </r>
  <r>
    <s v="DSCN2048"/>
    <s v="AQ1023_7"/>
    <n v="7"/>
    <n v="1"/>
    <s v="Air Quality"/>
    <d v="2018-10-23T00:00:00"/>
    <s v="October"/>
    <x v="1"/>
    <d v="1899-12-30T00:43:00"/>
    <m/>
    <x v="8"/>
    <s v="Foraging"/>
    <s v="NA"/>
    <n v="1"/>
    <m/>
    <n v="0"/>
    <s v="Insect"/>
    <s v="Insect (worm or caterpillar)"/>
    <s v="Ground"/>
    <s v="NA"/>
    <s v="NA"/>
    <s v="NA"/>
    <s v="NA"/>
    <m/>
    <m/>
    <s v="NA"/>
    <s v="NA"/>
    <m/>
    <m/>
    <m/>
    <m/>
    <n v="0"/>
    <n v="0"/>
    <n v="0"/>
    <n v="0"/>
    <n v="23"/>
    <n v="0"/>
    <n v="23"/>
    <m/>
    <s v="Looking at ground from low branch.  Eventually went to ground and picked up something it had to beat against tree.  Took that as indication of insect.  "/>
    <m/>
    <m/>
  </r>
  <r>
    <s v="DSCN1371"/>
    <s v="AQ1007_2"/>
    <n v="2"/>
    <n v="1"/>
    <s v="Air Quality"/>
    <d v="2018-10-07T00:00:00"/>
    <s v="October"/>
    <x v="1"/>
    <d v="1899-12-30T00:07:00"/>
    <s v="Overcast"/>
    <x v="9"/>
    <s v="Foraging"/>
    <s v="NA"/>
    <n v="1"/>
    <m/>
    <n v="0"/>
    <s v="Berry"/>
    <s v="Berry (Blueberry)"/>
    <s v="Ground"/>
    <s v="NA"/>
    <s v="NA"/>
    <s v="NA"/>
    <s v="NA"/>
    <m/>
    <m/>
    <s v="NA"/>
    <s v="NA"/>
    <m/>
    <m/>
    <m/>
    <m/>
    <n v="0"/>
    <n v="0"/>
    <n v="0"/>
    <n v="0"/>
    <n v="6"/>
    <n v="0"/>
    <n v="6"/>
    <m/>
    <m/>
    <m/>
    <m/>
  </r>
  <r>
    <s v="DSCN1873"/>
    <s v="AQ1017_1"/>
    <n v="1"/>
    <n v="1"/>
    <s v="Air Quality"/>
    <d v="2018-10-17T00:00:00"/>
    <s v="October"/>
    <x v="1"/>
    <d v="1899-12-30T00:31:00"/>
    <s v="Overcast"/>
    <x v="9"/>
    <s v="Caching/foraging"/>
    <s v="Spruce"/>
    <n v="2"/>
    <m/>
    <n v="1"/>
    <s v="Unknown"/>
    <s v="unknown (for all)"/>
    <s v="Ground for cached item; then on bare spruce branch under bark"/>
    <s v="Exterior spruce branch under bark/witch hair"/>
    <s v="Spruce"/>
    <s v="Exterior"/>
    <s v="Branch under witch hair"/>
    <m/>
    <m/>
    <s v="unknown"/>
    <n v="63.723950000000002"/>
    <n v="148.96271999999999"/>
    <m/>
    <m/>
    <m/>
    <n v="10"/>
    <n v="0"/>
    <n v="0"/>
    <n v="10"/>
    <n v="0"/>
    <n v="0"/>
    <n v="10"/>
    <m/>
    <s v="Picked something up from ground (not on film) then cached, then resumed foraging in tree. "/>
    <m/>
    <m/>
  </r>
  <r>
    <s v="DSCN2037"/>
    <s v="AQ1023_2"/>
    <n v="2"/>
    <n v="1"/>
    <s v="Air Quality"/>
    <d v="2018-10-23T00:00:00"/>
    <s v="October"/>
    <x v="1"/>
    <d v="1899-12-30T00:12:00"/>
    <m/>
    <x v="9"/>
    <s v="Foraging"/>
    <s v="NA"/>
    <n v="2"/>
    <m/>
    <n v="0"/>
    <s v="Unknown"/>
    <s v="Unknown"/>
    <s v="Ground"/>
    <s v="NA"/>
    <s v="NA"/>
    <s v="NA"/>
    <s v="NA"/>
    <m/>
    <m/>
    <s v="NA"/>
    <s v="NA"/>
    <m/>
    <m/>
    <m/>
    <m/>
    <n v="0"/>
    <n v="0"/>
    <n v="0"/>
    <n v="0"/>
    <n v="12"/>
    <n v="0"/>
    <n v="12"/>
    <m/>
    <m/>
    <m/>
    <m/>
  </r>
  <r>
    <s v="DSCN2043"/>
    <s v="AQ1023_5"/>
    <n v="5"/>
    <n v="1"/>
    <s v="Air Quality"/>
    <d v="2018-10-23T00:00:00"/>
    <s v="October"/>
    <x v="1"/>
    <d v="1899-12-30T00:11:00"/>
    <m/>
    <x v="9"/>
    <s v="Foraging"/>
    <s v="NA"/>
    <n v="1"/>
    <m/>
    <n v="0"/>
    <s v="Unknown"/>
    <s v="Unknown"/>
    <s v="Ground"/>
    <s v="NA"/>
    <s v="NA"/>
    <s v="NA"/>
    <s v="NA"/>
    <m/>
    <m/>
    <s v="NA"/>
    <s v="NA"/>
    <m/>
    <m/>
    <m/>
    <m/>
    <n v="0"/>
    <n v="0"/>
    <n v="0"/>
    <n v="0"/>
    <n v="9"/>
    <n v="0"/>
    <n v="9"/>
    <m/>
    <s v="Band combo determined in field"/>
    <m/>
    <m/>
  </r>
  <r>
    <s v="DSCN2014"/>
    <s v="M4S1023_1"/>
    <n v="1"/>
    <n v="1"/>
    <s v="Mile 4 South"/>
    <d v="2018-10-23T00:00:00"/>
    <s v="October"/>
    <x v="1"/>
    <d v="1899-12-30T00:15:00"/>
    <m/>
    <x v="37"/>
    <s v="Foraging"/>
    <s v="Spruce"/>
    <s v="unknown"/>
    <m/>
    <n v="0"/>
    <m/>
    <s v="NA"/>
    <s v="NA"/>
    <s v="NA"/>
    <s v="NA"/>
    <s v="NA"/>
    <s v="NA"/>
    <m/>
    <m/>
    <s v="NA"/>
    <s v="NA"/>
    <m/>
    <m/>
    <m/>
    <m/>
    <n v="0"/>
    <n v="15"/>
    <n v="0"/>
    <n v="15"/>
    <n v="0"/>
    <n v="0"/>
    <n v="15"/>
    <s v="Searching"/>
    <m/>
    <m/>
    <m/>
  </r>
  <r>
    <s v="DSCN2034"/>
    <s v="K11023_1"/>
    <n v="1"/>
    <n v="1"/>
    <s v="Kennel_1"/>
    <d v="2018-10-23T00:00:00"/>
    <s v="October"/>
    <x v="1"/>
    <d v="1899-12-30T00:43:00"/>
    <m/>
    <x v="38"/>
    <s v="Foraging"/>
    <s v="Spruce"/>
    <n v="2"/>
    <m/>
    <n v="0"/>
    <s v="Unknown"/>
    <s v="Unknown"/>
    <s v="Exterior bare spruce branch and spruce trunk under bark"/>
    <s v="NA"/>
    <s v="NA"/>
    <s v="NA"/>
    <s v="NA"/>
    <m/>
    <m/>
    <s v="NA"/>
    <s v="NA"/>
    <m/>
    <m/>
    <m/>
    <m/>
    <n v="41"/>
    <n v="0"/>
    <n v="41"/>
    <n v="0"/>
    <n v="0"/>
    <n v="0"/>
    <n v="41"/>
    <s v="Probing"/>
    <s v="Video starts after it has first acquisition, then it forages and finds another under bark"/>
    <n v="3"/>
    <n v="0"/>
  </r>
  <r>
    <s v="DSCN1722"/>
    <s v="M4R1015_50"/>
    <n v="50"/>
    <n v="2"/>
    <s v="M4Roadside"/>
    <d v="2018-10-15T00:00:00"/>
    <s v="October"/>
    <x v="1"/>
    <d v="1899-12-30T01:25:00"/>
    <s v="Overcast"/>
    <x v="10"/>
    <s v="Foraging"/>
    <s v="NA"/>
    <n v="1"/>
    <m/>
    <n v="0"/>
    <s v="Animal flesh"/>
    <s v="Animal flesh (Snowshoe hare)"/>
    <s v="Ground"/>
    <s v="NA"/>
    <s v="NA"/>
    <s v="NA"/>
    <s v="NA"/>
    <m/>
    <m/>
    <s v="NA"/>
    <s v="NA"/>
    <m/>
    <m/>
    <m/>
    <m/>
    <n v="0"/>
    <n v="0"/>
    <n v="0"/>
    <n v="0"/>
    <n v="0"/>
    <n v="0"/>
    <n v="0"/>
    <m/>
    <s v="Fed alongside /BS "/>
    <m/>
    <m/>
  </r>
  <r>
    <s v="DSCN1724"/>
    <s v="M4R1015_52"/>
    <n v="52"/>
    <n v="1"/>
    <s v="M4Roadside"/>
    <d v="2018-10-15T00:00:00"/>
    <s v="October"/>
    <x v="1"/>
    <d v="1899-12-30T00:32:00"/>
    <s v="Overcast"/>
    <x v="10"/>
    <s v="Foraging"/>
    <s v="NA"/>
    <n v="1"/>
    <m/>
    <n v="0"/>
    <s v="Animal flesh"/>
    <s v="Animal flesh (Snowshoe hare)"/>
    <s v="Ground"/>
    <s v="NA"/>
    <s v="NA"/>
    <s v="NA"/>
    <s v="NA"/>
    <m/>
    <m/>
    <s v="NA"/>
    <s v="NA"/>
    <m/>
    <m/>
    <m/>
    <m/>
    <n v="0"/>
    <n v="0"/>
    <n v="0"/>
    <n v="0"/>
    <n v="0"/>
    <n v="0"/>
    <n v="0"/>
    <m/>
    <m/>
    <m/>
    <m/>
  </r>
  <r>
    <s v="DSCN1725"/>
    <s v="M4R1015_53"/>
    <n v="53"/>
    <n v="1"/>
    <s v="M4Roadside"/>
    <d v="2018-10-15T00:00:00"/>
    <s v="October"/>
    <x v="1"/>
    <d v="1899-12-30T00:12:00"/>
    <s v="Overcast"/>
    <x v="10"/>
    <s v="Caching"/>
    <s v="NA"/>
    <n v="0"/>
    <m/>
    <n v="1"/>
    <s v="Animal flesh"/>
    <s v="Animal flesh (Snowshoe hare)"/>
    <s v="Ground"/>
    <s v="Interior spruce foliage "/>
    <s v="Spruce"/>
    <s v="Interior"/>
    <s v="Foliage"/>
    <m/>
    <m/>
    <n v="37"/>
    <n v="63.721760000000003"/>
    <n v="148.98801"/>
    <m/>
    <m/>
    <m/>
    <n v="0"/>
    <n v="0"/>
    <n v="0"/>
    <n v="0"/>
    <n v="0"/>
    <n v="0"/>
    <n v="0"/>
    <m/>
    <m/>
    <m/>
    <m/>
  </r>
  <r>
    <s v="DSCN1728"/>
    <s v="M4R1015_54"/>
    <n v="54"/>
    <n v="1"/>
    <s v="M4Roadside"/>
    <d v="2018-10-15T00:00:00"/>
    <s v="October"/>
    <x v="1"/>
    <d v="1899-12-30T00:52:00"/>
    <s v="Overcast"/>
    <x v="10"/>
    <s v="Foraging"/>
    <s v="NA"/>
    <n v="1"/>
    <m/>
    <n v="0"/>
    <s v="Animal flesh"/>
    <s v="Animal flesh (Snowshoe hare)"/>
    <s v="Ground"/>
    <s v="NA"/>
    <s v="NA"/>
    <s v="NA"/>
    <s v="NA"/>
    <m/>
    <m/>
    <s v="NA"/>
    <s v="NA"/>
    <m/>
    <m/>
    <m/>
    <m/>
    <n v="0"/>
    <n v="0"/>
    <n v="0"/>
    <n v="0"/>
    <n v="0"/>
    <n v="0"/>
    <n v="0"/>
    <m/>
    <m/>
    <m/>
    <m/>
  </r>
  <r>
    <s v="DSCN1729"/>
    <s v="M4R1015_55"/>
    <n v="55"/>
    <n v="1"/>
    <s v="M4Roadside"/>
    <d v="2018-10-15T00:00:00"/>
    <s v="October"/>
    <x v="1"/>
    <d v="1899-12-30T01:06:00"/>
    <s v="Overcast"/>
    <x v="10"/>
    <s v="Foraging"/>
    <s v="NA"/>
    <n v="1"/>
    <m/>
    <n v="0"/>
    <s v="Animal flesh"/>
    <s v="Animal flesh (Snowshoe hare)"/>
    <s v="Ground"/>
    <s v="NA"/>
    <s v="NA"/>
    <s v="NA"/>
    <s v="NA"/>
    <m/>
    <m/>
    <s v="NA"/>
    <s v="NA"/>
    <m/>
    <m/>
    <m/>
    <m/>
    <n v="0"/>
    <n v="0"/>
    <n v="0"/>
    <n v="0"/>
    <n v="0"/>
    <n v="0"/>
    <n v="0"/>
    <m/>
    <m/>
    <m/>
    <m/>
  </r>
  <r>
    <s v="DSCN1736"/>
    <s v="M4R1015_58"/>
    <n v="58"/>
    <n v="1"/>
    <s v="M4Roadside"/>
    <d v="2018-10-15T00:00:00"/>
    <s v="October"/>
    <x v="1"/>
    <d v="1899-12-30T00:24:00"/>
    <s v="Overcast"/>
    <x v="10"/>
    <s v="Foraging"/>
    <s v="NA"/>
    <n v="1"/>
    <m/>
    <n v="0"/>
    <s v="Animal flesh"/>
    <s v="Animal flesh (Snowshoe hare)"/>
    <s v="Ground"/>
    <s v="NA"/>
    <s v="NA"/>
    <s v="NA"/>
    <s v="NA"/>
    <m/>
    <m/>
    <s v="NA"/>
    <s v="NA"/>
    <m/>
    <m/>
    <m/>
    <m/>
    <n v="0"/>
    <n v="0"/>
    <n v="0"/>
    <n v="0"/>
    <n v="0"/>
    <n v="0"/>
    <n v="0"/>
    <m/>
    <m/>
    <m/>
    <m/>
  </r>
  <r>
    <s v="DSCN1743"/>
    <s v="M4R1015_61"/>
    <n v="61"/>
    <n v="1"/>
    <s v="M4Roadside"/>
    <d v="2018-10-15T00:00:00"/>
    <s v="October"/>
    <x v="1"/>
    <d v="1899-12-30T00:16:00"/>
    <s v="Overcast"/>
    <x v="10"/>
    <s v="Foraging"/>
    <s v="NA"/>
    <n v="1"/>
    <m/>
    <n v="0"/>
    <s v="Animal flesh"/>
    <s v="Animal flesh (Snowshoe hare)"/>
    <s v="Ground"/>
    <s v="NA"/>
    <s v="NA"/>
    <s v="NA"/>
    <s v="NA"/>
    <m/>
    <m/>
    <s v="NA"/>
    <s v="NA"/>
    <m/>
    <m/>
    <m/>
    <m/>
    <n v="0"/>
    <n v="0"/>
    <n v="0"/>
    <n v="0"/>
    <n v="0"/>
    <n v="0"/>
    <n v="0"/>
    <m/>
    <m/>
    <m/>
    <m/>
  </r>
  <r>
    <s v="DSCN1748"/>
    <s v="M4R1015_62"/>
    <n v="62"/>
    <n v="1"/>
    <s v="M4Roadside"/>
    <d v="2018-10-15T00:00:00"/>
    <s v="October"/>
    <x v="1"/>
    <d v="1899-12-30T00:36:00"/>
    <s v="Overcast"/>
    <x v="10"/>
    <s v="Foraging"/>
    <s v="NA"/>
    <n v="1"/>
    <m/>
    <n v="0"/>
    <s v="Animal flesh"/>
    <s v="Animal flesh (Snowshoe hare)"/>
    <s v="Ground"/>
    <s v="NA"/>
    <s v="NA"/>
    <s v="NA"/>
    <s v="NA"/>
    <m/>
    <m/>
    <s v="NA"/>
    <s v="NA"/>
    <m/>
    <m/>
    <m/>
    <m/>
    <n v="0"/>
    <n v="0"/>
    <n v="0"/>
    <n v="0"/>
    <n v="0"/>
    <n v="0"/>
    <n v="0"/>
    <m/>
    <m/>
    <m/>
    <m/>
  </r>
  <r>
    <s v="DSCN1750"/>
    <s v="M4R1015_63"/>
    <n v="63"/>
    <n v="1"/>
    <s v="M4Roadside"/>
    <d v="2018-10-15T00:00:00"/>
    <s v="October"/>
    <x v="1"/>
    <d v="1899-12-30T01:41:00"/>
    <s v="Overcast"/>
    <x v="10"/>
    <s v="Foraging"/>
    <s v="NA"/>
    <n v="1"/>
    <m/>
    <n v="0"/>
    <s v="Animal flesh"/>
    <s v="Animal flesh (Snowshoe hare)"/>
    <s v="Ground"/>
    <s v="NA"/>
    <s v="NA"/>
    <s v="NA"/>
    <s v="NA"/>
    <m/>
    <m/>
    <s v="NA"/>
    <s v="NA"/>
    <m/>
    <m/>
    <m/>
    <m/>
    <n v="0"/>
    <n v="0"/>
    <n v="0"/>
    <n v="0"/>
    <n v="0"/>
    <n v="0"/>
    <n v="0"/>
    <m/>
    <m/>
    <m/>
    <m/>
  </r>
  <r>
    <s v="DSCN1758"/>
    <s v="M4R1015_64"/>
    <n v="64"/>
    <n v="1"/>
    <s v="M4Roadside"/>
    <d v="2018-10-15T00:00:00"/>
    <s v="October"/>
    <x v="1"/>
    <d v="1899-12-30T00:25:00"/>
    <s v="Overcast"/>
    <x v="10"/>
    <s v="Caching"/>
    <s v="Spruce"/>
    <n v="0"/>
    <m/>
    <n v="1"/>
    <s v="Animal flesh"/>
    <s v="Animal flesh (Snowshoe hare)"/>
    <s v="Ground"/>
    <s v="Exterior spruce foliage"/>
    <s v="Spruce"/>
    <s v="Exterior"/>
    <s v="Foliage"/>
    <m/>
    <m/>
    <s v="unknown"/>
    <n v="63.721519999999998"/>
    <n v="148.98714000000001"/>
    <m/>
    <m/>
    <m/>
    <n v="0"/>
    <n v="0"/>
    <n v="0"/>
    <n v="0"/>
    <n v="0"/>
    <n v="0"/>
    <n v="0"/>
    <m/>
    <m/>
    <m/>
    <m/>
  </r>
  <r>
    <s v="DSCN2016"/>
    <s v="MR41023_6"/>
    <n v="6"/>
    <n v="1"/>
    <s v="M4Roadside"/>
    <d v="2018-10-23T00:00:00"/>
    <s v="October"/>
    <x v="1"/>
    <d v="1899-12-30T00:56:00"/>
    <m/>
    <x v="10"/>
    <s v="Foraging"/>
    <s v="Spruce"/>
    <n v="1"/>
    <m/>
    <n v="0"/>
    <s v="Unknown"/>
    <s v="Unknown"/>
    <s v="Exterior dense foliage of spruce"/>
    <s v="NA"/>
    <s v="NA"/>
    <s v="NA"/>
    <s v="NA"/>
    <m/>
    <m/>
    <s v="NA"/>
    <s v="NA"/>
    <m/>
    <m/>
    <m/>
    <m/>
    <n v="0"/>
    <n v="17"/>
    <n v="0"/>
    <n v="17"/>
    <n v="0"/>
    <n v="0"/>
    <n v="17"/>
    <s v="Searching"/>
    <m/>
    <m/>
    <m/>
  </r>
  <r>
    <s v="DSCN2017"/>
    <s v="M4R1023_7"/>
    <n v="7"/>
    <n v="1"/>
    <s v="M4Roadside"/>
    <d v="2018-10-23T00:00:00"/>
    <s v="October"/>
    <x v="1"/>
    <d v="1899-12-30T00:53:00"/>
    <m/>
    <x v="10"/>
    <s v="Caching"/>
    <s v="Spruce"/>
    <n v="0"/>
    <m/>
    <n v="1"/>
    <s v="Unknown"/>
    <s v="Unknown"/>
    <s v="Exterior dense foliage of spruce"/>
    <s v="Top of spruce tree in foliage "/>
    <s v="Spruce"/>
    <s v="Interior"/>
    <s v="Foliage"/>
    <m/>
    <m/>
    <n v="10"/>
    <n v="63.720440000000004"/>
    <n v="148.98979"/>
    <m/>
    <m/>
    <m/>
    <n v="0"/>
    <n v="0"/>
    <n v="0"/>
    <n v="0"/>
    <n v="0"/>
    <n v="0"/>
    <n v="0"/>
    <m/>
    <s v="Caching event suspected B&amp;Ut unconfirmed  Seen by JG"/>
    <m/>
    <m/>
  </r>
  <r>
    <s v="DSCN2018"/>
    <s v="M4R1023_8"/>
    <n v="8"/>
    <n v="1"/>
    <s v="M4Roadside"/>
    <d v="2018-10-23T00:00:00"/>
    <s v="October"/>
    <x v="1"/>
    <d v="1899-12-30T00:32:00"/>
    <m/>
    <x v="10"/>
    <s v="Foraging"/>
    <s v="NA"/>
    <n v="1"/>
    <m/>
    <n v="0"/>
    <s v="Berry"/>
    <s v="Berry (Blueberry)"/>
    <s v="Ground"/>
    <s v="NA"/>
    <s v="NA"/>
    <s v="NA"/>
    <s v="NA"/>
    <m/>
    <m/>
    <s v="NA"/>
    <s v="NA"/>
    <m/>
    <m/>
    <m/>
    <m/>
    <n v="0"/>
    <n v="0"/>
    <n v="0"/>
    <n v="0"/>
    <n v="6"/>
    <n v="0"/>
    <n v="6"/>
    <m/>
    <m/>
    <m/>
    <m/>
  </r>
  <r>
    <s v="DSCN2019"/>
    <s v="M4R1023_9"/>
    <n v="9"/>
    <n v="1"/>
    <s v="M4Roadside"/>
    <d v="2018-10-23T00:00:00"/>
    <s v="October"/>
    <x v="1"/>
    <d v="1899-12-30T00:06:00"/>
    <m/>
    <x v="10"/>
    <s v="Foraging"/>
    <s v="NA"/>
    <n v="1"/>
    <m/>
    <n v="0"/>
    <s v="Unknown"/>
    <s v="Unknown"/>
    <s v="Ground"/>
    <s v="NA"/>
    <s v="NA"/>
    <s v="NA"/>
    <s v="NA"/>
    <m/>
    <m/>
    <s v="NA"/>
    <s v="NA"/>
    <m/>
    <m/>
    <m/>
    <m/>
    <n v="0"/>
    <n v="0"/>
    <n v="0"/>
    <n v="0"/>
    <n v="0"/>
    <n v="0"/>
    <n v="0"/>
    <m/>
    <s v="Foraging not captured on video"/>
    <m/>
    <m/>
  </r>
  <r>
    <s v="DSCN2023"/>
    <s v="M4R1023_11"/>
    <n v="11"/>
    <n v="1"/>
    <s v="M4Roadside"/>
    <d v="2018-10-23T00:00:00"/>
    <s v="October"/>
    <x v="1"/>
    <d v="1899-12-30T00:41:00"/>
    <m/>
    <x v="10"/>
    <s v="Foraging"/>
    <s v="Spruce"/>
    <n v="1"/>
    <m/>
    <n v="0"/>
    <s v="Unknown"/>
    <s v="Unknown"/>
    <s v="Exterior dense foliage of spruce"/>
    <s v="NA"/>
    <s v="NA"/>
    <s v="NA"/>
    <s v="NA"/>
    <m/>
    <m/>
    <s v="NA"/>
    <s v="NA"/>
    <m/>
    <m/>
    <m/>
    <m/>
    <n v="3"/>
    <n v="2"/>
    <n v="0"/>
    <n v="5"/>
    <n v="4"/>
    <n v="0"/>
    <n v="9"/>
    <m/>
    <m/>
    <m/>
    <m/>
  </r>
  <r>
    <s v="DSCN2277"/>
    <s v="M4R1030_1"/>
    <n v="1"/>
    <n v="1"/>
    <s v="M4Roadside"/>
    <d v="2018-10-30T00:00:00"/>
    <s v="October"/>
    <x v="1"/>
    <d v="1899-12-30T00:16:00"/>
    <s v="Clear"/>
    <x v="10"/>
    <s v="Foraging"/>
    <s v="Spruce"/>
    <n v="0"/>
    <m/>
    <n v="0"/>
    <m/>
    <s v="NA"/>
    <s v="NA"/>
    <s v="NA"/>
    <s v="NA"/>
    <s v="NA"/>
    <s v="NA"/>
    <m/>
    <m/>
    <s v="NA"/>
    <s v="NA"/>
    <m/>
    <m/>
    <m/>
    <m/>
    <n v="0"/>
    <n v="8"/>
    <n v="0"/>
    <n v="8"/>
    <n v="0"/>
    <n v="0"/>
    <n v="8"/>
    <m/>
    <m/>
    <m/>
    <m/>
  </r>
  <r>
    <s v="DSCN1251"/>
    <s v="B&amp;U1003_1"/>
    <n v="1"/>
    <n v="1"/>
    <s v="B&amp;U"/>
    <d v="2018-10-03T00:00:00"/>
    <s v="October"/>
    <x v="1"/>
    <d v="1899-12-30T01:00:00"/>
    <s v="Full sun"/>
    <x v="11"/>
    <s v="Foraging"/>
    <s v="Spruce"/>
    <n v="1"/>
    <m/>
    <n v="0"/>
    <s v="Unknown"/>
    <s v="Unknown"/>
    <s v="Exterior dense foliage of spruce"/>
    <s v="NA"/>
    <s v="NA"/>
    <s v="NA"/>
    <s v="NA"/>
    <m/>
    <m/>
    <s v="NA"/>
    <s v="NA"/>
    <m/>
    <m/>
    <m/>
    <m/>
    <n v="0"/>
    <n v="13"/>
    <n v="0"/>
    <n v="13"/>
    <n v="0"/>
    <n v="0"/>
    <n v="13"/>
    <s v="Searching"/>
    <s v="No lavendar band as indicated in video. "/>
    <m/>
    <m/>
  </r>
  <r>
    <s v="DSCN1263"/>
    <s v="M4R1005_1"/>
    <n v="1"/>
    <n v="1"/>
    <s v="M4Roadside"/>
    <d v="2018-10-05T00:00:00"/>
    <s v="October"/>
    <x v="1"/>
    <d v="1899-12-30T00:29:00"/>
    <s v="Overcast"/>
    <x v="11"/>
    <s v="Caching"/>
    <s v="Spruce"/>
    <n v="1"/>
    <m/>
    <n v="1"/>
    <s v="Unknown"/>
    <s v="Unknown"/>
    <s v="Ground"/>
    <s v="Exterior spruce foliage"/>
    <s v="Spruce"/>
    <s v="Exterior"/>
    <s v="Foliage"/>
    <m/>
    <m/>
    <n v="7"/>
    <n v="63.723480000000002"/>
    <n v="148.98240999999999"/>
    <m/>
    <m/>
    <m/>
    <n v="0"/>
    <n v="0"/>
    <n v="0"/>
    <n v="0"/>
    <n v="0"/>
    <n v="0"/>
    <n v="0"/>
    <m/>
    <s v="Suspected B&amp;Ut unconfirmed cache"/>
    <m/>
    <m/>
  </r>
  <r>
    <s v="DSCN1498"/>
    <s v="HS1009_1"/>
    <n v="1"/>
    <n v="1"/>
    <s v="Horse Shoe"/>
    <d v="2018-10-09T00:00:00"/>
    <s v="October"/>
    <x v="1"/>
    <d v="1899-12-30T00:07:00"/>
    <s v="Mostly cloudy"/>
    <x v="11"/>
    <s v="Food handling"/>
    <s v="NA"/>
    <n v="1"/>
    <m/>
    <n v="0"/>
    <s v="Animal flesh"/>
    <s v="Animal flesh"/>
    <s v="unknown"/>
    <s v="NA"/>
    <s v="NA"/>
    <s v="NA"/>
    <s v="NA"/>
    <m/>
    <m/>
    <s v="NA"/>
    <s v="NA"/>
    <m/>
    <m/>
    <m/>
    <m/>
    <n v="0"/>
    <n v="0"/>
    <n v="0"/>
    <n v="0"/>
    <n v="0"/>
    <n v="0"/>
    <n v="0"/>
    <m/>
    <s v="Descriptive video only. "/>
    <m/>
    <m/>
  </r>
  <r>
    <s v="DSCN1520"/>
    <s v="M2371011_4"/>
    <n v="4"/>
    <n v="1"/>
    <s v="Mile 237"/>
    <d v="2018-10-11T00:00:00"/>
    <s v="October"/>
    <x v="1"/>
    <d v="1899-12-30T00:29:00"/>
    <s v="Overcast"/>
    <x v="11"/>
    <s v="NA"/>
    <s v="Aspen"/>
    <n v="0"/>
    <m/>
    <n v="1"/>
    <s v="Berry"/>
    <s v="Berry (Soapberry)"/>
    <s v="unknown"/>
    <s v="Under bark of aspen on trunk"/>
    <s v="Aspen"/>
    <s v="Trunk"/>
    <s v="Under bark"/>
    <m/>
    <m/>
    <s v="unknown"/>
    <n v="63.724260000000001"/>
    <n v="148.88929999999999"/>
    <m/>
    <m/>
    <m/>
    <n v="0"/>
    <n v="0"/>
    <n v="0"/>
    <n v="0"/>
    <n v="0"/>
    <n v="0"/>
    <n v="0"/>
    <m/>
    <s v="Caching event not observed.  Cache found incidentally by TG.  Jay spit evident.  "/>
    <m/>
    <m/>
  </r>
  <r>
    <s v="DSCN1558"/>
    <s v="RC1012_2"/>
    <n v="2"/>
    <n v="1"/>
    <s v="Rock Creek"/>
    <d v="2018-10-12T00:00:00"/>
    <s v="October"/>
    <x v="1"/>
    <d v="1899-12-30T00:27:00"/>
    <s v="Overcast"/>
    <x v="11"/>
    <s v="Caching"/>
    <s v="Spruce"/>
    <n v="0"/>
    <m/>
    <n v="1"/>
    <s v="Unknown"/>
    <s v="Unknown"/>
    <s v="unknown"/>
    <s v="Under bark of spruce trunk "/>
    <s v="Spruce"/>
    <s v="Trunk"/>
    <s v="Under bark"/>
    <m/>
    <m/>
    <s v="unknown"/>
    <n v="63.723970000000001"/>
    <n v="148.94882000000001"/>
    <m/>
    <m/>
    <m/>
    <n v="0"/>
    <n v="0"/>
    <n v="0"/>
    <n v="0"/>
    <n v="0"/>
    <n v="0"/>
    <n v="0"/>
    <m/>
    <m/>
    <m/>
    <m/>
  </r>
  <r>
    <s v="DSCN1561"/>
    <s v="RC1012_4"/>
    <n v="4"/>
    <n v="1"/>
    <s v="Rock Creek"/>
    <d v="2018-10-12T00:00:00"/>
    <s v="October"/>
    <x v="1"/>
    <d v="1899-12-30T00:16:00"/>
    <s v="Overcast"/>
    <x v="11"/>
    <s v="Foraging/caching"/>
    <s v="Spruce"/>
    <n v="1"/>
    <m/>
    <n v="1"/>
    <s v="Berry"/>
    <s v="Berry"/>
    <s v="Ground"/>
    <s v="Under bark of spruce trunk "/>
    <s v="Spruce"/>
    <s v="Trunk"/>
    <s v="Under bark"/>
    <m/>
    <m/>
    <n v="7"/>
    <n v="63.722360000000002"/>
    <n v="148.94922"/>
    <m/>
    <m/>
    <m/>
    <n v="0"/>
    <n v="0"/>
    <n v="0"/>
    <n v="0"/>
    <n v="5"/>
    <n v="0"/>
    <n v="5"/>
    <m/>
    <s v="Not captured on video by observed by KS"/>
    <m/>
    <m/>
  </r>
  <r>
    <s v="DSCN1577"/>
    <s v="M4R1015_3"/>
    <n v="3"/>
    <n v="1"/>
    <s v="M4Roadside"/>
    <d v="2018-10-15T00:00:00"/>
    <s v="October"/>
    <x v="1"/>
    <d v="1899-12-30T00:04:00"/>
    <s v="Overcast"/>
    <x v="11"/>
    <s v="Caching"/>
    <s v="Spruce"/>
    <n v="0"/>
    <m/>
    <n v="1"/>
    <s v="Animal flesh"/>
    <s v="Animal flesh (Snowshoe hare)"/>
    <s v="Ground"/>
    <s v="Exterior spruce foliage"/>
    <s v="Spruce"/>
    <s v="Exterior"/>
    <s v="Foliage"/>
    <m/>
    <m/>
    <n v="6"/>
    <n v="63.72184"/>
    <n v="148.98740000000001"/>
    <m/>
    <m/>
    <m/>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578"/>
    <s v="M4R1015_4"/>
    <n v="4"/>
    <n v="1"/>
    <s v="M4Roadside"/>
    <d v="2018-10-15T00:00:00"/>
    <s v="October"/>
    <x v="1"/>
    <d v="1899-12-30T00:06:00"/>
    <s v="Overcast"/>
    <x v="11"/>
    <s v="Caching"/>
    <s v="Spruce"/>
    <n v="0"/>
    <m/>
    <n v="1"/>
    <s v="Animal flesh"/>
    <s v="Animal flesh (Snowshoe hare)"/>
    <s v="Ground"/>
    <s v="Interior spruce foliage "/>
    <s v="Spruce"/>
    <s v="Interior"/>
    <s v="Foliage"/>
    <m/>
    <m/>
    <n v="22"/>
    <n v="63.721739999999997"/>
    <n v="148.98759000000001"/>
    <m/>
    <m/>
    <m/>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580"/>
    <s v="M4R1015_5"/>
    <n v="5"/>
    <n v="1"/>
    <s v="M4Roadside"/>
    <d v="2018-10-15T00:00:00"/>
    <s v="October"/>
    <x v="1"/>
    <d v="1899-12-30T00:10:00"/>
    <s v="Overcast"/>
    <x v="11"/>
    <s v="Foraging"/>
    <s v="Spruce"/>
    <n v="1"/>
    <m/>
    <n v="0"/>
    <s v="Animal flesh"/>
    <s v="Animal flesh (Snowshoe hare)"/>
    <s v="Ground"/>
    <s v="NA"/>
    <s v="NA"/>
    <s v="NA"/>
    <s v="NA"/>
    <m/>
    <m/>
    <s v="NA"/>
    <s v="NA"/>
    <m/>
    <m/>
    <m/>
    <m/>
    <n v="0"/>
    <n v="0"/>
    <n v="0"/>
    <n v="0"/>
    <n v="0"/>
    <n v="0"/>
    <n v="0"/>
    <m/>
    <m/>
    <m/>
    <m/>
  </r>
  <r>
    <s v="DSCN1581"/>
    <s v="M4R1015_6"/>
    <n v="6"/>
    <n v="1"/>
    <s v="M4Roadside"/>
    <d v="2018-10-15T00:00:00"/>
    <s v="October"/>
    <x v="1"/>
    <d v="1899-12-30T00:09:00"/>
    <s v="Overcast"/>
    <x v="11"/>
    <s v="Caching"/>
    <s v="Spruce"/>
    <n v="0"/>
    <m/>
    <n v="1"/>
    <s v="Animal flesh"/>
    <s v="Animal flesh (Snowshoe hare)"/>
    <s v="Ground"/>
    <s v="Exterior spruce foliage"/>
    <s v="Spruce"/>
    <s v="Exterior"/>
    <s v="Foliage"/>
    <m/>
    <m/>
    <n v="7"/>
    <n v="63.721829999999997"/>
    <n v="148.98707999999999"/>
    <m/>
    <m/>
    <m/>
    <n v="0"/>
    <n v="0"/>
    <n v="0"/>
    <n v="0"/>
    <n v="0"/>
    <n v="0"/>
    <n v="0"/>
    <m/>
    <m/>
    <m/>
    <m/>
  </r>
  <r>
    <s v="DSCN1583"/>
    <s v="M4R1015_8"/>
    <n v="8"/>
    <n v="1"/>
    <s v="M4Roadside"/>
    <d v="2018-10-15T00:00:00"/>
    <s v="October"/>
    <x v="1"/>
    <d v="1899-12-30T00:39:00"/>
    <s v="Overcast"/>
    <x v="11"/>
    <s v="Foraging"/>
    <s v="NA"/>
    <n v="1"/>
    <m/>
    <n v="0"/>
    <s v="Animal flesh"/>
    <s v="Animal flesh (Snowshoe hare)"/>
    <s v="Ground"/>
    <s v="NA"/>
    <s v="NA"/>
    <s v="NA"/>
    <s v="NA"/>
    <m/>
    <m/>
    <s v="NA"/>
    <s v="NA"/>
    <m/>
    <m/>
    <m/>
    <m/>
    <n v="0"/>
    <n v="0"/>
    <n v="0"/>
    <n v="0"/>
    <n v="0"/>
    <n v="0"/>
    <n v="0"/>
    <m/>
    <m/>
    <m/>
    <m/>
  </r>
  <r>
    <s v="DSCN1585"/>
    <s v="M4R1015_9"/>
    <n v="9"/>
    <n v="1"/>
    <s v="M4Roadside"/>
    <d v="2018-10-15T00:00:00"/>
    <s v="October"/>
    <x v="1"/>
    <d v="1899-12-30T00:04:00"/>
    <s v="Overcast"/>
    <x v="11"/>
    <s v="Caching"/>
    <s v="Spruce"/>
    <n v="0"/>
    <m/>
    <n v="1"/>
    <s v="Animal flesh"/>
    <s v="Animal flesh (Snowshoe hare)"/>
    <s v="Ground"/>
    <s v="Interior spruce foliage "/>
    <s v="Spruce"/>
    <s v="Interior"/>
    <s v="Foliage"/>
    <m/>
    <m/>
    <n v="16"/>
    <n v="63.72195"/>
    <n v="148.98760999999999"/>
    <m/>
    <m/>
    <m/>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590"/>
    <s v="M4R1015_13"/>
    <n v="13"/>
    <n v="1"/>
    <s v="M4Roadside"/>
    <d v="2018-10-15T00:00:00"/>
    <s v="October"/>
    <x v="1"/>
    <d v="1899-12-30T00:37:00"/>
    <s v="Overcast"/>
    <x v="11"/>
    <s v="Caching"/>
    <s v="Alder"/>
    <n v="0"/>
    <m/>
    <n v="2"/>
    <s v="Animal flesh"/>
    <s v="Animal flesh (Snowshoe hare)"/>
    <s v="Ground"/>
    <s v="Exterior alder branch"/>
    <s v="Alder"/>
    <s v="Exterior"/>
    <s v="Branch"/>
    <m/>
    <m/>
    <n v="25"/>
    <n v="63.722020000000001"/>
    <n v="148.98776000000001"/>
    <m/>
    <m/>
    <m/>
    <n v="0"/>
    <n v="0"/>
    <n v="0"/>
    <n v="0"/>
    <n v="0"/>
    <n v="0"/>
    <n v="0"/>
    <m/>
    <s v="One confirmed cache, one suspected cache. "/>
    <m/>
    <m/>
  </r>
  <r>
    <s v="DSCN1593"/>
    <s v="M4R1015_16"/>
    <n v="16"/>
    <n v="1"/>
    <s v="M4Roadside"/>
    <d v="2018-10-15T00:00:00"/>
    <s v="October"/>
    <x v="1"/>
    <d v="1899-12-30T00:56:00"/>
    <s v="Overcast"/>
    <x v="11"/>
    <s v="Foraging"/>
    <s v="NA"/>
    <n v="1"/>
    <m/>
    <n v="0"/>
    <s v="Animal flesh"/>
    <s v="Animal flesh (Snowshoe hare)"/>
    <s v="Ground"/>
    <s v="NA"/>
    <s v="NA"/>
    <s v="NA"/>
    <s v="NA"/>
    <m/>
    <m/>
    <s v="NA"/>
    <s v="NA"/>
    <m/>
    <m/>
    <m/>
    <m/>
    <n v="0"/>
    <n v="0"/>
    <n v="0"/>
    <n v="0"/>
    <n v="0"/>
    <n v="0"/>
    <n v="0"/>
    <m/>
    <m/>
    <m/>
    <m/>
  </r>
  <r>
    <s v="DSCN1597"/>
    <s v="M4R1015_20"/>
    <n v="20"/>
    <n v="2"/>
    <s v="M4Roadside"/>
    <d v="2018-10-15T00:00:00"/>
    <s v="October"/>
    <x v="1"/>
    <d v="1899-12-30T00:15:00"/>
    <s v="Overcast"/>
    <x v="11"/>
    <s v="Caching"/>
    <s v="Spruce"/>
    <n v="0"/>
    <m/>
    <n v="1"/>
    <s v="Animal flesh"/>
    <s v="Animal flesh (Snowshoe hare)"/>
    <s v="Ground"/>
    <s v="Interior spruce foliage "/>
    <s v="Spruce"/>
    <s v="Interior"/>
    <s v="Foliage"/>
    <m/>
    <m/>
    <n v="8"/>
    <n v="63.72184"/>
    <n v="148.98740000000001"/>
    <m/>
    <m/>
    <m/>
    <n v="0"/>
    <n v="0"/>
    <n v="0"/>
    <n v="0"/>
    <n v="0"/>
    <n v="0"/>
    <n v="0"/>
    <m/>
    <s v="First cache is confirmed.  Second cache: Followed bird from hare to tree.  Observation os cache wasn't caught on video and was obstructed from view due to delay in catching up with the bird.  B&amp;Ut given the behavior and location upon our arrival, we felt confident marking the tree. "/>
    <m/>
    <m/>
  </r>
  <r>
    <s v="DSCN1598"/>
    <s v="M4R1015_21"/>
    <n v="21"/>
    <n v="1"/>
    <s v="M4Roadside"/>
    <d v="2018-10-15T00:00:00"/>
    <s v="October"/>
    <x v="1"/>
    <d v="1899-12-30T00:58:00"/>
    <s v="Overcast"/>
    <x v="11"/>
    <s v="Foraging"/>
    <s v="NA"/>
    <n v="1"/>
    <m/>
    <n v="0"/>
    <s v="Animal flesh"/>
    <s v="Animal flesh (Snowshoe hare)"/>
    <s v="Ground"/>
    <s v="NA"/>
    <s v="NA"/>
    <s v="NA"/>
    <s v="NA"/>
    <m/>
    <m/>
    <s v="NA"/>
    <s v="NA"/>
    <m/>
    <m/>
    <m/>
    <m/>
    <n v="0"/>
    <n v="0"/>
    <n v="0"/>
    <n v="0"/>
    <n v="0"/>
    <n v="0"/>
    <n v="0"/>
    <m/>
    <m/>
    <m/>
    <m/>
  </r>
  <r>
    <s v="DSCN1602"/>
    <s v="M4R1015_23"/>
    <n v="23"/>
    <n v="1"/>
    <s v="M4Roadside"/>
    <d v="2018-10-15T00:00:00"/>
    <s v="October"/>
    <x v="1"/>
    <d v="1899-12-30T00:24:00"/>
    <s v="Overcast"/>
    <x v="11"/>
    <s v="Caching"/>
    <s v="Spruce"/>
    <n v="0"/>
    <m/>
    <n v="1"/>
    <s v="Animal flesh"/>
    <s v="Animal flesh (Snowshoe hare)"/>
    <s v="Ground"/>
    <s v="Exterior spruce foliage"/>
    <s v="Spruce"/>
    <s v="Exterior"/>
    <s v="Foliage"/>
    <m/>
    <m/>
    <n v="10"/>
    <n v="63.721899999999998"/>
    <n v="148.98749000000001"/>
    <m/>
    <m/>
    <m/>
    <n v="0"/>
    <n v="0"/>
    <n v="0"/>
    <n v="0"/>
    <n v="0"/>
    <n v="0"/>
    <n v="0"/>
    <m/>
    <m/>
    <m/>
    <m/>
  </r>
  <r>
    <s v="DSCN1606"/>
    <s v="M4R1015_26"/>
    <n v="26"/>
    <n v="1"/>
    <s v="M4Roadside"/>
    <d v="2018-10-15T00:00:00"/>
    <s v="October"/>
    <x v="1"/>
    <d v="1899-12-30T02:06:00"/>
    <s v="Overcast"/>
    <x v="11"/>
    <s v="Caching"/>
    <s v="Spruce"/>
    <n v="0"/>
    <m/>
    <n v="1"/>
    <s v="Animal flesh"/>
    <s v="Animal flesh (Snowshoe hare)"/>
    <s v="Ground"/>
    <s v="Exterior spruce foliage"/>
    <s v="Spruce"/>
    <s v="Exterior"/>
    <s v="Foliage"/>
    <m/>
    <m/>
    <n v="60"/>
    <n v="63.72137"/>
    <n v="148.98742999999999"/>
    <m/>
    <m/>
    <m/>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624"/>
    <s v="M4R1015_28"/>
    <n v="28"/>
    <n v="1"/>
    <s v="M4Roadside"/>
    <d v="2018-10-15T00:00:00"/>
    <s v="October"/>
    <x v="1"/>
    <d v="1899-12-30T00:17:00"/>
    <s v="Overcast"/>
    <x v="11"/>
    <s v="Caching"/>
    <s v="Spruce"/>
    <n v="0"/>
    <m/>
    <n v="1"/>
    <s v="Animal flesh"/>
    <s v="Animal flesh (Snowshoe hare)"/>
    <s v="Ground"/>
    <s v="Exterior spruce foliage"/>
    <s v="Spruce"/>
    <s v="Exterior"/>
    <s v="Foliage"/>
    <m/>
    <m/>
    <n v="37"/>
    <n v="63.721769999999999"/>
    <n v="148.98671999999999"/>
    <m/>
    <m/>
    <m/>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734"/>
    <s v="M4R1015_56"/>
    <n v="56"/>
    <n v="1"/>
    <s v="M4Roadside"/>
    <d v="2018-10-15T00:00:00"/>
    <s v="October"/>
    <x v="1"/>
    <d v="1899-12-30T00:21:00"/>
    <s v="Overcast"/>
    <x v="11"/>
    <m/>
    <s v="NA"/>
    <n v="0"/>
    <m/>
    <n v="1"/>
    <s v="Berry"/>
    <s v="Berry (Blueberry)"/>
    <s v="Ground"/>
    <s v="Exterior spruce foliage"/>
    <s v="Spruce"/>
    <s v="Exterior"/>
    <s v="Foliage"/>
    <m/>
    <m/>
    <s v="unknown"/>
    <n v="63.721649999999997"/>
    <n v="148.98887999999999"/>
    <m/>
    <m/>
    <m/>
    <n v="0"/>
    <n v="0"/>
    <n v="0"/>
    <n v="0"/>
    <n v="0"/>
    <n v="0"/>
    <n v="0"/>
    <m/>
    <s v="Incidental cache.  Found byt acident.  Berry in good condition B&amp;Ut spit dry.  "/>
    <m/>
    <m/>
  </r>
  <r>
    <s v="DSCN1796"/>
    <s v="M2371016_10"/>
    <n v="10"/>
    <n v="1"/>
    <s v="Mile 237"/>
    <d v="2018-10-16T00:00:00"/>
    <s v="October"/>
    <x v="1"/>
    <d v="1899-12-30T00:22:00"/>
    <s v="Overcast"/>
    <x v="11"/>
    <m/>
    <s v="Willow"/>
    <n v="0"/>
    <m/>
    <n v="1"/>
    <s v="Berry"/>
    <s v="Berry (Cranberry)"/>
    <s v="Ground"/>
    <s v="Under bark of small willos shrub"/>
    <s v="Willow"/>
    <s v="Exterior"/>
    <s v="Under bark"/>
    <m/>
    <m/>
    <s v="unknown"/>
    <n v="63.723840000000003"/>
    <n v="148.88453999999999"/>
    <m/>
    <m/>
    <m/>
    <n v="0"/>
    <n v="0"/>
    <n v="0"/>
    <n v="0"/>
    <n v="0"/>
    <n v="0"/>
    <n v="0"/>
    <m/>
    <s v="Incidental find.  Spotted by DL while following birds.  Obvous jay spit based on location an visible dried saliva.  "/>
    <m/>
    <m/>
  </r>
  <r>
    <s v="DSCN1832"/>
    <s v="B&amp;U1017_3"/>
    <n v="3"/>
    <n v="1"/>
    <s v="B&amp;U"/>
    <d v="2018-10-17T00:00:00"/>
    <s v="October"/>
    <x v="1"/>
    <d v="1899-12-30T00:23:00"/>
    <s v="Overcast"/>
    <x v="11"/>
    <s v="Caching"/>
    <s v="Spruce"/>
    <n v="0"/>
    <m/>
    <n v="1"/>
    <s v="Unknown"/>
    <s v="Unknown"/>
    <s v="unknown"/>
    <s v="Exterior spruce branch under bark/witch hair"/>
    <s v="Spruce"/>
    <s v="Exterior"/>
    <s v="Under bark and witch hair "/>
    <m/>
    <m/>
    <s v="unknown"/>
    <n v="63.724910000000001"/>
    <n v="148.96313000000001"/>
    <m/>
    <m/>
    <m/>
    <n v="0"/>
    <n v="0"/>
    <n v="0"/>
    <n v="0"/>
    <n v="0"/>
    <n v="0"/>
    <n v="0"/>
    <m/>
    <m/>
    <m/>
    <m/>
  </r>
  <r>
    <s v="DSCN1833"/>
    <s v="B&amp;U1017_4"/>
    <n v="4"/>
    <n v="1"/>
    <s v="B&amp;U"/>
    <d v="2018-10-17T00:00:00"/>
    <s v="October"/>
    <x v="1"/>
    <d v="1899-12-30T00:06:00"/>
    <s v="Overcast"/>
    <x v="11"/>
    <s v="Foraging"/>
    <s v="NA"/>
    <n v="1"/>
    <m/>
    <n v="0"/>
    <s v="Unknown"/>
    <s v="Unknown"/>
    <s v="Ground"/>
    <s v="NA"/>
    <s v="NA"/>
    <s v="NA"/>
    <s v="NA"/>
    <m/>
    <m/>
    <s v="NA"/>
    <s v="NA"/>
    <m/>
    <m/>
    <m/>
    <m/>
    <n v="0"/>
    <n v="0"/>
    <n v="0"/>
    <n v="0"/>
    <n v="0"/>
    <n v="0"/>
    <n v="0"/>
    <m/>
    <s v="Missed foraging session. "/>
    <m/>
    <m/>
  </r>
  <r>
    <s v="DSCN1835"/>
    <s v="B&amp;U1017_5"/>
    <n v="5"/>
    <n v="1"/>
    <s v="B&amp;U"/>
    <d v="2018-10-17T00:00:00"/>
    <s v="October"/>
    <x v="1"/>
    <d v="1899-12-30T00:11:00"/>
    <s v="Overcast"/>
    <x v="11"/>
    <s v="Foraging"/>
    <s v="NA"/>
    <n v="1"/>
    <m/>
    <n v="0"/>
    <s v="Unknown"/>
    <s v="Unknown"/>
    <s v="Ground"/>
    <s v="NA"/>
    <s v="NA"/>
    <s v="NA"/>
    <s v="NA"/>
    <m/>
    <m/>
    <s v="NA"/>
    <s v="NA"/>
    <m/>
    <m/>
    <m/>
    <m/>
    <n v="0"/>
    <n v="0"/>
    <n v="0"/>
    <n v="0"/>
    <n v="5"/>
    <n v="0"/>
    <n v="5"/>
    <m/>
    <m/>
    <m/>
    <m/>
  </r>
  <r>
    <s v="DSCN1881"/>
    <s v="M4R1018_1"/>
    <n v="1"/>
    <n v="1"/>
    <s v="M4Roadside"/>
    <d v="2018-10-18T00:00:00"/>
    <s v="October"/>
    <x v="1"/>
    <d v="1899-12-30T00:12:00"/>
    <s v="Overcast"/>
    <x v="11"/>
    <s v="Foraging"/>
    <s v="NA"/>
    <s v="unknown"/>
    <m/>
    <n v="0"/>
    <s v="Unknown"/>
    <s v="Unknown"/>
    <s v="NA"/>
    <s v="NA"/>
    <s v="NA"/>
    <s v="NA"/>
    <s v="NA"/>
    <m/>
    <m/>
    <s v="NA"/>
    <s v="NA"/>
    <m/>
    <m/>
    <m/>
    <m/>
    <n v="0"/>
    <n v="0"/>
    <n v="0"/>
    <n v="0"/>
    <n v="11"/>
    <n v="0"/>
    <n v="11"/>
    <m/>
    <m/>
    <m/>
    <m/>
  </r>
  <r>
    <s v="DSCN1983"/>
    <s v="AQ1018_1"/>
    <n v="1"/>
    <n v="1"/>
    <s v="Air Quality"/>
    <d v="2018-10-18T00:00:00"/>
    <s v="October"/>
    <x v="1"/>
    <d v="1899-12-30T00:18:00"/>
    <s v="Overcast"/>
    <x v="11"/>
    <m/>
    <s v="Spruce"/>
    <n v="0"/>
    <m/>
    <n v="1"/>
    <s v="Berry"/>
    <s v="Berry (Blueberry)"/>
    <s v="unknown"/>
    <s v="Exterior spruce foliage"/>
    <s v="Spruce"/>
    <s v="Exterior"/>
    <s v="Foliage"/>
    <m/>
    <m/>
    <s v="unknown"/>
    <n v="63.723109999999998"/>
    <n v="148.96836999999999"/>
    <m/>
    <m/>
    <m/>
    <n v="0"/>
    <n v="0"/>
    <n v="0"/>
    <n v="0"/>
    <n v="0"/>
    <n v="0"/>
    <n v="0"/>
    <m/>
    <s v="Incidental cache find.  Discovered while looking for a different cache.  Two blueberries shoved in needles of spruce.  Sticky saliva evident, they were glued in place! "/>
    <m/>
    <m/>
  </r>
  <r>
    <s v="DSCN1998"/>
    <s v="M4R1023_2"/>
    <n v="2"/>
    <n v="1"/>
    <s v="M4Roadside"/>
    <d v="2018-10-23T00:00:00"/>
    <s v="October"/>
    <x v="1"/>
    <d v="1899-12-30T00:13:00"/>
    <m/>
    <x v="11"/>
    <s v="Foraging"/>
    <s v="NA"/>
    <s v="unknown"/>
    <m/>
    <n v="0"/>
    <s v="Unknown"/>
    <s v="Unknown"/>
    <s v="NA"/>
    <s v="NA"/>
    <s v="NA"/>
    <s v="NA"/>
    <s v="NA"/>
    <m/>
    <m/>
    <s v="NA"/>
    <s v="NA"/>
    <m/>
    <m/>
    <m/>
    <m/>
    <n v="0"/>
    <n v="0"/>
    <n v="0"/>
    <n v="0"/>
    <n v="11"/>
    <n v="0"/>
    <n v="11"/>
    <m/>
    <m/>
    <m/>
    <m/>
  </r>
  <r>
    <s v="DSCN2002"/>
    <s v="M4R1023_3"/>
    <n v="3"/>
    <n v="1"/>
    <s v="M4Roadside"/>
    <d v="2018-10-23T00:00:00"/>
    <s v="October"/>
    <x v="1"/>
    <d v="1899-12-30T00:32:00"/>
    <m/>
    <x v="11"/>
    <s v="Foraging"/>
    <s v="NA"/>
    <n v="1"/>
    <m/>
    <n v="0"/>
    <s v="Berry"/>
    <s v="Berry (Blueberry)"/>
    <s v="Ground"/>
    <s v="NA"/>
    <s v="NA"/>
    <s v="NA"/>
    <s v="NA"/>
    <m/>
    <m/>
    <s v="NA"/>
    <s v="NA"/>
    <m/>
    <m/>
    <m/>
    <m/>
    <n v="0"/>
    <n v="0"/>
    <n v="0"/>
    <n v="0"/>
    <n v="32"/>
    <n v="0"/>
    <n v="32"/>
    <m/>
    <m/>
    <m/>
    <m/>
  </r>
  <r>
    <s v="DSCN2003"/>
    <s v="M4R1023_4"/>
    <n v="4"/>
    <n v="1"/>
    <s v="M4Roadside"/>
    <d v="2018-10-23T00:00:00"/>
    <s v="October"/>
    <x v="1"/>
    <d v="1899-12-30T00:07:00"/>
    <m/>
    <x v="11"/>
    <s v="Foraging"/>
    <s v="NA"/>
    <n v="1"/>
    <m/>
    <n v="0"/>
    <s v="Unknown"/>
    <s v="Unknown"/>
    <s v="Ground"/>
    <s v="NA"/>
    <s v="NA"/>
    <s v="NA"/>
    <s v="NA"/>
    <m/>
    <m/>
    <s v="NA"/>
    <s v="NA"/>
    <m/>
    <m/>
    <m/>
    <m/>
    <n v="0"/>
    <n v="0"/>
    <n v="0"/>
    <n v="0"/>
    <n v="7"/>
    <n v="0"/>
    <n v="7"/>
    <m/>
    <s v="Possible food aqcusitions "/>
    <m/>
    <m/>
  </r>
  <r>
    <s v="DSCN2004"/>
    <s v="M4R1023_5"/>
    <n v="5"/>
    <n v="1"/>
    <s v="M4Roadside"/>
    <d v="2018-10-23T00:00:00"/>
    <s v="October"/>
    <x v="1"/>
    <d v="1899-12-30T00:28:00"/>
    <m/>
    <x v="11"/>
    <s v="Unknown"/>
    <s v="NA"/>
    <n v="0"/>
    <m/>
    <n v="0"/>
    <s v="Berry"/>
    <s v="Berry (Blueberry)"/>
    <s v="unknown"/>
    <s v="Exterior spruce foliage"/>
    <s v="NA"/>
    <s v="NA"/>
    <s v="NA"/>
    <m/>
    <m/>
    <s v="unknown"/>
    <n v="63.719949999999997"/>
    <n v="148.99030999999999"/>
    <m/>
    <m/>
    <m/>
    <n v="0"/>
    <n v="0"/>
    <n v="0"/>
    <n v="0"/>
    <n v="18"/>
    <n v="0"/>
    <n v="18"/>
    <m/>
    <s v="Checked tree. No cache evident, B&amp;Ut found indicental older cache of blueberries so we marked anyway.  "/>
    <m/>
    <m/>
  </r>
  <r>
    <s v="DSCN2021"/>
    <s v="M4R1023_10"/>
    <n v="10"/>
    <n v="1"/>
    <s v="M4Roadside"/>
    <d v="2018-10-23T00:00:00"/>
    <s v="October"/>
    <x v="1"/>
    <d v="1899-12-30T00:33:00"/>
    <m/>
    <x v="11"/>
    <s v="Foraging"/>
    <s v="NA"/>
    <n v="2"/>
    <m/>
    <n v="0"/>
    <s v="Berry"/>
    <s v="Berry"/>
    <s v="Ground"/>
    <s v="NA"/>
    <s v="NA"/>
    <s v="NA"/>
    <s v="NA"/>
    <m/>
    <m/>
    <s v="NA"/>
    <s v="NA"/>
    <m/>
    <m/>
    <m/>
    <m/>
    <n v="0"/>
    <n v="0"/>
    <n v="0"/>
    <n v="0"/>
    <n v="13"/>
    <n v="0"/>
    <n v="13"/>
    <m/>
    <s v="Did not see cache in tree so did not mark. "/>
    <m/>
    <m/>
  </r>
  <r>
    <s v="DSCN21"/>
    <s v="M4R1026_1"/>
    <n v="1"/>
    <n v="1"/>
    <s v="M4Roadside"/>
    <d v="2018-10-26T00:00:00"/>
    <s v="October"/>
    <x v="1"/>
    <d v="1899-12-30T00:26:00"/>
    <m/>
    <x v="11"/>
    <s v="Caching"/>
    <s v="Spruce"/>
    <n v="0"/>
    <m/>
    <n v="1"/>
    <s v="Berry"/>
    <s v="Berry (Blueberry)"/>
    <s v="unknown"/>
    <s v="Exterior spruce foliage"/>
    <s v="Spruce"/>
    <s v="Exterior"/>
    <s v="Foliage"/>
    <m/>
    <m/>
    <s v="unknown"/>
    <n v="63.719990000000003"/>
    <n v="148.98468"/>
    <m/>
    <m/>
    <m/>
    <n v="0"/>
    <n v="0"/>
    <n v="0"/>
    <n v="0"/>
    <n v="0"/>
    <n v="0"/>
    <n v="0"/>
    <m/>
    <s v="INCIDENTAL FIND"/>
    <m/>
    <m/>
  </r>
  <r>
    <s v="DSCN2118"/>
    <s v="RC1024_14"/>
    <n v="14"/>
    <n v="1"/>
    <s v="Rock Creek"/>
    <d v="2018-10-24T00:00:00"/>
    <s v="October"/>
    <x v="1"/>
    <d v="1899-12-30T00:09:00"/>
    <m/>
    <x v="11"/>
    <s v="Foraging"/>
    <s v="Spruce"/>
    <n v="1"/>
    <m/>
    <n v="0"/>
    <s v="Unknown"/>
    <s v="Unknown"/>
    <s v="Interior spruce"/>
    <s v="NA"/>
    <s v="NA"/>
    <s v="NA"/>
    <s v="NA"/>
    <m/>
    <m/>
    <s v="NA"/>
    <s v="NA"/>
    <m/>
    <m/>
    <m/>
    <m/>
    <n v="0"/>
    <n v="0"/>
    <n v="0"/>
    <n v="0"/>
    <n v="0"/>
    <n v="0"/>
    <n v="0"/>
    <m/>
    <s v="Video started after food acqusition"/>
    <m/>
    <m/>
  </r>
  <r>
    <s v="DSCN2124"/>
    <s v="RC1024_15"/>
    <n v="15"/>
    <n v="1"/>
    <s v="Rock Creek"/>
    <d v="2018-10-24T00:00:00"/>
    <s v="October"/>
    <x v="1"/>
    <d v="1899-12-30T00:23:00"/>
    <m/>
    <x v="11"/>
    <s v="Foraging"/>
    <s v="Spruce"/>
    <n v="0"/>
    <m/>
    <n v="0"/>
    <s v="Unknown"/>
    <s v="Unknown"/>
    <s v="unknown"/>
    <s v="NA"/>
    <s v="NA"/>
    <s v="NA"/>
    <s v="NA"/>
    <m/>
    <m/>
    <s v="NA"/>
    <s v="NA"/>
    <m/>
    <m/>
    <m/>
    <m/>
    <n v="21"/>
    <n v="0"/>
    <n v="21"/>
    <n v="0"/>
    <n v="0"/>
    <n v="0"/>
    <n v="21"/>
    <m/>
    <s v="Video started after food acqusition, B&amp;Ut then continued to forage"/>
    <m/>
    <m/>
  </r>
  <r>
    <s v="DSCN2129"/>
    <s v="RC1024_17"/>
    <n v="17"/>
    <n v="1"/>
    <s v="Rock Creek"/>
    <d v="2018-10-24T00:00:00"/>
    <s v="October"/>
    <x v="1"/>
    <d v="1899-12-30T00:27:00"/>
    <m/>
    <x v="11"/>
    <s v="Foraging"/>
    <s v="Spruce"/>
    <s v="unknown"/>
    <m/>
    <n v="0"/>
    <m/>
    <s v="NA"/>
    <s v="NA"/>
    <s v="NA"/>
    <s v="NA"/>
    <s v="NA"/>
    <s v="NA"/>
    <m/>
    <m/>
    <s v="NA"/>
    <s v="NA"/>
    <m/>
    <m/>
    <m/>
    <m/>
    <n v="27"/>
    <n v="0"/>
    <n v="0"/>
    <n v="27"/>
    <n v="0"/>
    <n v="0"/>
    <n v="27"/>
    <m/>
    <m/>
    <m/>
    <m/>
  </r>
  <r>
    <s v="DSCN2311"/>
    <s v="RC1031_2"/>
    <n v="2"/>
    <n v="1"/>
    <s v="Rock Creek"/>
    <d v="2018-10-31T00:00:00"/>
    <s v="October"/>
    <x v="1"/>
    <d v="1899-12-30T00:17:00"/>
    <s v="Partly cloudy"/>
    <x v="11"/>
    <s v="Foraging"/>
    <s v="NA"/>
    <n v="1"/>
    <m/>
    <n v="0"/>
    <s v="Unknown"/>
    <s v="Unknown"/>
    <s v="Ground"/>
    <s v="NA"/>
    <s v="NA"/>
    <s v="NA"/>
    <s v="NA"/>
    <m/>
    <m/>
    <s v="NA"/>
    <s v="NA"/>
    <m/>
    <m/>
    <m/>
    <m/>
    <n v="0"/>
    <n v="0"/>
    <n v="0"/>
    <n v="0"/>
    <n v="17"/>
    <n v="0"/>
    <n v="17"/>
    <m/>
    <m/>
    <m/>
    <m/>
  </r>
  <r>
    <s v="DSCN2319"/>
    <s v="RC1031_4"/>
    <n v="4"/>
    <n v="1"/>
    <s v="Rock Creek"/>
    <d v="2018-10-31T00:00:00"/>
    <s v="October"/>
    <x v="1"/>
    <d v="1899-12-30T00:10:00"/>
    <s v="Partly cloudy"/>
    <x v="11"/>
    <s v="Foraging"/>
    <s v="Spruce"/>
    <n v="0"/>
    <m/>
    <n v="0"/>
    <m/>
    <s v="NA"/>
    <s v="NA"/>
    <s v="NA"/>
    <s v="NA"/>
    <s v="NA"/>
    <s v="NA"/>
    <m/>
    <m/>
    <s v="NA"/>
    <s v="NA"/>
    <m/>
    <m/>
    <m/>
    <m/>
    <n v="0"/>
    <n v="8"/>
    <n v="0"/>
    <n v="8"/>
    <n v="0"/>
    <n v="0"/>
    <n v="8"/>
    <m/>
    <m/>
    <m/>
    <m/>
  </r>
  <r>
    <s v="DSCN2329"/>
    <s v="RC1031_9"/>
    <n v="9"/>
    <n v="1"/>
    <s v="Rock Creek"/>
    <d v="2018-10-31T00:00:00"/>
    <s v="October"/>
    <x v="1"/>
    <d v="1899-12-30T00:32:00"/>
    <s v="Partly cloudy"/>
    <x v="11"/>
    <s v="Foraging"/>
    <s v="Spruce"/>
    <s v="unknown"/>
    <m/>
    <n v="0"/>
    <s v="Unknown"/>
    <s v="Unknown"/>
    <s v="NA"/>
    <s v="NA"/>
    <s v="NA"/>
    <s v="NA"/>
    <s v="NA"/>
    <m/>
    <m/>
    <s v="NA"/>
    <s v="NA"/>
    <m/>
    <m/>
    <m/>
    <m/>
    <n v="11"/>
    <n v="0"/>
    <n v="11"/>
    <n v="0"/>
    <n v="0"/>
    <n v="0"/>
    <n v="11"/>
    <s v="Probing"/>
    <m/>
    <n v="3"/>
    <n v="0"/>
  </r>
  <r>
    <s v="DSCN2330"/>
    <s v="RC1031_10"/>
    <n v="10"/>
    <n v="1"/>
    <s v="Rock Creek"/>
    <d v="2018-10-31T00:00:00"/>
    <s v="October"/>
    <x v="1"/>
    <d v="1899-12-30T00:13:00"/>
    <s v="Partly cloudy"/>
    <x v="11"/>
    <s v="Foraging"/>
    <s v="Spruce"/>
    <s v="unknown"/>
    <m/>
    <s v="Unknown"/>
    <s v="Unknown"/>
    <s v="Unknown"/>
    <s v="NA"/>
    <s v="NA"/>
    <m/>
    <m/>
    <m/>
    <m/>
    <m/>
    <s v="NA"/>
    <s v="NA"/>
    <m/>
    <m/>
    <m/>
    <m/>
    <n v="11"/>
    <n v="0"/>
    <n v="0"/>
    <n v="11"/>
    <n v="0"/>
    <n v="0"/>
    <n v="11"/>
    <s v="Gleaning"/>
    <m/>
    <n v="0"/>
    <n v="2"/>
  </r>
  <r>
    <s v="DSCN2339"/>
    <s v="TC1031_2"/>
    <n v="2"/>
    <n v="1"/>
    <s v="Trail Camp"/>
    <d v="2018-10-31T00:00:00"/>
    <s v="October"/>
    <x v="1"/>
    <d v="1899-12-30T00:33:00"/>
    <s v="Partly cloudy, snowing"/>
    <x v="11"/>
    <s v="Foraging"/>
    <s v="Spruce"/>
    <s v="unknown"/>
    <m/>
    <s v="Unknown"/>
    <s v="Unknown"/>
    <s v="Unknown"/>
    <s v="NA"/>
    <s v="NA"/>
    <m/>
    <m/>
    <m/>
    <m/>
    <m/>
    <s v="NA"/>
    <s v="NA"/>
    <m/>
    <m/>
    <m/>
    <m/>
    <n v="0"/>
    <n v="22"/>
    <n v="22"/>
    <n v="0"/>
    <n v="0"/>
    <n v="0"/>
    <n v="22"/>
    <m/>
    <m/>
    <m/>
    <m/>
  </r>
  <r>
    <s v="DSCN2367"/>
    <s v="TC1031_15"/>
    <n v="15"/>
    <n v="1"/>
    <s v="Trail Camp"/>
    <d v="2018-10-31T00:00:00"/>
    <s v="October"/>
    <x v="1"/>
    <d v="1899-12-30T00:21:00"/>
    <s v="Partly cloudy, snowing"/>
    <x v="11"/>
    <s v="Foraging"/>
    <s v="Spruce"/>
    <s v="unknown"/>
    <m/>
    <s v="Unknown"/>
    <s v="Unknown"/>
    <s v="Unknown"/>
    <s v="NA"/>
    <s v="NA"/>
    <m/>
    <m/>
    <m/>
    <m/>
    <m/>
    <s v="NA"/>
    <s v="NA"/>
    <m/>
    <m/>
    <m/>
    <m/>
    <n v="0"/>
    <n v="21"/>
    <n v="21"/>
    <n v="0"/>
    <n v="0"/>
    <n v="0"/>
    <n v="21"/>
    <m/>
    <s v="Unsure if really from TC"/>
    <m/>
    <m/>
  </r>
  <r>
    <s v="Dscn2338"/>
    <s v="TC1031_1"/>
    <n v="1"/>
    <n v="1"/>
    <s v="Trail Camp"/>
    <d v="2018-10-31T00:00:00"/>
    <s v="October"/>
    <x v="1"/>
    <d v="1899-12-30T00:48:00"/>
    <s v="Partly cloudy, snowing"/>
    <x v="39"/>
    <s v="Foraging"/>
    <s v="Spruce"/>
    <n v="1"/>
    <m/>
    <n v="0"/>
    <s v="Berry"/>
    <s v="Berry"/>
    <s v="Ground"/>
    <s v="NA"/>
    <s v="NA"/>
    <s v="NA"/>
    <s v="NA"/>
    <m/>
    <m/>
    <s v="NA"/>
    <s v="NA"/>
    <m/>
    <m/>
    <m/>
    <m/>
    <n v="12"/>
    <n v="0"/>
    <n v="12"/>
    <n v="0"/>
    <n v="0"/>
    <n v="0"/>
    <n v="12"/>
    <m/>
    <s v="Missed foraging event on the ground. "/>
    <m/>
    <m/>
  </r>
  <r>
    <s v="DSCN1337"/>
    <s v="M4R1005_6"/>
    <n v="6"/>
    <n v="1"/>
    <s v="M4Roadside"/>
    <d v="2018-10-05T00:00:00"/>
    <s v="October"/>
    <x v="1"/>
    <d v="1899-12-30T00:51:00"/>
    <s v="Overcast"/>
    <x v="12"/>
    <s v="Foraging"/>
    <s v="NA"/>
    <n v="1"/>
    <m/>
    <n v="0"/>
    <s v="Unknown"/>
    <s v="Unknown"/>
    <s v="Ground"/>
    <s v="NA"/>
    <s v="NA"/>
    <s v="NA"/>
    <s v="NA"/>
    <m/>
    <m/>
    <s v="NA"/>
    <s v="NA"/>
    <m/>
    <m/>
    <m/>
    <m/>
    <n v="0"/>
    <n v="0"/>
    <n v="0"/>
    <n v="0"/>
    <n v="26"/>
    <n v="0"/>
    <n v="26"/>
    <m/>
    <m/>
    <m/>
    <m/>
  </r>
  <r>
    <s v="DSCN1398"/>
    <s v="M4R1008_1"/>
    <n v="1"/>
    <n v="1"/>
    <s v="M4Roadside"/>
    <d v="2018-10-08T00:00:00"/>
    <s v="October"/>
    <x v="1"/>
    <d v="1899-12-30T00:23:00"/>
    <s v="Partly cloudy, light snow"/>
    <x v="12"/>
    <s v="Foraging"/>
    <s v="NA"/>
    <n v="2"/>
    <m/>
    <n v="0"/>
    <s v="Unknown"/>
    <s v="Unknown"/>
    <s v="Ground"/>
    <s v="NA"/>
    <s v="NA"/>
    <s v="NA"/>
    <s v="NA"/>
    <m/>
    <m/>
    <s v="NA"/>
    <s v="NA"/>
    <m/>
    <m/>
    <m/>
    <m/>
    <n v="0"/>
    <n v="0"/>
    <n v="0"/>
    <n v="0"/>
    <n v="20"/>
    <n v="0"/>
    <n v="20"/>
    <m/>
    <m/>
    <m/>
    <m/>
  </r>
  <r>
    <s v="DSCN1399"/>
    <s v="M4R1008_2"/>
    <n v="2"/>
    <n v="1"/>
    <s v="M4Roadside"/>
    <d v="2018-10-08T00:00:00"/>
    <s v="October"/>
    <x v="1"/>
    <d v="1899-12-30T00:23:00"/>
    <s v="Partly cloudy"/>
    <x v="12"/>
    <s v="Foraging"/>
    <s v="NA"/>
    <n v="1"/>
    <m/>
    <n v="0"/>
    <s v="Berry"/>
    <s v="Berry (Blueberry)"/>
    <s v="Ground"/>
    <s v="NA"/>
    <s v="NA"/>
    <s v="NA"/>
    <s v="NA"/>
    <m/>
    <m/>
    <s v="NA"/>
    <s v="NA"/>
    <m/>
    <m/>
    <m/>
    <m/>
    <n v="0"/>
    <n v="0"/>
    <n v="0"/>
    <n v="0"/>
    <n v="0"/>
    <n v="0"/>
    <n v="0"/>
    <m/>
    <s v="Video started right after acquisition "/>
    <m/>
    <m/>
  </r>
  <r>
    <s v="DSCN1402"/>
    <s v="M4R1008_3"/>
    <n v="3"/>
    <n v="1"/>
    <s v="M4Roadside"/>
    <d v="2018-10-08T00:00:00"/>
    <s v="October"/>
    <x v="1"/>
    <d v="1899-12-30T00:15:00"/>
    <s v="Partly cloudy"/>
    <x v="12"/>
    <s v="Cache recovery/Caching"/>
    <s v="Spruce"/>
    <n v="1"/>
    <m/>
    <n v="1"/>
    <s v="Berry"/>
    <s v="Berry (dried)"/>
    <s v="Interior spruce foliage"/>
    <s v="Interior spruce bare branch/witches broom "/>
    <s v="Spruce"/>
    <s v="Interior"/>
    <s v="In mistoe"/>
    <m/>
    <m/>
    <n v="3"/>
    <n v="63.718719999999998"/>
    <n v="148.9863"/>
    <m/>
    <m/>
    <m/>
    <n v="0"/>
    <n v="0"/>
    <n v="0"/>
    <n v="0"/>
    <n v="0"/>
    <n v="0"/>
    <n v="0"/>
    <m/>
    <s v="Pulled food out of one tree and then went the the next tree over and appeared to recache it.  B&amp;Ut that cache is unconfirmed.  "/>
    <m/>
    <m/>
  </r>
  <r>
    <s v="DSCN1410"/>
    <s v="M4R1008_4"/>
    <n v="4"/>
    <n v="1"/>
    <s v="M4Roadside"/>
    <d v="2018-10-08T00:00:00"/>
    <s v="October"/>
    <x v="1"/>
    <d v="1899-12-30T00:33:00"/>
    <s v="Partly cloudy"/>
    <x v="12"/>
    <s v="Caching"/>
    <s v="Spruce"/>
    <n v="0"/>
    <m/>
    <n v="1"/>
    <s v="Unknown"/>
    <s v="Unknown"/>
    <s v="unknown"/>
    <s v="Spruce trunk under bark"/>
    <s v="Spruce"/>
    <s v="Trunk"/>
    <s v="Under bark"/>
    <m/>
    <m/>
    <s v="unknown"/>
    <n v="63.719540000000002"/>
    <n v="148.98489000000001"/>
    <m/>
    <m/>
    <m/>
    <n v="0"/>
    <n v="0"/>
    <n v="0"/>
    <n v="0"/>
    <n v="0"/>
    <n v="0"/>
    <n v="0"/>
    <m/>
    <s v="Great cache video.  We put a Camera on this tree as well.  "/>
    <m/>
    <m/>
  </r>
  <r>
    <s v="DSCN1575"/>
    <s v="M4R1015_2"/>
    <n v="2"/>
    <n v="2"/>
    <s v="M4Roadside"/>
    <d v="2018-10-15T00:00:00"/>
    <s v="October"/>
    <x v="1"/>
    <d v="1899-12-30T00:15:00"/>
    <s v="Overcast"/>
    <x v="12"/>
    <s v="Foraging"/>
    <s v="NA"/>
    <n v="1"/>
    <m/>
    <n v="0"/>
    <s v="Animal flesh"/>
    <s v="Animal flesh (Snowshoe hare)"/>
    <s v="Ground"/>
    <s v="NA"/>
    <s v="NA"/>
    <s v="NA"/>
    <s v="NA"/>
    <m/>
    <m/>
    <s v="NA"/>
    <s v="NA"/>
    <m/>
    <m/>
    <m/>
    <m/>
    <n v="0"/>
    <n v="0"/>
    <n v="0"/>
    <n v="0"/>
    <n v="0"/>
    <n v="0"/>
    <n v="0"/>
    <m/>
    <s v="13 Foraging for OB/YS, 4 for WG/OS"/>
    <m/>
    <m/>
  </r>
  <r>
    <s v="DSCN1587"/>
    <s v="M4R1015_10"/>
    <n v="10"/>
    <n v="1"/>
    <s v="M4Roadside"/>
    <d v="2018-10-15T00:00:00"/>
    <s v="October"/>
    <x v="1"/>
    <d v="1899-12-30T00:25:00"/>
    <s v="Overcast"/>
    <x v="12"/>
    <s v="Caching"/>
    <s v="Spruce"/>
    <n v="0"/>
    <m/>
    <n v="1"/>
    <s v="Animal flesh"/>
    <s v="Animal flesh (Snowshoe hare)"/>
    <s v="Ground"/>
    <s v="Spruce trunk under bark"/>
    <s v="Spruce"/>
    <s v="Trunk"/>
    <s v="Under bark"/>
    <m/>
    <m/>
    <n v="1"/>
    <n v="63.721919999999997"/>
    <n v="148.98732000000001"/>
    <m/>
    <m/>
    <m/>
    <n v="0"/>
    <n v="0"/>
    <n v="0"/>
    <n v="0"/>
    <n v="0"/>
    <n v="0"/>
    <n v="0"/>
    <m/>
    <s v="Confirmed cache. "/>
    <m/>
    <m/>
  </r>
  <r>
    <s v="DSCN1591"/>
    <s v="M4R1015_14"/>
    <n v="14"/>
    <n v="1"/>
    <s v="M4Roadside"/>
    <d v="2018-10-15T00:00:00"/>
    <s v="October"/>
    <x v="1"/>
    <d v="1899-12-30T00:59:00"/>
    <s v="Overcast"/>
    <x v="12"/>
    <s v="Foraging"/>
    <s v="NA"/>
    <n v="1"/>
    <m/>
    <n v="0"/>
    <s v="Animal flesh"/>
    <s v="Animal flesh (Snowshoe hare)"/>
    <s v="Ground"/>
    <s v="NA"/>
    <s v="NA"/>
    <s v="NA"/>
    <s v="NA"/>
    <m/>
    <m/>
    <s v="NA"/>
    <s v="NA"/>
    <m/>
    <m/>
    <m/>
    <m/>
    <n v="0"/>
    <n v="0"/>
    <n v="0"/>
    <n v="0"/>
    <n v="0"/>
    <n v="0"/>
    <n v="0"/>
    <m/>
    <m/>
    <m/>
    <m/>
  </r>
  <r>
    <s v="DSCN1594"/>
    <s v="M4R1015_17"/>
    <n v="17"/>
    <n v="2"/>
    <s v="M4Roadside"/>
    <d v="2018-10-15T00:00:00"/>
    <s v="October"/>
    <x v="1"/>
    <d v="1899-12-30T02:42:00"/>
    <s v="Overcast"/>
    <x v="12"/>
    <s v="Foraging"/>
    <s v="NA"/>
    <n v="2"/>
    <m/>
    <n v="0"/>
    <s v="Animal flesh"/>
    <s v="Animal flesh (Snowshoe hare)"/>
    <s v="Ground"/>
    <s v="NA"/>
    <s v="NA"/>
    <s v="NA"/>
    <s v="NA"/>
    <m/>
    <m/>
    <s v="NA"/>
    <s v="NA"/>
    <m/>
    <m/>
    <m/>
    <m/>
    <n v="0"/>
    <n v="0"/>
    <n v="0"/>
    <n v="0"/>
    <n v="0"/>
    <n v="0"/>
    <n v="0"/>
    <m/>
    <m/>
    <m/>
    <m/>
  </r>
  <r>
    <s v="DSCN1604"/>
    <s v="M4R1015_25"/>
    <n v="25"/>
    <n v="2"/>
    <s v="M4Roadside"/>
    <d v="2018-10-15T00:00:00"/>
    <s v="October"/>
    <x v="1"/>
    <d v="1899-12-30T00:19:00"/>
    <s v="Overcast"/>
    <x v="12"/>
    <s v="Foraging"/>
    <s v="NA"/>
    <n v="1"/>
    <m/>
    <n v="0"/>
    <s v="Animal flesh"/>
    <s v="Animal flesh (Snowshoe hare)"/>
    <s v="Ground"/>
    <s v="NA"/>
    <s v="NA"/>
    <s v="NA"/>
    <s v="NA"/>
    <m/>
    <m/>
    <s v="NA"/>
    <s v="NA"/>
    <m/>
    <m/>
    <m/>
    <m/>
    <n v="0"/>
    <n v="0"/>
    <n v="0"/>
    <n v="0"/>
    <n v="0"/>
    <n v="0"/>
    <n v="0"/>
    <m/>
    <m/>
    <m/>
    <m/>
  </r>
  <r>
    <s v="DSCN1690"/>
    <s v="M4R1015_41"/>
    <n v="41"/>
    <n v="1"/>
    <s v="M4Roadside"/>
    <d v="2018-10-15T00:00:00"/>
    <s v="October"/>
    <x v="1"/>
    <d v="1899-12-30T00:40:00"/>
    <s v="Overcast"/>
    <x v="12"/>
    <s v="Foraging/caching"/>
    <s v="Spruce"/>
    <n v="2"/>
    <m/>
    <n v="1"/>
    <s v="Berry"/>
    <s v="Berry (Blueberry)"/>
    <s v="Ground"/>
    <s v="Exterior spruce branch under bark/witch hair"/>
    <s v="Spruce"/>
    <s v="Exterior"/>
    <s v="Under bark and witch hair "/>
    <m/>
    <m/>
    <n v="32"/>
    <n v="63.721510000000002"/>
    <n v="148.98741000000001"/>
    <m/>
    <m/>
    <m/>
    <n v="0"/>
    <n v="0"/>
    <n v="0"/>
    <n v="0"/>
    <n v="10"/>
    <n v="0"/>
    <n v="10"/>
    <m/>
    <m/>
    <m/>
    <m/>
  </r>
  <r>
    <s v="DSCN1883"/>
    <s v="M4R1018_2"/>
    <n v="2"/>
    <n v="1"/>
    <s v="M4Roadside"/>
    <d v="2018-10-18T00:00:00"/>
    <s v="October"/>
    <x v="1"/>
    <d v="1899-12-30T00:28:00"/>
    <s v="Overcast"/>
    <x v="12"/>
    <s v="Foraging"/>
    <s v="Spruce"/>
    <n v="1"/>
    <m/>
    <n v="0"/>
    <s v="Unknown"/>
    <s v="Unknown"/>
    <s v="Exterior dense foliage of spruce"/>
    <s v="NA"/>
    <s v="NA"/>
    <s v="NA"/>
    <s v="NA"/>
    <m/>
    <m/>
    <s v="NA"/>
    <s v="NA"/>
    <m/>
    <m/>
    <m/>
    <m/>
    <n v="0"/>
    <n v="18"/>
    <n v="0"/>
    <n v="18"/>
    <n v="0"/>
    <n v="0"/>
    <n v="18"/>
    <s v="Searching"/>
    <m/>
    <m/>
    <m/>
  </r>
  <r>
    <s v="DSCN2145"/>
    <s v="TC1025_1"/>
    <n v="1"/>
    <n v="1"/>
    <s v="Trial Camp"/>
    <d v="2018-10-25T00:00:00"/>
    <s v="October"/>
    <x v="1"/>
    <d v="1899-12-30T00:14:00"/>
    <m/>
    <x v="31"/>
    <s v="Foraging"/>
    <s v="Spruce"/>
    <n v="1"/>
    <m/>
    <n v="0"/>
    <s v="Unknown"/>
    <s v="Unknown"/>
    <s v="Exterior bare spruce branch"/>
    <s v="NA"/>
    <s v="NA"/>
    <s v="NA"/>
    <s v="NA"/>
    <m/>
    <m/>
    <s v="NA"/>
    <s v="NA"/>
    <m/>
    <m/>
    <m/>
    <m/>
    <n v="14"/>
    <n v="0"/>
    <n v="0"/>
    <n v="14"/>
    <n v="0"/>
    <n v="0"/>
    <n v="14"/>
    <s v="Gleaning"/>
    <m/>
    <n v="0"/>
    <n v="1"/>
  </r>
  <r>
    <s v="DSCN2350"/>
    <s v="TC1031_5"/>
    <n v="5"/>
    <n v="1"/>
    <s v="Trail Camp"/>
    <d v="2018-10-31T00:00:00"/>
    <s v="October"/>
    <x v="1"/>
    <d v="1899-12-30T00:33:00"/>
    <s v="Partly cloudy, snowing"/>
    <x v="31"/>
    <s v="Foraging"/>
    <s v="Spruce"/>
    <n v="1"/>
    <m/>
    <n v="0"/>
    <s v="Unknown"/>
    <s v="Unknown"/>
    <s v="Ground"/>
    <s v="NA"/>
    <s v="NA"/>
    <s v="NA"/>
    <s v="NA"/>
    <m/>
    <m/>
    <s v="NA"/>
    <s v="NA"/>
    <m/>
    <m/>
    <m/>
    <m/>
    <n v="7"/>
    <n v="0"/>
    <n v="0"/>
    <n v="7"/>
    <n v="17"/>
    <n v="0"/>
    <n v="24"/>
    <m/>
    <m/>
    <m/>
    <m/>
  </r>
  <r>
    <s v="DSCN2351"/>
    <s v="TC1031_6"/>
    <n v="6"/>
    <n v="1"/>
    <s v="Trail Camp"/>
    <d v="2018-10-31T00:00:00"/>
    <s v="October"/>
    <x v="1"/>
    <d v="1899-12-30T00:40:00"/>
    <s v="Partly cloudy, snowing"/>
    <x v="31"/>
    <s v="Foraging"/>
    <s v="Aspen and spruce"/>
    <n v="1"/>
    <m/>
    <n v="0"/>
    <s v="Unknown"/>
    <s v="Unknown"/>
    <s v="Ground"/>
    <s v="NA"/>
    <s v="NA"/>
    <s v="NA"/>
    <s v="NA"/>
    <m/>
    <m/>
    <s v="NA"/>
    <s v="NA"/>
    <m/>
    <m/>
    <m/>
    <m/>
    <n v="14"/>
    <n v="0"/>
    <n v="0"/>
    <n v="14"/>
    <n v="19"/>
    <n v="0"/>
    <n v="33"/>
    <m/>
    <m/>
    <m/>
    <m/>
  </r>
  <r>
    <s v="DSCN2352"/>
    <s v="TC1031_7"/>
    <n v="7"/>
    <n v="1"/>
    <s v="Trail Camp"/>
    <d v="2018-10-31T00:00:00"/>
    <s v="October"/>
    <x v="1"/>
    <d v="1899-12-30T00:28:00"/>
    <s v="Partly cloudy, snowing"/>
    <x v="31"/>
    <s v="Foraging"/>
    <s v="NA"/>
    <n v="1"/>
    <m/>
    <n v="0"/>
    <s v="Unknown"/>
    <s v="Unknown"/>
    <s v="Ground"/>
    <s v="NA"/>
    <s v="NA"/>
    <s v="NA"/>
    <s v="NA"/>
    <m/>
    <m/>
    <s v="NA"/>
    <s v="NA"/>
    <m/>
    <m/>
    <m/>
    <m/>
    <n v="0"/>
    <n v="0"/>
    <n v="0"/>
    <n v="0"/>
    <n v="8"/>
    <n v="0"/>
    <n v="8"/>
    <m/>
    <m/>
    <m/>
    <m/>
  </r>
  <r>
    <s v="DSCN2354"/>
    <s v="TC1031_8"/>
    <n v="8"/>
    <n v="1"/>
    <s v="Trail Camp"/>
    <d v="2018-10-31T00:00:00"/>
    <s v="October"/>
    <x v="1"/>
    <d v="1899-12-30T00:32:00"/>
    <s v="Partly cloudy, snowing"/>
    <x v="31"/>
    <s v="Foraging"/>
    <s v="Aspen and spruce"/>
    <s v="unknown"/>
    <m/>
    <s v="Unknown"/>
    <s v="Unknown"/>
    <s v="Unknown"/>
    <s v="NA"/>
    <s v="NA"/>
    <m/>
    <m/>
    <m/>
    <m/>
    <m/>
    <s v="NA"/>
    <s v="NA"/>
    <m/>
    <m/>
    <m/>
    <m/>
    <n v="21"/>
    <n v="7"/>
    <n v="7"/>
    <n v="21"/>
    <n v="0"/>
    <n v="0"/>
    <n v="28"/>
    <m/>
    <m/>
    <m/>
    <m/>
  </r>
  <r>
    <s v="DSCN2355"/>
    <s v="TC1031_9"/>
    <n v="9"/>
    <n v="1"/>
    <s v="Trail Camp"/>
    <d v="2018-10-31T00:00:00"/>
    <s v="October"/>
    <x v="1"/>
    <d v="1899-12-30T00:57:00"/>
    <s v="Partly cloudy, snowing"/>
    <x v="31"/>
    <s v="Caching"/>
    <s v="Spruce"/>
    <n v="0"/>
    <m/>
    <n v="1"/>
    <s v="Unknown"/>
    <s v="Unknown"/>
    <s v="unknown"/>
    <s v="Exterior spruce in needles"/>
    <s v="Spruce"/>
    <s v="Exterior"/>
    <s v="Foliage"/>
    <m/>
    <m/>
    <s v="unknown"/>
    <n v="63.73171"/>
    <n v="148.90314000000001"/>
    <m/>
    <m/>
    <m/>
    <n v="0"/>
    <n v="0"/>
    <n v="0"/>
    <n v="0"/>
    <n v="0"/>
    <n v="0"/>
    <n v="0"/>
    <m/>
    <s v="First cache is suspected, B&amp;Ut second was confirmed"/>
    <m/>
    <m/>
  </r>
  <r>
    <s v="DSCN2355"/>
    <s v="TC1031_9"/>
    <n v="9"/>
    <n v="2"/>
    <s v="Trail Camp"/>
    <d v="2018-10-31T00:00:00"/>
    <s v="October"/>
    <x v="1"/>
    <d v="1899-12-30T00:57:00"/>
    <s v="Partly cloudy, snowing"/>
    <x v="31"/>
    <s v="Caching"/>
    <s v="Spruce"/>
    <n v="0"/>
    <m/>
    <n v="1"/>
    <s v="Unknown"/>
    <s v="Unknown"/>
    <s v="unknown"/>
    <s v="Interior spruce on trunk under bark "/>
    <s v="Spruce"/>
    <s v="Trunk"/>
    <s v="Under bark"/>
    <m/>
    <m/>
    <s v="unknown"/>
    <n v="63.73171"/>
    <n v="148.90315000000001"/>
    <m/>
    <m/>
    <m/>
    <n v="0"/>
    <n v="0"/>
    <n v="0"/>
    <n v="0"/>
    <n v="0"/>
    <n v="0"/>
    <n v="0"/>
    <m/>
    <s v="First cache is suspected, B&amp;Ut second was confirmed"/>
    <m/>
    <m/>
  </r>
  <r>
    <s v="DSCN2356"/>
    <s v="TC1031_10"/>
    <n v="10"/>
    <n v="1"/>
    <s v="Trail Camp"/>
    <d v="2018-10-31T00:00:00"/>
    <s v="October"/>
    <x v="1"/>
    <d v="1899-12-30T00:16:00"/>
    <s v="Partly cloudy, snowing"/>
    <x v="31"/>
    <s v="Foraging"/>
    <s v="NA"/>
    <n v="1"/>
    <m/>
    <n v="0"/>
    <s v="Unknown"/>
    <s v="Unknown"/>
    <s v="Ground"/>
    <s v="NA"/>
    <s v="NA"/>
    <s v="NA"/>
    <s v="NA"/>
    <m/>
    <m/>
    <s v="NA"/>
    <s v="NA"/>
    <m/>
    <m/>
    <m/>
    <m/>
    <n v="0"/>
    <n v="0"/>
    <n v="0"/>
    <n v="0"/>
    <n v="7"/>
    <n v="0"/>
    <n v="7"/>
    <m/>
    <m/>
    <m/>
    <m/>
  </r>
  <r>
    <s v="DSCN2362"/>
    <s v="TC1031_12"/>
    <n v="12"/>
    <n v="1"/>
    <s v="Trail Camp"/>
    <d v="2018-10-31T00:00:00"/>
    <s v="October"/>
    <x v="1"/>
    <d v="1899-12-30T00:20:00"/>
    <s v="Partly cloudy, snowing"/>
    <x v="31"/>
    <s v="Food handling"/>
    <s v="Spruce"/>
    <n v="1"/>
    <m/>
    <n v="0"/>
    <s v="Unknown"/>
    <s v="Unknown"/>
    <s v="unknown"/>
    <s v="NA"/>
    <s v="NA"/>
    <s v="NA"/>
    <s v="NA"/>
    <m/>
    <m/>
    <s v="NA"/>
    <s v="NA"/>
    <m/>
    <m/>
    <m/>
    <m/>
    <n v="0"/>
    <n v="0"/>
    <n v="0"/>
    <n v="0"/>
    <n v="0"/>
    <n v="0"/>
    <n v="0"/>
    <m/>
    <m/>
    <m/>
    <m/>
  </r>
  <r>
    <s v="DSCN2363"/>
    <s v="TC1031_13"/>
    <n v="13"/>
    <n v="1"/>
    <s v="Trail Camp"/>
    <d v="2018-10-31T00:00:00"/>
    <s v="October"/>
    <x v="1"/>
    <d v="1899-12-30T00:16:00"/>
    <s v="Partly cloudy, snowing"/>
    <x v="31"/>
    <s v="Foraging"/>
    <s v="Spruce"/>
    <n v="0"/>
    <m/>
    <n v="0"/>
    <m/>
    <s v="NA"/>
    <s v="NA"/>
    <s v="NA"/>
    <s v="NA"/>
    <s v="NA"/>
    <s v="NA"/>
    <m/>
    <m/>
    <s v="NA"/>
    <s v="NA"/>
    <m/>
    <m/>
    <m/>
    <m/>
    <n v="11"/>
    <n v="0"/>
    <n v="11"/>
    <n v="0"/>
    <n v="0"/>
    <n v="0"/>
    <n v="11"/>
    <m/>
    <m/>
    <m/>
    <m/>
  </r>
  <r>
    <s v="DSCN1999"/>
    <s v="M3.51023_1"/>
    <n v="1"/>
    <n v="1"/>
    <s v="Mile 3.5"/>
    <d v="2018-10-23T00:00:00"/>
    <s v="October"/>
    <x v="1"/>
    <d v="1899-12-30T00:28:00"/>
    <m/>
    <x v="40"/>
    <s v="Foraging"/>
    <s v="Spruce"/>
    <s v="unknown"/>
    <m/>
    <n v="0"/>
    <s v="Unknown"/>
    <s v="Unknown"/>
    <s v="NA"/>
    <s v="NA"/>
    <s v="NA"/>
    <s v="NA"/>
    <s v="NA"/>
    <m/>
    <m/>
    <s v="NA"/>
    <s v="NA"/>
    <m/>
    <m/>
    <m/>
    <m/>
    <n v="0"/>
    <n v="16"/>
    <n v="0"/>
    <n v="16"/>
    <n v="0"/>
    <n v="0"/>
    <n v="16"/>
    <s v="Searching"/>
    <s v="3.5 bird B&amp;Ut with M4R birds and in territory"/>
    <m/>
    <m/>
  </r>
  <r>
    <s v="DSCN1540"/>
    <s v="MC1012_5"/>
    <n v="5"/>
    <n v="1"/>
    <s v="Mercantile"/>
    <d v="2018-10-12T00:00:00"/>
    <s v="October"/>
    <x v="1"/>
    <d v="1899-12-30T01:35:00"/>
    <s v="Overcast"/>
    <x v="13"/>
    <s v="Foraging (Cache recovery)"/>
    <s v="Spruce"/>
    <n v="1"/>
    <m/>
    <n v="0"/>
    <s v="Unknown"/>
    <s v="Unknown"/>
    <s v="Under bare spruce branch bark"/>
    <s v="NA"/>
    <s v="NA"/>
    <s v="NA"/>
    <s v="NA"/>
    <m/>
    <m/>
    <s v="NA"/>
    <s v="NA"/>
    <m/>
    <m/>
    <m/>
    <m/>
    <n v="45"/>
    <n v="0"/>
    <n v="45"/>
    <n v="0"/>
    <n v="0"/>
    <n v="0"/>
    <n v="45"/>
    <s v="Probing"/>
    <m/>
    <n v="3"/>
    <n v="0"/>
  </r>
  <r>
    <s v="DSCN1548"/>
    <s v="MC1012_7"/>
    <n v="7"/>
    <n v="1"/>
    <s v="Mercantile"/>
    <d v="2018-10-12T00:00:00"/>
    <s v="October"/>
    <x v="1"/>
    <d v="1899-12-30T00:41:00"/>
    <s v="Overcast"/>
    <x v="13"/>
    <s v="Foraging/caching"/>
    <s v="Spruce"/>
    <n v="1"/>
    <m/>
    <n v="1"/>
    <s v="Unknown"/>
    <s v="Unknown"/>
    <s v="Ground"/>
    <s v="Exterior spruce branch under bark/witch hair"/>
    <s v="Spruce"/>
    <s v="Exterior"/>
    <s v="Under bark and witch hair "/>
    <m/>
    <m/>
    <n v="3"/>
    <n v="63.731409999999997"/>
    <n v="148.89959999999999"/>
    <m/>
    <m/>
    <m/>
    <n v="0"/>
    <n v="0"/>
    <n v="0"/>
    <n v="0"/>
    <n v="7"/>
    <n v="0"/>
    <n v="7"/>
    <m/>
    <m/>
    <m/>
    <m/>
  </r>
  <r>
    <s v="DSCN1550"/>
    <s v="MC1012_8"/>
    <n v="8"/>
    <n v="1"/>
    <s v="Mercantile"/>
    <d v="2018-10-12T00:00:00"/>
    <s v="October"/>
    <x v="1"/>
    <d v="1899-12-30T00:37:00"/>
    <s v="Overcast"/>
    <x v="13"/>
    <s v="Foraging/caching"/>
    <s v="Aspen"/>
    <n v="1"/>
    <m/>
    <n v="1"/>
    <s v="Unknown"/>
    <s v="Unknown"/>
    <s v="In crevice of aspen branch"/>
    <s v="Glued to aspen branch"/>
    <s v="Aspen"/>
    <s v="Exterior"/>
    <s v="On bark"/>
    <m/>
    <m/>
    <n v="0"/>
    <n v="63.731270000000002"/>
    <n v="148.90007"/>
    <m/>
    <m/>
    <m/>
    <n v="12"/>
    <n v="0"/>
    <n v="0"/>
    <n v="12"/>
    <n v="0"/>
    <n v="0"/>
    <n v="12"/>
    <s v="Probing/pecking"/>
    <s v="Spends about 12 extracting food from crevice of aspen branch and then glues it (caches it) on the same branch like 6 inches away??????"/>
    <n v="5"/>
    <n v="0"/>
  </r>
  <r>
    <s v="DSCN1895"/>
    <s v="MC1019_1"/>
    <n v="1"/>
    <n v="1"/>
    <s v="Mercantile"/>
    <d v="2018-10-19T00:00:00"/>
    <s v="October"/>
    <x v="1"/>
    <d v="1899-12-30T00:18:00"/>
    <s v="Overcast"/>
    <x v="13"/>
    <s v="Foraging"/>
    <s v="Spruce"/>
    <n v="1"/>
    <m/>
    <n v="0"/>
    <s v="Unknown"/>
    <s v="Unknown"/>
    <s v="Tip of spruce foliage at top of tree"/>
    <s v="NA"/>
    <s v="NA"/>
    <s v="NA"/>
    <s v="NA"/>
    <m/>
    <m/>
    <s v="NA"/>
    <s v="NA"/>
    <m/>
    <m/>
    <m/>
    <m/>
    <n v="0"/>
    <n v="10"/>
    <n v="0"/>
    <n v="10"/>
    <n v="0"/>
    <n v="0"/>
    <n v="10"/>
    <s v="Searching"/>
    <s v="Maybe a berry?"/>
    <m/>
    <m/>
  </r>
  <r>
    <s v="DSCN1897"/>
    <s v="MC1019_2"/>
    <n v="2"/>
    <n v="1"/>
    <s v="Mercantile"/>
    <d v="2018-10-19T00:00:00"/>
    <s v="October"/>
    <x v="1"/>
    <d v="1899-12-30T00:17:00"/>
    <s v="Overcast"/>
    <x v="13"/>
    <s v="Caching"/>
    <s v="Aspen"/>
    <n v="0"/>
    <m/>
    <n v="1"/>
    <s v="Unknown"/>
    <s v="Unknown"/>
    <s v="Tip of spruce foliage at top of tree"/>
    <s v="Glued to aspen branch"/>
    <s v="Aspen"/>
    <s v="Exterior"/>
    <s v="On bark"/>
    <m/>
    <m/>
    <s v="unknown"/>
    <s v="Did not mark (did not recognize as cache while in field)"/>
    <m/>
    <m/>
    <m/>
    <m/>
    <n v="0"/>
    <n v="0"/>
    <n v="0"/>
    <n v="0"/>
    <n v="0"/>
    <n v="0"/>
    <n v="0"/>
    <m/>
    <m/>
    <m/>
    <m/>
  </r>
  <r>
    <s v="DSCN1902"/>
    <s v="MC1019_4"/>
    <n v="4"/>
    <n v="1"/>
    <s v="Mercantile"/>
    <d v="2018-10-19T00:00:00"/>
    <s v="October"/>
    <x v="1"/>
    <d v="1899-12-30T00:30:00"/>
    <m/>
    <x v="13"/>
    <s v="Foraging"/>
    <s v="Spruce"/>
    <s v="unknown"/>
    <m/>
    <n v="0"/>
    <s v="Unknown"/>
    <s v="Unknown"/>
    <s v="NA"/>
    <s v="NA"/>
    <s v="NA"/>
    <s v="NA"/>
    <s v="NA"/>
    <m/>
    <m/>
    <s v="NA"/>
    <s v="NA"/>
    <m/>
    <m/>
    <m/>
    <m/>
    <n v="0"/>
    <n v="29"/>
    <n v="0"/>
    <n v="29"/>
    <n v="0"/>
    <n v="0"/>
    <n v="29"/>
    <s v="Searching"/>
    <m/>
    <m/>
    <m/>
  </r>
  <r>
    <s v="DSCN1903"/>
    <s v="MC1019_5"/>
    <n v="5"/>
    <n v="1"/>
    <s v="Mercantile"/>
    <d v="2018-10-19T00:00:00"/>
    <s v="October"/>
    <x v="1"/>
    <d v="1899-12-30T00:13:00"/>
    <m/>
    <x v="13"/>
    <s v="Foraging"/>
    <s v="Aspen"/>
    <n v="0"/>
    <m/>
    <n v="0"/>
    <m/>
    <s v="NA"/>
    <s v="NA"/>
    <s v="NA"/>
    <s v="NA"/>
    <s v="NA"/>
    <s v="NA"/>
    <m/>
    <m/>
    <s v="NA"/>
    <s v="NA"/>
    <m/>
    <m/>
    <m/>
    <m/>
    <n v="13"/>
    <n v="0"/>
    <n v="0"/>
    <n v="13"/>
    <n v="0"/>
    <n v="0"/>
    <n v="13"/>
    <m/>
    <m/>
    <m/>
    <m/>
  </r>
  <r>
    <s v="DSCN1904"/>
    <s v="MC1019_6"/>
    <n v="6"/>
    <n v="1"/>
    <s v="Mercantile"/>
    <d v="2018-10-19T00:00:00"/>
    <s v="October"/>
    <x v="1"/>
    <d v="1899-12-30T00:09:00"/>
    <m/>
    <x v="13"/>
    <s v="Foraging"/>
    <s v="NA"/>
    <n v="0"/>
    <m/>
    <n v="0"/>
    <m/>
    <s v="NA"/>
    <s v="NA"/>
    <s v="NA"/>
    <s v="NA"/>
    <s v="NA"/>
    <s v="NA"/>
    <m/>
    <m/>
    <s v="NA"/>
    <s v="NA"/>
    <m/>
    <m/>
    <m/>
    <m/>
    <n v="0"/>
    <n v="0"/>
    <n v="0"/>
    <n v="0"/>
    <n v="0"/>
    <n v="9"/>
    <n v="9"/>
    <m/>
    <s v="Picinic table "/>
    <m/>
    <m/>
  </r>
  <r>
    <s v="DSCN1922"/>
    <s v="MC1019_12"/>
    <n v="12"/>
    <n v="1"/>
    <s v="Mercantile"/>
    <d v="2018-10-19T00:00:00"/>
    <s v="October"/>
    <x v="1"/>
    <d v="1899-12-30T00:15:00"/>
    <m/>
    <x v="13"/>
    <s v="Foraging"/>
    <s v="Spruce"/>
    <n v="0"/>
    <m/>
    <n v="0"/>
    <m/>
    <s v="NA"/>
    <s v="NA"/>
    <s v="NA"/>
    <s v="NA"/>
    <s v="NA"/>
    <s v="NA"/>
    <m/>
    <m/>
    <s v="NA"/>
    <s v="NA"/>
    <m/>
    <m/>
    <m/>
    <m/>
    <n v="15"/>
    <n v="0"/>
    <n v="0"/>
    <n v="15"/>
    <n v="0"/>
    <n v="0"/>
    <n v="15"/>
    <m/>
    <m/>
    <m/>
    <m/>
  </r>
  <r>
    <s v="DSCN1936"/>
    <s v="MC1019_20"/>
    <n v="20"/>
    <n v="1"/>
    <s v="Mercantile"/>
    <d v="2018-10-19T00:00:00"/>
    <s v="October"/>
    <x v="1"/>
    <d v="1899-12-30T00:58:00"/>
    <m/>
    <x v="13"/>
    <s v="Foraging"/>
    <s v="NA"/>
    <n v="1"/>
    <m/>
    <n v="0"/>
    <s v="Insect"/>
    <s v="Insect"/>
    <s v="Ground"/>
    <s v="NA"/>
    <s v="NA"/>
    <s v="NA"/>
    <s v="NA"/>
    <m/>
    <m/>
    <s v="NA"/>
    <s v="NA"/>
    <m/>
    <m/>
    <m/>
    <m/>
    <n v="0"/>
    <n v="0"/>
    <n v="0"/>
    <n v="0"/>
    <n v="15"/>
    <n v="0"/>
    <n v="15"/>
    <m/>
    <m/>
    <m/>
    <m/>
  </r>
  <r>
    <s v="DSCN1938"/>
    <s v="MC1019_22"/>
    <n v="22"/>
    <n v="1"/>
    <s v="Mercantile"/>
    <d v="2018-10-19T00:00:00"/>
    <s v="October"/>
    <x v="1"/>
    <d v="1899-12-30T00:29:00"/>
    <m/>
    <x v="13"/>
    <s v="Caching"/>
    <s v="Aspen"/>
    <n v="0"/>
    <m/>
    <n v="1"/>
    <s v="Unknown"/>
    <s v="Unknown"/>
    <s v="Ground"/>
    <s v="bare aspen branch under bark"/>
    <s v="Aspen"/>
    <s v="Exterior"/>
    <s v="Under bark"/>
    <m/>
    <m/>
    <n v="1"/>
    <n v="63.736020000000003"/>
    <n v="148.89214000000001"/>
    <m/>
    <m/>
    <m/>
    <n v="0"/>
    <n v="0"/>
    <n v="0"/>
    <n v="0"/>
    <n v="0"/>
    <n v="0"/>
    <n v="0"/>
    <m/>
    <m/>
    <m/>
    <m/>
  </r>
  <r>
    <s v="DSCN1941"/>
    <s v="MC1019_24"/>
    <n v="24"/>
    <n v="1"/>
    <s v="Mercantile"/>
    <d v="2018-10-19T00:00:00"/>
    <s v="October"/>
    <x v="1"/>
    <d v="1899-12-30T00:20:00"/>
    <m/>
    <x v="13"/>
    <s v="Foraging"/>
    <s v="Aspen and spruce"/>
    <s v="unknown"/>
    <m/>
    <n v="0"/>
    <m/>
    <s v="NA"/>
    <s v="NA"/>
    <s v="NA"/>
    <s v="NA"/>
    <s v="NA"/>
    <s v="NA"/>
    <m/>
    <m/>
    <s v="NA"/>
    <s v="NA"/>
    <m/>
    <m/>
    <m/>
    <m/>
    <n v="13"/>
    <n v="4"/>
    <n v="0"/>
    <n v="17"/>
    <n v="0"/>
    <n v="0"/>
    <n v="17"/>
    <s v="Searching/probing"/>
    <m/>
    <n v="1"/>
    <n v="0"/>
  </r>
  <r>
    <s v="DSCN2152"/>
    <s v="MC1025_1"/>
    <n v="1"/>
    <n v="1"/>
    <s v="Mercantile"/>
    <d v="2018-10-25T00:00:00"/>
    <s v="October"/>
    <x v="1"/>
    <d v="1899-12-30T00:12:00"/>
    <m/>
    <x v="13"/>
    <s v="Foraging"/>
    <s v="Spruce"/>
    <n v="1"/>
    <m/>
    <n v="0"/>
    <s v="Unknown"/>
    <s v="Unknown"/>
    <s v="Exterior dense foliage of spruce"/>
    <m/>
    <s v="NA"/>
    <s v="NA"/>
    <s v="NA"/>
    <m/>
    <m/>
    <s v="NA"/>
    <s v="NA"/>
    <m/>
    <m/>
    <m/>
    <m/>
    <n v="0"/>
    <n v="10"/>
    <n v="0"/>
    <n v="10"/>
    <n v="0"/>
    <n v="0"/>
    <n v="10"/>
    <s v="Gleaning"/>
    <m/>
    <n v="0"/>
    <n v="1"/>
  </r>
  <r>
    <s v="DSCN2153"/>
    <s v="MC1025_2"/>
    <n v="2"/>
    <n v="1"/>
    <s v="Mercantile"/>
    <d v="2018-10-25T00:00:00"/>
    <s v="October"/>
    <x v="1"/>
    <d v="1899-12-30T00:35:00"/>
    <m/>
    <x v="13"/>
    <s v="Foraging"/>
    <s v="Spruce"/>
    <s v="unknown"/>
    <m/>
    <n v="0"/>
    <s v="Unknown"/>
    <s v="Unknown"/>
    <s v="NA"/>
    <s v="NA"/>
    <s v="NA"/>
    <s v="NA"/>
    <s v="NA"/>
    <m/>
    <m/>
    <s v="NA"/>
    <s v="NA"/>
    <m/>
    <m/>
    <m/>
    <m/>
    <n v="0"/>
    <n v="35"/>
    <n v="0"/>
    <n v="35"/>
    <n v="0"/>
    <n v="0"/>
    <n v="35"/>
    <m/>
    <m/>
    <m/>
    <m/>
  </r>
  <r>
    <s v="DSCN2154"/>
    <s v="MC1025_3"/>
    <n v="3"/>
    <n v="1"/>
    <s v="Mercantile"/>
    <d v="2018-10-25T00:00:00"/>
    <s v="October"/>
    <x v="1"/>
    <d v="1899-12-30T00:37:00"/>
    <m/>
    <x v="13"/>
    <s v="Foraging"/>
    <s v="Spruce"/>
    <s v="unknown"/>
    <m/>
    <n v="0"/>
    <m/>
    <s v="NA"/>
    <s v="NA"/>
    <s v="NA"/>
    <s v="NA"/>
    <s v="NA"/>
    <s v="NA"/>
    <m/>
    <m/>
    <s v="NA"/>
    <s v="NA"/>
    <m/>
    <m/>
    <m/>
    <m/>
    <n v="0"/>
    <n v="37"/>
    <n v="11"/>
    <n v="26"/>
    <n v="0"/>
    <n v="0"/>
    <n v="37"/>
    <m/>
    <m/>
    <m/>
    <m/>
  </r>
  <r>
    <s v="DSCN2157"/>
    <s v="MC1025_5"/>
    <n v="5"/>
    <n v="1"/>
    <s v="Mercantile"/>
    <d v="2018-10-25T00:00:00"/>
    <s v="October"/>
    <x v="1"/>
    <d v="1899-12-30T00:47:00"/>
    <m/>
    <x v="13"/>
    <s v="Caching"/>
    <s v="Aspen"/>
    <n v="0"/>
    <m/>
    <n v="1"/>
    <s v="Unknown"/>
    <s v="Unknown"/>
    <s v="unknown"/>
    <s v="Under bark of aspen branch"/>
    <s v="Aspen"/>
    <s v="Exterior"/>
    <s v="Under bark"/>
    <m/>
    <m/>
    <s v="unknown"/>
    <n v="63.73254"/>
    <n v="148.89940000000001"/>
    <m/>
    <m/>
    <m/>
    <n v="0"/>
    <n v="0"/>
    <n v="0"/>
    <n v="0"/>
    <n v="0"/>
    <n v="0"/>
    <n v="0"/>
    <m/>
    <s v="*Possible that female pulled food out after! B&amp;Ut didn't catch on tape to confirm. "/>
    <m/>
    <m/>
  </r>
  <r>
    <s v="DSCN2159"/>
    <s v="MC1025_7"/>
    <n v="7"/>
    <n v="1"/>
    <s v="Mercantile"/>
    <d v="2018-10-25T00:00:00"/>
    <s v="October"/>
    <x v="1"/>
    <d v="1899-12-30T01:04:00"/>
    <m/>
    <x v="13"/>
    <s v="Caching/foraging"/>
    <s v="Spruce"/>
    <n v="1"/>
    <m/>
    <n v="1"/>
    <s v="Mushroom"/>
    <s v="Mushroom (dried)"/>
    <s v="Spruce branch"/>
    <s v="Exterior spruce foliage"/>
    <s v="Spruce"/>
    <s v="Exterior"/>
    <s v="Foliage"/>
    <m/>
    <m/>
    <n v="6"/>
    <n v="63.732669999999999"/>
    <n v="148.89955"/>
    <m/>
    <m/>
    <m/>
    <n v="29"/>
    <n v="0"/>
    <n v="0"/>
    <n v="29"/>
    <n v="9"/>
    <n v="0"/>
    <n v="38"/>
    <m/>
    <m/>
    <m/>
    <m/>
  </r>
  <r>
    <s v="DSCN2263"/>
    <s v="MC1029_6"/>
    <n v="6"/>
    <n v="1"/>
    <s v="Mercantile"/>
    <d v="2018-10-29T00:00:00"/>
    <s v="October"/>
    <x v="1"/>
    <d v="1899-12-30T00:07:00"/>
    <s v="Clear"/>
    <x v="13"/>
    <s v="Foraging"/>
    <s v="Spruce"/>
    <n v="1"/>
    <m/>
    <n v="0"/>
    <s v="Unknown"/>
    <s v="Unknown (Maybe snowshoe hare)"/>
    <s v="Interior spruce tree"/>
    <s v="NA"/>
    <s v="NA"/>
    <s v="NA"/>
    <s v="NA"/>
    <m/>
    <m/>
    <s v="NA"/>
    <s v="NA"/>
    <m/>
    <m/>
    <m/>
    <m/>
    <n v="0"/>
    <n v="0"/>
    <n v="0"/>
    <n v="0"/>
    <n v="0"/>
    <n v="0"/>
    <n v="0"/>
    <m/>
    <s v="Missed seeing it pull it from tree on camera B&amp;Ut we saw IRL that's where it got it from. "/>
    <m/>
    <m/>
  </r>
  <r>
    <s v="DSCN2264"/>
    <s v="MC1029_7"/>
    <n v="7"/>
    <n v="1"/>
    <s v="Mercantile"/>
    <d v="2018-10-29T00:00:00"/>
    <s v="October"/>
    <x v="1"/>
    <d v="1899-12-30T00:37:00"/>
    <s v="Clear"/>
    <x v="13"/>
    <s v="Caching"/>
    <s v="Spruce"/>
    <n v="0"/>
    <m/>
    <n v="2"/>
    <s v="Unknown"/>
    <s v="Unknown (Maybe snowshoe hare)"/>
    <s v="Interior spruce tree"/>
    <s v="Interior spruce foliage near trunk"/>
    <s v="Spruce"/>
    <s v="Interior"/>
    <s v="Foliage"/>
    <m/>
    <m/>
    <n v="7"/>
    <n v="63.736229999999999"/>
    <n v="148.90009000000001"/>
    <m/>
    <m/>
    <m/>
    <n v="0"/>
    <n v="0"/>
    <n v="0"/>
    <n v="0"/>
    <n v="0"/>
    <n v="0"/>
    <n v="0"/>
    <m/>
    <s v="Same food as in previous video"/>
    <m/>
    <m/>
  </r>
  <r>
    <s v="DSCN2244"/>
    <s v="AQ1029_1"/>
    <n v="1"/>
    <n v="1"/>
    <s v="Air Quality"/>
    <d v="2018-10-29T00:00:00"/>
    <s v="October"/>
    <x v="1"/>
    <d v="1899-12-30T00:16:00"/>
    <s v="Clear"/>
    <x v="21"/>
    <s v="Foraging/food handling"/>
    <s v="Spruce"/>
    <s v="unknown"/>
    <m/>
    <n v="0"/>
    <s v="Unknown"/>
    <s v="Unknown"/>
    <s v="NA"/>
    <s v="NA"/>
    <s v="NA"/>
    <s v="NA"/>
    <s v="NA"/>
    <m/>
    <m/>
    <s v="NA"/>
    <s v="NA"/>
    <m/>
    <m/>
    <m/>
    <m/>
    <n v="15"/>
    <n v="0"/>
    <n v="0"/>
    <n v="15"/>
    <n v="0"/>
    <n v="0"/>
    <n v="15"/>
    <m/>
    <m/>
    <m/>
    <m/>
  </r>
  <r>
    <s v="DSCN2248"/>
    <s v="AQ1029_2"/>
    <n v="2"/>
    <n v="1"/>
    <s v="Air Quality"/>
    <d v="2018-10-29T00:00:00"/>
    <s v="October"/>
    <x v="1"/>
    <d v="1899-12-30T01:07:00"/>
    <s v="Clear"/>
    <x v="21"/>
    <s v="Foraging (Cache recovery)"/>
    <s v="Spruce"/>
    <n v="1"/>
    <m/>
    <n v="0"/>
    <s v="Unknown"/>
    <s v="Unknown (possibly meat)"/>
    <s v="Interior bare branch under witch hair"/>
    <s v="NA"/>
    <s v="NA"/>
    <s v="NA"/>
    <s v="NA"/>
    <m/>
    <m/>
    <s v="NA"/>
    <s v="NA"/>
    <m/>
    <m/>
    <m/>
    <m/>
    <n v="68"/>
    <n v="0"/>
    <n v="68"/>
    <n v="0"/>
    <n v="0"/>
    <n v="0"/>
    <n v="68"/>
    <s v="Probing/pecking"/>
    <s v="5 pecks "/>
    <n v="1"/>
    <n v="0"/>
  </r>
  <r>
    <s v="DSCN2250"/>
    <s v="AQ1029_3"/>
    <n v="3"/>
    <n v="1"/>
    <s v="Air Quality"/>
    <d v="2018-10-29T00:00:00"/>
    <s v="October"/>
    <x v="1"/>
    <d v="1899-12-30T00:10:00"/>
    <s v="Clear"/>
    <x v="21"/>
    <s v="Foraging"/>
    <s v="Spruce"/>
    <n v="1"/>
    <m/>
    <n v="0"/>
    <s v="Unknown"/>
    <s v="Unknown"/>
    <s v="Interior bare spruce branch"/>
    <s v="NA"/>
    <s v="NA"/>
    <s v="NA"/>
    <s v="NA"/>
    <m/>
    <m/>
    <s v="NA"/>
    <s v="NA"/>
    <m/>
    <m/>
    <m/>
    <m/>
    <n v="10"/>
    <n v="0"/>
    <n v="10"/>
    <n v="0"/>
    <n v="0"/>
    <n v="0"/>
    <n v="10"/>
    <s v="Gleaning"/>
    <m/>
    <n v="0"/>
    <n v="1"/>
  </r>
  <r>
    <s v="DSCN2251"/>
    <s v="AQ1029_4"/>
    <n v="4"/>
    <n v="1"/>
    <s v="Air Quality"/>
    <d v="2018-10-29T00:00:00"/>
    <s v="October"/>
    <x v="1"/>
    <d v="1899-12-30T00:07:00"/>
    <s v="Clear"/>
    <x v="21"/>
    <s v="Foraging"/>
    <s v="Spruce"/>
    <s v="unknown"/>
    <m/>
    <s v="Unknown"/>
    <s v="Unknown"/>
    <s v="Unknown"/>
    <s v="NA"/>
    <s v="NA"/>
    <m/>
    <m/>
    <m/>
    <m/>
    <m/>
    <s v="NA"/>
    <s v="NA"/>
    <m/>
    <m/>
    <m/>
    <m/>
    <n v="7"/>
    <n v="0"/>
    <n v="7"/>
    <n v="0"/>
    <n v="0"/>
    <n v="0"/>
    <n v="7"/>
    <m/>
    <m/>
    <m/>
    <m/>
  </r>
  <r>
    <s v="DSCN2253"/>
    <s v="AQ1029_5"/>
    <n v="5"/>
    <n v="1"/>
    <s v="Air Quality"/>
    <d v="2018-10-29T00:00:00"/>
    <s v="October"/>
    <x v="1"/>
    <d v="1899-12-30T00:33:00"/>
    <s v="Clear"/>
    <x v="21"/>
    <s v="Foraging"/>
    <s v="Spruce"/>
    <s v="unknown"/>
    <m/>
    <s v="Unknown"/>
    <s v="Unknown"/>
    <s v="Unknown"/>
    <s v="NA"/>
    <s v="NA"/>
    <m/>
    <m/>
    <m/>
    <m/>
    <m/>
    <s v="NA"/>
    <s v="NA"/>
    <m/>
    <m/>
    <m/>
    <m/>
    <n v="30"/>
    <n v="0"/>
    <n v="30"/>
    <n v="0"/>
    <n v="0"/>
    <n v="0"/>
    <n v="30"/>
    <m/>
    <m/>
    <m/>
    <m/>
  </r>
  <r>
    <s v="DSCN1352"/>
    <s v="B&amp;U1006_3"/>
    <n v="3"/>
    <n v="1"/>
    <s v="B&amp;U"/>
    <d v="2018-10-06T00:00:00"/>
    <s v="October"/>
    <x v="1"/>
    <d v="1899-12-30T00:28:00"/>
    <s v="Mostly sunny"/>
    <x v="14"/>
    <s v="Foraging/cache retrieval"/>
    <s v="Spruce"/>
    <n v="1"/>
    <m/>
    <n v="0"/>
    <s v="Unknown"/>
    <s v="unknown, looked like a previsouly cached bolus"/>
    <s v="Spruce branch under bark"/>
    <s v="NA"/>
    <s v="NA"/>
    <s v="NA"/>
    <s v="NA"/>
    <m/>
    <m/>
    <s v="NA"/>
    <s v="NA"/>
    <m/>
    <m/>
    <m/>
    <m/>
    <n v="2"/>
    <n v="0"/>
    <n v="2"/>
    <n v="0"/>
    <n v="0"/>
    <n v="0"/>
    <n v="2"/>
    <m/>
    <s v="Went straight for food site.  "/>
    <m/>
    <m/>
  </r>
  <r>
    <s v="DSCN1830"/>
    <s v="B&amp;U1017_1"/>
    <n v="1"/>
    <n v="1"/>
    <s v="B&amp;U"/>
    <d v="2018-10-17T00:00:00"/>
    <s v="October"/>
    <x v="1"/>
    <d v="1899-12-30T00:10:00"/>
    <s v="Overcast"/>
    <x v="14"/>
    <s v="Foraging"/>
    <s v="NA"/>
    <n v="1"/>
    <m/>
    <n v="0"/>
    <s v="Berry"/>
    <s v="Berry (Blueberry)"/>
    <s v="Ground"/>
    <s v="NA"/>
    <s v="NA"/>
    <s v="NA"/>
    <s v="NA"/>
    <m/>
    <m/>
    <s v="NA"/>
    <s v="NA"/>
    <m/>
    <m/>
    <m/>
    <m/>
    <n v="0"/>
    <n v="0"/>
    <n v="0"/>
    <n v="0"/>
    <n v="10"/>
    <n v="0"/>
    <n v="10"/>
    <m/>
    <m/>
    <m/>
    <m/>
  </r>
  <r>
    <s v="DSCN1831"/>
    <s v="B&amp;U1017_2"/>
    <n v="2"/>
    <n v="1"/>
    <s v="B&amp;U"/>
    <d v="2018-10-17T00:00:00"/>
    <s v="October"/>
    <x v="1"/>
    <d v="1899-12-30T00:34:00"/>
    <s v="Overcast"/>
    <x v="14"/>
    <s v="Caching/foraging"/>
    <s v="Spruce"/>
    <n v="1"/>
    <m/>
    <n v="1"/>
    <s v="Berry"/>
    <s v="Berry (Blueberry)"/>
    <s v="Ground"/>
    <s v="Interior spruce foliage"/>
    <s v="Spruce "/>
    <s v="Interior"/>
    <s v="Foliage"/>
    <m/>
    <m/>
    <n v="6"/>
    <n v="63.725520000000003"/>
    <n v="148.95973000000001"/>
    <m/>
    <m/>
    <m/>
    <n v="0"/>
    <n v="0"/>
    <n v="0"/>
    <n v="0"/>
    <n v="12"/>
    <n v="0"/>
    <n v="12"/>
    <m/>
    <m/>
    <m/>
    <m/>
  </r>
  <r>
    <s v="DSCN2202"/>
    <s v="B&amp;U1029_3"/>
    <n v="3"/>
    <n v="1"/>
    <s v="B&amp;U"/>
    <d v="2018-10-29T00:00:00"/>
    <s v="October"/>
    <x v="1"/>
    <d v="1899-12-30T00:35:00"/>
    <s v="Clear"/>
    <x v="14"/>
    <s v="Foraging"/>
    <s v="Spruce"/>
    <s v="unknown"/>
    <m/>
    <n v="0"/>
    <m/>
    <s v="NA"/>
    <s v="NA"/>
    <s v="NA"/>
    <s v="NA"/>
    <s v="NA"/>
    <s v="NA"/>
    <m/>
    <m/>
    <s v="NA"/>
    <s v="NA"/>
    <m/>
    <m/>
    <m/>
    <m/>
    <n v="0"/>
    <n v="35"/>
    <n v="0"/>
    <n v="35"/>
    <n v="0"/>
    <n v="0"/>
    <n v="35"/>
    <m/>
    <m/>
    <m/>
    <m/>
  </r>
  <r>
    <s v="DSCN2203"/>
    <s v="B&amp;U1029_4"/>
    <n v="4"/>
    <n v="1"/>
    <s v="B&amp;U"/>
    <d v="2018-10-29T00:00:00"/>
    <s v="October"/>
    <x v="1"/>
    <d v="1899-12-30T00:20:00"/>
    <s v="Clear"/>
    <x v="14"/>
    <s v="Foraging"/>
    <s v="Spruce"/>
    <s v="unknown"/>
    <m/>
    <n v="0"/>
    <m/>
    <s v="NA"/>
    <s v="NA"/>
    <s v="NA"/>
    <s v="NA"/>
    <s v="NA"/>
    <s v="NA"/>
    <m/>
    <m/>
    <s v="NA"/>
    <s v="NA"/>
    <m/>
    <m/>
    <m/>
    <m/>
    <n v="0"/>
    <n v="20"/>
    <n v="0"/>
    <n v="20"/>
    <n v="0"/>
    <n v="0"/>
    <n v="20"/>
    <m/>
    <m/>
    <m/>
    <m/>
  </r>
  <r>
    <s v="DSCN2204"/>
    <s v="B&amp;U1029_5"/>
    <n v="5"/>
    <n v="1"/>
    <s v="B&amp;U"/>
    <d v="2018-10-29T00:00:00"/>
    <s v="October"/>
    <x v="1"/>
    <d v="1899-12-30T00:45:00"/>
    <s v="Clear"/>
    <x v="14"/>
    <s v="Foraging"/>
    <s v="Spruce"/>
    <s v="unknown"/>
    <m/>
    <s v="Unknown"/>
    <s v="Unknown"/>
    <s v="Unknown"/>
    <s v="NA"/>
    <s v="NA"/>
    <m/>
    <m/>
    <m/>
    <m/>
    <m/>
    <s v="NA"/>
    <s v="NA"/>
    <m/>
    <m/>
    <m/>
    <m/>
    <n v="0"/>
    <n v="45"/>
    <n v="13"/>
    <n v="32"/>
    <n v="0"/>
    <n v="0"/>
    <n v="45"/>
    <m/>
    <m/>
    <m/>
    <m/>
  </r>
  <r>
    <s v="DSCN2206"/>
    <s v="B&amp;U1029_6"/>
    <n v="6"/>
    <n v="1"/>
    <s v="B&amp;U"/>
    <d v="2018-10-29T00:00:00"/>
    <s v="October"/>
    <x v="1"/>
    <d v="1899-12-30T00:36:00"/>
    <s v="Clear"/>
    <x v="14"/>
    <s v="Foraging"/>
    <s v="Spruce"/>
    <s v="unknown"/>
    <m/>
    <s v="Unknown"/>
    <s v="Unknown"/>
    <s v="Unknown"/>
    <s v="NA"/>
    <s v="NA"/>
    <m/>
    <m/>
    <m/>
    <m/>
    <m/>
    <s v="NA"/>
    <s v="NA"/>
    <m/>
    <m/>
    <m/>
    <m/>
    <n v="7"/>
    <n v="13"/>
    <n v="7"/>
    <n v="13"/>
    <n v="0"/>
    <n v="0"/>
    <n v="20"/>
    <m/>
    <m/>
    <m/>
    <m/>
  </r>
  <r>
    <s v="DSCN2216"/>
    <s v="B&amp;U1029_10"/>
    <n v="10"/>
    <n v="1"/>
    <s v="B&amp;U"/>
    <d v="2018-10-29T00:00:00"/>
    <s v="October"/>
    <x v="1"/>
    <d v="1899-12-30T00:30:00"/>
    <s v="Clear"/>
    <x v="14"/>
    <s v="Foraging"/>
    <s v="Spruce"/>
    <n v="0"/>
    <m/>
    <n v="0"/>
    <m/>
    <s v="NA"/>
    <s v="NA"/>
    <s v="NA"/>
    <s v="NA"/>
    <s v="NA"/>
    <s v="NA"/>
    <m/>
    <m/>
    <s v="NA"/>
    <s v="NA"/>
    <m/>
    <m/>
    <m/>
    <m/>
    <n v="0"/>
    <n v="19"/>
    <n v="0"/>
    <n v="19"/>
    <n v="0"/>
    <n v="0"/>
    <n v="19"/>
    <m/>
    <m/>
    <m/>
    <m/>
  </r>
  <r>
    <s v="DSCN2228"/>
    <s v="B&amp;U1029_16"/>
    <n v="16"/>
    <n v="1"/>
    <s v="B&amp;U"/>
    <d v="2018-10-29T00:00:00"/>
    <s v="October"/>
    <x v="1"/>
    <d v="1899-12-30T00:07:00"/>
    <s v="Clear"/>
    <x v="14"/>
    <s v="Foraging"/>
    <s v="Spruce"/>
    <n v="0"/>
    <m/>
    <n v="0"/>
    <m/>
    <s v="NA"/>
    <s v="NA"/>
    <s v="NA"/>
    <s v="NA"/>
    <s v="NA"/>
    <s v="NA"/>
    <m/>
    <m/>
    <s v="NA"/>
    <s v="NA"/>
    <m/>
    <m/>
    <m/>
    <m/>
    <n v="0"/>
    <n v="7"/>
    <n v="0"/>
    <n v="7"/>
    <n v="0"/>
    <n v="0"/>
    <n v="7"/>
    <m/>
    <m/>
    <m/>
    <m/>
  </r>
  <r>
    <s v="DSCN2008"/>
    <s v="M3.51023_2"/>
    <n v="2"/>
    <n v="1"/>
    <s v="Mile 3.5"/>
    <d v="2018-10-23T00:00:00"/>
    <s v="October"/>
    <x v="1"/>
    <d v="1899-12-30T00:17:00"/>
    <m/>
    <x v="41"/>
    <s v="Foraging (Cache recovery)"/>
    <s v="Spruce"/>
    <n v="1"/>
    <m/>
    <n v="0"/>
    <s v="Unknown"/>
    <s v="Unknown probably dried blueberry"/>
    <s v="Exterior bare branch in witch hair"/>
    <s v="NA"/>
    <s v="NA"/>
    <s v="NA"/>
    <s v="NA"/>
    <m/>
    <m/>
    <s v="NA"/>
    <s v="NA"/>
    <m/>
    <m/>
    <m/>
    <m/>
    <n v="10"/>
    <n v="0"/>
    <n v="0"/>
    <n v="10"/>
    <n v="0"/>
    <n v="0"/>
    <n v="10"/>
    <m/>
    <m/>
    <m/>
    <m/>
  </r>
  <r>
    <s v="DSCN2010"/>
    <s v="M3.51023_3"/>
    <n v="3"/>
    <n v="1"/>
    <s v="Mile 3.5"/>
    <d v="2018-10-23T00:00:00"/>
    <s v="October"/>
    <x v="1"/>
    <d v="1899-12-30T00:14:00"/>
    <m/>
    <x v="41"/>
    <s v="Food handling"/>
    <s v="Spruce"/>
    <n v="1"/>
    <m/>
    <n v="0"/>
    <s v="Unknown"/>
    <s v="Unknown probably dried blueberry"/>
    <s v="unknown"/>
    <s v="NA"/>
    <s v="NA"/>
    <s v="NA"/>
    <s v="NA"/>
    <m/>
    <m/>
    <s v="NA"/>
    <s v="NA"/>
    <m/>
    <m/>
    <m/>
    <m/>
    <n v="0"/>
    <n v="0"/>
    <n v="0"/>
    <n v="0"/>
    <n v="0"/>
    <n v="0"/>
    <n v="0"/>
    <m/>
    <s v="Possibly new food item or food item it obtained in previous video. "/>
    <m/>
    <m/>
  </r>
  <r>
    <s v="DSCN1428"/>
    <s v="M4E1008_1"/>
    <n v="1"/>
    <n v="1"/>
    <s v="Mile 4 East "/>
    <d v="2018-10-08T00:00:00"/>
    <s v="October"/>
    <x v="1"/>
    <d v="1899-12-30T00:17:00"/>
    <s v="Partly cloudy"/>
    <x v="15"/>
    <s v="Caching"/>
    <s v="Spruce"/>
    <n v="0"/>
    <m/>
    <n v="2"/>
    <s v="Unknown"/>
    <s v="Unknown"/>
    <s v="unknown"/>
    <s v="Spruce trunk under bark"/>
    <s v="Spruce"/>
    <s v="Trunk"/>
    <s v="Under bark"/>
    <m/>
    <m/>
    <s v="unknown"/>
    <s v="Did not mark (did not recognize as cache while in field)"/>
    <m/>
    <m/>
    <m/>
    <m/>
    <n v="0"/>
    <n v="0"/>
    <n v="0"/>
    <n v="0"/>
    <n v="0"/>
    <n v="0"/>
    <n v="0"/>
    <m/>
    <s v="First cache is obviouos from video, second is more of a guess, B&amp;Ut seems likely based on the behavior.  "/>
    <m/>
    <m/>
  </r>
  <r>
    <s v="DSCN1430"/>
    <s v="M4E1008_2"/>
    <n v="2"/>
    <n v="1"/>
    <s v="Mile 4 East "/>
    <d v="2018-10-08T00:00:00"/>
    <s v="October"/>
    <x v="1"/>
    <d v="1899-12-30T00:33:00"/>
    <s v="Partly cloudy"/>
    <x v="15"/>
    <s v="Caching"/>
    <s v="Spruce"/>
    <n v="1"/>
    <m/>
    <n v="1"/>
    <s v="Unknown"/>
    <s v="Unknown"/>
    <s v="Ground"/>
    <s v="Exterior spruce branch under bark/witch hair"/>
    <s v="Spruce"/>
    <s v="Exterior"/>
    <s v="Under bark and witch hair "/>
    <m/>
    <m/>
    <n v="2"/>
    <n v="63.719540000000002"/>
    <n v="148.98946000000001"/>
    <m/>
    <m/>
    <m/>
    <n v="0"/>
    <n v="0"/>
    <n v="0"/>
    <n v="0"/>
    <n v="13"/>
    <n v="0"/>
    <n v="13"/>
    <m/>
    <m/>
    <m/>
    <m/>
  </r>
  <r>
    <s v="DSCN1430"/>
    <s v="M4E1008_2"/>
    <n v="2"/>
    <n v="2"/>
    <s v="Mile 4 East "/>
    <d v="2018-10-08T00:00:00"/>
    <s v="October"/>
    <x v="1"/>
    <d v="1899-12-30T00:33:00"/>
    <s v="Partly cloudy"/>
    <x v="15"/>
    <s v="Caching/foraging"/>
    <s v="Spruce"/>
    <n v="1"/>
    <m/>
    <n v="1"/>
    <s v="Berry"/>
    <s v="Berry (Blueberry)"/>
    <s v="Ground"/>
    <s v="Interior spruce foliage "/>
    <s v="Spruce"/>
    <s v="Interior"/>
    <s v="Foliage"/>
    <m/>
    <m/>
    <n v="14"/>
    <n v="63.719450000000002"/>
    <n v="148.98935"/>
    <m/>
    <m/>
    <m/>
    <n v="0"/>
    <n v="0"/>
    <n v="0"/>
    <n v="0"/>
    <n v="0"/>
    <n v="0"/>
    <n v="0"/>
    <m/>
    <m/>
    <m/>
    <m/>
  </r>
  <r>
    <s v="DSCN1431"/>
    <s v="M4E1008_3"/>
    <n v="3"/>
    <n v="1"/>
    <s v="Mile 4 East "/>
    <d v="2018-10-08T00:00:00"/>
    <s v="October"/>
    <x v="1"/>
    <d v="1899-12-30T00:32:00"/>
    <s v="Partly cloudy"/>
    <x v="15"/>
    <s v="Caching"/>
    <s v="Spruce"/>
    <n v="0"/>
    <m/>
    <n v="1"/>
    <s v="Berry"/>
    <s v="Berry (Blueberry)"/>
    <s v="Ground"/>
    <s v="Interior spruce foliage "/>
    <s v="Spruce"/>
    <s v="Interior"/>
    <s v="Foliage"/>
    <m/>
    <m/>
    <n v="14"/>
    <n v="63.719450000000002"/>
    <n v="148.98935"/>
    <m/>
    <m/>
    <m/>
    <n v="0"/>
    <n v="0"/>
    <n v="0"/>
    <n v="0"/>
    <n v="0"/>
    <n v="0"/>
    <n v="0"/>
    <m/>
    <s v="Same tree as second cache tree in previous video.  Seemed like it returned to cache more, B&amp;Ut this was unconfirmed by the video.  "/>
    <m/>
    <m/>
  </r>
  <r>
    <s v="DSCN1588"/>
    <s v="M4R1015_11"/>
    <n v="11"/>
    <n v="1"/>
    <s v="M4Roadside"/>
    <d v="2018-10-15T00:00:00"/>
    <s v="October"/>
    <x v="1"/>
    <d v="1899-12-30T01:10:00"/>
    <s v="Overcast"/>
    <x v="15"/>
    <s v="Foraging"/>
    <s v="NA"/>
    <n v="1"/>
    <m/>
    <n v="0"/>
    <s v="Animal flesh"/>
    <s v="Animal flesh (Snowshoe hare)"/>
    <s v="Ground"/>
    <s v="NA"/>
    <s v="NA"/>
    <s v="NA"/>
    <s v="NA"/>
    <m/>
    <m/>
    <s v="NA"/>
    <s v="NA"/>
    <m/>
    <m/>
    <m/>
    <m/>
    <n v="0"/>
    <n v="0"/>
    <n v="0"/>
    <n v="0"/>
    <n v="0"/>
    <n v="0"/>
    <n v="0"/>
    <m/>
    <m/>
    <m/>
    <m/>
  </r>
  <r>
    <s v="DSCN1589"/>
    <s v="M4R1015_12"/>
    <n v="12"/>
    <n v="1"/>
    <s v="M4Roadside"/>
    <d v="2018-10-15T00:00:00"/>
    <s v="October"/>
    <x v="1"/>
    <d v="1899-12-30T00:10:00"/>
    <s v="Overcast"/>
    <x v="15"/>
    <s v="Caching"/>
    <s v="Spruce"/>
    <n v="0"/>
    <m/>
    <n v="1"/>
    <s v="Animal flesh"/>
    <s v="Animal flesh (Snowshoe hare)"/>
    <s v="Ground"/>
    <s v="Exterior spruce foliage"/>
    <s v="Spruce"/>
    <s v="Exterior"/>
    <s v="Foliage"/>
    <m/>
    <m/>
    <n v="31"/>
    <n v="63.721730000000001"/>
    <n v="148.98685"/>
    <m/>
    <m/>
    <m/>
    <n v="0"/>
    <n v="0"/>
    <n v="0"/>
    <n v="0"/>
    <n v="0"/>
    <n v="0"/>
    <n v="0"/>
    <m/>
    <s v="Cache from previous video. Followed bird from hare to tree.  Observation os cache wasn't caught on video and was obstructed from view due to delay in catching up with the bird.  B&amp;Ut given the behavior and location upon our arrival, we felt confident marking the tree. "/>
    <m/>
    <m/>
  </r>
  <r>
    <s v="DSCN1591"/>
    <s v="M4R1015_14"/>
    <n v="14"/>
    <n v="2"/>
    <s v="M4Roadside"/>
    <d v="2018-10-15T00:00:00"/>
    <s v="October"/>
    <x v="1"/>
    <d v="1899-12-30T00:59:00"/>
    <s v="Overcast"/>
    <x v="15"/>
    <s v="Foraging"/>
    <s v="NA"/>
    <n v="1"/>
    <m/>
    <n v="0"/>
    <s v="Animal flesh"/>
    <s v="Animal flesh (Snowshoe hare)"/>
    <s v="Ground"/>
    <s v="NA"/>
    <s v="NA"/>
    <s v="NA"/>
    <s v="NA"/>
    <m/>
    <m/>
    <s v="NA"/>
    <s v="NA"/>
    <m/>
    <m/>
    <m/>
    <m/>
    <n v="0"/>
    <n v="0"/>
    <n v="0"/>
    <n v="0"/>
    <n v="0"/>
    <n v="0"/>
    <n v="0"/>
    <m/>
    <m/>
    <m/>
    <m/>
  </r>
  <r>
    <s v="DSCN1592"/>
    <s v="M4R1015_15"/>
    <n v="15"/>
    <n v="1"/>
    <s v="M4Roadside"/>
    <d v="2018-10-15T00:00:00"/>
    <s v="October"/>
    <x v="1"/>
    <d v="1899-12-30T00:38:00"/>
    <s v="Overcast"/>
    <x v="15"/>
    <s v="Foraging"/>
    <s v="NA"/>
    <n v="1"/>
    <m/>
    <n v="0"/>
    <s v="Animal flesh"/>
    <s v="Animal flesh (Snowshoe hare)"/>
    <s v="Ground"/>
    <s v="NA"/>
    <s v="NA"/>
    <s v="NA"/>
    <s v="NA"/>
    <m/>
    <m/>
    <s v="NA"/>
    <s v="NA"/>
    <m/>
    <m/>
    <m/>
    <m/>
    <n v="0"/>
    <n v="0"/>
    <n v="0"/>
    <n v="0"/>
    <n v="0"/>
    <n v="0"/>
    <n v="0"/>
    <m/>
    <m/>
    <m/>
    <m/>
  </r>
  <r>
    <s v="DSCN1594"/>
    <s v="M4R1015_17"/>
    <n v="17"/>
    <n v="1"/>
    <s v="M4Roadside"/>
    <d v="2018-10-15T00:00:00"/>
    <s v="October"/>
    <x v="1"/>
    <d v="1899-12-30T02:42:00"/>
    <s v="Overcast"/>
    <x v="15"/>
    <s v="Foraging"/>
    <s v="NA"/>
    <n v="2"/>
    <m/>
    <n v="0"/>
    <s v="Animal flesh"/>
    <s v="Animal flesh (Snowshoe hare)"/>
    <s v="Ground"/>
    <s v="NA"/>
    <s v="NA"/>
    <s v="NA"/>
    <s v="NA"/>
    <m/>
    <m/>
    <s v="NA"/>
    <s v="NA"/>
    <m/>
    <m/>
    <m/>
    <m/>
    <n v="0"/>
    <n v="0"/>
    <n v="0"/>
    <n v="0"/>
    <n v="0"/>
    <n v="0"/>
    <n v="0"/>
    <m/>
    <m/>
    <m/>
    <m/>
  </r>
  <r>
    <s v="DSCN1595"/>
    <s v="M451015_18"/>
    <n v="18"/>
    <n v="1"/>
    <s v="M4Roadside"/>
    <d v="2018-10-15T00:00:00"/>
    <s v="October"/>
    <x v="1"/>
    <d v="1899-12-30T00:13:00"/>
    <s v="Overcast"/>
    <x v="15"/>
    <s v="Caching"/>
    <s v="NA"/>
    <n v="0"/>
    <m/>
    <n v="1"/>
    <s v="Animal flesh"/>
    <s v="Animal flesh (Snowshoe hare)"/>
    <s v="Ground"/>
    <s v="Interior spruce foliage "/>
    <s v="Spruce"/>
    <s v="Interior"/>
    <s v="Foliage"/>
    <m/>
    <m/>
    <n v="45"/>
    <n v="63.721649999999997"/>
    <n v="148.98674"/>
    <m/>
    <m/>
    <m/>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596"/>
    <s v="M4R1015_19"/>
    <n v="19"/>
    <n v="1"/>
    <s v="M4Roadside"/>
    <d v="2018-10-15T00:00:00"/>
    <s v="October"/>
    <x v="1"/>
    <d v="1899-12-30T00:53:00"/>
    <s v="Overcast"/>
    <x v="15"/>
    <s v="Foraging"/>
    <s v="NA"/>
    <n v="1"/>
    <m/>
    <n v="0"/>
    <s v="Animal flesh"/>
    <s v="Animal flesh (Snowshoe hare)"/>
    <s v="Ground"/>
    <s v="NA"/>
    <s v="NA"/>
    <s v="NA"/>
    <s v="NA"/>
    <m/>
    <m/>
    <s v="NA"/>
    <s v="NA"/>
    <m/>
    <m/>
    <m/>
    <m/>
    <n v="0"/>
    <n v="0"/>
    <n v="0"/>
    <n v="0"/>
    <n v="0"/>
    <n v="0"/>
    <n v="0"/>
    <m/>
    <m/>
    <m/>
    <m/>
  </r>
  <r>
    <s v="DSCN1597"/>
    <s v="M4R1015_20"/>
    <n v="20"/>
    <n v="1"/>
    <s v="M4Roadside"/>
    <d v="2018-10-15T00:00:00"/>
    <s v="October"/>
    <x v="1"/>
    <d v="1899-12-30T00:15:00"/>
    <s v="Overcast"/>
    <x v="15"/>
    <s v="Caching"/>
    <s v="Spruce"/>
    <n v="0"/>
    <m/>
    <n v="1"/>
    <s v="Animal flesh"/>
    <s v="Animal flesh (Snowshoe hare)"/>
    <s v="Ground"/>
    <s v="Interior bare spruce"/>
    <s v="Spruce"/>
    <s v="Interior"/>
    <s v="Branch"/>
    <m/>
    <m/>
    <n v="6"/>
    <n v="63.721870000000003"/>
    <n v="148.98738"/>
    <m/>
    <m/>
    <m/>
    <n v="0"/>
    <n v="0"/>
    <n v="0"/>
    <n v="0"/>
    <n v="0"/>
    <n v="0"/>
    <n v="0"/>
    <m/>
    <s v="First cache is confirmed.  Second cache: Followed bird from hare to tree.  Observation os cache wasn't caught on video and was obstructed from view due to delay in catching up with the bird.  B&amp;Ut given the behavior and location upon our arrival, we felt confident marking the tree. "/>
    <m/>
    <m/>
  </r>
  <r>
    <s v="DSCN1604"/>
    <s v="M4R1015_25"/>
    <n v="25"/>
    <n v="1"/>
    <s v="M4Roadside"/>
    <d v="2018-10-15T00:00:00"/>
    <s v="October"/>
    <x v="1"/>
    <d v="1899-12-30T00:19:00"/>
    <s v="Overcast"/>
    <x v="15"/>
    <s v="Foraging"/>
    <s v="NA"/>
    <n v="1"/>
    <m/>
    <n v="0"/>
    <s v="Animal flesh"/>
    <s v="Animal flesh (Snowshoe hare)"/>
    <s v="Ground"/>
    <s v="NA"/>
    <s v="NA"/>
    <s v="NA"/>
    <s v="NA"/>
    <m/>
    <m/>
    <s v="NA"/>
    <s v="NA"/>
    <m/>
    <m/>
    <m/>
    <m/>
    <n v="0"/>
    <n v="0"/>
    <n v="0"/>
    <n v="0"/>
    <n v="0"/>
    <n v="0"/>
    <n v="0"/>
    <m/>
    <m/>
    <m/>
    <m/>
  </r>
  <r>
    <s v="DSCN1617"/>
    <s v="M4R1015_27"/>
    <n v="27"/>
    <n v="1"/>
    <s v="M4Roadside"/>
    <d v="2018-10-15T00:00:00"/>
    <s v="October"/>
    <x v="1"/>
    <d v="1899-12-30T03:31:00"/>
    <s v="Overcast"/>
    <x v="15"/>
    <s v="Foraging"/>
    <s v="NA"/>
    <n v="1"/>
    <m/>
    <n v="0"/>
    <s v="Animal flesh"/>
    <s v="Animal flesh (Snowshoe hare)"/>
    <s v="Ground"/>
    <s v="NA"/>
    <s v="NA"/>
    <s v="NA"/>
    <s v="NA"/>
    <m/>
    <m/>
    <s v="NA"/>
    <s v="NA"/>
    <m/>
    <m/>
    <m/>
    <m/>
    <n v="0"/>
    <n v="0"/>
    <n v="0"/>
    <n v="0"/>
    <n v="0"/>
    <n v="0"/>
    <n v="0"/>
    <m/>
    <m/>
    <m/>
    <m/>
  </r>
  <r>
    <s v="DSCN1632"/>
    <s v="M4R1015_29"/>
    <n v="29"/>
    <n v="1"/>
    <s v="M4Roadside"/>
    <d v="2018-10-15T00:00:00"/>
    <s v="October"/>
    <x v="1"/>
    <d v="1899-12-30T00:11:00"/>
    <s v="Overcast"/>
    <x v="15"/>
    <s v="Foraging"/>
    <s v="NA"/>
    <n v="1"/>
    <m/>
    <n v="0"/>
    <s v="Animal flesh"/>
    <s v="Animal flesh (Snowshoe hare)"/>
    <s v="Ground"/>
    <s v="NA"/>
    <s v="NA"/>
    <s v="NA"/>
    <s v="NA"/>
    <m/>
    <m/>
    <s v="NA"/>
    <s v="NA"/>
    <m/>
    <m/>
    <m/>
    <m/>
    <n v="0"/>
    <n v="0"/>
    <n v="0"/>
    <n v="0"/>
    <n v="0"/>
    <n v="0"/>
    <n v="0"/>
    <m/>
    <m/>
    <m/>
    <m/>
  </r>
  <r>
    <s v="DSCN1659"/>
    <s v="M4R1015_30"/>
    <n v="30"/>
    <n v="2"/>
    <s v="M4Roadside"/>
    <d v="2018-10-15T00:00:00"/>
    <s v="October"/>
    <x v="1"/>
    <d v="1899-12-30T00:43:00"/>
    <s v="Overcast"/>
    <x v="15"/>
    <s v="Foraging"/>
    <s v="NA"/>
    <n v="1"/>
    <m/>
    <n v="0"/>
    <s v="Animal flesh"/>
    <s v="Animal flesh (Snowshoe hare)"/>
    <s v="Ground"/>
    <s v="NA"/>
    <s v="NA"/>
    <s v="NA"/>
    <s v="NA"/>
    <m/>
    <m/>
    <s v="NA"/>
    <s v="NA"/>
    <m/>
    <m/>
    <m/>
    <m/>
    <n v="0"/>
    <n v="0"/>
    <n v="0"/>
    <n v="0"/>
    <n v="0"/>
    <n v="0"/>
    <n v="0"/>
    <m/>
    <m/>
    <m/>
    <m/>
  </r>
  <r>
    <s v="DSCN1671"/>
    <s v="M4R1015_31"/>
    <n v="31"/>
    <n v="1"/>
    <s v="M4Roadside"/>
    <d v="2018-10-15T00:00:00"/>
    <s v="October"/>
    <x v="1"/>
    <d v="1899-12-30T00:38:00"/>
    <s v="Overcast"/>
    <x v="15"/>
    <s v="Foraging"/>
    <s v="Spruce"/>
    <n v="1"/>
    <m/>
    <n v="1"/>
    <s v="Animal flesh"/>
    <s v="Animal flesh (Snowshoe hare)"/>
    <s v="Ground"/>
    <s v="Exterior spruce foliage"/>
    <s v="Spruce"/>
    <s v="Exterior"/>
    <s v="Foliage"/>
    <m/>
    <m/>
    <n v="20"/>
    <n v="63.721870000000003"/>
    <n v="148.98699999999999"/>
    <m/>
    <m/>
    <m/>
    <n v="0"/>
    <n v="0"/>
    <n v="0"/>
    <n v="0"/>
    <n v="0"/>
    <n v="0"/>
    <n v="0"/>
    <m/>
    <m/>
    <m/>
    <m/>
  </r>
  <r>
    <s v="DSCN1672"/>
    <s v="M4R1015_32"/>
    <n v="32"/>
    <n v="1"/>
    <s v="M4Roadside"/>
    <d v="2018-10-15T00:00:00"/>
    <s v="October"/>
    <x v="1"/>
    <d v="1899-12-30T00:25:00"/>
    <s v="Overcast"/>
    <x v="15"/>
    <s v="Foraging"/>
    <s v="NA"/>
    <n v="1"/>
    <m/>
    <n v="0"/>
    <s v="Animal flesh"/>
    <s v="Animal flesh (Snowshoe hare)"/>
    <s v="Ground"/>
    <s v="NA"/>
    <s v="NA"/>
    <s v="NA"/>
    <s v="NA"/>
    <m/>
    <m/>
    <s v="NA"/>
    <s v="NA"/>
    <m/>
    <m/>
    <m/>
    <m/>
    <n v="0"/>
    <n v="0"/>
    <n v="0"/>
    <n v="0"/>
    <n v="0"/>
    <n v="0"/>
    <n v="0"/>
    <m/>
    <m/>
    <m/>
    <m/>
  </r>
  <r>
    <s v="DSCN1673"/>
    <s v="M4R1015_33"/>
    <n v="33"/>
    <n v="1"/>
    <s v="M4Roadside"/>
    <d v="2018-10-15T00:00:00"/>
    <s v="October"/>
    <x v="1"/>
    <d v="1899-12-30T00:23:00"/>
    <s v="Overcast"/>
    <x v="15"/>
    <s v="Caching"/>
    <s v="Spruce"/>
    <n v="0"/>
    <m/>
    <n v="1"/>
    <s v="Animal flesh"/>
    <s v="Animal flesh (Snowshoe hare)"/>
    <s v="Ground"/>
    <s v="Interior bare spruce branch under bark"/>
    <s v="Spruce"/>
    <s v="Interior"/>
    <s v="Under bark"/>
    <m/>
    <m/>
    <n v="28"/>
    <n v="63.721710000000002"/>
    <n v="148.98701"/>
    <m/>
    <m/>
    <m/>
    <n v="0"/>
    <n v="0"/>
    <n v="0"/>
    <n v="0"/>
    <n v="0"/>
    <n v="0"/>
    <n v="0"/>
    <m/>
    <m/>
    <m/>
    <m/>
  </r>
  <r>
    <s v="DSCN1674"/>
    <s v="M4R1015_34"/>
    <n v="34"/>
    <n v="1"/>
    <s v="M4Roadside"/>
    <d v="2018-10-15T00:00:00"/>
    <s v="October"/>
    <x v="1"/>
    <d v="1899-12-30T00:58:00"/>
    <s v="Overcast"/>
    <x v="15"/>
    <s v="Foraging"/>
    <s v="NA"/>
    <n v="1"/>
    <m/>
    <n v="0"/>
    <s v="Animal flesh"/>
    <s v="Animal flesh (Snowshoe hare)"/>
    <s v="Ground"/>
    <s v="NA"/>
    <s v="NA"/>
    <s v="NA"/>
    <s v="NA"/>
    <m/>
    <m/>
    <s v="NA"/>
    <s v="NA"/>
    <m/>
    <m/>
    <m/>
    <m/>
    <n v="0"/>
    <n v="0"/>
    <n v="0"/>
    <n v="0"/>
    <n v="0"/>
    <n v="0"/>
    <n v="0"/>
    <m/>
    <m/>
    <m/>
    <m/>
  </r>
  <r>
    <s v="DSCN1676"/>
    <s v="M4R1015_35"/>
    <n v="35"/>
    <n v="1"/>
    <s v="M4Roadside"/>
    <d v="2018-10-15T00:00:00"/>
    <s v="October"/>
    <x v="1"/>
    <d v="1899-12-30T01:28:00"/>
    <s v="Overcast"/>
    <x v="15"/>
    <s v="Foraging"/>
    <s v="NA"/>
    <n v="1"/>
    <m/>
    <n v="0"/>
    <s v="Animal flesh"/>
    <s v="Animal flesh (Snowshoe hare)"/>
    <s v="Ground"/>
    <s v="NA"/>
    <s v="NA"/>
    <s v="NA"/>
    <s v="NA"/>
    <m/>
    <m/>
    <s v="NA"/>
    <s v="NA"/>
    <m/>
    <m/>
    <m/>
    <m/>
    <n v="0"/>
    <n v="0"/>
    <n v="0"/>
    <n v="0"/>
    <n v="0"/>
    <n v="0"/>
    <n v="0"/>
    <m/>
    <m/>
    <m/>
    <m/>
  </r>
  <r>
    <s v="DSCN1677"/>
    <s v="M4R1015_36"/>
    <n v="36"/>
    <n v="1"/>
    <s v="M4Roadside"/>
    <d v="2018-10-15T00:00:00"/>
    <s v="October"/>
    <x v="1"/>
    <d v="1899-12-30T00:22:00"/>
    <s v="Overcast"/>
    <x v="15"/>
    <s v="Caching"/>
    <s v="Spruce"/>
    <n v="0"/>
    <m/>
    <n v="1"/>
    <s v="Animal flesh"/>
    <s v="Animal flesh (Snowshoe hare)"/>
    <s v="Ground"/>
    <s v="Interior bare spruce branch under bark"/>
    <s v="Spruce"/>
    <s v="Interior"/>
    <s v="Under bark"/>
    <m/>
    <m/>
    <n v="6"/>
    <n v="63.72184"/>
    <n v="148.9074"/>
    <m/>
    <m/>
    <m/>
    <n v="0"/>
    <n v="0"/>
    <n v="0"/>
    <n v="0"/>
    <n v="0"/>
    <n v="0"/>
    <n v="0"/>
    <m/>
    <s v="Same as CT1 for this day. Followed bird from hare to tree.  Observation os cache wasn't caught on video and was obstructed from view due to delay in catching up with the bird.  B&amp;Ut given the behavior and location upon our arrival, we felt confident marking the tree. "/>
    <m/>
    <m/>
  </r>
  <r>
    <s v="DSCN1684"/>
    <s v="M4R1015_37"/>
    <n v="37"/>
    <n v="1"/>
    <s v="M4Roadside"/>
    <d v="2018-10-15T00:00:00"/>
    <s v="October"/>
    <x v="1"/>
    <d v="1899-12-30T00:16:00"/>
    <s v="Overcast"/>
    <x v="15"/>
    <s v="Foraging"/>
    <s v="NA"/>
    <n v="1"/>
    <m/>
    <n v="0"/>
    <s v="Animal flesh"/>
    <s v="Animal flesh (Snowshoe hare)"/>
    <s v="Ground"/>
    <s v="NA"/>
    <s v="NA"/>
    <s v="NA"/>
    <s v="NA"/>
    <m/>
    <m/>
    <s v="NA"/>
    <s v="NA"/>
    <m/>
    <m/>
    <m/>
    <m/>
    <n v="0"/>
    <n v="0"/>
    <n v="0"/>
    <n v="0"/>
    <n v="0"/>
    <n v="0"/>
    <n v="0"/>
    <m/>
    <m/>
    <m/>
    <m/>
  </r>
  <r>
    <s v="DSCN1685"/>
    <s v="M4R1015_38"/>
    <n v="38"/>
    <n v="1"/>
    <s v="M4Roadside"/>
    <d v="2018-10-15T00:00:00"/>
    <s v="October"/>
    <x v="1"/>
    <d v="1899-12-30T01:47:00"/>
    <s v="Overcast"/>
    <x v="15"/>
    <s v="Foraging"/>
    <s v="NA"/>
    <n v="1"/>
    <m/>
    <n v="0"/>
    <s v="Animal flesh"/>
    <s v="Animal flesh (Snowshoe hare)"/>
    <s v="Ground"/>
    <s v="NA"/>
    <s v="NA"/>
    <s v="NA"/>
    <s v="NA"/>
    <m/>
    <m/>
    <s v="NA"/>
    <s v="NA"/>
    <m/>
    <m/>
    <m/>
    <m/>
    <n v="0"/>
    <n v="0"/>
    <n v="0"/>
    <n v="0"/>
    <n v="0"/>
    <n v="0"/>
    <n v="0"/>
    <m/>
    <m/>
    <m/>
    <m/>
  </r>
  <r>
    <s v="DSCN1687"/>
    <s v="M4R1015_39"/>
    <n v="39"/>
    <n v="1"/>
    <s v="M4Roadside"/>
    <d v="2018-10-15T00:00:00"/>
    <s v="October"/>
    <x v="1"/>
    <d v="1899-12-30T00:20:00"/>
    <s v="Overcast"/>
    <x v="15"/>
    <s v="Foraging"/>
    <s v="NA"/>
    <n v="1"/>
    <m/>
    <n v="0"/>
    <s v="Animal flesh"/>
    <s v="Animal flesh (Snowshoe hare)"/>
    <s v="Ground"/>
    <s v="NA"/>
    <s v="NA"/>
    <s v="NA"/>
    <s v="NA"/>
    <m/>
    <m/>
    <s v="NA"/>
    <s v="NA"/>
    <m/>
    <m/>
    <m/>
    <m/>
    <n v="0"/>
    <n v="0"/>
    <n v="0"/>
    <n v="0"/>
    <n v="0"/>
    <n v="0"/>
    <n v="0"/>
    <m/>
    <m/>
    <m/>
    <m/>
  </r>
  <r>
    <s v="DSCN1688"/>
    <s v="M4R1015_40"/>
    <n v="40"/>
    <n v="1"/>
    <s v="M4Roadside"/>
    <d v="2018-10-15T00:00:00"/>
    <s v="October"/>
    <x v="1"/>
    <d v="1899-12-30T04:00:00"/>
    <s v="Overcast"/>
    <x v="15"/>
    <s v="Foraging"/>
    <s v="NA"/>
    <n v="1"/>
    <m/>
    <n v="0"/>
    <s v="Animal flesh"/>
    <s v="Animal flesh (Snowshoe hare)"/>
    <s v="Ground"/>
    <s v="NA"/>
    <s v="NA"/>
    <s v="NA"/>
    <s v="NA"/>
    <m/>
    <m/>
    <s v="NA"/>
    <s v="NA"/>
    <m/>
    <m/>
    <m/>
    <m/>
    <n v="0"/>
    <n v="0"/>
    <n v="0"/>
    <n v="0"/>
    <n v="0"/>
    <n v="0"/>
    <n v="0"/>
    <m/>
    <m/>
    <m/>
    <m/>
  </r>
  <r>
    <s v="DSCN1692"/>
    <s v="M4R1015_42"/>
    <n v="42"/>
    <n v="1"/>
    <s v="M4Roadside"/>
    <d v="2018-10-15T00:00:00"/>
    <s v="October"/>
    <x v="1"/>
    <d v="1899-12-30T00:46:00"/>
    <s v="Overcast"/>
    <x v="15"/>
    <s v="Foraging"/>
    <s v="NA"/>
    <n v="1"/>
    <m/>
    <n v="0"/>
    <s v="Animal flesh"/>
    <s v="Animal flesh (Snowshoe hare)"/>
    <s v="Ground"/>
    <s v="NA"/>
    <s v="NA"/>
    <s v="NA"/>
    <s v="NA"/>
    <m/>
    <m/>
    <s v="NA"/>
    <s v="NA"/>
    <m/>
    <m/>
    <m/>
    <m/>
    <n v="0"/>
    <n v="0"/>
    <n v="0"/>
    <n v="0"/>
    <n v="0"/>
    <n v="0"/>
    <n v="0"/>
    <m/>
    <m/>
    <m/>
    <m/>
  </r>
  <r>
    <s v="DSCN1693"/>
    <s v="M4R1015_43"/>
    <n v="43"/>
    <n v="1"/>
    <s v="M4Roadside"/>
    <d v="2018-10-15T00:00:00"/>
    <s v="October"/>
    <x v="1"/>
    <d v="1899-12-30T00:36:00"/>
    <s v="Overcast"/>
    <x v="15"/>
    <s v="Caching"/>
    <s v="Spruce"/>
    <n v="0"/>
    <m/>
    <n v="1"/>
    <s v="Animal flesh"/>
    <s v="Animal flesh (Snowshoe hare)"/>
    <s v="Ground"/>
    <s v="Interior spruce foliage "/>
    <s v="Spruce"/>
    <s v="Interior"/>
    <s v="Foliage"/>
    <m/>
    <m/>
    <n v="46"/>
    <n v="63.721530000000001"/>
    <n v="148.98785000000001"/>
    <m/>
    <m/>
    <m/>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695"/>
    <s v="M4R1015_44"/>
    <n v="44"/>
    <n v="1"/>
    <s v="M4Roadside"/>
    <d v="2018-10-15T00:00:00"/>
    <s v="October"/>
    <x v="1"/>
    <d v="1899-12-30T00:23:00"/>
    <s v="Overcast"/>
    <x v="15"/>
    <s v="Foraging"/>
    <s v="NA"/>
    <n v="1"/>
    <m/>
    <n v="0"/>
    <s v="Animal flesh"/>
    <s v="Animal flesh (Snowshoe hare)"/>
    <s v="Ground"/>
    <s v="NA"/>
    <s v="NA"/>
    <s v="NA"/>
    <s v="NA"/>
    <m/>
    <m/>
    <s v="NA"/>
    <s v="NA"/>
    <m/>
    <m/>
    <m/>
    <m/>
    <n v="0"/>
    <n v="0"/>
    <n v="0"/>
    <n v="0"/>
    <n v="0"/>
    <n v="0"/>
    <n v="0"/>
    <m/>
    <m/>
    <m/>
    <m/>
  </r>
  <r>
    <s v="DSCN1696"/>
    <s v="M4R1015_45"/>
    <n v="45"/>
    <n v="1"/>
    <s v="M4Roadside"/>
    <d v="2018-10-15T00:00:00"/>
    <s v="October"/>
    <x v="1"/>
    <d v="1899-12-30T00:10:00"/>
    <s v="Overcast"/>
    <x v="15"/>
    <s v="Caching"/>
    <s v="Spruce"/>
    <n v="0"/>
    <m/>
    <n v="1"/>
    <s v="Animal flesh"/>
    <s v="Animal flesh (Snowshoe hare)"/>
    <s v="Ground"/>
    <s v="Exterior spruce branch under bark/witch hair"/>
    <s v="Spruce"/>
    <s v="Exterior"/>
    <s v="Under bark and witch hair "/>
    <m/>
    <m/>
    <n v="10"/>
    <n v="63.721919999999997"/>
    <n v="148.98746"/>
    <m/>
    <m/>
    <m/>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698"/>
    <s v="M4R1015_46"/>
    <n v="46"/>
    <n v="1"/>
    <s v="M4Roadside"/>
    <d v="2018-10-15T00:00:00"/>
    <s v="October"/>
    <x v="1"/>
    <d v="1899-12-30T04:44:00"/>
    <s v="Overcast"/>
    <x v="15"/>
    <s v="Foraging/caching"/>
    <s v="Spruce"/>
    <n v="2"/>
    <m/>
    <n v="1"/>
    <s v="Animal flesh"/>
    <s v="Animal flesh (Snowshoe hare)"/>
    <s v="Ground"/>
    <s v="Interior bare branch wedged in spruce bark"/>
    <s v="Spruce"/>
    <s v="Interior"/>
    <s v="Under bark"/>
    <m/>
    <m/>
    <n v="4"/>
    <n v="63.721969999999999"/>
    <n v="148.98725999999999"/>
    <m/>
    <m/>
    <m/>
    <n v="0"/>
    <n v="0"/>
    <n v="0"/>
    <n v="0"/>
    <n v="0"/>
    <n v="0"/>
    <n v="0"/>
    <m/>
    <s v="Confirmed cache, could see in tree. "/>
    <m/>
    <m/>
  </r>
  <r>
    <s v="DSCN1701"/>
    <s v="M4R1015_47"/>
    <n v="47"/>
    <n v="1"/>
    <s v="M4Roadside"/>
    <d v="2018-10-15T00:00:00"/>
    <s v="October"/>
    <x v="1"/>
    <d v="1899-12-30T02:26:00"/>
    <s v="Overcast"/>
    <x v="15"/>
    <s v="Foraging"/>
    <s v="NA"/>
    <n v="1"/>
    <m/>
    <n v="0"/>
    <s v="Animal flesh"/>
    <s v="Animal flesh (Snowshoe hare)"/>
    <s v="Ground"/>
    <s v="NA"/>
    <s v="NA"/>
    <s v="NA"/>
    <s v="NA"/>
    <m/>
    <m/>
    <s v="NA"/>
    <s v="NA"/>
    <m/>
    <m/>
    <m/>
    <m/>
    <n v="0"/>
    <n v="0"/>
    <n v="0"/>
    <n v="0"/>
    <n v="0"/>
    <n v="0"/>
    <n v="0"/>
    <m/>
    <m/>
    <m/>
    <m/>
  </r>
  <r>
    <s v="DSCN1703"/>
    <s v="M4R1015_48"/>
    <n v="48"/>
    <n v="1"/>
    <s v="M4Roadside"/>
    <d v="2018-10-15T00:00:00"/>
    <s v="October"/>
    <x v="1"/>
    <d v="1899-12-30T00:55:00"/>
    <s v="Overcast"/>
    <x v="15"/>
    <s v="Foraging"/>
    <s v="NA"/>
    <n v="1"/>
    <m/>
    <n v="0"/>
    <s v="Animal flesh"/>
    <s v="Animal flesh (Snowshoe hare)"/>
    <s v="Ground"/>
    <s v="NA"/>
    <s v="NA"/>
    <s v="NA"/>
    <s v="NA"/>
    <m/>
    <m/>
    <s v="NA"/>
    <s v="NA"/>
    <m/>
    <m/>
    <m/>
    <m/>
    <n v="0"/>
    <n v="0"/>
    <n v="0"/>
    <n v="0"/>
    <n v="0"/>
    <n v="0"/>
    <n v="0"/>
    <m/>
    <m/>
    <m/>
    <m/>
  </r>
  <r>
    <s v="DSCN1721"/>
    <s v="M4R1015_49"/>
    <n v="49"/>
    <n v="1"/>
    <s v="M4Roadside"/>
    <d v="2018-10-15T00:00:00"/>
    <s v="October"/>
    <x v="1"/>
    <d v="1899-12-30T00:17:00"/>
    <s v="Overcast"/>
    <x v="15"/>
    <s v="Foraging"/>
    <s v="NA"/>
    <n v="1"/>
    <m/>
    <n v="0"/>
    <s v="Animal flesh"/>
    <s v="Animal flesh (Snowshoe hare)"/>
    <s v="Ground"/>
    <s v="NA"/>
    <s v="NA"/>
    <s v="NA"/>
    <s v="NA"/>
    <m/>
    <m/>
    <s v="NA"/>
    <s v="NA"/>
    <m/>
    <m/>
    <m/>
    <m/>
    <n v="0"/>
    <n v="0"/>
    <n v="0"/>
    <n v="0"/>
    <n v="0"/>
    <n v="0"/>
    <n v="0"/>
    <m/>
    <m/>
    <m/>
    <m/>
  </r>
  <r>
    <s v="DSCN1722"/>
    <s v="M4R1015_50"/>
    <n v="50"/>
    <n v="1"/>
    <s v="M4Roadside"/>
    <d v="2018-10-15T00:00:00"/>
    <s v="October"/>
    <x v="1"/>
    <d v="1899-12-30T01:25:00"/>
    <s v="Overcast"/>
    <x v="15"/>
    <s v="Foraging"/>
    <s v="NA"/>
    <n v="1"/>
    <m/>
    <n v="0"/>
    <s v="Animal flesh"/>
    <s v="Animal flesh (Snowshoe hare)"/>
    <s v="Ground"/>
    <s v="NA"/>
    <s v="NA"/>
    <s v="NA"/>
    <s v="NA"/>
    <m/>
    <m/>
    <s v="NA"/>
    <s v="NA"/>
    <m/>
    <m/>
    <m/>
    <m/>
    <n v="0"/>
    <n v="0"/>
    <n v="0"/>
    <n v="0"/>
    <n v="0"/>
    <n v="0"/>
    <n v="0"/>
    <m/>
    <m/>
    <m/>
    <m/>
  </r>
  <r>
    <s v="DSCN1723"/>
    <s v="M4R1015_51"/>
    <n v="51"/>
    <n v="1"/>
    <s v="M4Roadside"/>
    <d v="2018-10-15T00:00:00"/>
    <s v="October"/>
    <x v="1"/>
    <d v="1899-12-30T00:29:00"/>
    <s v="Overcast"/>
    <x v="15"/>
    <s v="Caching"/>
    <s v="Spruce"/>
    <n v="0"/>
    <m/>
    <n v="1"/>
    <s v="Animal flesh"/>
    <s v="Animal flesh (Snowshoe hare)"/>
    <s v="Ground"/>
    <s v="Exterior spruce foliage"/>
    <s v="Spruce"/>
    <s v="Exterior"/>
    <s v="Foliage"/>
    <m/>
    <m/>
    <n v="9"/>
    <n v="63.721829999999997"/>
    <n v="148.98733999999999"/>
    <m/>
    <m/>
    <m/>
    <n v="0"/>
    <n v="0"/>
    <n v="0"/>
    <n v="0"/>
    <n v="0"/>
    <n v="0"/>
    <n v="0"/>
    <m/>
    <s v="Caches observed by KS.  Confident. "/>
    <m/>
    <m/>
  </r>
  <r>
    <s v="DSCN1723"/>
    <s v="M4R1015_51"/>
    <n v="51"/>
    <n v="2"/>
    <s v="M4Roadside"/>
    <d v="2018-10-15T00:00:00"/>
    <s v="October"/>
    <x v="1"/>
    <d v="1899-12-30T00:29:00"/>
    <s v="Overcast"/>
    <x v="15"/>
    <s v="Caching"/>
    <s v="Spruce"/>
    <n v="0"/>
    <m/>
    <n v="1"/>
    <s v="Animal flesh"/>
    <s v="Animal flesh (Snowshoe hare)"/>
    <s v="Ground"/>
    <s v="Exterior bare spruce branch under bark"/>
    <s v="Spruce"/>
    <s v="Exterior"/>
    <s v="Under bark"/>
    <m/>
    <m/>
    <n v="4"/>
    <n v="63.72186"/>
    <n v="148.98733999999999"/>
    <m/>
    <m/>
    <m/>
    <n v="0"/>
    <n v="0"/>
    <n v="0"/>
    <n v="0"/>
    <n v="0"/>
    <n v="0"/>
    <n v="0"/>
    <m/>
    <s v="Caches observed by KS.  Confident. "/>
    <m/>
    <m/>
  </r>
  <r>
    <s v="DSCN1735"/>
    <s v="M4R1015_57"/>
    <n v="57"/>
    <n v="1"/>
    <s v="M4Roadside"/>
    <d v="2018-10-15T00:00:00"/>
    <s v="October"/>
    <x v="1"/>
    <d v="1899-12-30T01:21:00"/>
    <s v="Overcast"/>
    <x v="15"/>
    <s v="Foraging"/>
    <s v="NA"/>
    <n v="1"/>
    <m/>
    <n v="0"/>
    <s v="Animal flesh"/>
    <s v="Animal flesh (Snowshoe hare)"/>
    <s v="Ground"/>
    <s v="NA"/>
    <s v="NA"/>
    <s v="NA"/>
    <s v="NA"/>
    <m/>
    <m/>
    <s v="NA"/>
    <s v="NA"/>
    <m/>
    <m/>
    <m/>
    <m/>
    <n v="0"/>
    <n v="0"/>
    <n v="0"/>
    <n v="0"/>
    <n v="0"/>
    <n v="0"/>
    <n v="0"/>
    <m/>
    <m/>
    <m/>
    <m/>
  </r>
  <r>
    <s v="DSCN1738"/>
    <s v="M4R1015_59"/>
    <n v="59"/>
    <n v="1"/>
    <s v="M4Roadside"/>
    <d v="2018-10-15T00:00:00"/>
    <s v="October"/>
    <x v="1"/>
    <d v="1899-12-30T01:39:00"/>
    <s v="Overcast"/>
    <x v="15"/>
    <s v="Foraging"/>
    <s v="NA"/>
    <n v="1"/>
    <m/>
    <n v="0"/>
    <s v="Animal flesh"/>
    <s v="Animal flesh (Snowshoe hare)"/>
    <s v="Ground"/>
    <s v="NA"/>
    <s v="NA"/>
    <s v="NA"/>
    <s v="NA"/>
    <m/>
    <m/>
    <s v="NA"/>
    <s v="NA"/>
    <m/>
    <m/>
    <m/>
    <m/>
    <n v="0"/>
    <n v="0"/>
    <n v="0"/>
    <n v="0"/>
    <n v="0"/>
    <n v="0"/>
    <n v="0"/>
    <m/>
    <m/>
    <m/>
    <m/>
  </r>
  <r>
    <s v="DSCN1740"/>
    <s v="M4R1015_60"/>
    <n v="60"/>
    <n v="1"/>
    <s v="M4Roadside"/>
    <d v="2018-10-15T00:00:00"/>
    <s v="October"/>
    <x v="1"/>
    <d v="1899-12-30T02:00:00"/>
    <s v="Overcast"/>
    <x v="15"/>
    <s v="Foraging"/>
    <s v="NA"/>
    <n v="1"/>
    <m/>
    <n v="0"/>
    <s v="Animal flesh"/>
    <s v="Animal flesh (Snowshoe hare)"/>
    <s v="Ground"/>
    <s v="NA"/>
    <s v="NA"/>
    <s v="NA"/>
    <s v="NA"/>
    <m/>
    <m/>
    <s v="NA"/>
    <s v="NA"/>
    <m/>
    <m/>
    <m/>
    <m/>
    <n v="0"/>
    <n v="0"/>
    <n v="0"/>
    <n v="0"/>
    <n v="0"/>
    <n v="0"/>
    <n v="0"/>
    <m/>
    <m/>
    <m/>
    <m/>
  </r>
  <r>
    <s v="DSCN1760"/>
    <s v="M4R1015_65"/>
    <n v="65"/>
    <n v="1"/>
    <s v="M4Roadside"/>
    <d v="2018-10-15T00:00:00"/>
    <s v="October"/>
    <x v="1"/>
    <d v="1899-12-30T02:29:00"/>
    <s v="Overcast"/>
    <x v="15"/>
    <s v="Foraging/caching"/>
    <s v="Spruce"/>
    <n v="1"/>
    <m/>
    <n v="1"/>
    <s v="Animal flesh"/>
    <s v="Animal flesh (Snowshoe hare)"/>
    <s v="Ground"/>
    <s v="Exterior spruce foliage"/>
    <s v="Spruce"/>
    <s v="Exterior"/>
    <s v="Foliage"/>
    <m/>
    <m/>
    <s v="unknown"/>
    <n v="63.72193"/>
    <n v="148.98715000000001"/>
    <m/>
    <m/>
    <m/>
    <n v="0"/>
    <n v="0"/>
    <n v="0"/>
    <n v="0"/>
    <n v="0"/>
    <n v="0"/>
    <n v="0"/>
    <m/>
    <m/>
    <m/>
    <m/>
  </r>
  <r>
    <s v="DSCN1761"/>
    <s v="M4R1015_66"/>
    <n v="66"/>
    <n v="1"/>
    <s v="M4Roadside"/>
    <d v="2018-10-15T00:00:00"/>
    <s v="October"/>
    <x v="1"/>
    <d v="1899-12-30T00:59:00"/>
    <s v="Overcast"/>
    <x v="15"/>
    <s v="Foraging"/>
    <s v="NA"/>
    <n v="1"/>
    <m/>
    <n v="0"/>
    <s v="Animal flesh"/>
    <s v="Animal flesh (Snowshoe hare)"/>
    <s v="Ground"/>
    <s v="NA"/>
    <s v="NA"/>
    <s v="NA"/>
    <s v="NA"/>
    <m/>
    <m/>
    <s v="NA"/>
    <s v="NA"/>
    <m/>
    <m/>
    <m/>
    <m/>
    <n v="0"/>
    <n v="0"/>
    <n v="0"/>
    <n v="0"/>
    <n v="0"/>
    <n v="0"/>
    <n v="0"/>
    <m/>
    <m/>
    <m/>
    <m/>
  </r>
  <r>
    <s v="DSCN1776"/>
    <s v="M4R1015_67"/>
    <n v="67"/>
    <n v="1"/>
    <s v="M4Roadside"/>
    <d v="2018-10-15T00:00:00"/>
    <s v="October"/>
    <x v="1"/>
    <d v="1899-12-30T00:20:00"/>
    <s v="Overcast"/>
    <x v="15"/>
    <s v="Foraging"/>
    <s v="NA"/>
    <n v="1"/>
    <m/>
    <n v="0"/>
    <s v="Animal flesh"/>
    <s v="Animal flesh (Snowshoe hare)"/>
    <s v="Ground"/>
    <s v="NA"/>
    <s v="NA"/>
    <s v="NA"/>
    <s v="NA"/>
    <m/>
    <m/>
    <s v="NA"/>
    <s v="NA"/>
    <m/>
    <m/>
    <m/>
    <m/>
    <n v="0"/>
    <n v="0"/>
    <n v="0"/>
    <n v="0"/>
    <n v="0"/>
    <n v="0"/>
    <n v="0"/>
    <m/>
    <m/>
    <m/>
    <m/>
  </r>
  <r>
    <s v="DSCN1777"/>
    <s v="M4R1015_68"/>
    <n v="68"/>
    <n v="1"/>
    <s v="M4Roadside"/>
    <d v="2018-10-15T00:00:00"/>
    <s v="October"/>
    <x v="1"/>
    <d v="1899-12-30T01:38:00"/>
    <s v="Overcast"/>
    <x v="15"/>
    <s v="Foraging"/>
    <s v="NA"/>
    <n v="1"/>
    <m/>
    <n v="0"/>
    <s v="Animal flesh"/>
    <s v="Animal flesh (Snowshoe hare)"/>
    <s v="Ground"/>
    <s v="NA"/>
    <s v="NA"/>
    <s v="NA"/>
    <s v="NA"/>
    <m/>
    <m/>
    <s v="NA"/>
    <s v="NA"/>
    <m/>
    <m/>
    <m/>
    <m/>
    <n v="0"/>
    <n v="0"/>
    <n v="0"/>
    <n v="0"/>
    <n v="0"/>
    <n v="0"/>
    <n v="0"/>
    <m/>
    <s v="Really nice foraging video! "/>
    <m/>
    <m/>
  </r>
  <r>
    <s v="DSCN1257"/>
    <s v="M2371004_1"/>
    <n v="1"/>
    <n v="1"/>
    <s v="Mile 237"/>
    <d v="2018-10-04T00:00:00"/>
    <s v="October"/>
    <x v="1"/>
    <d v="1899-12-30T00:09:00"/>
    <s v="Partly Sunny"/>
    <x v="16"/>
    <s v="Foraging"/>
    <s v="NA"/>
    <n v="1"/>
    <m/>
    <n v="0"/>
    <s v="Unknown"/>
    <s v="Unknown"/>
    <s v="Ground"/>
    <s v="NA"/>
    <s v="NA"/>
    <s v="NA"/>
    <s v="NA"/>
    <m/>
    <m/>
    <s v="NA"/>
    <s v="NA"/>
    <m/>
    <m/>
    <m/>
    <m/>
    <n v="0"/>
    <n v="0"/>
    <n v="0"/>
    <n v="0"/>
    <n v="0"/>
    <n v="0"/>
    <n v="0"/>
    <m/>
    <s v="Video start after bird finished foraging. "/>
    <m/>
    <m/>
  </r>
  <r>
    <s v="DSCN1394"/>
    <s v="M2371007_1"/>
    <n v="1"/>
    <n v="1"/>
    <s v="Mile 237"/>
    <d v="2018-10-07T00:00:00"/>
    <s v="October"/>
    <x v="1"/>
    <d v="1899-12-30T00:09:00"/>
    <s v="Overcast"/>
    <x v="16"/>
    <s v="Caching"/>
    <s v="Aspen"/>
    <n v="0"/>
    <m/>
    <n v="1"/>
    <s v="Unknown"/>
    <s v="Unknown"/>
    <s v="unknown"/>
    <s v="Exterior aspen branch under bark"/>
    <s v="Aspen"/>
    <s v="Exterior"/>
    <s v="Under bark"/>
    <m/>
    <m/>
    <s v="unknown"/>
    <n v="63.72533"/>
    <n v="148.88963000000001"/>
    <m/>
    <m/>
    <m/>
    <n v="0"/>
    <n v="0"/>
    <n v="0"/>
    <n v="0"/>
    <n v="0"/>
    <n v="0"/>
    <n v="0"/>
    <m/>
    <s v="Seen by DL. Not captured on video. "/>
    <m/>
    <m/>
  </r>
  <r>
    <s v="DSCN1781"/>
    <s v="M2371016_3"/>
    <n v="3"/>
    <n v="1"/>
    <s v="Mile 237"/>
    <d v="2018-10-16T00:00:00"/>
    <s v="October"/>
    <x v="1"/>
    <d v="1899-12-30T00:34:00"/>
    <s v="Overcast"/>
    <x v="16"/>
    <s v="Foraging"/>
    <s v="NA"/>
    <n v="2"/>
    <m/>
    <n v="0"/>
    <s v="Unknown"/>
    <s v="Unknown"/>
    <s v="Ground"/>
    <s v="NA"/>
    <s v="NA"/>
    <s v="NA"/>
    <s v="NA"/>
    <m/>
    <m/>
    <s v="NA"/>
    <s v="NA"/>
    <m/>
    <m/>
    <m/>
    <m/>
    <n v="0"/>
    <n v="0"/>
    <n v="0"/>
    <n v="0"/>
    <n v="26"/>
    <n v="0"/>
    <n v="26"/>
    <m/>
    <s v="Foraging on trail.  Picking things out of gravel. "/>
    <m/>
    <m/>
  </r>
  <r>
    <s v="DSCN1783"/>
    <s v="M2371016_4"/>
    <n v="4"/>
    <n v="1"/>
    <s v="Mile 237"/>
    <d v="2018-10-16T00:00:00"/>
    <s v="October"/>
    <x v="1"/>
    <d v="1899-12-30T00:32:00"/>
    <s v="Overcast"/>
    <x v="16"/>
    <s v="Foraging"/>
    <s v="NA"/>
    <n v="1"/>
    <m/>
    <n v="0"/>
    <s v="Unknown"/>
    <s v="Unknown"/>
    <s v="Ground"/>
    <s v="NA"/>
    <s v="NA"/>
    <s v="NA"/>
    <s v="NA"/>
    <m/>
    <m/>
    <s v="NA"/>
    <s v="NA"/>
    <m/>
    <m/>
    <m/>
    <m/>
    <n v="0"/>
    <n v="0"/>
    <n v="0"/>
    <n v="0"/>
    <n v="32"/>
    <n v="0"/>
    <n v="32"/>
    <m/>
    <s v="Foraging on trail.  Picking things out of gravel. "/>
    <m/>
    <m/>
  </r>
  <r>
    <s v="DSCN1785"/>
    <s v="M2371016_5"/>
    <n v="5"/>
    <n v="1"/>
    <s v="Mile 237"/>
    <d v="2018-10-16T00:00:00"/>
    <s v="October"/>
    <x v="1"/>
    <d v="1899-12-30T01:46:00"/>
    <s v="Overcast"/>
    <x v="16"/>
    <s v="Foraging"/>
    <s v="NA"/>
    <n v="2"/>
    <m/>
    <n v="0"/>
    <s v="Unknown"/>
    <s v="Unknown"/>
    <s v="Ground"/>
    <s v="NA"/>
    <s v="NA"/>
    <s v="NA"/>
    <s v="NA"/>
    <m/>
    <m/>
    <s v="NA"/>
    <s v="NA"/>
    <m/>
    <m/>
    <m/>
    <m/>
    <n v="0"/>
    <n v="0"/>
    <n v="0"/>
    <n v="0"/>
    <n v="106"/>
    <n v="0"/>
    <n v="106"/>
    <m/>
    <s v="Foraging on trail.  Picking things out of gravel. "/>
    <m/>
    <m/>
  </r>
  <r>
    <s v="DSCN1786"/>
    <s v="M2371016_6"/>
    <n v="6"/>
    <n v="1"/>
    <s v="Mile 237"/>
    <d v="2018-10-16T00:00:00"/>
    <s v="October"/>
    <x v="1"/>
    <d v="1899-12-30T00:20:00"/>
    <s v="Overcast"/>
    <x v="16"/>
    <s v="Foraging"/>
    <s v="NA"/>
    <n v="1"/>
    <m/>
    <n v="0"/>
    <s v="Unknown"/>
    <s v="Unknown"/>
    <s v="Ground"/>
    <s v="NA"/>
    <s v="NA"/>
    <s v="NA"/>
    <s v="NA"/>
    <m/>
    <m/>
    <s v="NA"/>
    <s v="NA"/>
    <m/>
    <m/>
    <m/>
    <m/>
    <n v="0"/>
    <n v="0"/>
    <n v="0"/>
    <n v="0"/>
    <n v="15"/>
    <n v="0"/>
    <n v="15"/>
    <m/>
    <s v="Foraging on trail.  Picking things out of gravel. "/>
    <m/>
    <m/>
  </r>
  <r>
    <s v="DSCN1790"/>
    <s v="M2371016_8"/>
    <n v="8"/>
    <n v="1"/>
    <s v="Mile 237"/>
    <d v="2018-10-16T00:00:00"/>
    <s v="October"/>
    <x v="1"/>
    <d v="1899-12-30T00:39:00"/>
    <s v="Overcast"/>
    <x v="16"/>
    <s v="Foraging"/>
    <s v="NA"/>
    <n v="1"/>
    <m/>
    <n v="0"/>
    <s v="Unknown"/>
    <s v="Unknown"/>
    <s v="Ground"/>
    <s v="NA"/>
    <s v="NA"/>
    <s v="NA"/>
    <s v="NA"/>
    <m/>
    <m/>
    <s v="NA"/>
    <s v="NA"/>
    <m/>
    <m/>
    <m/>
    <m/>
    <n v="0"/>
    <n v="0"/>
    <n v="0"/>
    <n v="0"/>
    <n v="39"/>
    <n v="0"/>
    <n v="39"/>
    <m/>
    <s v="Foraging on trail.  Picking things out of gravel. "/>
    <m/>
    <m/>
  </r>
  <r>
    <s v="DSCN1958"/>
    <s v="M2371022_1"/>
    <n v="1"/>
    <n v="1"/>
    <s v="Mile 237"/>
    <d v="2018-10-22T00:00:00"/>
    <s v="October"/>
    <x v="1"/>
    <d v="1899-12-30T00:31:00"/>
    <m/>
    <x v="16"/>
    <s v="Foraging"/>
    <s v="NA"/>
    <n v="1"/>
    <m/>
    <n v="0"/>
    <s v="Unknown"/>
    <s v="Unknown"/>
    <s v="Ground (parking lot)"/>
    <s v="NA"/>
    <s v="NA"/>
    <s v="NA"/>
    <s v="NA"/>
    <m/>
    <m/>
    <s v="NA"/>
    <s v="NA"/>
    <m/>
    <m/>
    <m/>
    <m/>
    <n v="0"/>
    <n v="0"/>
    <n v="0"/>
    <n v="0"/>
    <n v="31"/>
    <n v="0"/>
    <n v="31"/>
    <s v="Picking"/>
    <m/>
    <m/>
    <m/>
  </r>
  <r>
    <s v="DSCN1959"/>
    <s v="M2371022_2"/>
    <n v="2"/>
    <n v="1"/>
    <s v="Mile 237"/>
    <d v="2018-10-22T00:00:00"/>
    <s v="October"/>
    <x v="1"/>
    <d v="1899-12-30T00:24:00"/>
    <m/>
    <x v="16"/>
    <s v="Foraging"/>
    <s v="NA"/>
    <n v="1"/>
    <m/>
    <n v="0"/>
    <s v="Unknown"/>
    <s v="Unknown"/>
    <s v="Ground (parking lot)"/>
    <s v="NA"/>
    <s v="NA"/>
    <s v="NA"/>
    <s v="NA"/>
    <m/>
    <m/>
    <s v="NA"/>
    <s v="NA"/>
    <m/>
    <m/>
    <m/>
    <m/>
    <n v="0"/>
    <n v="0"/>
    <n v="0"/>
    <n v="0"/>
    <n v="23"/>
    <n v="0"/>
    <n v="23"/>
    <s v="Picking"/>
    <m/>
    <m/>
    <m/>
  </r>
  <r>
    <s v="DSCN1960"/>
    <s v="M2371022_3"/>
    <n v="3"/>
    <n v="1"/>
    <s v="Mile 237"/>
    <d v="2018-10-22T00:00:00"/>
    <s v="October"/>
    <x v="1"/>
    <d v="1899-12-30T00:44:00"/>
    <m/>
    <x v="16"/>
    <s v="Foraging"/>
    <s v="NA"/>
    <n v="1"/>
    <m/>
    <n v="0"/>
    <s v="Unknown"/>
    <s v="Unknown"/>
    <s v="Ground (parking lot)"/>
    <s v="NA"/>
    <s v="NA"/>
    <s v="NA"/>
    <s v="NA"/>
    <m/>
    <m/>
    <s v="NA"/>
    <s v="NA"/>
    <m/>
    <m/>
    <m/>
    <m/>
    <n v="0"/>
    <n v="0"/>
    <n v="0"/>
    <n v="0"/>
    <n v="42"/>
    <n v="0"/>
    <n v="42"/>
    <s v="Picking"/>
    <m/>
    <m/>
    <m/>
  </r>
  <r>
    <s v="DSCN1963"/>
    <s v="M2371022_4"/>
    <n v="4"/>
    <n v="1"/>
    <s v="Mile 237"/>
    <d v="2018-10-22T00:00:00"/>
    <s v="October"/>
    <x v="1"/>
    <d v="1899-12-30T00:08:00"/>
    <m/>
    <x v="16"/>
    <s v="Foraging"/>
    <s v="Spruce"/>
    <n v="1"/>
    <m/>
    <n v="0"/>
    <s v="Unknown"/>
    <s v="Unknown"/>
    <s v="Exterior dense foliage of spruce"/>
    <s v="NA"/>
    <s v="NA"/>
    <s v="NA"/>
    <s v="NA"/>
    <m/>
    <m/>
    <s v="NA"/>
    <s v="NA"/>
    <m/>
    <m/>
    <m/>
    <m/>
    <n v="0"/>
    <n v="0"/>
    <n v="0"/>
    <n v="0"/>
    <n v="0"/>
    <n v="0"/>
    <n v="0"/>
    <m/>
    <s v="Just immediately fishes it out. "/>
    <m/>
    <m/>
  </r>
  <r>
    <s v="DSCN1964"/>
    <s v="M2371022_5"/>
    <n v="5"/>
    <n v="1"/>
    <s v="Mile 237"/>
    <d v="2018-10-22T00:00:00"/>
    <s v="October"/>
    <x v="1"/>
    <d v="1899-12-30T00:20:00"/>
    <m/>
    <x v="16"/>
    <s v="Caching"/>
    <s v="Spruce"/>
    <n v="0"/>
    <m/>
    <n v="1"/>
    <s v="Unknown"/>
    <s v="Unknown"/>
    <s v="unknown"/>
    <s v="Exterior spruce foliage"/>
    <s v="Spruce"/>
    <s v="Exterior"/>
    <s v="Foliage"/>
    <m/>
    <m/>
    <s v="unknown"/>
    <n v="63.72383"/>
    <n v="148.88605999999999"/>
    <m/>
    <m/>
    <m/>
    <n v="0"/>
    <n v="0"/>
    <n v="0"/>
    <n v="0"/>
    <n v="0"/>
    <n v="0"/>
    <n v="0"/>
    <m/>
    <m/>
    <m/>
    <m/>
  </r>
  <r>
    <s v="DSCN1966"/>
    <s v="M2371022_6"/>
    <n v="6"/>
    <n v="1"/>
    <s v="Mile 237"/>
    <d v="2018-10-22T00:00:00"/>
    <s v="October"/>
    <x v="1"/>
    <d v="1899-12-30T00:34:00"/>
    <m/>
    <x v="16"/>
    <s v="Foraging"/>
    <s v="Spruce, Aspen"/>
    <n v="1"/>
    <m/>
    <n v="0"/>
    <s v="Unknown"/>
    <s v="Unknown"/>
    <s v="Exterior dense foliage of spruce"/>
    <s v="NA"/>
    <s v="NA"/>
    <s v="NA"/>
    <s v="NA"/>
    <m/>
    <m/>
    <s v="NA"/>
    <s v="NA"/>
    <m/>
    <m/>
    <m/>
    <m/>
    <n v="4"/>
    <n v="0"/>
    <n v="0"/>
    <n v="4"/>
    <n v="0"/>
    <n v="0"/>
    <n v="4"/>
    <m/>
    <s v="Got food from spruce then disapeared then foraged in aspen tree. "/>
    <m/>
    <m/>
  </r>
  <r>
    <s v="DSCN1971"/>
    <s v="M2371022_7"/>
    <n v="7"/>
    <n v="1"/>
    <s v="Mile 237"/>
    <d v="2018-10-22T00:00:00"/>
    <s v="October"/>
    <x v="1"/>
    <d v="1899-12-30T00:16:00"/>
    <m/>
    <x v="16"/>
    <s v="Caching"/>
    <s v="Spruce"/>
    <n v="0"/>
    <m/>
    <n v="1"/>
    <s v="Unknown"/>
    <s v="Unknown"/>
    <s v="unknown"/>
    <s v="Spruce trunk behind foliage"/>
    <s v="Spruce"/>
    <s v="Trunk"/>
    <s v="Behind foliage "/>
    <m/>
    <m/>
    <s v="unknown"/>
    <n v="63.723610000000001"/>
    <n v="148.88697999999999"/>
    <m/>
    <m/>
    <m/>
    <n v="0"/>
    <n v="0"/>
    <n v="0"/>
    <n v="0"/>
    <n v="0"/>
    <n v="0"/>
    <n v="0"/>
    <m/>
    <s v="Really blurry. Possible cace B&amp;Ut unconfirmed by video."/>
    <m/>
    <m/>
  </r>
  <r>
    <s v="DSCN1973"/>
    <s v="M2371022_8"/>
    <n v="8"/>
    <n v="1"/>
    <s v="Mile 237"/>
    <d v="2018-10-22T00:00:00"/>
    <s v="October"/>
    <x v="1"/>
    <d v="1899-12-30T00:18:00"/>
    <m/>
    <x v="16"/>
    <s v="Foraging"/>
    <s v="Spruce"/>
    <n v="1"/>
    <m/>
    <n v="0"/>
    <s v="Unknown"/>
    <s v="Unknown"/>
    <s v="Exterior dense foliage of spruce"/>
    <s v="NA"/>
    <s v="NA"/>
    <s v="NA"/>
    <s v="NA"/>
    <m/>
    <m/>
    <s v="NA"/>
    <s v="NA"/>
    <m/>
    <m/>
    <m/>
    <m/>
    <n v="0"/>
    <n v="0"/>
    <n v="0"/>
    <n v="0"/>
    <n v="0"/>
    <n v="0"/>
    <n v="0"/>
    <m/>
    <s v="Immedaitely went to spot and retrieved"/>
    <m/>
    <m/>
  </r>
  <r>
    <s v="DSCN2178"/>
    <s v="M2371025_1"/>
    <n v="1"/>
    <n v="1"/>
    <s v="Mile 237"/>
    <d v="2018-10-25T00:00:00"/>
    <s v="October"/>
    <x v="1"/>
    <d v="1899-12-30T00:59:00"/>
    <m/>
    <x v="16"/>
    <s v="Foraging"/>
    <s v="NA"/>
    <n v="3"/>
    <m/>
    <n v="0"/>
    <s v="Unknown"/>
    <s v="Unknown"/>
    <s v="Ground"/>
    <s v="NA"/>
    <s v="NA"/>
    <s v="NA"/>
    <s v="NA"/>
    <m/>
    <m/>
    <s v="NA"/>
    <s v="NA"/>
    <m/>
    <m/>
    <m/>
    <m/>
    <n v="0"/>
    <n v="0"/>
    <n v="0"/>
    <n v="0"/>
    <n v="59"/>
    <n v="0"/>
    <n v="59"/>
    <m/>
    <s v="Moving low through trees, picking at moss on ground "/>
    <m/>
    <m/>
  </r>
  <r>
    <s v="DSCN2179"/>
    <s v="M2371025_2"/>
    <n v="2"/>
    <n v="1"/>
    <s v="Mile 237"/>
    <d v="2018-10-25T00:00:00"/>
    <s v="October"/>
    <x v="1"/>
    <d v="1899-12-30T00:19:00"/>
    <m/>
    <x v="16"/>
    <s v="Foraging"/>
    <s v="NA"/>
    <s v="unknown"/>
    <m/>
    <n v="0"/>
    <s v="Unknown"/>
    <s v="Unknown"/>
    <s v="NA"/>
    <s v="NA"/>
    <s v="NA"/>
    <s v="NA"/>
    <s v="NA"/>
    <m/>
    <m/>
    <s v="NA"/>
    <s v="NA"/>
    <m/>
    <m/>
    <m/>
    <m/>
    <n v="0"/>
    <n v="0"/>
    <n v="0"/>
    <n v="0"/>
    <n v="19"/>
    <n v="0"/>
    <n v="19"/>
    <m/>
    <s v="Moving low through trees, picking at moss on ground "/>
    <m/>
    <m/>
  </r>
  <r>
    <s v="DSCN2180"/>
    <s v="M2371025_3"/>
    <n v="3"/>
    <n v="1"/>
    <s v="Mile 237"/>
    <d v="2018-10-25T00:00:00"/>
    <s v="October"/>
    <x v="1"/>
    <d v="1899-12-30T03:13:00"/>
    <m/>
    <x v="16"/>
    <s v="Foraging"/>
    <s v="NA"/>
    <n v="7"/>
    <m/>
    <n v="0"/>
    <s v="Unknown"/>
    <s v="Unknown"/>
    <s v="Ground"/>
    <s v="NA"/>
    <s v="NA"/>
    <s v="NA"/>
    <s v="NA"/>
    <m/>
    <m/>
    <s v="NA"/>
    <s v="NA"/>
    <m/>
    <m/>
    <m/>
    <m/>
    <n v="0"/>
    <n v="0"/>
    <n v="0"/>
    <n v="0"/>
    <n v="193"/>
    <n v="0"/>
    <n v="193"/>
    <m/>
    <s v="Moving low through trees, picking at moss on ground "/>
    <m/>
    <m/>
  </r>
  <r>
    <s v="DSCN2182"/>
    <s v="M2371025_4"/>
    <n v="4"/>
    <n v="1"/>
    <s v="Mile 237"/>
    <d v="2018-10-25T00:00:00"/>
    <s v="October"/>
    <x v="1"/>
    <d v="1899-12-30T00:41:00"/>
    <m/>
    <x v="16"/>
    <s v="Foraging"/>
    <s v="NA"/>
    <n v="1"/>
    <m/>
    <n v="0"/>
    <s v="Unknown"/>
    <s v="Unknown"/>
    <s v="Ground"/>
    <s v="NA"/>
    <s v="NA"/>
    <s v="NA"/>
    <s v="NA"/>
    <m/>
    <m/>
    <s v="NA"/>
    <s v="NA"/>
    <m/>
    <m/>
    <m/>
    <m/>
    <n v="0"/>
    <n v="0"/>
    <n v="0"/>
    <n v="0"/>
    <n v="41"/>
    <n v="0"/>
    <n v="41"/>
    <m/>
    <s v="Moving low through trees, picking at moss on ground "/>
    <m/>
    <m/>
  </r>
  <r>
    <s v="DSCN2183"/>
    <s v="M2371025_5"/>
    <n v="5"/>
    <n v="1"/>
    <s v="Mile 237"/>
    <d v="2018-10-25T00:00:00"/>
    <s v="October"/>
    <x v="1"/>
    <d v="1899-12-30T00:13:00"/>
    <m/>
    <x v="16"/>
    <s v="Foraging"/>
    <s v="NA"/>
    <n v="0"/>
    <m/>
    <n v="1"/>
    <s v="Unknown"/>
    <s v="Unknown"/>
    <s v="Ground"/>
    <s v="Exterior spruce branch under bark/witch hair"/>
    <s v="Spruce"/>
    <s v="Exterior"/>
    <s v="Under bark and witch hair "/>
    <m/>
    <m/>
    <n v="5"/>
    <n v="63.723309999999998"/>
    <n v="148.88614000000001"/>
    <m/>
    <m/>
    <m/>
    <n v="0"/>
    <n v="0"/>
    <n v="0"/>
    <n v="0"/>
    <n v="0"/>
    <n v="0"/>
    <n v="0"/>
    <m/>
    <s v="Suspected B&amp;Ut unconfirmed cache"/>
    <m/>
    <m/>
  </r>
  <r>
    <s v="DSCN2184"/>
    <s v="M2371025_6"/>
    <n v="6"/>
    <n v="1"/>
    <s v="Mile 237"/>
    <d v="2018-10-25T00:00:00"/>
    <s v="October"/>
    <x v="1"/>
    <d v="1899-12-30T00:36:00"/>
    <m/>
    <x v="16"/>
    <s v="Caching"/>
    <s v="Spruce"/>
    <n v="0"/>
    <m/>
    <n v="1"/>
    <s v="Berry"/>
    <s v="Berry (red)"/>
    <s v="unknown"/>
    <s v="Exterior spruce branch under bark/witch hair"/>
    <s v="Spruce"/>
    <s v="Exterior"/>
    <s v="Under bark and witch hair "/>
    <m/>
    <m/>
    <s v="unknown"/>
    <n v="63.723309999999998"/>
    <n v="148.88614000000001"/>
    <m/>
    <m/>
    <m/>
    <n v="0"/>
    <n v="0"/>
    <n v="0"/>
    <n v="0"/>
    <n v="0"/>
    <n v="0"/>
    <n v="0"/>
    <m/>
    <s v="INCIDENTAL FIND. SAME CACHE TREE AS PREVIOUS."/>
    <m/>
    <m/>
  </r>
  <r>
    <s v="DSCN0882"/>
    <s v="CC0917_5"/>
    <n v="5"/>
    <n v="2"/>
    <s v="CCAMP"/>
    <d v="2018-09-17T00:00:00"/>
    <s v="September"/>
    <x v="1"/>
    <d v="1899-12-30T00:38:00"/>
    <s v="Partly Sunny"/>
    <x v="42"/>
    <s v="Foraging"/>
    <s v="Spruce"/>
    <n v="0"/>
    <m/>
    <n v="0"/>
    <s v="Unknown"/>
    <s v="Unknown"/>
    <s v="Ground"/>
    <s v="Exterior bare spruce branch"/>
    <s v="NA"/>
    <s v="NA"/>
    <s v="NA"/>
    <m/>
    <m/>
    <s v="unknown"/>
    <n v="63.722329999999999"/>
    <n v="148.95236"/>
    <m/>
    <m/>
    <m/>
    <n v="3"/>
    <n v="0"/>
    <n v="0"/>
    <n v="3"/>
    <n v="0"/>
    <n v="0"/>
    <n v="3"/>
    <s v="Probing"/>
    <m/>
    <n v="1"/>
    <n v="0"/>
  </r>
  <r>
    <s v="DSCN0472"/>
    <s v="M4R0907_1"/>
    <n v="1"/>
    <n v="1"/>
    <s v="M4Roadside"/>
    <d v="2018-09-07T00:00:00"/>
    <s v="September"/>
    <x v="1"/>
    <d v="1899-12-30T00:19:00"/>
    <s v="Overcast"/>
    <x v="43"/>
    <s v="Foraging"/>
    <s v="NA"/>
    <n v="1"/>
    <m/>
    <n v="0"/>
    <s v="Unknown"/>
    <s v="unknown (Something red)"/>
    <s v="Ground"/>
    <s v="NA"/>
    <s v="NA"/>
    <s v="NA"/>
    <s v="NA"/>
    <m/>
    <m/>
    <s v="NA"/>
    <s v="NA"/>
    <m/>
    <m/>
    <m/>
    <m/>
    <n v="0"/>
    <n v="0"/>
    <n v="0"/>
    <n v="0"/>
    <n v="13"/>
    <n v="0"/>
    <n v="13"/>
    <m/>
    <m/>
    <m/>
    <m/>
  </r>
  <r>
    <s v="DSCN0833"/>
    <s v="CC0917_6"/>
    <n v="6"/>
    <n v="1"/>
    <s v="CCAMP"/>
    <d v="2018-09-17T00:00:00"/>
    <s v="September"/>
    <x v="1"/>
    <d v="1899-12-30T00:26:00"/>
    <s v="Partly Sunny"/>
    <x v="43"/>
    <s v="Foraging"/>
    <s v="NA"/>
    <n v="1"/>
    <m/>
    <n v="0"/>
    <s v="Insect"/>
    <s v="Insect (arthropod)"/>
    <s v="Ground"/>
    <s v="NA"/>
    <s v="NA"/>
    <s v="NA"/>
    <s v="NA"/>
    <m/>
    <m/>
    <s v="NA"/>
    <s v="NA"/>
    <m/>
    <m/>
    <m/>
    <m/>
    <n v="0"/>
    <n v="0"/>
    <n v="0"/>
    <n v="0"/>
    <n v="11"/>
    <n v="0"/>
    <n v="11"/>
    <m/>
    <m/>
    <m/>
    <m/>
  </r>
  <r>
    <s v="DSCN0481"/>
    <s v="WW0908_1"/>
    <n v="1"/>
    <n v="1"/>
    <s v="WAC West"/>
    <d v="2018-09-08T00:00:00"/>
    <s v="September"/>
    <x v="1"/>
    <d v="1899-12-30T00:22:00"/>
    <m/>
    <x v="0"/>
    <s v="Foraging"/>
    <s v="Spruce"/>
    <n v="1"/>
    <m/>
    <n v="0"/>
    <s v="Unknown"/>
    <s v="Unknown"/>
    <s v="Interior spruce foliage"/>
    <s v="NA"/>
    <s v="NA"/>
    <s v="NA"/>
    <s v="NA"/>
    <m/>
    <m/>
    <s v="NA"/>
    <s v="NA"/>
    <m/>
    <m/>
    <m/>
    <m/>
    <n v="0"/>
    <n v="20"/>
    <n v="0"/>
    <n v="20"/>
    <n v="0"/>
    <n v="0"/>
    <n v="20"/>
    <s v="Gleaning"/>
    <m/>
    <n v="0"/>
    <n v="1"/>
  </r>
  <r>
    <s v="DSCN0484"/>
    <s v="WW0908_2"/>
    <n v="2"/>
    <n v="1"/>
    <s v="WAC West"/>
    <d v="2018-09-08T00:00:00"/>
    <s v="September"/>
    <x v="1"/>
    <d v="1899-12-30T00:00:09"/>
    <m/>
    <x v="0"/>
    <s v="Foraging"/>
    <s v="Spruce"/>
    <s v="unknown"/>
    <m/>
    <n v="0"/>
    <m/>
    <s v="NA"/>
    <s v="NA"/>
    <s v="NA"/>
    <s v="NA"/>
    <s v="NA"/>
    <s v="NA"/>
    <m/>
    <m/>
    <s v="NA"/>
    <s v="NA"/>
    <m/>
    <m/>
    <m/>
    <m/>
    <n v="9"/>
    <n v="0"/>
    <n v="9"/>
    <n v="0"/>
    <n v="0"/>
    <n v="0"/>
    <n v="9"/>
    <s v="Unclear from video…too blurry"/>
    <m/>
    <m/>
    <m/>
  </r>
  <r>
    <s v="DSCN0485"/>
    <s v="WW0908_3"/>
    <n v="3"/>
    <n v="1"/>
    <s v="WAC West"/>
    <d v="2018-09-08T00:00:00"/>
    <s v="September"/>
    <x v="1"/>
    <d v="1899-12-30T00:49:00"/>
    <m/>
    <x v="0"/>
    <s v="Food handling"/>
    <s v="Spruce"/>
    <n v="1"/>
    <m/>
    <n v="0"/>
    <s v="Animal flesh"/>
    <s v="Animal flesh"/>
    <s v="unknown"/>
    <s v="NA"/>
    <s v="NA"/>
    <s v="NA"/>
    <s v="NA"/>
    <m/>
    <m/>
    <s v="NA"/>
    <s v="NA"/>
    <m/>
    <m/>
    <m/>
    <m/>
    <n v="0"/>
    <n v="0"/>
    <n v="0"/>
    <n v="0"/>
    <n v="0"/>
    <n v="0"/>
    <n v="0"/>
    <m/>
    <s v="49S of food handling "/>
    <m/>
    <m/>
  </r>
  <r>
    <s v="DSCN0486"/>
    <s v="WW0908_4"/>
    <n v="4"/>
    <n v="1"/>
    <s v="WAC West"/>
    <d v="2018-09-08T00:00:00"/>
    <s v="September"/>
    <x v="1"/>
    <d v="1899-12-30T00:37:00"/>
    <m/>
    <x v="0"/>
    <s v="Food handling"/>
    <s v="Spruce"/>
    <n v="0"/>
    <m/>
    <n v="0"/>
    <s v="Animal flesh"/>
    <s v="Animal flesh"/>
    <s v="NA"/>
    <s v="NA"/>
    <s v="NA"/>
    <s v="NA"/>
    <s v="NA"/>
    <m/>
    <m/>
    <s v="NA"/>
    <s v="NA"/>
    <m/>
    <m/>
    <m/>
    <m/>
    <n v="0"/>
    <n v="0"/>
    <n v="0"/>
    <n v="0"/>
    <n v="0"/>
    <n v="0"/>
    <n v="0"/>
    <m/>
    <s v="9sec food handling"/>
    <m/>
    <m/>
  </r>
  <r>
    <s v="DSCN0487"/>
    <s v="WW0908_5"/>
    <n v="5"/>
    <n v="1"/>
    <s v="WAC West"/>
    <d v="2018-09-08T00:00:00"/>
    <s v="September"/>
    <x v="1"/>
    <d v="1899-12-30T00:27:00"/>
    <m/>
    <x v="0"/>
    <s v="Foraging"/>
    <s v="Spruce"/>
    <n v="1"/>
    <m/>
    <n v="0"/>
    <s v="Unknown"/>
    <s v="Unknown"/>
    <s v="Interior spruce foliage"/>
    <s v="NA"/>
    <s v="NA"/>
    <s v="NA"/>
    <s v="NA"/>
    <m/>
    <m/>
    <s v="NA"/>
    <s v="NA"/>
    <m/>
    <m/>
    <m/>
    <m/>
    <n v="0"/>
    <n v="14"/>
    <n v="14"/>
    <n v="0"/>
    <n v="0"/>
    <n v="0"/>
    <n v="14"/>
    <s v="Searching"/>
    <m/>
    <m/>
    <m/>
  </r>
  <r>
    <s v="DSCN0514"/>
    <s v="WW0909_1"/>
    <n v="1"/>
    <n v="1"/>
    <s v="WAC West"/>
    <d v="2018-09-09T00:00:00"/>
    <s v="September"/>
    <x v="1"/>
    <d v="1899-12-30T01:20:00"/>
    <s v="Full sun"/>
    <x v="0"/>
    <s v="Foraging"/>
    <s v="Spruce"/>
    <s v="unknown"/>
    <m/>
    <s v="Unknown"/>
    <m/>
    <s v="NA"/>
    <s v="NA"/>
    <s v="NA"/>
    <m/>
    <m/>
    <m/>
    <m/>
    <m/>
    <s v="NA"/>
    <s v="NA"/>
    <m/>
    <m/>
    <m/>
    <m/>
    <n v="0"/>
    <n v="10"/>
    <n v="10"/>
    <n v="0"/>
    <n v="0"/>
    <n v="0"/>
    <n v="10"/>
    <m/>
    <m/>
    <m/>
    <m/>
  </r>
  <r>
    <s v="DSCN0515"/>
    <s v="WW0909_2"/>
    <n v="2"/>
    <n v="1"/>
    <s v="WAC West"/>
    <d v="2018-09-09T00:00:00"/>
    <s v="September"/>
    <x v="1"/>
    <d v="1899-12-30T00:45:00"/>
    <s v="Full sun"/>
    <x v="0"/>
    <s v="Foraging"/>
    <s v="NA"/>
    <n v="1"/>
    <m/>
    <s v="Unknown"/>
    <s v="Mushroom"/>
    <s v="Mushroom"/>
    <s v="Ground"/>
    <s v="NA"/>
    <m/>
    <m/>
    <m/>
    <m/>
    <m/>
    <s v="NA"/>
    <s v="NA"/>
    <m/>
    <m/>
    <m/>
    <m/>
    <n v="0"/>
    <n v="0"/>
    <n v="0"/>
    <n v="0"/>
    <n v="6"/>
    <n v="0"/>
    <n v="6"/>
    <m/>
    <s v="Pecking at mushroom"/>
    <m/>
    <m/>
  </r>
  <r>
    <s v="DSCN0518"/>
    <s v="WW0909_3"/>
    <n v="3"/>
    <n v="1"/>
    <s v="WAC West"/>
    <d v="2018-09-09T00:00:00"/>
    <s v="September"/>
    <x v="1"/>
    <d v="1899-12-30T01:18:00"/>
    <s v="Full sun"/>
    <x v="0"/>
    <s v="Caching"/>
    <s v="Spruce"/>
    <n v="0"/>
    <m/>
    <n v="3"/>
    <s v="Human food"/>
    <s v="Human food (Granola, fried chicken?)"/>
    <s v="Food brought to branch of spruce by bird during watch"/>
    <s v="Exterior bare spruce branch under bark "/>
    <s v="Spruce"/>
    <s v="Exterior"/>
    <s v="Under bark"/>
    <m/>
    <m/>
    <n v="0"/>
    <n v="63.739269999999998"/>
    <n v="148.90099000000001"/>
    <m/>
    <m/>
    <m/>
    <n v="0"/>
    <n v="0"/>
    <n v="0"/>
    <n v="0"/>
    <n v="0"/>
    <n v="0"/>
    <n v="0"/>
    <m/>
    <s v="One consecutive caching event with same food item.  Item was in the tree it cached in multiple times."/>
    <m/>
    <m/>
  </r>
  <r>
    <s v="DSCN0518"/>
    <s v="WW0909_3"/>
    <n v="3"/>
    <n v="2"/>
    <s v="WAC West"/>
    <d v="2018-09-09T00:00:00"/>
    <s v="September"/>
    <x v="1"/>
    <d v="1899-12-30T01:18:00"/>
    <s v="Full sun"/>
    <x v="0"/>
    <s v="Caching"/>
    <s v="Spruce"/>
    <n v="0"/>
    <m/>
    <n v="1"/>
    <s v="Human food"/>
    <s v="Human food (Granola, fried chicken?)"/>
    <s v="Food brought to branch of spruce by bird during watch"/>
    <s v="Exterior bare branch of shrub"/>
    <s v="Shrub"/>
    <s v="Exterior"/>
    <s v="Branch"/>
    <m/>
    <m/>
    <n v="3"/>
    <n v="63.739319999999999"/>
    <n v="148.90099000000001"/>
    <m/>
    <m/>
    <m/>
    <n v="0"/>
    <n v="0"/>
    <n v="0"/>
    <n v="0"/>
    <n v="0"/>
    <n v="0"/>
    <n v="0"/>
    <m/>
    <m/>
    <m/>
    <m/>
  </r>
  <r>
    <s v="DSCN0519"/>
    <s v="WW0909_4"/>
    <n v="4"/>
    <n v="1"/>
    <s v="WAC West"/>
    <d v="2018-09-09T00:00:00"/>
    <s v="September"/>
    <x v="1"/>
    <d v="1899-12-30T01:30:00"/>
    <s v="Full sun"/>
    <x v="0"/>
    <s v="Caching"/>
    <s v="Spruce"/>
    <n v="0"/>
    <m/>
    <n v="2"/>
    <s v="Human food"/>
    <s v="Human food (Granola, fried chicken?)"/>
    <s v="Food brought to branch of spruce by bird during watch"/>
    <s v="Interior bare spruce branch under bark"/>
    <s v="Spruce"/>
    <s v="Interior"/>
    <s v="Under bark"/>
    <m/>
    <m/>
    <n v="0"/>
    <n v="63.739249999999998"/>
    <n v="148.90089"/>
    <m/>
    <m/>
    <m/>
    <n v="0"/>
    <n v="0"/>
    <n v="0"/>
    <n v="0"/>
    <n v="0"/>
    <n v="0"/>
    <n v="0"/>
    <m/>
    <s v="Item from previous video was moved to focal tree in this video. "/>
    <m/>
    <m/>
  </r>
  <r>
    <s v="DSCN0520"/>
    <s v="WW0909_5"/>
    <n v="5"/>
    <n v="1"/>
    <s v="WAC West"/>
    <d v="2018-09-09T00:00:00"/>
    <s v="September"/>
    <x v="1"/>
    <d v="1899-12-30T00:38:00"/>
    <s v="Full sun"/>
    <x v="0"/>
    <s v="Caching"/>
    <s v="Spruce"/>
    <n v="0"/>
    <m/>
    <n v="1"/>
    <s v="Human food"/>
    <s v="Human food (Granola, fried chicken?)"/>
    <s v="Food brought to branch of spruce by bird during watch"/>
    <s v="branch of small dead spruce, under bark "/>
    <s v="Spruce"/>
    <s v="Exterior"/>
    <s v="Under bark"/>
    <m/>
    <m/>
    <n v="6"/>
    <n v="63.739339999999999"/>
    <n v="148.90071"/>
    <m/>
    <m/>
    <m/>
    <n v="0"/>
    <n v="0"/>
    <n v="0"/>
    <n v="0"/>
    <n v="0"/>
    <n v="0"/>
    <n v="0"/>
    <m/>
    <m/>
    <m/>
    <m/>
  </r>
  <r>
    <s v="DSCN0521"/>
    <s v="WW0909_6"/>
    <n v="6"/>
    <n v="1"/>
    <s v="WAC West"/>
    <d v="2018-09-09T00:00:00"/>
    <s v="September"/>
    <x v="1"/>
    <d v="1899-12-30T03:08:00"/>
    <s v="Full sun"/>
    <x v="0"/>
    <s v="Caching"/>
    <s v="Spruce"/>
    <n v="0"/>
    <m/>
    <n v="1"/>
    <s v="Human food"/>
    <s v="Human food (Granola, fried chicken?)"/>
    <s v="Food brought to branch of spruce by bird during watch"/>
    <s v="Interior spruce branch under bark"/>
    <s v="Spruce"/>
    <s v="Interior"/>
    <s v="Under bark"/>
    <m/>
    <m/>
    <n v="14"/>
    <n v="63.73912"/>
    <n v="148.90092000000001"/>
    <m/>
    <m/>
    <m/>
    <n v="0"/>
    <n v="0"/>
    <n v="0"/>
    <n v="0"/>
    <n v="0"/>
    <n v="0"/>
    <n v="0"/>
    <m/>
    <m/>
    <m/>
    <m/>
  </r>
  <r>
    <s v="DSCN0521"/>
    <s v="WW0909_6"/>
    <n v="6"/>
    <n v="2"/>
    <s v="WAC West"/>
    <d v="2018-09-09T00:00:00"/>
    <s v="September"/>
    <x v="1"/>
    <d v="1899-12-30T03:08:00"/>
    <s v="Full sun"/>
    <x v="0"/>
    <s v="Caching"/>
    <s v="Spruce"/>
    <n v="0"/>
    <m/>
    <n v="1"/>
    <s v="Human food"/>
    <s v="Human food (Granola, fried chicken?)"/>
    <s v="Food brought to branch of spruce by bird during watch"/>
    <s v="Exterior spruce branch under bark"/>
    <s v="Spruce"/>
    <s v="Exterior"/>
    <s v="Under bark"/>
    <m/>
    <m/>
    <n v="14"/>
    <n v="63.73912"/>
    <n v="148.90092000000001"/>
    <m/>
    <m/>
    <m/>
    <n v="0"/>
    <n v="0"/>
    <n v="0"/>
    <n v="0"/>
    <n v="0"/>
    <n v="0"/>
    <n v="0"/>
    <m/>
    <m/>
    <m/>
    <m/>
  </r>
  <r>
    <s v="DSCN0521"/>
    <s v="WW0909_6"/>
    <n v="6"/>
    <n v="3"/>
    <s v="WAC West"/>
    <d v="2018-09-09T00:00:00"/>
    <s v="September"/>
    <x v="1"/>
    <d v="1899-12-30T03:08:00"/>
    <s v="Full sun"/>
    <x v="0"/>
    <s v="Caching"/>
    <s v="Spruce"/>
    <n v="0"/>
    <m/>
    <n v="1"/>
    <s v="Human food"/>
    <s v="Human food (Granola, fried chicken?)"/>
    <s v="Food brought to branch of spruce by bird during watch"/>
    <s v="Interior spruce branch under bark"/>
    <s v="Spruce"/>
    <s v="Interior"/>
    <s v="Under bark"/>
    <m/>
    <m/>
    <n v="14"/>
    <n v="63.73912"/>
    <n v="148.90092000000001"/>
    <m/>
    <m/>
    <m/>
    <n v="0"/>
    <n v="0"/>
    <n v="0"/>
    <n v="0"/>
    <n v="0"/>
    <n v="0"/>
    <n v="0"/>
    <m/>
    <m/>
    <m/>
    <m/>
  </r>
  <r>
    <s v="DSCN0521"/>
    <s v="WW0909_6"/>
    <n v="6"/>
    <n v="4"/>
    <s v="WAC West"/>
    <d v="2018-09-09T00:00:00"/>
    <s v="September"/>
    <x v="1"/>
    <d v="1899-12-30T03:08:00"/>
    <s v="Full sun"/>
    <x v="0"/>
    <s v="Caching"/>
    <s v="Spruce"/>
    <n v="0"/>
    <m/>
    <n v="1"/>
    <s v="Human food"/>
    <s v="Human food (Granola, fried chicken?)"/>
    <s v="Food brought to branch of spruce by bird during watch"/>
    <s v="Interior spruce branch under witchhair"/>
    <s v="Spruce"/>
    <s v="Interior"/>
    <s v="Under bark and witch hair "/>
    <m/>
    <m/>
    <n v="14"/>
    <n v="63.73912"/>
    <n v="148.90092000000001"/>
    <m/>
    <m/>
    <m/>
    <n v="0"/>
    <n v="0"/>
    <n v="0"/>
    <n v="0"/>
    <n v="0"/>
    <n v="0"/>
    <n v="0"/>
    <m/>
    <m/>
    <m/>
    <m/>
  </r>
  <r>
    <s v="DSCN0521"/>
    <s v="WW0909_6"/>
    <n v="6"/>
    <n v="5"/>
    <s v="WAC West"/>
    <d v="2018-09-09T00:00:00"/>
    <s v="September"/>
    <x v="1"/>
    <d v="1899-12-30T03:08:00"/>
    <s v="Full sun"/>
    <x v="0"/>
    <s v="Caching"/>
    <s v="Spruce"/>
    <n v="0"/>
    <m/>
    <n v="1"/>
    <s v="Human food"/>
    <s v="Human food (Granola, fried chicken?)"/>
    <s v="Food brought to branch of spruce by bird during watch"/>
    <s v="Exterior spruce branch under bark"/>
    <s v="Spruce"/>
    <s v="Exterior"/>
    <s v="Under bark"/>
    <m/>
    <m/>
    <n v="14"/>
    <n v="63.739150000000002"/>
    <n v="148.9008"/>
    <m/>
    <m/>
    <m/>
    <n v="0"/>
    <n v="0"/>
    <n v="0"/>
    <n v="0"/>
    <n v="0"/>
    <n v="0"/>
    <n v="0"/>
    <m/>
    <m/>
    <m/>
    <m/>
  </r>
  <r>
    <s v="DSCN0521"/>
    <s v="WW0909_6"/>
    <n v="6"/>
    <n v="6"/>
    <s v="WAC West"/>
    <d v="2018-09-09T00:00:00"/>
    <s v="September"/>
    <x v="1"/>
    <d v="1899-12-30T03:08:00"/>
    <s v="Full sun"/>
    <x v="0"/>
    <s v="Caching"/>
    <s v="Spruce"/>
    <n v="0"/>
    <m/>
    <n v="1"/>
    <s v="Human food"/>
    <s v="Human food (Granola, fried chicken?)"/>
    <s v="Food brought to branch of spruce by bird during watch"/>
    <s v="Interior spruce branch under bark"/>
    <s v="Spruce"/>
    <s v="Interior"/>
    <s v="Under bark"/>
    <m/>
    <m/>
    <n v="14"/>
    <n v="63.73912"/>
    <n v="148.90092000000001"/>
    <m/>
    <m/>
    <m/>
    <n v="0"/>
    <n v="0"/>
    <n v="0"/>
    <n v="0"/>
    <n v="0"/>
    <n v="0"/>
    <n v="0"/>
    <m/>
    <m/>
    <m/>
    <m/>
  </r>
  <r>
    <s v="DSCN0521"/>
    <s v="WW0909_6"/>
    <n v="6"/>
    <n v="7"/>
    <s v="WAC West"/>
    <d v="2018-09-09T00:00:00"/>
    <s v="September"/>
    <x v="1"/>
    <d v="1899-12-30T03:08:00"/>
    <s v="Full sun"/>
    <x v="0"/>
    <s v="Caching"/>
    <s v="Spruce"/>
    <n v="0"/>
    <m/>
    <n v="1"/>
    <s v="Human food"/>
    <s v="Human food (Granola, fried chicken?)"/>
    <s v="Food brought to branch of spruce by bird during watch"/>
    <s v="Interior spruce branch under bark"/>
    <s v="Spruce"/>
    <s v="Interior"/>
    <s v="Under bark"/>
    <m/>
    <m/>
    <n v="14"/>
    <n v="63.739150000000002"/>
    <n v="148.9008"/>
    <m/>
    <m/>
    <m/>
    <n v="0"/>
    <n v="0"/>
    <n v="0"/>
    <n v="0"/>
    <n v="0"/>
    <n v="0"/>
    <n v="0"/>
    <m/>
    <m/>
    <m/>
    <m/>
  </r>
  <r>
    <s v="DSCN0521"/>
    <s v="WW0909_6"/>
    <n v="6"/>
    <n v="8"/>
    <s v="WAC West"/>
    <d v="2018-09-09T00:00:00"/>
    <s v="September"/>
    <x v="1"/>
    <d v="1899-12-30T03:08:00"/>
    <s v="Full sun"/>
    <x v="0"/>
    <s v="Caching"/>
    <s v="Spruce"/>
    <n v="0"/>
    <m/>
    <n v="1"/>
    <s v="Human food"/>
    <s v="Human food (Granola, fried chicken?)"/>
    <s v="Food brought to branch of spruce by bird during watch"/>
    <s v="Interior spruce branch under bark"/>
    <s v="Spruce"/>
    <s v="Interior"/>
    <s v="Under bark"/>
    <m/>
    <m/>
    <n v="15"/>
    <n v="63.73912"/>
    <n v="148.90076999999999"/>
    <m/>
    <m/>
    <m/>
    <n v="0"/>
    <n v="0"/>
    <n v="0"/>
    <n v="0"/>
    <n v="0"/>
    <n v="0"/>
    <n v="0"/>
    <m/>
    <m/>
    <m/>
    <m/>
  </r>
  <r>
    <s v="DSCN0522"/>
    <s v="WW0909_7"/>
    <n v="7"/>
    <n v="1"/>
    <s v="WAC West"/>
    <d v="2018-09-09T00:00:00"/>
    <s v="September"/>
    <x v="1"/>
    <d v="1899-12-30T00:14:00"/>
    <s v="Full sun"/>
    <x v="0"/>
    <s v="Caching"/>
    <s v="Spruce"/>
    <n v="0"/>
    <m/>
    <n v="1"/>
    <s v="Human food"/>
    <s v="Human food (Granola, fried chicken?)"/>
    <s v="Food brought to branch of spruce by bird during watch"/>
    <s v="Exterior spruce branch under bark/witch hair"/>
    <s v="Spruce"/>
    <s v="Exterior"/>
    <s v="Under bark and witch hair "/>
    <m/>
    <m/>
    <n v="14"/>
    <n v="63.73912"/>
    <n v="148.90092000000001"/>
    <m/>
    <m/>
    <m/>
    <n v="0"/>
    <n v="0"/>
    <n v="0"/>
    <n v="0"/>
    <n v="0"/>
    <n v="0"/>
    <n v="0"/>
    <m/>
    <s v="Same as WW0909_6  (63.73912, 148.90092)"/>
    <m/>
    <m/>
  </r>
  <r>
    <s v="DSCN0523"/>
    <s v="WW0909_8"/>
    <n v="8"/>
    <n v="1"/>
    <s v="WAC West"/>
    <d v="2018-09-09T00:00:00"/>
    <s v="September"/>
    <x v="1"/>
    <d v="1899-12-30T02:25:00"/>
    <s v="Full sun"/>
    <x v="0"/>
    <s v="Caching"/>
    <s v="Spruce"/>
    <n v="0"/>
    <m/>
    <n v="2"/>
    <s v="Human food"/>
    <s v="Human food (Granola, fried chicken?)"/>
    <s v="Food brought to branch of spruce by bird during watch"/>
    <s v="Interior bare spruce branch under bark"/>
    <s v="Spruce"/>
    <s v="Interior"/>
    <s v="Under bark"/>
    <m/>
    <m/>
    <n v="20"/>
    <n v="63.739170000000001"/>
    <n v="148.90096"/>
    <m/>
    <m/>
    <m/>
    <n v="0"/>
    <n v="0"/>
    <n v="0"/>
    <n v="0"/>
    <n v="0"/>
    <n v="0"/>
    <n v="0"/>
    <m/>
    <m/>
    <m/>
    <m/>
  </r>
  <r>
    <s v="DSCN0523"/>
    <s v="WW0909_8"/>
    <n v="8"/>
    <n v="2"/>
    <s v="WAC West"/>
    <d v="2018-09-09T00:00:00"/>
    <s v="September"/>
    <x v="1"/>
    <d v="1899-12-30T02:25:00"/>
    <s v="Full sun"/>
    <x v="0"/>
    <s v="Caching"/>
    <s v="Spruce"/>
    <n v="0"/>
    <m/>
    <n v="2"/>
    <s v="Human food"/>
    <s v="Human food (Granola, fried chicken?)"/>
    <s v="Food brought to branch of spruce by bird during watch"/>
    <s v="Interior bare spruce branch under bark"/>
    <s v="Spruce"/>
    <s v="Interior"/>
    <s v="Under bark"/>
    <m/>
    <m/>
    <n v="20"/>
    <n v="63.739159999999998"/>
    <n v="148.90085999999999"/>
    <m/>
    <m/>
    <m/>
    <n v="0"/>
    <n v="0"/>
    <n v="0"/>
    <n v="0"/>
    <n v="0"/>
    <n v="0"/>
    <n v="0"/>
    <m/>
    <m/>
    <m/>
    <m/>
  </r>
  <r>
    <s v="DSCN0523"/>
    <s v="WW0909_8"/>
    <n v="8"/>
    <n v="3"/>
    <s v="WAC West"/>
    <d v="2018-09-09T00:00:00"/>
    <s v="September"/>
    <x v="1"/>
    <d v="1899-12-30T02:25:00"/>
    <s v="Full sun"/>
    <x v="0"/>
    <s v="Caching"/>
    <s v="Spruce"/>
    <n v="0"/>
    <m/>
    <n v="1"/>
    <s v="Human food"/>
    <s v="Human food (Granola, fried chicken?)"/>
    <s v="Food brought to branch of spruce by bird during watch"/>
    <s v="Interior bare spruce branch under bark"/>
    <s v="Spruce"/>
    <s v="Interior"/>
    <s v="Under bark"/>
    <m/>
    <m/>
    <n v="20"/>
    <n v="63.73921"/>
    <n v="148.90101999999999"/>
    <m/>
    <m/>
    <m/>
    <n v="0"/>
    <n v="0"/>
    <n v="0"/>
    <n v="0"/>
    <n v="0"/>
    <n v="0"/>
    <n v="0"/>
    <m/>
    <m/>
    <m/>
    <m/>
  </r>
  <r>
    <s v="DSCN0749"/>
    <s v="WW0915_1"/>
    <n v="1"/>
    <n v="1"/>
    <s v="WAC West"/>
    <d v="2018-09-15T00:00:00"/>
    <s v="September"/>
    <x v="1"/>
    <d v="1899-12-30T01:15:00"/>
    <s v="Mostly sunny"/>
    <x v="0"/>
    <s v="Caching"/>
    <s v="Spruce"/>
    <n v="0"/>
    <m/>
    <n v="1"/>
    <s v="Unknown"/>
    <s v="Unknown"/>
    <s v="NA"/>
    <s v="Spruce trunk under bark"/>
    <s v="Spruce"/>
    <s v="Trunk"/>
    <s v="Under bark"/>
    <m/>
    <m/>
    <s v="Unknown"/>
    <n v="63.738419999999998"/>
    <n v="148.90466000000001"/>
    <m/>
    <m/>
    <m/>
    <n v="0"/>
    <n v="0"/>
    <n v="0"/>
    <n v="0"/>
    <n v="0"/>
    <n v="0"/>
    <n v="0"/>
    <m/>
    <s v="We decided the first 10sec were looking for a place to cache rather than foraging.  "/>
    <m/>
    <m/>
  </r>
  <r>
    <s v="DSCN0750"/>
    <s v="WW0915_2"/>
    <n v="2"/>
    <n v="1"/>
    <s v="WAC West"/>
    <d v="2018-09-15T00:00:00"/>
    <s v="September"/>
    <x v="1"/>
    <d v="1899-12-30T00:19:00"/>
    <s v="Mostly sunny"/>
    <x v="0"/>
    <s v="Foraging/caching"/>
    <s v="Spruce"/>
    <n v="1"/>
    <m/>
    <n v="1"/>
    <s v="Berry"/>
    <s v="Berry (Blueberry)"/>
    <s v="Ground"/>
    <s v="Interior spruce foliage "/>
    <s v="Spruce"/>
    <s v="Interior"/>
    <s v="Foliage"/>
    <m/>
    <m/>
    <s v="Unknown"/>
    <n v="63.738860000000003"/>
    <n v="148.90303"/>
    <m/>
    <m/>
    <m/>
    <n v="0"/>
    <n v="0"/>
    <n v="0"/>
    <n v="0"/>
    <n v="5"/>
    <n v="0"/>
    <n v="5"/>
    <m/>
    <m/>
    <m/>
    <m/>
  </r>
  <r>
    <s v="DSCN0751"/>
    <s v="WW0915_3"/>
    <n v="3"/>
    <n v="1"/>
    <s v="WAC West"/>
    <d v="2018-09-15T00:00:00"/>
    <s v="September"/>
    <x v="1"/>
    <d v="1899-12-30T00:49:00"/>
    <s v="Mostly sunny"/>
    <x v="0"/>
    <s v="Foraging"/>
    <s v="Spruce"/>
    <n v="2"/>
    <m/>
    <n v="1"/>
    <s v="Berry"/>
    <s v="Berry (Blueberry)"/>
    <s v="Ground"/>
    <s v="Interior spruce foliage "/>
    <s v="Spruce"/>
    <s v="Interior"/>
    <s v="Foliage"/>
    <m/>
    <m/>
    <s v="Unknown"/>
    <n v="63.738280000000003"/>
    <n v="148.89919"/>
    <m/>
    <m/>
    <m/>
    <n v="0"/>
    <n v="0"/>
    <n v="0"/>
    <n v="0"/>
    <n v="27"/>
    <n v="0"/>
    <n v="27"/>
    <m/>
    <m/>
    <m/>
    <m/>
  </r>
  <r>
    <s v="DSCN0755"/>
    <s v="WW0915_4"/>
    <n v="4"/>
    <n v="1"/>
    <s v="WAC West"/>
    <d v="2018-09-15T00:00:00"/>
    <s v="September"/>
    <x v="1"/>
    <d v="1899-12-30T00:44:00"/>
    <s v="Mostly sunny"/>
    <x v="0"/>
    <s v="Foraging"/>
    <s v="Spruce"/>
    <n v="1"/>
    <m/>
    <n v="0"/>
    <s v="Unknown"/>
    <s v="Unknown"/>
    <s v="Spruce trunk"/>
    <s v="NA"/>
    <s v="NA"/>
    <s v="NA"/>
    <s v="NA"/>
    <m/>
    <m/>
    <s v="NA"/>
    <s v="NA"/>
    <m/>
    <m/>
    <m/>
    <m/>
    <n v="17"/>
    <n v="0"/>
    <n v="17"/>
    <n v="0"/>
    <n v="0"/>
    <n v="0"/>
    <n v="17"/>
    <m/>
    <m/>
    <m/>
    <m/>
  </r>
  <r>
    <s v="DSCN1026"/>
    <s v="WW0924_1"/>
    <n v="1"/>
    <n v="1"/>
    <s v="WAC West"/>
    <d v="2018-09-24T00:00:00"/>
    <s v="September"/>
    <x v="1"/>
    <d v="1899-12-30T01:35:00"/>
    <s v="Partly Sunny"/>
    <x v="0"/>
    <s v="Foraging"/>
    <s v="Spruce"/>
    <s v="unknown"/>
    <m/>
    <n v="0"/>
    <s v="Unknown"/>
    <s v="Unknown"/>
    <s v="NA"/>
    <s v="NA"/>
    <s v="NA"/>
    <s v="NA"/>
    <s v="NA"/>
    <m/>
    <m/>
    <s v="NA"/>
    <s v="NA"/>
    <m/>
    <m/>
    <m/>
    <m/>
    <n v="15"/>
    <n v="0"/>
    <n v="15"/>
    <n v="0"/>
    <n v="0"/>
    <n v="0"/>
    <n v="15"/>
    <s v="Gleaning"/>
    <m/>
    <n v="0"/>
    <n v="2"/>
  </r>
  <r>
    <s v="DSCN1140"/>
    <s v="WW0926_1"/>
    <n v="1"/>
    <n v="1"/>
    <s v="WAC West"/>
    <d v="2018-09-26T00:00:00"/>
    <s v="September"/>
    <x v="1"/>
    <d v="1899-12-30T00:13:00"/>
    <s v="Overcast"/>
    <x v="0"/>
    <s v="Caching"/>
    <s v="Spruce"/>
    <n v="0"/>
    <m/>
    <n v="1"/>
    <s v="Unknown"/>
    <s v="Unknown"/>
    <s v="unknown"/>
    <s v="Spruce trunk under bark"/>
    <s v="Spruce"/>
    <s v="Trunk"/>
    <s v="Under bark"/>
    <m/>
    <m/>
    <s v="unknown"/>
    <n v="63.737909999999999"/>
    <n v="148.90565000000001"/>
    <m/>
    <m/>
    <m/>
    <n v="0"/>
    <n v="0"/>
    <n v="0"/>
    <n v="0"/>
    <n v="0"/>
    <n v="0"/>
    <n v="0"/>
    <m/>
    <m/>
    <m/>
    <m/>
  </r>
  <r>
    <s v="DSCN1146"/>
    <s v="WW0926_2"/>
    <n v="2"/>
    <n v="1"/>
    <s v="WAC West"/>
    <d v="2018-09-26T00:00:00"/>
    <s v="September"/>
    <x v="1"/>
    <d v="1899-12-30T00:36:00"/>
    <s v="Overcast"/>
    <x v="0"/>
    <s v="Foraging"/>
    <s v="NA"/>
    <s v="unknown"/>
    <m/>
    <n v="0"/>
    <s v="Unknown"/>
    <s v="Unknown"/>
    <s v="NA"/>
    <s v="NA"/>
    <s v="NA"/>
    <s v="NA"/>
    <s v="NA"/>
    <m/>
    <m/>
    <s v="NA"/>
    <s v="NA"/>
    <m/>
    <m/>
    <m/>
    <m/>
    <n v="0"/>
    <n v="0"/>
    <n v="0"/>
    <n v="0"/>
    <n v="33"/>
    <n v="0"/>
    <n v="33"/>
    <m/>
    <m/>
    <m/>
    <m/>
  </r>
  <r>
    <s v="DSCN1148"/>
    <s v="WW0926_3"/>
    <n v="3"/>
    <n v="1"/>
    <s v="WAC West"/>
    <d v="2018-09-26T00:00:00"/>
    <s v="September"/>
    <x v="1"/>
    <d v="1899-12-30T00:23:00"/>
    <s v="Overcast"/>
    <x v="0"/>
    <s v="Foraging/caching"/>
    <s v="Spruce"/>
    <n v="1"/>
    <m/>
    <n v="1"/>
    <s v="Berry"/>
    <s v="Berry (Blueberry)"/>
    <s v="Ground"/>
    <s v="Exterior spruce branch on bare branch and lichen"/>
    <s v="Spruce"/>
    <s v="Exterior"/>
    <s v="Under bark and witch hair "/>
    <m/>
    <m/>
    <n v="10"/>
    <n v="63.739910000000002"/>
    <n v="148.90183999999999"/>
    <m/>
    <m/>
    <m/>
    <n v="0"/>
    <n v="0"/>
    <n v="0"/>
    <n v="0"/>
    <n v="11"/>
    <n v="0"/>
    <n v="11"/>
    <m/>
    <s v="I went an inspected tree and could see cached bluberry on branch.  Later, after we lost the bird, I could not find it though! "/>
    <m/>
    <m/>
  </r>
  <r>
    <s v="DSCN1150"/>
    <s v="WW0926_4"/>
    <n v="4"/>
    <n v="1"/>
    <s v="WAC West"/>
    <d v="2018-09-26T00:00:00"/>
    <s v="September"/>
    <x v="1"/>
    <d v="1899-12-30T00:24:00"/>
    <s v="Overcast"/>
    <x v="0"/>
    <s v="Foraging"/>
    <s v="NA"/>
    <s v="unknown"/>
    <m/>
    <n v="0"/>
    <s v="Unknown"/>
    <s v="Unknown"/>
    <s v="NA"/>
    <s v="NA"/>
    <s v="NA"/>
    <s v="NA"/>
    <s v="NA"/>
    <m/>
    <m/>
    <s v="NA"/>
    <s v="NA"/>
    <m/>
    <m/>
    <m/>
    <m/>
    <n v="0"/>
    <n v="0"/>
    <n v="0"/>
    <n v="0"/>
    <n v="21"/>
    <n v="0"/>
    <n v="21"/>
    <m/>
    <m/>
    <m/>
    <m/>
  </r>
  <r>
    <s v="DSCN1153"/>
    <s v="WW0926_5"/>
    <n v="5"/>
    <n v="1"/>
    <s v="WAC West"/>
    <d v="2018-09-26T00:00:00"/>
    <s v="September"/>
    <x v="1"/>
    <d v="1899-12-30T00:34:00"/>
    <s v="Overcast"/>
    <x v="0"/>
    <s v="Foraging/caching"/>
    <s v="Spruce"/>
    <n v="1"/>
    <m/>
    <n v="1"/>
    <s v="Insect"/>
    <s v="Insect (worm or caterpillar)"/>
    <s v="Ground"/>
    <s v="Interior spruce, middle of branch under bark "/>
    <s v="Spruce"/>
    <s v="Interior"/>
    <s v="Under bark"/>
    <m/>
    <m/>
    <n v="5"/>
    <n v="63.739980000000003"/>
    <n v="148.90302"/>
    <m/>
    <m/>
    <m/>
    <n v="0"/>
    <n v="0"/>
    <n v="0"/>
    <n v="0"/>
    <n v="6"/>
    <n v="0"/>
    <n v="6"/>
    <m/>
    <m/>
    <m/>
    <m/>
  </r>
  <r>
    <s v="DSCN1155"/>
    <s v="WW0926_6"/>
    <n v="6"/>
    <n v="1"/>
    <s v="WAC West"/>
    <d v="2018-09-26T00:00:00"/>
    <s v="September"/>
    <x v="1"/>
    <d v="1899-12-30T00:17:00"/>
    <s v="Overcast"/>
    <x v="0"/>
    <s v="Foraging"/>
    <s v="NA"/>
    <s v="unknown"/>
    <m/>
    <n v="0"/>
    <s v="Unknown"/>
    <s v="Unknown"/>
    <s v="NA"/>
    <s v="NA"/>
    <s v="NA"/>
    <s v="NA"/>
    <s v="NA"/>
    <m/>
    <m/>
    <s v="NA"/>
    <s v="NA"/>
    <m/>
    <m/>
    <m/>
    <m/>
    <n v="0"/>
    <n v="0"/>
    <n v="0"/>
    <n v="0"/>
    <n v="15"/>
    <n v="0"/>
    <n v="15"/>
    <m/>
    <m/>
    <m/>
    <m/>
  </r>
  <r>
    <s v="DSCN1158"/>
    <s v="WW0926_7"/>
    <n v="7"/>
    <n v="1"/>
    <s v="WAC West"/>
    <d v="2018-09-26T00:00:00"/>
    <s v="September"/>
    <x v="1"/>
    <d v="1899-12-30T00:17:00"/>
    <s v="Overcast"/>
    <x v="0"/>
    <s v="Caching"/>
    <s v="Spruce"/>
    <n v="0"/>
    <m/>
    <n v="1"/>
    <s v="Unknown"/>
    <s v="Unknown"/>
    <s v="unknown"/>
    <s v="Spruce trunk under bark"/>
    <s v="Spruce"/>
    <s v="Trunk"/>
    <s v="Under bark"/>
    <m/>
    <m/>
    <s v="unknown"/>
    <n v="63.739550000000001"/>
    <n v="148.90470999999999"/>
    <m/>
    <m/>
    <m/>
    <n v="0"/>
    <n v="0"/>
    <n v="0"/>
    <n v="0"/>
    <n v="0"/>
    <n v="0"/>
    <n v="0"/>
    <m/>
    <s v="Suspected B&amp;Ut unconfirmed cache"/>
    <m/>
    <m/>
  </r>
  <r>
    <s v="DSCN1162"/>
    <s v="WW0926_8"/>
    <n v="8"/>
    <n v="1"/>
    <s v="WAC West"/>
    <d v="2018-09-26T00:00:00"/>
    <s v="September"/>
    <x v="1"/>
    <d v="1899-12-30T00:50:00"/>
    <s v="Overcast"/>
    <x v="0"/>
    <s v="Foraging"/>
    <s v="NA"/>
    <n v="1"/>
    <m/>
    <n v="0"/>
    <s v="Unknown"/>
    <s v="Unknown"/>
    <s v="Ground"/>
    <s v="NA"/>
    <s v="NA"/>
    <s v="NA"/>
    <s v="NA"/>
    <m/>
    <m/>
    <s v="NA"/>
    <s v="NA"/>
    <m/>
    <m/>
    <m/>
    <m/>
    <n v="0"/>
    <n v="0"/>
    <n v="0"/>
    <n v="0"/>
    <n v="7"/>
    <n v="0"/>
    <n v="7"/>
    <m/>
    <m/>
    <m/>
    <m/>
  </r>
  <r>
    <s v="DSCN1163"/>
    <s v="WW0926_9"/>
    <n v="9"/>
    <n v="1"/>
    <s v="WAC West"/>
    <d v="2018-09-26T00:00:00"/>
    <s v="September"/>
    <x v="1"/>
    <d v="1899-12-30T00:48:00"/>
    <s v="Overcast"/>
    <x v="0"/>
    <s v="Foraging/caching"/>
    <s v="Spruce"/>
    <n v="1"/>
    <m/>
    <n v="1"/>
    <s v="Insect"/>
    <s v="Insect (worm or caterpillar)"/>
    <s v="Ground"/>
    <s v="Exterior spruce branch under bark"/>
    <s v="Spruce"/>
    <s v="Exterior"/>
    <s v="Under bark"/>
    <m/>
    <m/>
    <n v="10"/>
    <n v="63.739829999999998"/>
    <n v="148.90535"/>
    <m/>
    <m/>
    <m/>
    <n v="0"/>
    <n v="0"/>
    <n v="0"/>
    <n v="0"/>
    <n v="0"/>
    <n v="0"/>
    <n v="0"/>
    <m/>
    <s v="bird has just come off the Ground at video start. "/>
    <m/>
    <m/>
  </r>
  <r>
    <s v="DSCN1164"/>
    <s v="WW0926_10"/>
    <n v="10"/>
    <n v="1"/>
    <s v="WAC West"/>
    <d v="2018-09-26T00:00:00"/>
    <s v="September"/>
    <x v="1"/>
    <d v="1899-12-30T00:25:00"/>
    <s v="Overcast"/>
    <x v="0"/>
    <s v="Caching"/>
    <s v="Aspen"/>
    <n v="0"/>
    <m/>
    <n v="1"/>
    <s v="Insect"/>
    <s v="Insect (worm or caterpillar)"/>
    <s v="NA"/>
    <s v="Exterior aspen branch under bark"/>
    <s v="Spruce"/>
    <s v="Exterior"/>
    <s v="Under bark"/>
    <m/>
    <m/>
    <s v="unknown"/>
    <n v="63.740020000000001"/>
    <n v="148.90588"/>
    <m/>
    <m/>
    <m/>
    <n v="0"/>
    <n v="0"/>
    <n v="0"/>
    <n v="0"/>
    <n v="0"/>
    <n v="0"/>
    <n v="0"/>
    <m/>
    <s v="Same food as in previous video"/>
    <m/>
    <m/>
  </r>
  <r>
    <s v="DSCN1167"/>
    <s v="WW0926_11"/>
    <n v="11"/>
    <n v="1"/>
    <s v="WAC West"/>
    <d v="2018-09-26T00:00:00"/>
    <s v="September"/>
    <x v="1"/>
    <d v="1899-12-30T00:17:00"/>
    <s v="Overcast"/>
    <x v="0"/>
    <s v="Caching"/>
    <s v="Spruce"/>
    <n v="0"/>
    <m/>
    <n v="1"/>
    <s v="Unknown"/>
    <s v="Unknown"/>
    <s v="unknown"/>
    <s v="Exterior spruce branch under bark/lichen"/>
    <s v="Spruce"/>
    <s v="Exterior"/>
    <s v="Under bark"/>
    <m/>
    <m/>
    <s v="unknown"/>
    <n v="63.74024"/>
    <n v="148.90630999999999"/>
    <m/>
    <m/>
    <m/>
    <n v="0"/>
    <n v="0"/>
    <n v="0"/>
    <n v="0"/>
    <n v="0"/>
    <n v="0"/>
    <n v="0"/>
    <m/>
    <s v="Video picks up right after it cached. "/>
    <m/>
    <m/>
  </r>
  <r>
    <s v="DSCN0182"/>
    <s v="MC0925_2"/>
    <n v="2"/>
    <n v="1"/>
    <s v="Mercantile"/>
    <d v="2018-09-25T00:00:00"/>
    <s v="September"/>
    <x v="1"/>
    <d v="1899-12-30T00:24:00"/>
    <s v="Overcast"/>
    <x v="2"/>
    <s v="Foraging"/>
    <s v="NA"/>
    <n v="1"/>
    <m/>
    <n v="0"/>
    <s v="Unknown"/>
    <s v="Unknown"/>
    <s v="Ground"/>
    <s v="NA"/>
    <s v="NA"/>
    <s v="NA"/>
    <s v="NA"/>
    <m/>
    <m/>
    <s v="NA"/>
    <s v="NA"/>
    <m/>
    <m/>
    <m/>
    <m/>
    <n v="0"/>
    <n v="0"/>
    <n v="0"/>
    <n v="0"/>
    <n v="18"/>
    <n v="0"/>
    <n v="18"/>
    <m/>
    <m/>
    <m/>
    <m/>
  </r>
  <r>
    <s v="DSCN0361"/>
    <s v="MC0906_1"/>
    <n v="1"/>
    <n v="1"/>
    <s v="Mercantile"/>
    <d v="2018-09-06T00:00:00"/>
    <s v="September"/>
    <x v="1"/>
    <d v="1899-12-30T00:24:00"/>
    <s v="Overcast"/>
    <x v="2"/>
    <s v="Food handling"/>
    <s v="Spruce"/>
    <n v="1"/>
    <m/>
    <n v="0"/>
    <s v="Misc"/>
    <s v="Toilet paper"/>
    <s v="spruce cache "/>
    <s v="Spruce foliage"/>
    <s v="NA"/>
    <s v="NA"/>
    <s v="NA"/>
    <m/>
    <m/>
    <s v="Unknown"/>
    <s v="Did not mark (did not recognize as cache while in field)"/>
    <m/>
    <m/>
    <m/>
    <m/>
    <n v="0"/>
    <n v="0"/>
    <n v="0"/>
    <n v="0"/>
    <n v="0"/>
    <n v="0"/>
    <n v="0"/>
    <m/>
    <s v="Observed B&amp;Ut not captured on video "/>
    <m/>
    <m/>
  </r>
  <r>
    <s v="DSCN0368"/>
    <s v="MC0906_4"/>
    <n v="4"/>
    <n v="1"/>
    <s v="Mercantile"/>
    <d v="2018-09-06T00:00:00"/>
    <s v="September"/>
    <x v="1"/>
    <d v="1899-12-30T00:24:00"/>
    <s v="Overcast"/>
    <x v="2"/>
    <s v="Foraging"/>
    <s v="Aspen"/>
    <s v="unknown"/>
    <m/>
    <n v="0"/>
    <m/>
    <s v="NA"/>
    <s v="NA"/>
    <s v="NA"/>
    <s v="NA"/>
    <s v="NA"/>
    <s v="NA"/>
    <m/>
    <m/>
    <s v="NA"/>
    <s v="NA"/>
    <m/>
    <m/>
    <m/>
    <m/>
    <n v="17"/>
    <n v="0"/>
    <n v="0"/>
    <n v="17"/>
    <n v="0"/>
    <n v="0"/>
    <n v="17"/>
    <s v="Probing"/>
    <m/>
    <n v="1"/>
    <n v="0"/>
  </r>
  <r>
    <s v="DSCN0377"/>
    <s v="MC0906_8"/>
    <n v="8"/>
    <n v="1"/>
    <s v="Mercantile"/>
    <d v="2018-09-06T00:00:00"/>
    <s v="September"/>
    <x v="1"/>
    <d v="1899-12-30T00:27:00"/>
    <s v="Overcast"/>
    <x v="2"/>
    <s v="Caching"/>
    <s v="Spruce"/>
    <n v="1"/>
    <m/>
    <n v="1"/>
    <s v="Mushroom"/>
    <s v="Mushroom"/>
    <s v="Spruce branch (from MC0906_7)"/>
    <s v="Exterior spruce foliage"/>
    <s v="Spruce"/>
    <s v="Exterior"/>
    <s v="Foliage"/>
    <m/>
    <m/>
    <s v="Unknown"/>
    <n v="63.731670000000001"/>
    <n v="148.89604"/>
    <m/>
    <m/>
    <m/>
    <n v="0"/>
    <n v="0"/>
    <n v="0"/>
    <n v="0"/>
    <n v="0"/>
    <n v="0"/>
    <n v="0"/>
    <m/>
    <s v="Female collected mushroo piece that had been placed on spruce branch by male (WO/OS).  She took it and went to a different spruce tree and cashed it.  That second tree is the one we took a GPS on"/>
    <m/>
    <m/>
  </r>
  <r>
    <s v="DSCN0379"/>
    <s v="MC0906_9"/>
    <n v="9"/>
    <n v="1"/>
    <s v="Mercantile"/>
    <d v="2018-09-06T00:00:00"/>
    <s v="September"/>
    <x v="1"/>
    <d v="1899-12-30T00:11:00"/>
    <s v="Overcast"/>
    <x v="2"/>
    <s v="Foraging"/>
    <s v="NA"/>
    <n v="1"/>
    <m/>
    <n v="0"/>
    <s v="Mushroom"/>
    <s v="Mushroom"/>
    <s v="Ground"/>
    <s v="NA"/>
    <s v="NA"/>
    <s v="NA"/>
    <s v="NA"/>
    <m/>
    <m/>
    <s v="NA"/>
    <s v="NA"/>
    <m/>
    <m/>
    <m/>
    <m/>
    <n v="0"/>
    <n v="0"/>
    <n v="0"/>
    <n v="0"/>
    <n v="0"/>
    <n v="0"/>
    <n v="0"/>
    <m/>
    <s v="Female on ground already eating at video start.  "/>
    <m/>
    <m/>
  </r>
  <r>
    <s v="DSCN0380"/>
    <s v="MC0906_10"/>
    <n v="10"/>
    <n v="1"/>
    <s v="Mercantile"/>
    <d v="2018-09-06T00:00:00"/>
    <s v="September"/>
    <x v="1"/>
    <d v="1899-12-30T00:55:00"/>
    <s v="Overcast"/>
    <x v="2"/>
    <s v="Foraging"/>
    <s v="NA"/>
    <n v="2"/>
    <m/>
    <n v="0"/>
    <s v="Mushroom"/>
    <s v="Mushroom"/>
    <s v="Ground"/>
    <s v="NA"/>
    <s v="NA"/>
    <s v="NA"/>
    <s v="NA"/>
    <m/>
    <m/>
    <s v="NA"/>
    <s v="NA"/>
    <m/>
    <m/>
    <m/>
    <m/>
    <n v="0"/>
    <n v="0"/>
    <n v="0"/>
    <n v="0"/>
    <n v="27"/>
    <n v="0"/>
    <n v="27"/>
    <m/>
    <s v="Attending mushroom"/>
    <m/>
    <m/>
  </r>
  <r>
    <s v="DSCN0381"/>
    <s v="MC0906_11"/>
    <n v="11"/>
    <n v="1"/>
    <s v="Mercantile"/>
    <d v="2018-09-06T00:00:00"/>
    <s v="September"/>
    <x v="1"/>
    <d v="1899-12-30T00:25:00"/>
    <s v="Overcast"/>
    <x v="2"/>
    <s v="Caching"/>
    <s v="Spruce"/>
    <n v="0"/>
    <m/>
    <n v="1"/>
    <s v="Mushroom"/>
    <s v="Mushroom"/>
    <s v="NA"/>
    <s v="Interior spruce foliage"/>
    <s v="Spruce"/>
    <s v="Interior"/>
    <s v="Foliage"/>
    <m/>
    <m/>
    <s v="Unknown"/>
    <n v="63.731639999999999"/>
    <n v="148.89586"/>
    <m/>
    <m/>
    <m/>
    <n v="0"/>
    <n v="0"/>
    <n v="0"/>
    <n v="0"/>
    <n v="0"/>
    <n v="0"/>
    <n v="0"/>
    <m/>
    <s v="Cached mushroom from previous video "/>
    <m/>
    <m/>
  </r>
  <r>
    <s v="DSCN0423"/>
    <s v="MC0907_4"/>
    <n v="4"/>
    <n v="1"/>
    <s v="Mercantile"/>
    <d v="2018-09-07T00:00:00"/>
    <s v="September"/>
    <x v="1"/>
    <d v="1899-12-30T00:15:00"/>
    <s v="Overcast"/>
    <x v="2"/>
    <s v="Foraging"/>
    <s v="NA"/>
    <n v="1"/>
    <m/>
    <n v="0"/>
    <s v="Mushroom"/>
    <s v="Mushroom (amanita)"/>
    <s v="Ground"/>
    <s v="NA"/>
    <s v="NA"/>
    <s v="NA"/>
    <s v="NA"/>
    <m/>
    <m/>
    <s v="NA"/>
    <s v="NA"/>
    <m/>
    <m/>
    <m/>
    <m/>
    <n v="0"/>
    <n v="0"/>
    <n v="0"/>
    <n v="0"/>
    <n v="15"/>
    <n v="0"/>
    <n v="15"/>
    <m/>
    <m/>
    <m/>
    <m/>
  </r>
  <r>
    <s v="DSCN0424"/>
    <s v="MC0907_5"/>
    <n v="5"/>
    <n v="1"/>
    <s v="Mercantile"/>
    <d v="2018-09-07T00:00:00"/>
    <s v="September"/>
    <x v="1"/>
    <d v="1899-12-30T01:33:00"/>
    <s v="Overcast"/>
    <x v="2"/>
    <s v="Foraging"/>
    <s v="Spruce"/>
    <n v="1"/>
    <m/>
    <n v="0"/>
    <s v="Mushroom"/>
    <s v="Mushroom (amanita)"/>
    <s v="NA"/>
    <s v="NA"/>
    <s v="NA"/>
    <s v="NA"/>
    <s v="NA"/>
    <m/>
    <m/>
    <s v="NA"/>
    <s v="NA"/>
    <m/>
    <m/>
    <m/>
    <m/>
    <n v="0"/>
    <n v="0"/>
    <n v="0"/>
    <n v="0"/>
    <n v="0"/>
    <n v="0"/>
    <n v="0"/>
    <m/>
    <s v="Tearing up bits of mushroom from previous video"/>
    <m/>
    <m/>
  </r>
  <r>
    <s v="DSCN0427"/>
    <s v="MC0907_6"/>
    <n v="6"/>
    <n v="1"/>
    <s v="Mercantile"/>
    <d v="2018-09-07T00:00:00"/>
    <s v="September"/>
    <x v="1"/>
    <d v="1899-12-30T00:08:00"/>
    <s v="Overcast"/>
    <x v="2"/>
    <s v="Foraging"/>
    <s v="NA"/>
    <n v="1"/>
    <m/>
    <n v="0"/>
    <s v="Mushroom"/>
    <s v="Mushroom (amanita)"/>
    <s v="Ground"/>
    <s v="NA"/>
    <s v="NA"/>
    <s v="NA"/>
    <s v="NA"/>
    <m/>
    <m/>
    <s v="NA"/>
    <s v="NA"/>
    <m/>
    <m/>
    <m/>
    <m/>
    <n v="0"/>
    <n v="0"/>
    <n v="0"/>
    <n v="0"/>
    <n v="9"/>
    <n v="0"/>
    <n v="9"/>
    <m/>
    <m/>
    <m/>
    <m/>
  </r>
  <r>
    <s v="DSCN0437"/>
    <s v="MC0907_7"/>
    <n v="7"/>
    <n v="1"/>
    <s v="Mercantile"/>
    <d v="2018-09-07T00:00:00"/>
    <s v="September"/>
    <x v="1"/>
    <d v="1899-12-30T01:14:00"/>
    <s v="Overcast"/>
    <x v="2"/>
    <s v="Foraging"/>
    <s v="NA"/>
    <n v="1"/>
    <m/>
    <n v="0"/>
    <s v="Insect"/>
    <s v="Insect (caterpillar)"/>
    <s v="Ground"/>
    <s v="NA"/>
    <s v="NA"/>
    <s v="NA"/>
    <s v="NA"/>
    <m/>
    <m/>
    <s v="NA"/>
    <s v="NA"/>
    <m/>
    <m/>
    <m/>
    <m/>
    <n v="0"/>
    <n v="0"/>
    <n v="0"/>
    <n v="0"/>
    <n v="5"/>
    <n v="0"/>
    <n v="5"/>
    <m/>
    <m/>
    <m/>
    <m/>
  </r>
  <r>
    <s v="DSCN0437"/>
    <s v="MC0907_7"/>
    <n v="7"/>
    <n v="1"/>
    <s v="Mercantile"/>
    <d v="2018-09-07T00:00:00"/>
    <s v="September"/>
    <x v="1"/>
    <d v="1899-12-30T01:14:00"/>
    <s v="Overcast"/>
    <x v="2"/>
    <s v="Foraging"/>
    <s v="NA"/>
    <n v="1"/>
    <m/>
    <n v="0"/>
    <s v="Insect"/>
    <s v="Insect (caterpillar)"/>
    <s v="Ground"/>
    <s v="NA"/>
    <s v="NA"/>
    <s v="NA"/>
    <s v="NA"/>
    <m/>
    <m/>
    <s v="NA"/>
    <s v="NA"/>
    <m/>
    <m/>
    <m/>
    <m/>
    <n v="0"/>
    <n v="0"/>
    <n v="0"/>
    <n v="0"/>
    <n v="6"/>
    <n v="0"/>
    <n v="6"/>
    <m/>
    <m/>
    <m/>
    <m/>
  </r>
  <r>
    <s v="DSCN0439"/>
    <s v="MC0907_8"/>
    <n v="8"/>
    <n v="1"/>
    <s v="Mercantile"/>
    <d v="2018-09-07T00:00:00"/>
    <s v="September"/>
    <x v="1"/>
    <d v="1899-12-30T00:08:00"/>
    <s v="Overcast"/>
    <x v="2"/>
    <s v="Foraging"/>
    <s v="NA"/>
    <n v="1"/>
    <m/>
    <n v="0"/>
    <s v="Mushroom"/>
    <s v="Mushroom"/>
    <s v="Ground"/>
    <s v="NA"/>
    <s v="NA"/>
    <s v="NA"/>
    <s v="NA"/>
    <m/>
    <m/>
    <s v="NA"/>
    <s v="NA"/>
    <m/>
    <m/>
    <m/>
    <m/>
    <n v="0"/>
    <n v="0"/>
    <n v="0"/>
    <n v="0"/>
    <n v="2"/>
    <n v="0"/>
    <n v="2"/>
    <m/>
    <m/>
    <m/>
    <m/>
  </r>
  <r>
    <s v="DSCN0443"/>
    <s v="MC0907_12"/>
    <n v="12"/>
    <n v="1"/>
    <s v="Mercantile"/>
    <d v="2018-09-07T00:00:00"/>
    <s v="September"/>
    <x v="1"/>
    <d v="1899-12-30T01:28:00"/>
    <s v="Overcast"/>
    <x v="2"/>
    <s v="Cache recovery"/>
    <s v="Spruce"/>
    <n v="1"/>
    <m/>
    <n v="0"/>
    <s v="Unknown"/>
    <s v="Unknown"/>
    <s v="Exterior spruce branch"/>
    <s v="NA"/>
    <s v="NA"/>
    <s v="NA"/>
    <s v="NA"/>
    <m/>
    <m/>
    <s v="NA"/>
    <s v="NA"/>
    <s v="NA"/>
    <m/>
    <m/>
    <m/>
    <n v="9"/>
    <n v="0"/>
    <n v="9"/>
    <n v="0"/>
    <n v="2"/>
    <n v="0"/>
    <n v="11"/>
    <s v="Gleaning, searching "/>
    <s v="Appeared to recover white object from tree, we called it a cache recovery and GPS's (63.73207 148.89915).  Suspect mushroom "/>
    <m/>
    <m/>
  </r>
  <r>
    <s v="DSCN0606"/>
    <s v="MC0911_1"/>
    <n v="1"/>
    <n v="1"/>
    <s v="Mercantile"/>
    <d v="2018-09-11T00:00:00"/>
    <s v="September"/>
    <x v="1"/>
    <d v="1899-12-30T00:21:00"/>
    <s v="Full sun"/>
    <x v="2"/>
    <s v="Caching"/>
    <s v="Aspen"/>
    <n v="0"/>
    <m/>
    <n v="1"/>
    <s v="Unknown"/>
    <s v="Unknown"/>
    <s v="unknown"/>
    <s v="Aspen trunk"/>
    <s v="Aspen"/>
    <s v="Trunk"/>
    <s v="On bark"/>
    <m/>
    <m/>
    <s v="unknown"/>
    <s v="Did not mark (did not recognize as cache while in field)"/>
    <m/>
    <m/>
    <m/>
    <m/>
    <n v="0"/>
    <n v="0"/>
    <n v="0"/>
    <n v="0"/>
    <n v="0"/>
    <n v="0"/>
    <n v="0"/>
    <m/>
    <m/>
    <m/>
    <m/>
  </r>
  <r>
    <s v="DSCN0608"/>
    <s v="MC0911_2"/>
    <n v="2"/>
    <n v="1"/>
    <s v="Mercantile"/>
    <d v="2018-09-11T00:00:00"/>
    <s v="September"/>
    <x v="1"/>
    <d v="1899-12-30T00:04:00"/>
    <s v="Full sun"/>
    <x v="2"/>
    <s v="Foraging"/>
    <s v="Spruce"/>
    <n v="1"/>
    <m/>
    <n v="0"/>
    <s v="Unknown"/>
    <s v="Unknown"/>
    <s v="Exterior foliated spruce"/>
    <s v="NA"/>
    <s v="NA"/>
    <s v="NA"/>
    <s v="NA"/>
    <m/>
    <m/>
    <s v="NA"/>
    <s v="NA"/>
    <m/>
    <m/>
    <m/>
    <m/>
    <n v="0"/>
    <n v="0"/>
    <n v="0"/>
    <n v="0"/>
    <n v="0"/>
    <n v="0"/>
    <n v="0"/>
    <m/>
    <s v="Eating food in tree"/>
    <m/>
    <m/>
  </r>
  <r>
    <s v="DSCN0613"/>
    <s v="MC0911_4"/>
    <n v="4"/>
    <n v="1"/>
    <s v="Mercantile"/>
    <d v="2018-09-11T00:00:00"/>
    <s v="September"/>
    <x v="1"/>
    <d v="1899-12-30T00:16:00"/>
    <s v="Full sun"/>
    <x v="2"/>
    <s v="Foraging or caching"/>
    <s v="Aspen"/>
    <s v="unknown"/>
    <m/>
    <n v="0"/>
    <s v="Unknown"/>
    <s v="Unknown"/>
    <n v="0"/>
    <s v="Aspen branch"/>
    <s v="NA"/>
    <s v="NA"/>
    <s v="NA"/>
    <m/>
    <m/>
    <s v="NA"/>
    <s v="NA"/>
    <m/>
    <m/>
    <m/>
    <m/>
    <n v="0"/>
    <n v="0"/>
    <n v="0"/>
    <n v="0"/>
    <n v="0"/>
    <n v="0"/>
    <n v="0"/>
    <m/>
    <s v="Hard to tell, B&amp;Ut looked like caching behavior"/>
    <m/>
    <m/>
  </r>
  <r>
    <s v="DSCN0615"/>
    <s v="MC0911_5"/>
    <n v="5"/>
    <n v="1"/>
    <s v="Mercantile"/>
    <d v="2018-09-11T00:00:00"/>
    <s v="September"/>
    <x v="1"/>
    <d v="1899-12-30T00:29:00"/>
    <s v="Full sun"/>
    <x v="2"/>
    <s v="Foraging and caching"/>
    <s v="NA"/>
    <n v="1"/>
    <m/>
    <n v="0"/>
    <s v="Mushroom"/>
    <s v="Mushroom"/>
    <s v="Ground"/>
    <s v="NA"/>
    <s v="NA"/>
    <s v="NA"/>
    <s v="NA"/>
    <m/>
    <m/>
    <s v="NA"/>
    <s v="NA"/>
    <m/>
    <m/>
    <m/>
    <m/>
    <n v="0"/>
    <n v="0"/>
    <n v="0"/>
    <n v="0"/>
    <n v="12"/>
    <n v="0"/>
    <n v="12"/>
    <m/>
    <s v="Took about four pieces of same mushroom before flying up to cache on a spruce branch"/>
    <m/>
    <m/>
  </r>
  <r>
    <s v="DSCN0615"/>
    <s v="MC0911_5"/>
    <n v="5"/>
    <n v="2"/>
    <s v="Mercantile"/>
    <d v="2018-09-11T00:00:00"/>
    <s v="September"/>
    <x v="1"/>
    <d v="1899-12-30T00:29:00"/>
    <s v="Full sun"/>
    <x v="2"/>
    <s v="Foraging and caching"/>
    <s v="NA"/>
    <n v="1"/>
    <m/>
    <n v="1"/>
    <s v="Mushroom"/>
    <s v="Mushroom"/>
    <s v="Ground"/>
    <s v="Exterior spruce foliage"/>
    <s v="Spruce"/>
    <s v="Exterior"/>
    <s v="Foliage"/>
    <m/>
    <m/>
    <s v="Unknown"/>
    <s v="Did not mark (did not recognize as cache while in field)"/>
    <m/>
    <m/>
    <m/>
    <m/>
    <n v="0"/>
    <n v="0"/>
    <n v="0"/>
    <n v="0"/>
    <n v="0"/>
    <n v="0"/>
    <n v="0"/>
    <m/>
    <s v="Took about four pieces of same mushroom before flying up to cache on a spruce branch"/>
    <m/>
    <m/>
  </r>
  <r>
    <s v="DSCN0616"/>
    <s v="MC0911_6"/>
    <n v="6"/>
    <n v="1"/>
    <s v="Mercantile"/>
    <d v="2018-09-11T00:00:00"/>
    <s v="September"/>
    <x v="1"/>
    <d v="1899-12-30T00:39:00"/>
    <s v="Full sun"/>
    <x v="2"/>
    <s v="Caching"/>
    <s v="Aspen"/>
    <n v="0"/>
    <m/>
    <n v="1"/>
    <s v="Insect"/>
    <s v="Insect (caterpillar)"/>
    <s v="unknown"/>
    <s v="Exterior aspen branch"/>
    <s v="Aspen"/>
    <s v="Exterior"/>
    <s v="Branch"/>
    <m/>
    <m/>
    <s v="Unknown"/>
    <n v="63.735460000000003"/>
    <n v="148.89166"/>
    <m/>
    <m/>
    <m/>
    <n v="0"/>
    <n v="0"/>
    <n v="0"/>
    <n v="0"/>
    <n v="0"/>
    <n v="0"/>
    <n v="0"/>
    <m/>
    <s v="Video started after bird had grabbed a caterpillar, looks like it caches it on an aspen branch"/>
    <m/>
    <m/>
  </r>
  <r>
    <s v="DSCN0617"/>
    <s v="MC0911_7"/>
    <n v="7"/>
    <n v="1"/>
    <s v="Mercantile"/>
    <d v="2018-09-11T00:00:00"/>
    <s v="September"/>
    <x v="1"/>
    <d v="1899-12-30T00:07:00"/>
    <s v="Full sun"/>
    <x v="2"/>
    <s v="Cache recovery"/>
    <s v="Spruce"/>
    <n v="1"/>
    <m/>
    <n v="0"/>
    <s v="Berry"/>
    <s v="Berry (Soapberry)"/>
    <s v="Spruce exterior foliage"/>
    <s v="NA"/>
    <s v="NA"/>
    <s v="NA"/>
    <s v="NA"/>
    <m/>
    <m/>
    <s v="NA"/>
    <s v="NA"/>
    <m/>
    <m/>
    <m/>
    <m/>
    <n v="0"/>
    <n v="0"/>
    <n v="0"/>
    <n v="0"/>
    <n v="0"/>
    <n v="0"/>
    <n v="0"/>
    <m/>
    <s v="Looked like a soapberry, maybe with a stem attached"/>
    <m/>
    <m/>
  </r>
  <r>
    <s v="DSCN0733"/>
    <s v="MC0914_1"/>
    <n v="1"/>
    <n v="1"/>
    <s v="Mercantile"/>
    <d v="2018-09-14T00:00:00"/>
    <s v="September"/>
    <x v="1"/>
    <d v="1899-12-30T00:38:00"/>
    <s v="Mostly sunny"/>
    <x v="2"/>
    <s v="Foraging"/>
    <s v="Spruce"/>
    <s v="unknown"/>
    <m/>
    <n v="0"/>
    <s v="Unknown"/>
    <s v="Unknown"/>
    <s v="NA"/>
    <s v="NA"/>
    <s v="NA"/>
    <s v="NA"/>
    <s v="NA"/>
    <m/>
    <m/>
    <s v="NA"/>
    <s v="NA"/>
    <m/>
    <m/>
    <m/>
    <m/>
    <n v="0"/>
    <n v="8"/>
    <n v="0"/>
    <n v="8"/>
    <n v="10"/>
    <n v="0"/>
    <n v="18"/>
    <m/>
    <m/>
    <m/>
    <m/>
  </r>
  <r>
    <s v="DSCN0739"/>
    <s v="MC0914_4"/>
    <n v="4"/>
    <n v="1"/>
    <s v="Mercantile"/>
    <d v="2018-09-14T00:00:00"/>
    <s v="September"/>
    <x v="1"/>
    <d v="1899-12-30T00:59:00"/>
    <s v="Mostly sunny"/>
    <x v="2"/>
    <s v="Food handling/caching"/>
    <s v="Spruce"/>
    <n v="1"/>
    <m/>
    <n v="2"/>
    <s v="Human food"/>
    <s v="Human food"/>
    <s v="unknown"/>
    <s v="Exterior spruce branch under bark/witch hair"/>
    <s v="Spruce"/>
    <s v="Exterior"/>
    <s v="Under bark and witch hair "/>
    <m/>
    <m/>
    <s v="unknown"/>
    <n v="63.732939999999999"/>
    <n v="148.90082000000001"/>
    <m/>
    <m/>
    <m/>
    <n v="0"/>
    <n v="0"/>
    <n v="0"/>
    <n v="0"/>
    <n v="0"/>
    <n v="0"/>
    <n v="0"/>
    <m/>
    <m/>
    <m/>
    <m/>
  </r>
  <r>
    <s v="DSCN0739"/>
    <s v="MC0914_4"/>
    <n v="4"/>
    <n v="2"/>
    <s v="Mercantile"/>
    <d v="2018-09-14T00:00:00"/>
    <s v="September"/>
    <x v="1"/>
    <d v="1899-12-30T00:59:00"/>
    <s v="Mostly sunny"/>
    <x v="2"/>
    <s v="Food handling/caching"/>
    <s v="Spruce"/>
    <n v="0"/>
    <m/>
    <n v="1"/>
    <s v="Human food"/>
    <s v="Human food"/>
    <s v="unknown"/>
    <s v="Exterior spruce branch under bark/witch hair"/>
    <s v="Spruce"/>
    <s v="Exterior"/>
    <s v="Under bark and witch hair "/>
    <m/>
    <m/>
    <s v="unknown"/>
    <n v="63.732930000000003"/>
    <n v="148.90075999999999"/>
    <m/>
    <m/>
    <m/>
    <n v="0"/>
    <n v="0"/>
    <n v="0"/>
    <n v="0"/>
    <n v="0"/>
    <n v="0"/>
    <n v="0"/>
    <m/>
    <m/>
    <m/>
    <m/>
  </r>
  <r>
    <s v="DSCN0742"/>
    <s v="MC0914_5"/>
    <n v="5"/>
    <n v="1"/>
    <s v="Mercantile"/>
    <d v="2018-09-14T00:00:00"/>
    <s v="September"/>
    <x v="1"/>
    <d v="1899-12-30T00:12:00"/>
    <s v="Mostly sunny"/>
    <x v="2"/>
    <s v="Foraging"/>
    <s v="NA"/>
    <n v="1"/>
    <m/>
    <n v="0"/>
    <s v="Unknown"/>
    <s v="unknown not berry"/>
    <s v="Ground"/>
    <s v="NA"/>
    <s v="NA"/>
    <s v="NA"/>
    <s v="NA"/>
    <m/>
    <m/>
    <s v="NA"/>
    <s v="NA"/>
    <m/>
    <m/>
    <m/>
    <m/>
    <n v="0"/>
    <n v="0"/>
    <n v="0"/>
    <n v="0"/>
    <n v="0"/>
    <n v="0"/>
    <n v="0"/>
    <m/>
    <m/>
    <m/>
    <m/>
  </r>
  <r>
    <s v="DSCN0836"/>
    <s v="MC0916_2"/>
    <n v="2"/>
    <n v="1"/>
    <s v="Mercantile"/>
    <d v="2018-09-16T00:00:00"/>
    <s v="September"/>
    <x v="1"/>
    <d v="1899-12-30T00:22:00"/>
    <s v="Overcast"/>
    <x v="2"/>
    <s v="Cache recovery"/>
    <s v="Spruce"/>
    <n v="1"/>
    <m/>
    <n v="0"/>
    <s v="Unknown"/>
    <s v="Unknown"/>
    <s v="Interior top of spruce tree"/>
    <s v="NA"/>
    <s v="NA"/>
    <s v="NA"/>
    <s v="NA"/>
    <m/>
    <m/>
    <s v="NA"/>
    <s v="NA"/>
    <m/>
    <m/>
    <m/>
    <m/>
    <n v="0"/>
    <n v="0"/>
    <n v="0"/>
    <n v="0"/>
    <n v="0"/>
    <n v="0"/>
    <n v="0"/>
    <m/>
    <m/>
    <m/>
    <m/>
  </r>
  <r>
    <s v="DSCN0837"/>
    <s v="MC0916_3"/>
    <n v="3"/>
    <n v="1"/>
    <s v="Mercantile"/>
    <d v="2018-09-16T00:00:00"/>
    <s v="September"/>
    <x v="1"/>
    <d v="1899-12-30T00:03:00"/>
    <s v="Overcast"/>
    <x v="2"/>
    <s v="Food handling"/>
    <s v="NA"/>
    <n v="1"/>
    <m/>
    <n v="0"/>
    <s v="Human food"/>
    <s v="Human food (Bread)"/>
    <s v="unknown"/>
    <s v="NA"/>
    <s v="NA"/>
    <s v="NA"/>
    <s v="NA"/>
    <m/>
    <m/>
    <s v="NA"/>
    <s v="NA"/>
    <m/>
    <m/>
    <m/>
    <m/>
    <n v="0"/>
    <n v="0"/>
    <n v="0"/>
    <n v="0"/>
    <n v="0"/>
    <n v="0"/>
    <n v="0"/>
    <m/>
    <s v="This is the first recovered piece of bread"/>
    <m/>
    <m/>
  </r>
  <r>
    <s v="DSCN0838"/>
    <s v="MC0916_4"/>
    <n v="4"/>
    <n v="1"/>
    <s v="Mercantile"/>
    <d v="2018-09-16T00:00:00"/>
    <s v="September"/>
    <x v="1"/>
    <d v="1899-12-30T00:35:00"/>
    <s v="Overcast"/>
    <x v="2"/>
    <s v="Cache recovery"/>
    <s v="Spruce"/>
    <n v="1"/>
    <m/>
    <n v="0"/>
    <s v="Human food"/>
    <s v="Human food (Bread)"/>
    <s v="Interior spruce foliage"/>
    <s v="NA"/>
    <s v="NA"/>
    <s v="NA"/>
    <s v="NA"/>
    <m/>
    <m/>
    <s v="NA"/>
    <s v="NA"/>
    <m/>
    <m/>
    <m/>
    <m/>
    <n v="0"/>
    <n v="0"/>
    <n v="0"/>
    <n v="0"/>
    <n v="0"/>
    <n v="0"/>
    <n v="0"/>
    <m/>
    <s v="This is the second recovered piece of bread"/>
    <m/>
    <m/>
  </r>
  <r>
    <s v="DSCN0839"/>
    <s v="MC0916_5"/>
    <n v="5"/>
    <n v="1"/>
    <s v="Mercantile"/>
    <d v="2018-09-16T00:00:00"/>
    <s v="September"/>
    <x v="1"/>
    <d v="1899-12-30T00:09:00"/>
    <s v="Overcast"/>
    <x v="2"/>
    <s v="Food handling"/>
    <s v="Spruce"/>
    <n v="1"/>
    <m/>
    <n v="0"/>
    <s v="Human food"/>
    <s v="Human food (Bread)"/>
    <s v="NA"/>
    <s v="NA"/>
    <s v="NA"/>
    <s v="NA"/>
    <s v="NA"/>
    <m/>
    <m/>
    <s v="NA"/>
    <s v="NA"/>
    <m/>
    <m/>
    <m/>
    <m/>
    <n v="0"/>
    <n v="0"/>
    <n v="0"/>
    <n v="0"/>
    <n v="0"/>
    <n v="0"/>
    <n v="0"/>
    <m/>
    <s v="Same piece of bread in previous video "/>
    <m/>
    <m/>
  </r>
  <r>
    <s v="DSCN0840"/>
    <s v="MC0916_6"/>
    <n v="6"/>
    <n v="1"/>
    <s v="Mercantile"/>
    <d v="2018-09-16T00:00:00"/>
    <s v="September"/>
    <x v="1"/>
    <d v="1899-12-30T00:12:00"/>
    <s v="Overcast"/>
    <x v="2"/>
    <s v="Food handling"/>
    <s v="NA"/>
    <n v="0"/>
    <m/>
    <n v="0"/>
    <s v="Human food"/>
    <s v="Human food (Bread)"/>
    <s v="NA"/>
    <s v="NA"/>
    <s v="NA"/>
    <s v="NA"/>
    <s v="NA"/>
    <m/>
    <m/>
    <s v="NA"/>
    <s v="NA"/>
    <m/>
    <m/>
    <m/>
    <m/>
    <n v="0"/>
    <n v="0"/>
    <n v="0"/>
    <n v="0"/>
    <n v="0"/>
    <n v="0"/>
    <n v="0"/>
    <m/>
    <s v="Same piece of bread in previous video "/>
    <m/>
    <m/>
  </r>
  <r>
    <s v="DSCN0841"/>
    <s v="MC0916_7"/>
    <n v="7"/>
    <n v="1"/>
    <s v="Mercantile"/>
    <d v="2018-09-16T00:00:00"/>
    <s v="September"/>
    <x v="1"/>
    <d v="1899-12-30T00:26:00"/>
    <s v="Overcast"/>
    <x v="2"/>
    <s v="Food handling/caching"/>
    <s v="Spruce"/>
    <n v="0"/>
    <m/>
    <n v="1"/>
    <s v="Human food"/>
    <s v="Human food (Bread)"/>
    <s v="NA"/>
    <s v="Sitting on bare spruce twigs"/>
    <s v="Spruce"/>
    <s v="Unknown"/>
    <s v="On bark"/>
    <m/>
    <m/>
    <s v="Unknown"/>
    <n v="63.733759999999997"/>
    <n v="148.89946"/>
    <m/>
    <m/>
    <m/>
    <n v="0"/>
    <n v="0"/>
    <n v="0"/>
    <n v="0"/>
    <n v="0"/>
    <n v="0"/>
    <n v="0"/>
    <m/>
    <s v="Same piece of bread in previous video "/>
    <m/>
    <m/>
  </r>
  <r>
    <s v="DSCN0846"/>
    <s v="MC0916_8"/>
    <n v="8"/>
    <n v="1"/>
    <s v="Mercantile"/>
    <d v="2018-09-16T00:00:00"/>
    <s v="September"/>
    <x v="1"/>
    <d v="1899-12-30T00:35:00"/>
    <s v="Overcast"/>
    <x v="2"/>
    <s v="Foraging"/>
    <s v="Spruce"/>
    <s v="unknown"/>
    <m/>
    <n v="0"/>
    <m/>
    <s v="NA"/>
    <s v="NA"/>
    <s v="NA"/>
    <s v="NA"/>
    <s v="NA"/>
    <s v="NA"/>
    <m/>
    <m/>
    <s v="NA"/>
    <s v="NA"/>
    <m/>
    <m/>
    <m/>
    <m/>
    <n v="0"/>
    <n v="13"/>
    <n v="9"/>
    <n v="4"/>
    <n v="0"/>
    <n v="0"/>
    <n v="13"/>
    <s v="Gleaning"/>
    <s v="Also pair cuteness"/>
    <n v="0"/>
    <n v="1"/>
  </r>
  <r>
    <s v="DSCN1080"/>
    <s v="MC0925_1"/>
    <n v="1"/>
    <n v="1"/>
    <s v="Mercantile"/>
    <d v="2018-09-25T00:00:00"/>
    <s v="September"/>
    <x v="1"/>
    <d v="1899-12-30T00:10:00"/>
    <s v="Overcast"/>
    <x v="2"/>
    <s v="Foraging/food handling"/>
    <s v="Spruce"/>
    <n v="1"/>
    <m/>
    <n v="0"/>
    <s v="Unknown"/>
    <s v="Unknown"/>
    <s v="Spruce branch under bark"/>
    <s v="NA"/>
    <s v="NA"/>
    <s v="NA"/>
    <s v="NA"/>
    <m/>
    <m/>
    <s v="NA"/>
    <s v="NA"/>
    <m/>
    <m/>
    <m/>
    <m/>
    <n v="0"/>
    <n v="0"/>
    <n v="0"/>
    <n v="0"/>
    <n v="0"/>
    <n v="0"/>
    <n v="0"/>
    <m/>
    <s v="Could have been retrieving a cache "/>
    <m/>
    <m/>
  </r>
  <r>
    <s v="DSCN1084"/>
    <s v="MC0925_3"/>
    <n v="3"/>
    <n v="1"/>
    <s v="Mercantile"/>
    <d v="2018-09-25T00:00:00"/>
    <s v="September"/>
    <x v="1"/>
    <d v="1899-12-30T00:47:00"/>
    <s v="Overcast"/>
    <x v="2"/>
    <s v="Foraging/food handling"/>
    <s v="Spruce"/>
    <n v="1"/>
    <m/>
    <n v="0"/>
    <s v="Unknown"/>
    <s v="Unknown"/>
    <s v="Exterior dense foliage of spruce"/>
    <s v="NA"/>
    <s v="NA"/>
    <s v="NA"/>
    <s v="NA"/>
    <m/>
    <m/>
    <s v="NA"/>
    <s v="NA"/>
    <m/>
    <m/>
    <m/>
    <m/>
    <n v="0"/>
    <n v="0"/>
    <n v="0"/>
    <n v="0"/>
    <n v="0"/>
    <n v="0"/>
    <n v="0"/>
    <m/>
    <m/>
    <m/>
    <m/>
  </r>
  <r>
    <s v="DSCN1091"/>
    <s v="MC0925_8"/>
    <n v="8"/>
    <n v="1"/>
    <s v="Mercantile"/>
    <d v="2018-09-25T00:00:00"/>
    <s v="September"/>
    <x v="1"/>
    <d v="1899-12-30T00:21:00"/>
    <s v="Overcast"/>
    <x v="2"/>
    <s v="Caching"/>
    <s v="Spruce"/>
    <n v="0"/>
    <m/>
    <n v="1"/>
    <s v="Human food"/>
    <s v="Human food"/>
    <s v="unknown"/>
    <s v="Interior spruce foliage, 20M "/>
    <s v="Spruce"/>
    <s v="Interior"/>
    <s v="Foliage"/>
    <m/>
    <m/>
    <s v="unknown"/>
    <n v="63.732529999999997"/>
    <n v="148.89622"/>
    <m/>
    <m/>
    <m/>
    <n v="0"/>
    <n v="0"/>
    <n v="0"/>
    <n v="0"/>
    <n v="0"/>
    <n v="0"/>
    <n v="0"/>
    <m/>
    <s v="Video does not show cache.  I had seen the female in another spruce eating the food, B&amp;Ut could not get video on her in time.  Then she flew the featured tree and put the food there.  When I saw her fly with it it looked like human food given the color/size and shape.  "/>
    <m/>
    <m/>
  </r>
  <r>
    <s v="DSCN0323"/>
    <s v="CC0906_1"/>
    <n v="1"/>
    <n v="1"/>
    <s v="CCAMP"/>
    <d v="2018-09-06T00:00:00"/>
    <s v="September"/>
    <x v="1"/>
    <d v="1899-12-30T00:40:00"/>
    <s v="Overcast"/>
    <x v="17"/>
    <s v="Foraging"/>
    <s v="NA"/>
    <n v="1"/>
    <m/>
    <n v="0"/>
    <s v="Insect"/>
    <s v="Insect (caterpillar)"/>
    <s v="Ground"/>
    <s v="NA"/>
    <s v="NA"/>
    <s v="NA"/>
    <s v="NA"/>
    <m/>
    <m/>
    <s v="NA"/>
    <s v="NA"/>
    <m/>
    <m/>
    <m/>
    <m/>
    <n v="0"/>
    <n v="0"/>
    <n v="0"/>
    <n v="0"/>
    <n v="28"/>
    <n v="0"/>
    <n v="28"/>
    <s v="Searching"/>
    <m/>
    <m/>
    <m/>
  </r>
  <r>
    <s v="DSCN0325"/>
    <s v="CC0906_2"/>
    <n v="2"/>
    <n v="1"/>
    <s v="CCAMP"/>
    <d v="2018-09-06T00:00:00"/>
    <s v="September"/>
    <x v="1"/>
    <d v="1899-12-30T00:13:00"/>
    <s v="Overcast"/>
    <x v="17"/>
    <s v="Food handling"/>
    <s v="Spruce"/>
    <n v="1"/>
    <m/>
    <n v="0"/>
    <s v="Insect"/>
    <s v="Insect"/>
    <s v="unknown"/>
    <s v="NA"/>
    <s v="NA"/>
    <s v="NA"/>
    <s v="NA"/>
    <m/>
    <m/>
    <s v="NA"/>
    <s v="NA"/>
    <m/>
    <m/>
    <m/>
    <m/>
    <n v="0"/>
    <n v="0"/>
    <n v="0"/>
    <n v="0"/>
    <n v="0"/>
    <n v="0"/>
    <n v="0"/>
    <m/>
    <s v="Only caught food handling, not discovery "/>
    <m/>
    <m/>
  </r>
  <r>
    <s v="DSCN0345"/>
    <s v="CC0906_3"/>
    <n v="3"/>
    <n v="1"/>
    <s v="CCAMP"/>
    <d v="2018-09-06T00:00:00"/>
    <s v="September"/>
    <x v="1"/>
    <d v="1899-12-30T00:05:00"/>
    <s v="Overcast"/>
    <x v="17"/>
    <s v="Food handling"/>
    <s v="Spruce"/>
    <n v="1"/>
    <m/>
    <n v="0"/>
    <s v="Unknown"/>
    <s v="Unknown"/>
    <s v="unknown"/>
    <s v="NA"/>
    <s v="NA"/>
    <s v="NA"/>
    <s v="NA"/>
    <m/>
    <m/>
    <s v="NA"/>
    <s v="NA"/>
    <m/>
    <m/>
    <m/>
    <m/>
    <n v="0"/>
    <n v="0"/>
    <n v="0"/>
    <n v="0"/>
    <n v="0"/>
    <n v="0"/>
    <n v="0"/>
    <m/>
    <s v="Only caught food handling, not discovery "/>
    <m/>
    <m/>
  </r>
  <r>
    <s v="DSCN0872"/>
    <s v="CC0917_1"/>
    <n v="1"/>
    <n v="1"/>
    <s v="CCAMP"/>
    <d v="2018-09-17T00:00:00"/>
    <s v="September"/>
    <x v="1"/>
    <d v="1899-12-30T00:11:00"/>
    <s v="Partly Sunny"/>
    <x v="17"/>
    <s v="Foraging/food handling"/>
    <s v="Spruce"/>
    <n v="1"/>
    <m/>
    <n v="0"/>
    <s v="Unknown"/>
    <s v="Unknown"/>
    <s v="Exterior foliated spruce"/>
    <s v="NA"/>
    <s v="NA"/>
    <s v="NA"/>
    <s v="NA"/>
    <m/>
    <m/>
    <s v="NA"/>
    <s v="NA"/>
    <m/>
    <m/>
    <m/>
    <m/>
    <n v="0"/>
    <n v="0"/>
    <n v="0"/>
    <n v="0"/>
    <n v="0"/>
    <n v="0"/>
    <n v="0"/>
    <m/>
    <s v="Flew directly to area to retrieve food."/>
    <m/>
    <m/>
  </r>
  <r>
    <s v="DSCN0877"/>
    <s v="CC0917_2"/>
    <n v="2"/>
    <n v="1"/>
    <s v="CCAMP"/>
    <d v="2018-09-17T00:00:00"/>
    <s v="September"/>
    <x v="1"/>
    <d v="1899-12-30T00:15:00"/>
    <s v="Partly Sunny"/>
    <x v="17"/>
    <s v="Foraging"/>
    <s v="Spruce"/>
    <s v="unknown"/>
    <m/>
    <n v="0"/>
    <m/>
    <s v="NA"/>
    <s v="NA"/>
    <s v="NA"/>
    <s v="NA"/>
    <s v="NA"/>
    <s v="NA"/>
    <m/>
    <m/>
    <s v="NA"/>
    <s v="NA"/>
    <m/>
    <m/>
    <m/>
    <m/>
    <n v="0"/>
    <n v="14"/>
    <n v="14"/>
    <n v="0"/>
    <n v="0"/>
    <n v="0"/>
    <n v="14"/>
    <s v="Unclear from video…too obstructed"/>
    <m/>
    <m/>
    <m/>
  </r>
  <r>
    <s v="DSCN0888"/>
    <s v="CC0917_8"/>
    <n v="8"/>
    <n v="1"/>
    <s v="CCAMP"/>
    <d v="2018-09-17T00:00:00"/>
    <s v="September"/>
    <x v="1"/>
    <d v="1899-12-30T00:38:00"/>
    <s v="Partly Sunny"/>
    <x v="17"/>
    <s v="Foraging"/>
    <s v="NA"/>
    <s v="unknown"/>
    <m/>
    <n v="0"/>
    <m/>
    <s v="NA"/>
    <s v="NA"/>
    <s v="NA"/>
    <s v="NA"/>
    <s v="NA"/>
    <s v="NA"/>
    <m/>
    <m/>
    <s v="NA"/>
    <s v="NA"/>
    <m/>
    <m/>
    <m/>
    <m/>
    <n v="0"/>
    <n v="0"/>
    <n v="0"/>
    <n v="0"/>
    <n v="20"/>
    <n v="0"/>
    <n v="20"/>
    <m/>
    <m/>
    <m/>
    <m/>
  </r>
  <r>
    <s v="DSCN0870"/>
    <s v="RC0917_1"/>
    <n v="1"/>
    <n v="2"/>
    <s v="CCAMP"/>
    <d v="2018-09-17T00:00:00"/>
    <s v="September"/>
    <x v="1"/>
    <d v="1899-12-30T03:44:00"/>
    <s v="Partly Sunny"/>
    <x v="4"/>
    <s v="Food handling/caching"/>
    <s v="Spruce"/>
    <s v="unknown"/>
    <m/>
    <n v="1"/>
    <s v="Human food"/>
    <s v="Human food (Bread)"/>
    <s v="unknown"/>
    <s v="Interior spruce near or on trunk in exposed area"/>
    <s v="Spruce"/>
    <s v="Trunk"/>
    <s v="Under bark"/>
    <m/>
    <m/>
    <s v="unknown"/>
    <n v="63.72119"/>
    <n v="148.95818"/>
    <m/>
    <m/>
    <m/>
    <n v="0"/>
    <n v="0"/>
    <n v="0"/>
    <n v="0"/>
    <n v="0"/>
    <n v="0"/>
    <n v="0"/>
    <m/>
    <m/>
    <m/>
    <m/>
  </r>
  <r>
    <s v="DSCN0870"/>
    <s v="RC0917_1"/>
    <n v="1"/>
    <n v="1"/>
    <s v="CCAMP"/>
    <d v="2018-09-17T00:00:00"/>
    <s v="September"/>
    <x v="1"/>
    <d v="1899-12-30T03:44:00"/>
    <s v="Partly Sunny"/>
    <x v="4"/>
    <s v="Food handling/caching"/>
    <s v="Spruce"/>
    <n v="1"/>
    <m/>
    <n v="1"/>
    <s v="Human food"/>
    <s v="Human food (Bread)"/>
    <s v="unknown"/>
    <s v="Exterior spruce foliage"/>
    <s v="Spruce"/>
    <s v="Exterior"/>
    <s v="Foliage"/>
    <m/>
    <m/>
    <s v="unknown"/>
    <n v="63.721159999999998"/>
    <n v="148.95854"/>
    <m/>
    <m/>
    <m/>
    <n v="0"/>
    <n v="0"/>
    <n v="0"/>
    <n v="0"/>
    <n v="0"/>
    <n v="0"/>
    <n v="0"/>
    <m/>
    <m/>
    <m/>
    <m/>
  </r>
  <r>
    <s v="DSCN0871"/>
    <s v="RC0917_2"/>
    <n v="2"/>
    <n v="1"/>
    <s v="CCAMP"/>
    <d v="2018-09-17T00:00:00"/>
    <s v="September"/>
    <x v="1"/>
    <d v="1899-12-30T01:24:00"/>
    <s v="Partly Sunny"/>
    <x v="4"/>
    <s v="Caching"/>
    <s v="Spruce"/>
    <n v="0"/>
    <m/>
    <n v="1"/>
    <s v="Human food"/>
    <s v="Human food (Bread)"/>
    <s v="unknown"/>
    <s v="Exterior spruce branch under bark"/>
    <s v="Spruce"/>
    <s v="Exterior"/>
    <s v="Under bark"/>
    <m/>
    <m/>
    <s v="unknown"/>
    <n v="63.721150000000002"/>
    <n v="148.95850999999999"/>
    <m/>
    <m/>
    <m/>
    <n v="0"/>
    <n v="0"/>
    <n v="0"/>
    <n v="0"/>
    <n v="0"/>
    <n v="0"/>
    <n v="0"/>
    <m/>
    <m/>
    <m/>
    <m/>
  </r>
  <r>
    <s v="DSCN0273"/>
    <s v="M2370905_4"/>
    <n v="4"/>
    <n v="1"/>
    <s v="Mile 237"/>
    <d v="2018-09-05T00:00:00"/>
    <s v="September"/>
    <x v="1"/>
    <d v="1899-12-30T00:51:00"/>
    <s v="Overcast, raining "/>
    <x v="30"/>
    <s v="Foraging"/>
    <s v="Spruce"/>
    <n v="1"/>
    <m/>
    <n v="0"/>
    <s v="Unknown"/>
    <s v="Unknown"/>
    <s v="bare spruce branch"/>
    <s v="NA"/>
    <s v="NA"/>
    <s v="NA"/>
    <s v="NA"/>
    <m/>
    <m/>
    <s v="NA"/>
    <s v="NA"/>
    <m/>
    <m/>
    <m/>
    <m/>
    <n v="12"/>
    <n v="0"/>
    <n v="0"/>
    <n v="12"/>
    <n v="0"/>
    <n v="0"/>
    <n v="12"/>
    <m/>
    <s v="In field thought it cached in tree, B&amp;Ut video does not confirm"/>
    <m/>
    <m/>
  </r>
  <r>
    <s v="DSCN0397"/>
    <s v="M2370907_1"/>
    <n v="1"/>
    <n v="1"/>
    <s v="Mile 237"/>
    <d v="2018-09-07T00:00:00"/>
    <s v="September"/>
    <x v="1"/>
    <d v="1899-12-30T00:30:00"/>
    <s v="Overcast"/>
    <x v="30"/>
    <s v="Cache recovery"/>
    <s v="Spruce"/>
    <n v="1"/>
    <m/>
    <n v="0"/>
    <s v="Animal flesh"/>
    <s v="Animal flesh"/>
    <s v="Spruce foliage"/>
    <s v="NA"/>
    <s v="NA"/>
    <s v="NA"/>
    <s v="NA"/>
    <m/>
    <m/>
    <s v="NA"/>
    <s v="NA"/>
    <m/>
    <m/>
    <m/>
    <m/>
    <n v="0"/>
    <n v="0"/>
    <n v="0"/>
    <n v="0"/>
    <n v="0"/>
    <n v="0"/>
    <n v="0"/>
    <m/>
    <s v="KS saw it removed meat like substance from spruce foliage "/>
    <m/>
    <m/>
  </r>
  <r>
    <s v="DSCN0404"/>
    <s v="M2370907_3"/>
    <n v="3"/>
    <n v="1"/>
    <s v="Mile 237"/>
    <d v="2018-09-07T00:00:00"/>
    <s v="September"/>
    <x v="1"/>
    <d v="1899-12-30T01:03:00"/>
    <s v="Overcast"/>
    <x v="30"/>
    <s v="Foraging"/>
    <s v="Aspen"/>
    <n v="1"/>
    <m/>
    <n v="0"/>
    <s v="Unknown"/>
    <s v="Unknown (Maybe aphids)"/>
    <s v="Aspen tree leaf stems"/>
    <s v="NA"/>
    <s v="NA"/>
    <s v="NA"/>
    <s v="NA"/>
    <m/>
    <m/>
    <s v="NA"/>
    <s v="NA"/>
    <m/>
    <m/>
    <m/>
    <m/>
    <n v="0"/>
    <n v="63"/>
    <n v="0"/>
    <n v="63"/>
    <n v="0"/>
    <n v="0"/>
    <n v="63"/>
    <s v="Gleaning"/>
    <s v="Guessing insects based on size/location"/>
    <n v="0"/>
    <n v="18"/>
  </r>
  <r>
    <s v="DSCN0540"/>
    <s v="M2370909_3"/>
    <n v="3"/>
    <n v="1"/>
    <s v="Mile 237"/>
    <d v="2018-09-09T00:00:00"/>
    <s v="September"/>
    <x v="1"/>
    <d v="1899-12-30T00:02:00"/>
    <s v="Full sun"/>
    <x v="30"/>
    <s v="Foraging"/>
    <s v="Spruce"/>
    <n v="1"/>
    <m/>
    <n v="0"/>
    <s v="Unknown"/>
    <s v="Unknown"/>
    <s v="Interior spruce foliage"/>
    <s v="NA"/>
    <s v="NA"/>
    <s v="NA"/>
    <s v="NA"/>
    <m/>
    <m/>
    <s v="NA"/>
    <s v="NA"/>
    <m/>
    <m/>
    <m/>
    <m/>
    <n v="0"/>
    <s v="unknown"/>
    <s v="unknown"/>
    <n v="0"/>
    <n v="0"/>
    <n v="0"/>
    <n v="0"/>
    <m/>
    <m/>
    <m/>
    <m/>
  </r>
  <r>
    <s v="DSCN0541"/>
    <s v="M2370909_4"/>
    <n v="4"/>
    <n v="1"/>
    <s v="Mile 237"/>
    <d v="2018-09-09T00:00:00"/>
    <s v="September"/>
    <x v="1"/>
    <d v="1899-12-30T00:04:00"/>
    <s v="Full sun"/>
    <x v="30"/>
    <s v="Foraging"/>
    <s v="NA"/>
    <n v="1"/>
    <m/>
    <n v="0"/>
    <s v="Unknown"/>
    <s v="Unknown"/>
    <s v="Ground"/>
    <s v="NA"/>
    <s v="NA"/>
    <s v="NA"/>
    <s v="NA"/>
    <m/>
    <m/>
    <s v="NA"/>
    <s v="NA"/>
    <m/>
    <m/>
    <m/>
    <m/>
    <n v="0"/>
    <n v="0"/>
    <n v="0"/>
    <n v="0"/>
    <s v="unknown"/>
    <n v="0"/>
    <n v="0"/>
    <m/>
    <m/>
    <m/>
    <m/>
  </r>
  <r>
    <s v="DSCN0543"/>
    <s v="M2370909_5"/>
    <n v="5"/>
    <n v="1"/>
    <s v="Mile 237"/>
    <d v="2018-09-09T00:00:00"/>
    <s v="September"/>
    <x v="1"/>
    <d v="1899-12-30T00:07:00"/>
    <s v="Full sun"/>
    <x v="30"/>
    <s v="Foraging"/>
    <s v="NA"/>
    <s v="unknown"/>
    <m/>
    <n v="0"/>
    <s v="Unknown"/>
    <s v="Unknown"/>
    <s v="NA"/>
    <s v="NA"/>
    <s v="NA"/>
    <s v="NA"/>
    <s v="NA"/>
    <m/>
    <m/>
    <s v="NA"/>
    <s v="NA"/>
    <m/>
    <m/>
    <m/>
    <m/>
    <n v="0"/>
    <n v="0"/>
    <n v="0"/>
    <n v="0"/>
    <n v="7"/>
    <n v="0"/>
    <n v="7"/>
    <m/>
    <m/>
    <m/>
    <m/>
  </r>
  <r>
    <s v="DSCN0544"/>
    <s v="M2370909_6"/>
    <n v="6"/>
    <n v="1"/>
    <s v="Mile 237"/>
    <d v="2018-09-09T00:00:00"/>
    <s v="September"/>
    <x v="1"/>
    <d v="1899-12-30T00:36:00"/>
    <s v="Full sun"/>
    <x v="30"/>
    <s v="Foraging"/>
    <s v="NA"/>
    <s v="unknown"/>
    <m/>
    <n v="0"/>
    <s v="Unknown"/>
    <s v="Unknown"/>
    <s v="NA"/>
    <s v="NA"/>
    <s v="NA"/>
    <s v="NA"/>
    <s v="NA"/>
    <m/>
    <m/>
    <s v="NA"/>
    <s v="NA"/>
    <m/>
    <m/>
    <m/>
    <m/>
    <n v="0"/>
    <n v="0"/>
    <n v="0"/>
    <n v="0"/>
    <n v="21"/>
    <n v="0"/>
    <n v="21"/>
    <m/>
    <m/>
    <m/>
    <m/>
  </r>
  <r>
    <s v="DSCN0895"/>
    <s v="M2370918_1"/>
    <n v="1"/>
    <n v="1"/>
    <s v="Mile 237"/>
    <d v="2018-09-18T00:00:00"/>
    <s v="September"/>
    <x v="1"/>
    <d v="1899-12-30T00:36:00"/>
    <s v="Overcast"/>
    <x v="30"/>
    <s v="Caching"/>
    <s v="Spruce"/>
    <n v="0"/>
    <m/>
    <n v="1"/>
    <s v="Unknown"/>
    <s v="Unknown"/>
    <s v="unknown"/>
    <s v="Spruce trunk under bark"/>
    <s v="Spruce"/>
    <s v="Trunk"/>
    <s v="Under bark"/>
    <m/>
    <m/>
    <s v="Unknown"/>
    <n v="63.725499999999997"/>
    <n v="148.88943"/>
    <m/>
    <m/>
    <m/>
    <n v="0"/>
    <n v="0"/>
    <n v="0"/>
    <n v="0"/>
    <n v="0"/>
    <n v="0"/>
    <n v="0"/>
    <m/>
    <m/>
    <m/>
    <m/>
  </r>
  <r>
    <s v="DSCN0902"/>
    <s v="M2370918_3"/>
    <n v="3"/>
    <n v="1"/>
    <s v="Mile 237"/>
    <d v="2018-09-18T00:00:00"/>
    <s v="September"/>
    <x v="1"/>
    <d v="1899-12-30T00:53:00"/>
    <s v="Partly Sunny"/>
    <x v="30"/>
    <s v="Foraging"/>
    <s v="NA"/>
    <n v="1"/>
    <m/>
    <n v="0"/>
    <s v="Berry"/>
    <s v="Berry (Blueberry)"/>
    <s v="Ground"/>
    <s v="NA"/>
    <s v="NA"/>
    <s v="NA"/>
    <s v="NA"/>
    <m/>
    <m/>
    <s v="NA"/>
    <s v="NA"/>
    <m/>
    <m/>
    <m/>
    <m/>
    <n v="0"/>
    <n v="0"/>
    <n v="0"/>
    <n v="0"/>
    <n v="5"/>
    <n v="0"/>
    <n v="5"/>
    <m/>
    <m/>
    <m/>
    <m/>
  </r>
  <r>
    <s v="DSCN0902"/>
    <s v="M2370918_3"/>
    <n v="3"/>
    <n v="2"/>
    <s v="Mile 237"/>
    <d v="2018-09-18T00:00:00"/>
    <s v="September"/>
    <x v="1"/>
    <d v="1899-12-30T00:53:00"/>
    <s v="Partly Sunny"/>
    <x v="30"/>
    <s v="Foraging"/>
    <s v="NA"/>
    <n v="1"/>
    <m/>
    <n v="0"/>
    <s v="Unknown"/>
    <s v="Unknown"/>
    <s v="Ground"/>
    <s v="NA"/>
    <s v="NA"/>
    <s v="NA"/>
    <s v="NA"/>
    <m/>
    <m/>
    <s v="NA"/>
    <s v="NA"/>
    <m/>
    <m/>
    <m/>
    <m/>
    <n v="0"/>
    <n v="0"/>
    <n v="0"/>
    <n v="0"/>
    <n v="0"/>
    <n v="0"/>
    <n v="0"/>
    <m/>
    <m/>
    <m/>
    <m/>
  </r>
  <r>
    <s v="DSCN0172"/>
    <s v="WW0903_7"/>
    <n v="7"/>
    <n v="1"/>
    <s v="WAC West"/>
    <d v="2018-09-03T00:00:00"/>
    <s v="September"/>
    <x v="1"/>
    <d v="1899-12-30T00:12:00"/>
    <m/>
    <x v="18"/>
    <s v="Foraging"/>
    <s v="Spruce"/>
    <s v="unknown"/>
    <m/>
    <s v="Unknown"/>
    <s v="Unknown"/>
    <s v="Unknown"/>
    <s v="NA"/>
    <s v="NA"/>
    <m/>
    <m/>
    <m/>
    <m/>
    <m/>
    <s v="NA"/>
    <s v="NA"/>
    <m/>
    <m/>
    <m/>
    <m/>
    <n v="12"/>
    <n v="0"/>
    <n v="0"/>
    <n v="12"/>
    <n v="0"/>
    <n v="0"/>
    <n v="12"/>
    <s v="Gleaning, searching "/>
    <m/>
    <n v="0"/>
    <n v="0"/>
  </r>
  <r>
    <s v="DSCN0232"/>
    <s v="DM0904_1"/>
    <n v="1"/>
    <n v="1"/>
    <s v="Dam"/>
    <d v="2018-09-04T00:00:00"/>
    <s v="September"/>
    <x v="1"/>
    <d v="1899-12-30T01:22:00"/>
    <m/>
    <x v="44"/>
    <s v="Food handling"/>
    <s v="Spruce"/>
    <n v="1"/>
    <m/>
    <n v="0"/>
    <s v="Animal flesh"/>
    <s v="Animal flesh"/>
    <s v="unknown"/>
    <s v="NA"/>
    <s v="NA"/>
    <s v="NA"/>
    <s v="NA"/>
    <m/>
    <m/>
    <s v="NA"/>
    <s v="NA"/>
    <m/>
    <m/>
    <m/>
    <m/>
    <n v="19"/>
    <n v="0"/>
    <n v="19"/>
    <n v="0"/>
    <n v="0"/>
    <n v="0"/>
    <n v="19"/>
    <s v="Gleaning"/>
    <m/>
    <n v="0"/>
    <n v="3"/>
  </r>
  <r>
    <s v="DSCN0232"/>
    <s v="DM0904_1"/>
    <n v="1"/>
    <n v="2"/>
    <s v="Dam"/>
    <d v="2018-09-04T00:00:00"/>
    <s v="September"/>
    <x v="1"/>
    <d v="1899-12-30T01:22:00"/>
    <m/>
    <x v="44"/>
    <s v="Foraging"/>
    <s v="Aspen"/>
    <n v="1"/>
    <m/>
    <n v="0"/>
    <s v="Unknown"/>
    <s v="Unknown"/>
    <s v="Aspen tree trunk"/>
    <s v="NA"/>
    <s v="NA"/>
    <s v="NA"/>
    <s v="NA"/>
    <m/>
    <m/>
    <s v="NA"/>
    <s v="NA"/>
    <m/>
    <m/>
    <m/>
    <m/>
    <n v="0"/>
    <n v="0"/>
    <n v="0"/>
    <n v="0"/>
    <n v="0"/>
    <n v="0"/>
    <n v="0"/>
    <s v="Gleaning"/>
    <m/>
    <n v="0"/>
    <n v="3"/>
  </r>
  <r>
    <s v="DSCN0233"/>
    <s v="DM0904_2"/>
    <n v="2"/>
    <n v="1"/>
    <s v="Dam"/>
    <d v="2018-09-04T00:00:00"/>
    <s v="September"/>
    <x v="1"/>
    <d v="1899-12-30T00:21:00"/>
    <m/>
    <x v="44"/>
    <s v="Foraging/food handling"/>
    <s v="Spruce"/>
    <n v="1"/>
    <m/>
    <n v="0"/>
    <s v="Unknown"/>
    <s v="Unknown"/>
    <s v="Spruce foliage"/>
    <s v="NA"/>
    <s v="NA"/>
    <s v="NA"/>
    <s v="NA"/>
    <m/>
    <m/>
    <s v="NA"/>
    <s v="NA"/>
    <m/>
    <m/>
    <m/>
    <m/>
    <n v="0"/>
    <n v="16"/>
    <n v="16"/>
    <n v="0"/>
    <n v="0"/>
    <n v="0"/>
    <n v="16"/>
    <s v="Eating"/>
    <m/>
    <n v="0"/>
    <n v="0"/>
  </r>
  <r>
    <s v="DSCN0619"/>
    <s v="HS0912_1"/>
    <n v="1"/>
    <n v="1"/>
    <s v="Horse Shoe"/>
    <d v="2018-09-12T00:00:00"/>
    <s v="September"/>
    <x v="1"/>
    <d v="1899-12-30T00:46:00"/>
    <s v="Overcast"/>
    <x v="33"/>
    <s v="Caching"/>
    <s v="Spruce"/>
    <n v="0"/>
    <m/>
    <n v="1"/>
    <s v="Unknown"/>
    <s v="Unknown"/>
    <s v="unknown"/>
    <s v="Interior bare spruce branch under bark"/>
    <s v="Spruce"/>
    <s v="Interior"/>
    <s v="Under bark"/>
    <m/>
    <m/>
    <s v="Unknown"/>
    <n v="63.740139999999997"/>
    <n v="148.90387000000001"/>
    <m/>
    <m/>
    <m/>
    <n v="0"/>
    <n v="0"/>
    <n v="0"/>
    <n v="0"/>
    <n v="0"/>
    <n v="0"/>
    <n v="0"/>
    <m/>
    <s v="Unconfirmed B&amp;Ut suspected cache. "/>
    <m/>
    <m/>
  </r>
  <r>
    <s v="DSCN0622"/>
    <s v="HS0912_2"/>
    <n v="2"/>
    <n v="1"/>
    <s v="Horse Shoe"/>
    <d v="2018-09-12T00:00:00"/>
    <s v="September"/>
    <x v="1"/>
    <d v="1899-12-30T01:19:00"/>
    <s v="Overcast"/>
    <x v="33"/>
    <s v="Foraging"/>
    <s v="Aspen"/>
    <s v="unknown"/>
    <m/>
    <n v="0"/>
    <s v="Unknown"/>
    <s v="Unknown"/>
    <s v="NA"/>
    <s v="NA"/>
    <s v="NA"/>
    <s v="NA"/>
    <s v="NA"/>
    <m/>
    <m/>
    <s v="NA"/>
    <s v="NA"/>
    <m/>
    <m/>
    <m/>
    <m/>
    <n v="0"/>
    <n v="59"/>
    <n v="0"/>
    <n v="59"/>
    <n v="0"/>
    <n v="0"/>
    <n v="59"/>
    <s v="Gleaning"/>
    <s v="Not sure what they're going after here.  Maybe aphids?"/>
    <n v="0"/>
    <n v="12"/>
  </r>
  <r>
    <s v="DSCN0630"/>
    <s v="HS0912_3"/>
    <n v="3"/>
    <n v="1"/>
    <s v="Horse Shoe"/>
    <d v="2018-09-12T00:00:00"/>
    <s v="September"/>
    <x v="1"/>
    <d v="1899-12-30T00:11:00"/>
    <s v="Overcast"/>
    <x v="33"/>
    <s v="Foraging"/>
    <s v="Spruce"/>
    <s v="unknown"/>
    <m/>
    <n v="0"/>
    <s v="Unknown"/>
    <s v="Unknown"/>
    <s v="NA"/>
    <s v="NA"/>
    <s v="NA"/>
    <s v="NA"/>
    <s v="NA"/>
    <m/>
    <m/>
    <s v="NA"/>
    <s v="NA"/>
    <m/>
    <m/>
    <m/>
    <m/>
    <n v="0"/>
    <n v="8"/>
    <n v="0"/>
    <n v="8"/>
    <n v="0"/>
    <n v="0"/>
    <n v="8"/>
    <m/>
    <m/>
    <m/>
    <m/>
  </r>
  <r>
    <s v="DSCN0641"/>
    <s v="HS0912_8"/>
    <n v="8"/>
    <n v="1"/>
    <s v="Horse Shoe"/>
    <d v="2018-09-12T00:00:00"/>
    <s v="September"/>
    <x v="1"/>
    <d v="1899-12-30T00:11:00"/>
    <s v="Overcast"/>
    <x v="33"/>
    <s v="Foraging or caching"/>
    <s v="Spruce"/>
    <n v="1"/>
    <m/>
    <n v="0"/>
    <s v="Unknown"/>
    <s v="Unknown, B&amp;Ut some part of spruce cone, probably seeds"/>
    <s v="Interior spruce foliage"/>
    <s v="NA"/>
    <s v="NA"/>
    <s v="NA"/>
    <s v="NA"/>
    <m/>
    <m/>
    <s v="NA"/>
    <s v="NA"/>
    <m/>
    <m/>
    <m/>
    <m/>
    <n v="0"/>
    <n v="0"/>
    <n v="0"/>
    <n v="0"/>
    <n v="0"/>
    <n v="0"/>
    <n v="0"/>
    <m/>
    <s v="Watched bird fly into foliage and emerge with food.  Not sure if cached some of it in the tree, or if it was retrieving the food from the tree. "/>
    <m/>
    <m/>
  </r>
  <r>
    <s v="DSCN0730"/>
    <s v="CC0914_3"/>
    <n v="3"/>
    <n v="1"/>
    <s v="CCAMP"/>
    <d v="2018-09-14T00:00:00"/>
    <s v="September"/>
    <x v="1"/>
    <d v="1899-12-30T00:35:00"/>
    <s v="Mostly sunny"/>
    <x v="5"/>
    <s v="Foraging"/>
    <s v="NA"/>
    <s v="unknown"/>
    <m/>
    <n v="0"/>
    <s v="Unknown"/>
    <s v="Unknown"/>
    <s v="NA"/>
    <s v="NA"/>
    <s v="NA"/>
    <s v="NA"/>
    <s v="NA"/>
    <m/>
    <m/>
    <s v="NA"/>
    <s v="NA"/>
    <m/>
    <m/>
    <m/>
    <m/>
    <n v="0"/>
    <n v="0"/>
    <n v="0"/>
    <n v="0"/>
    <n v="18"/>
    <n v="0"/>
    <n v="18"/>
    <m/>
    <m/>
    <m/>
    <m/>
  </r>
  <r>
    <s v="DSCN1241"/>
    <s v="CC0928_2"/>
    <n v="2"/>
    <n v="1"/>
    <s v="CCAMP"/>
    <d v="2018-09-28T00:00:00"/>
    <s v="September"/>
    <x v="1"/>
    <d v="1899-12-30T00:12:00"/>
    <s v="Full sun"/>
    <x v="5"/>
    <s v="Food handling/caching"/>
    <s v="Spruce"/>
    <n v="1"/>
    <m/>
    <n v="1"/>
    <s v="Insect"/>
    <s v="Insect (caterpillar)"/>
    <s v="Ground"/>
    <s v="Exterior spruce branch in witch hair"/>
    <s v="Spruce"/>
    <s v="Exterior"/>
    <s v="Branch under witch hair"/>
    <m/>
    <m/>
    <n v="15"/>
    <n v="63.722380000000001"/>
    <n v="148.95303000000001"/>
    <m/>
    <m/>
    <m/>
    <n v="0"/>
    <n v="0"/>
    <n v="0"/>
    <n v="0"/>
    <n v="0"/>
    <n v="0"/>
    <n v="0"/>
    <m/>
    <m/>
    <m/>
    <m/>
  </r>
  <r>
    <s v="DSCN1243"/>
    <s v="CC0928_3"/>
    <n v="3"/>
    <n v="1"/>
    <s v="CCAMP"/>
    <d v="2018-09-28T00:00:00"/>
    <s v="September"/>
    <x v="1"/>
    <d v="1899-12-30T00:19:00"/>
    <s v="Full sun"/>
    <x v="5"/>
    <s v="Foraging"/>
    <s v="Spruce"/>
    <n v="1"/>
    <m/>
    <n v="0"/>
    <s v="Unknown"/>
    <s v="Unknown"/>
    <s v="Witche's broom."/>
    <s v="NA"/>
    <s v="NA"/>
    <s v="NA"/>
    <s v="NA"/>
    <m/>
    <m/>
    <s v="NA"/>
    <s v="NA"/>
    <m/>
    <m/>
    <m/>
    <m/>
    <n v="0"/>
    <n v="0"/>
    <n v="0"/>
    <n v="0"/>
    <n v="0"/>
    <n v="0"/>
    <n v="0"/>
    <m/>
    <s v="Food appears stored in witch's broom.  Maked two trips to retrieve food from the area. "/>
    <m/>
    <m/>
  </r>
  <r>
    <s v="DSCN1244"/>
    <s v="CC0928_4"/>
    <n v="4"/>
    <n v="1"/>
    <s v="CCAMP"/>
    <d v="2018-09-28T00:00:00"/>
    <s v="September"/>
    <x v="1"/>
    <d v="1899-12-30T00:21:00"/>
    <s v="Full sun"/>
    <x v="5"/>
    <s v="Caching"/>
    <s v="Spruce"/>
    <n v="0"/>
    <m/>
    <n v="1"/>
    <s v="Unknown"/>
    <s v="Unknown"/>
    <s v="Witche's broom."/>
    <s v="Exterior spruce foliage"/>
    <s v="Spruce"/>
    <s v="Exterior"/>
    <s v="Foliage"/>
    <m/>
    <m/>
    <n v="9"/>
    <n v="63.722709999999999"/>
    <n v="148.9539"/>
    <m/>
    <m/>
    <m/>
    <n v="0"/>
    <n v="0"/>
    <n v="0"/>
    <n v="0"/>
    <n v="0"/>
    <n v="0"/>
    <n v="0"/>
    <m/>
    <m/>
    <m/>
    <m/>
  </r>
  <r>
    <s v="DSCN1245"/>
    <s v="CC0928_5"/>
    <n v="5"/>
    <n v="1"/>
    <s v="CCAMP"/>
    <d v="2018-09-28T00:00:00"/>
    <s v="September"/>
    <x v="1"/>
    <d v="1899-12-30T00:24:00"/>
    <s v="Full sun"/>
    <x v="5"/>
    <s v="Caching"/>
    <s v="Spruce"/>
    <n v="0"/>
    <m/>
    <n v="1"/>
    <s v="Unknown"/>
    <s v="Unknown"/>
    <s v="Food it placed in spruce tree"/>
    <s v="Interior spruce foliage "/>
    <s v="Spruce"/>
    <s v="Exterior"/>
    <s v="Foliage"/>
    <m/>
    <m/>
    <n v="4"/>
    <n v="63.722920000000002"/>
    <n v="148.95419000000001"/>
    <m/>
    <m/>
    <m/>
    <n v="0"/>
    <n v="0"/>
    <n v="0"/>
    <n v="0"/>
    <n v="0"/>
    <n v="0"/>
    <n v="0"/>
    <m/>
    <m/>
    <m/>
    <m/>
  </r>
  <r>
    <s v="DSCN1245"/>
    <s v="CC0928_5"/>
    <n v="5"/>
    <n v="2"/>
    <s v="CCAMP"/>
    <d v="2018-09-28T00:00:00"/>
    <s v="September"/>
    <x v="1"/>
    <d v="1899-12-30T00:24:00"/>
    <s v="Full sun"/>
    <x v="5"/>
    <s v="Caching"/>
    <s v="Spruce"/>
    <n v="0"/>
    <m/>
    <n v="1"/>
    <s v="Unknown"/>
    <s v="Unknown"/>
    <s v="Food it placed in spruce tree"/>
    <s v="Interior spruce foliage "/>
    <s v="Spruce"/>
    <s v="Exterior"/>
    <s v="Foliage"/>
    <m/>
    <m/>
    <n v="10"/>
    <n v="63.722839999999998"/>
    <n v="148.95433"/>
    <m/>
    <m/>
    <m/>
    <n v="0"/>
    <n v="0"/>
    <n v="0"/>
    <n v="0"/>
    <n v="0"/>
    <n v="0"/>
    <n v="0"/>
    <m/>
    <m/>
    <m/>
    <m/>
  </r>
  <r>
    <s v="DSCN0817"/>
    <s v="M4E0916_1"/>
    <n v="1"/>
    <n v="1"/>
    <s v="Mile 4 East "/>
    <d v="2018-09-16T00:00:00"/>
    <s v="September"/>
    <x v="1"/>
    <d v="1899-12-30T00:13:00"/>
    <s v="Overcast"/>
    <x v="45"/>
    <s v="Foraging"/>
    <s v="Spruce"/>
    <n v="1"/>
    <m/>
    <n v="0"/>
    <s v="Unknown"/>
    <s v="Unknown"/>
    <s v="Interior top of spruce tree"/>
    <s v="NA"/>
    <s v="NA"/>
    <s v="NA"/>
    <s v="NA"/>
    <m/>
    <m/>
    <s v="NA"/>
    <s v="NA"/>
    <m/>
    <m/>
    <m/>
    <m/>
    <n v="0"/>
    <n v="2"/>
    <n v="2"/>
    <n v="0"/>
    <n v="0"/>
    <n v="0"/>
    <n v="2"/>
    <m/>
    <m/>
    <m/>
    <m/>
  </r>
  <r>
    <s v="DSCN0306"/>
    <s v="B&amp;U0905_1"/>
    <n v="1"/>
    <n v="1"/>
    <s v="B&amp;U"/>
    <d v="2018-09-05T00:00:00"/>
    <s v="September"/>
    <x v="1"/>
    <d v="1899-12-30T03:10:00"/>
    <s v="Partly Sunny"/>
    <x v="6"/>
    <s v="Foraging"/>
    <s v="NA"/>
    <n v="1"/>
    <m/>
    <n v="0"/>
    <s v="Mushroom"/>
    <s v="Mushroom (puffball)"/>
    <s v="Ground"/>
    <s v="NA"/>
    <s v="NA"/>
    <s v="NA"/>
    <s v="NA"/>
    <m/>
    <m/>
    <s v="NA"/>
    <s v="NA"/>
    <m/>
    <m/>
    <m/>
    <m/>
    <n v="0"/>
    <n v="0"/>
    <n v="0"/>
    <n v="0"/>
    <n v="39"/>
    <n v="0"/>
    <n v="39"/>
    <m/>
    <m/>
    <m/>
    <m/>
  </r>
  <r>
    <s v="DSCN0491"/>
    <s v="B&amp;U0908_1"/>
    <n v="1"/>
    <n v="1"/>
    <s v="B&amp;U"/>
    <d v="2018-09-08T00:00:00"/>
    <s v="September"/>
    <x v="1"/>
    <d v="1899-12-30T00:24:00"/>
    <m/>
    <x v="6"/>
    <s v="Foraging"/>
    <s v="NA"/>
    <s v="unknown"/>
    <m/>
    <n v="0"/>
    <s v="Unknown"/>
    <s v="Unknown"/>
    <s v="NA"/>
    <s v="NA"/>
    <s v="NA"/>
    <s v="NA"/>
    <s v="NA"/>
    <m/>
    <m/>
    <s v="NA"/>
    <s v="NA"/>
    <m/>
    <m/>
    <m/>
    <m/>
    <n v="0"/>
    <n v="0"/>
    <n v="0"/>
    <n v="0"/>
    <n v="19"/>
    <n v="0"/>
    <n v="19"/>
    <s v="Searching"/>
    <m/>
    <m/>
    <m/>
  </r>
  <r>
    <s v="DSCN0493"/>
    <s v="B&amp;U0908_2"/>
    <n v="2"/>
    <n v="1"/>
    <s v="B&amp;U"/>
    <d v="2018-09-08T00:00:00"/>
    <s v="September"/>
    <x v="1"/>
    <d v="1899-12-30T00:47:00"/>
    <m/>
    <x v="6"/>
    <s v="Foraging"/>
    <s v="NA"/>
    <s v="unknown"/>
    <m/>
    <n v="0"/>
    <s v="Unknown"/>
    <s v="Unknown"/>
    <s v="NA"/>
    <s v="NA"/>
    <s v="NA"/>
    <s v="NA"/>
    <s v="NA"/>
    <m/>
    <m/>
    <s v="NA"/>
    <s v="NA"/>
    <m/>
    <m/>
    <m/>
    <m/>
    <n v="0"/>
    <n v="0"/>
    <n v="0"/>
    <n v="0"/>
    <n v="5"/>
    <n v="0"/>
    <n v="5"/>
    <s v="Searching"/>
    <m/>
    <m/>
    <m/>
  </r>
  <r>
    <s v="DSCN0494"/>
    <s v="B&amp;U0908_3"/>
    <n v="3"/>
    <n v="1"/>
    <s v="B&amp;U"/>
    <d v="2018-09-08T00:00:00"/>
    <s v="September"/>
    <x v="1"/>
    <d v="1899-12-30T00:34:00"/>
    <m/>
    <x v="6"/>
    <s v="Foraging"/>
    <s v="NA"/>
    <s v="unknown"/>
    <m/>
    <n v="0"/>
    <m/>
    <s v="NA"/>
    <s v="NA"/>
    <s v="NA"/>
    <s v="NA"/>
    <s v="NA"/>
    <s v="NA"/>
    <m/>
    <m/>
    <s v="NA"/>
    <s v="NA"/>
    <m/>
    <m/>
    <m/>
    <m/>
    <n v="0"/>
    <n v="0"/>
    <n v="0"/>
    <n v="0"/>
    <n v="16"/>
    <n v="0"/>
    <n v="16"/>
    <s v="Searching"/>
    <m/>
    <m/>
    <m/>
  </r>
  <r>
    <s v="DSCN0495"/>
    <s v="B&amp;U0908_4"/>
    <n v="4"/>
    <n v="1"/>
    <s v="B&amp;U"/>
    <d v="2018-09-08T00:00:00"/>
    <s v="September"/>
    <x v="1"/>
    <d v="1899-12-30T00:41:00"/>
    <m/>
    <x v="6"/>
    <s v="Foraging"/>
    <s v="Spruce"/>
    <s v="unknown"/>
    <m/>
    <n v="0"/>
    <m/>
    <s v="NA"/>
    <s v="NA"/>
    <s v="NA"/>
    <s v="NA"/>
    <s v="NA"/>
    <s v="NA"/>
    <m/>
    <m/>
    <s v="NA"/>
    <s v="NA"/>
    <m/>
    <m/>
    <m/>
    <m/>
    <n v="15"/>
    <n v="27"/>
    <n v="15"/>
    <n v="27"/>
    <n v="0"/>
    <n v="0"/>
    <n v="42"/>
    <m/>
    <m/>
    <m/>
    <m/>
  </r>
  <r>
    <s v="DSCN0497"/>
    <s v="B&amp;U0908_5"/>
    <n v="5"/>
    <n v="1"/>
    <s v="B&amp;U"/>
    <d v="2018-09-08T00:00:00"/>
    <s v="September"/>
    <x v="1"/>
    <d v="1899-12-30T00:19:00"/>
    <m/>
    <x v="6"/>
    <s v="Caching"/>
    <s v="Spruce"/>
    <n v="0"/>
    <m/>
    <n v="1"/>
    <s v="Mushroom"/>
    <s v="Mushroom"/>
    <s v="Ground"/>
    <s v="Interior spruce foliage"/>
    <s v="Spruce"/>
    <s v="Interior"/>
    <s v="Foliage"/>
    <m/>
    <m/>
    <s v="Unknown"/>
    <n v="63.724820000000001"/>
    <n v="148.95699999999999"/>
    <m/>
    <m/>
    <m/>
    <n v="0"/>
    <n v="0"/>
    <n v="0"/>
    <n v="0"/>
    <n v="0"/>
    <n v="0"/>
    <n v="0"/>
    <m/>
    <m/>
    <m/>
    <m/>
  </r>
  <r>
    <s v="DSCN0498"/>
    <s v="B&amp;U0908_6"/>
    <n v="6"/>
    <n v="1"/>
    <s v="B&amp;U"/>
    <d v="2018-09-08T00:00:00"/>
    <s v="September"/>
    <x v="1"/>
    <d v="1899-12-30T00:00:04"/>
    <m/>
    <x v="6"/>
    <s v="Food handling"/>
    <s v="Spruce"/>
    <s v="unknown"/>
    <m/>
    <n v="0"/>
    <s v="Mushroom"/>
    <s v="Mushroom"/>
    <s v="unknown"/>
    <s v="NA"/>
    <s v="NA"/>
    <s v="NA"/>
    <s v="NA"/>
    <m/>
    <m/>
    <s v="NA"/>
    <s v="NA"/>
    <m/>
    <m/>
    <m/>
    <m/>
    <n v="0"/>
    <n v="0"/>
    <n v="0"/>
    <n v="0"/>
    <n v="0"/>
    <n v="0"/>
    <n v="0"/>
    <m/>
    <s v="Missed actually getting the mushroom on video "/>
    <m/>
    <m/>
  </r>
  <r>
    <s v="DSCN0501"/>
    <s v="B&amp;U0908_7"/>
    <n v="7"/>
    <n v="1"/>
    <s v="B&amp;U"/>
    <d v="2018-09-08T00:00:00"/>
    <s v="September"/>
    <x v="1"/>
    <d v="1899-12-30T00:32:00"/>
    <m/>
    <x v="6"/>
    <s v="Foraging/caching"/>
    <s v="Spruce"/>
    <n v="1"/>
    <m/>
    <n v="1"/>
    <s v="Mushroom"/>
    <s v="Mushroom"/>
    <s v="Ground"/>
    <s v="Interior spruce foliage"/>
    <s v="Spruce"/>
    <s v="Interior"/>
    <s v="Foliage"/>
    <m/>
    <m/>
    <s v="Unknown"/>
    <n v="63.724640000000001"/>
    <n v="148.95958999999999"/>
    <m/>
    <m/>
    <m/>
    <n v="0"/>
    <n v="0"/>
    <n v="0"/>
    <n v="0"/>
    <n v="19"/>
    <n v="0"/>
    <n v="19"/>
    <s v="Searching "/>
    <m/>
    <m/>
    <m/>
  </r>
  <r>
    <s v="DSCN0503"/>
    <s v="B&amp;U0908_8"/>
    <n v="8"/>
    <n v="1"/>
    <s v="B&amp;U"/>
    <d v="2018-09-08T00:00:00"/>
    <s v="September"/>
    <x v="1"/>
    <d v="1899-12-30T00:21:00"/>
    <m/>
    <x v="6"/>
    <s v="Caching"/>
    <s v="Spruce"/>
    <n v="0"/>
    <m/>
    <n v="1"/>
    <s v="Unknown"/>
    <s v="Unknown"/>
    <s v="unknown"/>
    <s v="Interior spruce foliage"/>
    <s v="Spruce"/>
    <s v="Interior"/>
    <s v="Foliage"/>
    <m/>
    <m/>
    <s v="Unknown"/>
    <n v="63.724600000000002"/>
    <n v="148.95944"/>
    <m/>
    <m/>
    <m/>
    <n v="0"/>
    <n v="0"/>
    <n v="0"/>
    <n v="0"/>
    <n v="0"/>
    <n v="0"/>
    <n v="0"/>
    <m/>
    <s v="Missed food acquisition an cache B&amp;Ut narrated on video.  "/>
    <m/>
    <m/>
  </r>
  <r>
    <s v="DSCN0504"/>
    <s v="B&amp;U0908_9"/>
    <n v="9"/>
    <n v="1"/>
    <s v="B&amp;U"/>
    <d v="2018-09-08T00:00:00"/>
    <s v="September"/>
    <x v="1"/>
    <d v="1899-12-30T00:37:00"/>
    <m/>
    <x v="6"/>
    <s v="Foraging"/>
    <s v="Spruce"/>
    <n v="1"/>
    <m/>
    <n v="1"/>
    <s v="Unknown"/>
    <s v="Unknown (Probably insect)"/>
    <s v="Ground"/>
    <s v="Interior spruce foliage"/>
    <s v="Spruce"/>
    <s v="Interior"/>
    <s v="Foliage"/>
    <m/>
    <m/>
    <s v="Unknown"/>
    <n v="63.724620000000002"/>
    <n v="148.95992000000001"/>
    <m/>
    <m/>
    <m/>
    <n v="0"/>
    <n v="0"/>
    <n v="0"/>
    <n v="0"/>
    <n v="0"/>
    <n v="0"/>
    <n v="0"/>
    <m/>
    <s v="Missed acquisition on camera"/>
    <m/>
    <m/>
  </r>
  <r>
    <s v="DSCN0660"/>
    <s v="B&amp;U0912_1"/>
    <n v="1"/>
    <n v="1"/>
    <s v="B&amp;U"/>
    <d v="2018-09-12T00:00:00"/>
    <s v="September"/>
    <x v="1"/>
    <d v="1899-12-30T01:07:00"/>
    <s v="Overcast"/>
    <x v="6"/>
    <s v="Foraging"/>
    <s v="NA"/>
    <n v="2"/>
    <m/>
    <n v="0"/>
    <s v="Berry"/>
    <s v="Berry (Blueberry)"/>
    <s v="Ground"/>
    <s v="NA"/>
    <s v="NA"/>
    <s v="NA"/>
    <s v="NA"/>
    <m/>
    <m/>
    <s v="NA"/>
    <s v="NA"/>
    <m/>
    <m/>
    <m/>
    <m/>
    <n v="0"/>
    <n v="0"/>
    <n v="0"/>
    <n v="0"/>
    <n v="62"/>
    <n v="0"/>
    <n v="62"/>
    <s v="Searching"/>
    <m/>
    <m/>
    <m/>
  </r>
  <r>
    <s v="DSCN0660"/>
    <s v="B&amp;U0912_1"/>
    <n v="1"/>
    <n v="2"/>
    <s v="B&amp;U"/>
    <d v="2018-09-12T00:00:00"/>
    <s v="September"/>
    <x v="1"/>
    <d v="1899-12-30T01:07:00"/>
    <s v="Overcast"/>
    <x v="6"/>
    <s v="Foraging"/>
    <s v="NA"/>
    <n v="1"/>
    <m/>
    <n v="0"/>
    <s v="Unknown"/>
    <s v="Unknown"/>
    <s v="Ground"/>
    <s v="NA"/>
    <s v="NA"/>
    <s v="NA"/>
    <s v="NA"/>
    <m/>
    <m/>
    <s v="NA"/>
    <s v="NA"/>
    <m/>
    <m/>
    <m/>
    <m/>
    <n v="0"/>
    <n v="0"/>
    <n v="0"/>
    <n v="0"/>
    <n v="0"/>
    <n v="0"/>
    <n v="0"/>
    <s v="Searching"/>
    <m/>
    <m/>
    <m/>
  </r>
  <r>
    <s v="DSCN0668"/>
    <s v="B&amp;U0912_4"/>
    <n v="4"/>
    <n v="1"/>
    <s v="B&amp;U"/>
    <d v="2018-09-12T00:00:00"/>
    <s v="September"/>
    <x v="1"/>
    <d v="1899-12-30T00:28:00"/>
    <s v="Overcast"/>
    <x v="6"/>
    <s v="Foraging"/>
    <s v="NA"/>
    <s v="unknown"/>
    <m/>
    <n v="0"/>
    <m/>
    <s v="NA"/>
    <s v="NA"/>
    <s v="NA"/>
    <s v="NA"/>
    <s v="NA"/>
    <s v="NA"/>
    <m/>
    <m/>
    <s v="NA"/>
    <s v="NA"/>
    <m/>
    <m/>
    <m/>
    <m/>
    <n v="0"/>
    <n v="0"/>
    <n v="0"/>
    <n v="0"/>
    <n v="10"/>
    <n v="0"/>
    <n v="10"/>
    <m/>
    <m/>
    <m/>
    <m/>
  </r>
  <r>
    <s v="DSCN0686"/>
    <s v="B&amp;U0912_8"/>
    <n v="8"/>
    <n v="1"/>
    <s v="B&amp;U"/>
    <d v="2018-09-12T00:00:00"/>
    <s v="September"/>
    <x v="1"/>
    <d v="1899-12-30T00:26:00"/>
    <s v="Overcast"/>
    <x v="6"/>
    <s v="Caching"/>
    <s v="Spruce"/>
    <n v="1"/>
    <m/>
    <n v="1"/>
    <s v="Unknown"/>
    <s v="Unknown"/>
    <s v="Interior spruce foliage"/>
    <s v="Exterior spruce foliage"/>
    <s v="Spruce"/>
    <s v="Exterior"/>
    <s v="Foliage"/>
    <m/>
    <m/>
    <s v="Unknown"/>
    <n v="63.725990000000003"/>
    <n v="148.95717999999999"/>
    <m/>
    <m/>
    <m/>
    <n v="0"/>
    <n v="0"/>
    <n v="0"/>
    <n v="0"/>
    <n v="0"/>
    <n v="0"/>
    <n v="0"/>
    <m/>
    <s v="Notes about food acquisition based on unrecorded observations "/>
    <m/>
    <m/>
  </r>
  <r>
    <s v="DSCN0765"/>
    <s v="B&amp;U0915_1"/>
    <n v="1"/>
    <n v="1"/>
    <s v="B&amp;U"/>
    <d v="2018-09-15T00:00:00"/>
    <s v="September"/>
    <x v="1"/>
    <d v="1899-12-30T00:13:00"/>
    <s v="Mostly sunny"/>
    <x v="6"/>
    <s v="Caching"/>
    <s v="Spruce"/>
    <s v="NA"/>
    <m/>
    <n v="1"/>
    <s v="Animal flesh"/>
    <s v="Animal flesh (Snowshoe hare)"/>
    <s v="NA"/>
    <s v="Interior spruce foliage"/>
    <s v="Spruce"/>
    <s v="Interior"/>
    <s v="Foliage"/>
    <m/>
    <m/>
    <n v="19"/>
    <n v="63.724809999999998"/>
    <n v="148.95639"/>
    <m/>
    <m/>
    <m/>
    <n v="0"/>
    <n v="0"/>
    <n v="0"/>
    <n v="0"/>
    <n v="0"/>
    <n v="0"/>
    <n v="0"/>
    <m/>
    <s v="Foraging and caching off dead hare carcass (mostly entrails)"/>
    <m/>
    <m/>
  </r>
  <r>
    <s v="DSCN0766"/>
    <s v="B&amp;U0915_2"/>
    <n v="2"/>
    <n v="1"/>
    <s v="B&amp;U"/>
    <d v="2018-09-15T00:00:00"/>
    <s v="September"/>
    <x v="1"/>
    <d v="1899-12-30T00:04:00"/>
    <s v="Mostly sunny"/>
    <x v="6"/>
    <s v="Foraging"/>
    <s v="NA"/>
    <n v="1"/>
    <m/>
    <n v="0"/>
    <s v="Animal flesh"/>
    <s v="Animal flesh (Snowshoe hare)"/>
    <s v="Ground"/>
    <s v="NA"/>
    <s v="NA"/>
    <s v="NA"/>
    <s v="NA"/>
    <m/>
    <m/>
    <s v="NA"/>
    <s v="NA"/>
    <m/>
    <m/>
    <m/>
    <m/>
    <n v="0"/>
    <n v="0"/>
    <n v="0"/>
    <n v="0"/>
    <n v="0"/>
    <n v="0"/>
    <n v="0"/>
    <m/>
    <s v="Foraging and caching off dead hare carcass (mostly entrails)"/>
    <m/>
    <m/>
  </r>
  <r>
    <s v="DSCN0777"/>
    <s v="B&amp;U0915_4"/>
    <n v="4"/>
    <n v="1"/>
    <s v="B&amp;U"/>
    <d v="2018-09-15T00:00:00"/>
    <s v="September"/>
    <x v="1"/>
    <d v="1899-12-30T00:23:00"/>
    <s v="Mostly sunny"/>
    <x v="6"/>
    <s v="Foraging"/>
    <s v="NA"/>
    <n v="1"/>
    <m/>
    <n v="0"/>
    <s v="Animal flesh"/>
    <s v="Animal flesh (Snowshoe hare)"/>
    <s v="Ground"/>
    <s v="NA"/>
    <s v="NA"/>
    <s v="NA"/>
    <s v="NA"/>
    <m/>
    <m/>
    <s v="NA"/>
    <s v="NA"/>
    <m/>
    <m/>
    <m/>
    <m/>
    <n v="0"/>
    <n v="0"/>
    <n v="0"/>
    <n v="0"/>
    <n v="0"/>
    <n v="0"/>
    <n v="0"/>
    <m/>
    <s v="Foraging and caching off dead hare carcass (mostly entrails)"/>
    <m/>
    <m/>
  </r>
  <r>
    <s v="DSCN0778"/>
    <s v="B&amp;U0915_5"/>
    <n v="5"/>
    <n v="1"/>
    <s v="B&amp;U"/>
    <d v="2018-09-15T00:00:00"/>
    <s v="September"/>
    <x v="1"/>
    <d v="1899-12-30T00:06:00"/>
    <s v="Mostly sunny"/>
    <x v="6"/>
    <s v="Food handling"/>
    <s v="Spruce"/>
    <n v="1"/>
    <m/>
    <n v="0"/>
    <s v="Animal flesh"/>
    <s v="Animal flesh (Snowshoe hare)"/>
    <s v="NA"/>
    <s v="NA"/>
    <s v="NA"/>
    <s v="NA"/>
    <s v="NA"/>
    <m/>
    <m/>
    <s v="NA"/>
    <s v="NA"/>
    <m/>
    <m/>
    <m/>
    <m/>
    <n v="0"/>
    <n v="0"/>
    <n v="0"/>
    <n v="0"/>
    <n v="0"/>
    <n v="0"/>
    <n v="0"/>
    <m/>
    <s v="Processing hare in tree"/>
    <m/>
    <m/>
  </r>
  <r>
    <s v="DSCN0779"/>
    <s v="B&amp;U0915_6"/>
    <n v="6"/>
    <n v="1"/>
    <s v="B&amp;U"/>
    <d v="2018-09-15T00:00:00"/>
    <s v="September"/>
    <x v="1"/>
    <d v="1899-12-30T00:04:00"/>
    <s v="Mostly sunny"/>
    <x v="6"/>
    <s v="Caching"/>
    <s v="Spruce"/>
    <n v="0"/>
    <m/>
    <n v="1"/>
    <s v="Animal flesh"/>
    <s v="Animal flesh (Snowshoe hare)"/>
    <s v="NA"/>
    <s v="Interior top of spruce in foliage."/>
    <s v="Spruce"/>
    <s v="Interior"/>
    <s v="Foliage"/>
    <m/>
    <m/>
    <n v="3"/>
    <n v="63.72486"/>
    <n v="148.95665"/>
    <m/>
    <m/>
    <m/>
    <n v="0"/>
    <n v="0"/>
    <n v="0"/>
    <n v="0"/>
    <n v="0"/>
    <n v="0"/>
    <n v="0"/>
    <m/>
    <m/>
    <m/>
    <m/>
  </r>
  <r>
    <s v="DSCN0783"/>
    <s v="B&amp;U0915_7"/>
    <n v="7"/>
    <n v="1"/>
    <s v="B&amp;U"/>
    <d v="2018-09-15T00:00:00"/>
    <s v="September"/>
    <x v="1"/>
    <d v="1899-12-30T01:18:00"/>
    <s v="Mostly sunny"/>
    <x v="6"/>
    <s v="Looking for a place to cache"/>
    <s v="Spruce"/>
    <n v="0"/>
    <m/>
    <n v="0"/>
    <s v="Animal flesh"/>
    <s v="Animal flesh (Snowshoe hare)"/>
    <s v="NA"/>
    <s v="NA"/>
    <s v="NA"/>
    <s v="NA"/>
    <s v="NA"/>
    <m/>
    <m/>
    <s v="NA"/>
    <s v="NA"/>
    <m/>
    <m/>
    <m/>
    <m/>
    <n v="0"/>
    <n v="0"/>
    <n v="0"/>
    <n v="0"/>
    <n v="0"/>
    <n v="0"/>
    <n v="0"/>
    <m/>
    <m/>
    <m/>
    <m/>
  </r>
  <r>
    <s v="DSCN0784"/>
    <s v="B&amp;U0915_8"/>
    <n v="8"/>
    <n v="1"/>
    <s v="B&amp;U"/>
    <d v="2018-09-15T00:00:00"/>
    <s v="September"/>
    <x v="1"/>
    <d v="1899-12-30T00:52:00"/>
    <s v="Mostly sunny"/>
    <x v="6"/>
    <s v="Foraging"/>
    <s v="NA"/>
    <s v="unknown"/>
    <m/>
    <n v="0"/>
    <m/>
    <s v="NA"/>
    <s v="NA"/>
    <s v="NA"/>
    <s v="NA"/>
    <s v="NA"/>
    <s v="NA"/>
    <m/>
    <m/>
    <s v="NA"/>
    <s v="NA"/>
    <m/>
    <m/>
    <m/>
    <m/>
    <n v="0"/>
    <n v="0"/>
    <n v="0"/>
    <n v="0"/>
    <n v="47"/>
    <n v="0"/>
    <n v="47"/>
    <m/>
    <m/>
    <m/>
    <m/>
  </r>
  <r>
    <s v="DSCN0786"/>
    <s v="B&amp;U0915_9"/>
    <n v="9"/>
    <n v="1"/>
    <s v="B&amp;U"/>
    <d v="2018-09-15T00:00:00"/>
    <s v="September"/>
    <x v="1"/>
    <d v="1899-12-30T00:56:00"/>
    <s v="Mostly sunny"/>
    <x v="6"/>
    <s v="Foraging/caching"/>
    <s v="Spruce"/>
    <n v="3"/>
    <m/>
    <n v="1"/>
    <s v="Animal flesh"/>
    <s v="Animal flesh (Snowshoe hare)"/>
    <s v="Ground"/>
    <s v="Interior bare spruce branch under bark"/>
    <s v="Spruce"/>
    <s v="Interior"/>
    <s v="Branch under bark"/>
    <m/>
    <m/>
    <n v="2"/>
    <n v="63.724910000000001"/>
    <n v="148.95679000000001"/>
    <m/>
    <m/>
    <m/>
    <n v="0"/>
    <n v="0"/>
    <n v="0"/>
    <n v="0"/>
    <n v="0"/>
    <n v="0"/>
    <n v="0"/>
    <m/>
    <m/>
    <m/>
    <m/>
  </r>
  <r>
    <s v="DSCN0791"/>
    <s v="B&amp;U0915_11"/>
    <n v="11"/>
    <n v="1"/>
    <s v="B&amp;U"/>
    <d v="2018-09-15T00:00:00"/>
    <s v="September"/>
    <x v="1"/>
    <d v="1899-12-30T00:29:00"/>
    <s v="Mostly sunny"/>
    <x v="6"/>
    <s v="Forgaing"/>
    <s v="NA"/>
    <n v="1"/>
    <m/>
    <n v="0"/>
    <s v="Animal flesh"/>
    <s v="Animal flesh (Snowshoe hare)"/>
    <s v="Ground"/>
    <s v="NA"/>
    <s v="NA"/>
    <s v="NA"/>
    <s v="NA"/>
    <m/>
    <m/>
    <s v="NA"/>
    <s v="NA"/>
    <m/>
    <m/>
    <m/>
    <m/>
    <n v="0"/>
    <n v="0"/>
    <n v="0"/>
    <n v="0"/>
    <n v="0"/>
    <n v="0"/>
    <n v="0"/>
    <m/>
    <s v="Eating from hare"/>
    <m/>
    <m/>
  </r>
  <r>
    <s v="DSCN0793"/>
    <s v="B&amp;U0915_12"/>
    <n v="12"/>
    <n v="1"/>
    <s v="B&amp;U"/>
    <d v="2018-09-15T00:00:00"/>
    <s v="September"/>
    <x v="1"/>
    <d v="1899-12-30T00:40:00"/>
    <s v="Mostly sunny"/>
    <x v="6"/>
    <s v="Foraging"/>
    <s v="NA"/>
    <s v="unknown"/>
    <m/>
    <n v="0"/>
    <m/>
    <s v="NA"/>
    <s v="NA"/>
    <s v="NA"/>
    <s v="NA"/>
    <s v="NA"/>
    <s v="NA"/>
    <m/>
    <m/>
    <s v="NA"/>
    <s v="NA"/>
    <m/>
    <m/>
    <m/>
    <m/>
    <n v="0"/>
    <n v="0"/>
    <n v="0"/>
    <n v="0"/>
    <n v="23"/>
    <n v="0"/>
    <n v="23"/>
    <m/>
    <m/>
    <m/>
    <m/>
  </r>
  <r>
    <s v="DSCN0807"/>
    <s v="B&amp;U0915_19"/>
    <n v="19"/>
    <n v="1"/>
    <s v="B&amp;U"/>
    <d v="2018-09-15T00:00:00"/>
    <s v="September"/>
    <x v="1"/>
    <d v="1899-12-30T00:07:00"/>
    <s v="Mostly sunny"/>
    <x v="6"/>
    <s v="Foraging"/>
    <s v="NA"/>
    <n v="1"/>
    <m/>
    <n v="0"/>
    <s v="Unknown"/>
    <s v="Unknown"/>
    <s v="Ground"/>
    <s v="NA"/>
    <s v="NA"/>
    <s v="NA"/>
    <s v="NA"/>
    <m/>
    <m/>
    <s v="NA"/>
    <s v="NA"/>
    <m/>
    <m/>
    <m/>
    <m/>
    <n v="0"/>
    <n v="0"/>
    <n v="0"/>
    <n v="0"/>
    <n v="0"/>
    <n v="0"/>
    <n v="0"/>
    <m/>
    <s v="Did not catch actual foraging on video.  "/>
    <m/>
    <m/>
  </r>
  <r>
    <s v="DSCN0807"/>
    <s v="B&amp;U0915_20"/>
    <n v="20"/>
    <n v="1"/>
    <s v="B&amp;U"/>
    <d v="2018-09-15T00:00:00"/>
    <s v="September"/>
    <x v="1"/>
    <d v="1899-12-30T00:22:00"/>
    <s v="Mostly sunny"/>
    <x v="6"/>
    <s v="Caching"/>
    <s v="Spruce"/>
    <n v="0"/>
    <m/>
    <n v="1"/>
    <s v="Berry"/>
    <s v="Berry (Blueberry)"/>
    <s v="NA"/>
    <s v="Interior tucked in foliage"/>
    <s v="Spruce"/>
    <s v="Interior"/>
    <s v="Foliage"/>
    <m/>
    <m/>
    <s v="unknown"/>
    <n v="63.725749999999998"/>
    <n v="148.95331999999999"/>
    <m/>
    <m/>
    <m/>
    <n v="0"/>
    <n v="0"/>
    <n v="0"/>
    <n v="0"/>
    <n v="0"/>
    <n v="0"/>
    <n v="0"/>
    <m/>
    <m/>
    <m/>
    <m/>
  </r>
  <r>
    <s v="DSCN0859"/>
    <s v="B&amp;U0917_1"/>
    <n v="1"/>
    <n v="1"/>
    <s v="B&amp;U"/>
    <d v="2018-09-17T00:00:00"/>
    <s v="September"/>
    <x v="1"/>
    <d v="1899-12-30T00:58:00"/>
    <s v="Overcast"/>
    <x v="6"/>
    <s v="Caching"/>
    <s v="Spruce"/>
    <n v="1"/>
    <m/>
    <n v="2"/>
    <s v="Human food"/>
    <s v="Human food (French fry)"/>
    <s v="unknown"/>
    <s v="Spruce trunk under bark"/>
    <s v="Spruce"/>
    <s v="Trunk"/>
    <s v="Under bark"/>
    <m/>
    <m/>
    <s v="Unknown"/>
    <n v="63.725639999999999"/>
    <n v="148.95848000000001"/>
    <m/>
    <m/>
    <m/>
    <n v="0"/>
    <n v="0"/>
    <n v="0"/>
    <n v="0"/>
    <n v="0"/>
    <n v="0"/>
    <n v="0"/>
    <m/>
    <m/>
    <m/>
    <m/>
  </r>
  <r>
    <s v="DSCN0861"/>
    <s v="B&amp;U0917_2"/>
    <n v="2"/>
    <n v="1"/>
    <s v="B&amp;U"/>
    <d v="2018-09-17T00:00:00"/>
    <s v="September"/>
    <x v="1"/>
    <d v="1899-12-30T00:17:00"/>
    <m/>
    <x v="6"/>
    <s v="Food handling"/>
    <s v="Spruce"/>
    <n v="0"/>
    <m/>
    <n v="0"/>
    <s v="Human food"/>
    <s v="Human food (French fry)"/>
    <s v="NA"/>
    <s v="NA"/>
    <s v="NA"/>
    <s v="NA"/>
    <s v="NA"/>
    <m/>
    <m/>
    <s v="NA"/>
    <s v="NA"/>
    <m/>
    <m/>
    <m/>
    <m/>
    <n v="0"/>
    <n v="0"/>
    <n v="0"/>
    <n v="0"/>
    <n v="0"/>
    <n v="0"/>
    <n v="0"/>
    <m/>
    <s v="Good shot of bird handling food"/>
    <m/>
    <m/>
  </r>
  <r>
    <s v="DSCN0862"/>
    <s v="B&amp;U0917_3"/>
    <n v="3"/>
    <n v="1"/>
    <s v="B&amp;U"/>
    <d v="2018-09-17T00:00:00"/>
    <s v="September"/>
    <x v="1"/>
    <d v="1899-12-30T01:03:00"/>
    <s v="Partly Sunny"/>
    <x v="6"/>
    <s v="Food handling/caching"/>
    <s v="Spruce"/>
    <n v="1"/>
    <m/>
    <n v="1"/>
    <s v="Human food"/>
    <s v="Human food (French fry)"/>
    <s v="NA"/>
    <s v="Interior spruce tree likely on trunk"/>
    <s v="Spruce"/>
    <s v="Trunk"/>
    <s v="Under bark"/>
    <m/>
    <m/>
    <s v="unknown"/>
    <n v="63.725679999999997"/>
    <n v="148.9588"/>
    <m/>
    <m/>
    <m/>
    <n v="0"/>
    <n v="0"/>
    <n v="0"/>
    <n v="0"/>
    <n v="0"/>
    <n v="0"/>
    <n v="0"/>
    <m/>
    <m/>
    <m/>
    <m/>
  </r>
  <r>
    <s v="DSCN0862"/>
    <s v="B&amp;U0917_3"/>
    <n v="3"/>
    <n v="2"/>
    <s v="B&amp;U"/>
    <d v="2018-09-17T00:00:00"/>
    <s v="September"/>
    <x v="1"/>
    <d v="1899-12-30T01:03:00"/>
    <s v="Partly Sunny"/>
    <x v="6"/>
    <s v="Food handling/caching"/>
    <s v="Spruce"/>
    <n v="0"/>
    <m/>
    <n v="1"/>
    <s v="Human food"/>
    <s v="Human food (French fry)"/>
    <s v="NA"/>
    <s v="Exterior spruce foliage"/>
    <s v="Spruce"/>
    <s v="Exterior"/>
    <s v="Foliage"/>
    <m/>
    <m/>
    <s v="unknown"/>
    <n v="63.72569"/>
    <n v="148.95882"/>
    <m/>
    <m/>
    <m/>
    <n v="0"/>
    <n v="0"/>
    <n v="0"/>
    <n v="0"/>
    <n v="0"/>
    <n v="0"/>
    <n v="0"/>
    <m/>
    <m/>
    <m/>
    <m/>
  </r>
  <r>
    <s v="DSCN0864"/>
    <s v="B&amp;U0917_4"/>
    <n v="4"/>
    <n v="1"/>
    <s v="B&amp;U"/>
    <d v="2018-09-17T00:00:00"/>
    <s v="September"/>
    <x v="1"/>
    <d v="1899-12-30T00:32:00"/>
    <s v="Partly Sunny"/>
    <x v="6"/>
    <s v="Foraging or caching"/>
    <s v="Spruce"/>
    <s v="unknown"/>
    <m/>
    <n v="0"/>
    <m/>
    <s v="NA"/>
    <s v="NA"/>
    <s v="NA"/>
    <s v="NA"/>
    <s v="NA"/>
    <s v="NA"/>
    <m/>
    <m/>
    <s v="NA"/>
    <s v="NA"/>
    <m/>
    <m/>
    <m/>
    <m/>
    <n v="0"/>
    <n v="17"/>
    <n v="14"/>
    <n v="3"/>
    <n v="0"/>
    <n v="0"/>
    <n v="17"/>
    <m/>
    <m/>
    <m/>
    <m/>
  </r>
  <r>
    <s v="DSCN0949"/>
    <s v="B&amp;U0920_1"/>
    <n v="1"/>
    <n v="1"/>
    <s v="B&amp;U"/>
    <d v="2018-09-20T00:00:00"/>
    <s v="September"/>
    <x v="1"/>
    <d v="1899-12-30T00:43:00"/>
    <s v="Overcast, light rain"/>
    <x v="6"/>
    <s v="Foraging"/>
    <s v="Spruce"/>
    <n v="1"/>
    <m/>
    <n v="0"/>
    <s v="Unknown"/>
    <s v="Unknown"/>
    <s v="Interior spruce foliage"/>
    <s v="NA"/>
    <s v="NA"/>
    <s v="NA"/>
    <s v="NA"/>
    <m/>
    <m/>
    <s v="NA"/>
    <s v="NA"/>
    <m/>
    <m/>
    <m/>
    <m/>
    <n v="0"/>
    <n v="17"/>
    <n v="7"/>
    <n v="10"/>
    <n v="0"/>
    <n v="0"/>
    <n v="17"/>
    <m/>
    <m/>
    <m/>
    <m/>
  </r>
  <r>
    <s v="DSCN0952"/>
    <s v="B&amp;U0920_2"/>
    <n v="2"/>
    <n v="1"/>
    <s v="B&amp;U"/>
    <d v="2018-09-20T00:00:00"/>
    <s v="September"/>
    <x v="1"/>
    <d v="1899-12-30T00:31:00"/>
    <s v="Overcast, light rain"/>
    <x v="6"/>
    <s v="Foraging"/>
    <s v="Spruce"/>
    <s v="unknown"/>
    <m/>
    <n v="0"/>
    <s v="Unknown"/>
    <s v="Unknown"/>
    <s v="NA"/>
    <s v="NA"/>
    <s v="NA"/>
    <s v="NA"/>
    <s v="NA"/>
    <m/>
    <m/>
    <s v="NA"/>
    <s v="NA"/>
    <m/>
    <m/>
    <m/>
    <m/>
    <n v="0"/>
    <n v="13"/>
    <n v="13"/>
    <n v="0"/>
    <n v="0"/>
    <n v="0"/>
    <n v="13"/>
    <m/>
    <m/>
    <m/>
    <m/>
  </r>
  <r>
    <s v="DSCN0954"/>
    <s v="B&amp;U0920_3"/>
    <n v="3"/>
    <n v="1"/>
    <s v="B&amp;U"/>
    <d v="2018-09-20T00:00:00"/>
    <s v="September"/>
    <x v="1"/>
    <d v="1899-12-30T00:16:00"/>
    <s v="Overcast, light rain"/>
    <x v="6"/>
    <s v="Foraging"/>
    <s v="NA"/>
    <s v="unknown"/>
    <m/>
    <n v="0"/>
    <s v="Unknown"/>
    <s v="Unknown"/>
    <s v="NA"/>
    <s v="NA"/>
    <s v="NA"/>
    <s v="NA"/>
    <s v="NA"/>
    <m/>
    <m/>
    <s v="NA"/>
    <s v="NA"/>
    <m/>
    <m/>
    <m/>
    <m/>
    <n v="0"/>
    <m/>
    <n v="0"/>
    <n v="0"/>
    <n v="12"/>
    <n v="0"/>
    <n v="12"/>
    <m/>
    <m/>
    <m/>
    <m/>
  </r>
  <r>
    <s v="DSCN0960"/>
    <s v="B&amp;U0920_4"/>
    <n v="4"/>
    <n v="1"/>
    <s v="B&amp;U"/>
    <d v="2018-09-20T00:00:00"/>
    <s v="September"/>
    <x v="1"/>
    <d v="1899-12-30T00:15:00"/>
    <s v="Overcast, light rain"/>
    <x v="6"/>
    <s v="Foraging"/>
    <s v="Spruce"/>
    <n v="1"/>
    <m/>
    <n v="0"/>
    <s v="Unknown"/>
    <s v="Unknown"/>
    <s v="Exterior bare spruce branch"/>
    <s v="NA"/>
    <s v="NA"/>
    <s v="NA"/>
    <s v="NA"/>
    <m/>
    <m/>
    <s v="NA"/>
    <s v="NA"/>
    <m/>
    <m/>
    <m/>
    <m/>
    <n v="0"/>
    <n v="0"/>
    <n v="0"/>
    <n v="0"/>
    <n v="0"/>
    <n v="0"/>
    <n v="0"/>
    <m/>
    <s v="Finished preening and plucked it from branch. "/>
    <m/>
    <m/>
  </r>
  <r>
    <s v="No video"/>
    <m/>
    <m/>
    <n v="1"/>
    <s v="B&amp;U"/>
    <d v="2018-09-20T00:00:00"/>
    <s v="September"/>
    <x v="1"/>
    <m/>
    <s v="Overcast, light rain"/>
    <x v="6"/>
    <s v="Caching"/>
    <s v="Spruce"/>
    <n v="0"/>
    <m/>
    <n v="1"/>
    <s v="Unknown"/>
    <s v="Unknown"/>
    <s v="Ground"/>
    <s v="Spruce on trunk under bark. "/>
    <s v="Spruce"/>
    <s v="Trunk"/>
    <s v="Under bark"/>
    <m/>
    <m/>
    <s v="Unknown"/>
    <n v="63.726179999999999"/>
    <n v="148.96117000000001"/>
    <m/>
    <m/>
    <m/>
    <n v="0"/>
    <n v="0"/>
    <n v="0"/>
    <n v="0"/>
    <n v="0"/>
    <n v="0"/>
    <n v="0"/>
    <m/>
    <s v="Witnessed by DL"/>
    <m/>
    <m/>
  </r>
  <r>
    <s v="No video"/>
    <m/>
    <m/>
    <n v="2"/>
    <s v="B&amp;U"/>
    <d v="2018-09-20T00:00:00"/>
    <s v="September"/>
    <x v="1"/>
    <m/>
    <s v="Overcast, light rain"/>
    <x v="6"/>
    <s v="Caching"/>
    <s v="Spruce"/>
    <n v="0"/>
    <m/>
    <n v="1"/>
    <s v="Unknown"/>
    <s v="Unknown"/>
    <s v="Ground"/>
    <s v="Spruce in exterior foliage. "/>
    <s v="Spruce"/>
    <s v="Exterior"/>
    <s v="Foliage"/>
    <m/>
    <m/>
    <s v="Unknown"/>
    <n v="63.726179999999999"/>
    <n v="148.96117000000001"/>
    <m/>
    <m/>
    <m/>
    <n v="0"/>
    <n v="0"/>
    <n v="0"/>
    <n v="0"/>
    <n v="0"/>
    <n v="0"/>
    <n v="0"/>
    <m/>
    <s v="Witnessed by DL"/>
    <m/>
    <m/>
  </r>
  <r>
    <s v="DSCN0601"/>
    <s v="CC0911_2"/>
    <n v="2"/>
    <n v="1"/>
    <s v="CCAMP"/>
    <d v="2018-09-11T00:00:00"/>
    <s v="September"/>
    <x v="1"/>
    <d v="1899-12-30T00:18:00"/>
    <s v="Full sun"/>
    <x v="46"/>
    <s v="Foraging"/>
    <s v="NA"/>
    <n v="1"/>
    <m/>
    <n v="0"/>
    <s v="Berry"/>
    <s v="Berry (Soapberry)"/>
    <s v="Ground"/>
    <s v="NA"/>
    <s v="NA"/>
    <s v="NA"/>
    <s v="NA"/>
    <m/>
    <m/>
    <s v="NA"/>
    <s v="NA"/>
    <m/>
    <m/>
    <m/>
    <m/>
    <n v="0"/>
    <n v="0"/>
    <n v="0"/>
    <n v="0"/>
    <n v="8"/>
    <n v="0"/>
    <n v="8"/>
    <m/>
    <m/>
    <m/>
    <m/>
  </r>
  <r>
    <s v="DSCN0602"/>
    <s v="CC0911_3"/>
    <n v="3"/>
    <n v="1"/>
    <s v="CCAMP"/>
    <d v="2018-09-11T00:00:00"/>
    <s v="September"/>
    <x v="1"/>
    <d v="1899-12-30T00:55:00"/>
    <s v="Full sun"/>
    <x v="46"/>
    <s v="Caching"/>
    <s v="Spruce"/>
    <n v="0"/>
    <m/>
    <n v="1"/>
    <s v="Berry"/>
    <s v="Berry (Soapberry)"/>
    <s v="Ground"/>
    <s v="Interior spruce foliage"/>
    <s v="Spruce"/>
    <s v="Exterior"/>
    <s v="Foliage"/>
    <m/>
    <m/>
    <s v="Unknown"/>
    <n v="63.723739999999999"/>
    <n v="148.94995"/>
    <m/>
    <m/>
    <m/>
    <n v="0"/>
    <n v="0"/>
    <n v="0"/>
    <n v="0"/>
    <n v="0"/>
    <n v="0"/>
    <n v="0"/>
    <m/>
    <s v="Caching from previous food acquisition video.  "/>
    <m/>
    <m/>
  </r>
  <r>
    <s v="DSCN0602"/>
    <s v="CC0911_3"/>
    <n v="3"/>
    <n v="2"/>
    <s v="CCAMP"/>
    <d v="2018-09-11T00:00:00"/>
    <s v="September"/>
    <x v="1"/>
    <d v="1899-12-30T00:55:00"/>
    <s v="Full sun"/>
    <x v="46"/>
    <s v="Caching"/>
    <s v="Spruce"/>
    <n v="0"/>
    <m/>
    <n v="1"/>
    <s v="Berry"/>
    <s v="Berry (Soapberry)"/>
    <s v="Ground"/>
    <s v="Exterior spruce foliage"/>
    <s v="Spruce"/>
    <s v="Exterior"/>
    <s v="Foliage"/>
    <m/>
    <m/>
    <s v="Unknown"/>
    <n v="63.723739999999999"/>
    <n v="148.94995"/>
    <m/>
    <m/>
    <m/>
    <n v="0"/>
    <n v="0"/>
    <n v="0"/>
    <n v="0"/>
    <n v="0"/>
    <n v="0"/>
    <n v="0"/>
    <m/>
    <s v="Caching from previous food acquisition video.  Cached in same tree as previous event.  "/>
    <m/>
    <m/>
  </r>
  <r>
    <s v="DSCN0729"/>
    <s v="CC0914_2"/>
    <n v="2"/>
    <n v="1"/>
    <s v="CCAMP"/>
    <d v="2018-09-14T00:00:00"/>
    <s v="September"/>
    <x v="1"/>
    <d v="1899-12-30T00:11:00"/>
    <s v="Mostly sunny"/>
    <x v="46"/>
    <s v="Caching"/>
    <s v="Spruce"/>
    <n v="0"/>
    <m/>
    <n v="1"/>
    <s v="Unknown"/>
    <s v="Unknown"/>
    <s v="NA"/>
    <s v="Exterior spruce branch in witch hair"/>
    <s v="Spruce"/>
    <s v="Exterior"/>
    <s v="Branch under witch hair"/>
    <m/>
    <m/>
    <s v="unknown"/>
    <n v="63.722520000000003"/>
    <n v="148.95232999999999"/>
    <m/>
    <m/>
    <m/>
    <n v="0"/>
    <n v="0"/>
    <n v="0"/>
    <n v="0"/>
    <n v="0"/>
    <n v="0"/>
    <n v="0"/>
    <m/>
    <m/>
    <m/>
    <m/>
  </r>
  <r>
    <s v="DSCN1116"/>
    <s v="CC0926_2"/>
    <n v="2"/>
    <n v="1"/>
    <s v="CCAMP"/>
    <d v="2018-09-26T00:00:00"/>
    <s v="September"/>
    <x v="1"/>
    <d v="1899-12-30T00:20:00"/>
    <s v="Overcast"/>
    <x v="46"/>
    <s v="Food handling"/>
    <s v="Spruce"/>
    <n v="1"/>
    <m/>
    <n v="0"/>
    <s v="Unknown"/>
    <s v="Unknown"/>
    <s v="unknown"/>
    <s v="NA"/>
    <s v="NA"/>
    <s v="NA"/>
    <s v="NA"/>
    <m/>
    <m/>
    <s v="NA"/>
    <s v="NA"/>
    <m/>
    <m/>
    <m/>
    <m/>
    <n v="0"/>
    <n v="0"/>
    <n v="0"/>
    <n v="0"/>
    <n v="0"/>
    <n v="0"/>
    <n v="0"/>
    <m/>
    <s v="No idea what food is! "/>
    <m/>
    <m/>
  </r>
  <r>
    <s v="DSCN1118"/>
    <s v="CC0926_3"/>
    <n v="3"/>
    <n v="1"/>
    <s v="CCAMP"/>
    <d v="2018-09-26T00:00:00"/>
    <s v="September"/>
    <x v="1"/>
    <d v="1899-12-30T01:10:00"/>
    <s v="Overcast"/>
    <x v="46"/>
    <s v="Caching"/>
    <s v="Spruce, Aspen"/>
    <n v="0"/>
    <m/>
    <n v="2"/>
    <s v="Unknown"/>
    <s v="Unknown"/>
    <s v="unknown"/>
    <s v="Exterior aspen branch under bark "/>
    <s v="Aspen"/>
    <s v="Exterior"/>
    <s v="Under bark"/>
    <m/>
    <m/>
    <s v="unknown"/>
    <n v="63.724490000000003"/>
    <n v="148.95013"/>
    <m/>
    <m/>
    <m/>
    <n v="0"/>
    <n v="0"/>
    <n v="0"/>
    <n v="0"/>
    <n v="0"/>
    <n v="0"/>
    <n v="0"/>
    <m/>
    <s v="Great cache video, especially at 0:43"/>
    <m/>
    <m/>
  </r>
  <r>
    <s v="DSCN1118"/>
    <s v="CC0926_3"/>
    <n v="3"/>
    <n v="2"/>
    <s v="CCAMP"/>
    <d v="2018-09-26T00:00:00"/>
    <s v="September"/>
    <x v="1"/>
    <d v="1899-12-30T01:10:00"/>
    <s v="Overcast"/>
    <x v="46"/>
    <s v="Caching"/>
    <s v="Spruce, Aspen"/>
    <n v="0"/>
    <m/>
    <n v="1"/>
    <s v="Unknown"/>
    <s v="Unknown"/>
    <s v="unknown"/>
    <s v="Exterior aspen branch under bark "/>
    <s v="Aspen"/>
    <s v="Exterior"/>
    <s v="Branch under bark"/>
    <m/>
    <m/>
    <s v="unknown"/>
    <n v="63.724469999999997"/>
    <n v="148.95013"/>
    <m/>
    <m/>
    <m/>
    <n v="0"/>
    <n v="0"/>
    <n v="0"/>
    <n v="0"/>
    <n v="0"/>
    <n v="0"/>
    <n v="0"/>
    <m/>
    <s v="Great cache video, especially at 0:43"/>
    <m/>
    <m/>
  </r>
  <r>
    <s v="DSCN1118"/>
    <s v="CC0926_3"/>
    <n v="3"/>
    <n v="3"/>
    <s v="CCAMP"/>
    <d v="2018-09-26T00:00:00"/>
    <s v="September"/>
    <x v="1"/>
    <d v="1899-12-30T01:10:00"/>
    <s v="Overcast"/>
    <x v="46"/>
    <s v="Caching"/>
    <s v="Spruce, Aspen"/>
    <n v="0"/>
    <m/>
    <n v="1"/>
    <s v="Unknown"/>
    <s v="Unknown"/>
    <s v="unknown"/>
    <s v="Exterior spruce foliage"/>
    <s v="Spruce"/>
    <s v="Exterior"/>
    <s v="Foliage"/>
    <m/>
    <m/>
    <s v="unknown"/>
    <n v="63.724350000000001"/>
    <n v="148.95016000000001"/>
    <m/>
    <m/>
    <m/>
    <n v="0"/>
    <n v="0"/>
    <n v="0"/>
    <n v="0"/>
    <n v="0"/>
    <n v="0"/>
    <n v="0"/>
    <m/>
    <s v="Great cache video, especially at 0:43"/>
    <m/>
    <m/>
  </r>
  <r>
    <s v="DSCN1121"/>
    <s v="CC0926_4"/>
    <n v="4"/>
    <n v="1"/>
    <s v="CCAMP"/>
    <d v="2018-09-26T00:00:00"/>
    <s v="September"/>
    <x v="1"/>
    <d v="1899-12-30T00:07:00"/>
    <s v="Overcast"/>
    <x v="46"/>
    <s v="Caching"/>
    <s v="Aspen"/>
    <n v="0"/>
    <m/>
    <n v="1"/>
    <s v="Unknown"/>
    <s v="Unknown"/>
    <s v="ground"/>
    <s v="Aspen trunk"/>
    <s v="Aspen"/>
    <s v="Trunk"/>
    <s v="On bark"/>
    <m/>
    <m/>
    <n v="25"/>
    <n v="63.724290000000003"/>
    <n v="148.94922"/>
    <m/>
    <m/>
    <m/>
    <n v="0"/>
    <n v="0"/>
    <n v="0"/>
    <n v="0"/>
    <n v="0"/>
    <n v="0"/>
    <n v="0"/>
    <m/>
    <s v="Checked and could see cache! Later put camera on cache tree. "/>
    <m/>
    <m/>
  </r>
  <r>
    <s v="DSN0725"/>
    <s v="CC0914_1"/>
    <n v="1"/>
    <n v="1"/>
    <s v="CCAMP"/>
    <d v="2018-09-14T00:00:00"/>
    <s v="September"/>
    <x v="1"/>
    <d v="1899-12-30T00:21:00"/>
    <s v="Mostly sunny"/>
    <x v="46"/>
    <s v="Food handling"/>
    <s v="Spruce"/>
    <n v="1"/>
    <m/>
    <n v="0"/>
    <s v="Unknown"/>
    <s v="Unknown"/>
    <s v="unknown"/>
    <s v="NA"/>
    <s v="NA"/>
    <s v="NA"/>
    <s v="NA"/>
    <m/>
    <m/>
    <s v="NA"/>
    <s v="NA"/>
    <m/>
    <m/>
    <m/>
    <m/>
    <n v="2"/>
    <n v="0"/>
    <n v="2"/>
    <n v="0"/>
    <n v="0"/>
    <n v="0"/>
    <n v="2"/>
    <m/>
    <s v="A little unclear from video if it was eating food it already had or foraging for more…"/>
    <m/>
    <m/>
  </r>
  <r>
    <s v="DSCN0593"/>
    <s v="RC0911_4"/>
    <n v="4"/>
    <n v="1"/>
    <s v="Rock Creek"/>
    <d v="2018-09-11T00:00:00"/>
    <s v="September"/>
    <x v="1"/>
    <d v="1899-12-30T00:24:00"/>
    <s v="Full sun"/>
    <x v="47"/>
    <s v="Caching"/>
    <s v="Spruce"/>
    <n v="0"/>
    <m/>
    <n v="1"/>
    <s v="Unknown"/>
    <s v="Unknown"/>
    <s v="NA"/>
    <s v="Interior spruce foliage "/>
    <s v="Spruce"/>
    <s v="Interior"/>
    <s v="Foliage"/>
    <m/>
    <m/>
    <s v="Unknown"/>
    <n v="63.722520000000003"/>
    <n v="148.95984000000001"/>
    <m/>
    <m/>
    <m/>
    <n v="0"/>
    <n v="0"/>
    <n v="0"/>
    <n v="0"/>
    <n v="0"/>
    <n v="0"/>
    <n v="0"/>
    <m/>
    <s v="Cached food item seen eating in RC0911_3 in a separate tree. "/>
    <m/>
    <m/>
  </r>
  <r>
    <s v="DSCN0220"/>
    <s v="M3.50903_1"/>
    <n v="1"/>
    <n v="1"/>
    <s v="Mile 3.5"/>
    <d v="2018-09-03T00:00:00"/>
    <s v="September"/>
    <x v="1"/>
    <d v="1899-12-30T01:02:00"/>
    <m/>
    <x v="7"/>
    <s v="Foraging/caching"/>
    <s v="Spruce"/>
    <n v="1"/>
    <m/>
    <n v="1"/>
    <s v="Berry"/>
    <s v="Berry"/>
    <s v="Ground"/>
    <s v="Interior spruce branch/witch hair moss"/>
    <s v="Spruce"/>
    <s v="Interior"/>
    <s v="Under bark and witch hair "/>
    <m/>
    <m/>
    <s v="Unknown"/>
    <n v="63.722920000000002"/>
    <n v="148.98212000000001"/>
    <m/>
    <m/>
    <m/>
    <n v="0"/>
    <n v="0"/>
    <n v="0"/>
    <n v="0"/>
    <n v="7"/>
    <n v="0"/>
    <n v="7"/>
    <m/>
    <s v="Suspected B&amp;Ut unconfirmed cache"/>
    <n v="0"/>
    <n v="0"/>
  </r>
  <r>
    <s v="DSCN0280"/>
    <s v="M4R0905_1"/>
    <n v="1"/>
    <n v="1"/>
    <s v="M4Roadside"/>
    <d v="2018-09-05T00:00:00"/>
    <s v="September"/>
    <x v="1"/>
    <d v="1899-12-30T00:55:00"/>
    <s v="Partly Sunny"/>
    <x v="7"/>
    <s v="Foraging"/>
    <s v="NA"/>
    <n v="1"/>
    <m/>
    <n v="0"/>
    <s v="Berry"/>
    <s v="Berry (Blueberry)"/>
    <s v="Ground"/>
    <s v="NA"/>
    <s v="NA"/>
    <s v="NA"/>
    <s v="NA"/>
    <m/>
    <m/>
    <s v="NA"/>
    <s v="NA"/>
    <m/>
    <m/>
    <m/>
    <m/>
    <n v="0"/>
    <n v="0"/>
    <n v="0"/>
    <n v="0"/>
    <n v="63"/>
    <n v="0"/>
    <n v="63"/>
    <s v="Searching "/>
    <m/>
    <m/>
    <m/>
  </r>
  <r>
    <s v="DSCN0280"/>
    <s v="M4R0905_1"/>
    <n v="1"/>
    <n v="2"/>
    <s v="M4Roadside"/>
    <d v="2018-09-05T00:00:00"/>
    <s v="September"/>
    <x v="1"/>
    <d v="1899-12-30T00:55:00"/>
    <s v="Partly Sunny"/>
    <x v="7"/>
    <s v="Foraging"/>
    <s v="NA"/>
    <n v="1"/>
    <m/>
    <n v="0"/>
    <s v="Insect"/>
    <s v="Insect (caterpillar)"/>
    <s v="Ground"/>
    <s v="NA"/>
    <s v="NA"/>
    <s v="NA"/>
    <s v="NA"/>
    <m/>
    <m/>
    <s v="NA"/>
    <s v="NA"/>
    <m/>
    <m/>
    <m/>
    <m/>
    <n v="0"/>
    <n v="0"/>
    <n v="0"/>
    <n v="0"/>
    <n v="0"/>
    <n v="0"/>
    <n v="0"/>
    <s v="Searching "/>
    <m/>
    <m/>
    <m/>
  </r>
  <r>
    <s v="DSCN0281"/>
    <s v="M4R0905_2"/>
    <n v="2"/>
    <n v="1"/>
    <s v="M4Roadside"/>
    <d v="2018-09-05T00:00:00"/>
    <s v="September"/>
    <x v="1"/>
    <d v="1899-12-30T01:46:00"/>
    <s v="Partly Sunny"/>
    <x v="7"/>
    <s v="Foraging"/>
    <s v="Spruce"/>
    <n v="1"/>
    <m/>
    <n v="0"/>
    <s v="Unknown"/>
    <s v="Unknown"/>
    <s v="Spruce exterior foliage"/>
    <s v="NA"/>
    <s v="NA"/>
    <s v="NA"/>
    <s v="NA"/>
    <m/>
    <m/>
    <s v="Unknown"/>
    <s v="NA"/>
    <m/>
    <m/>
    <m/>
    <m/>
    <n v="0"/>
    <n v="6"/>
    <n v="0"/>
    <n v="6"/>
    <n v="0"/>
    <n v="0"/>
    <n v="6"/>
    <m/>
    <s v="Decent cache video"/>
    <m/>
    <m/>
  </r>
  <r>
    <s v="DSCN0284"/>
    <s v="M4R0905_3"/>
    <n v="3"/>
    <n v="1"/>
    <s v="M4Roadside"/>
    <d v="2018-09-05T00:00:00"/>
    <s v="September"/>
    <x v="1"/>
    <d v="1899-12-30T00:14:00"/>
    <s v="Partly Sunny"/>
    <x v="7"/>
    <s v="Foraging"/>
    <s v="NA"/>
    <n v="1"/>
    <m/>
    <n v="0"/>
    <s v="Insect"/>
    <s v="Insect (caterpillar)"/>
    <s v="Ground"/>
    <s v="NA"/>
    <s v="NA"/>
    <s v="NA"/>
    <s v="NA"/>
    <m/>
    <m/>
    <s v="NA"/>
    <s v="NA"/>
    <m/>
    <m/>
    <m/>
    <m/>
    <n v="0"/>
    <n v="0"/>
    <n v="0"/>
    <n v="0"/>
    <n v="0"/>
    <n v="0"/>
    <n v="0"/>
    <m/>
    <s v="Missed foraging on film "/>
    <m/>
    <m/>
  </r>
  <r>
    <s v="DSCN0559"/>
    <s v="M4R0909_1"/>
    <n v="1"/>
    <n v="1"/>
    <s v="M4Roadside"/>
    <d v="2018-09-09T00:00:00"/>
    <s v="September"/>
    <x v="1"/>
    <d v="1899-12-30T00:14:00"/>
    <s v="Full sun"/>
    <x v="7"/>
    <s v="Foraging"/>
    <s v="Alder"/>
    <n v="2"/>
    <m/>
    <n v="0"/>
    <s v="Unknown"/>
    <s v="Unknown"/>
    <s v="Alder branch"/>
    <s v="NA"/>
    <s v="NA"/>
    <s v="NA"/>
    <s v="NA"/>
    <m/>
    <m/>
    <s v="NA"/>
    <s v="NA"/>
    <m/>
    <m/>
    <m/>
    <m/>
    <n v="11"/>
    <n v="0"/>
    <n v="0"/>
    <n v="11"/>
    <n v="0"/>
    <n v="0"/>
    <n v="11"/>
    <m/>
    <s v="First food acquisition is not on film.  "/>
    <m/>
    <m/>
  </r>
  <r>
    <s v="DSCN0692"/>
    <s v="M4R0914_1"/>
    <n v="1"/>
    <n v="1"/>
    <s v="M4Roadside"/>
    <d v="2018-09-14T00:00:00"/>
    <s v="September"/>
    <x v="1"/>
    <d v="1899-12-30T00:50:00"/>
    <s v="Mostly sunny"/>
    <x v="7"/>
    <s v="Caching"/>
    <s v="Spruce"/>
    <n v="1"/>
    <m/>
    <n v="2"/>
    <s v="Unknown"/>
    <s v="Unknown"/>
    <s v="Interior top of spruce tree"/>
    <s v="Interior bare spruce branch under bark/witch hair"/>
    <s v="Spruce"/>
    <s v="Interior"/>
    <s v="Under bark and witch hair "/>
    <m/>
    <m/>
    <s v="unknown"/>
    <n v="63.720970000000001"/>
    <n v="148.98309"/>
    <m/>
    <m/>
    <m/>
    <n v="0"/>
    <n v="0"/>
    <n v="0"/>
    <n v="0"/>
    <n v="0"/>
    <n v="0"/>
    <n v="0"/>
    <m/>
    <s v="Food acquisition not captured on film B&amp;Ut observed beforhand by KS.  "/>
    <m/>
    <m/>
  </r>
  <r>
    <s v="DSCN0702"/>
    <s v="M4R0914_3"/>
    <n v="3"/>
    <n v="1"/>
    <s v="M4Roadside"/>
    <d v="2018-09-14T00:00:00"/>
    <s v="September"/>
    <x v="1"/>
    <d v="1899-12-30T00:26:00"/>
    <s v="Mostly sunny"/>
    <x v="7"/>
    <s v="Caching"/>
    <s v="Spruce"/>
    <n v="0"/>
    <m/>
    <n v="1"/>
    <s v="Unknown"/>
    <s v="Unknown"/>
    <s v="NA"/>
    <s v="Exterior spruce branch under bark/witch hair"/>
    <s v="Spruce"/>
    <s v="Exterior"/>
    <s v="Under bark and witch hair "/>
    <m/>
    <m/>
    <s v="unknown"/>
    <n v="63.722270000000002"/>
    <n v="148.98532"/>
    <m/>
    <m/>
    <m/>
    <n v="0"/>
    <n v="0"/>
    <n v="0"/>
    <n v="0"/>
    <n v="0"/>
    <n v="0"/>
    <n v="0"/>
    <m/>
    <m/>
    <m/>
    <m/>
  </r>
  <r>
    <s v="DSCN0711"/>
    <s v="M4R0914_5"/>
    <n v="5"/>
    <n v="1"/>
    <s v="M4Roadside"/>
    <d v="2018-09-14T00:00:00"/>
    <s v="September"/>
    <x v="1"/>
    <d v="1899-12-30T00:21:00"/>
    <s v="Mostly sunny"/>
    <x v="7"/>
    <s v="Unknown"/>
    <s v="Spruce"/>
    <s v="unknown"/>
    <m/>
    <s v="Unknown"/>
    <s v="Unknown"/>
    <s v="Unknown"/>
    <s v="unknown"/>
    <s v="NA"/>
    <m/>
    <m/>
    <m/>
    <m/>
    <m/>
    <s v="NA"/>
    <s v="NA"/>
    <m/>
    <m/>
    <m/>
    <m/>
    <n v="0"/>
    <n v="0"/>
    <n v="0"/>
    <n v="0"/>
    <n v="0"/>
    <n v="0"/>
    <n v="0"/>
    <m/>
    <s v="Unclear if foraging or caching.  Check with jay crew. "/>
    <m/>
    <m/>
  </r>
  <r>
    <s v="DSCN0715"/>
    <s v="M4R0914_6"/>
    <n v="6"/>
    <n v="1"/>
    <s v="M4Roadside"/>
    <d v="2018-09-14T00:00:00"/>
    <s v="September"/>
    <x v="1"/>
    <d v="1899-12-30T00:24:00"/>
    <s v="Mostly sunny"/>
    <x v="7"/>
    <s v="Food handling"/>
    <s v="Spruce"/>
    <n v="1"/>
    <m/>
    <n v="0"/>
    <s v="Berry"/>
    <s v="Berry (blueberries_"/>
    <s v="unknown"/>
    <s v="NA"/>
    <s v="NA"/>
    <s v="NA"/>
    <s v="NA"/>
    <m/>
    <m/>
    <s v="NA"/>
    <s v="NA"/>
    <m/>
    <m/>
    <m/>
    <m/>
    <n v="0"/>
    <n v="0"/>
    <n v="0"/>
    <n v="0"/>
    <n v="0"/>
    <n v="0"/>
    <n v="0"/>
    <m/>
    <s v="Has two blueberries in the bill"/>
    <m/>
    <m/>
  </r>
  <r>
    <s v="DSCN0716"/>
    <s v="M4R0914_7"/>
    <n v="7"/>
    <n v="1"/>
    <s v="M4Roadside"/>
    <d v="2018-09-14T00:00:00"/>
    <s v="September"/>
    <x v="1"/>
    <d v="1899-12-30T00:37:00"/>
    <s v="Mostly sunny"/>
    <x v="7"/>
    <s v="Foraging"/>
    <s v="NA"/>
    <n v="2"/>
    <m/>
    <s v="Unknown"/>
    <s v="Berry"/>
    <s v="Berry (Blueberry)"/>
    <s v="Ground"/>
    <s v="NA"/>
    <m/>
    <m/>
    <m/>
    <m/>
    <m/>
    <s v="NA"/>
    <s v="NA"/>
    <m/>
    <m/>
    <m/>
    <m/>
    <n v="0"/>
    <n v="0"/>
    <n v="0"/>
    <n v="0"/>
    <n v="10"/>
    <n v="0"/>
    <n v="10"/>
    <m/>
    <s v="DL witnessed it picking up 4 berries.  We orignially marked it as caching B&amp;Ut upon review of the video we decided there was't sufficient evidence of this.  "/>
    <m/>
    <m/>
  </r>
  <r>
    <s v="DSCN0721"/>
    <s v="M4R0914_8"/>
    <n v="8"/>
    <n v="1"/>
    <s v="M4Roadside"/>
    <d v="2018-09-14T00:00:00"/>
    <s v="September"/>
    <x v="1"/>
    <d v="1899-12-30T00:11:00"/>
    <s v="Mostly sunny"/>
    <x v="7"/>
    <s v="Foraging"/>
    <s v="Spruce"/>
    <s v="unknown"/>
    <m/>
    <n v="0"/>
    <m/>
    <s v="NA"/>
    <s v="NA"/>
    <s v="NA"/>
    <s v="NA"/>
    <s v="NA"/>
    <s v="NA"/>
    <m/>
    <m/>
    <s v="NA"/>
    <s v="NA"/>
    <m/>
    <m/>
    <m/>
    <m/>
    <n v="10"/>
    <n v="0"/>
    <n v="10"/>
    <n v="0"/>
    <n v="0"/>
    <n v="0"/>
    <n v="10"/>
    <s v="Unclear from video…too blurry"/>
    <m/>
    <m/>
    <m/>
  </r>
  <r>
    <s v="DSCN0722"/>
    <s v="M4R0914_9"/>
    <n v="9"/>
    <n v="1"/>
    <s v="M4Roadside"/>
    <d v="2018-09-14T00:00:00"/>
    <s v="September"/>
    <x v="1"/>
    <d v="1899-12-30T00:29:00"/>
    <s v="Mostly sunny"/>
    <x v="7"/>
    <s v="Foraging"/>
    <s v="NA"/>
    <n v="0"/>
    <m/>
    <n v="0"/>
    <m/>
    <s v="NA"/>
    <s v="NA"/>
    <s v="NA"/>
    <s v="NA"/>
    <s v="NA"/>
    <s v="NA"/>
    <m/>
    <m/>
    <s v="NA"/>
    <s v="NA"/>
    <m/>
    <m/>
    <m/>
    <m/>
    <n v="0"/>
    <n v="0"/>
    <n v="0"/>
    <n v="0"/>
    <n v="9"/>
    <n v="0"/>
    <n v="9"/>
    <m/>
    <m/>
    <m/>
    <m/>
  </r>
  <r>
    <s v="DSCN0810"/>
    <s v="M4R0916_1"/>
    <n v="1"/>
    <n v="1"/>
    <s v="M4Roadside"/>
    <d v="2018-09-16T00:00:00"/>
    <s v="September"/>
    <x v="1"/>
    <d v="1899-12-30T00:47:00"/>
    <s v="Overcast"/>
    <x v="7"/>
    <s v="Foraging"/>
    <s v="Spruce"/>
    <s v="unknown"/>
    <m/>
    <n v="0"/>
    <s v="Unknown"/>
    <s v="Unknown"/>
    <s v="NA"/>
    <s v="NA"/>
    <s v="NA"/>
    <s v="NA"/>
    <s v="NA"/>
    <m/>
    <m/>
    <s v="NA"/>
    <s v="NA"/>
    <m/>
    <m/>
    <m/>
    <m/>
    <n v="13"/>
    <n v="0"/>
    <n v="13"/>
    <n v="0"/>
    <n v="0"/>
    <n v="0"/>
    <n v="13"/>
    <s v="Too blocked to tell"/>
    <m/>
    <m/>
    <m/>
  </r>
  <r>
    <s v="DSCN0811"/>
    <s v="M4R0916_2"/>
    <n v="2"/>
    <n v="1"/>
    <s v="M4Roadside"/>
    <d v="2018-09-16T00:00:00"/>
    <s v="September"/>
    <x v="1"/>
    <d v="1899-12-30T00:28:00"/>
    <s v="Overcast"/>
    <x v="7"/>
    <s v="Foraging/caching"/>
    <s v="Spruce"/>
    <n v="1"/>
    <m/>
    <n v="1"/>
    <s v="Unknown"/>
    <s v="Unknown"/>
    <s v="Exterior foliated spruce"/>
    <s v="Exterior bare spruce branch"/>
    <s v="Spruce"/>
    <s v="Exterior"/>
    <s v="Branch"/>
    <m/>
    <m/>
    <s v="Unknown"/>
    <n v="63.722729999999999"/>
    <n v="148.98305999999999"/>
    <m/>
    <m/>
    <m/>
    <n v="0"/>
    <n v="0"/>
    <n v="0"/>
    <n v="0"/>
    <n v="0"/>
    <n v="0"/>
    <n v="0"/>
    <m/>
    <s v="Only got food acquisition on tape, not foraging.  "/>
    <m/>
    <m/>
  </r>
  <r>
    <s v="DSCN0821"/>
    <s v="M4R0916_4"/>
    <n v="4"/>
    <n v="1"/>
    <s v="M4Roadside"/>
    <d v="2018-09-16T00:00:00"/>
    <s v="September"/>
    <x v="1"/>
    <d v="1899-12-30T00:31:00"/>
    <s v="Overcast"/>
    <x v="7"/>
    <s v="Foraging/caching"/>
    <s v="Spruce"/>
    <n v="0"/>
    <m/>
    <n v="1"/>
    <s v="Unknown"/>
    <s v="Unknown"/>
    <s v="unknown"/>
    <s v="Interior bare spruce branch under bark"/>
    <s v="Spruce"/>
    <s v="Interior"/>
    <s v="Under bark"/>
    <m/>
    <m/>
    <s v="Unknown"/>
    <n v="63.721499999999999"/>
    <n v="148.98752999999999"/>
    <m/>
    <m/>
    <m/>
    <n v="23"/>
    <n v="0"/>
    <n v="23"/>
    <n v="0"/>
    <n v="0"/>
    <n v="0"/>
    <n v="23"/>
    <m/>
    <s v="*Possible it was looking to cache rather than foraging.  "/>
    <m/>
    <m/>
  </r>
  <r>
    <s v="DSCN0822"/>
    <s v="M4R0916_5"/>
    <n v="5"/>
    <n v="1"/>
    <s v="M4Roadside"/>
    <d v="2018-09-16T00:00:00"/>
    <s v="September"/>
    <x v="1"/>
    <d v="1899-12-30T00:11:00"/>
    <s v="Overcast"/>
    <x v="7"/>
    <s v="Foraging"/>
    <s v="Spruce"/>
    <n v="1"/>
    <m/>
    <n v="0"/>
    <s v="Unknown"/>
    <s v="Unknown"/>
    <s v="Exterior foliated spruce"/>
    <s v="NA"/>
    <s v="NA"/>
    <s v="NA"/>
    <s v="NA"/>
    <m/>
    <m/>
    <s v="NA"/>
    <s v="NA"/>
    <m/>
    <m/>
    <m/>
    <m/>
    <n v="0"/>
    <n v="0"/>
    <n v="0"/>
    <n v="0"/>
    <n v="0"/>
    <n v="0"/>
    <n v="0"/>
    <m/>
    <s v="Continuation from previous video.  "/>
    <m/>
    <m/>
  </r>
  <r>
    <s v="DSCN0929"/>
    <s v="M4R0919_1"/>
    <n v="1"/>
    <n v="1"/>
    <s v="M4Roadside"/>
    <d v="2018-09-19T00:00:00"/>
    <s v="September"/>
    <x v="1"/>
    <d v="1899-12-30T01:03:00"/>
    <m/>
    <x v="7"/>
    <s v="Foraging"/>
    <s v="Spruce"/>
    <n v="1"/>
    <m/>
    <n v="0"/>
    <s v="Unknown"/>
    <s v="Unknown"/>
    <s v="Spruce trunk"/>
    <s v="NA"/>
    <s v="NA"/>
    <s v="NA"/>
    <s v="NA"/>
    <m/>
    <m/>
    <s v="NA"/>
    <s v="NA"/>
    <m/>
    <m/>
    <m/>
    <m/>
    <n v="29"/>
    <n v="0"/>
    <n v="29"/>
    <n v="0"/>
    <n v="22"/>
    <n v="0"/>
    <n v="51"/>
    <m/>
    <m/>
    <m/>
    <m/>
  </r>
  <r>
    <s v="DSCN0932"/>
    <s v="M4R0919_2"/>
    <n v="2"/>
    <n v="1"/>
    <s v="M4Roadside"/>
    <d v="2018-09-19T00:00:00"/>
    <s v="September"/>
    <x v="1"/>
    <d v="1899-12-30T00:26:00"/>
    <m/>
    <x v="7"/>
    <s v="Foraging"/>
    <s v="NA"/>
    <n v="1"/>
    <m/>
    <n v="0"/>
    <s v="Unknown"/>
    <s v="Unknown"/>
    <s v="Ground"/>
    <s v="NA"/>
    <s v="NA"/>
    <s v="NA"/>
    <s v="NA"/>
    <m/>
    <m/>
    <s v="NA"/>
    <s v="NA"/>
    <m/>
    <m/>
    <m/>
    <m/>
    <n v="0"/>
    <n v="0"/>
    <n v="0"/>
    <n v="0"/>
    <n v="3"/>
    <n v="0"/>
    <n v="3"/>
    <s v="Searching"/>
    <m/>
    <m/>
    <m/>
  </r>
  <r>
    <s v="DSCN0934"/>
    <s v="M4R0919_3"/>
    <n v="3"/>
    <n v="1"/>
    <s v="M4Roadside"/>
    <d v="2018-09-19T00:00:00"/>
    <s v="September"/>
    <x v="1"/>
    <d v="1899-12-30T00:11:00"/>
    <m/>
    <x v="7"/>
    <s v="Foraging"/>
    <s v="NA"/>
    <n v="1"/>
    <m/>
    <n v="0"/>
    <s v="Insect"/>
    <s v="Insect (caterpillar or worm)"/>
    <s v="Ground"/>
    <s v="NA"/>
    <s v="NA"/>
    <s v="NA"/>
    <s v="NA"/>
    <m/>
    <m/>
    <s v="NA"/>
    <s v="NA"/>
    <m/>
    <m/>
    <m/>
    <m/>
    <n v="0"/>
    <n v="0"/>
    <n v="0"/>
    <n v="0"/>
    <n v="11"/>
    <n v="0"/>
    <n v="11"/>
    <m/>
    <s v="Flew to ground and got it immediately "/>
    <m/>
    <m/>
  </r>
  <r>
    <s v="DSCN1173"/>
    <s v="M4R0927_1"/>
    <n v="1"/>
    <n v="1"/>
    <s v="M4Roadside"/>
    <d v="2018-09-27T00:00:00"/>
    <s v="September"/>
    <x v="1"/>
    <d v="1899-12-30T00:25:00"/>
    <s v="Overcast"/>
    <x v="7"/>
    <s v="Foraging/caching"/>
    <s v="Spruce"/>
    <n v="1"/>
    <m/>
    <n v="1"/>
    <s v="Unknown"/>
    <s v="Unknown"/>
    <s v="Spruce foliage"/>
    <s v="Exterior spruce foliage"/>
    <s v="Spruce"/>
    <s v="Exterior"/>
    <s v="Foliage"/>
    <m/>
    <m/>
    <n v="2"/>
    <n v="63.722810000000003"/>
    <n v="148.98181"/>
    <m/>
    <m/>
    <m/>
    <n v="0"/>
    <n v="0"/>
    <n v="0"/>
    <n v="0"/>
    <n v="0"/>
    <n v="0"/>
    <n v="0"/>
    <m/>
    <s v="Instantly picks food from branch "/>
    <m/>
    <m/>
  </r>
  <r>
    <s v="DSCN1174"/>
    <s v="M4R0927_2"/>
    <n v="2"/>
    <n v="1"/>
    <s v="M4Roadside"/>
    <d v="2018-09-27T00:00:00"/>
    <s v="September"/>
    <x v="1"/>
    <d v="1899-12-30T00:13:00"/>
    <s v="Overcast"/>
    <x v="7"/>
    <s v="Foraging"/>
    <s v="Spruce"/>
    <n v="1"/>
    <m/>
    <n v="0"/>
    <s v="Misc"/>
    <s v="Lichen?"/>
    <s v="Spruce branch"/>
    <s v="NA"/>
    <s v="NA"/>
    <s v="NA"/>
    <s v="NA"/>
    <m/>
    <m/>
    <s v="NA"/>
    <s v="NA"/>
    <m/>
    <m/>
    <m/>
    <m/>
    <n v="0"/>
    <n v="0"/>
    <n v="0"/>
    <n v="0"/>
    <n v="0"/>
    <n v="0"/>
    <n v="0"/>
    <m/>
    <m/>
    <m/>
    <m/>
  </r>
  <r>
    <s v="DSCN1176"/>
    <s v="M4R0927_3"/>
    <n v="3"/>
    <n v="1"/>
    <s v="M4Roadside"/>
    <d v="2018-09-27T00:00:00"/>
    <s v="September"/>
    <x v="1"/>
    <d v="1899-12-30T00:23:00"/>
    <s v="Overcast"/>
    <x v="7"/>
    <s v="Foraging"/>
    <s v="Spruce"/>
    <n v="1"/>
    <m/>
    <n v="0"/>
    <s v="Unknown"/>
    <s v="Unknown"/>
    <s v="Spruce trunk"/>
    <s v="NA"/>
    <s v="NA"/>
    <s v="NA"/>
    <s v="NA"/>
    <m/>
    <m/>
    <s v="NA"/>
    <s v="NA"/>
    <m/>
    <m/>
    <m/>
    <m/>
    <n v="18"/>
    <n v="0"/>
    <n v="18"/>
    <n v="0"/>
    <n v="0"/>
    <n v="0"/>
    <n v="18"/>
    <s v="Searching/probing"/>
    <m/>
    <n v="2"/>
    <n v="0"/>
  </r>
  <r>
    <s v="DSCN1177"/>
    <s v="M4R0917_4"/>
    <n v="4"/>
    <n v="1"/>
    <s v="M4Roadside"/>
    <d v="2018-09-27T00:00:00"/>
    <s v="September"/>
    <x v="1"/>
    <d v="1899-12-30T00:14:00"/>
    <s v="Overcast"/>
    <x v="7"/>
    <s v="Caching"/>
    <s v="Spruce"/>
    <n v="0"/>
    <m/>
    <n v="1"/>
    <s v="Unknown"/>
    <s v="Unknown"/>
    <s v="unknown"/>
    <s v="Exterior spruce foliage"/>
    <s v="Spruce"/>
    <s v="Exterior"/>
    <s v="Foliage"/>
    <m/>
    <m/>
    <s v="unknown"/>
    <n v="63.722810000000003"/>
    <n v="148.98215999999999"/>
    <m/>
    <m/>
    <m/>
    <n v="0"/>
    <n v="0"/>
    <n v="0"/>
    <n v="0"/>
    <n v="0"/>
    <n v="0"/>
    <n v="0"/>
    <m/>
    <s v="Unconfirmed B&amp;Ut suspected cache. "/>
    <m/>
    <m/>
  </r>
  <r>
    <s v="No video "/>
    <m/>
    <m/>
    <m/>
    <s v="M4Roadside"/>
    <d v="2018-09-19T00:00:00"/>
    <s v="September"/>
    <x v="1"/>
    <m/>
    <m/>
    <x v="7"/>
    <s v="Caching"/>
    <s v="Spruce"/>
    <n v="0"/>
    <m/>
    <n v="1"/>
    <s v="Unknown"/>
    <s v="Unknown"/>
    <s v="unknown"/>
    <s v="Exterior spruce branch under bark/witch hair"/>
    <s v="Spruce"/>
    <s v="Exterior"/>
    <s v="Under bark and witch hair "/>
    <m/>
    <m/>
    <s v="Unknown"/>
    <n v="63.723179999999999"/>
    <n v="148.98204000000001"/>
    <m/>
    <m/>
    <m/>
    <n v="0"/>
    <n v="0"/>
    <n v="0"/>
    <n v="0"/>
    <n v="0"/>
    <n v="0"/>
    <n v="0"/>
    <m/>
    <s v="Observed by KS, TG,  B&amp;Ut not captured on video "/>
    <m/>
    <m/>
  </r>
  <r>
    <s v="DSCN1014"/>
    <s v="AQ0924_1"/>
    <n v="1"/>
    <n v="1"/>
    <s v="Air Quality"/>
    <d v="2018-09-24T00:00:00"/>
    <s v="September"/>
    <x v="1"/>
    <d v="1899-12-30T00:18:00"/>
    <m/>
    <x v="8"/>
    <s v="Foraging"/>
    <s v="NA"/>
    <n v="1"/>
    <m/>
    <n v="0"/>
    <s v="Unknown"/>
    <s v="Unknown"/>
    <s v="Ground"/>
    <s v="NA"/>
    <s v="NA"/>
    <s v="NA"/>
    <s v="NA"/>
    <m/>
    <m/>
    <s v="NA"/>
    <s v="NA"/>
    <m/>
    <m/>
    <m/>
    <m/>
    <n v="0"/>
    <n v="0"/>
    <n v="0"/>
    <n v="0"/>
    <n v="15"/>
    <n v="0"/>
    <n v="15"/>
    <m/>
    <m/>
    <m/>
    <m/>
  </r>
  <r>
    <s v="DSCN1018"/>
    <s v="AQ0924_3"/>
    <n v="3"/>
    <n v="1"/>
    <s v="Air Quality"/>
    <d v="2018-09-24T00:00:00"/>
    <s v="September"/>
    <x v="1"/>
    <d v="1899-12-30T00:12:00"/>
    <s v="Partly Sunny"/>
    <x v="8"/>
    <s v="Foraging"/>
    <s v="NA"/>
    <n v="1"/>
    <m/>
    <n v="0"/>
    <s v="Insect"/>
    <s v="Insect (caterpillar or worm)"/>
    <s v="Ground"/>
    <s v="NA"/>
    <s v="NA"/>
    <s v="NA"/>
    <s v="NA"/>
    <m/>
    <m/>
    <s v="NA"/>
    <s v="NA"/>
    <m/>
    <m/>
    <m/>
    <m/>
    <n v="0"/>
    <n v="0"/>
    <n v="0"/>
    <n v="0"/>
    <n v="8"/>
    <n v="0"/>
    <n v="8"/>
    <m/>
    <s v="Darted to ground and picked up B&amp;Ug. "/>
    <m/>
    <m/>
  </r>
  <r>
    <s v="DSCN1131"/>
    <s v="AQ0926_8"/>
    <n v="8"/>
    <n v="1"/>
    <s v="Air Quality"/>
    <d v="2018-09-26T00:00:00"/>
    <s v="September"/>
    <x v="1"/>
    <d v="1899-12-30T00:09:00"/>
    <s v="Overcast"/>
    <x v="8"/>
    <s v="Caching"/>
    <s v="Spruce"/>
    <n v="0"/>
    <m/>
    <n v="1"/>
    <s v="Unknown"/>
    <s v="Unknown"/>
    <s v="Ground"/>
    <s v="interior spruce, maybe on trunk"/>
    <s v="Spruce"/>
    <s v="Interior"/>
    <s v="Branch under witch hair"/>
    <m/>
    <m/>
    <s v="unknown"/>
    <n v="63.721530000000001"/>
    <n v="148.96460999999999"/>
    <m/>
    <m/>
    <m/>
    <n v="0"/>
    <n v="0"/>
    <n v="0"/>
    <n v="0"/>
    <n v="0"/>
    <n v="0"/>
    <n v="0"/>
    <m/>
    <m/>
    <m/>
    <m/>
  </r>
  <r>
    <s v="DSCN1015"/>
    <s v="AQ0924_2"/>
    <n v="2"/>
    <n v="1"/>
    <s v="Air Quality"/>
    <d v="2018-09-24T00:00:00"/>
    <s v="September"/>
    <x v="1"/>
    <d v="1899-12-30T00:18:00"/>
    <s v="Partly Sunny"/>
    <x v="9"/>
    <s v="Foraging"/>
    <s v="NA"/>
    <n v="1"/>
    <m/>
    <n v="0"/>
    <s v="Insect"/>
    <s v="Insect (caterpillar or worm)"/>
    <s v="Ground"/>
    <s v="NA"/>
    <s v="NA"/>
    <s v="NA"/>
    <s v="NA"/>
    <m/>
    <m/>
    <s v="NA"/>
    <s v="NA"/>
    <m/>
    <m/>
    <m/>
    <m/>
    <n v="0"/>
    <n v="0"/>
    <n v="0"/>
    <n v="0"/>
    <n v="18"/>
    <n v="0"/>
    <n v="18"/>
    <m/>
    <m/>
    <m/>
    <m/>
  </r>
  <r>
    <s v="DSCN1098"/>
    <s v="AQ0926_1"/>
    <n v="1"/>
    <n v="1"/>
    <s v="Air Quality"/>
    <d v="2018-09-26T00:00:00"/>
    <s v="September"/>
    <x v="1"/>
    <d v="1899-12-30T00:12:00"/>
    <s v="Overcast"/>
    <x v="9"/>
    <s v="Foraging or caching"/>
    <s v="Spruce"/>
    <s v="unknown"/>
    <m/>
    <s v="Unknown"/>
    <s v="Unknown"/>
    <s v="Unknown"/>
    <s v="NA"/>
    <s v="NA"/>
    <m/>
    <m/>
    <m/>
    <m/>
    <m/>
    <s v="NA"/>
    <s v="NA"/>
    <m/>
    <m/>
    <m/>
    <m/>
    <n v="0"/>
    <n v="2"/>
    <n v="2"/>
    <n v="0"/>
    <n v="0"/>
    <n v="0"/>
    <n v="2"/>
    <m/>
    <m/>
    <m/>
    <m/>
  </r>
  <r>
    <s v="DSCN1100"/>
    <s v="AQ0926_3"/>
    <n v="3"/>
    <n v="1"/>
    <s v="Air Quality"/>
    <d v="2018-09-26T00:00:00"/>
    <s v="September"/>
    <x v="1"/>
    <d v="1899-12-30T00:46:00"/>
    <s v="Overcast"/>
    <x v="9"/>
    <s v="Caching"/>
    <s v="Spruce"/>
    <n v="0"/>
    <m/>
    <n v="2"/>
    <s v="Unknown"/>
    <s v="Unknown"/>
    <s v="unknown"/>
    <s v="On spruce trunk enclosed by semi-dense foliage.  "/>
    <s v="Spruce"/>
    <s v="Trunk"/>
    <s v="Under bark"/>
    <m/>
    <m/>
    <s v="unknown"/>
    <n v="63.723379999999999"/>
    <n v="148.96933000000001"/>
    <m/>
    <m/>
    <m/>
    <n v="0"/>
    <n v="0"/>
    <n v="0"/>
    <n v="0"/>
    <n v="0"/>
    <n v="0"/>
    <n v="0"/>
    <m/>
    <m/>
    <m/>
    <m/>
  </r>
  <r>
    <s v="DSCN1101"/>
    <s v="AQ0926_4"/>
    <n v="4"/>
    <n v="1"/>
    <s v="Air Quality"/>
    <d v="2018-09-26T00:00:00"/>
    <s v="September"/>
    <x v="1"/>
    <d v="1899-12-30T01:46:00"/>
    <s v="Overcast"/>
    <x v="9"/>
    <s v="Foraging"/>
    <s v="Spruce"/>
    <n v="2"/>
    <m/>
    <n v="0"/>
    <s v="Unknown"/>
    <s v="Unknown"/>
    <s v="interior spruce foliage "/>
    <s v="NA"/>
    <s v="NA"/>
    <s v="NA"/>
    <s v="NA"/>
    <m/>
    <m/>
    <s v="NA"/>
    <s v="NA"/>
    <m/>
    <m/>
    <m/>
    <m/>
    <n v="0"/>
    <n v="66"/>
    <n v="66"/>
    <n v="0"/>
    <n v="2"/>
    <n v="0"/>
    <n v="68"/>
    <m/>
    <m/>
    <m/>
    <m/>
  </r>
  <r>
    <s v="DSCN1102"/>
    <s v="AQ0926_5"/>
    <n v="5"/>
    <n v="1"/>
    <s v="Air Quality"/>
    <d v="2018-09-26T00:00:00"/>
    <s v="September"/>
    <x v="1"/>
    <d v="1899-12-30T01:45:00"/>
    <s v="Overcast"/>
    <x v="9"/>
    <s v="Caching"/>
    <s v="Spruce"/>
    <n v="0"/>
    <m/>
    <n v="1"/>
    <s v="Unknown"/>
    <s v="Unknown"/>
    <s v="unknown"/>
    <s v="in top of stick sticking vertically from ground.  About 5ft high"/>
    <s v="Stick"/>
    <s v="Exterior"/>
    <s v="Branch"/>
    <m/>
    <m/>
    <s v="unknown"/>
    <n v="63.723199999999999"/>
    <n v="148.97024999999999"/>
    <m/>
    <m/>
    <m/>
    <n v="0"/>
    <n v="0"/>
    <n v="0"/>
    <n v="0"/>
    <n v="0"/>
    <n v="0"/>
    <n v="0"/>
    <m/>
    <s v="Put Camera on this cache site "/>
    <m/>
    <m/>
  </r>
  <r>
    <s v="DSCN1102"/>
    <s v="AQ0926_5"/>
    <n v="5"/>
    <n v="2"/>
    <s v="Air Quality"/>
    <d v="2018-09-26T00:00:00"/>
    <s v="September"/>
    <x v="1"/>
    <d v="1899-12-30T01:45:00"/>
    <s v="Overcast"/>
    <x v="9"/>
    <s v="Caching"/>
    <s v="Spruce"/>
    <n v="0"/>
    <m/>
    <n v="1"/>
    <s v="Unknown"/>
    <s v="Unknown"/>
    <s v="unknown"/>
    <s v="Interior spruce bare branch under bark"/>
    <s v="Spruce"/>
    <s v="Interior"/>
    <s v="Branch under bark"/>
    <m/>
    <m/>
    <s v="unknown"/>
    <n v="63.723280000000003"/>
    <n v="148.97037"/>
    <m/>
    <m/>
    <m/>
    <n v="0"/>
    <n v="0"/>
    <n v="0"/>
    <n v="0"/>
    <n v="0"/>
    <n v="0"/>
    <n v="0"/>
    <m/>
    <s v="Put Camera on this cache site "/>
    <m/>
    <m/>
  </r>
  <r>
    <s v="DSCN1102"/>
    <s v="AQ0926_5"/>
    <n v="5"/>
    <n v="3"/>
    <s v="Air Quality"/>
    <d v="2018-09-26T00:00:00"/>
    <s v="September"/>
    <x v="1"/>
    <d v="1899-12-30T01:45:00"/>
    <s v="Overcast"/>
    <x v="9"/>
    <s v="Caching"/>
    <s v="Spruce"/>
    <n v="0"/>
    <m/>
    <n v="2"/>
    <s v="Unknown"/>
    <s v="Unknown"/>
    <s v="unknown"/>
    <s v="Exterior bare branch under bark/which hair."/>
    <s v="Spruce"/>
    <s v="Exterior"/>
    <s v="Under bark and witch hair "/>
    <m/>
    <m/>
    <s v="unknown"/>
    <n v="63.723230000000001"/>
    <n v="148.97020000000001"/>
    <m/>
    <m/>
    <m/>
    <n v="0"/>
    <n v="0"/>
    <n v="0"/>
    <n v="0"/>
    <n v="0"/>
    <n v="0"/>
    <n v="0"/>
    <m/>
    <s v="Put Camera on this cache site "/>
    <m/>
    <m/>
  </r>
  <r>
    <s v="DSCN1128"/>
    <s v="AQ0926_6"/>
    <n v="6"/>
    <n v="1"/>
    <s v="Air Quality"/>
    <d v="2018-09-26T00:00:00"/>
    <s v="September"/>
    <x v="1"/>
    <d v="1899-12-30T00:13:00"/>
    <s v="Overcast"/>
    <x v="9"/>
    <s v="Foraging"/>
    <s v="NA"/>
    <s v="unknown"/>
    <m/>
    <n v="0"/>
    <m/>
    <s v="NA"/>
    <s v="NA"/>
    <s v="NA"/>
    <s v="NA"/>
    <s v="NA"/>
    <s v="NA"/>
    <m/>
    <m/>
    <s v="NA"/>
    <s v="NA"/>
    <m/>
    <m/>
    <m/>
    <m/>
    <n v="0"/>
    <n v="0"/>
    <n v="0"/>
    <n v="0"/>
    <n v="13"/>
    <n v="0"/>
    <n v="13"/>
    <m/>
    <m/>
    <m/>
    <m/>
  </r>
  <r>
    <s v="DSCN1129"/>
    <s v="AQ0926_7"/>
    <n v="7"/>
    <n v="1"/>
    <s v="Air Quality"/>
    <d v="2018-09-26T00:00:00"/>
    <s v="September"/>
    <x v="1"/>
    <d v="1899-12-30T00:19:00"/>
    <s v="Overcast"/>
    <x v="9"/>
    <s v="Foraging"/>
    <s v="NA"/>
    <n v="1"/>
    <m/>
    <n v="0"/>
    <s v="Unknown"/>
    <s v="Unknown"/>
    <s v="Ground"/>
    <s v="NA"/>
    <s v="NA"/>
    <s v="NA"/>
    <s v="NA"/>
    <m/>
    <m/>
    <s v="NA"/>
    <s v="NA"/>
    <m/>
    <m/>
    <m/>
    <m/>
    <n v="0"/>
    <n v="0"/>
    <n v="0"/>
    <n v="0"/>
    <n v="17"/>
    <n v="0"/>
    <n v="17"/>
    <m/>
    <m/>
    <m/>
    <m/>
  </r>
  <r>
    <s v="DSCN1133"/>
    <s v="AQ0926_9"/>
    <n v="9"/>
    <n v="1"/>
    <s v="Air Quality"/>
    <d v="2018-09-26T00:00:00"/>
    <s v="September"/>
    <x v="1"/>
    <d v="1899-12-30T01:40:00"/>
    <s v="Overcast"/>
    <x v="9"/>
    <s v="Foraging"/>
    <s v="Spruce"/>
    <n v="1"/>
    <m/>
    <n v="2"/>
    <s v="Unknown"/>
    <s v="Unknown"/>
    <s v="Spruce foliage"/>
    <s v="Interior spruce bare branch/witches broom "/>
    <s v="Spruce"/>
    <s v="Interior"/>
    <s v="In mistoe"/>
    <m/>
    <m/>
    <n v="5"/>
    <n v="63.721490000000003"/>
    <n v="148.96460999999999"/>
    <m/>
    <m/>
    <m/>
    <n v="0"/>
    <n v="0"/>
    <n v="0"/>
    <n v="0"/>
    <n v="0"/>
    <n v="0"/>
    <n v="0"/>
    <m/>
    <m/>
    <m/>
    <m/>
  </r>
  <r>
    <s v="DSCN1134"/>
    <s v="AQ0926_10"/>
    <n v="10"/>
    <n v="1"/>
    <s v="Air Quality"/>
    <d v="2018-09-26T00:00:00"/>
    <s v="September"/>
    <x v="1"/>
    <d v="1899-12-30T00:21:00"/>
    <s v="Overcast"/>
    <x v="9"/>
    <s v="Caching"/>
    <s v="Spruce"/>
    <n v="0"/>
    <m/>
    <n v="1"/>
    <s v="Unknown"/>
    <s v="Unknown"/>
    <s v="NA"/>
    <s v="Spruce trunk under bark"/>
    <s v="Spruce"/>
    <s v="Trunk"/>
    <s v="Under bark"/>
    <m/>
    <m/>
    <n v="8"/>
    <n v="63.721330000000002"/>
    <n v="148.96489"/>
    <m/>
    <m/>
    <m/>
    <n v="0"/>
    <n v="0"/>
    <n v="0"/>
    <n v="0"/>
    <n v="0"/>
    <n v="0"/>
    <n v="0"/>
    <m/>
    <s v="All the same food item as in previous video"/>
    <m/>
    <m/>
  </r>
  <r>
    <s v="DSCN0163"/>
    <s v="WW0903_2"/>
    <n v="2"/>
    <n v="1"/>
    <s v="WAC West"/>
    <d v="2018-09-03T00:00:00"/>
    <s v="September"/>
    <x v="1"/>
    <d v="1899-12-30T07:01:00"/>
    <m/>
    <x v="10"/>
    <s v="Foraging"/>
    <s v="Spruce, aspen, aspen, spruce"/>
    <n v="3"/>
    <m/>
    <n v="1"/>
    <s v="Animal flesh"/>
    <s v="Animal flesh (Snowshoe hare)"/>
    <s v="Cached snowshoe hare leg in tree"/>
    <s v="Exterior spruce branch under bark"/>
    <s v="Spruce"/>
    <s v="Exterior"/>
    <s v="Under bark"/>
    <m/>
    <m/>
    <n v="19"/>
    <n v="63.74004"/>
    <n v="148.90179000000001"/>
    <m/>
    <m/>
    <m/>
    <n v="0"/>
    <n v="0"/>
    <n v="0"/>
    <n v="0"/>
    <n v="0"/>
    <n v="0"/>
    <n v="0"/>
    <s v="Attending known food item"/>
    <s v="1:25+0:33+0:38 FOOD HANDLING. At one point breaks piece of bark off and shoves it under other bark like a cache. The last cache tree recorded is suspected B&amp;Ut unconfirmed. "/>
    <n v="0"/>
    <n v="0"/>
  </r>
  <r>
    <s v="DSCN0163"/>
    <s v="WW0903_2"/>
    <n v="2"/>
    <n v="2"/>
    <s v="WAC West"/>
    <d v="2018-09-03T00:00:00"/>
    <s v="September"/>
    <x v="1"/>
    <d v="1899-12-30T07:01:00"/>
    <m/>
    <x v="10"/>
    <s v="Food handling/caching"/>
    <s v="Spruce, aspen, aspen, spruce"/>
    <n v="0"/>
    <m/>
    <n v="1"/>
    <s v="Animal flesh"/>
    <s v="Animal flesh (Snowshoe hare)"/>
    <s v="Cached snowshoe hare leg in tree"/>
    <s v="Exterior Aspen branch under bark"/>
    <s v="Aspen"/>
    <s v="Exterior"/>
    <s v="Under bark"/>
    <m/>
    <m/>
    <n v="12"/>
    <n v="63.740020000000001"/>
    <n v="148.90156999999999"/>
    <m/>
    <m/>
    <m/>
    <n v="0"/>
    <n v="0"/>
    <n v="0"/>
    <n v="0"/>
    <n v="0"/>
    <n v="0"/>
    <n v="0"/>
    <m/>
    <s v="1:25+0:33+0:38 FOOD HANDLING. At one point breaks piece of bark off and shoves it under other bark like a cache. The last cache tree recorded is suspected B&amp;Ut unconfirmed. "/>
    <m/>
    <m/>
  </r>
  <r>
    <s v="DSCN0163"/>
    <s v="WW0903_2"/>
    <n v="2"/>
    <n v="3"/>
    <s v="WAC West"/>
    <d v="2018-09-03T00:00:00"/>
    <s v="September"/>
    <x v="1"/>
    <d v="1899-12-30T07:01:00"/>
    <m/>
    <x v="10"/>
    <s v="Food handling/caching"/>
    <s v="Spruce, aspen, aspen, spruce"/>
    <n v="0"/>
    <m/>
    <n v="1"/>
    <s v="Animal flesh"/>
    <s v="Animal flesh (Snowshoe hare)"/>
    <s v="Cached snowshoe hare leg in tree"/>
    <s v="Exterior willow branch under bark"/>
    <s v="Willow"/>
    <s v="Exterior"/>
    <s v="Under bark"/>
    <m/>
    <m/>
    <n v="2"/>
    <n v="63.739890000000003"/>
    <n v="148.9016"/>
    <m/>
    <m/>
    <m/>
    <n v="0"/>
    <n v="0"/>
    <n v="0"/>
    <n v="0"/>
    <n v="0"/>
    <n v="0"/>
    <n v="0"/>
    <m/>
    <s v="1:25+0:33+0:38 FOOD HANDLING. At one point breaks piece of bark off and shoves it under other bark like a cache. The last cache tree recorded is suspected B&amp;Ut unconfirmed. "/>
    <m/>
    <m/>
  </r>
  <r>
    <s v="DSCN0163"/>
    <s v="WW0903_2"/>
    <n v="2"/>
    <n v="4"/>
    <s v="WAC West"/>
    <d v="2018-09-03T00:00:00"/>
    <s v="September"/>
    <x v="1"/>
    <d v="1899-12-30T07:01:00"/>
    <m/>
    <x v="10"/>
    <s v="Food handling/caching"/>
    <s v="Spruce, aspen, aspen, spruce"/>
    <n v="0"/>
    <m/>
    <n v="1"/>
    <s v="Animal flesh"/>
    <s v="Animal flesh (Snowshoe hare)"/>
    <s v="Cached snowshoe hare leg in tree"/>
    <s v="Exterior spruce branch under bark"/>
    <s v="Spruce"/>
    <s v="Exterior"/>
    <s v="Under bark"/>
    <m/>
    <m/>
    <n v="29"/>
    <n v="63.740119999999997"/>
    <n v="148.90125"/>
    <m/>
    <m/>
    <m/>
    <n v="0"/>
    <n v="0"/>
    <n v="0"/>
    <n v="0"/>
    <n v="0"/>
    <n v="0"/>
    <n v="0"/>
    <m/>
    <s v="1:25+0:33+0:38 FOOD HANDLING. At one point breaks piece of bark off and shoves it under other bark like a cache. The last cache tree recorded is suspected B&amp;Ut unconfirmed. "/>
    <m/>
    <m/>
  </r>
  <r>
    <s v="DSCN0164"/>
    <s v="WW0903_3"/>
    <n v="3"/>
    <n v="1"/>
    <s v="WAC West"/>
    <d v="2018-09-03T00:00:00"/>
    <s v="September"/>
    <x v="1"/>
    <d v="1899-12-30T00:41:00"/>
    <m/>
    <x v="10"/>
    <s v="Foraging"/>
    <s v="NA"/>
    <n v="1"/>
    <m/>
    <n v="1"/>
    <s v="Berry"/>
    <s v="Berry (Blueberry)"/>
    <s v="Ground"/>
    <s v="Exterior spruce branch under bark/witch hair"/>
    <s v="Spruce"/>
    <s v="Exterior"/>
    <s v="Under bark and witch hair "/>
    <m/>
    <m/>
    <s v="Unknown"/>
    <s v="Did not mark (did not recognize as cache while in field)"/>
    <m/>
    <m/>
    <m/>
    <m/>
    <n v="0"/>
    <n v="0"/>
    <n v="0"/>
    <n v="0"/>
    <n v="10"/>
    <n v="0"/>
    <n v="10"/>
    <s v="Searching/attenting known food item"/>
    <s v="Cached blueberry.  Then went to feed from hare.16 at hare leg"/>
    <n v="0"/>
    <n v="0"/>
  </r>
  <r>
    <s v="DSCN0165"/>
    <s v="WW0903_4"/>
    <n v="4"/>
    <n v="1"/>
    <s v="WAC West"/>
    <d v="2018-09-03T00:00:00"/>
    <s v="September"/>
    <x v="1"/>
    <d v="1899-12-30T00:51:00"/>
    <m/>
    <x v="10"/>
    <s v="Foraging"/>
    <s v="Spruce"/>
    <n v="1"/>
    <m/>
    <n v="0"/>
    <s v="Animal flesh"/>
    <s v="Animal flesh (Snowshoe hare)"/>
    <s v="Cached snowshoe hare leg in tree"/>
    <s v="NA"/>
    <s v="NA"/>
    <s v="NA"/>
    <s v="NA"/>
    <m/>
    <m/>
    <s v="Unknown"/>
    <n v="63.739890000000003"/>
    <n v="148.90158"/>
    <m/>
    <m/>
    <m/>
    <n v="0"/>
    <n v="0"/>
    <n v="0"/>
    <n v="0"/>
    <n v="0"/>
    <n v="0"/>
    <n v="0"/>
    <s v="Attending known food item"/>
    <s v="GPS for hare tree. 30 SEC eating hare"/>
    <n v="0"/>
    <n v="0"/>
  </r>
  <r>
    <s v="DSCN0166"/>
    <s v="WW0903_5"/>
    <n v="5"/>
    <n v="1"/>
    <s v="WAC West"/>
    <d v="2018-09-03T00:00:00"/>
    <s v="September"/>
    <x v="1"/>
    <d v="1899-12-30T00:41:00"/>
    <m/>
    <x v="10"/>
    <s v="Foraging"/>
    <s v="Spruce"/>
    <n v="1"/>
    <m/>
    <n v="0"/>
    <s v="Animal flesh"/>
    <s v="Animal flesh (Snowshoe hare)"/>
    <s v="Cached snowshoe hare leg in tree"/>
    <s v="NA"/>
    <s v="NA"/>
    <s v="NA"/>
    <s v="NA"/>
    <m/>
    <m/>
    <s v="NA"/>
    <s v="NA"/>
    <m/>
    <m/>
    <m/>
    <m/>
    <n v="0"/>
    <n v="0"/>
    <n v="0"/>
    <n v="0"/>
    <n v="0"/>
    <n v="0"/>
    <n v="0"/>
    <s v="Attending known food item"/>
    <s v="35s eating hare"/>
    <n v="0"/>
    <n v="0"/>
  </r>
  <r>
    <s v="DSCN0167"/>
    <s v="WW0903_6"/>
    <n v="6"/>
    <n v="1"/>
    <s v="WAC West"/>
    <d v="2018-09-03T00:00:00"/>
    <s v="September"/>
    <x v="1"/>
    <d v="1899-12-30T00:36:00"/>
    <m/>
    <x v="10"/>
    <s v="Foraging"/>
    <s v="Spruce"/>
    <n v="1"/>
    <m/>
    <n v="0"/>
    <s v="Animal flesh"/>
    <s v="Animal flesh (Snowshoe hare)"/>
    <s v="Cached snowshoe hare leg in tree"/>
    <s v="NA"/>
    <s v="NA"/>
    <s v="NA"/>
    <s v="NA"/>
    <m/>
    <m/>
    <s v="NA"/>
    <s v="NA"/>
    <m/>
    <m/>
    <m/>
    <m/>
    <n v="0"/>
    <n v="0"/>
    <n v="0"/>
    <n v="0"/>
    <n v="0"/>
    <n v="0"/>
    <n v="0"/>
    <s v="Attending known food item"/>
    <s v="3 eating hare"/>
    <n v="0"/>
    <n v="0"/>
  </r>
  <r>
    <s v="DSCN0181"/>
    <s v="TC0903_2"/>
    <n v="2"/>
    <n v="1"/>
    <s v="Trail Camp"/>
    <d v="2018-09-03T00:00:00"/>
    <s v="September"/>
    <x v="1"/>
    <d v="1899-12-30T01:00:00"/>
    <m/>
    <x v="10"/>
    <s v="Foraging"/>
    <s v="NA"/>
    <n v="1"/>
    <m/>
    <n v="0"/>
    <s v="Human food"/>
    <s v="Human food"/>
    <s v="Ground"/>
    <s v="NA"/>
    <s v="NA"/>
    <s v="NA"/>
    <s v="NA"/>
    <m/>
    <m/>
    <s v="NA"/>
    <s v="NA"/>
    <m/>
    <m/>
    <m/>
    <m/>
    <n v="2"/>
    <n v="0"/>
    <n v="0"/>
    <n v="2"/>
    <n v="0"/>
    <n v="0"/>
    <n v="2"/>
    <s v="Attending known food item"/>
    <s v="40SEC EATING MYSTERY FOOD"/>
    <n v="0"/>
    <n v="0"/>
  </r>
  <r>
    <s v="DSCN0182"/>
    <s v="TC0903_3"/>
    <n v="3"/>
    <n v="2"/>
    <s v="Trail Camp"/>
    <d v="2018-09-03T00:00:00"/>
    <s v="September"/>
    <x v="1"/>
    <d v="1899-12-30T00:36:00"/>
    <m/>
    <x v="10"/>
    <s v="Foraging"/>
    <s v="NA"/>
    <n v="1"/>
    <m/>
    <n v="0"/>
    <s v="Human food"/>
    <s v="Human food"/>
    <s v="Campstove"/>
    <s v="NA"/>
    <s v="NA"/>
    <s v="NA"/>
    <s v="NA"/>
    <m/>
    <m/>
    <s v="NA"/>
    <s v="NA"/>
    <m/>
    <m/>
    <m/>
    <m/>
    <n v="0"/>
    <n v="0"/>
    <n v="0"/>
    <n v="0"/>
    <n v="0"/>
    <n v="10"/>
    <n v="10"/>
    <s v="searching"/>
    <s v="~10 sec each for foraging.  "/>
    <n v="0"/>
    <n v="0"/>
  </r>
  <r>
    <s v="DSCN0183"/>
    <s v="TC0903_4"/>
    <n v="4"/>
    <n v="1"/>
    <s v="Trail Camp"/>
    <d v="2018-09-03T00:00:00"/>
    <s v="September"/>
    <x v="1"/>
    <d v="1899-12-30T00:16:00"/>
    <m/>
    <x v="10"/>
    <s v="Caching"/>
    <s v="Spruce"/>
    <n v="0"/>
    <m/>
    <n v="1"/>
    <s v="Unknown"/>
    <s v="Unknown"/>
    <s v="unknown"/>
    <s v="Spruce trunk"/>
    <s v="Spruce"/>
    <s v="Trunk"/>
    <s v="Under bark"/>
    <m/>
    <m/>
    <s v="Unknown"/>
    <n v="63.730879999999999"/>
    <n v="148.89989"/>
    <m/>
    <m/>
    <m/>
    <n v="0"/>
    <n v="0"/>
    <n v="0"/>
    <n v="0"/>
    <n v="0"/>
    <n v="0"/>
    <n v="0"/>
    <s v="caching"/>
    <s v="Covered cache with bit of bark "/>
    <n v="0"/>
    <n v="0"/>
  </r>
  <r>
    <s v="DSCN0193"/>
    <s v="TC0903_5"/>
    <n v="5"/>
    <n v="1"/>
    <s v="Trail Camp"/>
    <d v="2018-09-03T00:00:00"/>
    <s v="September"/>
    <x v="1"/>
    <d v="1899-12-30T00:06:00"/>
    <m/>
    <x v="10"/>
    <s v="Caching"/>
    <s v="Spruce"/>
    <n v="0"/>
    <m/>
    <n v="1"/>
    <s v="Unknown"/>
    <s v="Unknown"/>
    <s v="unknown"/>
    <s v="Spruce trunk"/>
    <s v="Spruce"/>
    <s v="Trunk"/>
    <s v="Under bark"/>
    <m/>
    <m/>
    <s v="Unknown"/>
    <n v="63.730220000000003"/>
    <n v="148.90285"/>
    <m/>
    <m/>
    <m/>
    <n v="0"/>
    <n v="0"/>
    <n v="0"/>
    <n v="0"/>
    <n v="0"/>
    <n v="0"/>
    <n v="0"/>
    <s v="caching"/>
    <m/>
    <n v="0"/>
    <n v="0"/>
  </r>
  <r>
    <s v="DSCN0196"/>
    <s v="TC0903_6"/>
    <n v="6"/>
    <n v="1"/>
    <s v="Trail Camp"/>
    <d v="2018-09-03T00:00:00"/>
    <s v="September"/>
    <x v="1"/>
    <d v="1899-12-30T02:02:00"/>
    <m/>
    <x v="10"/>
    <s v="Food handling"/>
    <s v="Spruce"/>
    <n v="1"/>
    <m/>
    <n v="0"/>
    <s v="Unknown"/>
    <s v="Unknown"/>
    <s v="unknown"/>
    <s v="NA"/>
    <s v="NA"/>
    <s v="NA"/>
    <s v="NA"/>
    <m/>
    <m/>
    <s v="NA"/>
    <s v="NA"/>
    <m/>
    <m/>
    <m/>
    <m/>
    <n v="0"/>
    <n v="0"/>
    <n v="0"/>
    <n v="0"/>
    <n v="0"/>
    <n v="0"/>
    <n v="0"/>
    <m/>
    <s v="Likely cached at 0:23 mark, B&amp;Ut not sure enough to count. "/>
    <n v="0"/>
    <n v="0"/>
  </r>
  <r>
    <s v="DSCN0234"/>
    <s v="TC0904_1"/>
    <n v="1"/>
    <n v="1"/>
    <s v="Trail Camp"/>
    <d v="2018-09-04T00:00:00"/>
    <s v="September"/>
    <x v="1"/>
    <d v="1899-12-30T00:53:00"/>
    <m/>
    <x v="10"/>
    <s v="Caching"/>
    <s v="Spruce"/>
    <n v="0"/>
    <m/>
    <n v="1"/>
    <s v="Unknown"/>
    <s v="Unknown"/>
    <s v="unknonw"/>
    <s v="Spruce trunk"/>
    <s v="Spruce"/>
    <s v="Trunk"/>
    <s v="Under bark"/>
    <m/>
    <m/>
    <s v="Unknown"/>
    <n v="63.731529999999999"/>
    <n v="148.90401"/>
    <m/>
    <m/>
    <m/>
    <n v="0"/>
    <n v="0"/>
    <n v="0"/>
    <n v="0"/>
    <n v="0"/>
    <n v="0"/>
    <n v="0"/>
    <s v="NA"/>
    <s v="Great cache video!!!"/>
    <n v="0"/>
    <n v="0"/>
  </r>
  <r>
    <s v="DSCN0246"/>
    <s v="CCS0904_1"/>
    <n v="1"/>
    <n v="1"/>
    <s v="CCAMP South"/>
    <d v="2018-09-04T00:00:00"/>
    <s v="September"/>
    <x v="1"/>
    <d v="1899-12-30T01:02:00"/>
    <m/>
    <x v="10"/>
    <s v="Foraging"/>
    <s v="Spruce"/>
    <n v="1"/>
    <m/>
    <n v="0"/>
    <s v="Unknown"/>
    <s v="Unknown"/>
    <s v="Spruce bare branch"/>
    <s v="NA"/>
    <s v="NA"/>
    <s v="NA"/>
    <s v="NA"/>
    <m/>
    <m/>
    <s v="NA"/>
    <s v="NA"/>
    <m/>
    <m/>
    <m/>
    <m/>
    <n v="19"/>
    <n v="0"/>
    <n v="0"/>
    <n v="19"/>
    <n v="0"/>
    <n v="0"/>
    <n v="19"/>
    <s v="Gleaning"/>
    <m/>
    <n v="0"/>
    <n v="5"/>
  </r>
  <r>
    <s v="DSCN0248"/>
    <s v="CCS0904_2"/>
    <n v="2"/>
    <n v="1"/>
    <s v="CCAMP South"/>
    <d v="2018-09-04T00:00:00"/>
    <s v="September"/>
    <x v="1"/>
    <d v="1899-12-30T00:20:00"/>
    <m/>
    <x v="10"/>
    <s v="Foraging"/>
    <s v="NA"/>
    <n v="1"/>
    <m/>
    <n v="0"/>
    <s v="Mushroom"/>
    <s v="Mushroom"/>
    <s v="Ground"/>
    <s v="NA"/>
    <s v="NA"/>
    <s v="NA"/>
    <s v="NA"/>
    <m/>
    <m/>
    <s v="NA"/>
    <s v="NA"/>
    <m/>
    <m/>
    <m/>
    <m/>
    <n v="0"/>
    <n v="0"/>
    <n v="0"/>
    <n v="0"/>
    <n v="14"/>
    <n v="0"/>
    <n v="14"/>
    <s v="searching"/>
    <m/>
    <m/>
    <m/>
  </r>
  <r>
    <s v="DSCN0250"/>
    <s v="CCS0904_3"/>
    <n v="3"/>
    <n v="2"/>
    <s v="CCAMP South"/>
    <d v="2018-09-04T00:00:00"/>
    <s v="September"/>
    <x v="1"/>
    <d v="1899-12-30T01:06:00"/>
    <m/>
    <x v="10"/>
    <s v="Foraging/caching"/>
    <s v="Spruce"/>
    <s v="unknown"/>
    <m/>
    <n v="1"/>
    <s v="Unknown"/>
    <s v="Unknown"/>
    <s v="Ground"/>
    <s v="Exterior spruce branch under bark"/>
    <s v="Spruce"/>
    <s v="Exterior"/>
    <s v="Under bark"/>
    <m/>
    <m/>
    <s v="Unknown"/>
    <s v="Did not mark (did not recognize as cache while in field)"/>
    <m/>
    <m/>
    <m/>
    <m/>
    <n v="0"/>
    <n v="0"/>
    <n v="0"/>
    <n v="0"/>
    <n v="0"/>
    <n v="0"/>
    <n v="0"/>
    <m/>
    <s v="likely cache. "/>
    <m/>
    <m/>
  </r>
  <r>
    <s v="DSCN0250"/>
    <s v="CCS0904_3"/>
    <n v="3"/>
    <n v="1"/>
    <s v="CCAMP South"/>
    <d v="2018-09-04T00:00:00"/>
    <s v="September"/>
    <x v="1"/>
    <d v="1899-12-30T01:06:00"/>
    <m/>
    <x v="10"/>
    <s v="Foraging/caching"/>
    <s v="Spruce"/>
    <n v="1"/>
    <m/>
    <n v="1"/>
    <s v="Unknown"/>
    <s v="Unknown"/>
    <s v="Ground"/>
    <s v="Exterior spruce branch under bark/witch hair"/>
    <s v="Spruce"/>
    <s v="Exterior"/>
    <s v="Under bark and witch hair "/>
    <m/>
    <m/>
    <s v="Unknown"/>
    <s v="Did not mark (did not recognize as cache while in field)"/>
    <m/>
    <m/>
    <m/>
    <m/>
    <n v="0"/>
    <n v="0"/>
    <n v="0"/>
    <n v="0"/>
    <n v="6"/>
    <n v="0"/>
    <n v="6"/>
    <m/>
    <s v="Clear cache"/>
    <m/>
    <m/>
  </r>
  <r>
    <s v="DSCN0253"/>
    <s v="CCS0904_4"/>
    <n v="4"/>
    <n v="1"/>
    <s v="CCAMP South"/>
    <d v="2018-09-04T00:00:00"/>
    <s v="September"/>
    <x v="1"/>
    <d v="1899-12-30T02:26:00"/>
    <m/>
    <x v="10"/>
    <s v="Caching, forgaging"/>
    <s v="Spruce"/>
    <n v="1"/>
    <m/>
    <n v="1"/>
    <s v="Unknown"/>
    <s v="Unknown"/>
    <s v="Ground"/>
    <s v="Interior spruce in foliage "/>
    <s v="Spruce"/>
    <s v="Interior"/>
    <s v="Foliage"/>
    <m/>
    <m/>
    <s v="Unknown"/>
    <n v="63.721440000000001"/>
    <n v="148.95258000000001"/>
    <m/>
    <m/>
    <m/>
    <n v="0"/>
    <n v="0"/>
    <n v="0"/>
    <n v="0"/>
    <n v="91"/>
    <n v="0"/>
    <n v="91"/>
    <s v="Searching "/>
    <s v="Retrieved something from ground (not on video) and KS observed it place it in tree "/>
    <m/>
    <m/>
  </r>
  <r>
    <s v="DSCN0254"/>
    <s v="CCS0904_5"/>
    <n v="5"/>
    <n v="1"/>
    <s v="CCAMP South"/>
    <d v="2018-09-04T00:00:00"/>
    <s v="September"/>
    <x v="1"/>
    <d v="1899-12-30T02:11:00"/>
    <m/>
    <x v="10"/>
    <s v="Foraging/caching"/>
    <s v="Spruce"/>
    <n v="1"/>
    <m/>
    <n v="1"/>
    <s v="Mushroom"/>
    <s v="Mushroom"/>
    <s v="Ground"/>
    <s v="Exterior spruce branch/witch hair moss"/>
    <s v="Spruce"/>
    <s v="Exterior"/>
    <s v="Under bark and witch hair "/>
    <m/>
    <m/>
    <s v="Unknown"/>
    <n v="63.721400000000003"/>
    <n v="148.95255"/>
    <m/>
    <m/>
    <m/>
    <n v="0"/>
    <n v="0"/>
    <n v="0"/>
    <n v="0"/>
    <n v="30"/>
    <n v="0"/>
    <n v="30"/>
    <s v="searching"/>
    <m/>
    <m/>
    <m/>
  </r>
  <r>
    <s v="DSCN0256"/>
    <s v="CCS0904_6"/>
    <n v="6"/>
    <n v="1"/>
    <s v="CCAMP South"/>
    <d v="2018-09-04T00:00:00"/>
    <s v="September"/>
    <x v="1"/>
    <d v="1899-12-30T02:32:00"/>
    <m/>
    <x v="10"/>
    <s v="Foraging"/>
    <s v="Spruce"/>
    <n v="1"/>
    <m/>
    <n v="0"/>
    <s v="Unknown"/>
    <s v="Unknown"/>
    <s v="Ground"/>
    <s v="NA"/>
    <s v="NA"/>
    <s v="NA"/>
    <s v="NA"/>
    <m/>
    <m/>
    <s v="NA"/>
    <s v="NA"/>
    <m/>
    <m/>
    <m/>
    <m/>
    <n v="0"/>
    <n v="2"/>
    <n v="0"/>
    <n v="2"/>
    <n v="125"/>
    <n v="0"/>
    <n v="127"/>
    <m/>
    <m/>
    <m/>
    <n v="6"/>
  </r>
  <r>
    <s v="DSCN0256"/>
    <s v="CCS0904_6"/>
    <n v="6"/>
    <n v="2"/>
    <s v="CCAMP South"/>
    <d v="2018-09-04T00:00:00"/>
    <s v="September"/>
    <x v="1"/>
    <d v="1899-12-30T02:32:00"/>
    <m/>
    <x v="10"/>
    <s v="Foraging"/>
    <s v="Spruce"/>
    <n v="1"/>
    <m/>
    <n v="0"/>
    <s v="Unknown"/>
    <s v="Unknown"/>
    <s v="Exterior spruce foliage "/>
    <s v="NA"/>
    <s v="NA"/>
    <s v="NA"/>
    <s v="NA"/>
    <m/>
    <m/>
    <s v="NA"/>
    <s v="NA"/>
    <m/>
    <m/>
    <m/>
    <m/>
    <n v="0"/>
    <n v="0"/>
    <n v="0"/>
    <n v="0"/>
    <n v="0"/>
    <n v="0"/>
    <n v="0"/>
    <m/>
    <s v="Maybe food handling instead of foraging B&amp;Ut unclear.  "/>
    <m/>
    <n v="6"/>
  </r>
  <r>
    <s v="DSCN0257"/>
    <s v="CCS0904_7"/>
    <n v="7"/>
    <n v="1"/>
    <s v="CCAMP South"/>
    <d v="2018-09-04T00:00:00"/>
    <s v="September"/>
    <x v="1"/>
    <m/>
    <m/>
    <x v="10"/>
    <s v="Foraging/caching"/>
    <s v="Spruce"/>
    <n v="1"/>
    <m/>
    <n v="1"/>
    <s v="Berry"/>
    <s v="Berry (Blueberry)"/>
    <s v="Ground"/>
    <s v="Exterior foliage of spruce sapling "/>
    <s v="Spruce"/>
    <s v="Exterior"/>
    <s v="Foliage"/>
    <m/>
    <m/>
    <s v="unknown"/>
    <s v="Did not mark (did not recognize as cache while in field)"/>
    <m/>
    <m/>
    <m/>
    <m/>
    <n v="0"/>
    <n v="0"/>
    <n v="0"/>
    <n v="0"/>
    <n v="24"/>
    <n v="0"/>
    <n v="24"/>
    <m/>
    <s v="Clear placement of berry in tree "/>
    <m/>
    <m/>
  </r>
  <r>
    <s v="DSCN0259"/>
    <s v="CCS0904_8"/>
    <n v="8"/>
    <n v="1"/>
    <s v="CCAMP South"/>
    <d v="2018-09-04T00:00:00"/>
    <s v="September"/>
    <x v="1"/>
    <d v="1899-12-30T01:07:00"/>
    <m/>
    <x v="10"/>
    <s v="Caching"/>
    <s v="Spruce"/>
    <n v="0"/>
    <m/>
    <n v="1"/>
    <s v="Unknown"/>
    <s v="Unknown"/>
    <s v="unknown"/>
    <s v="Spruce trunk"/>
    <s v="Spruce"/>
    <s v="Trunk"/>
    <s v="Under bark"/>
    <m/>
    <m/>
    <s v="unknown"/>
    <n v="63.721640000000001"/>
    <n v="148.95113000000001"/>
    <m/>
    <m/>
    <m/>
    <n v="0"/>
    <n v="0"/>
    <n v="0"/>
    <n v="0"/>
    <n v="0"/>
    <n v="0"/>
    <n v="0"/>
    <m/>
    <s v="Clear cache.  Very close to previoud cach location.  "/>
    <m/>
    <m/>
  </r>
  <r>
    <s v="DSCN0262"/>
    <s v="CCS0904_9"/>
    <n v="9"/>
    <n v="1"/>
    <s v="CCAMP South"/>
    <d v="2018-09-04T00:00:00"/>
    <s v="September"/>
    <x v="1"/>
    <d v="1899-12-30T01:27:00"/>
    <m/>
    <x v="10"/>
    <s v="Foraging/caching"/>
    <s v="Spruce"/>
    <n v="1"/>
    <m/>
    <n v="0"/>
    <s v="Unknown"/>
    <s v="Unknown"/>
    <s v="Ground"/>
    <s v="NA"/>
    <s v="NA"/>
    <s v="NA"/>
    <s v="NA"/>
    <m/>
    <m/>
    <s v="NA"/>
    <s v="NA"/>
    <m/>
    <m/>
    <m/>
    <m/>
    <n v="0"/>
    <n v="0"/>
    <n v="0"/>
    <n v="0"/>
    <n v="22"/>
    <n v="0"/>
    <n v="22"/>
    <m/>
    <m/>
    <m/>
    <m/>
  </r>
  <r>
    <s v="DSCN0262"/>
    <s v="CCS0904_9"/>
    <n v="9"/>
    <n v="2"/>
    <s v="CCAMP South"/>
    <d v="2018-09-04T00:00:00"/>
    <s v="September"/>
    <x v="1"/>
    <d v="1899-12-30T01:27:00"/>
    <m/>
    <x v="10"/>
    <s v="Foraging/caching"/>
    <s v="Spruce"/>
    <n v="1"/>
    <m/>
    <n v="1"/>
    <s v="Berry"/>
    <s v="Berry (Blueberry)"/>
    <s v="Ground"/>
    <s v="Exterior spruce branch under bark/witch hair"/>
    <s v="Spruce"/>
    <s v="Exterior"/>
    <s v="Under bark and witch hair "/>
    <m/>
    <m/>
    <s v="Unknown"/>
    <n v="63.721629999999998"/>
    <n v="148.95177000000001"/>
    <m/>
    <m/>
    <m/>
    <n v="0"/>
    <n v="0"/>
    <n v="0"/>
    <n v="0"/>
    <n v="0"/>
    <n v="0"/>
    <n v="0"/>
    <m/>
    <m/>
    <m/>
    <m/>
  </r>
  <r>
    <s v="DSCN0263"/>
    <s v="CCS0904_10"/>
    <n v="10"/>
    <n v="2"/>
    <s v="CCAMP South"/>
    <d v="2018-09-04T00:00:00"/>
    <s v="September"/>
    <x v="1"/>
    <d v="1899-12-30T01:30:00"/>
    <m/>
    <x v="10"/>
    <s v="Foraging"/>
    <s v="Spruce"/>
    <n v="1"/>
    <m/>
    <n v="0"/>
    <s v="Insect"/>
    <s v="Insect (caterpillar)"/>
    <s v="Ground"/>
    <s v="NA"/>
    <s v="NA"/>
    <s v="NA"/>
    <s v="NA"/>
    <m/>
    <m/>
    <s v="NA"/>
    <s v="NA"/>
    <m/>
    <m/>
    <m/>
    <m/>
    <n v="0"/>
    <n v="0"/>
    <n v="0"/>
    <n v="0"/>
    <n v="0"/>
    <n v="0"/>
    <n v="0"/>
    <s v="searching"/>
    <m/>
    <m/>
    <m/>
  </r>
  <r>
    <s v="DSCN0263"/>
    <s v="CCS0904_10"/>
    <n v="10"/>
    <n v="1"/>
    <s v="CCAMP South"/>
    <d v="2018-09-04T00:00:00"/>
    <s v="September"/>
    <x v="1"/>
    <d v="1899-12-30T01:30:00"/>
    <m/>
    <x v="10"/>
    <s v="Caching"/>
    <s v="Spruce"/>
    <n v="0"/>
    <m/>
    <n v="1"/>
    <s v="Unknown"/>
    <s v="Unknown"/>
    <s v="unknown"/>
    <s v="Exterior spruce branch under bark"/>
    <s v="Spruce"/>
    <s v="Exterior"/>
    <s v="Under bark"/>
    <m/>
    <m/>
    <s v="Unknown"/>
    <s v="Did not mark (did not recognize as cache while in field)"/>
    <m/>
    <m/>
    <m/>
    <m/>
    <n v="24"/>
    <n v="0"/>
    <n v="0"/>
    <n v="24"/>
    <n v="32"/>
    <n v="0"/>
    <n v="56"/>
    <s v="searching"/>
    <m/>
    <m/>
    <m/>
  </r>
  <r>
    <s v="DSCN0265"/>
    <s v="CCS0904_11"/>
    <n v="11"/>
    <n v="1"/>
    <s v="CCAMP South"/>
    <d v="2018-09-04T00:00:00"/>
    <s v="September"/>
    <x v="1"/>
    <d v="1899-12-30T00:31:00"/>
    <m/>
    <x v="10"/>
    <s v="Foraging/caching"/>
    <s v="Spruce"/>
    <n v="1"/>
    <m/>
    <n v="1"/>
    <s v="Berry"/>
    <s v="Berry (Blueberry)"/>
    <s v="Ground"/>
    <s v="Spruce foliage"/>
    <s v="Spruce"/>
    <s v="Unknown"/>
    <s v="Foliage"/>
    <m/>
    <m/>
    <s v="unknown"/>
    <n v="63.721429999999998"/>
    <n v="148.95343"/>
    <m/>
    <m/>
    <m/>
    <n v="0"/>
    <n v="0"/>
    <n v="0"/>
    <n v="0"/>
    <n v="13"/>
    <n v="0"/>
    <n v="13"/>
    <s v="searching"/>
    <s v="Didn't capture foraging in this video B&amp;Ut did in previous one.  Didn't keep video because bird was not in frame B&amp;Ut used it to calculate foraging time reported here.  Unclear from video audio, B&amp;Ut the cache location here was spotted in the field by KS. "/>
    <m/>
    <m/>
  </r>
  <r>
    <s v="DSCN0605"/>
    <s v="TC0911_1"/>
    <n v="1"/>
    <n v="1"/>
    <s v="Trail Camp"/>
    <d v="2018-09-11T00:00:00"/>
    <s v="September"/>
    <x v="1"/>
    <d v="1899-12-30T00:45:00"/>
    <s v="Full sun"/>
    <x v="10"/>
    <s v="Foraging"/>
    <s v="Spruce"/>
    <n v="1"/>
    <m/>
    <n v="1"/>
    <s v="Unknown"/>
    <s v="Unknown soft white stuff"/>
    <s v="Exterior foliated spruce"/>
    <s v="Exterior spruce foliage"/>
    <s v="Spruce"/>
    <s v="Exterior"/>
    <s v="Foliage"/>
    <m/>
    <m/>
    <s v="Unknown"/>
    <n v="63.731929999999998"/>
    <n v="148.8989"/>
    <m/>
    <m/>
    <m/>
    <n v="0"/>
    <n v="0"/>
    <n v="0"/>
    <n v="0"/>
    <n v="0"/>
    <n v="0"/>
    <n v="0"/>
    <m/>
    <m/>
    <m/>
    <m/>
  </r>
  <r>
    <s v="DSCN0825"/>
    <s v="M4R0916_6"/>
    <n v="6"/>
    <n v="1"/>
    <s v="M4Roadside"/>
    <d v="2018-09-16T00:00:00"/>
    <s v="September"/>
    <x v="1"/>
    <d v="1899-12-30T00:31:00"/>
    <s v="Overcast"/>
    <x v="10"/>
    <s v="Foraging"/>
    <s v="Spruce"/>
    <n v="1"/>
    <m/>
    <n v="0"/>
    <s v="Unknown"/>
    <s v="Unknown (some part of spruce tree as in other videos: HS0912_8_x000a_M2370912_3) "/>
    <s v="Spruce sapling trunk, near branch joint"/>
    <s v="NA"/>
    <s v="NA"/>
    <s v="NA"/>
    <s v="NA"/>
    <m/>
    <m/>
    <s v="NA"/>
    <s v="NA"/>
    <m/>
    <m/>
    <m/>
    <m/>
    <n v="8"/>
    <n v="8"/>
    <n v="16"/>
    <n v="0"/>
    <n v="0"/>
    <n v="0"/>
    <n v="16"/>
    <s v="Gleaning"/>
    <m/>
    <n v="0"/>
    <n v="3"/>
  </r>
  <r>
    <s v="DSCN0827"/>
    <s v="TC0916_1"/>
    <n v="1"/>
    <n v="1"/>
    <s v="Trail Camp"/>
    <d v="2018-09-16T00:00:00"/>
    <s v="September"/>
    <x v="1"/>
    <d v="1899-12-30T00:09:00"/>
    <s v="Overcast"/>
    <x v="10"/>
    <s v="Foraging"/>
    <s v="NA"/>
    <n v="1"/>
    <m/>
    <n v="0"/>
    <s v="Human food"/>
    <s v="Human food, seemed like fruit like apricot"/>
    <s v="Campsite ground"/>
    <s v="NA"/>
    <s v="NA"/>
    <s v="NA"/>
    <s v="NA"/>
    <m/>
    <m/>
    <s v="NA"/>
    <s v="NA"/>
    <m/>
    <m/>
    <m/>
    <m/>
    <n v="0"/>
    <n v="0"/>
    <n v="0"/>
    <n v="0"/>
    <n v="9"/>
    <n v="0"/>
    <n v="9"/>
    <m/>
    <m/>
    <m/>
    <m/>
  </r>
  <r>
    <s v="DSCN0828"/>
    <s v="TC0916_2"/>
    <n v="2"/>
    <n v="1"/>
    <s v="Trail Camp"/>
    <d v="2018-09-16T00:00:00"/>
    <s v="September"/>
    <x v="1"/>
    <d v="1899-12-30T00:13:00"/>
    <s v="Overcast"/>
    <x v="10"/>
    <s v="Food handling/caching"/>
    <s v="Spruce"/>
    <n v="1"/>
    <m/>
    <n v="1"/>
    <s v="Human food"/>
    <s v="Human food, seemed like fruit like apricot"/>
    <s v="Campsite ground"/>
    <s v="Exterior spruce foliage"/>
    <s v="Spruce"/>
    <s v="Exterior"/>
    <s v="Foliage"/>
    <m/>
    <m/>
    <s v="Unknown"/>
    <n v="63.730119999999999"/>
    <n v="148.90195"/>
    <m/>
    <m/>
    <m/>
    <n v="0"/>
    <n v="0"/>
    <n v="0"/>
    <n v="0"/>
    <n v="0"/>
    <n v="0"/>
    <n v="0"/>
    <m/>
    <s v="Moment of cache not caught on video B&amp;Ut it cached what was left in the spot seen on the video of it eating.  "/>
    <m/>
    <m/>
  </r>
  <r>
    <s v="DSCN0831"/>
    <s v="TC0916_3"/>
    <n v="3"/>
    <n v="1"/>
    <s v="Trail Camp"/>
    <d v="2018-09-16T00:00:00"/>
    <s v="September"/>
    <x v="1"/>
    <d v="1899-12-30T00:38:00"/>
    <s v="Overcast"/>
    <x v="10"/>
    <s v="Foraging"/>
    <s v="Spruce"/>
    <s v="unknown"/>
    <m/>
    <n v="0"/>
    <m/>
    <s v="NA"/>
    <s v="NA"/>
    <s v="NA"/>
    <s v="NA"/>
    <s v="NA"/>
    <s v="NA"/>
    <m/>
    <m/>
    <s v="NA"/>
    <s v="NA"/>
    <m/>
    <m/>
    <m/>
    <m/>
    <n v="28"/>
    <n v="0"/>
    <n v="0"/>
    <n v="28"/>
    <n v="0"/>
    <n v="0"/>
    <n v="28"/>
    <s v="Gleaning"/>
    <m/>
    <n v="0"/>
    <n v="2"/>
  </r>
  <r>
    <s v="DSCN1183"/>
    <s v="M4R0927_7"/>
    <n v="7"/>
    <n v="1"/>
    <s v="M4Roadside"/>
    <d v="2018-09-27T00:00:00"/>
    <s v="September"/>
    <x v="1"/>
    <d v="1899-12-30T00:29:00"/>
    <s v="Overcast"/>
    <x v="10"/>
    <s v="Caching"/>
    <s v="Aspen"/>
    <n v="0"/>
    <m/>
    <n v="2"/>
    <s v="Animal flesh"/>
    <s v="Animal flesh"/>
    <s v="Interior spruce foliage"/>
    <s v="bare aspen branch under bark"/>
    <s v="Aspen"/>
    <s v="Exterior"/>
    <s v="Under bark"/>
    <m/>
    <m/>
    <s v="unknown"/>
    <n v="63.72307"/>
    <n v="148.98291"/>
    <m/>
    <m/>
    <m/>
    <n v="0"/>
    <n v="0"/>
    <n v="0"/>
    <n v="0"/>
    <n v="0"/>
    <n v="0"/>
    <n v="0"/>
    <m/>
    <s v="Same food as in previous video.  "/>
    <m/>
    <m/>
  </r>
  <r>
    <s v="DSCN0160"/>
    <s v="WW0903_1"/>
    <n v="1"/>
    <n v="1"/>
    <s v="WAC West"/>
    <d v="2018-09-03T00:00:00"/>
    <s v="September"/>
    <x v="1"/>
    <d v="1899-12-30T00:23:00"/>
    <m/>
    <x v="11"/>
    <s v="Foraging"/>
    <s v="NA"/>
    <n v="1"/>
    <m/>
    <n v="0"/>
    <s v="Berry"/>
    <s v="Berry"/>
    <s v="Ground"/>
    <s v="NA"/>
    <s v="NA"/>
    <s v="NA"/>
    <s v="NA"/>
    <m/>
    <m/>
    <s v="NA"/>
    <m/>
    <m/>
    <m/>
    <m/>
    <m/>
    <n v="0"/>
    <n v="0"/>
    <n v="0"/>
    <n v="0"/>
    <n v="10"/>
    <n v="0"/>
    <n v="10"/>
    <s v="searching"/>
    <s v="Grabbed at least one berry. "/>
    <n v="0"/>
    <n v="0"/>
  </r>
  <r>
    <s v="DSCN0239"/>
    <s v="RLC0904_1"/>
    <n v="1"/>
    <n v="1"/>
    <s v="Riley Creek"/>
    <d v="2018-09-04T00:00:00"/>
    <s v="September"/>
    <x v="1"/>
    <d v="1899-12-30T00:58:00"/>
    <m/>
    <x v="11"/>
    <s v="Foraging"/>
    <s v="Spruce"/>
    <n v="1"/>
    <m/>
    <n v="0"/>
    <s v="Unknown"/>
    <s v="Unknown"/>
    <s v="Spruce foliage"/>
    <s v="NA"/>
    <s v="NA"/>
    <s v="NA"/>
    <s v="NA"/>
    <m/>
    <m/>
    <s v="NA"/>
    <s v="NA"/>
    <m/>
    <m/>
    <m/>
    <m/>
    <n v="0"/>
    <n v="30"/>
    <n v="0"/>
    <n v="30"/>
    <n v="0"/>
    <n v="0"/>
    <n v="30"/>
    <s v="Gleaning"/>
    <m/>
    <n v="0"/>
    <n v="3"/>
  </r>
  <r>
    <s v="DSCN0292"/>
    <s v="M4R0905_4"/>
    <n v="4"/>
    <n v="1"/>
    <s v="M4Roadside"/>
    <d v="2018-09-05T00:00:00"/>
    <s v="September"/>
    <x v="1"/>
    <d v="1899-12-30T00:38:00"/>
    <s v="Partly Sunny"/>
    <x v="11"/>
    <s v="Foraging"/>
    <s v="NA"/>
    <n v="1"/>
    <m/>
    <n v="0"/>
    <s v="Berry"/>
    <s v="Berry (Blueberry)"/>
    <s v="Ground"/>
    <s v="NA"/>
    <s v="NA"/>
    <s v="NA"/>
    <s v="NA"/>
    <m/>
    <m/>
    <s v="NA"/>
    <s v="NA"/>
    <m/>
    <m/>
    <m/>
    <m/>
    <n v="0"/>
    <n v="0"/>
    <n v="0"/>
    <n v="0"/>
    <n v="13"/>
    <n v="0"/>
    <n v="13"/>
    <m/>
    <m/>
    <m/>
    <m/>
  </r>
  <r>
    <s v="DSCN0366"/>
    <s v="MC0906_3"/>
    <n v="3"/>
    <n v="1"/>
    <s v="Mercantile"/>
    <d v="2018-09-06T00:00:00"/>
    <s v="September"/>
    <x v="1"/>
    <d v="1899-12-30T00:12:00"/>
    <s v="Overcast"/>
    <x v="11"/>
    <s v="Foraging"/>
    <s v="Spruce"/>
    <n v="1"/>
    <m/>
    <n v="0"/>
    <s v="Unknown"/>
    <s v="Unknown"/>
    <s v="Interior spruce foliage"/>
    <s v="NA"/>
    <s v="NA"/>
    <s v="NA"/>
    <s v="NA"/>
    <m/>
    <m/>
    <s v="NA"/>
    <s v="NA"/>
    <m/>
    <m/>
    <m/>
    <m/>
    <n v="0"/>
    <n v="12"/>
    <n v="0"/>
    <n v="12"/>
    <n v="0"/>
    <n v="0"/>
    <n v="12"/>
    <s v="unknown"/>
    <m/>
    <m/>
    <m/>
  </r>
  <r>
    <s v="DSCN0411"/>
    <s v="M2370907_6"/>
    <n v="6"/>
    <n v="1"/>
    <s v="Mile 237"/>
    <d v="2018-09-07T00:00:00"/>
    <s v="September"/>
    <x v="1"/>
    <d v="1899-12-30T00:16:00"/>
    <s v="Overcast"/>
    <x v="11"/>
    <s v="Foraging"/>
    <s v="NA"/>
    <n v="1"/>
    <m/>
    <n v="0"/>
    <s v="Mushroom"/>
    <s v="Mushroom"/>
    <s v="Ground"/>
    <s v="NA"/>
    <s v="NA"/>
    <s v="NA"/>
    <s v="NA"/>
    <m/>
    <m/>
    <s v="NA"/>
    <s v="NA"/>
    <m/>
    <m/>
    <m/>
    <m/>
    <n v="0"/>
    <n v="0"/>
    <n v="0"/>
    <n v="0"/>
    <n v="10"/>
    <n v="0"/>
    <n v="10"/>
    <m/>
    <m/>
    <m/>
    <m/>
  </r>
  <r>
    <s v="DSCN0412"/>
    <s v="M2370907_7"/>
    <n v="7"/>
    <n v="1"/>
    <s v="Mile 237"/>
    <d v="2018-09-07T00:00:00"/>
    <s v="September"/>
    <x v="1"/>
    <d v="1899-12-30T00:21:00"/>
    <s v="Overcast"/>
    <x v="11"/>
    <s v="Foraging"/>
    <s v="NA"/>
    <n v="1"/>
    <m/>
    <n v="0"/>
    <s v="Mushroom"/>
    <s v="Mushroom"/>
    <s v="Ground"/>
    <s v="NA"/>
    <s v="NA"/>
    <s v="NA"/>
    <s v="NA"/>
    <m/>
    <m/>
    <s v="NA"/>
    <s v="NA"/>
    <m/>
    <m/>
    <m/>
    <m/>
    <n v="0"/>
    <n v="0"/>
    <n v="0"/>
    <n v="0"/>
    <n v="4"/>
    <n v="0"/>
    <n v="4"/>
    <m/>
    <m/>
    <m/>
    <m/>
  </r>
  <r>
    <s v="DSCN0415"/>
    <s v="M2370907_9"/>
    <n v="9"/>
    <n v="2"/>
    <s v="Mile 237"/>
    <d v="2018-09-07T00:00:00"/>
    <s v="September"/>
    <x v="1"/>
    <d v="1899-12-30T00:48:00"/>
    <s v="Overcast"/>
    <x v="11"/>
    <s v="Foraging"/>
    <s v="NA"/>
    <n v="1"/>
    <m/>
    <n v="1"/>
    <s v="Unknown"/>
    <s v="Unknown"/>
    <s v="unknown"/>
    <s v="Interior spruce foliage "/>
    <s v="Spruce"/>
    <s v="Interior"/>
    <s v="Foliage"/>
    <m/>
    <m/>
    <s v="Unknown"/>
    <s v="Did not mark (did not recognize as cache while in field)"/>
    <m/>
    <m/>
    <m/>
    <m/>
    <n v="0"/>
    <n v="0"/>
    <n v="0"/>
    <n v="0"/>
    <n v="0"/>
    <n v="0"/>
    <n v="0"/>
    <m/>
    <m/>
    <m/>
    <m/>
  </r>
  <r>
    <s v="DSCN0536"/>
    <s v="M2370909_2"/>
    <n v="2"/>
    <n v="1"/>
    <s v="Mile 237"/>
    <d v="2018-09-09T00:00:00"/>
    <s v="September"/>
    <x v="1"/>
    <d v="1899-12-30T00:08:00"/>
    <s v="Full sun"/>
    <x v="11"/>
    <s v="Foraging"/>
    <s v="Spruce"/>
    <n v="1"/>
    <m/>
    <n v="0"/>
    <s v="Unknown"/>
    <s v="Unknown"/>
    <s v="Exterior foliated spruce"/>
    <s v="NA"/>
    <s v="NA"/>
    <s v="NA"/>
    <s v="NA"/>
    <m/>
    <m/>
    <s v="NA"/>
    <s v="NA"/>
    <m/>
    <m/>
    <m/>
    <m/>
    <n v="0"/>
    <n v="2"/>
    <n v="0"/>
    <n v="2"/>
    <n v="0"/>
    <n v="0"/>
    <n v="2"/>
    <s v="Unknown"/>
    <m/>
    <m/>
    <m/>
  </r>
  <r>
    <s v="DSCN0548"/>
    <s v="M2370909_8"/>
    <n v="8"/>
    <n v="1"/>
    <s v="Mile 237"/>
    <d v="2018-09-09T00:00:00"/>
    <s v="September"/>
    <x v="1"/>
    <d v="1899-12-30T00:04:00"/>
    <s v="Full sun"/>
    <x v="11"/>
    <s v="Foraging"/>
    <s v="NA"/>
    <n v="1"/>
    <m/>
    <n v="0"/>
    <s v="Berry"/>
    <s v="Berry (Soapberry)"/>
    <s v="Ground"/>
    <s v="NA"/>
    <s v="NA"/>
    <s v="NA"/>
    <s v="NA"/>
    <m/>
    <m/>
    <s v="NA"/>
    <s v="NA"/>
    <m/>
    <m/>
    <m/>
    <m/>
    <n v="0"/>
    <n v="0"/>
    <n v="0"/>
    <n v="0"/>
    <s v="unknown"/>
    <n v="0"/>
    <n v="0"/>
    <m/>
    <m/>
    <m/>
    <m/>
  </r>
  <r>
    <s v="DSCN0587"/>
    <s v="RC0911_1"/>
    <n v="1"/>
    <n v="1"/>
    <s v="Rock Creek"/>
    <d v="2018-09-11T00:00:00"/>
    <s v="September"/>
    <x v="1"/>
    <d v="1899-12-30T00:00:05"/>
    <s v="Full sun"/>
    <x v="11"/>
    <s v="Food handling"/>
    <s v="Spruce"/>
    <n v="1"/>
    <m/>
    <n v="0"/>
    <s v="Human food"/>
    <s v="Human food"/>
    <s v="unknown"/>
    <s v="NA"/>
    <s v="NA"/>
    <s v="NA"/>
    <s v="NA"/>
    <m/>
    <m/>
    <s v="NA"/>
    <s v="NA"/>
    <m/>
    <m/>
    <m/>
    <m/>
    <n v="0"/>
    <n v="3"/>
    <n v="0"/>
    <n v="3"/>
    <n v="0"/>
    <n v="0"/>
    <n v="3"/>
    <m/>
    <m/>
    <m/>
    <m/>
  </r>
  <r>
    <s v="DSCN0590"/>
    <s v="RC0911_2"/>
    <n v="2"/>
    <n v="1"/>
    <s v="Rock Creek"/>
    <d v="2018-09-11T00:00:00"/>
    <s v="September"/>
    <x v="1"/>
    <d v="1899-12-30T00:04:00"/>
    <s v="Full sun"/>
    <x v="11"/>
    <s v="Food handling"/>
    <s v="Spruce"/>
    <n v="1"/>
    <m/>
    <n v="0"/>
    <s v="Unknown"/>
    <s v="Unknown"/>
    <s v="unknown"/>
    <s v="NA"/>
    <s v="NA"/>
    <s v="NA"/>
    <s v="NA"/>
    <m/>
    <m/>
    <s v="NA"/>
    <s v="NA"/>
    <m/>
    <m/>
    <m/>
    <m/>
    <n v="0"/>
    <n v="0"/>
    <n v="0"/>
    <n v="0"/>
    <n v="0"/>
    <n v="0"/>
    <n v="0"/>
    <m/>
    <m/>
    <m/>
    <m/>
  </r>
  <r>
    <s v="DSCN0591"/>
    <s v="RC0911_3"/>
    <n v="3"/>
    <n v="1"/>
    <s v="Rock Creek"/>
    <d v="2018-09-11T00:00:00"/>
    <s v="September"/>
    <x v="1"/>
    <d v="1899-12-30T00:00:07"/>
    <s v="Full sun"/>
    <x v="11"/>
    <s v="Food handling/caching"/>
    <s v="Spruce"/>
    <n v="1"/>
    <m/>
    <n v="1"/>
    <s v="Unknown"/>
    <s v="Unknown"/>
    <s v="unknown"/>
    <s v="Interior spruce branch, B&amp;Ut bare part of brach between foliage.  "/>
    <s v="Spruce"/>
    <s v="Interior"/>
    <s v="Branch"/>
    <m/>
    <m/>
    <s v="Unknown"/>
    <n v="63.722499999999997"/>
    <n v="148.95992000000001"/>
    <m/>
    <m/>
    <m/>
    <n v="0"/>
    <n v="0"/>
    <n v="0"/>
    <n v="0"/>
    <n v="0"/>
    <n v="0"/>
    <n v="0"/>
    <m/>
    <s v="Saw bird eating unidentified food, appeared to leave some in tree so we marked it as a cache. "/>
    <m/>
    <m/>
  </r>
  <r>
    <s v="DSCN0600"/>
    <s v="CC0911_1"/>
    <n v="1"/>
    <n v="1"/>
    <s v="CCAMP"/>
    <d v="2018-09-11T00:00:00"/>
    <s v="September"/>
    <x v="1"/>
    <d v="1899-12-30T00:08:00"/>
    <s v="Full sun"/>
    <x v="11"/>
    <s v="Caching"/>
    <s v="Spruce"/>
    <n v="0"/>
    <m/>
    <n v="1"/>
    <s v="Unknown"/>
    <s v="Unknown"/>
    <s v="NA"/>
    <s v="Spruce trunk under bark "/>
    <s v="Spruce"/>
    <s v="Trunk"/>
    <s v="Under bark"/>
    <m/>
    <m/>
    <s v="Unknown"/>
    <n v="63.723460000000003"/>
    <n v="148.94909999999999"/>
    <m/>
    <m/>
    <m/>
    <n v="0"/>
    <n v="0"/>
    <n v="0"/>
    <n v="0"/>
    <n v="0"/>
    <n v="0"/>
    <n v="0"/>
    <m/>
    <m/>
    <m/>
    <m/>
  </r>
  <r>
    <s v="DSCN0634"/>
    <s v="HS0912_5"/>
    <n v="5"/>
    <n v="1"/>
    <s v="Horse Shoe"/>
    <d v="2018-09-12T00:00:00"/>
    <s v="September"/>
    <x v="1"/>
    <d v="1899-12-30T00:11:00"/>
    <s v="Overcast"/>
    <x v="11"/>
    <s v="Foraging"/>
    <s v="NA"/>
    <n v="1"/>
    <m/>
    <n v="0"/>
    <s v="Unknown"/>
    <s v="Unknown"/>
    <s v="Ground"/>
    <s v="NA"/>
    <s v="NA"/>
    <s v="NA"/>
    <s v="NA"/>
    <m/>
    <m/>
    <s v="NA"/>
    <s v="NA"/>
    <m/>
    <m/>
    <m/>
    <m/>
    <n v="0"/>
    <n v="0"/>
    <n v="0"/>
    <n v="0"/>
    <n v="0"/>
    <n v="0"/>
    <n v="0"/>
    <m/>
    <s v="Verbal recording that it got food on the ground "/>
    <m/>
    <m/>
  </r>
  <r>
    <s v="DSCN0635"/>
    <s v="HS0912_6"/>
    <n v="6"/>
    <n v="1"/>
    <s v="Horse Shoe"/>
    <d v="2018-09-12T00:00:00"/>
    <s v="September"/>
    <x v="1"/>
    <d v="1899-12-30T00:24:00"/>
    <s v="Overcast"/>
    <x v="11"/>
    <s v="Foraging"/>
    <s v="NA"/>
    <n v="1"/>
    <m/>
    <n v="0"/>
    <s v="Berry"/>
    <s v="Berry"/>
    <s v="Ground"/>
    <s v="NA"/>
    <s v="NA"/>
    <s v="NA"/>
    <s v="NA"/>
    <m/>
    <m/>
    <s v="NA"/>
    <s v="NA"/>
    <m/>
    <m/>
    <m/>
    <m/>
    <n v="0"/>
    <n v="0"/>
    <n v="0"/>
    <n v="0"/>
    <n v="5"/>
    <n v="0"/>
    <n v="5"/>
    <m/>
    <m/>
    <m/>
    <m/>
  </r>
  <r>
    <s v="DSCN0643"/>
    <s v="M2370912_2"/>
    <n v="2"/>
    <n v="1"/>
    <s v="Mile 237"/>
    <d v="2018-09-12T00:00:00"/>
    <s v="September"/>
    <x v="1"/>
    <d v="1899-12-30T00:35:00"/>
    <s v="Overcast"/>
    <x v="11"/>
    <s v="Foraging"/>
    <s v="Spruce"/>
    <n v="1"/>
    <m/>
    <n v="0"/>
    <s v="Unknown"/>
    <s v="Unknown"/>
    <s v="Interior spruce foliage"/>
    <s v="NA"/>
    <s v="NA"/>
    <s v="NA"/>
    <s v="NA"/>
    <m/>
    <m/>
    <s v="NA"/>
    <s v="NA"/>
    <m/>
    <m/>
    <m/>
    <m/>
    <n v="0"/>
    <n v="19"/>
    <n v="19"/>
    <n v="0"/>
    <n v="0"/>
    <n v="0"/>
    <n v="19"/>
    <m/>
    <m/>
    <m/>
    <m/>
  </r>
  <r>
    <s v="DSCN0677"/>
    <s v="B&amp;U0912_5"/>
    <n v="5"/>
    <n v="1"/>
    <s v="B&amp;U"/>
    <d v="2018-09-12T00:00:00"/>
    <s v="September"/>
    <x v="1"/>
    <d v="1899-12-30T00:41:00"/>
    <s v="Overcast"/>
    <x v="11"/>
    <s v="Food handling"/>
    <s v="Spruce"/>
    <n v="1"/>
    <m/>
    <n v="1"/>
    <s v="Unknown"/>
    <s v="Unknown"/>
    <s v="unknown"/>
    <s v="Spruce"/>
    <s v="Spruce"/>
    <s v="Unknown"/>
    <s v="Unknown"/>
    <m/>
    <m/>
    <s v="Unknown"/>
    <n v="63.726739999999999"/>
    <n v="148.95921000000001"/>
    <m/>
    <m/>
    <m/>
    <n v="0"/>
    <n v="0"/>
    <n v="0"/>
    <n v="0"/>
    <n v="0"/>
    <n v="0"/>
    <n v="0"/>
    <m/>
    <s v="Unconfirmed caching (observed by Noah S.)"/>
    <m/>
    <m/>
  </r>
  <r>
    <s v="DSCN0698"/>
    <s v="M4R0914_2"/>
    <n v="2"/>
    <n v="1"/>
    <s v="M4Roadside"/>
    <d v="2018-09-14T00:00:00"/>
    <s v="September"/>
    <x v="1"/>
    <d v="1899-12-30T00:16:00"/>
    <s v="Mostly sunny"/>
    <x v="11"/>
    <s v="Caching"/>
    <s v="Spruce"/>
    <n v="0"/>
    <m/>
    <n v="1"/>
    <s v="Unknown"/>
    <s v="Unknown"/>
    <s v="NA"/>
    <s v="Interior top of spruce in foliage."/>
    <s v="Spruce"/>
    <s v="Interior"/>
    <s v="Foliage"/>
    <m/>
    <m/>
    <s v="unknown"/>
    <s v="Did not mark (did not recognize as cache while in field)"/>
    <m/>
    <m/>
    <m/>
    <m/>
    <n v="0"/>
    <n v="0"/>
    <n v="0"/>
    <n v="0"/>
    <n v="0"/>
    <n v="0"/>
    <n v="0"/>
    <m/>
    <s v="Determined caching based on saliva trail that you can see in video.  "/>
    <m/>
    <m/>
  </r>
  <r>
    <s v="DSCN0705"/>
    <s v="M4R0914_4"/>
    <n v="4"/>
    <n v="1"/>
    <s v="M4Roadside"/>
    <d v="2018-09-14T00:00:00"/>
    <s v="September"/>
    <x v="1"/>
    <d v="1899-12-30T00:14:00"/>
    <s v="Mostly sunny"/>
    <x v="11"/>
    <s v="Unknown"/>
    <s v="Alder"/>
    <n v="0"/>
    <m/>
    <s v="Unknown"/>
    <s v="Unknown"/>
    <s v="Unknown"/>
    <s v="unknown"/>
    <s v="NA"/>
    <m/>
    <m/>
    <m/>
    <m/>
    <m/>
    <s v="NA"/>
    <s v="NA"/>
    <m/>
    <m/>
    <m/>
    <m/>
    <n v="0"/>
    <n v="0"/>
    <n v="0"/>
    <n v="0"/>
    <n v="0"/>
    <n v="0"/>
    <n v="0"/>
    <m/>
    <s v="Unclear if foraging or caching.  Check with jay crew. "/>
    <m/>
    <m/>
  </r>
  <r>
    <s v="DSCN0769"/>
    <s v="B&amp;U0915_13"/>
    <n v="13"/>
    <n v="1"/>
    <s v="B&amp;U"/>
    <d v="2018-09-15T00:00:00"/>
    <s v="September"/>
    <x v="1"/>
    <d v="1899-12-30T00:41:00"/>
    <s v="Mostly sunny"/>
    <x v="11"/>
    <s v="Foraging"/>
    <s v="NA"/>
    <n v="1"/>
    <m/>
    <n v="0"/>
    <s v="Berry"/>
    <s v="Berry"/>
    <s v="Ground"/>
    <s v="NA"/>
    <s v="NA"/>
    <s v="NA"/>
    <s v="NA"/>
    <m/>
    <m/>
    <s v="NA"/>
    <s v="NA"/>
    <m/>
    <m/>
    <m/>
    <m/>
    <n v="0"/>
    <n v="0"/>
    <n v="0"/>
    <n v="0"/>
    <n v="24"/>
    <n v="0"/>
    <n v="24"/>
    <m/>
    <m/>
    <m/>
    <m/>
  </r>
  <r>
    <s v="DSCN0769"/>
    <s v="B&amp;U0915_13"/>
    <n v="13"/>
    <n v="2"/>
    <s v="B&amp;U"/>
    <d v="2018-09-15T00:00:00"/>
    <s v="September"/>
    <x v="1"/>
    <d v="1899-12-30T00:41:00"/>
    <s v="Mostly sunny"/>
    <x v="11"/>
    <s v="Foraging"/>
    <s v="NA"/>
    <n v="1"/>
    <m/>
    <n v="0"/>
    <s v="Unknown"/>
    <s v="Unknown"/>
    <s v="Ground"/>
    <s v="NA"/>
    <s v="NA"/>
    <s v="NA"/>
    <s v="NA"/>
    <m/>
    <m/>
    <s v="NA"/>
    <s v="NA"/>
    <m/>
    <m/>
    <m/>
    <m/>
    <n v="0"/>
    <n v="0"/>
    <n v="0"/>
    <n v="0"/>
    <n v="0"/>
    <n v="0"/>
    <n v="0"/>
    <m/>
    <m/>
    <m/>
    <m/>
  </r>
  <r>
    <s v="DSCN0771"/>
    <s v="B&amp;U0915_3"/>
    <n v="3"/>
    <n v="1"/>
    <s v="B&amp;U"/>
    <d v="2018-09-15T00:00:00"/>
    <s v="September"/>
    <x v="1"/>
    <d v="1899-12-30T00:39:00"/>
    <s v="Mostly sunny"/>
    <x v="11"/>
    <s v="Foraging"/>
    <s v="Spruce"/>
    <n v="1"/>
    <m/>
    <n v="1"/>
    <s v="Animal flesh"/>
    <s v="Animal flesh (Snowshoe hare)"/>
    <s v="Ground"/>
    <s v="Interior bare spruce branch"/>
    <s v="Spruce"/>
    <s v="Interior"/>
    <s v="Branch"/>
    <m/>
    <m/>
    <n v="17"/>
    <n v="63.72486"/>
    <n v="148.95638"/>
    <m/>
    <m/>
    <m/>
    <n v="0"/>
    <n v="0"/>
    <n v="0"/>
    <n v="0"/>
    <n v="0"/>
    <n v="0"/>
    <n v="0"/>
    <m/>
    <s v="Foraging and caching off dead hare carcass (mostly entrails)"/>
    <m/>
    <m/>
  </r>
  <r>
    <s v="DSCN0789"/>
    <s v="B&amp;U0915_10"/>
    <n v="10"/>
    <n v="1"/>
    <s v="B&amp;U"/>
    <d v="2018-09-15T00:00:00"/>
    <s v="September"/>
    <x v="1"/>
    <d v="1899-12-30T00:18:00"/>
    <s v="Mostly sunny"/>
    <x v="11"/>
    <s v="Caching"/>
    <s v="Spruce"/>
    <n v="0"/>
    <m/>
    <n v="1"/>
    <s v="Unknown"/>
    <s v="Unknown"/>
    <s v="unknown"/>
    <s v="Spruce trunk under bark"/>
    <s v="Spruce"/>
    <s v="Trunk"/>
    <s v="Under bark"/>
    <m/>
    <m/>
    <s v="unknown"/>
    <n v="63.72484"/>
    <n v="148.95616000000001"/>
    <m/>
    <m/>
    <m/>
    <n v="0"/>
    <n v="0"/>
    <n v="0"/>
    <n v="0"/>
    <n v="0"/>
    <n v="0"/>
    <n v="0"/>
    <m/>
    <m/>
    <m/>
    <m/>
  </r>
  <r>
    <s v="DSCN0800"/>
    <s v="B&amp;U0915_16"/>
    <n v="16"/>
    <n v="1"/>
    <s v="B&amp;U"/>
    <d v="2018-09-15T00:00:00"/>
    <s v="September"/>
    <x v="1"/>
    <d v="1899-12-30T00:39:00"/>
    <s v="Mostly sunny"/>
    <x v="11"/>
    <s v="Foraging"/>
    <s v="NA"/>
    <n v="1"/>
    <m/>
    <n v="0"/>
    <s v="Unknown"/>
    <s v="Unknown"/>
    <s v="Ground"/>
    <s v="NA"/>
    <s v="NA"/>
    <s v="NA"/>
    <s v="NA"/>
    <m/>
    <m/>
    <s v="NA"/>
    <s v="NA"/>
    <m/>
    <m/>
    <m/>
    <m/>
    <n v="0"/>
    <n v="0"/>
    <n v="0"/>
    <n v="0"/>
    <n v="16"/>
    <n v="0"/>
    <n v="16"/>
    <m/>
    <m/>
    <m/>
    <m/>
  </r>
  <r>
    <s v="DSCN0815"/>
    <s v="M4R0916_3"/>
    <n v="3"/>
    <n v="1"/>
    <s v="M4Roadside"/>
    <d v="2018-09-16T00:00:00"/>
    <s v="September"/>
    <x v="1"/>
    <d v="1899-12-30T00:15:00"/>
    <s v="Overcast"/>
    <x v="11"/>
    <s v="Foraging/caching"/>
    <s v="Spruce"/>
    <n v="1"/>
    <m/>
    <n v="1"/>
    <s v="Unknown"/>
    <s v="Unknown (probably B&amp;Ug)"/>
    <s v="Exterior foliated spruce"/>
    <s v="Exterior spruce foliage"/>
    <s v="Spruce"/>
    <s v="Exterior"/>
    <s v="Foliage"/>
    <m/>
    <m/>
    <s v="Unknown"/>
    <s v="Did not mark (did not recognize as cache while in field)"/>
    <m/>
    <m/>
    <m/>
    <m/>
    <n v="0"/>
    <n v="0"/>
    <n v="0"/>
    <n v="0"/>
    <n v="0"/>
    <n v="0"/>
    <n v="0"/>
    <m/>
    <m/>
    <m/>
    <m/>
  </r>
  <r>
    <s v="DSCN0834"/>
    <s v="CC0917_7"/>
    <n v="7"/>
    <n v="1"/>
    <s v="CCAMP"/>
    <d v="2018-09-17T00:00:00"/>
    <s v="September"/>
    <x v="1"/>
    <d v="1899-12-30T00:11:00"/>
    <s v="Partly Sunny"/>
    <x v="11"/>
    <s v="Foraging"/>
    <s v="NA"/>
    <s v="unknown"/>
    <m/>
    <n v="0"/>
    <s v="Unknown"/>
    <s v="Unknown"/>
    <s v="NA"/>
    <s v="NA"/>
    <s v="NA"/>
    <s v="NA"/>
    <s v="NA"/>
    <m/>
    <m/>
    <s v="NA"/>
    <s v="NA"/>
    <m/>
    <m/>
    <m/>
    <m/>
    <n v="0"/>
    <n v="0"/>
    <n v="0"/>
    <n v="0"/>
    <n v="7"/>
    <n v="0"/>
    <n v="7"/>
    <m/>
    <m/>
    <m/>
    <m/>
  </r>
  <r>
    <s v="DSCN0866"/>
    <s v="AQ0917_1"/>
    <n v="1"/>
    <n v="1"/>
    <s v="Air Quality"/>
    <d v="2018-09-17T00:00:00"/>
    <s v="September"/>
    <x v="1"/>
    <d v="1899-12-30T00:07:00"/>
    <s v="Partly Sunny"/>
    <x v="11"/>
    <s v="Food handling"/>
    <s v="Spruce"/>
    <n v="1"/>
    <m/>
    <n v="0"/>
    <s v="Human food"/>
    <s v="Human food (Bread)"/>
    <s v="unknown"/>
    <s v="NA"/>
    <s v="NA"/>
    <s v="NA"/>
    <s v="NA"/>
    <m/>
    <m/>
    <s v="NA"/>
    <s v="NA"/>
    <m/>
    <m/>
    <m/>
    <m/>
    <n v="0"/>
    <n v="0"/>
    <n v="0"/>
    <n v="0"/>
    <n v="0"/>
    <n v="0"/>
    <n v="0"/>
    <m/>
    <m/>
    <m/>
    <m/>
  </r>
  <r>
    <s v="DSCN0878"/>
    <s v="CC0917_3"/>
    <n v="3"/>
    <n v="1"/>
    <s v="CCAMP"/>
    <d v="2018-09-17T00:00:00"/>
    <s v="September"/>
    <x v="1"/>
    <d v="1899-12-30T00:22:00"/>
    <s v="Partly Sunny"/>
    <x v="11"/>
    <s v="Foraging"/>
    <s v="NA"/>
    <s v="unknown"/>
    <m/>
    <n v="0"/>
    <m/>
    <s v="NA"/>
    <s v="NA"/>
    <s v="NA"/>
    <s v="NA"/>
    <s v="NA"/>
    <s v="NA"/>
    <m/>
    <m/>
    <s v="NA"/>
    <s v="NA"/>
    <m/>
    <m/>
    <m/>
    <m/>
    <n v="0"/>
    <n v="0"/>
    <n v="0"/>
    <n v="0"/>
    <n v="5"/>
    <n v="0"/>
    <n v="5"/>
    <s v="searching"/>
    <m/>
    <m/>
    <m/>
  </r>
  <r>
    <s v="DSCN0880"/>
    <s v="CC0917_4"/>
    <n v="4"/>
    <n v="1"/>
    <s v="CCAMP"/>
    <d v="2018-09-17T00:00:00"/>
    <s v="September"/>
    <x v="1"/>
    <d v="1899-12-30T00:33:00"/>
    <s v="Partly Sunny"/>
    <x v="11"/>
    <s v="Foraging"/>
    <s v="NA"/>
    <n v="1"/>
    <m/>
    <n v="0"/>
    <s v="Unknown"/>
    <s v="Unknown"/>
    <s v="Ground"/>
    <s v="NA"/>
    <s v="NA"/>
    <s v="NA"/>
    <s v="NA"/>
    <m/>
    <m/>
    <s v="NA"/>
    <s v="NA"/>
    <m/>
    <m/>
    <m/>
    <m/>
    <n v="0"/>
    <n v="0"/>
    <n v="0"/>
    <n v="0"/>
    <n v="15"/>
    <n v="0"/>
    <n v="15"/>
    <s v="searching"/>
    <m/>
    <m/>
    <m/>
  </r>
  <r>
    <s v="DSCN0882"/>
    <s v="CC0917_5"/>
    <n v="5"/>
    <n v="1"/>
    <s v="CCAMP"/>
    <d v="2018-09-17T00:00:00"/>
    <s v="September"/>
    <x v="1"/>
    <d v="1899-12-30T00:38:00"/>
    <s v="Partly Sunny"/>
    <x v="11"/>
    <s v="Cache"/>
    <s v="Spruce"/>
    <n v="1"/>
    <m/>
    <n v="1"/>
    <s v="Unknown"/>
    <s v="Unknown"/>
    <s v="Ground"/>
    <s v="Exterior bare spruce branch"/>
    <s v="Spruce"/>
    <s v="Exterior"/>
    <s v="Branch"/>
    <m/>
    <m/>
    <s v="unknown"/>
    <n v="63.722329999999999"/>
    <n v="148.95236"/>
    <m/>
    <m/>
    <m/>
    <n v="0"/>
    <n v="0"/>
    <n v="0"/>
    <n v="0"/>
    <n v="0"/>
    <n v="0"/>
    <n v="0"/>
    <s v="probing"/>
    <m/>
    <n v="0"/>
    <n v="0"/>
  </r>
  <r>
    <s v="DSCN0961"/>
    <s v="B&amp;U0920_5"/>
    <n v="5"/>
    <n v="1"/>
    <s v="B&amp;U"/>
    <d v="2018-09-20T00:00:00"/>
    <s v="September"/>
    <x v="1"/>
    <d v="1899-12-30T00:34:00"/>
    <s v="Overcast, light rain"/>
    <x v="11"/>
    <s v="Foraging"/>
    <s v="NA"/>
    <n v="1"/>
    <m/>
    <n v="0"/>
    <s v="Berry"/>
    <s v="Berry (Blueberry)"/>
    <s v="Ground"/>
    <s v="NA"/>
    <s v="NA"/>
    <s v="NA"/>
    <s v="NA"/>
    <m/>
    <m/>
    <s v="NA"/>
    <s v="NA"/>
    <m/>
    <m/>
    <m/>
    <m/>
    <n v="0"/>
    <n v="0"/>
    <n v="0"/>
    <n v="0"/>
    <n v="27"/>
    <n v="0"/>
    <n v="27"/>
    <m/>
    <m/>
    <m/>
    <m/>
  </r>
  <r>
    <s v="DSCN1099"/>
    <s v="AQ0926_2"/>
    <n v="2"/>
    <n v="1"/>
    <s v="Air Quality"/>
    <d v="2018-09-26T00:00:00"/>
    <s v="September"/>
    <x v="1"/>
    <d v="1899-12-30T00:30:00"/>
    <s v="Overcast"/>
    <x v="11"/>
    <s v="Food handling"/>
    <s v="Spruce"/>
    <n v="1"/>
    <m/>
    <n v="0"/>
    <s v="Unknown"/>
    <s v="Unknown"/>
    <s v="unknown"/>
    <s v="NA"/>
    <s v="NA"/>
    <s v="NA"/>
    <s v="NA"/>
    <m/>
    <m/>
    <s v="NA"/>
    <s v="NA"/>
    <m/>
    <m/>
    <m/>
    <m/>
    <n v="0"/>
    <n v="0"/>
    <n v="0"/>
    <n v="0"/>
    <n v="0"/>
    <n v="0"/>
    <n v="0"/>
    <m/>
    <s v="Eating something while on a spruce branch. "/>
    <m/>
    <m/>
  </r>
  <r>
    <s v="DSCN1112"/>
    <s v="CC0926_1"/>
    <n v="1"/>
    <n v="1"/>
    <s v="CCAMP"/>
    <d v="2018-09-26T00:00:00"/>
    <s v="September"/>
    <x v="1"/>
    <d v="1899-12-30T00:16:00"/>
    <s v="Overcast"/>
    <x v="11"/>
    <s v="Foraging"/>
    <s v="NA"/>
    <s v="unknown"/>
    <m/>
    <n v="0"/>
    <s v="Unknown"/>
    <s v="Unknown"/>
    <s v="NA"/>
    <s v="NA"/>
    <s v="NA"/>
    <s v="NA"/>
    <s v="NA"/>
    <m/>
    <m/>
    <s v="NA"/>
    <s v="NA"/>
    <m/>
    <m/>
    <m/>
    <m/>
    <n v="0"/>
    <n v="0"/>
    <n v="0"/>
    <n v="0"/>
    <n v="3"/>
    <n v="0"/>
    <n v="3"/>
    <m/>
    <m/>
    <m/>
    <m/>
  </r>
  <r>
    <s v="DSCN1182"/>
    <s v="M4R0927_6"/>
    <n v="6"/>
    <n v="1"/>
    <s v="M4Roadside"/>
    <d v="2018-09-27T00:00:00"/>
    <s v="September"/>
    <x v="1"/>
    <d v="1899-12-30T00:30:00"/>
    <s v="Overcast"/>
    <x v="11"/>
    <s v="Foraging/food handling"/>
    <s v="Spruce"/>
    <n v="1"/>
    <m/>
    <n v="0"/>
    <s v="Animal flesh"/>
    <s v="Animal flesh"/>
    <s v="Interior spruce foliage"/>
    <s v="NA"/>
    <s v="NA"/>
    <s v="NA"/>
    <s v="NA"/>
    <m/>
    <m/>
    <s v="NA"/>
    <s v="NA"/>
    <m/>
    <m/>
    <m/>
    <m/>
    <n v="0"/>
    <n v="16"/>
    <n v="16"/>
    <n v="0"/>
    <n v="0"/>
    <n v="0"/>
    <n v="16"/>
    <m/>
    <m/>
    <m/>
    <m/>
  </r>
  <r>
    <s v="DSCN1212"/>
    <s v="M2370927_5"/>
    <n v="5"/>
    <n v="1"/>
    <s v="Mile 237"/>
    <d v="2018-09-27T00:00:00"/>
    <s v="September"/>
    <x v="1"/>
    <d v="1899-12-30T00:31:00"/>
    <s v="Partly Sunny"/>
    <x v="11"/>
    <s v="Foraging/caching"/>
    <s v="Spruce"/>
    <n v="1"/>
    <m/>
    <n v="1"/>
    <s v="Unknown"/>
    <s v="Unknown"/>
    <s v="Ground"/>
    <s v="Exterior spruce branch under bark/witch hair"/>
    <s v="Spruce"/>
    <s v="Exterior"/>
    <s v="Under bark and witch hair "/>
    <m/>
    <m/>
    <n v="10"/>
    <n v="63.724850000000004"/>
    <n v="148.88839999999999"/>
    <m/>
    <m/>
    <m/>
    <n v="0"/>
    <n v="0"/>
    <n v="0"/>
    <n v="0"/>
    <n v="2"/>
    <n v="0"/>
    <n v="2"/>
    <m/>
    <s v="Suspected B&amp;Ut unconfirmed cache "/>
    <m/>
    <m/>
  </r>
  <r>
    <s v="DSCN1234"/>
    <s v="CC0928_1"/>
    <n v="1"/>
    <n v="1"/>
    <s v="CCAMP"/>
    <d v="2018-09-28T00:00:00"/>
    <s v="September"/>
    <x v="1"/>
    <d v="1899-12-30T00:13:00"/>
    <s v="Full sun"/>
    <x v="11"/>
    <s v="Caching"/>
    <s v="Spruce"/>
    <n v="0"/>
    <m/>
    <n v="1"/>
    <s v="Unknown"/>
    <s v="Unknown"/>
    <s v="unknown"/>
    <s v="Exterior spruce branch under bark"/>
    <s v="Spruce"/>
    <s v="Exterior"/>
    <s v="Under bark"/>
    <m/>
    <m/>
    <s v="unknown"/>
    <n v="63.723210000000002"/>
    <n v="148.95068000000001"/>
    <m/>
    <m/>
    <m/>
    <n v="0"/>
    <n v="0"/>
    <n v="0"/>
    <n v="0"/>
    <n v="0"/>
    <n v="0"/>
    <n v="0"/>
    <m/>
    <m/>
    <m/>
    <m/>
  </r>
  <r>
    <s v="DSCN405"/>
    <s v="M2370907_4"/>
    <n v="4"/>
    <n v="1"/>
    <s v="Mile 237"/>
    <d v="2018-09-07T00:00:00"/>
    <s v="September"/>
    <x v="1"/>
    <d v="1899-12-30T01:30:00"/>
    <s v="Overcast"/>
    <x v="11"/>
    <s v="Cache recovery/foraging"/>
    <s v="Aspen"/>
    <n v="1"/>
    <m/>
    <n v="0"/>
    <s v="Animal flesh"/>
    <s v="Animal flesh"/>
    <s v="Exterior aspen branch"/>
    <s v="NA"/>
    <s v="NA"/>
    <s v="NA"/>
    <s v="NA"/>
    <m/>
    <m/>
    <s v="NA"/>
    <s v="NA"/>
    <m/>
    <m/>
    <m/>
    <m/>
    <n v="0"/>
    <n v="0"/>
    <n v="0"/>
    <n v="0"/>
    <n v="12"/>
    <n v="0"/>
    <n v="12"/>
    <m/>
    <m/>
    <m/>
    <m/>
  </r>
  <r>
    <s v="DSCN405"/>
    <s v="M2370907_4"/>
    <n v="4"/>
    <n v="1"/>
    <s v="Mile 237"/>
    <d v="2018-09-07T00:00:00"/>
    <s v="September"/>
    <x v="1"/>
    <d v="1899-12-30T01:30:00"/>
    <s v="Overcast"/>
    <x v="11"/>
    <s v="Cache recovery/foraging"/>
    <s v="Aspen"/>
    <n v="1"/>
    <m/>
    <n v="0"/>
    <s v="Animal flesh"/>
    <s v="Animal flesh"/>
    <s v="Exterior aspen branch"/>
    <s v="NA"/>
    <s v="NA"/>
    <s v="NA"/>
    <s v="NA"/>
    <m/>
    <m/>
    <s v="NA"/>
    <s v="NA"/>
    <m/>
    <m/>
    <m/>
    <m/>
    <n v="0"/>
    <n v="0"/>
    <n v="0"/>
    <n v="0"/>
    <n v="4"/>
    <n v="0"/>
    <n v="4"/>
    <m/>
    <m/>
    <m/>
    <m/>
  </r>
  <r>
    <s v="No video"/>
    <m/>
    <m/>
    <m/>
    <s v="Mile 3.5"/>
    <d v="2018-09-03T00:00:00"/>
    <s v="September"/>
    <x v="1"/>
    <s v="NA"/>
    <m/>
    <x v="11"/>
    <s v="Caching"/>
    <s v="Spruce"/>
    <n v="0"/>
    <m/>
    <n v="1"/>
    <s v="Unknown"/>
    <s v="Unknown"/>
    <s v="unknown"/>
    <s v="Spruce"/>
    <s v="Spruce"/>
    <s v="Unknown"/>
    <s v="Unknown"/>
    <m/>
    <m/>
    <s v="unknown"/>
    <n v="63.72287"/>
    <n v="148.98138"/>
    <m/>
    <m/>
    <m/>
    <n v="0"/>
    <n v="0"/>
    <n v="0"/>
    <n v="0"/>
    <n v="0"/>
    <n v="0"/>
    <n v="0"/>
    <m/>
    <s v="Don't have video, B&amp;Ut gps'd cahce location.  "/>
    <n v="0"/>
    <n v="0"/>
  </r>
  <r>
    <s v="No video"/>
    <m/>
    <m/>
    <m/>
    <s v="B&amp;U"/>
    <d v="2018-09-15T00:00:00"/>
    <s v="September"/>
    <x v="1"/>
    <m/>
    <s v="Mostly sunny"/>
    <x v="11"/>
    <s v="Caching"/>
    <s v="Spruce"/>
    <n v="0"/>
    <m/>
    <n v="1"/>
    <s v="Animal flesh"/>
    <s v="Animal flesh (Snowshoe hare)"/>
    <s v="NA"/>
    <s v="Spruce"/>
    <s v="Spruce"/>
    <s v="Unknown"/>
    <s v="Unknown"/>
    <m/>
    <m/>
    <n v="28"/>
    <n v="63.725029999999997"/>
    <n v="148.95626999999999"/>
    <m/>
    <m/>
    <m/>
    <n v="0"/>
    <n v="0"/>
    <n v="0"/>
    <n v="0"/>
    <n v="0"/>
    <n v="0"/>
    <n v="0"/>
    <m/>
    <s v="Did not record cache on cemera B&amp;Ut witnessed with binoculars "/>
    <m/>
    <m/>
  </r>
  <r>
    <s v="No video"/>
    <m/>
    <m/>
    <m/>
    <s v="B&amp;U"/>
    <d v="2018-09-23T00:00:00"/>
    <s v="September"/>
    <x v="1"/>
    <m/>
    <s v="Overcast"/>
    <x v="11"/>
    <s v="Caching"/>
    <s v="Spruce"/>
    <n v="1"/>
    <m/>
    <n v="1"/>
    <s v="Berry"/>
    <s v="Berry"/>
    <s v="Ground"/>
    <s v="Interior spruce under bark"/>
    <s v="Spruce"/>
    <s v="Interior"/>
    <s v="Under bark"/>
    <m/>
    <m/>
    <n v="5"/>
    <n v="63.725430000000003"/>
    <n v="148.9597"/>
    <m/>
    <m/>
    <m/>
    <n v="0"/>
    <n v="0"/>
    <n v="0"/>
    <n v="0"/>
    <n v="0"/>
    <n v="0"/>
    <n v="0"/>
    <m/>
    <s v="Witnessed foraging/caching event outside of work.  Noted tree and returned later to record GPS"/>
    <m/>
    <m/>
  </r>
  <r>
    <s v="No video "/>
    <m/>
    <m/>
    <m/>
    <s v="M4Roadside"/>
    <d v="2018-09-05T00:00:00"/>
    <s v="September"/>
    <x v="1"/>
    <m/>
    <s v="Partly Sunny"/>
    <x v="11"/>
    <s v="Caching"/>
    <s v="Spruce"/>
    <n v="0"/>
    <m/>
    <n v="1"/>
    <s v="Berry"/>
    <s v="Berry (Blueberry)"/>
    <s v="Ground"/>
    <s v="Spruce foliage"/>
    <s v="Spruce"/>
    <s v="Unknown"/>
    <s v="Foliage"/>
    <m/>
    <m/>
    <s v="Unknown"/>
    <n v="63.72148"/>
    <n v="148.98616000000001"/>
    <m/>
    <m/>
    <m/>
    <n v="0"/>
    <n v="0"/>
    <n v="0"/>
    <n v="0"/>
    <n v="0"/>
    <n v="0"/>
    <n v="0"/>
    <m/>
    <s v="Caching blueberries from previous video "/>
    <m/>
    <m/>
  </r>
  <r>
    <s v="DSCN0281"/>
    <s v="M4R0905_2"/>
    <n v="2"/>
    <n v="1"/>
    <s v="M4Roadside"/>
    <d v="2018-09-05T00:00:00"/>
    <s v="September"/>
    <x v="1"/>
    <d v="1899-12-30T01:46:00"/>
    <s v="Partly Sunny"/>
    <x v="12"/>
    <s v="Caching"/>
    <s v="Spruce"/>
    <n v="1"/>
    <m/>
    <n v="1"/>
    <s v="Unknown"/>
    <s v="Unknown"/>
    <s v="Ground"/>
    <s v="Exterior spruce branch/witch hair moss"/>
    <s v="Spruce"/>
    <s v="Exterior"/>
    <s v="Under bark and witch hair "/>
    <m/>
    <m/>
    <s v="Unknown"/>
    <s v="Did not mark (did not recognize as cache while in field)"/>
    <m/>
    <m/>
    <m/>
    <m/>
    <n v="0"/>
    <n v="0"/>
    <n v="0"/>
    <n v="0"/>
    <n v="10"/>
    <n v="0"/>
    <n v="10"/>
    <m/>
    <s v="Decent cache video"/>
    <m/>
    <m/>
  </r>
  <r>
    <s v="DSCN1004"/>
    <s v="M4R0924_1"/>
    <n v="1"/>
    <n v="1"/>
    <s v="M4Roadside"/>
    <d v="2018-09-24T00:00:00"/>
    <s v="September"/>
    <x v="1"/>
    <d v="1899-12-30T00:20:00"/>
    <s v="Overcast, light rain"/>
    <x v="12"/>
    <s v="Foraging"/>
    <s v="Spruce"/>
    <n v="1"/>
    <m/>
    <n v="0"/>
    <s v="Unknown"/>
    <s v="Unknown"/>
    <s v="Exterior foliated spruce"/>
    <s v="NA"/>
    <s v="NA"/>
    <s v="NA"/>
    <s v="NA"/>
    <m/>
    <m/>
    <s v="NA"/>
    <s v="NA"/>
    <m/>
    <m/>
    <m/>
    <m/>
    <n v="0"/>
    <n v="5"/>
    <n v="0"/>
    <n v="5"/>
    <n v="0"/>
    <n v="0"/>
    <n v="5"/>
    <s v="probing"/>
    <m/>
    <n v="1"/>
    <n v="0"/>
  </r>
  <r>
    <s v="DSCN1179"/>
    <s v="M4R0927_5"/>
    <n v="5"/>
    <n v="1"/>
    <s v="M4Roadside"/>
    <d v="2018-09-27T00:00:00"/>
    <s v="September"/>
    <x v="1"/>
    <d v="1899-12-30T00:07:00"/>
    <s v="Overcast"/>
    <x v="12"/>
    <s v="Foraging"/>
    <s v="NA"/>
    <n v="1"/>
    <m/>
    <n v="0"/>
    <s v="Unknown"/>
    <s v="Unknown"/>
    <s v="Ground"/>
    <s v="NA"/>
    <s v="NA"/>
    <s v="NA"/>
    <s v="NA"/>
    <m/>
    <m/>
    <s v="NA"/>
    <s v="NA"/>
    <m/>
    <m/>
    <m/>
    <m/>
    <n v="0"/>
    <n v="0"/>
    <n v="0"/>
    <n v="0"/>
    <n v="7"/>
    <n v="0"/>
    <n v="7"/>
    <m/>
    <m/>
    <m/>
    <m/>
  </r>
  <r>
    <s v="No video "/>
    <m/>
    <m/>
    <m/>
    <s v="M4Roadside"/>
    <d v="2018-09-05T00:00:00"/>
    <s v="September"/>
    <x v="1"/>
    <m/>
    <s v="Partly Sunny"/>
    <x v="12"/>
    <s v="Caching"/>
    <s v="Spruce"/>
    <n v="0"/>
    <m/>
    <n v="1"/>
    <s v="Unknown"/>
    <s v="Unknown"/>
    <s v="Unknown"/>
    <s v="Spruce foliage"/>
    <s v="Spruce"/>
    <s v="Unknown"/>
    <s v="Foliage"/>
    <m/>
    <m/>
    <s v="Unknown"/>
    <n v="63.721179999999997"/>
    <n v="148.98785000000001"/>
    <m/>
    <m/>
    <m/>
    <n v="0"/>
    <n v="0"/>
    <n v="0"/>
    <n v="0"/>
    <n v="0"/>
    <n v="0"/>
    <n v="0"/>
    <m/>
    <s v="Tucker saw the bird cache with his binocculars "/>
    <m/>
    <m/>
  </r>
  <r>
    <s v="DSCN0180"/>
    <s v="TC0903_1"/>
    <n v="1"/>
    <n v="1"/>
    <s v="Trail Camp"/>
    <d v="2018-09-03T00:00:00"/>
    <s v="September"/>
    <x v="1"/>
    <d v="1899-12-30T00:34:00"/>
    <m/>
    <x v="31"/>
    <s v="Foraging"/>
    <s v="NA"/>
    <n v="1"/>
    <m/>
    <n v="0"/>
    <s v="Human food"/>
    <s v="Human food"/>
    <s v="Ground"/>
    <s v="NA"/>
    <s v="NA"/>
    <s v="NA"/>
    <s v="NA"/>
    <m/>
    <m/>
    <s v="NA"/>
    <s v="NA"/>
    <m/>
    <m/>
    <m/>
    <m/>
    <n v="0"/>
    <n v="0"/>
    <n v="0"/>
    <n v="0"/>
    <n v="0"/>
    <n v="0"/>
    <n v="0"/>
    <s v="Attending known food item"/>
    <s v="34sec eating mystery food"/>
    <n v="0"/>
    <n v="0"/>
  </r>
  <r>
    <s v="DSCN0196"/>
    <s v="TC0903_6"/>
    <n v="6"/>
    <n v="2"/>
    <s v="Trail Camp"/>
    <d v="2018-09-03T00:00:00"/>
    <s v="September"/>
    <x v="1"/>
    <d v="1899-12-30T02:02:00"/>
    <m/>
    <x v="31"/>
    <s v="Caching"/>
    <s v="Spruce"/>
    <n v="1"/>
    <m/>
    <n v="1"/>
    <s v="Unknown"/>
    <s v="Unknown (probably berry)"/>
    <s v="Ground"/>
    <s v="Interior bare spruce branch"/>
    <s v="Spruce"/>
    <s v="Interior"/>
    <s v="Under bark"/>
    <m/>
    <m/>
    <s v="Unknown"/>
    <n v="63.730229999999999"/>
    <n v="148.90411"/>
    <m/>
    <m/>
    <m/>
    <n v="0"/>
    <n v="0"/>
    <n v="0"/>
    <n v="0"/>
    <n v="23"/>
    <n v="0"/>
    <n v="23"/>
    <m/>
    <s v="The unbanded bird foraged, the banded bird cached.  "/>
    <n v="0"/>
    <n v="0"/>
  </r>
  <r>
    <s v="DSCN0986"/>
    <s v="TC0921_1"/>
    <n v="1"/>
    <n v="1"/>
    <s v="Trail Camp"/>
    <d v="2018-09-21T00:00:00"/>
    <s v="September"/>
    <x v="1"/>
    <d v="1899-12-30T00:21:00"/>
    <s v="Partly Sunny"/>
    <x v="31"/>
    <s v="Foraging"/>
    <s v="Spruce"/>
    <n v="1"/>
    <m/>
    <n v="0"/>
    <s v="Unknown"/>
    <s v="Unknown"/>
    <s v="Spruce branch under bark"/>
    <s v="NA"/>
    <s v="NA"/>
    <s v="NA"/>
    <s v="NA"/>
    <m/>
    <m/>
    <s v="NA"/>
    <s v="NA"/>
    <m/>
    <m/>
    <m/>
    <m/>
    <n v="11"/>
    <n v="0"/>
    <n v="0"/>
    <n v="11"/>
    <n v="0"/>
    <n v="0"/>
    <n v="11"/>
    <s v="probing"/>
    <m/>
    <m/>
    <m/>
  </r>
  <r>
    <s v="DSCN0989"/>
    <s v="TC0921_2"/>
    <n v="2"/>
    <n v="1"/>
    <s v="Trail Camp"/>
    <d v="2018-09-21T00:00:00"/>
    <s v="September"/>
    <x v="1"/>
    <d v="1899-12-30T00:48:00"/>
    <s v="Partly Sunny"/>
    <x v="31"/>
    <s v="Foraging/caching"/>
    <s v="Spruce"/>
    <n v="1"/>
    <m/>
    <n v="0"/>
    <s v="Human food"/>
    <s v="Human food"/>
    <s v="Ground"/>
    <s v="NA"/>
    <s v="NA"/>
    <s v="NA"/>
    <s v="NA"/>
    <m/>
    <m/>
    <s v="NA"/>
    <s v="NA"/>
    <m/>
    <m/>
    <m/>
    <m/>
    <n v="0"/>
    <n v="0"/>
    <n v="0"/>
    <n v="0"/>
    <n v="34"/>
    <n v="0"/>
    <n v="34"/>
    <m/>
    <m/>
    <m/>
    <m/>
  </r>
  <r>
    <s v="DSCN0990"/>
    <s v="TC0921_3"/>
    <n v="3"/>
    <n v="1"/>
    <s v="Trail Camp"/>
    <d v="2018-09-21T00:00:00"/>
    <s v="September"/>
    <x v="1"/>
    <d v="1899-12-30T00:04:00"/>
    <s v="Partly Sunny"/>
    <x v="31"/>
    <s v="Caching"/>
    <s v="Spruce"/>
    <n v="0"/>
    <m/>
    <n v="1"/>
    <s v="Human food"/>
    <s v="Human food"/>
    <s v="Ground"/>
    <s v="Exterior spruce foliage"/>
    <s v="Spruce"/>
    <s v="Exterior"/>
    <s v="Foliage"/>
    <m/>
    <m/>
    <n v="17"/>
    <n v="63.731529999999999"/>
    <n v="148.90143"/>
    <m/>
    <m/>
    <m/>
    <n v="0"/>
    <n v="0"/>
    <n v="0"/>
    <n v="0"/>
    <n v="0"/>
    <n v="0"/>
    <n v="0"/>
    <m/>
    <s v="Cached food from previous video. "/>
    <m/>
    <m/>
  </r>
  <r>
    <s v="DSCN0182"/>
    <s v="TC0903_3"/>
    <n v="3"/>
    <n v="1"/>
    <s v="Trail Camp"/>
    <d v="2018-09-03T00:00:00"/>
    <s v="September"/>
    <x v="1"/>
    <d v="1899-12-30T00:36:00"/>
    <m/>
    <x v="48"/>
    <s v="Foraging"/>
    <s v="NA"/>
    <n v="1"/>
    <m/>
    <n v="0"/>
    <s v="Human food"/>
    <s v="Human food"/>
    <s v="Ground"/>
    <s v="NA"/>
    <s v="NA"/>
    <s v="NA"/>
    <s v="NA"/>
    <m/>
    <m/>
    <s v="NA"/>
    <s v="NA"/>
    <m/>
    <m/>
    <m/>
    <m/>
    <n v="0"/>
    <n v="0"/>
    <n v="0"/>
    <n v="0"/>
    <n v="14"/>
    <n v="0"/>
    <n v="14"/>
    <s v="searching"/>
    <s v="~10 sec each for foraging.  "/>
    <n v="0"/>
    <n v="0"/>
  </r>
  <r>
    <s v="DSCN0197"/>
    <s v="TC0903_7"/>
    <n v="7"/>
    <n v="1"/>
    <s v="Trail Camp"/>
    <d v="2018-09-03T00:00:00"/>
    <s v="September"/>
    <x v="1"/>
    <d v="1899-12-30T00:24:00"/>
    <m/>
    <x v="49"/>
    <s v="Foraging"/>
    <s v="NA"/>
    <n v="1"/>
    <m/>
    <n v="0"/>
    <s v="Mushroom"/>
    <s v="Mushroom (Bolet)"/>
    <s v="Ground"/>
    <s v="NA"/>
    <s v="NA"/>
    <s v="NA"/>
    <s v="NA"/>
    <m/>
    <m/>
    <s v="NA"/>
    <s v="NA"/>
    <m/>
    <m/>
    <m/>
    <m/>
    <n v="0"/>
    <n v="0"/>
    <n v="0"/>
    <n v="0"/>
    <n v="0"/>
    <n v="0"/>
    <n v="0"/>
    <m/>
    <s v="Eye witnessed eating from featured mushroom B&amp;Ut did not capture on video"/>
    <n v="0"/>
    <n v="0"/>
  </r>
  <r>
    <s v="DSCN0820"/>
    <s v="M3.50916_1"/>
    <n v="1"/>
    <n v="1"/>
    <s v="Mile 3.5"/>
    <d v="2018-09-16T00:00:00"/>
    <s v="September"/>
    <x v="1"/>
    <d v="1899-12-30T00:09:00"/>
    <s v="Overcast"/>
    <x v="50"/>
    <s v="Foraging"/>
    <s v="NA"/>
    <s v="unknown"/>
    <m/>
    <n v="0"/>
    <s v="Unknown"/>
    <s v="Unknown"/>
    <s v="NA"/>
    <s v="NA"/>
    <s v="NA"/>
    <s v="NA"/>
    <s v="NA"/>
    <m/>
    <m/>
    <s v="NA"/>
    <s v="NA"/>
    <m/>
    <m/>
    <m/>
    <m/>
    <n v="0"/>
    <n v="0"/>
    <n v="0"/>
    <n v="0"/>
    <n v="8"/>
    <n v="0"/>
    <n v="8"/>
    <m/>
    <m/>
    <m/>
    <m/>
  </r>
  <r>
    <s v="DSCN0364"/>
    <s v="MC0906_2"/>
    <n v="2"/>
    <n v="1"/>
    <s v="Mercantile"/>
    <d v="2018-09-06T00:00:00"/>
    <s v="September"/>
    <x v="1"/>
    <d v="1899-12-30T00:18:00"/>
    <s v="Overcast"/>
    <x v="13"/>
    <s v="Foraging"/>
    <s v="Aspen"/>
    <s v="unknown"/>
    <m/>
    <n v="0"/>
    <m/>
    <s v="NA"/>
    <s v="NA"/>
    <s v="NA"/>
    <s v="NA"/>
    <s v="NA"/>
    <s v="NA"/>
    <m/>
    <m/>
    <s v="NA"/>
    <s v="NA"/>
    <m/>
    <m/>
    <m/>
    <m/>
    <n v="15"/>
    <n v="0"/>
    <n v="15"/>
    <n v="0"/>
    <n v="0"/>
    <n v="0"/>
    <n v="15"/>
    <s v="Searching/probing "/>
    <m/>
    <m/>
    <m/>
  </r>
  <r>
    <s v="DSCN0372"/>
    <s v="MC0906_5"/>
    <n v="5"/>
    <n v="1"/>
    <s v="Mercantile"/>
    <d v="2018-09-06T00:00:00"/>
    <s v="September"/>
    <x v="1"/>
    <d v="1899-12-30T00:31:00"/>
    <s v="Overcast"/>
    <x v="13"/>
    <s v="Foraging"/>
    <s v="Spruce, Aspen"/>
    <s v="unknown"/>
    <m/>
    <n v="0"/>
    <m/>
    <s v="NA"/>
    <s v="NA"/>
    <s v="NA"/>
    <s v="NA"/>
    <s v="NA"/>
    <s v="NA"/>
    <m/>
    <m/>
    <s v="NA"/>
    <s v="NA"/>
    <m/>
    <m/>
    <m/>
    <m/>
    <n v="11"/>
    <n v="16"/>
    <n v="11"/>
    <n v="16"/>
    <n v="0"/>
    <n v="0"/>
    <n v="27"/>
    <s v="Searching "/>
    <m/>
    <m/>
    <m/>
  </r>
  <r>
    <s v="DSCN0373"/>
    <s v="MC0906_6"/>
    <n v="6"/>
    <n v="1"/>
    <s v="Mercantile"/>
    <d v="2018-09-06T00:00:00"/>
    <s v="September"/>
    <x v="1"/>
    <d v="1899-12-30T00:07:00"/>
    <s v="Overcast"/>
    <x v="13"/>
    <s v="Foraging"/>
    <s v="Aspen"/>
    <n v="1"/>
    <m/>
    <n v="0"/>
    <s v="Unknown"/>
    <s v="Unknown"/>
    <s v="Aspen branch under bark"/>
    <s v="NA"/>
    <s v="NA"/>
    <s v="NA"/>
    <s v="NA"/>
    <m/>
    <m/>
    <s v="NA"/>
    <s v="NA"/>
    <m/>
    <m/>
    <m/>
    <m/>
    <n v="7"/>
    <n v="0"/>
    <n v="0"/>
    <n v="7"/>
    <n v="0"/>
    <n v="0"/>
    <n v="7"/>
    <s v="probing"/>
    <m/>
    <n v="1"/>
    <n v="0"/>
  </r>
  <r>
    <s v="DSCN0376"/>
    <s v="MC0906_7"/>
    <n v="7"/>
    <n v="1"/>
    <s v="Mercantile"/>
    <d v="2018-09-06T00:00:00"/>
    <s v="September"/>
    <x v="1"/>
    <d v="1899-12-30T00:47:00"/>
    <s v="Overcast"/>
    <x v="13"/>
    <s v="Foraging"/>
    <s v="NA"/>
    <n v="1"/>
    <m/>
    <n v="1"/>
    <s v="Mushroom"/>
    <s v="Mushroom"/>
    <s v="Ground"/>
    <s v="Exterior spruce foliage"/>
    <s v="Spruce"/>
    <s v="Exterior"/>
    <s v="Foliage"/>
    <m/>
    <m/>
    <s v="NA"/>
    <s v="Later moved by second bird.  "/>
    <m/>
    <m/>
    <m/>
    <m/>
    <n v="0"/>
    <n v="0"/>
    <n v="0"/>
    <n v="0"/>
    <n v="25"/>
    <n v="0"/>
    <n v="25"/>
    <m/>
    <m/>
    <m/>
    <m/>
  </r>
  <r>
    <s v="DSCN0382"/>
    <s v="MC0906_12"/>
    <n v="12"/>
    <n v="1"/>
    <s v="Mercantile"/>
    <d v="2018-09-06T00:00:00"/>
    <s v="September"/>
    <x v="1"/>
    <d v="1899-12-30T02:09:00"/>
    <s v="Overcast"/>
    <x v="13"/>
    <s v="Caching"/>
    <s v="Spruce"/>
    <n v="1"/>
    <m/>
    <n v="1"/>
    <s v="Unknown"/>
    <s v="Unknown"/>
    <s v="Exterior spruce foliage "/>
    <s v="Interior spruce foliage"/>
    <s v="Spruce"/>
    <s v="Interior"/>
    <s v="Foliage"/>
    <m/>
    <m/>
    <s v="Unknown"/>
    <n v="63.731960000000001"/>
    <n v="148.89534"/>
    <m/>
    <m/>
    <m/>
    <n v="6"/>
    <n v="6"/>
    <n v="0"/>
    <n v="12"/>
    <n v="21"/>
    <n v="0"/>
    <n v="33"/>
    <m/>
    <s v="Cache is not from the observed food acquisition in video.  "/>
    <m/>
    <m/>
  </r>
  <r>
    <s v="DSCN0418"/>
    <s v="MC0907_1"/>
    <n v="1"/>
    <n v="1"/>
    <s v="Mercantile"/>
    <d v="2018-09-07T00:00:00"/>
    <s v="September"/>
    <x v="1"/>
    <d v="1899-12-30T00:17:00"/>
    <s v="Overcast"/>
    <x v="13"/>
    <s v="Foraging"/>
    <s v="NA"/>
    <n v="1"/>
    <m/>
    <n v="0"/>
    <s v="Mushroom"/>
    <s v="Mushroom (amanita)"/>
    <s v="Ground"/>
    <s v="NA"/>
    <s v="NA"/>
    <s v="NA"/>
    <s v="NA"/>
    <m/>
    <m/>
    <s v="NA"/>
    <s v="NA"/>
    <m/>
    <m/>
    <m/>
    <m/>
    <n v="0"/>
    <n v="0"/>
    <n v="0"/>
    <n v="0"/>
    <n v="8"/>
    <n v="0"/>
    <n v="8"/>
    <m/>
    <m/>
    <m/>
    <m/>
  </r>
  <r>
    <s v="DSCN0419"/>
    <s v="MC0907_2"/>
    <n v="2"/>
    <n v="1"/>
    <s v="Mercantile"/>
    <d v="2018-09-07T00:00:00"/>
    <s v="September"/>
    <x v="1"/>
    <d v="1899-12-30T01:33:00"/>
    <s v="Overcast"/>
    <x v="13"/>
    <s v="Food handling/caching"/>
    <s v="Spruce"/>
    <n v="0"/>
    <m/>
    <n v="1"/>
    <s v="Mushroom"/>
    <s v="Mushroom (amanita)"/>
    <s v="Ground"/>
    <s v="Exterior spruce foliage"/>
    <s v="Spruce"/>
    <s v="Exterior"/>
    <s v="Foliage"/>
    <m/>
    <m/>
    <s v="unknown"/>
    <n v="63.731299999999997"/>
    <n v="148.89637999999999"/>
    <m/>
    <m/>
    <m/>
    <n v="0"/>
    <n v="0"/>
    <n v="0"/>
    <n v="0"/>
    <n v="0"/>
    <n v="0"/>
    <n v="0"/>
    <m/>
    <s v="Tearing up and caching bits of mushroom from previous video.  "/>
    <m/>
    <m/>
  </r>
  <r>
    <s v="DSCN0422"/>
    <s v="MC0907_3"/>
    <n v="3"/>
    <n v="1"/>
    <s v="Mercantile"/>
    <d v="2018-09-07T00:00:00"/>
    <s v="September"/>
    <x v="1"/>
    <d v="1899-12-30T01:24:00"/>
    <s v="Overcast"/>
    <x v="13"/>
    <s v="Foraging"/>
    <s v="Spruce"/>
    <n v="1"/>
    <m/>
    <n v="0"/>
    <s v="Mushroom"/>
    <s v="Mushroom (amanita)"/>
    <s v="NA"/>
    <s v="NA"/>
    <s v="NA"/>
    <s v="NA"/>
    <s v="NA"/>
    <m/>
    <m/>
    <s v="NA"/>
    <s v="NA"/>
    <m/>
    <m/>
    <m/>
    <m/>
    <n v="0"/>
    <n v="0"/>
    <n v="0"/>
    <n v="0"/>
    <n v="0"/>
    <n v="0"/>
    <n v="0"/>
    <m/>
    <s v="Tearing up bits of mushroom from previous video"/>
    <m/>
    <m/>
  </r>
  <r>
    <s v="DSCN0441"/>
    <s v="MC0907_10"/>
    <n v="10"/>
    <n v="1"/>
    <s v="Mercantile"/>
    <d v="2018-09-07T00:00:00"/>
    <s v="September"/>
    <x v="1"/>
    <d v="1899-12-30T01:14:00"/>
    <s v="Overcast"/>
    <x v="13"/>
    <s v="Foraging"/>
    <s v="Spruce"/>
    <s v="unknown"/>
    <m/>
    <n v="0"/>
    <m/>
    <s v="NA"/>
    <s v="NA"/>
    <s v="NA"/>
    <s v="NA"/>
    <s v="NA"/>
    <s v="NA"/>
    <m/>
    <m/>
    <s v="NA"/>
    <s v="NA"/>
    <m/>
    <m/>
    <m/>
    <m/>
    <n v="9"/>
    <n v="0"/>
    <n v="9"/>
    <n v="0"/>
    <n v="0"/>
    <n v="0"/>
    <n v="9"/>
    <s v="probing"/>
    <m/>
    <n v="3"/>
    <n v="0"/>
  </r>
  <r>
    <s v="DSCN0442"/>
    <s v="MC0907_11"/>
    <n v="11"/>
    <n v="1"/>
    <s v="Mercantile"/>
    <d v="2018-09-07T00:00:00"/>
    <s v="September"/>
    <x v="1"/>
    <d v="1899-12-30T00:50:00"/>
    <s v="Overcast"/>
    <x v="13"/>
    <s v="Foraging"/>
    <s v="Spruce"/>
    <n v="1"/>
    <m/>
    <n v="0"/>
    <s v="Unknown"/>
    <s v="Unknown"/>
    <s v="bare spruce branch"/>
    <s v="NA"/>
    <s v="NA"/>
    <s v="NA"/>
    <s v="NA"/>
    <m/>
    <m/>
    <s v="NA"/>
    <s v="NA"/>
    <m/>
    <m/>
    <m/>
    <m/>
    <n v="25"/>
    <n v="0"/>
    <n v="0"/>
    <n v="25"/>
    <n v="0"/>
    <n v="0"/>
    <n v="25"/>
    <s v="Gleaning"/>
    <m/>
    <n v="0"/>
    <n v="5"/>
  </r>
  <r>
    <s v="DSCN0443"/>
    <s v="MC0907_12"/>
    <n v="12"/>
    <n v="3"/>
    <s v="Mercantile"/>
    <d v="2018-09-07T00:00:00"/>
    <s v="September"/>
    <x v="1"/>
    <d v="1899-12-30T01:28:00"/>
    <s v="Overcast"/>
    <x v="13"/>
    <s v="Foraging"/>
    <s v="Spruce"/>
    <n v="1"/>
    <m/>
    <n v="0"/>
    <s v="Unknown"/>
    <s v="Unknown"/>
    <s v="Ground"/>
    <s v="NA"/>
    <s v="NA"/>
    <s v="NA"/>
    <s v="NA"/>
    <m/>
    <m/>
    <s v="NA"/>
    <s v="NA"/>
    <m/>
    <m/>
    <m/>
    <m/>
    <n v="0"/>
    <n v="0"/>
    <n v="0"/>
    <n v="0"/>
    <n v="0"/>
    <n v="0"/>
    <n v="0"/>
    <s v="Searching "/>
    <m/>
    <m/>
    <m/>
  </r>
  <r>
    <s v="DSCN0443"/>
    <s v="MC0907_12"/>
    <n v="12"/>
    <n v="2"/>
    <s v="Mercantile"/>
    <d v="2018-09-07T00:00:00"/>
    <s v="September"/>
    <x v="1"/>
    <d v="1899-12-30T01:28:00"/>
    <s v="Overcast"/>
    <x v="13"/>
    <s v="Caching"/>
    <s v="Spruce"/>
    <n v="0"/>
    <m/>
    <n v="1"/>
    <s v="Unknown"/>
    <s v="Unknown"/>
    <s v="unknown"/>
    <s v="Spruce trunk under bark"/>
    <s v="Spruce"/>
    <s v="Trunk"/>
    <s v="Under bark"/>
    <m/>
    <m/>
    <s v="Unknown"/>
    <s v="Did not mark (did not recognize as cache while in field)"/>
    <m/>
    <m/>
    <m/>
    <m/>
    <n v="0"/>
    <n v="0"/>
    <n v="0"/>
    <n v="0"/>
    <n v="0"/>
    <n v="0"/>
    <n v="0"/>
    <s v="Searching "/>
    <m/>
    <m/>
    <m/>
  </r>
  <r>
    <s v="DSCN0612"/>
    <s v="MC0911_3"/>
    <n v="3"/>
    <n v="1"/>
    <s v="Mercantile"/>
    <d v="2018-09-11T00:00:00"/>
    <s v="September"/>
    <x v="1"/>
    <d v="1899-12-30T00:05:00"/>
    <s v="Full sun"/>
    <x v="13"/>
    <s v="Foraging"/>
    <s v="Aspen"/>
    <n v="1"/>
    <m/>
    <n v="0"/>
    <s v="Unknown"/>
    <s v="Unknown"/>
    <s v="Aspen branch"/>
    <s v="NA"/>
    <s v="NA"/>
    <s v="NA"/>
    <s v="NA"/>
    <m/>
    <m/>
    <s v="NA"/>
    <s v="NA"/>
    <m/>
    <m/>
    <m/>
    <m/>
    <n v="4"/>
    <n v="0"/>
    <n v="0"/>
    <n v="4"/>
    <n v="0"/>
    <n v="0"/>
    <n v="4"/>
    <m/>
    <m/>
    <m/>
    <m/>
  </r>
  <r>
    <s v="DSCN0734"/>
    <s v="MC0914_2"/>
    <n v="2"/>
    <n v="1"/>
    <s v="Mercantile"/>
    <d v="2018-09-14T00:00:00"/>
    <s v="September"/>
    <x v="1"/>
    <d v="1899-12-30T00:54:00"/>
    <s v="Mostly sunny"/>
    <x v="13"/>
    <s v="Foraging"/>
    <s v="Spruce"/>
    <n v="1"/>
    <m/>
    <n v="3"/>
    <s v="Unknown"/>
    <s v="Unknown"/>
    <s v="Mistletoe baremble"/>
    <s v="Exterior spruce limbs under bark "/>
    <s v="Spruce"/>
    <s v="Exterior"/>
    <s v="Under bark"/>
    <m/>
    <m/>
    <s v="unknown"/>
    <n v="63.73272"/>
    <n v="148.89931999999999"/>
    <m/>
    <m/>
    <m/>
    <n v="0"/>
    <n v="0"/>
    <n v="0"/>
    <n v="0"/>
    <n v="0"/>
    <n v="0"/>
    <n v="0"/>
    <m/>
    <m/>
    <m/>
    <m/>
  </r>
  <r>
    <s v="DSCN0736"/>
    <s v="MC0914_3"/>
    <n v="3"/>
    <n v="1"/>
    <s v="Mercantile"/>
    <d v="2018-09-14T00:00:00"/>
    <s v="September"/>
    <x v="1"/>
    <d v="1899-12-30T00:23:00"/>
    <s v="Mostly sunny"/>
    <x v="13"/>
    <s v="Foraging"/>
    <s v="Spruce"/>
    <n v="1"/>
    <m/>
    <n v="0"/>
    <s v="Unknown"/>
    <s v="Unknown"/>
    <s v="Ground"/>
    <s v="NA"/>
    <s v="NA"/>
    <s v="NA"/>
    <s v="NA"/>
    <m/>
    <m/>
    <s v="NA"/>
    <s v="NA"/>
    <m/>
    <m/>
    <m/>
    <m/>
    <n v="0"/>
    <n v="0"/>
    <n v="0"/>
    <n v="0"/>
    <n v="0"/>
    <n v="0"/>
    <n v="0"/>
    <m/>
    <s v="Missed food acquisition on film"/>
    <m/>
    <m/>
  </r>
  <r>
    <s v="DSCN0833"/>
    <s v="MC0916_1"/>
    <n v="1"/>
    <n v="1"/>
    <s v="Mercantile"/>
    <d v="2018-09-16T00:00:00"/>
    <s v="September"/>
    <x v="1"/>
    <d v="1899-12-30T00:47:00"/>
    <s v="Overcast"/>
    <x v="13"/>
    <s v="Foraging"/>
    <s v="Spruce"/>
    <n v="1"/>
    <m/>
    <n v="1"/>
    <s v="Human food"/>
    <s v="Human food (orange peel)"/>
    <s v="Ground"/>
    <s v="Sitting on interior foliated spruce branch"/>
    <s v="Spruce"/>
    <s v="Interior"/>
    <s v="Foliage"/>
    <m/>
    <m/>
    <s v="Unknown"/>
    <n v="63.732439999999997"/>
    <n v="148.89502999999999"/>
    <m/>
    <m/>
    <m/>
    <n v="0"/>
    <n v="0"/>
    <n v="0"/>
    <n v="0"/>
    <n v="0"/>
    <n v="0"/>
    <n v="0"/>
    <m/>
    <s v="Left peel in tree its eating in in this video.  "/>
    <m/>
    <m/>
  </r>
  <r>
    <s v="DSCN0853"/>
    <s v="MC0916_9"/>
    <n v="9"/>
    <n v="1"/>
    <s v="Mercantile"/>
    <d v="2018-09-16T00:00:00"/>
    <s v="September"/>
    <x v="1"/>
    <d v="1899-12-30T01:15:00"/>
    <s v="Overcast"/>
    <x v="13"/>
    <s v="Foraging"/>
    <s v="Spruce"/>
    <s v="unknown"/>
    <m/>
    <n v="0"/>
    <m/>
    <s v="NA"/>
    <s v="NA"/>
    <s v="NA"/>
    <s v="NA"/>
    <s v="NA"/>
    <s v="NA"/>
    <m/>
    <m/>
    <s v="NA"/>
    <s v="NA"/>
    <m/>
    <m/>
    <m/>
    <m/>
    <n v="26"/>
    <n v="5"/>
    <n v="26"/>
    <n v="5"/>
    <n v="0"/>
    <n v="0"/>
    <n v="31"/>
    <m/>
    <m/>
    <m/>
    <m/>
  </r>
  <r>
    <s v="DSCN0997"/>
    <s v="MC0921_1"/>
    <n v="1"/>
    <n v="1"/>
    <s v="Mercantile"/>
    <d v="2018-09-21T00:00:00"/>
    <s v="September"/>
    <x v="1"/>
    <d v="1899-12-30T00:04:00"/>
    <s v="Mostly sunny"/>
    <x v="13"/>
    <s v="Food handling"/>
    <s v="Aspen"/>
    <n v="1"/>
    <m/>
    <n v="0"/>
    <s v="Human food"/>
    <s v="Human food, probably sausage"/>
    <s v="Seemed to get it from tree, B&amp;Ut unconfirmed"/>
    <s v="NA"/>
    <s v="NA"/>
    <s v="NA"/>
    <s v="NA"/>
    <m/>
    <m/>
    <s v="NA"/>
    <s v="NA"/>
    <m/>
    <m/>
    <m/>
    <m/>
    <n v="0"/>
    <n v="0"/>
    <n v="0"/>
    <n v="0"/>
    <n v="0"/>
    <n v="0"/>
    <n v="0"/>
    <m/>
    <m/>
    <m/>
    <m/>
  </r>
  <r>
    <s v="DSCN0998"/>
    <s v="MC0921_2"/>
    <n v="2"/>
    <n v="1"/>
    <s v="Mercantile"/>
    <d v="2018-09-21T00:00:00"/>
    <s v="September"/>
    <x v="1"/>
    <d v="1899-12-30T00:48:00"/>
    <s v="Mostly sunny"/>
    <x v="13"/>
    <s v="Caching"/>
    <s v="Spruce, Aspen"/>
    <n v="0"/>
    <m/>
    <n v="1"/>
    <s v="Human food"/>
    <s v="Human food, probably sausage"/>
    <s v="Seemed to get it from tree, B&amp;Ut unconfirmed"/>
    <s v="Exterior aspen branch under bark"/>
    <s v="Aspen"/>
    <s v="Exterior"/>
    <s v="Under bark"/>
    <m/>
    <m/>
    <s v="Unknown"/>
    <n v="63.733040000000003"/>
    <n v="148.89510999999999"/>
    <m/>
    <m/>
    <m/>
    <n v="0"/>
    <n v="0"/>
    <n v="0"/>
    <n v="0"/>
    <n v="0"/>
    <n v="0"/>
    <n v="0"/>
    <m/>
    <s v="Great cache video"/>
    <m/>
    <m/>
  </r>
  <r>
    <s v="DSCN0998"/>
    <s v="MC0921_2"/>
    <n v="2"/>
    <n v="2"/>
    <s v="Mercantile"/>
    <d v="2018-09-21T00:00:00"/>
    <s v="September"/>
    <x v="1"/>
    <d v="1899-12-30T00:48:00"/>
    <s v="Mostly sunny"/>
    <x v="13"/>
    <s v="Caching"/>
    <s v="Spruce, Aspen"/>
    <n v="0"/>
    <m/>
    <n v="1"/>
    <s v="Human food"/>
    <s v="Human food, probably sausage"/>
    <s v="Seemed to get it from tree, B&amp;Ut unconfirmed"/>
    <s v="Exterior aspen branch under bark"/>
    <s v="Aspen"/>
    <s v="Exterior"/>
    <s v="Under bark"/>
    <m/>
    <m/>
    <s v="Unknown"/>
    <n v="63.733040000000003"/>
    <n v="148.89510999999999"/>
    <m/>
    <m/>
    <m/>
    <n v="0"/>
    <n v="0"/>
    <n v="0"/>
    <n v="0"/>
    <n v="0"/>
    <n v="0"/>
    <n v="0"/>
    <m/>
    <s v="Trees right next to each other so same GPS"/>
    <m/>
    <m/>
  </r>
  <r>
    <s v="DSCN1085"/>
    <s v="MC0925_4"/>
    <n v="4"/>
    <n v="1"/>
    <s v="Mercantile"/>
    <d v="2018-09-25T00:00:00"/>
    <s v="September"/>
    <x v="1"/>
    <d v="1899-12-30T00:16:00"/>
    <s v="Overcast"/>
    <x v="13"/>
    <s v="Foraging"/>
    <s v="NA"/>
    <n v="1"/>
    <m/>
    <n v="0"/>
    <s v="Animal flesh"/>
    <s v="Animal flesh (Snowshoe hare)"/>
    <s v="Ground"/>
    <s v="NA"/>
    <s v="NA"/>
    <s v="NA"/>
    <s v="NA"/>
    <m/>
    <m/>
    <s v="NA"/>
    <s v="NA"/>
    <m/>
    <m/>
    <m/>
    <m/>
    <n v="0"/>
    <n v="0"/>
    <n v="0"/>
    <n v="0"/>
    <n v="0"/>
    <n v="0"/>
    <n v="0"/>
    <m/>
    <s v="In video I say worm, B&amp;Ut we checked later;def guts."/>
    <m/>
    <m/>
  </r>
  <r>
    <s v="DSCN1085"/>
    <s v="MC0925_5"/>
    <n v="5"/>
    <n v="1"/>
    <s v="Mercantile"/>
    <d v="2018-09-25T00:00:00"/>
    <s v="September"/>
    <x v="1"/>
    <d v="1899-12-30T00:14:00"/>
    <s v="Overcast"/>
    <x v="13"/>
    <s v="Food handling"/>
    <s v="NA"/>
    <n v="0"/>
    <m/>
    <n v="0"/>
    <s v="Animal flesh"/>
    <s v="Animal flesh (Snowshoe hare)"/>
    <s v="NA"/>
    <s v="NA"/>
    <s v="NA"/>
    <s v="NA"/>
    <s v="NA"/>
    <m/>
    <m/>
    <s v="NA"/>
    <s v="NA"/>
    <m/>
    <m/>
    <m/>
    <m/>
    <n v="0"/>
    <n v="0"/>
    <n v="0"/>
    <n v="0"/>
    <n v="0"/>
    <n v="0"/>
    <n v="0"/>
    <m/>
    <s v="Handling same bit of guts as in previors video.  "/>
    <m/>
    <m/>
  </r>
  <r>
    <s v="DSCN1088"/>
    <s v="MC0925_6"/>
    <n v="6"/>
    <n v="1"/>
    <s v="Mercantile"/>
    <d v="2018-09-25T00:00:00"/>
    <s v="September"/>
    <x v="1"/>
    <d v="1899-12-30T00:04:00"/>
    <s v="Overcast"/>
    <x v="13"/>
    <s v="Foraging"/>
    <s v="NA"/>
    <n v="1"/>
    <m/>
    <n v="0"/>
    <s v="Animal flesh"/>
    <s v="Animal flesh (Snowshoe hare)"/>
    <s v="Ground"/>
    <s v="NA"/>
    <s v="NA"/>
    <s v="NA"/>
    <s v="NA"/>
    <m/>
    <m/>
    <s v="NA"/>
    <s v="NA"/>
    <m/>
    <m/>
    <m/>
    <m/>
    <n v="0"/>
    <n v="0"/>
    <n v="0"/>
    <n v="0"/>
    <n v="0"/>
    <n v="0"/>
    <n v="0"/>
    <m/>
    <s v="New trip to hare"/>
    <m/>
    <m/>
  </r>
  <r>
    <s v="DSCN1089"/>
    <s v="MC0925_7"/>
    <n v="7"/>
    <n v="1"/>
    <s v="Mercantile"/>
    <d v="2018-09-25T00:00:00"/>
    <s v="September"/>
    <x v="1"/>
    <d v="1899-12-30T00:31:00"/>
    <s v="Overcast"/>
    <x v="13"/>
    <s v="Foraging"/>
    <s v="NA"/>
    <n v="1"/>
    <m/>
    <n v="1"/>
    <s v="Berry"/>
    <s v="Berry (Blueberry)"/>
    <s v="Ground"/>
    <s v="Interior spruce foliage, 7m off ground"/>
    <s v="Spruce"/>
    <s v="Interior"/>
    <s v="Foliage"/>
    <m/>
    <m/>
    <n v="13"/>
    <n v="63.732559999999999"/>
    <n v="148.89667"/>
    <m/>
    <m/>
    <m/>
    <n v="0"/>
    <n v="0"/>
    <n v="0"/>
    <n v="0"/>
    <n v="6"/>
    <n v="0"/>
    <n v="6"/>
    <m/>
    <m/>
    <m/>
    <m/>
  </r>
  <r>
    <s v="No video"/>
    <m/>
    <m/>
    <m/>
    <s v="Mercantile"/>
    <d v="2018-09-25T00:00:00"/>
    <s v="September"/>
    <x v="1"/>
    <m/>
    <s v="Overcast"/>
    <x v="13"/>
    <s v="Caching"/>
    <s v="NA"/>
    <n v="0"/>
    <m/>
    <n v="1"/>
    <s v="Animal flesh"/>
    <s v="Animal flesh (Snowshoe hare)"/>
    <s v="NA"/>
    <s v="Interior top of spruce in foliage."/>
    <s v="Spruce"/>
    <s v="Interior"/>
    <s v="Foliage"/>
    <m/>
    <m/>
    <n v="18"/>
    <n v="63.732320000000001"/>
    <n v="148.89685"/>
    <m/>
    <m/>
    <m/>
    <n v="0"/>
    <n v="0"/>
    <n v="0"/>
    <n v="0"/>
    <n v="0"/>
    <n v="0"/>
    <n v="0"/>
    <m/>
    <s v="Cached food from previous video.  Did not get in on camera B&amp;Ut observed IRL"/>
    <m/>
    <m/>
  </r>
  <r>
    <s v="DSCN0567"/>
    <s v="M4E0909_1"/>
    <n v="1"/>
    <n v="1"/>
    <s v="Mile 4 East "/>
    <d v="2018-09-09T00:00:00"/>
    <s v="September"/>
    <x v="1"/>
    <d v="1899-12-30T00:29:00"/>
    <s v="Full sun"/>
    <x v="21"/>
    <s v="Foraging"/>
    <s v="NA"/>
    <n v="2"/>
    <m/>
    <n v="0"/>
    <s v="Unknown"/>
    <s v="Unknown"/>
    <s v="Ground"/>
    <s v="NA"/>
    <s v="NA"/>
    <s v="NA"/>
    <s v="NA"/>
    <m/>
    <m/>
    <s v="NA"/>
    <s v="NA"/>
    <m/>
    <m/>
    <m/>
    <m/>
    <n v="0"/>
    <n v="0"/>
    <n v="0"/>
    <n v="0"/>
    <n v="15"/>
    <n v="0"/>
    <n v="15"/>
    <m/>
    <m/>
    <m/>
    <m/>
  </r>
  <r>
    <s v="DSCN0568"/>
    <s v="M4E0909_2"/>
    <n v="2"/>
    <n v="1"/>
    <s v="Mile 4 East "/>
    <d v="2018-09-09T00:00:00"/>
    <s v="September"/>
    <x v="1"/>
    <d v="1899-12-30T01:42:00"/>
    <s v="Full sun"/>
    <x v="21"/>
    <s v="Foraging"/>
    <s v="NA"/>
    <n v="1"/>
    <m/>
    <n v="0"/>
    <s v="Insect"/>
    <s v="Insect (winged insect)"/>
    <s v="Ground"/>
    <s v="NA"/>
    <s v="NA"/>
    <s v="NA"/>
    <s v="NA"/>
    <m/>
    <m/>
    <s v="NA"/>
    <s v="NA"/>
    <m/>
    <m/>
    <m/>
    <m/>
    <n v="0"/>
    <n v="0"/>
    <n v="0"/>
    <n v="0"/>
    <n v="2"/>
    <n v="0"/>
    <n v="2"/>
    <m/>
    <m/>
    <m/>
    <m/>
  </r>
  <r>
    <s v="DSCN0574"/>
    <s v="M4E0909_3"/>
    <n v="3"/>
    <n v="1"/>
    <s v="Mile 4 East "/>
    <d v="2018-09-09T00:00:00"/>
    <s v="September"/>
    <x v="1"/>
    <d v="1899-12-30T00:10:00"/>
    <s v="Full sun"/>
    <x v="21"/>
    <s v="Foraging"/>
    <s v="NA"/>
    <n v="1"/>
    <m/>
    <n v="0"/>
    <s v="Insect"/>
    <s v="Insect (caterpillar)"/>
    <s v="Ground"/>
    <s v="NA"/>
    <s v="NA"/>
    <s v="NA"/>
    <s v="NA"/>
    <m/>
    <m/>
    <s v="NA"/>
    <s v="NA"/>
    <m/>
    <m/>
    <m/>
    <m/>
    <n v="0"/>
    <n v="0"/>
    <n v="0"/>
    <n v="0"/>
    <n v="0"/>
    <n v="0"/>
    <n v="0"/>
    <m/>
    <s v="Did not catch food acquisition on tape"/>
    <m/>
    <m/>
  </r>
  <r>
    <s v="DSCN0581"/>
    <s v="M4E0909_4"/>
    <n v="4"/>
    <n v="1"/>
    <s v="Mile 4 East "/>
    <d v="2018-09-09T00:00:00"/>
    <s v="September"/>
    <x v="1"/>
    <d v="1899-12-30T01:01:00"/>
    <s v="Full sun"/>
    <x v="21"/>
    <s v="Foraging/caching"/>
    <s v="Spruce"/>
    <n v="1"/>
    <m/>
    <n v="1"/>
    <s v="Unknown"/>
    <s v="Unknown"/>
    <s v="Ground"/>
    <s v="Exterior spruce foliage"/>
    <s v="Spruce"/>
    <s v="Exterior"/>
    <s v="Foliage"/>
    <m/>
    <m/>
    <s v="Unknown"/>
    <s v="Did not mark (did not recognize as cache while in field)"/>
    <m/>
    <m/>
    <m/>
    <m/>
    <n v="0"/>
    <n v="0"/>
    <n v="0"/>
    <n v="0"/>
    <n v="3"/>
    <n v="0"/>
    <n v="3"/>
    <m/>
    <s v="Not sure about cache B&amp;Ut suspected in field"/>
    <m/>
    <m/>
  </r>
  <r>
    <s v="DSCN0583"/>
    <s v="M4E0909_5"/>
    <n v="5"/>
    <n v="1"/>
    <s v="Mile 4 East "/>
    <d v="2018-09-09T00:00:00"/>
    <s v="September"/>
    <x v="1"/>
    <d v="1899-12-30T00:43:00"/>
    <s v="Full sun"/>
    <x v="21"/>
    <s v="Foraging/caching"/>
    <s v="Spruce"/>
    <n v="1"/>
    <m/>
    <n v="1"/>
    <s v="Unknown"/>
    <s v="Unknown"/>
    <s v="Ground"/>
    <s v="Exterior spruce foliage"/>
    <s v="Spruce"/>
    <s v="Exterior"/>
    <s v="Foliage"/>
    <m/>
    <m/>
    <s v="Unknown"/>
    <n v="63.725580000000001"/>
    <n v="148.98072999999999"/>
    <m/>
    <m/>
    <m/>
    <n v="0"/>
    <n v="0"/>
    <n v="0"/>
    <n v="0"/>
    <n v="11"/>
    <n v="0"/>
    <n v="11"/>
    <m/>
    <m/>
    <m/>
    <m/>
  </r>
  <r>
    <s v="DSCN0306"/>
    <s v="B&amp;U0905_1"/>
    <n v="1"/>
    <n v="2"/>
    <s v="B&amp;U"/>
    <d v="2018-09-05T00:00:00"/>
    <s v="September"/>
    <x v="1"/>
    <d v="1899-12-30T03:10:00"/>
    <s v="Partly Sunny"/>
    <x v="14"/>
    <s v="Foraging"/>
    <s v="NA"/>
    <n v="1"/>
    <m/>
    <n v="0"/>
    <s v="Insect"/>
    <s v="Insect (caterpillar)"/>
    <s v="Ground"/>
    <s v="NA"/>
    <s v="NA"/>
    <s v="NA"/>
    <s v="NA"/>
    <m/>
    <m/>
    <s v="NA"/>
    <s v="NA"/>
    <m/>
    <m/>
    <m/>
    <m/>
    <n v="0"/>
    <n v="0"/>
    <n v="0"/>
    <n v="0"/>
    <n v="0"/>
    <n v="0"/>
    <n v="0"/>
    <m/>
    <m/>
    <m/>
    <m/>
  </r>
  <r>
    <s v="DSCN0664"/>
    <s v="B&amp;U0912_2"/>
    <n v="2"/>
    <n v="1"/>
    <s v="B&amp;U"/>
    <d v="2018-09-12T00:00:00"/>
    <s v="September"/>
    <x v="1"/>
    <d v="1899-12-30T00:22:00"/>
    <s v="Overcast"/>
    <x v="14"/>
    <s v="Food handling"/>
    <s v="Spruce"/>
    <n v="1"/>
    <m/>
    <n v="0"/>
    <s v="Unknown"/>
    <s v="Unknown"/>
    <s v="unknown"/>
    <s v="NA"/>
    <s v="NA"/>
    <s v="NA"/>
    <s v="NA"/>
    <m/>
    <m/>
    <s v="NA"/>
    <s v="NA"/>
    <m/>
    <m/>
    <m/>
    <m/>
    <n v="0"/>
    <n v="0"/>
    <n v="0"/>
    <n v="0"/>
    <n v="0"/>
    <n v="0"/>
    <n v="0"/>
    <m/>
    <s v="Collected piece of mystery food!  "/>
    <m/>
    <m/>
  </r>
  <r>
    <s v="DSCN0665"/>
    <s v="B&amp;U0912_3"/>
    <n v="3"/>
    <n v="1"/>
    <s v="B&amp;U"/>
    <d v="2018-09-12T00:00:00"/>
    <s v="September"/>
    <x v="1"/>
    <d v="1899-12-30T00:09:00"/>
    <s v="Overcast"/>
    <x v="14"/>
    <s v="Caching"/>
    <s v="Spruce"/>
    <n v="0"/>
    <m/>
    <n v="1"/>
    <s v="Unknown"/>
    <s v="Unknown"/>
    <s v="NA"/>
    <s v="Interior foliate spruce, B&amp;Ut placed neatly on branch. "/>
    <s v="Spruce"/>
    <s v="Interior"/>
    <s v="Branch"/>
    <m/>
    <m/>
    <s v="Unknown"/>
    <n v="63.725380000000001"/>
    <n v="148.95672999999999"/>
    <m/>
    <m/>
    <m/>
    <n v="0"/>
    <n v="0"/>
    <n v="0"/>
    <n v="0"/>
    <n v="0"/>
    <n v="0"/>
    <n v="0"/>
    <m/>
    <s v="Same food from previous video.  "/>
    <m/>
    <m/>
  </r>
  <r>
    <s v="DSCN0678"/>
    <s v="B&amp;U0912_6"/>
    <n v="6"/>
    <n v="1"/>
    <s v="B&amp;U"/>
    <d v="2018-09-12T00:00:00"/>
    <s v="September"/>
    <x v="1"/>
    <d v="1899-12-30T00:11:00"/>
    <s v="Overcast"/>
    <x v="14"/>
    <s v="Foraging"/>
    <s v="NA"/>
    <n v="1"/>
    <m/>
    <n v="0"/>
    <s v="Berry"/>
    <s v="Berry"/>
    <s v="Ground"/>
    <s v="NA"/>
    <s v="NA"/>
    <s v="NA"/>
    <s v="NA"/>
    <m/>
    <m/>
    <s v="NA"/>
    <s v="NA"/>
    <m/>
    <m/>
    <m/>
    <m/>
    <n v="0"/>
    <n v="0"/>
    <n v="0"/>
    <n v="0"/>
    <n v="10"/>
    <n v="0"/>
    <n v="10"/>
    <m/>
    <m/>
    <m/>
    <m/>
  </r>
  <r>
    <s v="DSCN0679"/>
    <s v="B&amp;U0912_7"/>
    <n v="7"/>
    <n v="1"/>
    <s v="B&amp;U"/>
    <d v="2018-09-12T00:00:00"/>
    <s v="September"/>
    <x v="1"/>
    <d v="1899-12-30T00:19:00"/>
    <s v="Overcast"/>
    <x v="14"/>
    <s v="Caching"/>
    <s v="Spruce"/>
    <n v="0"/>
    <m/>
    <n v="1"/>
    <s v="Berry"/>
    <s v="Berry"/>
    <s v="NA"/>
    <s v="Exterior bare spruce branch"/>
    <s v="Spruce"/>
    <s v="Exterior"/>
    <s v="Branch"/>
    <m/>
    <m/>
    <s v="Unknown"/>
    <n v="63.726410000000001"/>
    <n v="148.95836"/>
    <m/>
    <m/>
    <m/>
    <n v="0"/>
    <n v="0"/>
    <n v="0"/>
    <n v="0"/>
    <n v="0"/>
    <n v="0"/>
    <n v="0"/>
    <m/>
    <m/>
    <m/>
    <m/>
  </r>
  <r>
    <s v="DSCN0777"/>
    <s v="B&amp;U0915_4"/>
    <n v="4"/>
    <n v="2"/>
    <s v="B&amp;U"/>
    <d v="2018-09-15T00:00:00"/>
    <s v="September"/>
    <x v="1"/>
    <d v="1899-12-30T00:23:00"/>
    <s v="Mostly sunny"/>
    <x v="14"/>
    <s v="Foraging"/>
    <s v="NA"/>
    <n v="1"/>
    <m/>
    <n v="0"/>
    <s v="Animal flesh"/>
    <s v="Animal flesh (Snowshoe hare)"/>
    <s v="Ground"/>
    <s v="NA"/>
    <s v="NA"/>
    <s v="NA"/>
    <s v="NA"/>
    <m/>
    <m/>
    <s v="NA"/>
    <s v="NA"/>
    <m/>
    <m/>
    <m/>
    <m/>
    <n v="0"/>
    <n v="0"/>
    <n v="0"/>
    <n v="0"/>
    <n v="0"/>
    <n v="0"/>
    <n v="0"/>
    <m/>
    <s v="Foraging and caching off dead hare carcass (mostly entrails)"/>
    <m/>
    <m/>
  </r>
  <r>
    <s v="DSCN0797"/>
    <s v="B&amp;U0915_14"/>
    <n v="14"/>
    <n v="1"/>
    <s v="B&amp;U"/>
    <d v="2018-09-15T00:00:00"/>
    <s v="September"/>
    <x v="1"/>
    <d v="1899-12-30T00:29:00"/>
    <s v="Mostly sunny"/>
    <x v="14"/>
    <s v="Foraging"/>
    <s v="NA"/>
    <s v="unknown"/>
    <m/>
    <n v="0"/>
    <s v="Unknown"/>
    <s v="Unknown"/>
    <s v="NA"/>
    <s v="NA"/>
    <s v="NA"/>
    <s v="NA"/>
    <s v="NA"/>
    <m/>
    <m/>
    <s v="NA"/>
    <s v="NA"/>
    <m/>
    <m/>
    <m/>
    <m/>
    <n v="0"/>
    <n v="0"/>
    <n v="0"/>
    <n v="0"/>
    <n v="23"/>
    <n v="0"/>
    <n v="23"/>
    <m/>
    <m/>
    <m/>
    <m/>
  </r>
  <r>
    <s v="DSCN0798"/>
    <s v="B&amp;U0915_15"/>
    <n v="15"/>
    <n v="1"/>
    <s v="B&amp;U"/>
    <d v="2018-09-15T00:00:00"/>
    <s v="September"/>
    <x v="1"/>
    <d v="1899-12-30T00:26:00"/>
    <s v="Mostly sunny"/>
    <x v="14"/>
    <s v="Foraging"/>
    <s v="NA"/>
    <s v="unknown"/>
    <m/>
    <n v="0"/>
    <s v="Unknown"/>
    <s v="Unknown"/>
    <s v="NA"/>
    <s v="NA"/>
    <s v="NA"/>
    <s v="NA"/>
    <s v="NA"/>
    <m/>
    <m/>
    <s v="NA"/>
    <s v="NA"/>
    <m/>
    <m/>
    <m/>
    <m/>
    <n v="0"/>
    <n v="0"/>
    <n v="0"/>
    <n v="0"/>
    <n v="5"/>
    <n v="0"/>
    <n v="5"/>
    <m/>
    <m/>
    <m/>
    <m/>
  </r>
  <r>
    <s v="DSCN0801"/>
    <s v="B&amp;U0915_17"/>
    <n v="17"/>
    <n v="1"/>
    <s v="B&amp;U"/>
    <d v="2018-09-15T00:00:00"/>
    <s v="September"/>
    <x v="1"/>
    <d v="1899-12-30T02:39:00"/>
    <s v="Mostly sunny"/>
    <x v="14"/>
    <s v="Foraging"/>
    <s v="NA"/>
    <n v="2"/>
    <m/>
    <n v="0"/>
    <s v="Unknown"/>
    <s v="Unknown"/>
    <s v="Ground"/>
    <s v="NA"/>
    <s v="NA"/>
    <s v="NA"/>
    <s v="NA"/>
    <m/>
    <m/>
    <s v="NA"/>
    <s v="NA"/>
    <m/>
    <m/>
    <m/>
    <m/>
    <n v="0"/>
    <n v="0"/>
    <n v="0"/>
    <n v="0"/>
    <n v="13"/>
    <n v="0"/>
    <n v="13"/>
    <m/>
    <m/>
    <m/>
    <m/>
  </r>
  <r>
    <s v="DSCN0803"/>
    <s v="B&amp;U0915_18"/>
    <n v="18"/>
    <n v="1"/>
    <s v="B&amp;U"/>
    <d v="2018-09-15T00:00:00"/>
    <s v="September"/>
    <x v="1"/>
    <d v="1899-12-30T00:57:00"/>
    <s v="Mostly sunny"/>
    <x v="14"/>
    <s v="Caching"/>
    <s v="Spruce"/>
    <n v="0"/>
    <m/>
    <n v="2"/>
    <s v="Unknown"/>
    <s v="Unknown"/>
    <s v="unknown"/>
    <s v="Exterior spruce branch under bark/witch hair"/>
    <s v="Spruce"/>
    <s v="Exterior"/>
    <s v="Under bark and witch hair "/>
    <m/>
    <m/>
    <s v="unknown"/>
    <n v="63.725320000000004"/>
    <n v="148.95212000000001"/>
    <m/>
    <m/>
    <m/>
    <n v="0"/>
    <n v="0"/>
    <n v="0"/>
    <n v="0"/>
    <n v="0"/>
    <n v="0"/>
    <n v="0"/>
    <m/>
    <m/>
    <m/>
    <m/>
  </r>
  <r>
    <s v="DSCN0967"/>
    <s v="B&amp;U0920_7"/>
    <n v="7"/>
    <n v="1"/>
    <s v="B&amp;U"/>
    <d v="2018-09-20T00:00:00"/>
    <s v="September"/>
    <x v="1"/>
    <d v="1899-12-30T00:29:00"/>
    <s v="Overcast, light rain"/>
    <x v="14"/>
    <s v="Caching"/>
    <s v="Spruce"/>
    <n v="0"/>
    <m/>
    <n v="1"/>
    <s v="Unknown"/>
    <s v="Unknown"/>
    <s v="unknown"/>
    <s v="Spruce trunk under bark"/>
    <s v="Spruce"/>
    <s v="Trunk"/>
    <s v="Under bark"/>
    <m/>
    <m/>
    <s v="Unknown"/>
    <s v="Did not mark (did not recognize as cache while in field)"/>
    <m/>
    <m/>
    <m/>
    <m/>
    <m/>
    <m/>
    <m/>
    <m/>
    <n v="0"/>
    <n v="0"/>
    <n v="0"/>
    <m/>
    <s v="Very close to previous cache tree"/>
    <m/>
    <m/>
  </r>
  <r>
    <s v="DSCN0970"/>
    <s v="B&amp;U0920_8"/>
    <n v="8"/>
    <n v="1"/>
    <s v="B&amp;U"/>
    <d v="2018-09-20T00:00:00"/>
    <s v="September"/>
    <x v="1"/>
    <d v="1899-12-30T00:58:00"/>
    <s v="Overcast, light rain"/>
    <x v="14"/>
    <s v="Caching"/>
    <s v="Spruce"/>
    <n v="0"/>
    <m/>
    <n v="1"/>
    <s v="Unknown"/>
    <s v="Unknown"/>
    <s v="unknown"/>
    <s v="Interior spruce among bare branch"/>
    <s v="Spruce"/>
    <s v="Interior"/>
    <s v="Branch"/>
    <m/>
    <m/>
    <s v="Unknown"/>
    <n v="63.724829999999997"/>
    <n v="148.95133999999999"/>
    <m/>
    <m/>
    <m/>
    <n v="0"/>
    <n v="0"/>
    <n v="0"/>
    <n v="0"/>
    <n v="0"/>
    <n v="0"/>
    <n v="0"/>
    <m/>
    <m/>
    <m/>
    <m/>
  </r>
  <r>
    <s v="DSCN0972"/>
    <s v="B&amp;U0920_9"/>
    <n v="9"/>
    <n v="1"/>
    <s v="B&amp;U"/>
    <d v="2018-09-20T00:00:00"/>
    <s v="September"/>
    <x v="1"/>
    <d v="1899-12-30T01:17:00"/>
    <s v="Overcast, light rain"/>
    <x v="14"/>
    <s v="Foraging"/>
    <s v="Aspen"/>
    <s v="unknown"/>
    <m/>
    <n v="0"/>
    <m/>
    <s v="NA"/>
    <s v="NA"/>
    <s v="NA"/>
    <s v="NA"/>
    <s v="NA"/>
    <s v="NA"/>
    <m/>
    <m/>
    <s v="NA"/>
    <s v="NA"/>
    <m/>
    <m/>
    <m/>
    <m/>
    <n v="62"/>
    <n v="0"/>
    <n v="15"/>
    <n v="47"/>
    <n v="0"/>
    <n v="0"/>
    <n v="62"/>
    <m/>
    <m/>
    <m/>
    <m/>
  </r>
  <r>
    <s v="DSCN0974"/>
    <s v="B&amp;U0920_10"/>
    <n v="10"/>
    <n v="1"/>
    <s v="B&amp;U"/>
    <d v="2018-09-20T00:00:00"/>
    <s v="September"/>
    <x v="1"/>
    <d v="1899-12-30T00:53:00"/>
    <s v="Overcast, light rain"/>
    <x v="14"/>
    <s v="Foraging"/>
    <s v="Alder"/>
    <s v="unknown"/>
    <m/>
    <n v="0"/>
    <m/>
    <s v="NA"/>
    <s v="NA"/>
    <s v="NA"/>
    <s v="NA"/>
    <s v="NA"/>
    <s v="NA"/>
    <m/>
    <m/>
    <s v="NA"/>
    <s v="NA"/>
    <m/>
    <m/>
    <m/>
    <m/>
    <n v="12"/>
    <n v="0"/>
    <n v="0"/>
    <n v="12"/>
    <n v="0"/>
    <n v="0"/>
    <n v="12"/>
    <m/>
    <m/>
    <m/>
    <m/>
  </r>
  <r>
    <s v="DSN0966"/>
    <s v="B&amp;U0920_6"/>
    <n v="6"/>
    <n v="1"/>
    <s v="B&amp;U"/>
    <d v="2018-09-20T00:00:00"/>
    <s v="September"/>
    <x v="1"/>
    <d v="1899-12-30T00:38:00"/>
    <s v="Overcast, light rain"/>
    <x v="14"/>
    <s v="Caching"/>
    <s v="Spruce"/>
    <n v="0"/>
    <m/>
    <n v="1"/>
    <s v="Unknown"/>
    <s v="Unknown"/>
    <s v="unknown"/>
    <s v="Exterior spruce foliage"/>
    <s v="Spruce"/>
    <s v="Exterior"/>
    <s v="Foliage"/>
    <m/>
    <m/>
    <s v="Unknown"/>
    <n v="63.72569"/>
    <n v="148.95882"/>
    <m/>
    <m/>
    <m/>
    <n v="0"/>
    <n v="0"/>
    <n v="0"/>
    <n v="0"/>
    <n v="0"/>
    <n v="0"/>
    <n v="0"/>
    <m/>
    <s v="Double cache tree!"/>
    <m/>
    <m/>
  </r>
  <r>
    <s v="DSCN0631"/>
    <s v="HS0912_4"/>
    <n v="4"/>
    <n v="1"/>
    <s v="Horse Shoe"/>
    <d v="2018-09-12T00:00:00"/>
    <s v="September"/>
    <x v="1"/>
    <d v="1899-12-30T00:19:00"/>
    <s v="Overcast"/>
    <x v="28"/>
    <s v="Food handling"/>
    <s v="Spruce"/>
    <n v="1"/>
    <m/>
    <n v="0"/>
    <s v="Unknown"/>
    <s v="Unknown"/>
    <s v="unknown"/>
    <s v="NA"/>
    <s v="NA"/>
    <s v="NA"/>
    <s v="NA"/>
    <m/>
    <m/>
    <s v="NA"/>
    <s v="NA"/>
    <m/>
    <m/>
    <m/>
    <m/>
    <n v="0"/>
    <n v="0"/>
    <n v="0"/>
    <n v="0"/>
    <n v="0"/>
    <n v="0"/>
    <n v="0"/>
    <m/>
    <s v="Weird orange food! "/>
    <m/>
    <m/>
  </r>
  <r>
    <s v="DSCN0638"/>
    <s v="HS0912_7"/>
    <n v="7"/>
    <n v="1"/>
    <s v="Horse Shoe"/>
    <d v="2018-09-12T00:00:00"/>
    <s v="September"/>
    <x v="1"/>
    <d v="1899-12-30T00:35:00"/>
    <s v="Overcast"/>
    <x v="28"/>
    <s v="Foraging"/>
    <s v="NA"/>
    <n v="1"/>
    <m/>
    <n v="0"/>
    <s v="Insect"/>
    <s v="Insect"/>
    <s v="Ground"/>
    <s v="NA"/>
    <s v="NA"/>
    <s v="NA"/>
    <s v="NA"/>
    <m/>
    <m/>
    <s v="NA"/>
    <s v="NA"/>
    <m/>
    <m/>
    <m/>
    <m/>
    <n v="0"/>
    <n v="0"/>
    <n v="0"/>
    <n v="0"/>
    <n v="20"/>
    <n v="0"/>
    <n v="20"/>
    <m/>
    <m/>
    <m/>
    <m/>
  </r>
  <r>
    <s v="DSCN0747"/>
    <s v="M4R0907_2"/>
    <n v="2"/>
    <n v="1"/>
    <s v="M4Roadside"/>
    <d v="2018-09-07T00:00:00"/>
    <s v="September"/>
    <x v="1"/>
    <d v="1899-12-30T00:22:00"/>
    <s v="Overcast"/>
    <x v="15"/>
    <s v="Foraging"/>
    <s v="Spruce"/>
    <s v="unknown"/>
    <m/>
    <n v="0"/>
    <s v="Unknown"/>
    <s v="Unknown"/>
    <s v="NA"/>
    <s v="NA"/>
    <s v="NA"/>
    <s v="NA"/>
    <s v="NA"/>
    <m/>
    <m/>
    <s v="NA"/>
    <s v="NA"/>
    <m/>
    <m/>
    <m/>
    <m/>
    <n v="11"/>
    <n v="0"/>
    <n v="0"/>
    <n v="11"/>
    <n v="0"/>
    <n v="0"/>
    <n v="11"/>
    <m/>
    <m/>
    <m/>
    <m/>
  </r>
  <r>
    <s v="DSCN1024"/>
    <s v="HS0924_1"/>
    <n v="1"/>
    <n v="1"/>
    <s v="Horse Shoe"/>
    <d v="2018-09-24T00:00:00"/>
    <s v="September"/>
    <x v="1"/>
    <d v="1899-12-30T00:44:00"/>
    <s v="Partly cloudy"/>
    <x v="29"/>
    <s v="Foraging"/>
    <s v="NA"/>
    <n v="1"/>
    <m/>
    <n v="0"/>
    <s v="Unknown"/>
    <s v="Unknown"/>
    <s v="Ground"/>
    <s v="NA"/>
    <s v="NA"/>
    <s v="NA"/>
    <s v="NA"/>
    <m/>
    <m/>
    <s v="NA"/>
    <s v="NA"/>
    <m/>
    <m/>
    <m/>
    <m/>
    <n v="0"/>
    <n v="0"/>
    <n v="0"/>
    <n v="0"/>
    <n v="20"/>
    <n v="0"/>
    <n v="20"/>
    <m/>
    <m/>
    <m/>
    <m/>
  </r>
  <r>
    <s v="DSCN1025"/>
    <s v="HS0924_2"/>
    <n v="2"/>
    <n v="1"/>
    <s v="Horse Shoe"/>
    <d v="2018-09-24T00:00:00"/>
    <s v="September"/>
    <x v="1"/>
    <d v="1899-12-30T00:16:00"/>
    <s v="Partly Sunny"/>
    <x v="29"/>
    <s v="Caching"/>
    <s v="Spruce"/>
    <n v="0"/>
    <m/>
    <n v="1"/>
    <s v="Unknown"/>
    <s v="Unknown"/>
    <s v="Ground"/>
    <s v="Top, interior part of foliated spruce on trunk "/>
    <s v="Spruce"/>
    <s v="Trunk"/>
    <s v="On bark"/>
    <m/>
    <m/>
    <s v="unknown"/>
    <n v="63.73798"/>
    <n v="148.90401"/>
    <m/>
    <m/>
    <m/>
    <n v="0"/>
    <n v="0"/>
    <n v="0"/>
    <n v="0"/>
    <n v="0"/>
    <n v="0"/>
    <n v="0"/>
    <m/>
    <s v="Unconfirmed B&amp;Ut suspected cache.  Bird was observed obtaining food in the previous video,  "/>
    <m/>
    <m/>
  </r>
  <r>
    <s v="DCSN0402"/>
    <s v="M2370907_2"/>
    <n v="2"/>
    <n v="1"/>
    <s v="Mile 237"/>
    <d v="2018-09-07T00:00:00"/>
    <s v="September"/>
    <x v="1"/>
    <d v="1899-12-30T00:31:00"/>
    <s v="Overcast"/>
    <x v="16"/>
    <s v="Foraging"/>
    <s v="NA"/>
    <n v="1"/>
    <m/>
    <n v="0"/>
    <s v="Mushroom"/>
    <s v="Mushroom"/>
    <s v="Ground"/>
    <s v="NA"/>
    <s v="NA"/>
    <s v="NA"/>
    <s v="NA"/>
    <m/>
    <m/>
    <s v="NA"/>
    <s v="NA"/>
    <m/>
    <m/>
    <m/>
    <m/>
    <n v="0"/>
    <n v="0"/>
    <n v="0"/>
    <n v="0"/>
    <n v="7"/>
    <n v="0"/>
    <n v="7"/>
    <m/>
    <m/>
    <m/>
    <m/>
  </r>
  <r>
    <s v="DSCN0269"/>
    <s v="M2370905_1"/>
    <n v="1"/>
    <n v="1"/>
    <s v="Mile 237"/>
    <d v="2018-09-05T00:00:00"/>
    <s v="September"/>
    <x v="1"/>
    <m/>
    <s v="Overcast, raining "/>
    <x v="16"/>
    <s v="Foraging"/>
    <s v="Aspen"/>
    <n v="1"/>
    <m/>
    <n v="0"/>
    <s v="Insect"/>
    <s v="Insect (caterpillar?)"/>
    <s v="Aspen tree branch"/>
    <s v="NA"/>
    <s v="NA"/>
    <s v="NA"/>
    <s v="NA"/>
    <m/>
    <m/>
    <s v="NA"/>
    <s v="NA"/>
    <m/>
    <m/>
    <m/>
    <m/>
    <n v="10"/>
    <n v="0"/>
    <n v="0"/>
    <n v="10"/>
    <n v="0"/>
    <n v="0"/>
    <n v="10"/>
    <s v="searching"/>
    <m/>
    <m/>
    <m/>
  </r>
  <r>
    <s v="DSCN0270"/>
    <s v="M2370905_2"/>
    <n v="2"/>
    <n v="1"/>
    <s v="Mile 237"/>
    <d v="2018-09-05T00:00:00"/>
    <s v="September"/>
    <x v="1"/>
    <m/>
    <s v="Overcast, raining "/>
    <x v="16"/>
    <s v="Foraging"/>
    <s v="Spruce"/>
    <n v="1"/>
    <m/>
    <n v="0"/>
    <s v="Unknown"/>
    <s v="Unknown"/>
    <s v="Exterior spruce foliage "/>
    <s v="NA"/>
    <s v="NA"/>
    <s v="NA"/>
    <s v="NA"/>
    <m/>
    <m/>
    <s v="NA"/>
    <s v="NA"/>
    <m/>
    <m/>
    <m/>
    <m/>
    <n v="0"/>
    <n v="11"/>
    <n v="0"/>
    <n v="11"/>
    <n v="0"/>
    <n v="0"/>
    <n v="11"/>
    <s v="searching"/>
    <m/>
    <m/>
    <m/>
  </r>
  <r>
    <s v="DSCN0270"/>
    <s v="M2370905_2"/>
    <n v="2"/>
    <n v="1"/>
    <s v="Mile 237"/>
    <d v="2018-09-05T00:00:00"/>
    <s v="September"/>
    <x v="1"/>
    <m/>
    <s v="Overcast, raining "/>
    <x v="16"/>
    <s v="Foraging"/>
    <s v="Spruce"/>
    <n v="1"/>
    <m/>
    <n v="0"/>
    <s v="Unknown"/>
    <s v="Unknown (probably B&amp;Ug)"/>
    <s v="Interior spruce foliage "/>
    <s v="NA"/>
    <s v="NA"/>
    <s v="NA"/>
    <s v="NA"/>
    <m/>
    <m/>
    <s v="NA"/>
    <s v="NA"/>
    <m/>
    <m/>
    <m/>
    <m/>
    <n v="0"/>
    <n v="11"/>
    <n v="0"/>
    <n v="11"/>
    <n v="0"/>
    <n v="0"/>
    <n v="11"/>
    <s v="searching"/>
    <m/>
    <m/>
    <m/>
  </r>
  <r>
    <s v="DSCN0272"/>
    <s v="M2370905_3"/>
    <n v="3"/>
    <n v="1"/>
    <s v="Mile 237"/>
    <d v="2018-09-05T00:00:00"/>
    <s v="September"/>
    <x v="1"/>
    <d v="1899-12-30T00:35:00"/>
    <s v="Overcast, raining "/>
    <x v="16"/>
    <s v="Forgaing"/>
    <s v="Spruce"/>
    <n v="1"/>
    <m/>
    <n v="0"/>
    <s v="Unknown"/>
    <s v="unknown (Looks like meat)"/>
    <s v="Interior spruce foliage"/>
    <s v="NA"/>
    <s v="NA"/>
    <s v="NA"/>
    <s v="NA"/>
    <m/>
    <m/>
    <s v="NA"/>
    <s v="NA"/>
    <m/>
    <m/>
    <m/>
    <m/>
    <n v="0"/>
    <n v="0"/>
    <n v="0"/>
    <n v="0"/>
    <n v="0"/>
    <n v="0"/>
    <n v="0"/>
    <m/>
    <s v="Camera immediately on consumption sequence"/>
    <m/>
    <m/>
  </r>
  <r>
    <s v="DSCN0276"/>
    <s v="M2370905_5"/>
    <n v="5"/>
    <n v="1"/>
    <s v="Mile 237"/>
    <d v="2018-09-05T00:00:00"/>
    <s v="September"/>
    <x v="1"/>
    <d v="1899-12-30T00:42:00"/>
    <s v="Overcast, raining "/>
    <x v="16"/>
    <s v="Foraging"/>
    <s v="Spruce"/>
    <n v="1"/>
    <m/>
    <n v="0"/>
    <s v="Insect"/>
    <s v="Insect (caterpillar)"/>
    <s v="Spruce foliage"/>
    <s v="NA"/>
    <s v="NA"/>
    <s v="NA"/>
    <s v="NA"/>
    <m/>
    <m/>
    <s v="NA"/>
    <s v="NA"/>
    <m/>
    <m/>
    <m/>
    <m/>
    <n v="0"/>
    <n v="26"/>
    <n v="26"/>
    <n v="0"/>
    <n v="0"/>
    <n v="0"/>
    <n v="26"/>
    <s v="Unknown"/>
    <m/>
    <m/>
    <m/>
  </r>
  <r>
    <s v="DSCN0408"/>
    <s v="M2370907_5"/>
    <n v="5"/>
    <n v="1"/>
    <s v="Mile 237"/>
    <d v="2018-09-07T00:00:00"/>
    <s v="September"/>
    <x v="1"/>
    <d v="1899-12-30T01:46:00"/>
    <s v="Overcast"/>
    <x v="16"/>
    <s v="Foraging"/>
    <s v="Aspen"/>
    <n v="1"/>
    <m/>
    <n v="0"/>
    <s v="Unknown"/>
    <s v="Unknown"/>
    <s v="Aspen tree leaf stems"/>
    <s v="NA"/>
    <s v="NA"/>
    <s v="NA"/>
    <s v="NA"/>
    <m/>
    <m/>
    <s v="NA"/>
    <s v="NA"/>
    <m/>
    <m/>
    <m/>
    <m/>
    <n v="81"/>
    <n v="0"/>
    <n v="0"/>
    <n v="81"/>
    <n v="0"/>
    <n v="0"/>
    <n v="81"/>
    <s v="Gleaning"/>
    <m/>
    <n v="0"/>
    <n v="19"/>
  </r>
  <r>
    <s v="DSCN0413"/>
    <s v="M2370907_8"/>
    <n v="8"/>
    <n v="1"/>
    <s v="Mile 237"/>
    <d v="2018-09-07T00:00:00"/>
    <s v="September"/>
    <x v="1"/>
    <d v="1899-12-30T00:34:00"/>
    <s v="Overcast"/>
    <x v="16"/>
    <s v="Foraging"/>
    <s v="Aspen"/>
    <n v="2"/>
    <m/>
    <n v="0"/>
    <s v="Unknown"/>
    <s v="Unknown"/>
    <s v="Aspen branch under bark"/>
    <s v="NA"/>
    <s v="NA"/>
    <s v="NA"/>
    <s v="NA"/>
    <m/>
    <m/>
    <s v="NA"/>
    <s v="NA"/>
    <m/>
    <m/>
    <m/>
    <m/>
    <n v="34"/>
    <n v="0"/>
    <n v="0"/>
    <n v="34"/>
    <n v="0"/>
    <n v="0"/>
    <n v="34"/>
    <s v="Probing"/>
    <s v="Watched it poke at caches object for 7 sec.  Object was in tangle of bare spruce branch"/>
    <n v="2"/>
    <n v="0"/>
  </r>
  <r>
    <s v="DSCN0415"/>
    <s v="M2370907_9"/>
    <n v="9"/>
    <n v="1"/>
    <s v="Mile 237"/>
    <d v="2018-09-07T00:00:00"/>
    <s v="September"/>
    <x v="1"/>
    <d v="1899-12-30T00:48:00"/>
    <s v="Overcast"/>
    <x v="16"/>
    <s v="Foraging"/>
    <s v="NA"/>
    <n v="1"/>
    <m/>
    <n v="0"/>
    <s v="Berry"/>
    <s v="Berry (Soapberry)"/>
    <s v="Ground"/>
    <s v="NA"/>
    <s v="NA"/>
    <s v="NA"/>
    <s v="NA"/>
    <m/>
    <m/>
    <s v="NA"/>
    <s v="NA"/>
    <m/>
    <m/>
    <m/>
    <m/>
    <n v="0"/>
    <n v="0"/>
    <n v="0"/>
    <n v="0"/>
    <n v="24"/>
    <n v="0"/>
    <n v="24"/>
    <m/>
    <m/>
    <m/>
    <m/>
  </r>
  <r>
    <s v="DSCN0417"/>
    <s v="M2370907_10"/>
    <n v="10"/>
    <n v="1"/>
    <s v="Mile 237"/>
    <d v="2018-09-07T00:00:00"/>
    <s v="September"/>
    <x v="1"/>
    <d v="1899-12-30T00:22:00"/>
    <s v="Overcast"/>
    <x v="16"/>
    <s v="Cache recovery"/>
    <s v="Aspen"/>
    <n v="1"/>
    <m/>
    <n v="0"/>
    <s v="Animal flesh"/>
    <s v="Animal flesh"/>
    <s v="Cache site on aspen branch"/>
    <s v="NA"/>
    <s v="NA"/>
    <s v="NA"/>
    <s v="NA"/>
    <m/>
    <m/>
    <s v="NA"/>
    <s v="NA"/>
    <m/>
    <m/>
    <m/>
    <m/>
    <n v="0"/>
    <n v="0"/>
    <n v="0"/>
    <n v="0"/>
    <n v="0"/>
    <n v="0"/>
    <n v="0"/>
    <m/>
    <m/>
    <m/>
    <m/>
  </r>
  <r>
    <s v="DSCN0531"/>
    <s v="M2370909_1"/>
    <n v="1"/>
    <n v="1"/>
    <s v="Mile 237"/>
    <d v="2018-09-09T00:00:00"/>
    <s v="September"/>
    <x v="1"/>
    <d v="1899-12-30T00:11:00"/>
    <s v="Full sun"/>
    <x v="16"/>
    <s v="Foraging"/>
    <s v="Spruce"/>
    <n v="1"/>
    <m/>
    <n v="0"/>
    <s v="Unknown"/>
    <s v="Unknown (Probably insect)"/>
    <s v="Exterior spruce foliage"/>
    <s v="NA"/>
    <s v="NA"/>
    <s v="NA"/>
    <s v="NA"/>
    <m/>
    <m/>
    <s v="NA"/>
    <s v="NA"/>
    <m/>
    <m/>
    <m/>
    <m/>
    <n v="0"/>
    <n v="2"/>
    <n v="0"/>
    <n v="2"/>
    <n v="0"/>
    <n v="0"/>
    <n v="2"/>
    <m/>
    <m/>
    <m/>
    <m/>
  </r>
  <r>
    <s v="DSCN0547"/>
    <s v="M2370909_7"/>
    <n v="7"/>
    <n v="1"/>
    <s v="Mile 237"/>
    <d v="2018-09-09T00:00:00"/>
    <s v="September"/>
    <x v="1"/>
    <d v="1899-12-30T00:09:00"/>
    <s v="Full sun"/>
    <x v="16"/>
    <s v="Foraging"/>
    <s v="Spruce"/>
    <s v="unknown"/>
    <m/>
    <n v="0"/>
    <s v="Unknown"/>
    <s v="Unknown"/>
    <s v="NA"/>
    <s v="NA"/>
    <s v="NA"/>
    <s v="NA"/>
    <s v="NA"/>
    <m/>
    <m/>
    <s v="NA"/>
    <s v="NA"/>
    <m/>
    <m/>
    <m/>
    <m/>
    <n v="0"/>
    <n v="6"/>
    <n v="6"/>
    <n v="0"/>
    <n v="0"/>
    <n v="0"/>
    <n v="6"/>
    <m/>
    <m/>
    <m/>
    <m/>
  </r>
  <r>
    <s v="DSCN0642"/>
    <s v="M2370912_1"/>
    <n v="1"/>
    <n v="1"/>
    <s v="Mile 237"/>
    <d v="2018-09-12T00:00:00"/>
    <s v="September"/>
    <x v="1"/>
    <d v="1899-12-30T01:42:00"/>
    <s v="Overcast"/>
    <x v="16"/>
    <s v="Foraging"/>
    <s v="Aspen"/>
    <n v="1"/>
    <m/>
    <n v="0"/>
    <s v="Unknown"/>
    <s v="Unknown"/>
    <s v="Under bare spruce branch bark"/>
    <s v="NA"/>
    <s v="NA"/>
    <s v="NA"/>
    <s v="NA"/>
    <m/>
    <m/>
    <s v="NA"/>
    <s v="NA"/>
    <m/>
    <m/>
    <m/>
    <m/>
    <n v="88"/>
    <n v="0"/>
    <n v="0"/>
    <n v="88"/>
    <n v="0"/>
    <n v="0"/>
    <n v="88"/>
    <s v="probing"/>
    <m/>
    <n v="6"/>
    <n v="0"/>
  </r>
  <r>
    <s v="DSCN0644"/>
    <s v="M2370912_3"/>
    <n v="3"/>
    <n v="1"/>
    <s v="Mile 237"/>
    <d v="2018-09-12T00:00:00"/>
    <s v="September"/>
    <x v="1"/>
    <d v="1899-12-30T00:36:00"/>
    <s v="Overcast"/>
    <x v="16"/>
    <s v="Foraging"/>
    <s v="Spruce"/>
    <n v="1"/>
    <m/>
    <n v="0"/>
    <s v="Unknown"/>
    <s v="Unknown, B&amp;Ut some part of spruce cone, probably seeds"/>
    <s v="Interior spruce foliage"/>
    <s v="NA"/>
    <s v="NA"/>
    <s v="NA"/>
    <s v="NA"/>
    <m/>
    <m/>
    <s v="NA"/>
    <s v="NA"/>
    <m/>
    <m/>
    <m/>
    <m/>
    <n v="0"/>
    <n v="36"/>
    <n v="36"/>
    <n v="0"/>
    <n v="0"/>
    <n v="0"/>
    <n v="36"/>
    <m/>
    <m/>
    <m/>
    <m/>
  </r>
  <r>
    <s v="DSCN0645"/>
    <s v="M2370912_4"/>
    <n v="4"/>
    <n v="1"/>
    <s v="Mile 237"/>
    <d v="2018-09-12T00:00:00"/>
    <s v="September"/>
    <x v="1"/>
    <d v="1899-12-30T01:03:00"/>
    <s v="Overcast"/>
    <x v="16"/>
    <s v="Foraging/caching"/>
    <s v="Spruce"/>
    <n v="1"/>
    <m/>
    <n v="1"/>
    <s v="Unknown"/>
    <s v="Unknown"/>
    <s v="Exterior foliated spruce"/>
    <s v="Exterior spruce foliage"/>
    <s v="Spruce"/>
    <s v="Exterior"/>
    <s v="Foliage"/>
    <m/>
    <m/>
    <s v="unknown"/>
    <s v="Did not mark (did not recognize as cache while in field)"/>
    <m/>
    <m/>
    <m/>
    <m/>
    <n v="0"/>
    <n v="2"/>
    <n v="0"/>
    <n v="2"/>
    <n v="0"/>
    <n v="0"/>
    <n v="2"/>
    <m/>
    <s v="Appeared to cache something in foliage (B&amp;Ut unconfirmed) then went and retrieved food item. Food item is unknown B&amp;Ut maybe congealed sap or seeds or something.    "/>
    <m/>
    <m/>
  </r>
  <r>
    <s v="DSCN0647"/>
    <s v="M2370912_5"/>
    <n v="5"/>
    <n v="1"/>
    <s v="Mile 237"/>
    <d v="2018-09-12T00:00:00"/>
    <s v="September"/>
    <x v="1"/>
    <d v="1899-12-30T01:47:00"/>
    <s v="Overcast"/>
    <x v="16"/>
    <s v="Food handling/caching"/>
    <s v="Spruce"/>
    <n v="0"/>
    <m/>
    <n v="1"/>
    <s v="Unknown"/>
    <s v="Unknown"/>
    <s v="NA"/>
    <s v="Interior spruce branch"/>
    <s v="Spruce"/>
    <s v="Interior"/>
    <s v="Branch"/>
    <m/>
    <m/>
    <s v="unknown"/>
    <n v="63.72578"/>
    <n v="148.88998000000001"/>
    <m/>
    <m/>
    <m/>
    <n v="0"/>
    <n v="0"/>
    <n v="0"/>
    <n v="0"/>
    <n v="0"/>
    <n v="0"/>
    <n v="0"/>
    <m/>
    <s v="Working at unknown food item from M2370923_4.  left some on branch from video.  That's the marked cache tree. "/>
    <m/>
    <m/>
  </r>
  <r>
    <s v="DSCN0648"/>
    <s v="M2370912_6"/>
    <n v="6"/>
    <n v="1"/>
    <s v="Mile 237"/>
    <d v="2018-09-12T00:00:00"/>
    <s v="September"/>
    <x v="1"/>
    <d v="1899-12-30T00:41:00"/>
    <s v="Overcast"/>
    <x v="16"/>
    <s v="Foraging/caching"/>
    <s v="Spruce"/>
    <s v="unknown"/>
    <m/>
    <n v="1"/>
    <s v="Unknown"/>
    <s v="Unknown"/>
    <s v="NA"/>
    <s v="Interior spruce foliage "/>
    <s v="Spruce"/>
    <s v="Interior"/>
    <s v="Foliage"/>
    <m/>
    <m/>
    <s v="unknown"/>
    <n v="63.725769999999997"/>
    <n v="148.89005"/>
    <m/>
    <m/>
    <m/>
    <n v="0"/>
    <n v="0"/>
    <n v="0"/>
    <n v="0"/>
    <n v="8"/>
    <n v="0"/>
    <n v="8"/>
    <m/>
    <s v="Cached part of unknown item from M2370912_4"/>
    <m/>
    <m/>
  </r>
  <r>
    <s v="DSCN0652"/>
    <s v="M2370912_7"/>
    <n v="7"/>
    <n v="1"/>
    <s v="Mile 237"/>
    <d v="2018-09-12T00:00:00"/>
    <s v="September"/>
    <x v="1"/>
    <d v="1899-12-30T00:21:00"/>
    <s v="Overcast"/>
    <x v="16"/>
    <s v="Foraging"/>
    <s v="Aspen"/>
    <n v="1"/>
    <m/>
    <n v="0"/>
    <s v="Unknown"/>
    <s v="Unknown"/>
    <s v="Aspen tree leaf stems"/>
    <s v="NA"/>
    <s v="NA"/>
    <s v="NA"/>
    <s v="NA"/>
    <m/>
    <m/>
    <s v="NA"/>
    <s v="NA"/>
    <m/>
    <m/>
    <m/>
    <m/>
    <n v="0"/>
    <n v="15"/>
    <n v="0"/>
    <n v="15"/>
    <n v="0"/>
    <n v="0"/>
    <n v="15"/>
    <s v="Gleaning"/>
    <m/>
    <n v="0"/>
    <n v="2"/>
  </r>
  <r>
    <s v="DSCN0901"/>
    <s v="M2370918_2"/>
    <n v="2"/>
    <n v="1"/>
    <s v="Mile 237"/>
    <d v="2018-09-18T00:00:00"/>
    <s v="September"/>
    <x v="1"/>
    <d v="1899-12-30T00:41:00"/>
    <s v="Partly Sunny"/>
    <x v="16"/>
    <s v="Caching"/>
    <s v="Spruce"/>
    <n v="0"/>
    <m/>
    <n v="1"/>
    <s v="Unknown"/>
    <s v="Unknown"/>
    <s v="unknown"/>
    <s v="low to ground Spruce branch/witch hair moss"/>
    <s v="Spruce"/>
    <s v="Exterior"/>
    <s v="Under bark and witch hair "/>
    <m/>
    <m/>
    <s v="unknown"/>
    <n v="63.724200000000003"/>
    <n v="148.88985"/>
    <m/>
    <m/>
    <m/>
    <n v="0"/>
    <n v="0"/>
    <n v="0"/>
    <n v="0"/>
    <n v="0"/>
    <n v="0"/>
    <n v="0"/>
    <m/>
    <s v="Strongly suspected by not 100% confident cache "/>
    <m/>
    <m/>
  </r>
  <r>
    <s v="DSCN0981"/>
    <s v="M2370921_1"/>
    <n v="1"/>
    <n v="1"/>
    <s v="Mile 237"/>
    <d v="2018-09-21T00:00:00"/>
    <s v="September"/>
    <x v="1"/>
    <d v="1899-12-30T00:21:00"/>
    <s v="Overcast, light rain"/>
    <x v="16"/>
    <s v="Caching"/>
    <s v="Spruce"/>
    <n v="0"/>
    <m/>
    <n v="1"/>
    <s v="Unknown"/>
    <s v="Unknown"/>
    <s v="unknown"/>
    <s v="Spruce trunk under bark"/>
    <s v="Spruce"/>
    <s v="Trunk"/>
    <s v="Under bark"/>
    <m/>
    <m/>
    <s v="unknown"/>
    <n v="63.723010000000002"/>
    <n v="148.88673"/>
    <m/>
    <m/>
    <m/>
    <n v="0"/>
    <n v="0"/>
    <n v="0"/>
    <n v="0"/>
    <n v="0"/>
    <n v="0"/>
    <n v="0"/>
    <m/>
    <m/>
    <m/>
    <m/>
  </r>
  <r>
    <s v="DSCN0982"/>
    <s v="M2370921_2"/>
    <n v="2"/>
    <n v="1"/>
    <s v="Mile 237"/>
    <d v="2018-09-21T00:00:00"/>
    <s v="September"/>
    <x v="1"/>
    <d v="1899-12-30T01:04:00"/>
    <s v="Overcast, light rain"/>
    <x v="16"/>
    <s v="Foraging"/>
    <s v="Spruce"/>
    <n v="1"/>
    <m/>
    <n v="0"/>
    <s v="Unknown"/>
    <s v="Unknown"/>
    <s v="Interior top of foilated spruce"/>
    <s v="NA"/>
    <s v="NA"/>
    <s v="NA"/>
    <s v="NA"/>
    <m/>
    <m/>
    <s v="NA"/>
    <s v="NA"/>
    <m/>
    <m/>
    <m/>
    <m/>
    <n v="0"/>
    <n v="19"/>
    <n v="19"/>
    <n v="0"/>
    <n v="0"/>
    <n v="0"/>
    <n v="19"/>
    <s v="Unknown"/>
    <m/>
    <m/>
    <m/>
  </r>
  <r>
    <s v="DSCN1199"/>
    <s v="M2370927_1"/>
    <n v="1"/>
    <n v="1"/>
    <s v="Mile 237"/>
    <d v="2018-09-27T00:00:00"/>
    <s v="September"/>
    <x v="1"/>
    <d v="1899-12-30T00:32:00"/>
    <s v="Partly Sunny"/>
    <x v="16"/>
    <s v="Foraging"/>
    <s v="NA"/>
    <n v="1"/>
    <m/>
    <n v="0"/>
    <s v="Insect"/>
    <s v="Insect (worm or caterpillar)"/>
    <s v="Ground"/>
    <s v="NA"/>
    <s v="NA"/>
    <s v="NA"/>
    <s v="NA"/>
    <m/>
    <m/>
    <s v="NA"/>
    <s v="NA"/>
    <m/>
    <m/>
    <m/>
    <m/>
    <n v="0"/>
    <n v="0"/>
    <n v="0"/>
    <n v="0"/>
    <n v="26"/>
    <n v="0"/>
    <n v="26"/>
    <m/>
    <m/>
    <m/>
    <m/>
  </r>
  <r>
    <s v="DSCN1200"/>
    <s v="M2370927_2"/>
    <n v="2"/>
    <n v="1"/>
    <s v="Mile 237"/>
    <d v="2018-09-27T00:00:00"/>
    <s v="September"/>
    <x v="1"/>
    <d v="1899-12-30T00:11:00"/>
    <s v="Partly Sunny"/>
    <x v="16"/>
    <s v="Caching"/>
    <s v="Spruce"/>
    <n v="0"/>
    <m/>
    <n v="1"/>
    <s v="Insect"/>
    <s v="Insect (worm or caterpillar)"/>
    <s v="NA"/>
    <s v="Interior bare spruce branch under bark"/>
    <s v="Spruce"/>
    <s v="Interior"/>
    <s v="Under bark"/>
    <m/>
    <m/>
    <n v="3"/>
    <n v="63.724089999999997"/>
    <n v="148.88977"/>
    <m/>
    <m/>
    <m/>
    <n v="0"/>
    <n v="0"/>
    <n v="0"/>
    <n v="0"/>
    <n v="0"/>
    <n v="0"/>
    <n v="0"/>
    <m/>
    <s v="Same food as in previous video."/>
    <m/>
    <m/>
  </r>
  <r>
    <s v="DSCN1203"/>
    <s v="M2370927_3"/>
    <n v="3"/>
    <n v="1"/>
    <s v="Mile 237"/>
    <d v="2018-09-27T00:00:00"/>
    <s v="September"/>
    <x v="1"/>
    <d v="1899-12-30T00:29:00"/>
    <s v="Partly Sunny"/>
    <x v="16"/>
    <s v="Foraging/caching"/>
    <s v="Spruce"/>
    <n v="1"/>
    <m/>
    <n v="1"/>
    <s v="Unknown"/>
    <s v="Unknown"/>
    <s v="Ground"/>
    <s v="Interior bare spruce branch under bark"/>
    <s v="Spruce"/>
    <s v="Interior"/>
    <s v="Under bark"/>
    <m/>
    <m/>
    <n v="17"/>
    <n v="63.723649999999999"/>
    <n v="148.88979"/>
    <m/>
    <m/>
    <m/>
    <n v="0"/>
    <n v="0"/>
    <n v="0"/>
    <n v="0"/>
    <n v="1"/>
    <n v="0"/>
    <n v="1"/>
    <m/>
    <s v="Didn't catch either on video, narration only. "/>
    <m/>
    <m/>
  </r>
  <r>
    <s v="DSCN1210"/>
    <s v="M2370927_4"/>
    <n v="4"/>
    <n v="1"/>
    <s v="Mile 237"/>
    <d v="2018-09-27T00:00:00"/>
    <s v="September"/>
    <x v="1"/>
    <d v="1899-12-30T00:24:00"/>
    <s v="Partly Sunny"/>
    <x v="16"/>
    <s v="Food handling"/>
    <s v="Spruce"/>
    <n v="1"/>
    <m/>
    <n v="0"/>
    <s v="Unknown"/>
    <s v="Unknown"/>
    <s v="unknown"/>
    <s v="NA"/>
    <s v="NA"/>
    <s v="NA"/>
    <s v="NA"/>
    <m/>
    <m/>
    <s v="NA"/>
    <s v="NA"/>
    <m/>
    <m/>
    <m/>
    <m/>
    <n v="0"/>
    <n v="0"/>
    <n v="0"/>
    <n v="0"/>
    <n v="0"/>
    <n v="0"/>
    <n v="0"/>
    <m/>
    <m/>
    <m/>
    <m/>
  </r>
  <r>
    <s v="DSCN1214"/>
    <s v="M2370927_6"/>
    <n v="6"/>
    <n v="1"/>
    <s v="Mile 237"/>
    <d v="2018-09-27T00:00:00"/>
    <s v="September"/>
    <x v="1"/>
    <d v="1899-12-30T00:23:00"/>
    <s v="Partly Sunny"/>
    <x v="16"/>
    <s v="Foraging"/>
    <s v="NA"/>
    <s v="unknown"/>
    <m/>
    <n v="0"/>
    <s v="Unknown"/>
    <s v="Unknown"/>
    <s v="NA"/>
    <s v="NA"/>
    <s v="NA"/>
    <s v="NA"/>
    <s v="NA"/>
    <m/>
    <m/>
    <s v="NA"/>
    <s v="NA"/>
    <m/>
    <m/>
    <m/>
    <m/>
    <n v="0"/>
    <n v="0"/>
    <n v="0"/>
    <n v="0"/>
    <n v="9"/>
    <n v="0"/>
    <n v="9"/>
    <m/>
    <m/>
    <m/>
    <m/>
  </r>
  <r>
    <s v="No video"/>
    <m/>
    <m/>
    <m/>
    <s v="Mile 237"/>
    <d v="2018-09-18T00:00:00"/>
    <s v="September"/>
    <x v="1"/>
    <m/>
    <s v="Overcast"/>
    <x v="16"/>
    <s v="Caching"/>
    <s v="Aspen"/>
    <n v="0"/>
    <m/>
    <n v="1"/>
    <s v="Unknown"/>
    <s v="Unknown"/>
    <s v="unknown"/>
    <s v="Aspen trunk "/>
    <s v="Aspen"/>
    <s v="Trunk"/>
    <s v="Under bark"/>
    <m/>
    <m/>
    <s v="Unknown"/>
    <n v="63.724319999999999"/>
    <n v="148.88916"/>
    <m/>
    <m/>
    <m/>
    <n v="0"/>
    <n v="0"/>
    <n v="0"/>
    <n v="0"/>
    <n v="0"/>
    <n v="0"/>
    <n v="0"/>
    <m/>
    <s v="Observed by DL"/>
    <m/>
    <m/>
  </r>
  <r>
    <s v="No video"/>
    <m/>
    <m/>
    <m/>
    <s v="Mile 237"/>
    <d v="2018-09-27T00:00:00"/>
    <s v="September"/>
    <x v="1"/>
    <m/>
    <s v="Partly Sunny"/>
    <x v="16"/>
    <s v="Foraging/caching"/>
    <s v="Spruce"/>
    <n v="1"/>
    <m/>
    <n v="1"/>
    <s v="Unknown"/>
    <s v="Unknown"/>
    <s v="Ground"/>
    <s v="Exterior spruce foliage"/>
    <s v="Spruce"/>
    <s v="Exterior"/>
    <s v="Foliage"/>
    <m/>
    <m/>
    <n v="3"/>
    <n v="63.724739999999997"/>
    <n v="148.88999999999999"/>
    <m/>
    <m/>
    <m/>
    <n v="0"/>
    <n v="0"/>
    <n v="0"/>
    <n v="0"/>
    <n v="2"/>
    <n v="0"/>
    <n v="2"/>
    <m/>
    <s v="Didn't catch either on video, B&amp;Ut KS witnessed both.  We were able to visually confirm cache, though we couldn't figure out what it was! "/>
    <m/>
    <m/>
  </r>
  <r>
    <s v="DSCN0164"/>
    <s v="WW0903_3"/>
    <n v="3"/>
    <n v="2"/>
    <s v="WAC West"/>
    <d v="2018-09-03T00:00:00"/>
    <s v="September"/>
    <x v="1"/>
    <d v="1899-12-30T00:41:00"/>
    <m/>
    <x v="23"/>
    <s v="Foraging"/>
    <s v="Spruce"/>
    <n v="1"/>
    <m/>
    <n v="0"/>
    <s v="Animal flesh"/>
    <s v="Animal flesh (Snowshoe hare)"/>
    <s v="Cached snowshoe hare leg in tree"/>
    <s v="NA"/>
    <s v="NA"/>
    <s v="NA"/>
    <s v="NA"/>
    <m/>
    <m/>
    <s v="NA"/>
    <s v="NA"/>
    <s v="NA"/>
    <m/>
    <m/>
    <m/>
    <n v="0"/>
    <n v="0"/>
    <n v="0"/>
    <n v="0"/>
    <n v="0"/>
    <n v="0"/>
    <n v="0"/>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69">
  <r>
    <s v="DCSN0402"/>
    <s v="M2370907_2"/>
    <n v="2"/>
    <n v="1"/>
    <s v="Mile 237"/>
    <d v="2018-09-07T00:00:00"/>
    <x v="0"/>
    <s v="Fall"/>
    <d v="1899-12-30T00:31:00"/>
    <s v="Overcast"/>
    <s v="YP/RS"/>
    <s v="Foraging"/>
    <s v="NA"/>
    <n v="1"/>
    <m/>
    <n v="0"/>
    <m/>
    <x v="0"/>
    <x v="0"/>
    <s v="Ground"/>
    <s v="NA"/>
    <s v="NA"/>
    <s v="NA"/>
    <s v="NA"/>
    <s v="NA"/>
    <s v="NA"/>
    <m/>
    <n v="0"/>
    <n v="0"/>
    <n v="0"/>
    <n v="0"/>
    <n v="7"/>
    <n v="0"/>
    <n v="7"/>
    <m/>
    <m/>
    <m/>
    <m/>
  </r>
  <r>
    <s v="DSCB1853"/>
    <s v="RC1017_5"/>
    <n v="5"/>
    <n v="1"/>
    <s v="CCAMP"/>
    <d v="2018-10-17T00:00:00"/>
    <x v="1"/>
    <s v="Fall"/>
    <d v="1899-12-30T00:16:00"/>
    <s v="Overcast"/>
    <s v="GB/BS"/>
    <s v="Foraging"/>
    <s v="Spruce"/>
    <s v="unknown"/>
    <m/>
    <n v="0"/>
    <m/>
    <x v="1"/>
    <x v="1"/>
    <s v="NA"/>
    <s v="NA"/>
    <s v="NA"/>
    <s v="NA"/>
    <s v="NA"/>
    <s v="NA"/>
    <s v="NA"/>
    <m/>
    <n v="0"/>
    <n v="16"/>
    <n v="0"/>
    <n v="16"/>
    <n v="0"/>
    <n v="0"/>
    <n v="16"/>
    <m/>
    <m/>
    <m/>
    <m/>
  </r>
  <r>
    <s v="DSCN0013"/>
    <s v="WW0828_1"/>
    <n v="1"/>
    <n v="1"/>
    <s v="WAC West"/>
    <d v="2018-08-28T00:00:00"/>
    <x v="2"/>
    <s v="Fall"/>
    <d v="1899-12-30T00:42:00"/>
    <s v="Partly cloudy"/>
    <s v="unknown"/>
    <s v="Foraging"/>
    <s v="Spruce"/>
    <s v="unknown"/>
    <m/>
    <s v="unknown"/>
    <m/>
    <x v="2"/>
    <x v="2"/>
    <s v="unknown"/>
    <s v="NA"/>
    <m/>
    <m/>
    <m/>
    <s v="NA"/>
    <s v="NA"/>
    <m/>
    <n v="0"/>
    <n v="44"/>
    <n v="26"/>
    <n v="18"/>
    <n v="0"/>
    <n v="0"/>
    <n v="44"/>
    <s v="searching"/>
    <m/>
    <n v="0"/>
    <n v="0"/>
  </r>
  <r>
    <s v="DSCN0015"/>
    <s v="WW0828_2"/>
    <n v="2"/>
    <n v="1"/>
    <s v="WAC West"/>
    <d v="2018-08-28T00:00:00"/>
    <x v="2"/>
    <s v="Fall"/>
    <d v="1899-12-30T00:11:00"/>
    <s v="Partly cloudy"/>
    <s v="unknown"/>
    <s v="Foraging"/>
    <s v="Spruce"/>
    <s v="unknown"/>
    <m/>
    <n v="0"/>
    <m/>
    <x v="2"/>
    <x v="2"/>
    <s v="unknown"/>
    <s v="NA"/>
    <s v="NA"/>
    <s v="NA"/>
    <s v="NA"/>
    <s v="NA"/>
    <s v="NA"/>
    <m/>
    <n v="0"/>
    <n v="10"/>
    <n v="0"/>
    <n v="10"/>
    <n v="0"/>
    <n v="0"/>
    <n v="10"/>
    <s v="Gleaning"/>
    <m/>
    <n v="0"/>
    <n v="1"/>
  </r>
  <r>
    <s v="DSCN0020"/>
    <s v="WW0828_3"/>
    <n v="3"/>
    <n v="1"/>
    <s v="WAC West"/>
    <d v="2018-08-28T00:00:00"/>
    <x v="2"/>
    <s v="Fall"/>
    <d v="1899-12-30T00:28:00"/>
    <s v="Partly cloudy"/>
    <s v="unknown"/>
    <s v="Food handling"/>
    <s v="Spruce"/>
    <n v="1"/>
    <m/>
    <n v="0"/>
    <m/>
    <x v="2"/>
    <x v="2"/>
    <s v="unknown"/>
    <s v="NA"/>
    <s v="NA"/>
    <s v="NA"/>
    <s v="NA"/>
    <s v="NA"/>
    <s v="NA"/>
    <m/>
    <n v="21"/>
    <n v="0"/>
    <n v="0"/>
    <n v="21"/>
    <n v="0"/>
    <n v="0"/>
    <n v="21"/>
    <s v="Food handling"/>
    <s v="Best guess is dried animal product "/>
    <n v="0"/>
    <n v="0"/>
  </r>
  <r>
    <s v="DSCN0021"/>
    <s v="WW0828_4"/>
    <n v="4"/>
    <n v="1"/>
    <s v="WAC West"/>
    <d v="2018-08-28T00:00:00"/>
    <x v="2"/>
    <s v="Fall"/>
    <d v="1899-12-30T00:33:00"/>
    <s v="Partly cloudy"/>
    <s v="unknown"/>
    <s v="Caching, forgaging"/>
    <s v="Spruce"/>
    <s v="unknown"/>
    <m/>
    <n v="1"/>
    <m/>
    <x v="2"/>
    <x v="2"/>
    <s v="unknown"/>
    <s v="Spruce trunk under bark"/>
    <s v="Spruce"/>
    <s v="Trunk"/>
    <s v="Under bark"/>
    <s v="Unknown"/>
    <s v="Did not mark (did not recognize as cache while in field)"/>
    <m/>
    <n v="33"/>
    <n v="0"/>
    <n v="33"/>
    <n v="0"/>
    <n v="0"/>
    <n v="0"/>
    <n v="33"/>
    <s v="Gleaning"/>
    <s v="Birds moves to other side of trunk and emerges with food.  Unclear if it got from from trunk or is just manipulating previously aquired food though so not counted as food acquisition. "/>
    <n v="0"/>
    <n v="0"/>
  </r>
  <r>
    <s v="DSCN0021"/>
    <s v="WW0828_4"/>
    <n v="4"/>
    <n v="2"/>
    <s v="WAC West"/>
    <d v="2018-08-28T00:00:00"/>
    <x v="2"/>
    <s v="Fall"/>
    <d v="1899-12-30T00:33:00"/>
    <s v="Partly cloudy"/>
    <s v="unknown"/>
    <s v="Foraging"/>
    <s v="Spruce"/>
    <s v="unknown"/>
    <m/>
    <n v="1"/>
    <m/>
    <x v="2"/>
    <x v="2"/>
    <s v="unknown"/>
    <s v="Interior bare spruce branch"/>
    <s v="Spruce"/>
    <s v="Interior"/>
    <s v="Branch"/>
    <s v="Unknown"/>
    <s v="Did not mark (did not recognize as cache while in field)"/>
    <m/>
    <n v="0"/>
    <n v="0"/>
    <n v="0"/>
    <n v="0"/>
    <n v="0"/>
    <n v="0"/>
    <n v="0"/>
    <s v="Gleaning"/>
    <m/>
    <n v="0"/>
    <n v="0"/>
  </r>
  <r>
    <s v="DSCN0023"/>
    <s v="WW0828_6"/>
    <n v="6"/>
    <n v="1"/>
    <s v="WAC West"/>
    <d v="2018-08-28T00:00:00"/>
    <x v="2"/>
    <s v="Fall"/>
    <d v="1899-12-30T00:16:00"/>
    <s v="Partly cloudy"/>
    <s v="BP/PS"/>
    <s v="Foraging"/>
    <s v="Spruce"/>
    <n v="1"/>
    <m/>
    <n v="0"/>
    <m/>
    <x v="0"/>
    <x v="0"/>
    <s v="Spruce exterior foliage"/>
    <s v="NA"/>
    <s v="NA"/>
    <s v="NA"/>
    <s v="NA"/>
    <s v="NA"/>
    <s v="NA"/>
    <m/>
    <n v="0"/>
    <n v="13"/>
    <n v="0"/>
    <n v="13"/>
    <n v="0"/>
    <n v="0"/>
    <n v="13"/>
    <s v="Attending known food item"/>
    <s v="First mushroom visit"/>
    <n v="0"/>
    <n v="0"/>
  </r>
  <r>
    <s v="DSCN0024"/>
    <s v="WW0828_5"/>
    <n v="5"/>
    <n v="1"/>
    <s v="WAC West"/>
    <d v="2018-08-28T00:00:00"/>
    <x v="2"/>
    <s v="Fall"/>
    <d v="1899-12-30T01:07:00"/>
    <s v="Partly cloudy"/>
    <s v="BP/PS"/>
    <s v="Foraging"/>
    <s v="Spruce"/>
    <n v="1"/>
    <m/>
    <n v="0"/>
    <m/>
    <x v="0"/>
    <x v="0"/>
    <s v="Spruce exterior foliage"/>
    <s v="NA"/>
    <s v="NA"/>
    <s v="NA"/>
    <s v="NA"/>
    <s v="NA"/>
    <s v="NA"/>
    <m/>
    <n v="0"/>
    <n v="18"/>
    <n v="0"/>
    <n v="18"/>
    <n v="0"/>
    <n v="0"/>
    <n v="18"/>
    <s v="Attending known food item"/>
    <s v="Second visit to mushroom that was cached in tree.  Original cacher unknown"/>
    <n v="0"/>
    <n v="0"/>
  </r>
  <r>
    <s v="DSCN0026"/>
    <s v="WW0828_7"/>
    <n v="7"/>
    <n v="1"/>
    <s v="WAC West"/>
    <d v="2018-08-28T00:00:00"/>
    <x v="2"/>
    <s v="Fall"/>
    <d v="1899-12-30T00:21:00"/>
    <s v="Partly cloudy"/>
    <s v="unknown"/>
    <s v="Foraging"/>
    <s v="NA"/>
    <s v="unknown"/>
    <m/>
    <n v="0"/>
    <m/>
    <x v="2"/>
    <x v="2"/>
    <s v="unknown"/>
    <s v="NA"/>
    <s v="NA"/>
    <s v="NA"/>
    <s v="NA"/>
    <s v="NA"/>
    <s v="NA"/>
    <m/>
    <n v="0"/>
    <n v="0"/>
    <n v="0"/>
    <n v="0"/>
    <n v="15"/>
    <n v="0"/>
    <n v="15"/>
    <s v="Searching/gleaning"/>
    <m/>
    <n v="0"/>
    <s v="unknown"/>
  </r>
  <r>
    <s v="DSCN0028"/>
    <s v="WW0828_8"/>
    <n v="8"/>
    <n v="1"/>
    <s v="WAC West"/>
    <d v="2018-08-28T00:00:00"/>
    <x v="2"/>
    <s v="Fall"/>
    <d v="1899-12-30T00:24:00"/>
    <s v="Partly cloudy"/>
    <s v="GG/BS"/>
    <s v="Foraging"/>
    <s v="NA"/>
    <n v="1"/>
    <s v="6 pecks"/>
    <n v="0"/>
    <m/>
    <x v="0"/>
    <x v="0"/>
    <s v="Ground"/>
    <s v="NA"/>
    <s v="NA"/>
    <s v="NA"/>
    <s v="NA"/>
    <s v="NA"/>
    <s v="NA"/>
    <m/>
    <n v="0"/>
    <n v="0"/>
    <n v="0"/>
    <n v="0"/>
    <n v="10"/>
    <n v="0"/>
    <n v="10"/>
    <s v="Gleaning"/>
    <s v="White item from ground.  Maybe mushroom or flower"/>
    <m/>
    <n v="8"/>
  </r>
  <r>
    <s v="DSCN0031"/>
    <s v="WW0828_9"/>
    <n v="9"/>
    <n v="1"/>
    <s v="WAC West"/>
    <d v="2018-08-28T00:00:00"/>
    <x v="2"/>
    <s v="Fall"/>
    <d v="1899-12-30T00:13:00"/>
    <s v="Partly cloudy"/>
    <s v="GG/BS"/>
    <s v="Foraging"/>
    <s v="Spruce"/>
    <s v="unknown"/>
    <m/>
    <n v="0"/>
    <m/>
    <x v="2"/>
    <x v="2"/>
    <s v="Spruce, exterior foliage"/>
    <s v="NA"/>
    <s v="NA"/>
    <s v="NA"/>
    <s v="NA"/>
    <s v="NA"/>
    <s v="NA"/>
    <m/>
    <n v="0"/>
    <n v="7"/>
    <n v="0"/>
    <n v="7"/>
    <n v="0"/>
    <n v="0"/>
    <n v="7"/>
    <s v="searching"/>
    <m/>
    <n v="0"/>
    <n v="0"/>
  </r>
  <r>
    <s v="DSCN0032"/>
    <s v="WW0828_10"/>
    <n v="10"/>
    <n v="1"/>
    <s v="WAC West"/>
    <d v="2018-08-28T00:00:00"/>
    <x v="2"/>
    <s v="Fall"/>
    <d v="1899-12-30T00:41:00"/>
    <s v="Partly cloudy"/>
    <s v="unknown"/>
    <s v="Foraging"/>
    <s v="Spruce"/>
    <n v="0"/>
    <m/>
    <n v="0"/>
    <m/>
    <x v="1"/>
    <x v="1"/>
    <s v="NA"/>
    <s v="NA"/>
    <s v="NA"/>
    <s v="NA"/>
    <s v="NA"/>
    <s v="NA"/>
    <s v="NA"/>
    <m/>
    <n v="0"/>
    <n v="0"/>
    <n v="0"/>
    <n v="0"/>
    <n v="0"/>
    <n v="0"/>
    <n v="0"/>
    <s v="searching"/>
    <s v="General searching from branch/perches"/>
    <n v="0"/>
    <n v="0"/>
  </r>
  <r>
    <s v="DSCN0034"/>
    <s v="WW0828_11"/>
    <n v="11"/>
    <n v="1"/>
    <s v="WAC West"/>
    <d v="2018-08-28T00:00:00"/>
    <x v="2"/>
    <s v="Fall"/>
    <d v="1899-12-30T00:33:00"/>
    <s v="Partly cloudy"/>
    <s v="BP/PS"/>
    <s v="Foraging"/>
    <s v="Spruce"/>
    <s v="unknown"/>
    <m/>
    <n v="1"/>
    <m/>
    <x v="2"/>
    <x v="2"/>
    <s v="Spruce trunk"/>
    <s v="Sprunce trunk at base of branch joint"/>
    <s v="Spruce"/>
    <s v="Trunk"/>
    <s v="Under bark"/>
    <n v="0"/>
    <s v="Did not mark (did not recognize as cache while in field)"/>
    <m/>
    <n v="11"/>
    <n v="0"/>
    <n v="11"/>
    <n v="0"/>
    <n v="0"/>
    <n v="0"/>
    <n v="11"/>
    <m/>
    <s v="Unclear if foraging or caching initially, B&amp;Ut then picks something off trunk and places it in another part of the tree. "/>
    <n v="0"/>
    <n v="5"/>
  </r>
  <r>
    <s v="DSCN0035"/>
    <s v="WW0828_12"/>
    <n v="12"/>
    <n v="1"/>
    <s v="WAC West"/>
    <d v="2018-08-28T00:00:00"/>
    <x v="2"/>
    <s v="Fall"/>
    <d v="1899-12-30T00:59:00"/>
    <s v="Partly cloudy"/>
    <s v="BP/PS"/>
    <s v="Foraging"/>
    <s v="Spruce"/>
    <s v="unknown"/>
    <m/>
    <n v="0"/>
    <m/>
    <x v="1"/>
    <x v="1"/>
    <s v="NA"/>
    <s v="NA"/>
    <s v="NA"/>
    <s v="NA"/>
    <s v="NA"/>
    <s v="NA"/>
    <s v="NA"/>
    <m/>
    <n v="36"/>
    <n v="0"/>
    <n v="19"/>
    <n v="17"/>
    <n v="0"/>
    <n v="0"/>
    <n v="36"/>
    <s v="Gleaning"/>
    <s v="Pulls something and drops it.  "/>
    <n v="0"/>
    <n v="2"/>
  </r>
  <r>
    <s v="DSCN0037"/>
    <s v="WW0828_13"/>
    <n v="13"/>
    <n v="1"/>
    <s v="WAC West"/>
    <d v="2018-08-28T00:00:00"/>
    <x v="2"/>
    <s v="Fall"/>
    <d v="1899-12-30T00:12:00"/>
    <s v="Partly cloudy"/>
    <s v="unknown"/>
    <s v="Foraging"/>
    <s v="Spruce"/>
    <n v="1"/>
    <m/>
    <n v="0"/>
    <m/>
    <x v="2"/>
    <x v="3"/>
    <s v="Interior spruce foliage"/>
    <s v="NA"/>
    <s v="NA"/>
    <s v="NA"/>
    <s v="NA"/>
    <s v="NA"/>
    <s v="NA"/>
    <m/>
    <n v="0"/>
    <n v="5"/>
    <n v="0"/>
    <n v="5"/>
    <n v="0"/>
    <n v="0"/>
    <n v="5"/>
    <s v="Gleaning"/>
    <s v="Looks like bolous"/>
    <n v="0"/>
    <n v="1"/>
  </r>
  <r>
    <s v="DSCN0043"/>
    <s v="B&amp;U0828_1"/>
    <n v="1"/>
    <n v="1"/>
    <s v="B&amp;U"/>
    <d v="2018-08-28T00:00:00"/>
    <x v="2"/>
    <s v="Fall"/>
    <d v="1899-12-30T00:14:00"/>
    <s v="Partly cloudy"/>
    <s v="unknown"/>
    <s v="Foraging"/>
    <s v="Spruce"/>
    <s v="unknown"/>
    <m/>
    <n v="0"/>
    <m/>
    <x v="2"/>
    <x v="2"/>
    <s v="NA"/>
    <s v="NA"/>
    <s v="NA"/>
    <s v="NA"/>
    <s v="NA"/>
    <s v="NA"/>
    <s v="NA"/>
    <m/>
    <n v="0"/>
    <n v="7"/>
    <n v="0"/>
    <n v="7"/>
    <n v="0"/>
    <n v="0"/>
    <n v="7"/>
    <s v="Gleaning"/>
    <m/>
    <n v="0"/>
    <n v="1"/>
  </r>
  <r>
    <s v="DSCN0046"/>
    <s v="CC0829_1"/>
    <n v="1"/>
    <n v="1"/>
    <s v="CCAMP"/>
    <d v="2018-08-29T00:00:00"/>
    <x v="2"/>
    <s v="Fall"/>
    <d v="1899-12-30T00:10:00"/>
    <s v="Partly cloudy"/>
    <s v="OB/?S"/>
    <s v="Foraging"/>
    <s v="Spruce"/>
    <s v="unknown"/>
    <m/>
    <n v="0"/>
    <m/>
    <x v="1"/>
    <x v="1"/>
    <s v="NA"/>
    <s v="NA"/>
    <s v="NA"/>
    <s v="NA"/>
    <s v="NA"/>
    <s v="NA"/>
    <s v="NA"/>
    <m/>
    <n v="10"/>
    <n v="0"/>
    <n v="10"/>
    <n v="0"/>
    <n v="0"/>
    <n v="0"/>
    <n v="10"/>
    <s v="Searching "/>
    <m/>
    <n v="0"/>
    <n v="0"/>
  </r>
  <r>
    <s v="DSCN0055"/>
    <s v="CC0829_2"/>
    <n v="2"/>
    <n v="1"/>
    <s v="CCAMP"/>
    <d v="2018-08-29T00:00:00"/>
    <x v="2"/>
    <s v="Fall"/>
    <d v="1899-12-30T00:41:00"/>
    <s v="Partly cloudy"/>
    <s v="unknown"/>
    <s v="Foraging"/>
    <s v="Spruce"/>
    <s v="unknown"/>
    <m/>
    <s v="unknown"/>
    <m/>
    <x v="2"/>
    <x v="2"/>
    <s v="unknown"/>
    <s v="unknown"/>
    <m/>
    <m/>
    <m/>
    <s v="NA"/>
    <s v="NA"/>
    <m/>
    <n v="0"/>
    <n v="8"/>
    <n v="0"/>
    <n v="8"/>
    <n v="0"/>
    <n v="0"/>
    <n v="8"/>
    <s v="Gleaning"/>
    <m/>
    <n v="0"/>
    <n v="2"/>
  </r>
  <r>
    <s v="DSCN0056"/>
    <s v="CC0829_3"/>
    <n v="3"/>
    <n v="1"/>
    <s v="CCAMP"/>
    <d v="2018-08-29T00:00:00"/>
    <x v="2"/>
    <s v="Fall"/>
    <d v="1899-12-30T00:27:00"/>
    <s v="Partly cloudy"/>
    <m/>
    <s v="Foraging"/>
    <s v="Spruce"/>
    <s v="unknown"/>
    <m/>
    <s v="unknown"/>
    <m/>
    <x v="2"/>
    <x v="2"/>
    <s v="unknown"/>
    <s v="unknown"/>
    <m/>
    <m/>
    <m/>
    <s v="NA"/>
    <s v="NA"/>
    <m/>
    <n v="24"/>
    <n v="0"/>
    <n v="24"/>
    <n v="0"/>
    <n v="0"/>
    <n v="0"/>
    <n v="24"/>
    <s v="Gleaning"/>
    <s v="Multiple birds "/>
    <n v="0"/>
    <s v="unknown"/>
  </r>
  <r>
    <s v="DSCN0057"/>
    <s v="CC0829_4"/>
    <n v="4"/>
    <n v="1"/>
    <s v="CCAMP"/>
    <d v="2018-08-29T00:00:00"/>
    <x v="2"/>
    <s v="Fall"/>
    <d v="1899-12-30T00:28:00"/>
    <s v="Partly cloudy"/>
    <s v="GB/BS"/>
    <s v="Foraging"/>
    <s v="NA"/>
    <s v="unknown"/>
    <m/>
    <n v="0"/>
    <m/>
    <x v="1"/>
    <x v="1"/>
    <s v="NA"/>
    <s v="NA"/>
    <s v="NA"/>
    <s v="NA"/>
    <s v="NA"/>
    <s v="NA"/>
    <s v="NA"/>
    <m/>
    <n v="0"/>
    <n v="0"/>
    <n v="0"/>
    <n v="0"/>
    <n v="15"/>
    <n v="0"/>
    <n v="15"/>
    <s v="Searching "/>
    <m/>
    <n v="0"/>
    <n v="0"/>
  </r>
  <r>
    <s v="DSCN0059"/>
    <s v="CC0829_5"/>
    <n v="5"/>
    <n v="1"/>
    <s v="CCAMP"/>
    <d v="2018-08-29T00:00:00"/>
    <x v="2"/>
    <s v="Fall"/>
    <d v="1899-12-30T02:07:00"/>
    <s v="Partly cloudy"/>
    <s v="GB/BS"/>
    <s v="Foraging"/>
    <s v="Spruce"/>
    <n v="1"/>
    <m/>
    <n v="0"/>
    <m/>
    <x v="2"/>
    <x v="2"/>
    <s v="Spruce trunk"/>
    <s v="NA"/>
    <s v="NA"/>
    <s v="NA"/>
    <s v="NA"/>
    <s v="NA"/>
    <s v="NA"/>
    <m/>
    <n v="30"/>
    <n v="0"/>
    <n v="20"/>
    <n v="10"/>
    <n v="71"/>
    <n v="0"/>
    <n v="101"/>
    <s v="Gleaning, searching "/>
    <m/>
    <n v="0"/>
    <n v="9"/>
  </r>
  <r>
    <s v="DSCN0059"/>
    <s v="CC0829_5"/>
    <n v="5"/>
    <n v="2"/>
    <s v="CCAMP"/>
    <d v="2018-08-29T00:00:00"/>
    <x v="2"/>
    <s v="Fall"/>
    <d v="1899-12-30T02:07:00"/>
    <s v="Partly cloudy"/>
    <s v="GB/BS"/>
    <s v="Foraging"/>
    <s v="Spruce"/>
    <n v="1"/>
    <m/>
    <n v="0"/>
    <m/>
    <x v="2"/>
    <x v="2"/>
    <s v="Exterior bare spruce branch tips"/>
    <s v="NA"/>
    <s v="NA"/>
    <s v="NA"/>
    <s v="NA"/>
    <s v="NA"/>
    <s v="NA"/>
    <m/>
    <n v="0"/>
    <n v="0"/>
    <n v="0"/>
    <n v="0"/>
    <n v="0"/>
    <n v="0"/>
    <n v="0"/>
    <s v="Gleaning, searching "/>
    <m/>
    <n v="0"/>
    <n v="9"/>
  </r>
  <r>
    <s v="DSCN0060"/>
    <s v="CC0829_6"/>
    <n v="6"/>
    <n v="1"/>
    <s v="CCAMP"/>
    <d v="2018-08-29T00:00:00"/>
    <x v="2"/>
    <s v="Fall"/>
    <d v="1899-12-30T00:55:00"/>
    <s v="Partly cloudy"/>
    <s v="GB/BS"/>
    <s v="Foraging/caching"/>
    <s v="Spruce"/>
    <n v="3"/>
    <s v="1  each trip"/>
    <n v="1"/>
    <m/>
    <x v="3"/>
    <x v="4"/>
    <s v="Ground"/>
    <s v="Interior spruce branch in witch hair "/>
    <s v="Spruce"/>
    <s v="Interior"/>
    <s v="Branch under witch hair"/>
    <s v="Unknown"/>
    <s v="Did not mark (were not marking at this time)"/>
    <m/>
    <n v="0"/>
    <n v="0"/>
    <n v="0"/>
    <n v="0"/>
    <n v="24"/>
    <n v="0"/>
    <n v="24"/>
    <s v="Searching "/>
    <s v="Aquired two berries, we watched it cache one in a tree, B&amp;Ut could not follow it for the second berry.  "/>
    <m/>
    <m/>
  </r>
  <r>
    <s v="DSCN0061"/>
    <s v="CC0829_7"/>
    <n v="7"/>
    <n v="1"/>
    <s v="CCAMP"/>
    <d v="2018-08-29T00:00:00"/>
    <x v="2"/>
    <s v="Fall"/>
    <d v="1899-12-30T00:20:00"/>
    <s v="Partly cloudy"/>
    <s v="GB/BS"/>
    <s v="Caching/foraging"/>
    <s v="Spruce"/>
    <n v="0"/>
    <m/>
    <n v="1"/>
    <m/>
    <x v="3"/>
    <x v="4"/>
    <s v="Ground"/>
    <s v="Exterior spruce branch in witch hair"/>
    <s v="Spruce"/>
    <s v="Exterior"/>
    <s v="Branch under witch hair"/>
    <s v="Unknown"/>
    <s v="Did not mark (were not marking at this time)"/>
    <m/>
    <n v="0"/>
    <n v="0"/>
    <n v="0"/>
    <n v="0"/>
    <n v="0"/>
    <n v="0"/>
    <n v="0"/>
    <s v="NA"/>
    <m/>
    <m/>
    <m/>
  </r>
  <r>
    <s v="DSCN0065"/>
    <s v="WW0830_1"/>
    <n v="1"/>
    <n v="1"/>
    <s v="WAC West"/>
    <d v="2018-08-30T00:00:00"/>
    <x v="2"/>
    <s v="Fall"/>
    <d v="1899-12-30T00:19:00"/>
    <s v="Partly cloudy; light rain"/>
    <s v="unknown"/>
    <s v="Foraging/Food handling"/>
    <s v="NA"/>
    <n v="1"/>
    <m/>
    <n v="0"/>
    <m/>
    <x v="4"/>
    <x v="5"/>
    <s v="Ground"/>
    <s v="NA"/>
    <s v="NA"/>
    <s v="NA"/>
    <s v="NA"/>
    <s v="NA"/>
    <s v="NA"/>
    <m/>
    <n v="0"/>
    <n v="0"/>
    <n v="0"/>
    <n v="0"/>
    <n v="0"/>
    <n v="0"/>
    <n v="0"/>
    <s v="Food handling"/>
    <m/>
    <m/>
    <m/>
  </r>
  <r>
    <s v="DSCN0072"/>
    <s v="WW0830_2"/>
    <n v="2"/>
    <n v="1"/>
    <s v="WAC West"/>
    <d v="2018-08-30T00:00:00"/>
    <x v="2"/>
    <s v="Fall"/>
    <d v="1899-12-30T00:31:00"/>
    <s v="Partly cloudy; light rain"/>
    <s v="GG/BS"/>
    <s v="Foraging"/>
    <s v="Spruce"/>
    <n v="1"/>
    <m/>
    <s v="unknown"/>
    <m/>
    <x v="0"/>
    <x v="0"/>
    <s v="spruce cache "/>
    <s v="NA"/>
    <m/>
    <m/>
    <m/>
    <s v="NA"/>
    <s v="NA"/>
    <m/>
    <n v="0"/>
    <n v="0"/>
    <n v="0"/>
    <n v="0"/>
    <n v="0"/>
    <n v="0"/>
    <n v="0"/>
    <s v="Food handling"/>
    <s v="Retrieved cached mushroom from bare branch of spruce tree. "/>
    <n v="0"/>
    <n v="0"/>
  </r>
  <r>
    <s v="DSCN0073"/>
    <s v="WW0830_3"/>
    <n v="3"/>
    <n v="1"/>
    <s v="WAC West"/>
    <d v="2018-08-30T00:00:00"/>
    <x v="2"/>
    <s v="Fall"/>
    <d v="1899-12-30T00:12:00"/>
    <s v="Partly cloudy; light rain"/>
    <s v="GG/BS"/>
    <s v="Food handling"/>
    <s v="Spruce"/>
    <n v="0"/>
    <m/>
    <n v="0"/>
    <m/>
    <x v="0"/>
    <x v="0"/>
    <s v="spruce cache "/>
    <s v="NA"/>
    <s v="NA"/>
    <s v="NA"/>
    <s v="NA"/>
    <s v="NA"/>
    <s v="NA"/>
    <m/>
    <n v="0"/>
    <n v="0"/>
    <n v="0"/>
    <n v="0"/>
    <n v="0"/>
    <n v="0"/>
    <n v="0"/>
    <s v="Food handling"/>
    <s v="Retrieved cached mushroom from bare branch of spruce tree (might have been the same mushroom from HS0830_2"/>
    <m/>
    <m/>
  </r>
  <r>
    <s v="DSCN0074"/>
    <s v="WW0830_4"/>
    <n v="4"/>
    <n v="1"/>
    <s v="WAC West"/>
    <d v="2018-08-30T00:00:00"/>
    <x v="2"/>
    <s v="Fall"/>
    <d v="1899-12-30T00:34:00"/>
    <s v="Partly cloudy; light rain"/>
    <s v="GG/BS"/>
    <s v="Food handling"/>
    <s v="Spruce"/>
    <n v="0"/>
    <m/>
    <n v="0"/>
    <m/>
    <x v="0"/>
    <x v="0"/>
    <s v="spruce cache "/>
    <s v="NA"/>
    <s v="NA"/>
    <s v="NA"/>
    <s v="NA"/>
    <s v="NA"/>
    <s v="NA"/>
    <m/>
    <n v="0"/>
    <n v="0"/>
    <n v="0"/>
    <n v="0"/>
    <n v="0"/>
    <n v="0"/>
    <n v="0"/>
    <s v="Food handling"/>
    <s v="Retrieved cached mushroom from bare branch of spruce tree (might have been the same mushroom from HS0830_2; WAS SAME FROM HS0830_3)"/>
    <m/>
    <m/>
  </r>
  <r>
    <s v="DSCN0075"/>
    <s v="WW0830_5"/>
    <n v="5"/>
    <n v="1"/>
    <s v="WAC West"/>
    <d v="2018-08-30T00:00:00"/>
    <x v="2"/>
    <s v="Fall"/>
    <d v="1899-12-30T00:27:00"/>
    <s v="Partly cloudy; light rain"/>
    <s v="BP/PS"/>
    <s v="Foraging"/>
    <s v="Spruce"/>
    <n v="1"/>
    <m/>
    <n v="1"/>
    <m/>
    <x v="2"/>
    <x v="2"/>
    <s v="Ground"/>
    <s v="Exterior bare spruce branch under bark"/>
    <s v="Spruce"/>
    <s v="Exterior"/>
    <s v="Under bark"/>
    <n v="1"/>
    <s v="Did not mark (did not recognize as cache while in field)"/>
    <m/>
    <n v="6"/>
    <n v="0"/>
    <n v="0"/>
    <n v="6"/>
    <n v="11"/>
    <n v="0"/>
    <n v="17"/>
    <s v="unknown"/>
    <s v="Foraging followed by clear cache (spit visible)"/>
    <n v="0"/>
    <n v="0"/>
  </r>
  <r>
    <s v="DSCN0076"/>
    <s v="WW0830_6"/>
    <n v="6"/>
    <n v="1"/>
    <s v="WAC West"/>
    <d v="2018-08-30T00:00:00"/>
    <x v="2"/>
    <s v="Fall"/>
    <d v="1899-12-30T01:15:00"/>
    <s v="Partly cloudy; light rain"/>
    <s v="GG/BS"/>
    <s v="Foraging"/>
    <s v="Spruce"/>
    <n v="1"/>
    <m/>
    <n v="0"/>
    <m/>
    <x v="2"/>
    <x v="2"/>
    <s v="Exterior bare spruce branch"/>
    <s v="NA"/>
    <s v="NA"/>
    <s v="NA"/>
    <s v="NA"/>
    <s v="NA"/>
    <s v="NA"/>
    <m/>
    <n v="4"/>
    <n v="0"/>
    <n v="0"/>
    <n v="4"/>
    <n v="26"/>
    <n v="0"/>
    <n v="30"/>
    <s v="appeared to fly directly to places where food was "/>
    <s v="Substance ID by Kaeli as slime mob.  A sample was collected in the field. "/>
    <n v="1"/>
    <n v="0"/>
  </r>
  <r>
    <s v="DSCN0076"/>
    <s v="WW0830_6"/>
    <n v="6"/>
    <n v="2"/>
    <s v="WAC West"/>
    <d v="2018-08-30T00:00:00"/>
    <x v="2"/>
    <s v="Fall"/>
    <d v="1899-12-30T01:15:00"/>
    <s v="Partly cloudy; light rain"/>
    <s v="GG/BS"/>
    <s v="Foraging"/>
    <s v="Spruce"/>
    <n v="1"/>
    <m/>
    <n v="0"/>
    <m/>
    <x v="5"/>
    <x v="6"/>
    <s v="Ground"/>
    <s v="NA"/>
    <s v="NA"/>
    <s v="NA"/>
    <s v="NA"/>
    <s v="NA"/>
    <s v="NA"/>
    <m/>
    <n v="0"/>
    <n v="0"/>
    <n v="0"/>
    <n v="0"/>
    <n v="0"/>
    <n v="0"/>
    <n v="0"/>
    <s v="appeared to fly directly to places where food was "/>
    <s v="Substance ID by Kaeli as slime mob.  A sample was collected in the field. "/>
    <n v="1"/>
    <n v="0"/>
  </r>
  <r>
    <s v="DSCN0077"/>
    <s v="WW0830_7"/>
    <n v="7"/>
    <n v="1"/>
    <s v="WAC West"/>
    <d v="2018-08-30T00:00:00"/>
    <x v="2"/>
    <s v="Fall"/>
    <d v="1899-12-30T00:40:00"/>
    <s v="Partly cloudy; light rain"/>
    <s v="GG/BS"/>
    <s v="Foraging"/>
    <s v="NA"/>
    <n v="1"/>
    <m/>
    <n v="0"/>
    <m/>
    <x v="5"/>
    <x v="7"/>
    <s v="Ground"/>
    <s v="NA"/>
    <s v="NA"/>
    <s v="NA"/>
    <s v="NA"/>
    <s v="NA"/>
    <s v="NA"/>
    <m/>
    <n v="0"/>
    <n v="0"/>
    <n v="0"/>
    <n v="0"/>
    <n v="0"/>
    <n v="0"/>
    <n v="0"/>
    <s v="9 second of feeding from slime mold"/>
    <s v="Substance ID by Kaeli as slime mob.  A sample was collected in the field. "/>
    <n v="0"/>
    <n v="0"/>
  </r>
  <r>
    <s v="DSCN0081"/>
    <s v="B&amp;U0830_1"/>
    <n v="1"/>
    <n v="1"/>
    <s v="B&amp;U"/>
    <d v="2018-08-30T00:00:00"/>
    <x v="2"/>
    <s v="Fall"/>
    <d v="1899-12-30T00:38:00"/>
    <s v="Partly cloudy; light rain"/>
    <s v="GR/PS"/>
    <s v="Foraging"/>
    <s v="Spruce"/>
    <s v="unknown"/>
    <m/>
    <s v="unknown"/>
    <m/>
    <x v="2"/>
    <x v="2"/>
    <s v="unknown"/>
    <s v="unknown"/>
    <m/>
    <m/>
    <m/>
    <s v="NA"/>
    <s v="NA"/>
    <m/>
    <n v="0"/>
    <n v="24"/>
    <n v="24"/>
    <n v="0"/>
    <n v="0"/>
    <n v="0"/>
    <n v="24"/>
    <s v="Searching; unknown"/>
    <s v="Largley blocked by foliage B&amp;Ut it was obviously B&amp;Usy. "/>
    <n v="0"/>
    <n v="0"/>
  </r>
  <r>
    <s v="DSCN0083"/>
    <s v="B&amp;U0830_2"/>
    <n v="2"/>
    <n v="1"/>
    <s v="B&amp;U"/>
    <d v="2018-08-30T00:00:00"/>
    <x v="2"/>
    <s v="Fall"/>
    <d v="1899-12-30T00:45:00"/>
    <s v="Partly cloudy; light rain"/>
    <s v="WP/BS"/>
    <s v="Unknown"/>
    <s v="Spruce"/>
    <s v="unknown"/>
    <m/>
    <s v="unknown"/>
    <m/>
    <x v="2"/>
    <x v="2"/>
    <s v="unknown"/>
    <s v="unknown"/>
    <m/>
    <m/>
    <m/>
    <s v="NA"/>
    <s v="NA"/>
    <m/>
    <s v="unknown"/>
    <s v="unknown"/>
    <s v="unknown"/>
    <s v="unknown"/>
    <n v="0"/>
    <n v="0"/>
    <n v="0"/>
    <s v="unknown"/>
    <s v="Was doing something in the foliated interior of a spruce B&amp;Ut who knows what?! "/>
    <n v="0"/>
    <n v="0"/>
  </r>
  <r>
    <s v="DSCN0085"/>
    <s v="B&amp;U0830_3"/>
    <n v="3"/>
    <n v="1"/>
    <s v="B&amp;U"/>
    <d v="2018-08-30T00:00:00"/>
    <x v="2"/>
    <s v="Fall"/>
    <d v="1899-12-30T00:51:00"/>
    <s v="Partly cloudy; light rain"/>
    <s v="WP/BS"/>
    <s v="Foraging/unknown"/>
    <s v="Spruce"/>
    <s v="unknown"/>
    <m/>
    <s v="unknown"/>
    <m/>
    <x v="2"/>
    <x v="2"/>
    <s v="NA"/>
    <s v="NA"/>
    <m/>
    <m/>
    <m/>
    <s v="NA"/>
    <s v="NA"/>
    <m/>
    <n v="23"/>
    <n v="0"/>
    <n v="0"/>
    <n v="23"/>
    <n v="0"/>
    <n v="0"/>
    <n v="23"/>
    <s v="Searching; unknown"/>
    <s v="Spent 22 second in interior on trunk doing something…"/>
    <n v="0"/>
    <n v="0"/>
  </r>
  <r>
    <s v="DSCN0088"/>
    <s v="B&amp;U0830_4"/>
    <n v="4"/>
    <n v="1"/>
    <s v="B&amp;U"/>
    <d v="2018-08-30T00:00:00"/>
    <x v="2"/>
    <s v="Fall"/>
    <d v="1899-12-30T00:32:00"/>
    <s v="Partly cloudy; light rain"/>
    <s v="WP/BS"/>
    <s v="Food handling"/>
    <s v="Spruce"/>
    <n v="1"/>
    <m/>
    <s v="unknown"/>
    <m/>
    <x v="0"/>
    <x v="0"/>
    <s v="unknown"/>
    <s v="NA"/>
    <m/>
    <m/>
    <m/>
    <s v="NA"/>
    <s v="NA"/>
    <m/>
    <n v="0"/>
    <n v="0"/>
    <n v="0"/>
    <n v="0"/>
    <n v="0"/>
    <n v="0"/>
    <n v="0"/>
    <s v="Food handling"/>
    <s v="Eating mushroom; two locations "/>
    <n v="0"/>
    <n v="0"/>
  </r>
  <r>
    <s v="DSCN0089"/>
    <s v="B&amp;U0830_5"/>
    <n v="5"/>
    <n v="1"/>
    <s v="B&amp;U"/>
    <d v="2018-08-30T00:00:00"/>
    <x v="2"/>
    <s v="Fall"/>
    <d v="1899-12-30T00:31:00"/>
    <s v="Partly cloudy; light rain"/>
    <s v="GR/PS"/>
    <s v="Caching"/>
    <s v="Spruce"/>
    <n v="0"/>
    <m/>
    <n v="1"/>
    <m/>
    <x v="0"/>
    <x v="0"/>
    <s v="Spruce bare branch"/>
    <s v="Interior spruce foliage"/>
    <s v="Spruce"/>
    <s v="Interior"/>
    <s v="Foliage"/>
    <s v="Unknown"/>
    <s v="Did not mark (were not marking at this time)"/>
    <m/>
    <n v="0"/>
    <n v="0"/>
    <n v="0"/>
    <n v="0"/>
    <n v="0"/>
    <n v="0"/>
    <n v="0"/>
    <s v="caching"/>
    <s v="Cached mushroom from B&amp;U0830_4"/>
    <n v="0"/>
    <n v="0"/>
  </r>
  <r>
    <s v="DSCN0090"/>
    <s v="B&amp;U0830_6"/>
    <n v="6"/>
    <n v="2"/>
    <s v="B&amp;U"/>
    <d v="2018-08-30T00:00:00"/>
    <x v="2"/>
    <s v="Fall"/>
    <d v="1899-12-30T01:36:00"/>
    <s v="Partly cloudy; light rain"/>
    <s v="GR/PS"/>
    <s v="Caching"/>
    <s v="Spruce"/>
    <n v="1"/>
    <m/>
    <n v="0"/>
    <m/>
    <x v="2"/>
    <x v="2"/>
    <s v="Exterior foliated spruce"/>
    <s v="NA"/>
    <s v="NA"/>
    <s v="NA"/>
    <s v="NA"/>
    <s v="NA"/>
    <s v="NA"/>
    <m/>
    <n v="0"/>
    <n v="0"/>
    <n v="0"/>
    <n v="0"/>
    <n v="0"/>
    <n v="0"/>
    <n v="0"/>
    <s v="searching"/>
    <s v="Pulls something out of tree. Likely &quot;soft&quot;/temporary cache"/>
    <n v="0"/>
    <n v="0"/>
  </r>
  <r>
    <s v="DSCN0090"/>
    <s v="B&amp;U0830_6"/>
    <n v="6"/>
    <n v="1"/>
    <s v="B&amp;U"/>
    <d v="2018-08-30T00:00:00"/>
    <x v="2"/>
    <s v="Fall"/>
    <d v="1899-12-30T01:36:00"/>
    <s v="Partly cloudy; light rain"/>
    <s v="GR/PS"/>
    <s v="Caching"/>
    <s v="Spruce"/>
    <n v="0"/>
    <m/>
    <n v="1"/>
    <m/>
    <x v="2"/>
    <x v="2"/>
    <s v="unknown"/>
    <s v="Under bark of spruce trunk "/>
    <s v="Spruce"/>
    <s v="Trunk"/>
    <s v="Under bark"/>
    <s v="Unknown"/>
    <s v="Did not mark (were not marking at this time)"/>
    <m/>
    <n v="6"/>
    <n v="25"/>
    <n v="16"/>
    <n v="15"/>
    <n v="0"/>
    <n v="0"/>
    <n v="31"/>
    <s v="searching"/>
    <s v="Something happens at 0:10 mark B&amp;Ut unclear if foraging or caching. Following cache is very clear."/>
    <n v="0"/>
    <n v="0"/>
  </r>
  <r>
    <s v="DSCN0090"/>
    <s v="B&amp;U0830_6"/>
    <n v="6"/>
    <n v="3"/>
    <s v="B&amp;U"/>
    <d v="2018-08-30T00:00:00"/>
    <x v="2"/>
    <s v="Fall"/>
    <d v="1899-12-30T01:36:00"/>
    <s v="Partly cloudy; light rain"/>
    <s v="GR/PS"/>
    <s v="Caching"/>
    <s v="Spruce"/>
    <n v="0"/>
    <m/>
    <n v="1"/>
    <m/>
    <x v="2"/>
    <x v="2"/>
    <s v="Exterior foliated spruce"/>
    <s v="Exterior spruce branch under bark/witch hair"/>
    <s v="Spruce"/>
    <s v="Exterior"/>
    <s v="Branch under witch hair"/>
    <s v="Unknown"/>
    <s v="Did not mark (were not marking at this time)"/>
    <m/>
    <n v="0"/>
    <n v="0"/>
    <n v="0"/>
    <n v="0"/>
    <n v="0"/>
    <n v="0"/>
    <n v="0"/>
    <s v="searching"/>
    <s v="Caches item from earlier in clip. "/>
    <n v="0"/>
    <n v="0"/>
  </r>
  <r>
    <s v="DSCN0092"/>
    <s v="B&amp;U0830_7"/>
    <n v="7"/>
    <n v="1"/>
    <s v="B&amp;U"/>
    <d v="2018-08-30T00:00:00"/>
    <x v="2"/>
    <s v="Fall"/>
    <d v="1899-12-30T00:28:00"/>
    <s v="Partly cloudy; light rain"/>
    <s v="WP/BS"/>
    <s v="Unknown"/>
    <s v="Spruce"/>
    <s v="unknown"/>
    <m/>
    <s v="unknown"/>
    <m/>
    <x v="2"/>
    <x v="2"/>
    <s v="unknown"/>
    <s v="unknown"/>
    <m/>
    <m/>
    <m/>
    <s v="NA"/>
    <s v="NA"/>
    <m/>
    <s v="unknown"/>
    <s v="unknown"/>
    <s v="unknown"/>
    <s v="unknown"/>
    <n v="0"/>
    <n v="0"/>
    <n v="0"/>
    <s v="unknown"/>
    <s v="Foraging? Looking for cache site? Unclear. "/>
    <n v="0"/>
    <n v="0"/>
  </r>
  <r>
    <s v="DSCN0094"/>
    <s v="B&amp;U0830_8"/>
    <n v="8"/>
    <n v="1"/>
    <s v="B&amp;U"/>
    <d v="2018-08-30T00:00:00"/>
    <x v="2"/>
    <s v="Fall"/>
    <d v="1899-12-30T00:08:00"/>
    <s v="Partly cloudy; light rain"/>
    <s v="WP/BS"/>
    <s v="Foraging"/>
    <s v="Spruce"/>
    <n v="1"/>
    <m/>
    <n v="0"/>
    <m/>
    <x v="6"/>
    <x v="8"/>
    <s v="Spruce branch"/>
    <s v="NA"/>
    <s v="NA"/>
    <s v="NA"/>
    <s v="NA"/>
    <s v="NA"/>
    <s v="NA"/>
    <m/>
    <n v="0"/>
    <n v="0"/>
    <n v="0"/>
    <n v="0"/>
    <n v="0"/>
    <n v="0"/>
    <n v="0"/>
    <n v="0"/>
    <s v="Food handling only "/>
    <n v="0"/>
    <n v="0"/>
  </r>
  <r>
    <s v="DSCN0096"/>
    <s v="B&amp;U0830_9"/>
    <n v="9"/>
    <n v="1"/>
    <s v="B&amp;U"/>
    <d v="2018-08-30T00:00:00"/>
    <x v="2"/>
    <s v="Fall"/>
    <d v="1899-12-30T00:51:00"/>
    <s v="Partly cloudy; light rain"/>
    <s v="GR/PS"/>
    <s v="Caching/foraging"/>
    <s v="Spruce"/>
    <n v="1"/>
    <m/>
    <n v="1"/>
    <m/>
    <x v="0"/>
    <x v="0"/>
    <s v="Interior spruce tree"/>
    <s v="Interior spruce foliage"/>
    <s v="Spruce"/>
    <s v="Interior"/>
    <s v="Foliage"/>
    <s v="Unknown"/>
    <s v="Did not mark (were not marking at this time)"/>
    <m/>
    <s v="unknown"/>
    <s v="unknown"/>
    <s v="unknown"/>
    <s v="unknown"/>
    <n v="8"/>
    <n v="0"/>
    <n v="8"/>
    <s v="unknown"/>
    <s v="Unclear if foraging or looking for cache location.  Was clearly manipulating food in bill. "/>
    <m/>
    <m/>
  </r>
  <r>
    <s v="DSCN0097"/>
    <s v="B&amp;U0830_10"/>
    <n v="10"/>
    <n v="1"/>
    <s v="B&amp;U"/>
    <d v="2018-08-30T00:00:00"/>
    <x v="2"/>
    <s v="Fall"/>
    <d v="1899-12-30T00:30:00"/>
    <s v="Partly cloudy; light rain"/>
    <s v="WP/BS"/>
    <s v="Foraging"/>
    <s v="NA"/>
    <n v="1"/>
    <m/>
    <n v="0"/>
    <m/>
    <x v="3"/>
    <x v="4"/>
    <s v="Ground"/>
    <s v="NA"/>
    <s v="NA"/>
    <s v="NA"/>
    <s v="NA"/>
    <s v="NA"/>
    <s v="NA"/>
    <m/>
    <n v="0"/>
    <n v="0"/>
    <n v="0"/>
    <n v="0"/>
    <n v="20"/>
    <n v="0"/>
    <n v="20"/>
    <s v="Searching "/>
    <m/>
    <n v="0"/>
    <n v="0"/>
  </r>
  <r>
    <s v="DSCN0100"/>
    <s v="B&amp;U0830_11"/>
    <n v="11"/>
    <n v="1"/>
    <s v="B&amp;U"/>
    <d v="2018-08-30T00:00:00"/>
    <x v="2"/>
    <s v="Fall"/>
    <d v="1899-12-30T01:54:00"/>
    <s v="Partly cloudy; light rain"/>
    <s v="WP/BS"/>
    <s v="Foraging"/>
    <s v="Spruce"/>
    <n v="1"/>
    <m/>
    <n v="0"/>
    <m/>
    <x v="2"/>
    <x v="2"/>
    <s v="Spruce bare branch"/>
    <s v="NA"/>
    <s v="NA"/>
    <s v="NA"/>
    <s v="NA"/>
    <s v="NA"/>
    <s v="NA"/>
    <m/>
    <n v="18"/>
    <n v="0"/>
    <n v="0"/>
    <n v="18"/>
    <n v="0"/>
    <n v="0"/>
    <n v="18"/>
    <s v="Searching "/>
    <m/>
    <n v="0"/>
    <n v="0"/>
  </r>
  <r>
    <s v="DSCN0101"/>
    <s v="B&amp;U0830_12"/>
    <n v="12"/>
    <n v="1"/>
    <s v="B&amp;U"/>
    <d v="2018-08-30T00:00:00"/>
    <x v="2"/>
    <s v="Fall"/>
    <d v="1899-12-30T00:35:00"/>
    <s v="Partly cloudy; light rain"/>
    <s v="WP/BS"/>
    <s v="Foraging"/>
    <s v="Spruce"/>
    <s v="unknown"/>
    <m/>
    <n v="0"/>
    <m/>
    <x v="2"/>
    <x v="2"/>
    <s v="NA"/>
    <s v="NA"/>
    <s v="NA"/>
    <s v="NA"/>
    <s v="NA"/>
    <s v="NA"/>
    <s v="NA"/>
    <m/>
    <n v="18"/>
    <n v="0"/>
    <n v="18"/>
    <n v="0"/>
    <n v="0"/>
    <n v="0"/>
    <n v="18"/>
    <s v="Searching "/>
    <m/>
    <n v="0"/>
    <n v="1"/>
  </r>
  <r>
    <s v="DSCN0108"/>
    <s v="RC0831_1"/>
    <n v="1"/>
    <n v="1"/>
    <s v="Rock Creek"/>
    <d v="2018-08-31T00:00:00"/>
    <x v="2"/>
    <s v="Fall"/>
    <d v="1899-12-30T00:26:00"/>
    <m/>
    <s v="GW/BS"/>
    <s v="Foraging"/>
    <s v="NA"/>
    <n v="0"/>
    <m/>
    <n v="0"/>
    <m/>
    <x v="1"/>
    <x v="1"/>
    <s v="NA"/>
    <s v="NA"/>
    <s v="NA"/>
    <s v="NA"/>
    <s v="NA"/>
    <s v="NA"/>
    <s v="NA"/>
    <m/>
    <n v="0"/>
    <n v="0"/>
    <n v="0"/>
    <n v="0"/>
    <n v="26"/>
    <n v="0"/>
    <n v="26"/>
    <s v="searching"/>
    <s v="was searching a squirrel midden "/>
    <n v="0"/>
    <n v="0"/>
  </r>
  <r>
    <s v="DSCN0110"/>
    <s v="RC0831_2"/>
    <n v="2"/>
    <n v="1"/>
    <s v="Rock Creek"/>
    <d v="2018-08-31T00:00:00"/>
    <x v="2"/>
    <s v="Fall"/>
    <d v="1899-12-30T00:37:00"/>
    <m/>
    <s v="unknown"/>
    <s v="Foraging"/>
    <s v="NA"/>
    <n v="1"/>
    <n v="2"/>
    <n v="0"/>
    <m/>
    <x v="3"/>
    <x v="4"/>
    <s v="Ground"/>
    <s v="NA"/>
    <s v="NA"/>
    <s v="NA"/>
    <s v="NA"/>
    <s v="NA"/>
    <s v="NA"/>
    <m/>
    <n v="0"/>
    <n v="0"/>
    <n v="0"/>
    <n v="0"/>
    <n v="6"/>
    <n v="0"/>
    <n v="6"/>
    <s v="plucking berries"/>
    <m/>
    <m/>
    <m/>
  </r>
  <r>
    <s v="DSCN0115"/>
    <s v="RC0831_3"/>
    <n v="3"/>
    <n v="1"/>
    <s v="Rock Creek"/>
    <d v="2018-08-31T00:00:00"/>
    <x v="2"/>
    <s v="Fall"/>
    <d v="1899-12-30T00:55:00"/>
    <m/>
    <s v="unknown"/>
    <s v="Foraging"/>
    <s v="Spruce"/>
    <n v="1"/>
    <m/>
    <n v="0"/>
    <m/>
    <x v="2"/>
    <x v="2"/>
    <s v="Ground"/>
    <s v="NA"/>
    <s v="NA"/>
    <s v="NA"/>
    <s v="NA"/>
    <s v="NA"/>
    <s v="NA"/>
    <m/>
    <n v="0"/>
    <n v="0"/>
    <n v="0"/>
    <n v="0"/>
    <n v="19"/>
    <n v="0"/>
    <n v="19"/>
    <s v="unknown"/>
    <s v="Has piece of food while in spruce tree, B&amp;Ut unclear where it got it from.  "/>
    <m/>
    <m/>
  </r>
  <r>
    <s v="DSCN0115"/>
    <s v="RC0831_3"/>
    <n v="3"/>
    <n v="2"/>
    <s v="Rock Creek"/>
    <d v="2018-08-31T00:00:00"/>
    <x v="2"/>
    <s v="Fall"/>
    <d v="1899-12-30T00:55:00"/>
    <m/>
    <s v="unknown"/>
    <s v="Foraging"/>
    <s v="Spruce"/>
    <n v="1"/>
    <m/>
    <n v="0"/>
    <m/>
    <x v="2"/>
    <x v="2"/>
    <s v="Ground"/>
    <s v="NA"/>
    <s v="NA"/>
    <s v="NA"/>
    <s v="NA"/>
    <s v="NA"/>
    <s v="NA"/>
    <m/>
    <n v="0"/>
    <n v="0"/>
    <n v="0"/>
    <n v="0"/>
    <n v="0"/>
    <n v="0"/>
    <n v="0"/>
    <s v="unknown"/>
    <s v="(foraging obscured by veg)"/>
    <m/>
    <m/>
  </r>
  <r>
    <s v="DSCN0123"/>
    <s v="M3.50831_1"/>
    <n v="1"/>
    <n v="1"/>
    <s v="Mile 3.5"/>
    <d v="2018-08-31T00:00:00"/>
    <x v="2"/>
    <s v="Fall"/>
    <d v="1899-12-30T00:33:00"/>
    <m/>
    <s v="unknown"/>
    <s v="Foraging"/>
    <s v="Spruce"/>
    <s v="unknown"/>
    <m/>
    <s v="unknown"/>
    <m/>
    <x v="2"/>
    <x v="2"/>
    <s v="NA"/>
    <s v="NA"/>
    <m/>
    <m/>
    <m/>
    <s v="NA"/>
    <s v="NA"/>
    <m/>
    <n v="33"/>
    <n v="0"/>
    <n v="33"/>
    <n v="0"/>
    <n v="0"/>
    <n v="0"/>
    <n v="33"/>
    <s v="unknown"/>
    <m/>
    <m/>
    <m/>
  </r>
  <r>
    <s v="DSCN0126"/>
    <s v="M3.50831_2"/>
    <n v="2"/>
    <n v="1"/>
    <s v="Mile 3.5"/>
    <d v="2018-08-31T00:00:00"/>
    <x v="2"/>
    <s v="Fall"/>
    <d v="1899-12-30T00:07:00"/>
    <m/>
    <s v="WO/RS"/>
    <s v="Foraging"/>
    <s v="Spruce"/>
    <s v="unknown"/>
    <m/>
    <s v="unknown"/>
    <m/>
    <x v="2"/>
    <x v="2"/>
    <s v="NA"/>
    <s v="NA"/>
    <m/>
    <m/>
    <m/>
    <s v="NA"/>
    <s v="NA"/>
    <m/>
    <n v="0"/>
    <n v="7"/>
    <n v="0"/>
    <n v="7"/>
    <n v="0"/>
    <n v="0"/>
    <n v="7"/>
    <s v="Gleaning"/>
    <n v="0"/>
    <n v="0"/>
    <n v="5"/>
  </r>
  <r>
    <s v="DSCN0128"/>
    <s v="M3.50831_3"/>
    <n v="3"/>
    <n v="1"/>
    <s v="Mile 3.5"/>
    <d v="2018-08-31T00:00:00"/>
    <x v="2"/>
    <s v="Fall"/>
    <d v="1899-12-30T00:39:00"/>
    <m/>
    <s v="Y-/BS"/>
    <s v="Foraging or caching"/>
    <s v="Spruce"/>
    <s v="unknown"/>
    <m/>
    <s v="unknown"/>
    <m/>
    <x v="2"/>
    <x v="2"/>
    <s v="NA"/>
    <s v="NA"/>
    <m/>
    <m/>
    <m/>
    <s v="NA"/>
    <s v="NA"/>
    <m/>
    <n v="34"/>
    <n v="0"/>
    <n v="0"/>
    <n v="34"/>
    <n v="0"/>
    <n v="0"/>
    <n v="34"/>
    <s v="Gleaning"/>
    <n v="0"/>
    <n v="0"/>
    <n v="5"/>
  </r>
  <r>
    <s v="DSCN0130"/>
    <s v="M3.50831_4"/>
    <n v="4"/>
    <n v="1"/>
    <s v="Mile 3.5"/>
    <d v="2018-08-31T00:00:00"/>
    <x v="2"/>
    <s v="Fall"/>
    <d v="1899-12-30T00:27:00"/>
    <m/>
    <s v="Y-/BS"/>
    <s v="Foraging"/>
    <s v="Spruce"/>
    <n v="1"/>
    <m/>
    <n v="0"/>
    <m/>
    <x v="2"/>
    <x v="2"/>
    <s v="Spruce foliage"/>
    <s v="NA"/>
    <s v="NA"/>
    <s v="NA"/>
    <s v="NA"/>
    <s v="NA"/>
    <s v="NA"/>
    <m/>
    <n v="0"/>
    <n v="21"/>
    <n v="0"/>
    <n v="21"/>
    <n v="0"/>
    <n v="0"/>
    <n v="21"/>
    <s v="Gleaning"/>
    <n v="0"/>
    <n v="3"/>
    <m/>
  </r>
  <r>
    <s v="DSCN0131"/>
    <s v="M3.50831_5"/>
    <n v="5"/>
    <n v="1"/>
    <s v="Mile 3.5"/>
    <d v="2018-08-31T00:00:00"/>
    <x v="2"/>
    <s v="Fall"/>
    <d v="1899-12-30T00:06:00"/>
    <m/>
    <s v="Y-/BS"/>
    <s v="Food handling"/>
    <s v="Spruce"/>
    <n v="1"/>
    <m/>
    <n v="0"/>
    <m/>
    <x v="4"/>
    <x v="9"/>
    <s v="unknown"/>
    <s v="NA"/>
    <s v="NA"/>
    <s v="NA"/>
    <s v="NA"/>
    <s v="NA"/>
    <s v="NA"/>
    <m/>
    <n v="0"/>
    <n v="0"/>
    <n v="0"/>
    <n v="0"/>
    <n v="0"/>
    <n v="0"/>
    <n v="0"/>
    <s v="NA"/>
    <s v="NA"/>
    <m/>
    <m/>
  </r>
  <r>
    <s v="DSCN0133"/>
    <s v="M3.50831_6"/>
    <n v="6"/>
    <n v="1"/>
    <s v="Mile 3.5"/>
    <d v="2018-08-31T00:00:00"/>
    <x v="2"/>
    <s v="Fall"/>
    <d v="1899-12-30T00:18:00"/>
    <m/>
    <s v="unknown"/>
    <s v="Foraging"/>
    <s v="Spruce"/>
    <n v="1"/>
    <m/>
    <n v="0"/>
    <m/>
    <x v="2"/>
    <x v="2"/>
    <s v="Interior spruce foliage"/>
    <s v="NA"/>
    <s v="NA"/>
    <s v="NA"/>
    <s v="NA"/>
    <s v="NA"/>
    <s v="NA"/>
    <m/>
    <n v="0"/>
    <n v="0"/>
    <n v="0"/>
    <n v="0"/>
    <n v="0"/>
    <n v="0"/>
    <n v="0"/>
    <m/>
    <s v="recovered large (almond sized) object from spruce needles.  Possibly previous cache? "/>
    <m/>
    <m/>
  </r>
  <r>
    <s v="DSCN0146"/>
    <s v="CC0831_1"/>
    <n v="1"/>
    <n v="1"/>
    <s v="CCAMP"/>
    <d v="2018-08-31T00:00:00"/>
    <x v="2"/>
    <s v="Fall"/>
    <d v="1899-12-30T00:24:00"/>
    <m/>
    <s v="G-/BS"/>
    <s v="Foraging"/>
    <s v="Spruce"/>
    <s v="unknown"/>
    <m/>
    <n v="0"/>
    <m/>
    <x v="1"/>
    <x v="1"/>
    <s v="NA"/>
    <s v="NA"/>
    <s v="NA"/>
    <s v="NA"/>
    <s v="NA"/>
    <s v="NA"/>
    <s v="NA"/>
    <m/>
    <n v="5"/>
    <n v="12"/>
    <n v="12"/>
    <n v="5"/>
    <n v="0"/>
    <n v="0"/>
    <n v="17"/>
    <s v="searching"/>
    <n v="0"/>
    <n v="0"/>
    <m/>
  </r>
  <r>
    <s v="DSCN0147"/>
    <s v="CC0831_2"/>
    <n v="2"/>
    <n v="1"/>
    <s v="CCAMP"/>
    <d v="2018-08-31T00:00:00"/>
    <x v="2"/>
    <s v="Fall"/>
    <d v="1899-12-30T00:20:00"/>
    <m/>
    <s v="G-/BS"/>
    <s v="Foraging/Food handling"/>
    <s v="Spruce"/>
    <n v="1"/>
    <m/>
    <n v="0"/>
    <m/>
    <x v="2"/>
    <x v="2"/>
    <s v="Spruce foliage"/>
    <s v="NA"/>
    <s v="NA"/>
    <s v="NA"/>
    <s v="NA"/>
    <s v="NA"/>
    <s v="NA"/>
    <m/>
    <n v="0"/>
    <n v="2"/>
    <n v="0"/>
    <n v="2"/>
    <n v="0"/>
    <n v="0"/>
    <n v="2"/>
    <m/>
    <s v="Recovered medium sized object and took it to tree interior and then shook it around.  Full throat pouch indicates it did not cache it.  "/>
    <m/>
    <m/>
  </r>
  <r>
    <s v="DSCN0149"/>
    <s v="CC0831_3"/>
    <n v="3"/>
    <n v="1"/>
    <s v="CCAMP"/>
    <d v="2018-08-31T00:00:00"/>
    <x v="2"/>
    <s v="Fall"/>
    <d v="1899-12-30T00:54:00"/>
    <m/>
    <s v="G-/BS"/>
    <s v="Foraging"/>
    <s v="Spruce"/>
    <n v="1"/>
    <m/>
    <n v="0"/>
    <m/>
    <x v="4"/>
    <x v="10"/>
    <s v="Spruce, exterior foliage"/>
    <s v="NA"/>
    <s v="NA"/>
    <s v="NA"/>
    <s v="NA"/>
    <s v="NA"/>
    <s v="NA"/>
    <m/>
    <n v="4"/>
    <n v="28"/>
    <n v="0"/>
    <n v="32"/>
    <n v="0"/>
    <n v="0"/>
    <n v="32"/>
    <s v="Gleaning"/>
    <m/>
    <n v="0"/>
    <n v="1"/>
  </r>
  <r>
    <s v="DSCN0157"/>
    <s v="CC0831_4"/>
    <n v="4"/>
    <n v="1"/>
    <s v="CCAMP"/>
    <d v="2018-08-31T00:00:00"/>
    <x v="2"/>
    <s v="Fall"/>
    <d v="1899-12-30T00:13:00"/>
    <m/>
    <s v="G-/BS"/>
    <s v="Foraging"/>
    <s v="NA"/>
    <s v="unknown"/>
    <m/>
    <n v="0"/>
    <m/>
    <x v="2"/>
    <x v="2"/>
    <s v="NA"/>
    <s v="NA"/>
    <s v="NA"/>
    <s v="NA"/>
    <s v="NA"/>
    <s v="NA"/>
    <s v="NA"/>
    <m/>
    <n v="0"/>
    <n v="0"/>
    <n v="0"/>
    <n v="0"/>
    <n v="10"/>
    <n v="0"/>
    <n v="10"/>
    <s v="unknown"/>
    <m/>
    <n v="0"/>
    <n v="0"/>
  </r>
  <r>
    <s v="DSCN0158"/>
    <s v="CC0831_5"/>
    <n v="5"/>
    <n v="1"/>
    <s v="CCAMP"/>
    <d v="2018-08-31T00:00:00"/>
    <x v="2"/>
    <s v="Fall"/>
    <d v="1899-12-30T01:32:00"/>
    <m/>
    <s v="G-/BS"/>
    <s v="Foraging"/>
    <s v="NA"/>
    <n v="1"/>
    <m/>
    <n v="0"/>
    <m/>
    <x v="2"/>
    <x v="11"/>
    <s v="Ground"/>
    <s v="NA"/>
    <s v="NA"/>
    <s v="NA"/>
    <s v="NA"/>
    <s v="NA"/>
    <s v="NA"/>
    <m/>
    <n v="0"/>
    <n v="0"/>
    <n v="0"/>
    <n v="0"/>
    <n v="10"/>
    <n v="0"/>
    <n v="10"/>
    <s v="unknown"/>
    <s v="Came from ground carrying white object. Danyan checked area and did not sign signs of eaten mushroom though. "/>
    <n v="0"/>
    <n v="0"/>
  </r>
  <r>
    <s v="DSCN0160"/>
    <s v="WW0903_1"/>
    <n v="1"/>
    <n v="1"/>
    <s v="WAC West"/>
    <d v="2018-09-03T00:00:00"/>
    <x v="0"/>
    <s v="Fall"/>
    <d v="1899-12-30T00:23:00"/>
    <m/>
    <s v="unknown"/>
    <s v="Foraging"/>
    <s v="NA"/>
    <n v="1"/>
    <m/>
    <n v="0"/>
    <m/>
    <x v="3"/>
    <x v="12"/>
    <s v="Ground"/>
    <s v="NA"/>
    <s v="NA"/>
    <s v="NA"/>
    <s v="NA"/>
    <s v="NA"/>
    <m/>
    <m/>
    <n v="0"/>
    <n v="0"/>
    <n v="0"/>
    <n v="0"/>
    <n v="10"/>
    <n v="0"/>
    <n v="10"/>
    <s v="searching"/>
    <s v="Grabbed at least one berry. "/>
    <n v="0"/>
    <n v="0"/>
  </r>
  <r>
    <s v="DSCN0163"/>
    <s v="WW0903_2"/>
    <n v="2"/>
    <n v="1"/>
    <s v="WAC West"/>
    <d v="2018-09-03T00:00:00"/>
    <x v="0"/>
    <s v="Fall"/>
    <d v="1899-12-30T07:01:00"/>
    <m/>
    <s v="Unbanded"/>
    <s v="Foraging"/>
    <s v="Spruce, aspen, aspen, spruce"/>
    <n v="3"/>
    <m/>
    <n v="1"/>
    <m/>
    <x v="6"/>
    <x v="13"/>
    <s v="Cached snowshoe hare leg in tree"/>
    <s v="Exterior spruce branch under bark"/>
    <s v="Spruce"/>
    <s v="Exterior"/>
    <s v="Under bark"/>
    <n v="19"/>
    <n v="63.74004"/>
    <n v="148.90179000000001"/>
    <n v="0"/>
    <n v="0"/>
    <n v="0"/>
    <n v="0"/>
    <n v="0"/>
    <n v="0"/>
    <n v="0"/>
    <s v="Attending known food item"/>
    <s v="1:25+0:33+0:38 FOOD HANDLING. At one point breaks piece of bark off and shoves it under other bark like a cache. The last cache tree recorded is suspected B&amp;Ut unconfirmed. "/>
    <n v="0"/>
    <n v="0"/>
  </r>
  <r>
    <s v="DSCN0163"/>
    <s v="WW0903_2"/>
    <n v="2"/>
    <n v="2"/>
    <s v="WAC West"/>
    <d v="2018-09-03T00:00:00"/>
    <x v="0"/>
    <s v="Fall"/>
    <d v="1899-12-30T07:01:00"/>
    <m/>
    <s v="Unbanded"/>
    <s v="Food handling/caching"/>
    <s v="Spruce, aspen, aspen, spruce"/>
    <n v="0"/>
    <m/>
    <n v="1"/>
    <m/>
    <x v="6"/>
    <x v="13"/>
    <s v="Cached snowshoe hare leg in tree"/>
    <s v="Exterior Aspen branch under bark"/>
    <s v="Aspen"/>
    <s v="Exterior"/>
    <s v="Under bark"/>
    <n v="12"/>
    <n v="63.740020000000001"/>
    <n v="148.90156999999999"/>
    <n v="0"/>
    <n v="0"/>
    <n v="0"/>
    <n v="0"/>
    <n v="0"/>
    <n v="0"/>
    <n v="0"/>
    <m/>
    <s v="1:25+0:33+0:38 FOOD HANDLING. At one point breaks piece of bark off and shoves it under other bark like a cache. The last cache tree recorded is suspected B&amp;Ut unconfirmed. "/>
    <m/>
    <m/>
  </r>
  <r>
    <s v="DSCN0163"/>
    <s v="WW0903_2"/>
    <n v="2"/>
    <n v="3"/>
    <s v="WAC West"/>
    <d v="2018-09-03T00:00:00"/>
    <x v="0"/>
    <s v="Fall"/>
    <d v="1899-12-30T07:01:00"/>
    <m/>
    <s v="Unbanded"/>
    <s v="Food handling/caching"/>
    <s v="Spruce, aspen, aspen, spruce"/>
    <n v="0"/>
    <m/>
    <n v="1"/>
    <m/>
    <x v="6"/>
    <x v="13"/>
    <s v="Cached snowshoe hare leg in tree"/>
    <s v="Exterior willow branch under bark"/>
    <s v="Willow"/>
    <s v="Exterior"/>
    <s v="Under bark"/>
    <n v="2"/>
    <n v="63.739890000000003"/>
    <n v="148.9016"/>
    <n v="0"/>
    <n v="0"/>
    <n v="0"/>
    <n v="0"/>
    <n v="0"/>
    <n v="0"/>
    <n v="0"/>
    <m/>
    <s v="1:25+0:33+0:38 FOOD HANDLING. At one point breaks piece of bark off and shoves it under other bark like a cache. The last cache tree recorded is suspected B&amp;Ut unconfirmed. "/>
    <m/>
    <m/>
  </r>
  <r>
    <s v="DSCN0163"/>
    <s v="WW0903_2"/>
    <n v="2"/>
    <n v="4"/>
    <s v="WAC West"/>
    <d v="2018-09-03T00:00:00"/>
    <x v="0"/>
    <s v="Fall"/>
    <d v="1899-12-30T07:01:00"/>
    <m/>
    <s v="Unbanded"/>
    <s v="Food handling/caching"/>
    <s v="Spruce, aspen, aspen, spruce"/>
    <n v="0"/>
    <m/>
    <n v="1"/>
    <m/>
    <x v="6"/>
    <x v="13"/>
    <s v="Cached snowshoe hare leg in tree"/>
    <s v="Exterior spruce branch under bark"/>
    <s v="Spruce"/>
    <s v="Exterior"/>
    <s v="Under bark"/>
    <n v="29"/>
    <n v="63.740119999999997"/>
    <n v="148.90125"/>
    <n v="0"/>
    <n v="0"/>
    <n v="0"/>
    <n v="0"/>
    <n v="0"/>
    <n v="0"/>
    <n v="0"/>
    <m/>
    <s v="1:25+0:33+0:38 FOOD HANDLING. At one point breaks piece of bark off and shoves it under other bark like a cache. The last cache tree recorded is suspected B&amp;Ut unconfirmed. "/>
    <m/>
    <m/>
  </r>
  <r>
    <s v="DSCN0164"/>
    <s v="WW0903_3"/>
    <n v="3"/>
    <n v="1"/>
    <s v="WAC West"/>
    <d v="2018-09-03T00:00:00"/>
    <x v="0"/>
    <s v="Fall"/>
    <d v="1899-12-30T00:41:00"/>
    <m/>
    <s v="Unbanded"/>
    <s v="Foraging"/>
    <s v="NA"/>
    <n v="1"/>
    <m/>
    <n v="1"/>
    <m/>
    <x v="3"/>
    <x v="4"/>
    <s v="Ground"/>
    <s v="Exterior spruce branch under bark/witch hair"/>
    <s v="Spruce"/>
    <s v="Exterior"/>
    <s v="Under bark and witch hair "/>
    <s v="Unknown"/>
    <s v="Did not mark (did not recognize as cache while in field)"/>
    <m/>
    <n v="0"/>
    <n v="0"/>
    <n v="0"/>
    <n v="0"/>
    <n v="10"/>
    <n v="0"/>
    <n v="10"/>
    <s v="Searching/attenting known food item"/>
    <s v="Cached blueberry.  Then went to feed from hare.16 at hare leg"/>
    <n v="0"/>
    <n v="0"/>
  </r>
  <r>
    <s v="DSCN0164"/>
    <s v="WW0903_3"/>
    <n v="3"/>
    <n v="2"/>
    <s v="WAC West"/>
    <d v="2018-09-03T00:00:00"/>
    <x v="0"/>
    <s v="Fall"/>
    <d v="1899-12-30T00:41:00"/>
    <m/>
    <m/>
    <s v="Foraging"/>
    <s v="Spruce"/>
    <n v="1"/>
    <m/>
    <n v="0"/>
    <m/>
    <x v="6"/>
    <x v="13"/>
    <s v="Cached snowshoe hare leg in tree"/>
    <s v="NA"/>
    <s v="NA"/>
    <s v="NA"/>
    <s v="NA"/>
    <s v="NA"/>
    <s v="NA"/>
    <s v="NA"/>
    <n v="0"/>
    <n v="0"/>
    <n v="0"/>
    <n v="0"/>
    <n v="0"/>
    <n v="0"/>
    <n v="0"/>
    <m/>
    <m/>
    <m/>
    <m/>
  </r>
  <r>
    <s v="DSCN0165"/>
    <s v="WW0903_4"/>
    <n v="4"/>
    <n v="1"/>
    <s v="WAC West"/>
    <d v="2018-09-03T00:00:00"/>
    <x v="0"/>
    <s v="Fall"/>
    <d v="1899-12-30T00:51:00"/>
    <m/>
    <s v="Unbanded"/>
    <s v="Foraging"/>
    <s v="Spruce"/>
    <n v="1"/>
    <m/>
    <n v="0"/>
    <m/>
    <x v="6"/>
    <x v="13"/>
    <s v="Cached snowshoe hare leg in tree"/>
    <s v="NA"/>
    <s v="NA"/>
    <s v="NA"/>
    <s v="NA"/>
    <s v="Unknown"/>
    <n v="63.739890000000003"/>
    <n v="148.90158"/>
    <n v="0"/>
    <n v="0"/>
    <n v="0"/>
    <n v="0"/>
    <n v="0"/>
    <n v="0"/>
    <n v="0"/>
    <s v="Attending known food item"/>
    <s v="GPS for hare tree. 30 SEC eating hare"/>
    <n v="0"/>
    <n v="0"/>
  </r>
  <r>
    <s v="DSCN0166"/>
    <s v="WW0903_5"/>
    <n v="5"/>
    <n v="1"/>
    <s v="WAC West"/>
    <d v="2018-09-03T00:00:00"/>
    <x v="0"/>
    <s v="Fall"/>
    <d v="1899-12-30T00:41:00"/>
    <m/>
    <s v="Unbanded"/>
    <s v="Foraging"/>
    <s v="Spruce"/>
    <n v="1"/>
    <m/>
    <n v="0"/>
    <m/>
    <x v="6"/>
    <x v="13"/>
    <s v="Cached snowshoe hare leg in tree"/>
    <s v="NA"/>
    <s v="NA"/>
    <s v="NA"/>
    <s v="NA"/>
    <s v="NA"/>
    <s v="NA"/>
    <m/>
    <n v="0"/>
    <n v="0"/>
    <n v="0"/>
    <n v="0"/>
    <n v="0"/>
    <n v="0"/>
    <n v="0"/>
    <s v="Attending known food item"/>
    <s v="35s eating hare"/>
    <n v="0"/>
    <n v="0"/>
  </r>
  <r>
    <s v="DSCN0167"/>
    <s v="WW0903_6"/>
    <n v="6"/>
    <n v="1"/>
    <s v="WAC West"/>
    <d v="2018-09-03T00:00:00"/>
    <x v="0"/>
    <s v="Fall"/>
    <d v="1899-12-30T00:36:00"/>
    <m/>
    <s v="Unbanded"/>
    <s v="Foraging"/>
    <s v="Spruce"/>
    <n v="1"/>
    <m/>
    <n v="0"/>
    <m/>
    <x v="6"/>
    <x v="13"/>
    <s v="Cached snowshoe hare leg in tree"/>
    <s v="NA"/>
    <s v="NA"/>
    <s v="NA"/>
    <s v="NA"/>
    <s v="NA"/>
    <s v="NA"/>
    <m/>
    <n v="0"/>
    <n v="0"/>
    <n v="0"/>
    <n v="0"/>
    <n v="0"/>
    <n v="0"/>
    <n v="0"/>
    <s v="Attending known food item"/>
    <s v="3 eating hare"/>
    <n v="0"/>
    <n v="0"/>
  </r>
  <r>
    <s v="DSCN0172"/>
    <s v="WW0903_7"/>
    <n v="7"/>
    <n v="1"/>
    <s v="WAC West"/>
    <d v="2018-09-03T00:00:00"/>
    <x v="0"/>
    <s v="Fall"/>
    <d v="1899-12-30T00:12:00"/>
    <m/>
    <s v="GG/BS"/>
    <s v="Foraging"/>
    <s v="Spruce"/>
    <s v="unknown"/>
    <m/>
    <s v="unknown"/>
    <m/>
    <x v="2"/>
    <x v="2"/>
    <s v="NA"/>
    <s v="NA"/>
    <m/>
    <m/>
    <m/>
    <s v="NA"/>
    <s v="NA"/>
    <m/>
    <n v="12"/>
    <n v="0"/>
    <n v="0"/>
    <n v="12"/>
    <n v="0"/>
    <n v="0"/>
    <n v="12"/>
    <s v="Gleaning, searching "/>
    <m/>
    <n v="0"/>
    <n v="0"/>
  </r>
  <r>
    <s v="DSCN0180"/>
    <s v="TC0903_1"/>
    <n v="1"/>
    <n v="1"/>
    <s v="Trail Camp"/>
    <d v="2018-09-03T00:00:00"/>
    <x v="0"/>
    <s v="Fall"/>
    <d v="1899-12-30T00:34:00"/>
    <m/>
    <s v="WL/PS"/>
    <s v="Foraging"/>
    <s v="NA"/>
    <n v="1"/>
    <m/>
    <n v="0"/>
    <m/>
    <x v="7"/>
    <x v="14"/>
    <s v="Ground"/>
    <s v="NA"/>
    <s v="NA"/>
    <s v="NA"/>
    <s v="NA"/>
    <s v="NA"/>
    <s v="NA"/>
    <m/>
    <n v="0"/>
    <n v="0"/>
    <n v="0"/>
    <n v="0"/>
    <n v="0"/>
    <n v="0"/>
    <n v="0"/>
    <s v="Attending known food item"/>
    <s v="34sec eating mystery food"/>
    <n v="0"/>
    <n v="0"/>
  </r>
  <r>
    <s v="DSCN0181"/>
    <s v="TC0903_2"/>
    <n v="2"/>
    <n v="1"/>
    <s v="Trail Camp"/>
    <d v="2018-09-03T00:00:00"/>
    <x v="0"/>
    <s v="Fall"/>
    <d v="1899-12-30T01:00:00"/>
    <m/>
    <s v="Unbanded"/>
    <s v="Foraging"/>
    <s v="NA"/>
    <n v="1"/>
    <m/>
    <n v="0"/>
    <m/>
    <x v="7"/>
    <x v="14"/>
    <s v="Ground"/>
    <s v="NA"/>
    <s v="NA"/>
    <s v="NA"/>
    <s v="NA"/>
    <s v="NA"/>
    <s v="NA"/>
    <m/>
    <n v="2"/>
    <n v="0"/>
    <n v="0"/>
    <n v="2"/>
    <n v="0"/>
    <n v="0"/>
    <n v="2"/>
    <s v="Attending known food item"/>
    <s v="40SEC EATING MYSTERY FOOD"/>
    <n v="0"/>
    <n v="0"/>
  </r>
  <r>
    <s v="DSCN0182"/>
    <s v="TC0903_3"/>
    <n v="3"/>
    <n v="1"/>
    <s v="Trail Camp"/>
    <d v="2018-09-03T00:00:00"/>
    <x v="0"/>
    <s v="Fall"/>
    <d v="1899-12-30T00:36:00"/>
    <m/>
    <s v="WL/PS "/>
    <s v="Foraging"/>
    <s v="NA"/>
    <n v="1"/>
    <m/>
    <n v="0"/>
    <m/>
    <x v="7"/>
    <x v="14"/>
    <s v="Ground"/>
    <s v="NA"/>
    <s v="NA"/>
    <s v="NA"/>
    <s v="NA"/>
    <s v="NA"/>
    <s v="NA"/>
    <m/>
    <n v="0"/>
    <n v="0"/>
    <n v="0"/>
    <n v="0"/>
    <n v="14"/>
    <n v="0"/>
    <n v="14"/>
    <s v="searching"/>
    <s v="~10 sec each for foraging.  "/>
    <n v="0"/>
    <n v="0"/>
  </r>
  <r>
    <s v="DSCN0182"/>
    <s v="TC0903_3"/>
    <n v="3"/>
    <n v="2"/>
    <s v="Trail Camp"/>
    <d v="2018-09-03T00:00:00"/>
    <x v="0"/>
    <s v="Fall"/>
    <d v="1899-12-30T00:36:00"/>
    <m/>
    <s v="Unbanded"/>
    <s v="Foraging"/>
    <s v="NA"/>
    <n v="1"/>
    <m/>
    <n v="0"/>
    <m/>
    <x v="7"/>
    <x v="14"/>
    <s v="Campstove"/>
    <s v="NA"/>
    <s v="NA"/>
    <s v="NA"/>
    <s v="NA"/>
    <s v="NA"/>
    <s v="NA"/>
    <m/>
    <n v="0"/>
    <n v="0"/>
    <n v="0"/>
    <n v="0"/>
    <n v="0"/>
    <n v="10"/>
    <n v="10"/>
    <s v="searching"/>
    <s v="~10 sec each for foraging.  "/>
    <n v="0"/>
    <n v="0"/>
  </r>
  <r>
    <s v="DSCN0182"/>
    <s v="MC0925_2"/>
    <n v="2"/>
    <n v="1"/>
    <s v="Mercantile"/>
    <d v="2018-09-25T00:00:00"/>
    <x v="0"/>
    <s v="Fall"/>
    <d v="1899-12-30T00:24:00"/>
    <s v="Overcast"/>
    <s v="BW/GS"/>
    <s v="Foraging"/>
    <s v="NA"/>
    <n v="1"/>
    <m/>
    <n v="0"/>
    <m/>
    <x v="2"/>
    <x v="2"/>
    <s v="Ground"/>
    <s v="NA"/>
    <s v="NA"/>
    <s v="NA"/>
    <s v="NA"/>
    <s v="NA"/>
    <s v="NA"/>
    <m/>
    <n v="0"/>
    <n v="0"/>
    <n v="0"/>
    <n v="0"/>
    <n v="18"/>
    <n v="0"/>
    <n v="18"/>
    <m/>
    <m/>
    <m/>
    <m/>
  </r>
  <r>
    <s v="DSCN0183"/>
    <s v="TC0903_4"/>
    <n v="4"/>
    <n v="1"/>
    <s v="Trail Camp"/>
    <d v="2018-09-03T00:00:00"/>
    <x v="0"/>
    <s v="Fall"/>
    <d v="1899-12-30T00:16:00"/>
    <m/>
    <s v="Unbanded"/>
    <s v="Caching"/>
    <s v="Spruce"/>
    <n v="0"/>
    <m/>
    <n v="1"/>
    <m/>
    <x v="2"/>
    <x v="2"/>
    <s v="unknown"/>
    <s v="Spruce trunk"/>
    <s v="Spruce"/>
    <s v="Trunk"/>
    <s v="Under bark"/>
    <s v="Unknown"/>
    <n v="63.730879999999999"/>
    <n v="148.89989"/>
    <n v="0"/>
    <n v="0"/>
    <n v="0"/>
    <n v="0"/>
    <n v="0"/>
    <n v="0"/>
    <n v="0"/>
    <s v="caching"/>
    <s v="Covered cache with bit of bark "/>
    <n v="0"/>
    <n v="0"/>
  </r>
  <r>
    <s v="DSCN0193"/>
    <s v="TC0903_5"/>
    <n v="5"/>
    <n v="1"/>
    <s v="Trail Camp"/>
    <d v="2018-09-03T00:00:00"/>
    <x v="0"/>
    <s v="Fall"/>
    <d v="1899-12-30T00:06:00"/>
    <m/>
    <s v="Unbanded"/>
    <s v="Caching"/>
    <s v="Spruce"/>
    <n v="0"/>
    <m/>
    <n v="1"/>
    <m/>
    <x v="2"/>
    <x v="2"/>
    <s v="unknown"/>
    <s v="Spruce trunk"/>
    <s v="Spruce"/>
    <s v="Trunk"/>
    <s v="Under bark"/>
    <s v="Unknown"/>
    <n v="63.730220000000003"/>
    <n v="148.90285"/>
    <n v="0"/>
    <n v="0"/>
    <n v="0"/>
    <n v="0"/>
    <n v="0"/>
    <n v="0"/>
    <n v="0"/>
    <s v="caching"/>
    <m/>
    <n v="0"/>
    <n v="0"/>
  </r>
  <r>
    <s v="DSCN0196"/>
    <s v="TC0903_6"/>
    <n v="6"/>
    <n v="1"/>
    <s v="Trail Camp"/>
    <d v="2018-09-03T00:00:00"/>
    <x v="0"/>
    <s v="Fall"/>
    <d v="1899-12-30T02:02:00"/>
    <m/>
    <s v="Unbanded"/>
    <s v="Food handling"/>
    <s v="Spruce"/>
    <n v="1"/>
    <m/>
    <n v="0"/>
    <m/>
    <x v="2"/>
    <x v="2"/>
    <s v="unknown"/>
    <s v="NA"/>
    <s v="NA"/>
    <s v="NA"/>
    <s v="NA"/>
    <s v="NA"/>
    <s v="NA"/>
    <m/>
    <n v="0"/>
    <n v="0"/>
    <n v="0"/>
    <n v="0"/>
    <n v="0"/>
    <n v="0"/>
    <n v="0"/>
    <m/>
    <s v="Likely cached at 0:23 mark, B&amp;Ut not sure enough to count. "/>
    <n v="0"/>
    <n v="0"/>
  </r>
  <r>
    <s v="DSCN0196"/>
    <s v="TC0903_6"/>
    <n v="6"/>
    <n v="2"/>
    <s v="Trail Camp"/>
    <d v="2018-09-03T00:00:00"/>
    <x v="0"/>
    <s v="Fall"/>
    <d v="1899-12-30T02:02:00"/>
    <m/>
    <s v="WL/PS"/>
    <s v="Caching"/>
    <s v="Spruce"/>
    <n v="1"/>
    <m/>
    <n v="1"/>
    <m/>
    <x v="2"/>
    <x v="15"/>
    <s v="Ground"/>
    <s v="Interior bare spruce branch"/>
    <s v="Spruce"/>
    <s v="Interior"/>
    <s v="Under bark"/>
    <s v="Unknown"/>
    <n v="63.730229999999999"/>
    <n v="148.90411"/>
    <n v="0"/>
    <n v="0"/>
    <n v="0"/>
    <n v="0"/>
    <n v="23"/>
    <n v="0"/>
    <n v="23"/>
    <m/>
    <s v="The unbanded bird foraged, the banded bird cached.  "/>
    <n v="0"/>
    <n v="0"/>
  </r>
  <r>
    <s v="DSCN0197"/>
    <s v="TC0903_7"/>
    <n v="7"/>
    <n v="1"/>
    <s v="Trail Camp"/>
    <d v="2018-09-03T00:00:00"/>
    <x v="0"/>
    <s v="Fall"/>
    <d v="1899-12-30T00:24:00"/>
    <m/>
    <s v="WL/PS and unbanded"/>
    <s v="Foraging"/>
    <s v="NA"/>
    <n v="1"/>
    <m/>
    <n v="0"/>
    <m/>
    <x v="0"/>
    <x v="16"/>
    <s v="Ground"/>
    <s v="NA"/>
    <s v="NA"/>
    <s v="NA"/>
    <s v="NA"/>
    <s v="NA"/>
    <s v="NA"/>
    <m/>
    <n v="0"/>
    <n v="0"/>
    <n v="0"/>
    <n v="0"/>
    <n v="0"/>
    <n v="0"/>
    <n v="0"/>
    <m/>
    <s v="Eye witnessed eating from featured mushroom B&amp;Ut did not capture on video"/>
    <n v="0"/>
    <n v="0"/>
  </r>
  <r>
    <s v="DSCN0220"/>
    <s v="M3.50903_1"/>
    <n v="1"/>
    <n v="1"/>
    <s v="Mile 3.5"/>
    <d v="2018-09-03T00:00:00"/>
    <x v="0"/>
    <s v="Fall"/>
    <d v="1899-12-30T01:02:00"/>
    <m/>
    <s v="OB/YS"/>
    <s v="Foraging/caching"/>
    <s v="Spruce"/>
    <n v="1"/>
    <m/>
    <n v="1"/>
    <m/>
    <x v="3"/>
    <x v="12"/>
    <s v="Ground"/>
    <s v="Interior spruce branch/witch hair moss"/>
    <s v="Spruce"/>
    <s v="Interior"/>
    <s v="Under bark and witch hair "/>
    <s v="Unknown"/>
    <n v="63.722920000000002"/>
    <n v="148.98212000000001"/>
    <n v="0"/>
    <n v="0"/>
    <n v="0"/>
    <n v="0"/>
    <n v="7"/>
    <n v="0"/>
    <n v="7"/>
    <m/>
    <s v="Suspected B&amp;Ut unconfirmed cache"/>
    <n v="0"/>
    <n v="0"/>
  </r>
  <r>
    <s v="DSCN0232"/>
    <s v="DM0904_1"/>
    <n v="1"/>
    <n v="1"/>
    <s v="Dam"/>
    <d v="2018-09-04T00:00:00"/>
    <x v="0"/>
    <s v="Fall"/>
    <d v="1899-12-30T01:22:00"/>
    <m/>
    <s v="GG/RS"/>
    <s v="Food handling"/>
    <s v="Spruce"/>
    <n v="1"/>
    <m/>
    <n v="0"/>
    <m/>
    <x v="6"/>
    <x v="17"/>
    <s v="unknown"/>
    <s v="NA"/>
    <s v="NA"/>
    <s v="NA"/>
    <s v="NA"/>
    <s v="NA"/>
    <s v="NA"/>
    <m/>
    <n v="19"/>
    <n v="0"/>
    <n v="19"/>
    <n v="0"/>
    <n v="0"/>
    <n v="0"/>
    <n v="19"/>
    <s v="Gleaning"/>
    <m/>
    <n v="0"/>
    <n v="3"/>
  </r>
  <r>
    <s v="DSCN0232"/>
    <s v="DM0904_1"/>
    <n v="1"/>
    <n v="2"/>
    <s v="Dam"/>
    <d v="2018-09-04T00:00:00"/>
    <x v="0"/>
    <s v="Fall"/>
    <d v="1899-12-30T01:22:00"/>
    <m/>
    <s v="GG/RS"/>
    <s v="Foraging"/>
    <s v="Aspen"/>
    <n v="1"/>
    <m/>
    <n v="0"/>
    <m/>
    <x v="2"/>
    <x v="2"/>
    <s v="Aspen tree trunk"/>
    <s v="NA"/>
    <s v="NA"/>
    <s v="NA"/>
    <s v="NA"/>
    <s v="NA"/>
    <s v="NA"/>
    <m/>
    <n v="0"/>
    <n v="0"/>
    <n v="0"/>
    <n v="0"/>
    <n v="0"/>
    <n v="0"/>
    <n v="0"/>
    <s v="Gleaning"/>
    <m/>
    <n v="0"/>
    <n v="3"/>
  </r>
  <r>
    <s v="DSCN0233"/>
    <s v="DM0904_2"/>
    <n v="2"/>
    <n v="1"/>
    <s v="Dam"/>
    <d v="2018-09-04T00:00:00"/>
    <x v="0"/>
    <s v="Fall"/>
    <d v="1899-12-30T00:21:00"/>
    <m/>
    <s v="GG/RS"/>
    <s v="Foraging/Food handling"/>
    <s v="Spruce"/>
    <n v="1"/>
    <m/>
    <n v="0"/>
    <m/>
    <x v="2"/>
    <x v="2"/>
    <s v="Spruce foliage"/>
    <s v="NA"/>
    <s v="NA"/>
    <s v="NA"/>
    <s v="NA"/>
    <s v="NA"/>
    <s v="NA"/>
    <m/>
    <n v="0"/>
    <n v="16"/>
    <n v="16"/>
    <n v="0"/>
    <n v="0"/>
    <n v="0"/>
    <n v="16"/>
    <s v="Eating"/>
    <m/>
    <n v="0"/>
    <n v="0"/>
  </r>
  <r>
    <s v="DSCN0234"/>
    <s v="TC0904_1"/>
    <n v="1"/>
    <n v="1"/>
    <s v="Trail Camp"/>
    <d v="2018-09-04T00:00:00"/>
    <x v="0"/>
    <s v="Fall"/>
    <d v="1899-12-30T00:53:00"/>
    <m/>
    <s v="Unbanded"/>
    <s v="Caching"/>
    <s v="Spruce"/>
    <n v="0"/>
    <m/>
    <n v="1"/>
    <m/>
    <x v="2"/>
    <x v="2"/>
    <s v="unknonw"/>
    <s v="Spruce trunk"/>
    <s v="Spruce"/>
    <s v="Trunk"/>
    <s v="Under bark"/>
    <s v="Unknown"/>
    <n v="63.731529999999999"/>
    <n v="148.90401"/>
    <n v="0"/>
    <n v="0"/>
    <n v="0"/>
    <n v="0"/>
    <n v="0"/>
    <n v="0"/>
    <n v="0"/>
    <s v="NA"/>
    <s v="Great cache video!!!"/>
    <n v="0"/>
    <n v="0"/>
  </r>
  <r>
    <s v="DSCN0239"/>
    <s v="RLC0904_1"/>
    <n v="1"/>
    <n v="1"/>
    <s v="Riley Creek"/>
    <d v="2018-09-04T00:00:00"/>
    <x v="0"/>
    <s v="Fall"/>
    <d v="1899-12-30T00:58:00"/>
    <m/>
    <s v="unknown"/>
    <s v="Foraging"/>
    <s v="Spruce"/>
    <n v="1"/>
    <m/>
    <n v="0"/>
    <m/>
    <x v="2"/>
    <x v="2"/>
    <s v="Spruce foliage"/>
    <s v="NA"/>
    <s v="NA"/>
    <s v="NA"/>
    <s v="NA"/>
    <s v="NA"/>
    <s v="NA"/>
    <m/>
    <n v="0"/>
    <n v="30"/>
    <n v="0"/>
    <n v="30"/>
    <n v="0"/>
    <n v="0"/>
    <n v="30"/>
    <s v="Gleaning"/>
    <m/>
    <n v="0"/>
    <n v="3"/>
  </r>
  <r>
    <s v="DSCN0246"/>
    <s v="CCS0904_1"/>
    <n v="1"/>
    <n v="1"/>
    <s v="CCAMP South"/>
    <d v="2018-09-04T00:00:00"/>
    <x v="0"/>
    <s v="Fall"/>
    <d v="1899-12-30T01:02:00"/>
    <m/>
    <s v="Unbanded"/>
    <s v="Foraging"/>
    <s v="Spruce"/>
    <n v="1"/>
    <m/>
    <n v="0"/>
    <m/>
    <x v="2"/>
    <x v="2"/>
    <s v="Spruce bare branch"/>
    <s v="NA"/>
    <s v="NA"/>
    <s v="NA"/>
    <s v="NA"/>
    <s v="NA"/>
    <s v="NA"/>
    <m/>
    <n v="19"/>
    <n v="0"/>
    <n v="0"/>
    <n v="19"/>
    <n v="0"/>
    <n v="0"/>
    <n v="19"/>
    <s v="Gleaning"/>
    <m/>
    <n v="0"/>
    <n v="5"/>
  </r>
  <r>
    <s v="DSCN0248"/>
    <s v="CCS0904_2"/>
    <n v="2"/>
    <n v="1"/>
    <s v="CCAMP South"/>
    <d v="2018-09-04T00:00:00"/>
    <x v="0"/>
    <s v="Fall"/>
    <d v="1899-12-30T00:20:00"/>
    <m/>
    <s v="Unbanded"/>
    <s v="Foraging"/>
    <s v="NA"/>
    <n v="1"/>
    <m/>
    <n v="0"/>
    <m/>
    <x v="0"/>
    <x v="0"/>
    <s v="Ground"/>
    <s v="NA"/>
    <s v="NA"/>
    <s v="NA"/>
    <s v="NA"/>
    <s v="NA"/>
    <s v="NA"/>
    <m/>
    <n v="0"/>
    <n v="0"/>
    <n v="0"/>
    <n v="0"/>
    <n v="14"/>
    <n v="0"/>
    <n v="14"/>
    <s v="searching"/>
    <m/>
    <m/>
    <m/>
  </r>
  <r>
    <s v="DSCN0250"/>
    <s v="CCS0904_3"/>
    <n v="3"/>
    <n v="2"/>
    <s v="CCAMP South"/>
    <d v="2018-09-04T00:00:00"/>
    <x v="0"/>
    <s v="Fall"/>
    <d v="1899-12-30T01:06:00"/>
    <m/>
    <s v="Unbanded"/>
    <s v="Foraging/caching"/>
    <s v="Spruce"/>
    <s v="unknown"/>
    <m/>
    <n v="1"/>
    <m/>
    <x v="2"/>
    <x v="2"/>
    <s v="Ground"/>
    <s v="Exterior spruce branch under bark"/>
    <s v="Spruce"/>
    <s v="Exterior"/>
    <s v="Under bark"/>
    <s v="Unknown"/>
    <s v="Did not mark (did not recognize as cache while in field)"/>
    <m/>
    <n v="0"/>
    <n v="0"/>
    <n v="0"/>
    <n v="0"/>
    <n v="0"/>
    <n v="0"/>
    <n v="0"/>
    <m/>
    <s v="likely cache. "/>
    <m/>
    <m/>
  </r>
  <r>
    <s v="DSCN0250"/>
    <s v="CCS0904_3"/>
    <n v="3"/>
    <n v="1"/>
    <s v="CCAMP South"/>
    <d v="2018-09-04T00:00:00"/>
    <x v="0"/>
    <s v="Fall"/>
    <d v="1899-12-30T01:06:00"/>
    <m/>
    <s v="Unbanded"/>
    <s v="Foraging/caching"/>
    <s v="Spruce"/>
    <n v="1"/>
    <m/>
    <n v="1"/>
    <m/>
    <x v="2"/>
    <x v="2"/>
    <s v="Ground"/>
    <s v="Exterior spruce branch under bark/witch hair"/>
    <s v="Spruce"/>
    <s v="Exterior"/>
    <s v="Under bark and witch hair "/>
    <s v="Unknown"/>
    <s v="Did not mark (did not recognize as cache while in field)"/>
    <m/>
    <n v="0"/>
    <n v="0"/>
    <n v="0"/>
    <n v="0"/>
    <n v="6"/>
    <n v="0"/>
    <n v="6"/>
    <m/>
    <s v="Clear cache"/>
    <m/>
    <m/>
  </r>
  <r>
    <s v="DSCN0253"/>
    <s v="CCS0904_4"/>
    <n v="4"/>
    <n v="1"/>
    <s v="CCAMP South"/>
    <d v="2018-09-04T00:00:00"/>
    <x v="0"/>
    <s v="Fall"/>
    <d v="1899-12-30T02:26:00"/>
    <m/>
    <s v="Unbanded"/>
    <s v="Caching, forgaging"/>
    <s v="Spruce"/>
    <n v="1"/>
    <m/>
    <n v="1"/>
    <m/>
    <x v="2"/>
    <x v="2"/>
    <s v="Ground"/>
    <s v="Interior spruce in foliage "/>
    <s v="Spruce"/>
    <s v="Interior"/>
    <s v="Foliage"/>
    <s v="Unknown"/>
    <n v="63.721440000000001"/>
    <n v="148.95258000000001"/>
    <n v="0"/>
    <n v="0"/>
    <n v="0"/>
    <n v="0"/>
    <n v="91"/>
    <n v="0"/>
    <n v="91"/>
    <s v="Searching "/>
    <s v="Retrieved something from ground (not on video) and KS observed it place it in tree "/>
    <m/>
    <m/>
  </r>
  <r>
    <s v="DSCN0254"/>
    <s v="CCS0904_5"/>
    <n v="5"/>
    <n v="1"/>
    <s v="CCAMP South"/>
    <d v="2018-09-04T00:00:00"/>
    <x v="0"/>
    <s v="Fall"/>
    <d v="1899-12-30T02:11:00"/>
    <m/>
    <s v="Unbanded"/>
    <s v="Foraging/caching"/>
    <s v="Spruce"/>
    <n v="1"/>
    <m/>
    <n v="1"/>
    <m/>
    <x v="0"/>
    <x v="0"/>
    <s v="Ground"/>
    <s v="Exterior spruce branch/witch hair moss"/>
    <s v="Spruce"/>
    <s v="Exterior"/>
    <s v="Under bark and witch hair "/>
    <s v="Unknown"/>
    <n v="63.721400000000003"/>
    <n v="148.95255"/>
    <n v="0"/>
    <n v="0"/>
    <n v="0"/>
    <n v="0"/>
    <n v="30"/>
    <n v="0"/>
    <n v="30"/>
    <s v="searching"/>
    <m/>
    <m/>
    <m/>
  </r>
  <r>
    <s v="DSCN0256"/>
    <s v="CCS0904_6"/>
    <n v="6"/>
    <n v="1"/>
    <s v="CCAMP South"/>
    <d v="2018-09-04T00:00:00"/>
    <x v="0"/>
    <s v="Fall"/>
    <d v="1899-12-30T02:32:00"/>
    <m/>
    <s v="Unbanded"/>
    <s v="Foraging"/>
    <s v="Spruce"/>
    <n v="1"/>
    <s v="8 pecks"/>
    <n v="0"/>
    <m/>
    <x v="2"/>
    <x v="2"/>
    <s v="Ground"/>
    <s v="NA"/>
    <s v="NA"/>
    <s v="NA"/>
    <s v="NA"/>
    <s v="NA"/>
    <s v="NA"/>
    <m/>
    <n v="0"/>
    <n v="2"/>
    <n v="0"/>
    <n v="2"/>
    <n v="125"/>
    <n v="0"/>
    <n v="127"/>
    <m/>
    <m/>
    <m/>
    <n v="6"/>
  </r>
  <r>
    <s v="DSCN0256"/>
    <s v="CCS0904_6"/>
    <n v="6"/>
    <n v="2"/>
    <s v="CCAMP South"/>
    <d v="2018-09-04T00:00:00"/>
    <x v="0"/>
    <s v="Fall"/>
    <d v="1899-12-30T02:32:00"/>
    <m/>
    <s v="Unbanded"/>
    <s v="Foraging"/>
    <s v="Spruce"/>
    <n v="1"/>
    <m/>
    <n v="0"/>
    <m/>
    <x v="2"/>
    <x v="2"/>
    <s v="Exterior spruce foliage "/>
    <s v="NA"/>
    <s v="NA"/>
    <s v="NA"/>
    <s v="NA"/>
    <s v="NA"/>
    <s v="NA"/>
    <m/>
    <n v="0"/>
    <n v="0"/>
    <n v="0"/>
    <n v="0"/>
    <n v="0"/>
    <n v="0"/>
    <n v="0"/>
    <m/>
    <s v="Maybe food handling instead of foraging B&amp;Ut unclear.  "/>
    <m/>
    <n v="6"/>
  </r>
  <r>
    <s v="DSCN0257"/>
    <s v="CCS0904_7"/>
    <n v="7"/>
    <n v="1"/>
    <s v="CCAMP South"/>
    <d v="2018-09-04T00:00:00"/>
    <x v="0"/>
    <s v="Fall"/>
    <m/>
    <m/>
    <s v="Unbanded"/>
    <s v="Foraging/caching"/>
    <s v="Spruce"/>
    <n v="1"/>
    <m/>
    <n v="1"/>
    <m/>
    <x v="3"/>
    <x v="4"/>
    <s v="Ground"/>
    <s v="Exterior foliage of spruce sapling "/>
    <s v="Spruce"/>
    <s v="Exterior"/>
    <s v="Foliage"/>
    <s v="Unknown"/>
    <s v="Did not mark (did not recognize as cache while in field)"/>
    <m/>
    <n v="0"/>
    <n v="0"/>
    <n v="0"/>
    <n v="0"/>
    <n v="24"/>
    <n v="0"/>
    <n v="24"/>
    <m/>
    <s v="Clear placement of berry in tree "/>
    <m/>
    <m/>
  </r>
  <r>
    <s v="DSCN0259"/>
    <s v="CCS0904_8"/>
    <n v="8"/>
    <n v="1"/>
    <s v="CCAMP South"/>
    <d v="2018-09-04T00:00:00"/>
    <x v="0"/>
    <s v="Fall"/>
    <d v="1899-12-30T01:07:00"/>
    <m/>
    <s v="Unbanded"/>
    <s v="Caching"/>
    <s v="Spruce"/>
    <n v="0"/>
    <m/>
    <n v="1"/>
    <m/>
    <x v="2"/>
    <x v="2"/>
    <s v="unknown"/>
    <s v="Spruce trunk"/>
    <s v="Spruce"/>
    <s v="Trunk"/>
    <s v="Under bark"/>
    <s v="Unknown"/>
    <n v="63.721640000000001"/>
    <n v="148.95113000000001"/>
    <n v="0"/>
    <n v="0"/>
    <n v="0"/>
    <n v="0"/>
    <n v="0"/>
    <n v="0"/>
    <n v="0"/>
    <m/>
    <s v="Clear cache.  Very close to previoud cach location.  "/>
    <m/>
    <m/>
  </r>
  <r>
    <s v="DSCN0262"/>
    <s v="CCS0904_9"/>
    <n v="9"/>
    <n v="1"/>
    <s v="CCAMP South"/>
    <d v="2018-09-04T00:00:00"/>
    <x v="0"/>
    <s v="Fall"/>
    <d v="1899-12-30T01:27:00"/>
    <m/>
    <s v="Unbanded"/>
    <s v="Foraging/caching"/>
    <s v="Spruce"/>
    <n v="1"/>
    <m/>
    <n v="0"/>
    <m/>
    <x v="2"/>
    <x v="2"/>
    <s v="Ground"/>
    <s v="NA"/>
    <s v="NA"/>
    <s v="NA"/>
    <s v="NA"/>
    <s v="NA"/>
    <s v="NA"/>
    <m/>
    <n v="0"/>
    <n v="0"/>
    <n v="0"/>
    <n v="0"/>
    <n v="22"/>
    <n v="0"/>
    <n v="22"/>
    <m/>
    <m/>
    <m/>
    <m/>
  </r>
  <r>
    <s v="DSCN0262"/>
    <s v="CCS0904_9"/>
    <n v="9"/>
    <n v="2"/>
    <s v="CCAMP South"/>
    <d v="2018-09-04T00:00:00"/>
    <x v="0"/>
    <s v="Fall"/>
    <d v="1899-12-30T01:27:00"/>
    <m/>
    <s v="Unbanded"/>
    <s v="Foraging/caching"/>
    <s v="Spruce"/>
    <n v="1"/>
    <m/>
    <n v="1"/>
    <m/>
    <x v="3"/>
    <x v="4"/>
    <s v="Ground"/>
    <s v="Exterior spruce branch under bark/witch hair"/>
    <s v="Spruce"/>
    <s v="Exterior"/>
    <s v="Under bark and witch hair "/>
    <s v="Unknown"/>
    <n v="63.721629999999998"/>
    <n v="148.95177000000001"/>
    <n v="0"/>
    <n v="0"/>
    <n v="0"/>
    <n v="0"/>
    <n v="0"/>
    <n v="0"/>
    <n v="0"/>
    <m/>
    <m/>
    <m/>
    <m/>
  </r>
  <r>
    <s v="DSCN0263"/>
    <s v="CCS0904_10"/>
    <n v="10"/>
    <n v="2"/>
    <s v="CCAMP South"/>
    <d v="2018-09-04T00:00:00"/>
    <x v="0"/>
    <s v="Fall"/>
    <d v="1899-12-30T01:30:00"/>
    <m/>
    <s v="Unbanded"/>
    <s v="Foraging"/>
    <s v="Spruce"/>
    <n v="1"/>
    <m/>
    <n v="0"/>
    <m/>
    <x v="4"/>
    <x v="18"/>
    <s v="Ground"/>
    <s v="NA"/>
    <s v="NA"/>
    <s v="NA"/>
    <s v="NA"/>
    <s v="NA"/>
    <s v="NA"/>
    <m/>
    <n v="0"/>
    <n v="0"/>
    <n v="0"/>
    <n v="0"/>
    <n v="0"/>
    <n v="0"/>
    <n v="0"/>
    <s v="searching"/>
    <m/>
    <m/>
    <m/>
  </r>
  <r>
    <s v="DSCN0263"/>
    <s v="CCS0904_10"/>
    <n v="10"/>
    <n v="1"/>
    <s v="CCAMP South"/>
    <d v="2018-09-04T00:00:00"/>
    <x v="0"/>
    <s v="Fall"/>
    <d v="1899-12-30T01:30:00"/>
    <m/>
    <s v="Unbanded"/>
    <s v="Caching"/>
    <s v="Spruce"/>
    <n v="0"/>
    <m/>
    <n v="1"/>
    <m/>
    <x v="2"/>
    <x v="2"/>
    <s v="unknown"/>
    <s v="Exterior spruce branch under bark"/>
    <s v="Spruce"/>
    <s v="Exterior"/>
    <s v="Under bark"/>
    <s v="Unknown"/>
    <s v="Did not mark (did not recognize as cache while in field)"/>
    <m/>
    <n v="24"/>
    <n v="0"/>
    <n v="0"/>
    <n v="24"/>
    <n v="32"/>
    <n v="0"/>
    <n v="56"/>
    <s v="searching"/>
    <m/>
    <m/>
    <m/>
  </r>
  <r>
    <s v="DSCN0265"/>
    <s v="CCS0904_11"/>
    <n v="11"/>
    <n v="1"/>
    <s v="CCAMP South"/>
    <d v="2018-09-04T00:00:00"/>
    <x v="0"/>
    <s v="Fall"/>
    <d v="1899-12-30T00:31:00"/>
    <m/>
    <s v="Unbanded"/>
    <s v="Foraging/caching"/>
    <s v="Spruce"/>
    <n v="1"/>
    <m/>
    <n v="1"/>
    <m/>
    <x v="3"/>
    <x v="4"/>
    <s v="Ground"/>
    <s v="Spruce foliage"/>
    <s v="Spruce"/>
    <s v="unknown"/>
    <s v="Foliage"/>
    <s v="Unknown"/>
    <n v="63.721429999999998"/>
    <n v="148.95343"/>
    <n v="0"/>
    <n v="0"/>
    <n v="0"/>
    <n v="0"/>
    <n v="13"/>
    <n v="0"/>
    <n v="13"/>
    <s v="searching"/>
    <s v="Didn't capture foraging in this video B&amp;Ut did in previous one.  Didn't keep video because bird was not in frame B&amp;Ut used it to calculate foraging time reported here.  Unclear from video audio, B&amp;Ut the cache location here was spotted in the field by KS. "/>
    <m/>
    <m/>
  </r>
  <r>
    <s v="DSCN0269"/>
    <s v="M2370905_1"/>
    <n v="1"/>
    <n v="1"/>
    <s v="Mile 237"/>
    <d v="2018-09-05T00:00:00"/>
    <x v="0"/>
    <s v="Fall"/>
    <m/>
    <s v="Overcast, raining "/>
    <s v="YP/RS"/>
    <s v="Foraging"/>
    <s v="Aspen"/>
    <n v="1"/>
    <m/>
    <n v="0"/>
    <m/>
    <x v="4"/>
    <x v="19"/>
    <s v="Aspen tree branch"/>
    <s v="NA"/>
    <s v="NA"/>
    <s v="NA"/>
    <s v="NA"/>
    <s v="NA"/>
    <s v="NA"/>
    <m/>
    <n v="10"/>
    <n v="0"/>
    <n v="0"/>
    <n v="10"/>
    <n v="0"/>
    <n v="0"/>
    <n v="10"/>
    <s v="searching"/>
    <m/>
    <m/>
    <m/>
  </r>
  <r>
    <s v="DSCN0270"/>
    <s v="M2370905_2"/>
    <n v="2"/>
    <n v="1"/>
    <s v="Mile 237"/>
    <d v="2018-09-05T00:00:00"/>
    <x v="0"/>
    <s v="Fall"/>
    <m/>
    <s v="Overcast, raining "/>
    <s v="YP/RS"/>
    <s v="Foraging"/>
    <s v="Spruce"/>
    <n v="1"/>
    <m/>
    <n v="0"/>
    <m/>
    <x v="2"/>
    <x v="2"/>
    <s v="Exterior spruce foliage "/>
    <s v="NA"/>
    <s v="NA"/>
    <s v="NA"/>
    <s v="NA"/>
    <s v="NA"/>
    <s v="NA"/>
    <m/>
    <n v="0"/>
    <n v="11"/>
    <n v="0"/>
    <n v="11"/>
    <n v="0"/>
    <n v="0"/>
    <n v="11"/>
    <s v="searching"/>
    <m/>
    <m/>
    <m/>
  </r>
  <r>
    <s v="DSCN0270"/>
    <s v="M2370905_2"/>
    <n v="2"/>
    <n v="1"/>
    <s v="Mile 237"/>
    <d v="2018-09-05T00:00:00"/>
    <x v="0"/>
    <s v="Fall"/>
    <m/>
    <s v="Overcast, raining "/>
    <s v="YP/RS"/>
    <s v="Foraging"/>
    <s v="Spruce"/>
    <n v="1"/>
    <m/>
    <n v="0"/>
    <m/>
    <x v="2"/>
    <x v="20"/>
    <s v="Interior spruce foliage "/>
    <s v="NA"/>
    <s v="NA"/>
    <s v="NA"/>
    <s v="NA"/>
    <s v="NA"/>
    <s v="NA"/>
    <m/>
    <n v="0"/>
    <n v="11"/>
    <n v="0"/>
    <n v="11"/>
    <n v="0"/>
    <n v="0"/>
    <n v="11"/>
    <s v="searching"/>
    <m/>
    <m/>
    <m/>
  </r>
  <r>
    <s v="DSCN0272"/>
    <s v="M2370905_3"/>
    <n v="3"/>
    <n v="1"/>
    <s v="Mile 237"/>
    <d v="2018-09-05T00:00:00"/>
    <x v="0"/>
    <s v="Fall"/>
    <d v="1899-12-30T00:35:00"/>
    <s v="Overcast, raining "/>
    <s v="YP/RS"/>
    <s v="Forgaing"/>
    <s v="Spruce"/>
    <n v="1"/>
    <m/>
    <n v="0"/>
    <m/>
    <x v="2"/>
    <x v="21"/>
    <s v="Interior spruce foliage"/>
    <s v="NA"/>
    <s v="NA"/>
    <s v="NA"/>
    <s v="NA"/>
    <s v="NA"/>
    <s v="NA"/>
    <m/>
    <n v="0"/>
    <n v="0"/>
    <n v="0"/>
    <n v="0"/>
    <n v="0"/>
    <n v="0"/>
    <n v="0"/>
    <m/>
    <s v="Camera immediately on consumption sequence"/>
    <m/>
    <m/>
  </r>
  <r>
    <s v="DSCN0273"/>
    <s v="M2370905_4"/>
    <n v="4"/>
    <n v="1"/>
    <s v="Mile 237"/>
    <d v="2018-09-05T00:00:00"/>
    <x v="0"/>
    <s v="Fall"/>
    <d v="1899-12-30T00:51:00"/>
    <s v="Overcast, raining "/>
    <s v="GB/PS"/>
    <s v="Foraging"/>
    <s v="Spruce"/>
    <n v="1"/>
    <m/>
    <n v="0"/>
    <m/>
    <x v="2"/>
    <x v="2"/>
    <s v="bare spruce branch"/>
    <s v="NA"/>
    <s v="NA"/>
    <s v="NA"/>
    <s v="NA"/>
    <s v="NA"/>
    <s v="NA"/>
    <m/>
    <n v="12"/>
    <n v="0"/>
    <n v="0"/>
    <n v="12"/>
    <n v="0"/>
    <n v="0"/>
    <n v="12"/>
    <m/>
    <s v="In field thought it cached in tree, B&amp;Ut video does not confirm"/>
    <m/>
    <m/>
  </r>
  <r>
    <s v="DSCN0276"/>
    <s v="M2370905_5"/>
    <n v="5"/>
    <n v="1"/>
    <s v="Mile 237"/>
    <d v="2018-09-05T00:00:00"/>
    <x v="0"/>
    <s v="Fall"/>
    <d v="1899-12-30T00:42:00"/>
    <s v="Overcast, raining "/>
    <s v="YP/RS"/>
    <s v="Foraging"/>
    <s v="Spruce"/>
    <n v="1"/>
    <m/>
    <n v="0"/>
    <m/>
    <x v="4"/>
    <x v="18"/>
    <s v="Spruce foliage"/>
    <s v="NA"/>
    <s v="NA"/>
    <s v="NA"/>
    <s v="NA"/>
    <s v="NA"/>
    <s v="NA"/>
    <m/>
    <n v="0"/>
    <n v="26"/>
    <n v="26"/>
    <n v="0"/>
    <n v="0"/>
    <n v="0"/>
    <n v="26"/>
    <s v="unknown"/>
    <m/>
    <m/>
    <m/>
  </r>
  <r>
    <s v="DSCN0280"/>
    <s v="M4R0905_1"/>
    <n v="1"/>
    <n v="1"/>
    <s v="M4Roadside"/>
    <d v="2018-09-05T00:00:00"/>
    <x v="0"/>
    <s v="Fall"/>
    <d v="1899-12-30T00:55:00"/>
    <s v="Partly sunny"/>
    <s v="OB/YS"/>
    <s v="Foraging"/>
    <s v="NA"/>
    <n v="1"/>
    <m/>
    <n v="0"/>
    <m/>
    <x v="3"/>
    <x v="4"/>
    <s v="Ground"/>
    <s v="NA"/>
    <s v="NA"/>
    <s v="NA"/>
    <s v="NA"/>
    <s v="NA"/>
    <s v="NA"/>
    <m/>
    <n v="0"/>
    <n v="0"/>
    <n v="0"/>
    <n v="0"/>
    <n v="63"/>
    <n v="0"/>
    <n v="63"/>
    <s v="Searching "/>
    <m/>
    <m/>
    <m/>
  </r>
  <r>
    <s v="DSCN0280"/>
    <s v="M4R0905_1"/>
    <n v="1"/>
    <n v="2"/>
    <s v="M4Roadside"/>
    <d v="2018-09-05T00:00:00"/>
    <x v="0"/>
    <s v="Fall"/>
    <d v="1899-12-30T00:55:00"/>
    <s v="Partly sunny"/>
    <s v="OB/YS"/>
    <s v="Foraging"/>
    <s v="NA"/>
    <n v="1"/>
    <m/>
    <n v="0"/>
    <m/>
    <x v="4"/>
    <x v="18"/>
    <s v="Ground"/>
    <s v="NA"/>
    <s v="NA"/>
    <s v="NA"/>
    <s v="NA"/>
    <s v="NA"/>
    <s v="NA"/>
    <m/>
    <n v="0"/>
    <n v="0"/>
    <n v="0"/>
    <n v="0"/>
    <n v="0"/>
    <n v="0"/>
    <n v="0"/>
    <s v="Searching "/>
    <m/>
    <m/>
    <m/>
  </r>
  <r>
    <s v="DSCN0281"/>
    <s v="M4R0905_2"/>
    <n v="2"/>
    <n v="1"/>
    <s v="M4Roadside"/>
    <d v="2018-09-05T00:00:00"/>
    <x v="0"/>
    <s v="Fall"/>
    <d v="1899-12-30T01:46:00"/>
    <s v="Partly sunny"/>
    <s v="WG/OS"/>
    <s v="Caching"/>
    <s v="Spruce"/>
    <n v="1"/>
    <m/>
    <n v="1"/>
    <m/>
    <x v="2"/>
    <x v="2"/>
    <s v="Ground"/>
    <s v="Exterior spruce branch/witch hair moss"/>
    <s v="Spruce"/>
    <s v="Exterior"/>
    <s v="Under bark and witch hair "/>
    <s v="Unknown"/>
    <s v="Did not mark (did not recognize as cache while in field)"/>
    <m/>
    <n v="0"/>
    <n v="0"/>
    <n v="0"/>
    <n v="0"/>
    <n v="10"/>
    <n v="0"/>
    <n v="10"/>
    <m/>
    <s v="Decent cache video"/>
    <m/>
    <m/>
  </r>
  <r>
    <s v="DSCN0281"/>
    <s v="M4R0905_2"/>
    <n v="2"/>
    <n v="1"/>
    <s v="M4Roadside"/>
    <d v="2018-09-05T00:00:00"/>
    <x v="0"/>
    <s v="Fall"/>
    <d v="1899-12-30T01:46:00"/>
    <s v="Partly sunny"/>
    <s v="OB/YS"/>
    <s v="Foraging"/>
    <s v="Spruce"/>
    <n v="1"/>
    <m/>
    <n v="0"/>
    <m/>
    <x v="2"/>
    <x v="2"/>
    <s v="Spruce exterior foliage"/>
    <s v="NA"/>
    <s v="NA"/>
    <s v="NA"/>
    <s v="NA"/>
    <s v="Unknown"/>
    <s v="NA"/>
    <m/>
    <n v="0"/>
    <n v="6"/>
    <n v="0"/>
    <n v="6"/>
    <n v="0"/>
    <n v="0"/>
    <n v="6"/>
    <m/>
    <s v="Decent cache video"/>
    <m/>
    <m/>
  </r>
  <r>
    <s v="DSCN0284"/>
    <s v="M4R0905_3"/>
    <n v="3"/>
    <n v="1"/>
    <s v="M4Roadside"/>
    <d v="2018-09-05T00:00:00"/>
    <x v="0"/>
    <s v="Fall"/>
    <d v="1899-12-30T00:14:00"/>
    <s v="Partly sunny"/>
    <s v="OB/YS"/>
    <s v="Foraging"/>
    <s v="NA"/>
    <n v="1"/>
    <m/>
    <n v="0"/>
    <m/>
    <x v="4"/>
    <x v="18"/>
    <s v="Ground"/>
    <s v="NA"/>
    <s v="NA"/>
    <s v="NA"/>
    <s v="NA"/>
    <s v="NA"/>
    <s v="NA"/>
    <m/>
    <n v="0"/>
    <n v="0"/>
    <n v="0"/>
    <n v="0"/>
    <n v="0"/>
    <n v="0"/>
    <n v="0"/>
    <m/>
    <s v="Missed foraging on film "/>
    <m/>
    <m/>
  </r>
  <r>
    <s v="DSCN0292"/>
    <s v="M4R0905_4"/>
    <n v="4"/>
    <n v="1"/>
    <s v="M4Roadside"/>
    <d v="2018-09-05T00:00:00"/>
    <x v="0"/>
    <s v="Fall"/>
    <d v="1899-12-30T00:38:00"/>
    <s v="Partly sunny"/>
    <s v="unknown"/>
    <s v="Foraging"/>
    <s v="NA"/>
    <n v="1"/>
    <n v="6"/>
    <n v="0"/>
    <m/>
    <x v="3"/>
    <x v="4"/>
    <s v="Ground"/>
    <s v="NA"/>
    <s v="NA"/>
    <s v="NA"/>
    <s v="NA"/>
    <s v="NA"/>
    <s v="NA"/>
    <m/>
    <n v="0"/>
    <n v="0"/>
    <n v="0"/>
    <n v="0"/>
    <n v="13"/>
    <n v="0"/>
    <n v="13"/>
    <m/>
    <m/>
    <m/>
    <m/>
  </r>
  <r>
    <s v="DSCN0306"/>
    <s v="B&amp;U0905_1"/>
    <n v="1"/>
    <n v="1"/>
    <s v="B&amp;U"/>
    <d v="2018-09-05T00:00:00"/>
    <x v="0"/>
    <s v="Fall"/>
    <d v="1899-12-30T03:10:00"/>
    <s v="Partly sunny"/>
    <s v="GR/PS"/>
    <s v="Foraging"/>
    <s v="NA"/>
    <n v="1"/>
    <m/>
    <n v="0"/>
    <m/>
    <x v="0"/>
    <x v="22"/>
    <s v="Ground"/>
    <s v="NA"/>
    <s v="NA"/>
    <s v="NA"/>
    <s v="NA"/>
    <s v="NA"/>
    <s v="NA"/>
    <m/>
    <n v="0"/>
    <n v="0"/>
    <n v="0"/>
    <n v="0"/>
    <n v="39"/>
    <n v="0"/>
    <n v="39"/>
    <m/>
    <m/>
    <m/>
    <m/>
  </r>
  <r>
    <s v="DSCN0306"/>
    <s v="B&amp;U0905_1"/>
    <n v="1"/>
    <n v="2"/>
    <s v="B&amp;U"/>
    <d v="2018-09-05T00:00:00"/>
    <x v="0"/>
    <s v="Fall"/>
    <d v="1899-12-30T03:10:00"/>
    <s v="Partly sunny"/>
    <s v="WP/BS"/>
    <s v="Foraging"/>
    <s v="NA"/>
    <n v="1"/>
    <m/>
    <n v="0"/>
    <m/>
    <x v="4"/>
    <x v="18"/>
    <s v="Ground"/>
    <s v="NA"/>
    <s v="NA"/>
    <s v="NA"/>
    <s v="NA"/>
    <s v="NA"/>
    <s v="NA"/>
    <m/>
    <n v="0"/>
    <n v="0"/>
    <n v="0"/>
    <n v="0"/>
    <n v="0"/>
    <n v="0"/>
    <n v="0"/>
    <m/>
    <m/>
    <m/>
    <m/>
  </r>
  <r>
    <s v="DSCN0323"/>
    <s v="CC0906_1"/>
    <n v="1"/>
    <n v="1"/>
    <s v="CCAMP"/>
    <d v="2018-09-06T00:00:00"/>
    <x v="0"/>
    <s v="Fall"/>
    <d v="1899-12-30T00:40:00"/>
    <s v="Overcast"/>
    <s v="G-/BS"/>
    <s v="Foraging"/>
    <s v="NA"/>
    <n v="1"/>
    <m/>
    <n v="0"/>
    <m/>
    <x v="4"/>
    <x v="18"/>
    <s v="Ground"/>
    <s v="NA"/>
    <s v="NA"/>
    <s v="NA"/>
    <s v="NA"/>
    <s v="NA"/>
    <s v="NA"/>
    <m/>
    <n v="0"/>
    <n v="0"/>
    <n v="0"/>
    <n v="0"/>
    <n v="28"/>
    <n v="0"/>
    <n v="28"/>
    <s v="searching"/>
    <m/>
    <m/>
    <m/>
  </r>
  <r>
    <s v="DSCN0325"/>
    <s v="CC0906_2"/>
    <n v="2"/>
    <n v="1"/>
    <s v="CCAMP"/>
    <d v="2018-09-06T00:00:00"/>
    <x v="0"/>
    <s v="Fall"/>
    <d v="1899-12-30T00:13:00"/>
    <s v="Overcast"/>
    <s v="G-/BS"/>
    <s v="Food handling"/>
    <s v="Spruce"/>
    <n v="1"/>
    <m/>
    <n v="0"/>
    <m/>
    <x v="4"/>
    <x v="23"/>
    <s v="unknown"/>
    <s v="NA"/>
    <s v="NA"/>
    <s v="NA"/>
    <s v="NA"/>
    <s v="NA"/>
    <s v="NA"/>
    <m/>
    <n v="0"/>
    <n v="0"/>
    <n v="0"/>
    <n v="0"/>
    <n v="0"/>
    <n v="0"/>
    <n v="0"/>
    <m/>
    <s v="Only caught food handling, not discovery "/>
    <m/>
    <m/>
  </r>
  <r>
    <s v="DSCN0345"/>
    <s v="CC0906_3"/>
    <n v="3"/>
    <n v="1"/>
    <s v="CCAMP"/>
    <d v="2018-09-06T00:00:00"/>
    <x v="0"/>
    <s v="Fall"/>
    <d v="1899-12-30T00:05:00"/>
    <s v="Overcast"/>
    <s v="G-/BS"/>
    <s v="Food handling"/>
    <s v="Spruce"/>
    <n v="1"/>
    <m/>
    <n v="0"/>
    <m/>
    <x v="2"/>
    <x v="2"/>
    <s v="unknown"/>
    <s v="NA"/>
    <s v="NA"/>
    <s v="NA"/>
    <s v="NA"/>
    <s v="NA"/>
    <s v="NA"/>
    <m/>
    <n v="0"/>
    <n v="0"/>
    <n v="0"/>
    <n v="0"/>
    <n v="0"/>
    <n v="0"/>
    <n v="0"/>
    <m/>
    <s v="Only caught food handling, not discovery "/>
    <m/>
    <m/>
  </r>
  <r>
    <s v="DSCN0361"/>
    <s v="MC0906_1"/>
    <n v="1"/>
    <n v="1"/>
    <s v="Mercantile"/>
    <d v="2018-09-06T00:00:00"/>
    <x v="0"/>
    <s v="Fall"/>
    <d v="1899-12-30T00:24:00"/>
    <s v="Overcast"/>
    <s v="BW/GS"/>
    <s v="Food handling"/>
    <s v="Spruce"/>
    <n v="1"/>
    <m/>
    <n v="0"/>
    <m/>
    <x v="5"/>
    <x v="24"/>
    <s v="spruce cache "/>
    <s v="Spruce foliage"/>
    <s v="NA"/>
    <s v="NA"/>
    <s v="NA"/>
    <s v="Unknown"/>
    <s v="Did not mark (did not recognize as cache while in field)"/>
    <m/>
    <n v="0"/>
    <n v="0"/>
    <n v="0"/>
    <n v="0"/>
    <n v="0"/>
    <n v="0"/>
    <n v="0"/>
    <m/>
    <s v="Observed B&amp;Ut not captured on video "/>
    <m/>
    <m/>
  </r>
  <r>
    <s v="DSCN0364"/>
    <s v="MC0906_2"/>
    <n v="2"/>
    <n v="1"/>
    <s v="Mercantile"/>
    <d v="2018-09-06T00:00:00"/>
    <x v="0"/>
    <s v="Fall"/>
    <d v="1899-12-30T00:18:00"/>
    <s v="Overcast"/>
    <s v="WO/OS"/>
    <s v="Foraging"/>
    <s v="Aspen"/>
    <s v="unknown"/>
    <m/>
    <n v="0"/>
    <m/>
    <x v="1"/>
    <x v="1"/>
    <s v="NA"/>
    <s v="NA"/>
    <s v="NA"/>
    <s v="NA"/>
    <s v="NA"/>
    <s v="NA"/>
    <s v="NA"/>
    <m/>
    <n v="15"/>
    <n v="0"/>
    <n v="15"/>
    <n v="0"/>
    <n v="0"/>
    <n v="0"/>
    <n v="15"/>
    <s v="Searching/probing "/>
    <m/>
    <m/>
    <m/>
  </r>
  <r>
    <s v="DSCN0366"/>
    <s v="MC0906_3"/>
    <n v="3"/>
    <n v="1"/>
    <s v="Mercantile"/>
    <d v="2018-09-06T00:00:00"/>
    <x v="0"/>
    <s v="Fall"/>
    <d v="1899-12-30T00:12:00"/>
    <s v="Overcast"/>
    <s v="unknown"/>
    <s v="Foraging"/>
    <s v="Spruce"/>
    <n v="1"/>
    <m/>
    <n v="0"/>
    <m/>
    <x v="2"/>
    <x v="2"/>
    <s v="Interior spruce foliage"/>
    <s v="NA"/>
    <s v="NA"/>
    <s v="NA"/>
    <s v="NA"/>
    <s v="NA"/>
    <s v="NA"/>
    <m/>
    <n v="0"/>
    <n v="12"/>
    <n v="0"/>
    <n v="12"/>
    <n v="0"/>
    <n v="0"/>
    <n v="12"/>
    <s v="unknown"/>
    <m/>
    <m/>
    <m/>
  </r>
  <r>
    <s v="DSCN0368"/>
    <s v="MC0906_4"/>
    <n v="4"/>
    <n v="1"/>
    <s v="Mercantile"/>
    <d v="2018-09-06T00:00:00"/>
    <x v="0"/>
    <s v="Fall"/>
    <d v="1899-12-30T00:24:00"/>
    <s v="Overcast"/>
    <s v="BW/GS"/>
    <s v="Foraging"/>
    <s v="Aspen"/>
    <s v="unknown"/>
    <m/>
    <n v="0"/>
    <m/>
    <x v="1"/>
    <x v="1"/>
    <s v="NA"/>
    <s v="NA"/>
    <s v="NA"/>
    <s v="NA"/>
    <s v="NA"/>
    <s v="NA"/>
    <s v="NA"/>
    <m/>
    <n v="17"/>
    <n v="0"/>
    <n v="0"/>
    <n v="17"/>
    <n v="0"/>
    <n v="0"/>
    <n v="17"/>
    <s v="Probing"/>
    <m/>
    <n v="1"/>
    <n v="0"/>
  </r>
  <r>
    <s v="DSCN0372"/>
    <s v="MC0906_5"/>
    <n v="5"/>
    <n v="1"/>
    <s v="Mercantile"/>
    <d v="2018-09-06T00:00:00"/>
    <x v="0"/>
    <s v="Fall"/>
    <d v="1899-12-30T00:31:00"/>
    <s v="Overcast"/>
    <s v="WO/OS"/>
    <s v="Foraging"/>
    <s v="Spruce, aspen"/>
    <s v="unknown"/>
    <m/>
    <n v="0"/>
    <m/>
    <x v="1"/>
    <x v="1"/>
    <s v="NA"/>
    <s v="NA"/>
    <s v="NA"/>
    <s v="NA"/>
    <s v="NA"/>
    <s v="NA"/>
    <s v="NA"/>
    <m/>
    <n v="11"/>
    <n v="16"/>
    <n v="11"/>
    <n v="16"/>
    <n v="0"/>
    <n v="0"/>
    <n v="27"/>
    <s v="Searching "/>
    <m/>
    <m/>
    <m/>
  </r>
  <r>
    <s v="DSCN0373"/>
    <s v="MC0906_6"/>
    <n v="6"/>
    <n v="1"/>
    <s v="Mercantile"/>
    <d v="2018-09-06T00:00:00"/>
    <x v="0"/>
    <s v="Fall"/>
    <d v="1899-12-30T00:07:00"/>
    <s v="Overcast"/>
    <s v="WO/OS"/>
    <s v="Foraging"/>
    <s v="Aspen"/>
    <n v="1"/>
    <m/>
    <n v="0"/>
    <m/>
    <x v="2"/>
    <x v="2"/>
    <s v="Aspen branch under bark"/>
    <s v="NA"/>
    <s v="NA"/>
    <s v="NA"/>
    <s v="NA"/>
    <s v="NA"/>
    <s v="NA"/>
    <m/>
    <n v="7"/>
    <n v="0"/>
    <n v="0"/>
    <n v="7"/>
    <n v="0"/>
    <n v="0"/>
    <n v="7"/>
    <s v="Probing"/>
    <m/>
    <n v="1"/>
    <n v="0"/>
  </r>
  <r>
    <s v="DSCN0376"/>
    <s v="MC0906_7"/>
    <n v="7"/>
    <n v="1"/>
    <s v="Mercantile"/>
    <d v="2018-09-06T00:00:00"/>
    <x v="0"/>
    <s v="Fall"/>
    <d v="1899-12-30T00:47:00"/>
    <s v="Overcast"/>
    <s v="WO/OS"/>
    <s v="Foraging"/>
    <s v="NA"/>
    <n v="1"/>
    <m/>
    <n v="1"/>
    <m/>
    <x v="0"/>
    <x v="0"/>
    <s v="Ground"/>
    <s v="Exterior spruce foliage"/>
    <s v="Spruce"/>
    <s v="Exterior"/>
    <s v="Foliage"/>
    <s v="NA"/>
    <s v="Later moved by second bird.  "/>
    <m/>
    <n v="0"/>
    <n v="0"/>
    <n v="0"/>
    <n v="0"/>
    <n v="25"/>
    <n v="0"/>
    <n v="25"/>
    <m/>
    <m/>
    <m/>
    <m/>
  </r>
  <r>
    <s v="DSCN0377"/>
    <s v="MC0906_8"/>
    <n v="8"/>
    <n v="1"/>
    <s v="Mercantile"/>
    <d v="2018-09-06T00:00:00"/>
    <x v="0"/>
    <s v="Fall"/>
    <d v="1899-12-30T00:27:00"/>
    <s v="Overcast"/>
    <s v="BW/GS"/>
    <s v="Caching"/>
    <s v="Spruce"/>
    <n v="1"/>
    <m/>
    <n v="1"/>
    <m/>
    <x v="0"/>
    <x v="0"/>
    <s v="Spruce branch (from MC0906_7)"/>
    <s v="Exterior spruce foliage"/>
    <s v="Spruce"/>
    <s v="Exterior"/>
    <s v="Foliage"/>
    <s v="Unknown"/>
    <n v="63.731670000000001"/>
    <n v="148.89604"/>
    <n v="0"/>
    <n v="0"/>
    <n v="0"/>
    <n v="0"/>
    <n v="0"/>
    <n v="0"/>
    <n v="0"/>
    <m/>
    <s v="Female collected mushroo piece that had been placed on spruce branch by male (WO/OS).  She took it and went to a different spruce tree and cashed it.  That second tree is the one we took a GPS on"/>
    <m/>
    <m/>
  </r>
  <r>
    <s v="DSCN0379"/>
    <s v="MC0906_9"/>
    <n v="9"/>
    <n v="1"/>
    <s v="Mercantile"/>
    <d v="2018-09-06T00:00:00"/>
    <x v="0"/>
    <s v="Fall"/>
    <d v="1899-12-30T00:11:00"/>
    <s v="Overcast"/>
    <s v="BW/GS"/>
    <s v="Foraging"/>
    <s v="NA"/>
    <n v="1"/>
    <m/>
    <n v="0"/>
    <m/>
    <x v="0"/>
    <x v="0"/>
    <s v="Ground"/>
    <s v="NA"/>
    <s v="NA"/>
    <s v="NA"/>
    <s v="NA"/>
    <s v="NA"/>
    <s v="NA"/>
    <m/>
    <n v="0"/>
    <n v="0"/>
    <n v="0"/>
    <n v="0"/>
    <n v="0"/>
    <n v="0"/>
    <n v="0"/>
    <m/>
    <s v="Female on ground already eating at video start.  "/>
    <m/>
    <m/>
  </r>
  <r>
    <s v="DSCN0380"/>
    <s v="MC0906_10"/>
    <n v="10"/>
    <n v="1"/>
    <s v="Mercantile"/>
    <d v="2018-09-06T00:00:00"/>
    <x v="0"/>
    <s v="Fall"/>
    <d v="1899-12-30T00:55:00"/>
    <s v="Overcast"/>
    <s v="BW/GS"/>
    <s v="Foraging"/>
    <s v="NA"/>
    <n v="2"/>
    <m/>
    <n v="0"/>
    <m/>
    <x v="0"/>
    <x v="0"/>
    <s v="Ground"/>
    <s v="NA"/>
    <s v="NA"/>
    <s v="NA"/>
    <s v="NA"/>
    <s v="NA"/>
    <s v="NA"/>
    <m/>
    <n v="0"/>
    <n v="0"/>
    <n v="0"/>
    <n v="0"/>
    <n v="27"/>
    <n v="0"/>
    <n v="27"/>
    <m/>
    <s v="Attending mushroom"/>
    <m/>
    <m/>
  </r>
  <r>
    <s v="DSCN0381"/>
    <s v="MC0906_11"/>
    <n v="11"/>
    <n v="1"/>
    <s v="Mercantile"/>
    <d v="2018-09-06T00:00:00"/>
    <x v="0"/>
    <s v="Fall"/>
    <d v="1899-12-30T00:25:00"/>
    <s v="Overcast"/>
    <s v="BW/GS"/>
    <s v="Caching"/>
    <s v="Spruce"/>
    <n v="0"/>
    <m/>
    <n v="1"/>
    <m/>
    <x v="0"/>
    <x v="0"/>
    <s v="NA"/>
    <s v="Interior spruce foliage"/>
    <s v="Spruce"/>
    <s v="Interior"/>
    <s v="Foliage"/>
    <s v="Unknown"/>
    <n v="63.731639999999999"/>
    <n v="148.89586"/>
    <n v="0"/>
    <n v="0"/>
    <n v="0"/>
    <n v="0"/>
    <n v="0"/>
    <n v="0"/>
    <n v="0"/>
    <m/>
    <s v="Cached mushroom from previous video "/>
    <m/>
    <m/>
  </r>
  <r>
    <s v="DSCN0382"/>
    <s v="MC0906_12"/>
    <n v="12"/>
    <n v="1"/>
    <s v="Mercantile"/>
    <d v="2018-09-06T00:00:00"/>
    <x v="0"/>
    <s v="Fall"/>
    <d v="1899-12-30T02:09:00"/>
    <s v="Overcast"/>
    <s v="WO/OS"/>
    <s v="Caching"/>
    <s v="Spruce"/>
    <n v="1"/>
    <m/>
    <n v="1"/>
    <m/>
    <x v="2"/>
    <x v="2"/>
    <s v="Exterior spruce foliage "/>
    <s v="Interior spruce foliage"/>
    <s v="Spruce"/>
    <s v="Interior"/>
    <s v="Foliage"/>
    <s v="Unknown"/>
    <n v="63.731960000000001"/>
    <n v="148.89534"/>
    <n v="6"/>
    <n v="6"/>
    <n v="0"/>
    <n v="12"/>
    <n v="21"/>
    <n v="0"/>
    <n v="33"/>
    <m/>
    <s v="Cache is not from the observed food acquisition in video.  "/>
    <m/>
    <m/>
  </r>
  <r>
    <s v="DSCN0397"/>
    <s v="M2370907_1"/>
    <n v="1"/>
    <n v="1"/>
    <s v="Mile 237"/>
    <d v="2018-09-07T00:00:00"/>
    <x v="0"/>
    <s v="Fall"/>
    <d v="1899-12-30T00:30:00"/>
    <s v="Overcast"/>
    <s v="GB/PS"/>
    <s v="Cache recovery"/>
    <s v="Spruce"/>
    <n v="1"/>
    <m/>
    <n v="0"/>
    <m/>
    <x v="6"/>
    <x v="17"/>
    <s v="Spruce foliage"/>
    <s v="NA"/>
    <s v="NA"/>
    <s v="NA"/>
    <s v="NA"/>
    <s v="NA"/>
    <s v="NA"/>
    <m/>
    <n v="0"/>
    <n v="0"/>
    <n v="0"/>
    <n v="0"/>
    <n v="0"/>
    <n v="0"/>
    <n v="0"/>
    <m/>
    <s v="KS saw it removed meat like substance from spruce foliage "/>
    <m/>
    <m/>
  </r>
  <r>
    <s v="DSCN0404"/>
    <s v="M2370907_3"/>
    <n v="3"/>
    <n v="1"/>
    <s v="Mile 237"/>
    <d v="2018-09-07T00:00:00"/>
    <x v="0"/>
    <s v="Fall"/>
    <d v="1899-12-30T01:03:00"/>
    <s v="Overcast"/>
    <s v="GB/PS"/>
    <s v="Foraging"/>
    <s v="Aspen"/>
    <n v="1"/>
    <s v="14 pecks"/>
    <n v="0"/>
    <m/>
    <x v="2"/>
    <x v="25"/>
    <s v="Aspen tree leaf stems"/>
    <s v="NA"/>
    <s v="NA"/>
    <s v="NA"/>
    <s v="NA"/>
    <s v="NA"/>
    <s v="NA"/>
    <m/>
    <n v="0"/>
    <n v="63"/>
    <n v="0"/>
    <n v="63"/>
    <n v="0"/>
    <n v="0"/>
    <n v="63"/>
    <s v="Gleaning"/>
    <s v="Guessing insects based on size/location"/>
    <n v="0"/>
    <n v="18"/>
  </r>
  <r>
    <s v="DSCN0408"/>
    <s v="M2370907_5"/>
    <n v="5"/>
    <n v="1"/>
    <s v="Mile 237"/>
    <d v="2018-09-07T00:00:00"/>
    <x v="0"/>
    <s v="Fall"/>
    <d v="1899-12-30T01:46:00"/>
    <s v="Overcast"/>
    <s v="YP/RS"/>
    <s v="Foraging"/>
    <s v="Aspen"/>
    <n v="1"/>
    <m/>
    <n v="0"/>
    <m/>
    <x v="2"/>
    <x v="2"/>
    <s v="Aspen tree leaf stems"/>
    <s v="NA"/>
    <s v="NA"/>
    <s v="NA"/>
    <s v="NA"/>
    <s v="NA"/>
    <s v="NA"/>
    <m/>
    <n v="81"/>
    <n v="0"/>
    <n v="0"/>
    <n v="81"/>
    <n v="0"/>
    <n v="0"/>
    <n v="81"/>
    <s v="Gleaning"/>
    <m/>
    <n v="0"/>
    <n v="19"/>
  </r>
  <r>
    <s v="DSCN0411"/>
    <s v="M2370907_6"/>
    <n v="6"/>
    <n v="1"/>
    <s v="Mile 237"/>
    <d v="2018-09-07T00:00:00"/>
    <x v="0"/>
    <s v="Fall"/>
    <d v="1899-12-30T00:16:00"/>
    <s v="Overcast"/>
    <s v="unknown"/>
    <s v="Foraging"/>
    <s v="NA"/>
    <n v="1"/>
    <m/>
    <n v="0"/>
    <m/>
    <x v="0"/>
    <x v="0"/>
    <s v="Ground"/>
    <s v="NA"/>
    <s v="NA"/>
    <s v="NA"/>
    <s v="NA"/>
    <s v="NA"/>
    <s v="NA"/>
    <m/>
    <n v="0"/>
    <n v="0"/>
    <n v="0"/>
    <n v="0"/>
    <n v="10"/>
    <n v="0"/>
    <n v="10"/>
    <m/>
    <m/>
    <m/>
    <m/>
  </r>
  <r>
    <s v="DSCN0412"/>
    <s v="M2370907_7"/>
    <n v="7"/>
    <n v="1"/>
    <s v="Mile 237"/>
    <d v="2018-09-07T00:00:00"/>
    <x v="0"/>
    <s v="Fall"/>
    <d v="1899-12-30T00:21:00"/>
    <s v="Overcast"/>
    <s v="unknown"/>
    <s v="Foraging"/>
    <s v="NA"/>
    <n v="1"/>
    <m/>
    <n v="0"/>
    <m/>
    <x v="0"/>
    <x v="0"/>
    <s v="Ground"/>
    <s v="NA"/>
    <s v="NA"/>
    <s v="NA"/>
    <s v="NA"/>
    <s v="NA"/>
    <s v="NA"/>
    <m/>
    <n v="0"/>
    <n v="0"/>
    <n v="0"/>
    <n v="0"/>
    <n v="4"/>
    <n v="0"/>
    <n v="4"/>
    <m/>
    <m/>
    <m/>
    <m/>
  </r>
  <r>
    <s v="DSCN0413"/>
    <s v="M2370907_8"/>
    <n v="8"/>
    <n v="1"/>
    <s v="Mile 237"/>
    <d v="2018-09-07T00:00:00"/>
    <x v="0"/>
    <s v="Fall"/>
    <d v="1899-12-30T00:34:00"/>
    <s v="Overcast"/>
    <s v="YP/RS"/>
    <s v="Foraging"/>
    <s v="Aspen"/>
    <n v="2"/>
    <m/>
    <n v="0"/>
    <m/>
    <x v="2"/>
    <x v="2"/>
    <s v="Aspen branch under bark"/>
    <s v="NA"/>
    <s v="NA"/>
    <s v="NA"/>
    <s v="NA"/>
    <s v="NA"/>
    <s v="NA"/>
    <m/>
    <n v="34"/>
    <n v="0"/>
    <n v="0"/>
    <n v="34"/>
    <n v="0"/>
    <n v="0"/>
    <n v="34"/>
    <s v="Probing"/>
    <s v="Watched it poke at caches object for 7 sec.  Object was in tangle of bare spruce branch"/>
    <n v="2"/>
    <n v="0"/>
  </r>
  <r>
    <s v="DSCN0415"/>
    <s v="M2370907_9"/>
    <n v="9"/>
    <n v="1"/>
    <s v="Mile 237"/>
    <d v="2018-09-07T00:00:00"/>
    <x v="0"/>
    <s v="Fall"/>
    <d v="1899-12-30T00:48:00"/>
    <s v="Overcast"/>
    <s v="YP/RS"/>
    <s v="Foraging"/>
    <s v="NA"/>
    <n v="1"/>
    <n v="5"/>
    <n v="0"/>
    <m/>
    <x v="3"/>
    <x v="26"/>
    <s v="Ground"/>
    <s v="NA"/>
    <s v="NA"/>
    <s v="NA"/>
    <s v="NA"/>
    <s v="NA"/>
    <s v="NA"/>
    <m/>
    <n v="0"/>
    <n v="0"/>
    <n v="0"/>
    <n v="0"/>
    <n v="24"/>
    <n v="0"/>
    <n v="24"/>
    <m/>
    <m/>
    <m/>
    <m/>
  </r>
  <r>
    <s v="DSCN0415"/>
    <s v="M2370907_9"/>
    <n v="9"/>
    <n v="2"/>
    <s v="Mile 237"/>
    <d v="2018-09-07T00:00:00"/>
    <x v="0"/>
    <s v="Fall"/>
    <d v="1899-12-30T00:48:00"/>
    <s v="Overcast"/>
    <s v="unknown"/>
    <s v="Foraging"/>
    <s v="NA"/>
    <n v="1"/>
    <m/>
    <n v="1"/>
    <m/>
    <x v="2"/>
    <x v="2"/>
    <s v="unknown"/>
    <s v="Interior spruce foliage "/>
    <s v="Spruce"/>
    <s v="Interior"/>
    <s v="Foliage"/>
    <s v="Unknown"/>
    <s v="Did not mark (did not recognize as cache while in field)"/>
    <m/>
    <n v="0"/>
    <n v="0"/>
    <n v="0"/>
    <n v="0"/>
    <n v="0"/>
    <n v="0"/>
    <n v="0"/>
    <m/>
    <m/>
    <m/>
    <m/>
  </r>
  <r>
    <s v="DSCN0417"/>
    <s v="M2370907_10"/>
    <n v="10"/>
    <n v="1"/>
    <s v="Mile 237"/>
    <d v="2018-09-07T00:00:00"/>
    <x v="0"/>
    <s v="Fall"/>
    <d v="1899-12-30T00:22:00"/>
    <s v="Overcast"/>
    <s v="YP/RS"/>
    <s v="Cache recovery"/>
    <s v="Aspen"/>
    <n v="1"/>
    <m/>
    <n v="0"/>
    <m/>
    <x v="6"/>
    <x v="17"/>
    <s v="Cache site on aspen branch"/>
    <s v="NA"/>
    <s v="NA"/>
    <s v="NA"/>
    <s v="NA"/>
    <s v="NA"/>
    <s v="NA"/>
    <m/>
    <n v="0"/>
    <n v="0"/>
    <n v="0"/>
    <n v="0"/>
    <n v="0"/>
    <n v="0"/>
    <n v="0"/>
    <m/>
    <m/>
    <m/>
    <m/>
  </r>
  <r>
    <s v="DSCN0418"/>
    <s v="MC0907_1"/>
    <n v="1"/>
    <n v="1"/>
    <s v="Mercantile"/>
    <d v="2018-09-07T00:00:00"/>
    <x v="0"/>
    <s v="Fall"/>
    <d v="1899-12-30T00:17:00"/>
    <s v="Overcast"/>
    <s v="WO/OS"/>
    <s v="Foraging"/>
    <s v="NA"/>
    <n v="1"/>
    <m/>
    <n v="0"/>
    <m/>
    <x v="0"/>
    <x v="27"/>
    <s v="Ground"/>
    <s v="NA"/>
    <s v="NA"/>
    <s v="NA"/>
    <s v="NA"/>
    <s v="NA"/>
    <s v="NA"/>
    <m/>
    <n v="0"/>
    <n v="0"/>
    <n v="0"/>
    <n v="0"/>
    <n v="8"/>
    <n v="0"/>
    <n v="8"/>
    <m/>
    <m/>
    <m/>
    <m/>
  </r>
  <r>
    <s v="DSCN0419"/>
    <s v="MC0907_2"/>
    <n v="2"/>
    <n v="1"/>
    <s v="Mercantile"/>
    <d v="2018-09-07T00:00:00"/>
    <x v="0"/>
    <s v="Fall"/>
    <d v="1899-12-30T01:33:00"/>
    <s v="Overcast"/>
    <s v="WO/OS"/>
    <s v="Food handling/caching"/>
    <s v="Spruce"/>
    <n v="0"/>
    <m/>
    <n v="1"/>
    <m/>
    <x v="0"/>
    <x v="27"/>
    <s v="Ground"/>
    <s v="Exterior spruce foliage"/>
    <s v="Spruce"/>
    <s v="Exterior"/>
    <s v="Foliage"/>
    <s v="Unknown"/>
    <n v="63.731299999999997"/>
    <n v="148.89637999999999"/>
    <n v="0"/>
    <n v="0"/>
    <n v="0"/>
    <n v="0"/>
    <n v="0"/>
    <n v="0"/>
    <n v="0"/>
    <m/>
    <s v="Tearing up and caching bits of mushroom from previous video.  "/>
    <m/>
    <m/>
  </r>
  <r>
    <s v="DSCN0422"/>
    <s v="MC0907_3"/>
    <n v="3"/>
    <n v="1"/>
    <s v="Mercantile"/>
    <d v="2018-09-07T00:00:00"/>
    <x v="0"/>
    <s v="Fall"/>
    <d v="1899-12-30T01:24:00"/>
    <s v="Overcast"/>
    <s v="WO/OS"/>
    <s v="Foraging"/>
    <s v="Spruce"/>
    <n v="1"/>
    <m/>
    <n v="0"/>
    <m/>
    <x v="0"/>
    <x v="27"/>
    <s v="NA"/>
    <s v="NA"/>
    <s v="NA"/>
    <s v="NA"/>
    <s v="NA"/>
    <s v="NA"/>
    <s v="NA"/>
    <m/>
    <n v="0"/>
    <n v="0"/>
    <n v="0"/>
    <n v="0"/>
    <n v="0"/>
    <n v="0"/>
    <n v="0"/>
    <m/>
    <s v="Tearing up bits of mushroom from previous video"/>
    <m/>
    <m/>
  </r>
  <r>
    <s v="DSCN0423"/>
    <s v="MC0907_4"/>
    <n v="4"/>
    <n v="1"/>
    <s v="Mercantile"/>
    <d v="2018-09-07T00:00:00"/>
    <x v="0"/>
    <s v="Fall"/>
    <d v="1899-12-30T00:15:00"/>
    <s v="Overcast"/>
    <s v="BW/GS"/>
    <s v="Foraging"/>
    <s v="NA"/>
    <n v="1"/>
    <m/>
    <n v="0"/>
    <m/>
    <x v="0"/>
    <x v="27"/>
    <s v="Ground"/>
    <s v="NA"/>
    <s v="NA"/>
    <s v="NA"/>
    <s v="NA"/>
    <s v="NA"/>
    <s v="NA"/>
    <m/>
    <n v="0"/>
    <n v="0"/>
    <n v="0"/>
    <n v="0"/>
    <n v="15"/>
    <n v="0"/>
    <n v="15"/>
    <m/>
    <m/>
    <m/>
    <m/>
  </r>
  <r>
    <s v="DSCN0424"/>
    <s v="MC0907_5"/>
    <n v="5"/>
    <n v="1"/>
    <s v="Mercantile"/>
    <d v="2018-09-07T00:00:00"/>
    <x v="0"/>
    <s v="Fall"/>
    <d v="1899-12-30T01:33:00"/>
    <s v="Overcast"/>
    <s v="BW/GS"/>
    <s v="Foraging"/>
    <s v="Spruce"/>
    <n v="1"/>
    <m/>
    <n v="0"/>
    <m/>
    <x v="0"/>
    <x v="27"/>
    <s v="NA"/>
    <s v="NA"/>
    <s v="NA"/>
    <s v="NA"/>
    <s v="NA"/>
    <s v="NA"/>
    <s v="NA"/>
    <m/>
    <n v="0"/>
    <n v="0"/>
    <n v="0"/>
    <n v="0"/>
    <n v="0"/>
    <n v="0"/>
    <n v="0"/>
    <m/>
    <s v="Tearing up bits of mushroom from previous video"/>
    <m/>
    <m/>
  </r>
  <r>
    <s v="DSCN0427"/>
    <s v="MC0907_6"/>
    <n v="6"/>
    <n v="1"/>
    <s v="Mercantile"/>
    <d v="2018-09-07T00:00:00"/>
    <x v="0"/>
    <s v="Fall"/>
    <d v="1899-12-30T00:08:00"/>
    <s v="Overcast"/>
    <s v="BW/GS"/>
    <s v="Foraging"/>
    <s v="NA"/>
    <n v="1"/>
    <m/>
    <n v="0"/>
    <m/>
    <x v="0"/>
    <x v="27"/>
    <s v="Ground"/>
    <s v="NA"/>
    <s v="NA"/>
    <s v="NA"/>
    <s v="NA"/>
    <s v="NA"/>
    <s v="NA"/>
    <m/>
    <n v="0"/>
    <n v="0"/>
    <n v="0"/>
    <n v="0"/>
    <n v="9"/>
    <n v="0"/>
    <n v="9"/>
    <m/>
    <m/>
    <m/>
    <m/>
  </r>
  <r>
    <s v="DSCN0437"/>
    <s v="MC0907_7"/>
    <n v="7"/>
    <n v="1"/>
    <s v="Mercantile"/>
    <d v="2018-09-07T00:00:00"/>
    <x v="0"/>
    <s v="Fall"/>
    <d v="1899-12-30T01:14:00"/>
    <s v="Overcast"/>
    <s v="BW/GS"/>
    <s v="Foraging"/>
    <s v="NA"/>
    <n v="1"/>
    <m/>
    <n v="0"/>
    <m/>
    <x v="4"/>
    <x v="18"/>
    <s v="Ground"/>
    <s v="NA"/>
    <s v="NA"/>
    <s v="NA"/>
    <s v="NA"/>
    <s v="NA"/>
    <s v="NA"/>
    <m/>
    <n v="0"/>
    <n v="0"/>
    <n v="0"/>
    <n v="0"/>
    <n v="5"/>
    <n v="0"/>
    <n v="5"/>
    <m/>
    <m/>
    <m/>
    <m/>
  </r>
  <r>
    <s v="DSCN0437"/>
    <s v="MC0907_7"/>
    <n v="7"/>
    <n v="1"/>
    <s v="Mercantile"/>
    <d v="2018-09-07T00:00:00"/>
    <x v="0"/>
    <s v="Fall"/>
    <d v="1899-12-30T01:14:00"/>
    <s v="Overcast"/>
    <s v="BW/GS"/>
    <s v="Foraging"/>
    <s v="NA"/>
    <n v="1"/>
    <m/>
    <n v="0"/>
    <m/>
    <x v="4"/>
    <x v="18"/>
    <s v="Ground"/>
    <s v="NA"/>
    <s v="NA"/>
    <s v="NA"/>
    <s v="NA"/>
    <s v="NA"/>
    <s v="NA"/>
    <m/>
    <n v="0"/>
    <n v="0"/>
    <n v="0"/>
    <n v="0"/>
    <n v="6"/>
    <n v="0"/>
    <n v="6"/>
    <m/>
    <m/>
    <m/>
    <m/>
  </r>
  <r>
    <s v="DSCN0439"/>
    <s v="MC0907_8"/>
    <n v="8"/>
    <n v="1"/>
    <s v="Mercantile"/>
    <d v="2018-09-07T00:00:00"/>
    <x v="0"/>
    <s v="Fall"/>
    <d v="1899-12-30T00:08:00"/>
    <s v="Overcast"/>
    <s v="BW/GS"/>
    <s v="Foraging"/>
    <s v="NA"/>
    <n v="1"/>
    <m/>
    <n v="0"/>
    <m/>
    <x v="0"/>
    <x v="0"/>
    <s v="Ground"/>
    <s v="NA"/>
    <s v="NA"/>
    <s v="NA"/>
    <s v="NA"/>
    <s v="NA"/>
    <s v="NA"/>
    <m/>
    <n v="0"/>
    <n v="0"/>
    <n v="0"/>
    <n v="0"/>
    <n v="2"/>
    <n v="0"/>
    <n v="2"/>
    <m/>
    <m/>
    <m/>
    <m/>
  </r>
  <r>
    <s v="DSCN0441"/>
    <s v="MC0907_10"/>
    <n v="10"/>
    <n v="1"/>
    <s v="Mercantile"/>
    <d v="2018-09-07T00:00:00"/>
    <x v="0"/>
    <s v="Fall"/>
    <d v="1899-12-30T01:14:00"/>
    <s v="Overcast"/>
    <s v="WO/OS"/>
    <s v="Foraging"/>
    <s v="Spruce"/>
    <s v="unknown"/>
    <m/>
    <n v="0"/>
    <m/>
    <x v="1"/>
    <x v="1"/>
    <s v="NA"/>
    <s v="NA"/>
    <s v="NA"/>
    <s v="NA"/>
    <s v="NA"/>
    <s v="NA"/>
    <s v="NA"/>
    <m/>
    <n v="9"/>
    <n v="0"/>
    <n v="9"/>
    <n v="0"/>
    <n v="0"/>
    <n v="0"/>
    <n v="9"/>
    <s v="Probing"/>
    <m/>
    <n v="3"/>
    <n v="0"/>
  </r>
  <r>
    <s v="DSCN0442"/>
    <s v="MC0907_11"/>
    <n v="11"/>
    <n v="1"/>
    <s v="Mercantile"/>
    <d v="2018-09-07T00:00:00"/>
    <x v="0"/>
    <s v="Fall"/>
    <d v="1899-12-30T00:50:00"/>
    <s v="Overcast"/>
    <s v="WO/OS"/>
    <s v="Foraging"/>
    <s v="Spruce"/>
    <n v="1"/>
    <m/>
    <n v="0"/>
    <m/>
    <x v="2"/>
    <x v="2"/>
    <s v="bare spruce branch"/>
    <s v="NA"/>
    <s v="NA"/>
    <s v="NA"/>
    <s v="NA"/>
    <s v="NA"/>
    <s v="NA"/>
    <m/>
    <n v="25"/>
    <n v="0"/>
    <n v="0"/>
    <n v="25"/>
    <n v="0"/>
    <n v="0"/>
    <n v="25"/>
    <s v="Gleaning"/>
    <m/>
    <n v="0"/>
    <n v="5"/>
  </r>
  <r>
    <s v="DSCN0443"/>
    <s v="MC0907_12"/>
    <n v="12"/>
    <n v="1"/>
    <s v="Mercantile"/>
    <d v="2018-09-07T00:00:00"/>
    <x v="0"/>
    <s v="Fall"/>
    <d v="1899-12-30T01:28:00"/>
    <s v="Overcast"/>
    <s v="BW/GS"/>
    <s v="Cache recovery"/>
    <s v="Spruce"/>
    <n v="1"/>
    <m/>
    <n v="0"/>
    <m/>
    <x v="2"/>
    <x v="2"/>
    <s v="Exterior spruce branch"/>
    <s v="NA"/>
    <s v="NA"/>
    <s v="NA"/>
    <s v="NA"/>
    <s v="NA"/>
    <s v="NA"/>
    <s v="NA"/>
    <n v="9"/>
    <n v="0"/>
    <n v="9"/>
    <n v="0"/>
    <n v="2"/>
    <n v="0"/>
    <n v="11"/>
    <s v="Gleaning, searching "/>
    <s v="Appeared to recover white object from tree, we called it a cache recovery and GPS's (63.73207 148.89915).  Suspect mushroom "/>
    <m/>
    <m/>
  </r>
  <r>
    <s v="DSCN0443"/>
    <s v="MC0907_12"/>
    <n v="12"/>
    <n v="3"/>
    <s v="Mercantile"/>
    <d v="2018-09-07T00:00:00"/>
    <x v="0"/>
    <s v="Fall"/>
    <d v="1899-12-30T01:28:00"/>
    <s v="Overcast"/>
    <s v="WO/OS"/>
    <s v="Foraging"/>
    <s v="Spruce"/>
    <n v="1"/>
    <m/>
    <n v="0"/>
    <m/>
    <x v="2"/>
    <x v="2"/>
    <s v="Ground"/>
    <s v="NA"/>
    <s v="NA"/>
    <s v="NA"/>
    <s v="NA"/>
    <s v="NA"/>
    <s v="NA"/>
    <m/>
    <n v="0"/>
    <n v="0"/>
    <n v="0"/>
    <n v="0"/>
    <n v="0"/>
    <n v="0"/>
    <n v="0"/>
    <s v="Searching "/>
    <m/>
    <m/>
    <m/>
  </r>
  <r>
    <s v="DSCN0443"/>
    <s v="MC0907_12"/>
    <n v="12"/>
    <n v="2"/>
    <s v="Mercantile"/>
    <d v="2018-09-07T00:00:00"/>
    <x v="0"/>
    <s v="Fall"/>
    <d v="1899-12-30T01:28:00"/>
    <s v="Overcast"/>
    <s v="WO/OS"/>
    <s v="Caching"/>
    <s v="Spruce"/>
    <n v="0"/>
    <m/>
    <n v="1"/>
    <m/>
    <x v="2"/>
    <x v="2"/>
    <s v="unknown"/>
    <s v="Spruce trunk under bark"/>
    <s v="Spruce"/>
    <s v="Trunk"/>
    <s v="Under bark"/>
    <s v="Unknown"/>
    <s v="Did not mark (did not recognize as cache while in field)"/>
    <m/>
    <n v="0"/>
    <n v="0"/>
    <n v="0"/>
    <n v="0"/>
    <n v="0"/>
    <n v="0"/>
    <n v="0"/>
    <s v="Searching "/>
    <m/>
    <m/>
    <m/>
  </r>
  <r>
    <s v="DSCN0472"/>
    <s v="M4R0907_1"/>
    <n v="1"/>
    <n v="1"/>
    <s v="M4Roadside"/>
    <d v="2018-09-07T00:00:00"/>
    <x v="0"/>
    <s v="Fall"/>
    <d v="1899-12-30T00:19:00"/>
    <s v="Overcast"/>
    <s v="?/RS"/>
    <s v="Foraging"/>
    <s v="NA"/>
    <n v="1"/>
    <m/>
    <n v="0"/>
    <m/>
    <x v="2"/>
    <x v="28"/>
    <s v="Ground"/>
    <s v="NA"/>
    <s v="NA"/>
    <s v="NA"/>
    <s v="NA"/>
    <s v="NA"/>
    <s v="NA"/>
    <m/>
    <n v="0"/>
    <n v="0"/>
    <n v="0"/>
    <n v="0"/>
    <n v="13"/>
    <n v="0"/>
    <n v="13"/>
    <m/>
    <m/>
    <m/>
    <m/>
  </r>
  <r>
    <s v="DSCN0481"/>
    <s v="WW0908_1"/>
    <n v="1"/>
    <n v="1"/>
    <s v="WAC West"/>
    <d v="2018-09-08T00:00:00"/>
    <x v="0"/>
    <s v="Fall"/>
    <d v="1899-12-30T00:22:00"/>
    <m/>
    <s v="BP/PS"/>
    <s v="Foraging"/>
    <s v="Spruce"/>
    <n v="1"/>
    <m/>
    <n v="0"/>
    <m/>
    <x v="2"/>
    <x v="2"/>
    <s v="Interior spruce foliage"/>
    <s v="NA"/>
    <s v="NA"/>
    <s v="NA"/>
    <s v="NA"/>
    <s v="NA"/>
    <s v="NA"/>
    <m/>
    <n v="0"/>
    <n v="20"/>
    <n v="0"/>
    <n v="20"/>
    <n v="0"/>
    <n v="0"/>
    <n v="20"/>
    <s v="Gleaning"/>
    <m/>
    <n v="0"/>
    <n v="1"/>
  </r>
  <r>
    <s v="DSCN0484"/>
    <s v="WW0908_2"/>
    <n v="2"/>
    <n v="1"/>
    <s v="WAC West"/>
    <d v="2018-09-08T00:00:00"/>
    <x v="0"/>
    <s v="Fall"/>
    <d v="1899-12-30T00:00:09"/>
    <m/>
    <s v="BP/PS"/>
    <s v="Foraging"/>
    <s v="Spruce"/>
    <s v="unknown"/>
    <m/>
    <n v="0"/>
    <m/>
    <x v="1"/>
    <x v="1"/>
    <s v="NA"/>
    <s v="NA"/>
    <s v="NA"/>
    <s v="NA"/>
    <s v="NA"/>
    <s v="NA"/>
    <s v="NA"/>
    <m/>
    <n v="9"/>
    <n v="0"/>
    <n v="9"/>
    <n v="0"/>
    <n v="0"/>
    <n v="0"/>
    <n v="9"/>
    <s v="Unclear from video…too blurry"/>
    <m/>
    <m/>
    <m/>
  </r>
  <r>
    <s v="DSCN0485"/>
    <s v="WW0908_3"/>
    <n v="3"/>
    <n v="1"/>
    <s v="WAC West"/>
    <d v="2018-09-08T00:00:00"/>
    <x v="0"/>
    <s v="Fall"/>
    <d v="1899-12-30T00:49:00"/>
    <m/>
    <s v="BP/PS"/>
    <s v="Food handling"/>
    <s v="Spruce"/>
    <n v="1"/>
    <m/>
    <n v="0"/>
    <m/>
    <x v="6"/>
    <x v="17"/>
    <s v="unknown"/>
    <s v="NA"/>
    <s v="NA"/>
    <s v="NA"/>
    <s v="NA"/>
    <s v="NA"/>
    <s v="NA"/>
    <m/>
    <n v="0"/>
    <n v="0"/>
    <n v="0"/>
    <n v="0"/>
    <n v="0"/>
    <n v="0"/>
    <n v="0"/>
    <m/>
    <s v="49S of food handling "/>
    <m/>
    <m/>
  </r>
  <r>
    <s v="DSCN0486"/>
    <s v="WW0908_4"/>
    <n v="4"/>
    <n v="1"/>
    <s v="WAC West"/>
    <d v="2018-09-08T00:00:00"/>
    <x v="0"/>
    <s v="Fall"/>
    <d v="1899-12-30T00:37:00"/>
    <m/>
    <s v="BP/PS"/>
    <s v="Food handling"/>
    <s v="Spruce"/>
    <n v="0"/>
    <m/>
    <n v="0"/>
    <m/>
    <x v="6"/>
    <x v="17"/>
    <s v="NA"/>
    <s v="NA"/>
    <s v="NA"/>
    <s v="NA"/>
    <s v="NA"/>
    <s v="NA"/>
    <s v="NA"/>
    <m/>
    <n v="0"/>
    <n v="0"/>
    <n v="0"/>
    <n v="0"/>
    <n v="0"/>
    <n v="0"/>
    <n v="0"/>
    <m/>
    <s v="9sec food handling"/>
    <m/>
    <m/>
  </r>
  <r>
    <s v="DSCN0487"/>
    <s v="WW0908_5"/>
    <n v="5"/>
    <n v="1"/>
    <s v="WAC West"/>
    <d v="2018-09-08T00:00:00"/>
    <x v="0"/>
    <s v="Fall"/>
    <d v="1899-12-30T00:27:00"/>
    <m/>
    <s v="BP/PS"/>
    <s v="Foraging"/>
    <s v="Spruce"/>
    <n v="1"/>
    <m/>
    <n v="0"/>
    <m/>
    <x v="2"/>
    <x v="2"/>
    <s v="Interior spruce foliage"/>
    <s v="NA"/>
    <s v="NA"/>
    <s v="NA"/>
    <s v="NA"/>
    <s v="NA"/>
    <s v="NA"/>
    <m/>
    <n v="0"/>
    <n v="14"/>
    <n v="14"/>
    <n v="0"/>
    <n v="0"/>
    <n v="0"/>
    <n v="14"/>
    <s v="searching"/>
    <m/>
    <m/>
    <m/>
  </r>
  <r>
    <s v="DSCN0491"/>
    <s v="B&amp;U0908_1"/>
    <n v="1"/>
    <n v="1"/>
    <s v="B&amp;U"/>
    <d v="2018-09-08T00:00:00"/>
    <x v="0"/>
    <s v="Fall"/>
    <d v="1899-12-30T00:24:00"/>
    <m/>
    <s v="GR/PS"/>
    <s v="Foraging"/>
    <s v="NA"/>
    <s v="unknown"/>
    <m/>
    <n v="0"/>
    <m/>
    <x v="2"/>
    <x v="2"/>
    <s v="NA"/>
    <s v="NA"/>
    <s v="NA"/>
    <s v="NA"/>
    <s v="NA"/>
    <s v="NA"/>
    <s v="NA"/>
    <m/>
    <n v="0"/>
    <n v="0"/>
    <n v="0"/>
    <n v="0"/>
    <n v="19"/>
    <n v="0"/>
    <n v="19"/>
    <s v="searching"/>
    <m/>
    <m/>
    <m/>
  </r>
  <r>
    <s v="DSCN0493"/>
    <s v="B&amp;U0908_2"/>
    <n v="2"/>
    <n v="1"/>
    <s v="B&amp;U"/>
    <d v="2018-09-08T00:00:00"/>
    <x v="0"/>
    <s v="Fall"/>
    <d v="1899-12-30T00:47:00"/>
    <m/>
    <s v="GR/PS"/>
    <s v="Foraging"/>
    <s v="NA"/>
    <s v="unknown"/>
    <m/>
    <n v="0"/>
    <m/>
    <x v="2"/>
    <x v="2"/>
    <s v="NA"/>
    <s v="NA"/>
    <s v="NA"/>
    <s v="NA"/>
    <s v="NA"/>
    <s v="NA"/>
    <s v="NA"/>
    <m/>
    <n v="0"/>
    <n v="0"/>
    <n v="0"/>
    <n v="0"/>
    <n v="5"/>
    <n v="0"/>
    <n v="5"/>
    <s v="searching"/>
    <m/>
    <m/>
    <m/>
  </r>
  <r>
    <s v="DSCN0494"/>
    <s v="B&amp;U0908_3"/>
    <n v="3"/>
    <n v="1"/>
    <s v="B&amp;U"/>
    <d v="2018-09-08T00:00:00"/>
    <x v="0"/>
    <s v="Fall"/>
    <d v="1899-12-30T00:34:00"/>
    <m/>
    <s v="GR/PS"/>
    <s v="Foraging"/>
    <s v="NA"/>
    <s v="unknown"/>
    <m/>
    <n v="0"/>
    <m/>
    <x v="1"/>
    <x v="1"/>
    <s v="NA"/>
    <s v="NA"/>
    <s v="NA"/>
    <s v="NA"/>
    <s v="NA"/>
    <s v="NA"/>
    <s v="NA"/>
    <m/>
    <n v="0"/>
    <n v="0"/>
    <n v="0"/>
    <n v="0"/>
    <n v="16"/>
    <n v="0"/>
    <n v="16"/>
    <s v="searching"/>
    <m/>
    <m/>
    <m/>
  </r>
  <r>
    <s v="DSCN0495"/>
    <s v="B&amp;U0908_4"/>
    <n v="4"/>
    <n v="1"/>
    <s v="B&amp;U"/>
    <d v="2018-09-08T00:00:00"/>
    <x v="0"/>
    <s v="Fall"/>
    <d v="1899-12-30T00:41:00"/>
    <m/>
    <s v="GR/PS"/>
    <s v="Foraging"/>
    <s v="Spruce"/>
    <s v="unknown"/>
    <m/>
    <n v="0"/>
    <m/>
    <x v="1"/>
    <x v="1"/>
    <s v="NA"/>
    <s v="NA"/>
    <s v="NA"/>
    <s v="NA"/>
    <s v="NA"/>
    <s v="NA"/>
    <s v="NA"/>
    <m/>
    <n v="15"/>
    <n v="27"/>
    <n v="15"/>
    <n v="27"/>
    <n v="0"/>
    <n v="0"/>
    <n v="42"/>
    <m/>
    <m/>
    <m/>
    <m/>
  </r>
  <r>
    <s v="DSCN0497"/>
    <s v="B&amp;U0908_5"/>
    <n v="5"/>
    <n v="1"/>
    <s v="B&amp;U"/>
    <d v="2018-09-08T00:00:00"/>
    <x v="0"/>
    <s v="Fall"/>
    <d v="1899-12-30T00:19:00"/>
    <m/>
    <s v="GR/PS"/>
    <s v="Caching"/>
    <s v="Spruce"/>
    <n v="0"/>
    <m/>
    <n v="1"/>
    <m/>
    <x v="0"/>
    <x v="0"/>
    <s v="Ground"/>
    <s v="Interior spruce foliage"/>
    <s v="Spruce"/>
    <s v="Interior"/>
    <s v="Foliage"/>
    <s v="Unknown"/>
    <n v="63.724820000000001"/>
    <n v="148.95699999999999"/>
    <n v="0"/>
    <n v="0"/>
    <n v="0"/>
    <n v="0"/>
    <n v="0"/>
    <n v="0"/>
    <n v="0"/>
    <m/>
    <m/>
    <m/>
    <m/>
  </r>
  <r>
    <s v="DSCN0498"/>
    <s v="B&amp;U0908_6"/>
    <n v="6"/>
    <n v="1"/>
    <s v="B&amp;U"/>
    <d v="2018-09-08T00:00:00"/>
    <x v="0"/>
    <s v="Fall"/>
    <d v="1899-12-30T00:00:04"/>
    <m/>
    <s v="GR/PS"/>
    <s v="Food handling"/>
    <s v="Spruce"/>
    <s v="unknown"/>
    <m/>
    <n v="0"/>
    <m/>
    <x v="0"/>
    <x v="0"/>
    <s v="unknown"/>
    <s v="NA"/>
    <s v="NA"/>
    <s v="NA"/>
    <s v="NA"/>
    <s v="NA"/>
    <s v="NA"/>
    <m/>
    <n v="0"/>
    <n v="0"/>
    <n v="0"/>
    <n v="0"/>
    <n v="0"/>
    <n v="0"/>
    <n v="0"/>
    <m/>
    <s v="Missed actually getting the mushroom on video "/>
    <m/>
    <m/>
  </r>
  <r>
    <s v="DSCN0501"/>
    <s v="B&amp;U0908_7"/>
    <n v="7"/>
    <n v="1"/>
    <s v="B&amp;U"/>
    <d v="2018-09-08T00:00:00"/>
    <x v="0"/>
    <s v="Fall"/>
    <d v="1899-12-30T00:32:00"/>
    <m/>
    <s v="GR/PS"/>
    <s v="Foraging/caching"/>
    <s v="Spruce"/>
    <n v="1"/>
    <m/>
    <n v="1"/>
    <m/>
    <x v="0"/>
    <x v="0"/>
    <s v="Ground"/>
    <s v="Interior spruce foliage"/>
    <s v="Spruce"/>
    <s v="Interior"/>
    <s v="Foliage"/>
    <s v="Unknown"/>
    <n v="63.724640000000001"/>
    <n v="148.95958999999999"/>
    <n v="0"/>
    <n v="0"/>
    <n v="0"/>
    <n v="0"/>
    <n v="19"/>
    <n v="0"/>
    <n v="19"/>
    <s v="Searching "/>
    <m/>
    <m/>
    <m/>
  </r>
  <r>
    <s v="DSCN0503"/>
    <s v="B&amp;U0908_8"/>
    <n v="8"/>
    <n v="1"/>
    <s v="B&amp;U"/>
    <d v="2018-09-08T00:00:00"/>
    <x v="0"/>
    <s v="Fall"/>
    <d v="1899-12-30T00:21:00"/>
    <m/>
    <s v="GR/PS"/>
    <s v="Caching"/>
    <s v="Spruce"/>
    <n v="0"/>
    <m/>
    <n v="1"/>
    <m/>
    <x v="2"/>
    <x v="2"/>
    <s v="unknown"/>
    <s v="Interior spruce foliage"/>
    <s v="Spruce"/>
    <s v="Interior"/>
    <s v="Foliage"/>
    <s v="Unknown"/>
    <n v="63.724600000000002"/>
    <n v="148.95944"/>
    <n v="0"/>
    <n v="0"/>
    <n v="0"/>
    <n v="0"/>
    <n v="0"/>
    <n v="0"/>
    <n v="0"/>
    <m/>
    <s v="Missed food acquisition an cache B&amp;Ut narrated on video.  "/>
    <m/>
    <m/>
  </r>
  <r>
    <s v="DSCN0504"/>
    <s v="B&amp;U0908_9"/>
    <n v="9"/>
    <n v="1"/>
    <s v="B&amp;U"/>
    <d v="2018-09-08T00:00:00"/>
    <x v="0"/>
    <s v="Fall"/>
    <d v="1899-12-30T00:37:00"/>
    <m/>
    <s v="GR/PS"/>
    <s v="Foraging"/>
    <s v="Spruce"/>
    <n v="1"/>
    <m/>
    <n v="1"/>
    <m/>
    <x v="2"/>
    <x v="29"/>
    <s v="Ground"/>
    <s v="Interior spruce foliage"/>
    <s v="Spruce"/>
    <s v="Interior"/>
    <s v="Foliage"/>
    <s v="Unknown"/>
    <n v="63.724620000000002"/>
    <n v="148.95992000000001"/>
    <n v="0"/>
    <n v="0"/>
    <n v="0"/>
    <n v="0"/>
    <n v="0"/>
    <n v="0"/>
    <n v="0"/>
    <m/>
    <s v="Missed acquisition on camera"/>
    <m/>
    <m/>
  </r>
  <r>
    <s v="DSCN0514"/>
    <s v="WW0909_1"/>
    <n v="1"/>
    <n v="1"/>
    <s v="WAC West"/>
    <d v="2018-09-09T00:00:00"/>
    <x v="0"/>
    <s v="Fall"/>
    <d v="1899-12-30T01:20:00"/>
    <s v="Full sun"/>
    <s v="BP/PS"/>
    <s v="Foraging"/>
    <s v="Spruce"/>
    <s v="unknown"/>
    <m/>
    <s v="unknown"/>
    <m/>
    <x v="1"/>
    <x v="1"/>
    <s v="NA"/>
    <s v="NA"/>
    <m/>
    <m/>
    <m/>
    <s v="NA"/>
    <s v="NA"/>
    <m/>
    <n v="0"/>
    <n v="10"/>
    <n v="10"/>
    <n v="0"/>
    <n v="0"/>
    <n v="0"/>
    <n v="10"/>
    <m/>
    <m/>
    <m/>
    <m/>
  </r>
  <r>
    <s v="DSCN0515"/>
    <s v="WW0909_2"/>
    <n v="2"/>
    <n v="1"/>
    <s v="WAC West"/>
    <d v="2018-09-09T00:00:00"/>
    <x v="0"/>
    <s v="Fall"/>
    <d v="1899-12-30T00:45:00"/>
    <s v="Full sun"/>
    <s v="BP/PS"/>
    <s v="Foraging"/>
    <s v="NA"/>
    <n v="1"/>
    <m/>
    <s v="unknown"/>
    <m/>
    <x v="0"/>
    <x v="0"/>
    <s v="Ground"/>
    <s v="NA"/>
    <m/>
    <m/>
    <m/>
    <s v="NA"/>
    <s v="NA"/>
    <m/>
    <n v="0"/>
    <n v="0"/>
    <n v="0"/>
    <n v="0"/>
    <n v="6"/>
    <n v="0"/>
    <n v="6"/>
    <m/>
    <s v="Pecking at mushroom"/>
    <m/>
    <m/>
  </r>
  <r>
    <s v="DSCN0518"/>
    <s v="WW0909_3"/>
    <n v="3"/>
    <n v="1"/>
    <s v="WAC West"/>
    <d v="2018-09-09T00:00:00"/>
    <x v="0"/>
    <s v="Fall"/>
    <d v="1899-12-30T01:18:00"/>
    <s v="Full sun"/>
    <s v="BP/PS"/>
    <s v="Caching"/>
    <s v="Spruce"/>
    <n v="0"/>
    <m/>
    <n v="3"/>
    <s v="Same tree"/>
    <x v="7"/>
    <x v="30"/>
    <s v="Food brought to branch of spruce by bird during watch"/>
    <s v="Exterior bare spruce branch under bark "/>
    <s v="Spruce"/>
    <s v="Exterior"/>
    <s v="Under bark"/>
    <n v="0"/>
    <n v="63.739269999999998"/>
    <n v="148.90099000000001"/>
    <n v="0"/>
    <n v="0"/>
    <n v="0"/>
    <n v="0"/>
    <n v="0"/>
    <n v="0"/>
    <n v="0"/>
    <m/>
    <s v="One consecutive caching event with same food item.  Item was in the tree it cached in multiple times."/>
    <m/>
    <m/>
  </r>
  <r>
    <s v="DSCN0518"/>
    <s v="WW0909_3"/>
    <n v="3"/>
    <n v="2"/>
    <s v="WAC West"/>
    <d v="2018-09-09T00:00:00"/>
    <x v="0"/>
    <s v="Fall"/>
    <d v="1899-12-30T01:18:00"/>
    <s v="Full sun"/>
    <s v="BP/PS"/>
    <s v="Caching"/>
    <s v="Spruce"/>
    <n v="0"/>
    <m/>
    <n v="1"/>
    <n v="1"/>
    <x v="7"/>
    <x v="30"/>
    <s v="Food brought to branch of spruce by bird during watch"/>
    <s v="Exterior bare branch of shrub"/>
    <s v="Shrub"/>
    <s v="Exterior"/>
    <s v="Branch"/>
    <n v="3"/>
    <n v="63.739319999999999"/>
    <n v="148.90099000000001"/>
    <n v="0"/>
    <n v="0"/>
    <n v="0"/>
    <n v="0"/>
    <n v="0"/>
    <n v="0"/>
    <n v="0"/>
    <m/>
    <m/>
    <m/>
    <m/>
  </r>
  <r>
    <s v="DSCN0519"/>
    <s v="WW0909_4"/>
    <n v="4"/>
    <n v="1"/>
    <s v="WAC West"/>
    <d v="2018-09-09T00:00:00"/>
    <x v="0"/>
    <s v="Fall"/>
    <d v="1899-12-30T01:30:00"/>
    <s v="Full sun"/>
    <s v="BP/PS"/>
    <s v="Caching"/>
    <s v="Spruce"/>
    <n v="0"/>
    <m/>
    <n v="2"/>
    <s v="Same tree"/>
    <x v="7"/>
    <x v="30"/>
    <s v="Food brought to branch of spruce by bird during watch"/>
    <s v="Interior bare spruce branch under bark"/>
    <s v="Spruce"/>
    <s v="Interior"/>
    <s v="Under bark"/>
    <n v="0"/>
    <n v="63.739249999999998"/>
    <n v="148.90089"/>
    <n v="0"/>
    <n v="0"/>
    <n v="0"/>
    <n v="0"/>
    <n v="0"/>
    <n v="0"/>
    <n v="0"/>
    <m/>
    <s v="Item from previous video was moved to focal tree in this video. "/>
    <m/>
    <m/>
  </r>
  <r>
    <s v="DSCN0520"/>
    <s v="WW0909_5"/>
    <n v="5"/>
    <n v="1"/>
    <s v="WAC West"/>
    <d v="2018-09-09T00:00:00"/>
    <x v="0"/>
    <s v="Fall"/>
    <d v="1899-12-30T00:38:00"/>
    <s v="Full sun"/>
    <s v="BP/PS"/>
    <s v="Caching"/>
    <s v="Spruce"/>
    <n v="0"/>
    <m/>
    <n v="1"/>
    <m/>
    <x v="7"/>
    <x v="30"/>
    <s v="Food brought to branch of spruce by bird during watch"/>
    <s v="branch of small dead spruce, under bark "/>
    <s v="Spruce"/>
    <s v="Exterior"/>
    <s v="Under bark"/>
    <n v="6"/>
    <n v="63.739339999999999"/>
    <n v="148.90071"/>
    <n v="0"/>
    <n v="0"/>
    <n v="0"/>
    <n v="0"/>
    <n v="0"/>
    <n v="0"/>
    <n v="0"/>
    <m/>
    <m/>
    <m/>
    <m/>
  </r>
  <r>
    <s v="DSCN0521"/>
    <s v="WW0909_6"/>
    <n v="6"/>
    <n v="1"/>
    <s v="WAC West"/>
    <d v="2018-09-09T00:00:00"/>
    <x v="0"/>
    <s v="Fall"/>
    <d v="1899-12-30T03:08:00"/>
    <s v="Full sun"/>
    <s v="BP/PS"/>
    <s v="Caching"/>
    <s v="Spruce"/>
    <n v="0"/>
    <m/>
    <n v="1"/>
    <n v="1"/>
    <x v="7"/>
    <x v="30"/>
    <s v="Food brought to branch of spruce by bird during watch"/>
    <s v="Interior spruce branch under bark"/>
    <s v="Spruce"/>
    <s v="Interior"/>
    <s v="Under bark"/>
    <n v="14"/>
    <n v="63.73912"/>
    <n v="148.90092000000001"/>
    <n v="0"/>
    <n v="0"/>
    <n v="0"/>
    <n v="0"/>
    <n v="0"/>
    <n v="0"/>
    <n v="0"/>
    <m/>
    <m/>
    <m/>
    <m/>
  </r>
  <r>
    <s v="DSCN0521"/>
    <s v="WW0909_6"/>
    <n v="6"/>
    <n v="2"/>
    <s v="WAC West"/>
    <d v="2018-09-09T00:00:00"/>
    <x v="0"/>
    <s v="Fall"/>
    <d v="1899-12-30T03:08:00"/>
    <s v="Full sun"/>
    <s v="BP/PS"/>
    <s v="Caching"/>
    <s v="Spruce"/>
    <n v="0"/>
    <m/>
    <n v="1"/>
    <n v="1"/>
    <x v="7"/>
    <x v="30"/>
    <s v="Food brought to branch of spruce by bird during watch"/>
    <s v="Exterior spruce branch under bark"/>
    <s v="Spruce"/>
    <s v="Exterior"/>
    <s v="Under bark"/>
    <n v="14"/>
    <n v="63.73912"/>
    <n v="148.90092000000001"/>
    <n v="0"/>
    <n v="0"/>
    <n v="0"/>
    <n v="0"/>
    <n v="0"/>
    <n v="0"/>
    <n v="0"/>
    <m/>
    <m/>
    <m/>
    <m/>
  </r>
  <r>
    <s v="DSCN0521"/>
    <s v="WW0909_6"/>
    <n v="6"/>
    <n v="3"/>
    <s v="WAC West"/>
    <d v="2018-09-09T00:00:00"/>
    <x v="0"/>
    <s v="Fall"/>
    <d v="1899-12-30T03:08:00"/>
    <s v="Full sun"/>
    <s v="BP/PS"/>
    <s v="Caching"/>
    <s v="Spruce"/>
    <n v="0"/>
    <m/>
    <n v="1"/>
    <n v="1"/>
    <x v="7"/>
    <x v="30"/>
    <s v="Food brought to branch of spruce by bird during watch"/>
    <s v="Interior spruce branch under bark"/>
    <s v="Spruce"/>
    <s v="Interior"/>
    <s v="Under bark"/>
    <n v="14"/>
    <n v="63.73912"/>
    <n v="148.90092000000001"/>
    <n v="0"/>
    <n v="0"/>
    <n v="0"/>
    <n v="0"/>
    <n v="0"/>
    <n v="0"/>
    <n v="0"/>
    <m/>
    <m/>
    <m/>
    <m/>
  </r>
  <r>
    <s v="DSCN0521"/>
    <s v="WW0909_6"/>
    <n v="6"/>
    <n v="4"/>
    <s v="WAC West"/>
    <d v="2018-09-09T00:00:00"/>
    <x v="0"/>
    <s v="Fall"/>
    <d v="1899-12-30T03:08:00"/>
    <s v="Full sun"/>
    <s v="BP/PS"/>
    <s v="Caching"/>
    <s v="Spruce"/>
    <n v="0"/>
    <m/>
    <n v="1"/>
    <n v="1"/>
    <x v="7"/>
    <x v="30"/>
    <s v="Food brought to branch of spruce by bird during watch"/>
    <s v="Interior spruce branch under witchhair"/>
    <s v="Spruce"/>
    <s v="Interior"/>
    <s v="Under bark and witch hair "/>
    <n v="14"/>
    <n v="63.73912"/>
    <n v="148.90092000000001"/>
    <n v="0"/>
    <n v="0"/>
    <n v="0"/>
    <n v="0"/>
    <n v="0"/>
    <n v="0"/>
    <n v="0"/>
    <m/>
    <m/>
    <m/>
    <m/>
  </r>
  <r>
    <s v="DSCN0521"/>
    <s v="WW0909_6"/>
    <n v="6"/>
    <n v="5"/>
    <s v="WAC West"/>
    <d v="2018-09-09T00:00:00"/>
    <x v="0"/>
    <s v="Fall"/>
    <d v="1899-12-30T03:08:00"/>
    <s v="Full sun"/>
    <s v="BP/PS"/>
    <s v="Caching"/>
    <s v="Spruce"/>
    <n v="0"/>
    <m/>
    <n v="1"/>
    <n v="1"/>
    <x v="7"/>
    <x v="30"/>
    <s v="Food brought to branch of spruce by bird during watch"/>
    <s v="Exterior spruce branch under bark"/>
    <s v="Spruce"/>
    <s v="Exterior"/>
    <s v="Under bark"/>
    <n v="14"/>
    <n v="63.739150000000002"/>
    <n v="148.9008"/>
    <n v="0"/>
    <n v="0"/>
    <n v="0"/>
    <n v="0"/>
    <n v="0"/>
    <n v="0"/>
    <n v="0"/>
    <m/>
    <m/>
    <m/>
    <m/>
  </r>
  <r>
    <s v="DSCN0521"/>
    <s v="WW0909_6"/>
    <n v="6"/>
    <n v="6"/>
    <s v="WAC West"/>
    <d v="2018-09-09T00:00:00"/>
    <x v="0"/>
    <s v="Fall"/>
    <d v="1899-12-30T03:08:00"/>
    <s v="Full sun"/>
    <s v="BP/PS"/>
    <s v="Caching"/>
    <s v="Spruce"/>
    <n v="0"/>
    <m/>
    <n v="1"/>
    <n v="1"/>
    <x v="7"/>
    <x v="30"/>
    <s v="Food brought to branch of spruce by bird during watch"/>
    <s v="Interior spruce branch under bark"/>
    <s v="Spruce"/>
    <s v="Interior"/>
    <s v="Under bark"/>
    <n v="14"/>
    <n v="63.73912"/>
    <n v="148.90092000000001"/>
    <n v="0"/>
    <n v="0"/>
    <n v="0"/>
    <n v="0"/>
    <n v="0"/>
    <n v="0"/>
    <n v="0"/>
    <m/>
    <m/>
    <m/>
    <m/>
  </r>
  <r>
    <s v="DSCN0521"/>
    <s v="WW0909_6"/>
    <n v="6"/>
    <n v="7"/>
    <s v="WAC West"/>
    <d v="2018-09-09T00:00:00"/>
    <x v="0"/>
    <s v="Fall"/>
    <d v="1899-12-30T03:08:00"/>
    <s v="Full sun"/>
    <s v="BP/PS"/>
    <s v="Caching"/>
    <s v="Spruce"/>
    <n v="0"/>
    <m/>
    <n v="1"/>
    <n v="1"/>
    <x v="7"/>
    <x v="30"/>
    <s v="Food brought to branch of spruce by bird during watch"/>
    <s v="Interior spruce branch under bark"/>
    <s v="Spruce"/>
    <s v="Interior"/>
    <s v="Under bark"/>
    <n v="14"/>
    <n v="63.739150000000002"/>
    <n v="148.9008"/>
    <n v="0"/>
    <n v="0"/>
    <n v="0"/>
    <n v="0"/>
    <n v="0"/>
    <n v="0"/>
    <n v="0"/>
    <m/>
    <m/>
    <m/>
    <m/>
  </r>
  <r>
    <s v="DSCN0521"/>
    <s v="WW0909_6"/>
    <n v="6"/>
    <n v="8"/>
    <s v="WAC West"/>
    <d v="2018-09-09T00:00:00"/>
    <x v="0"/>
    <s v="Fall"/>
    <d v="1899-12-30T03:08:00"/>
    <s v="Full sun"/>
    <s v="BP/PS"/>
    <s v="Caching"/>
    <s v="Spruce"/>
    <n v="0"/>
    <m/>
    <n v="1"/>
    <n v="1"/>
    <x v="7"/>
    <x v="30"/>
    <s v="Food brought to branch of spruce by bird during watch"/>
    <s v="Interior spruce branch under bark"/>
    <s v="Spruce"/>
    <s v="Interior"/>
    <s v="Under bark"/>
    <n v="15"/>
    <n v="63.73912"/>
    <n v="148.90076999999999"/>
    <n v="0"/>
    <n v="0"/>
    <n v="0"/>
    <n v="0"/>
    <n v="0"/>
    <n v="0"/>
    <n v="0"/>
    <m/>
    <m/>
    <m/>
    <m/>
  </r>
  <r>
    <s v="DSCN0522"/>
    <s v="WW0909_7"/>
    <n v="7"/>
    <n v="1"/>
    <s v="WAC West"/>
    <d v="2018-09-09T00:00:00"/>
    <x v="0"/>
    <s v="Fall"/>
    <d v="1899-12-30T00:14:00"/>
    <s v="Full sun"/>
    <s v="BP/PS"/>
    <s v="Caching"/>
    <s v="Spruce"/>
    <n v="0"/>
    <m/>
    <n v="1"/>
    <n v="1"/>
    <x v="7"/>
    <x v="30"/>
    <s v="Food brought to branch of spruce by bird during watch"/>
    <s v="Exterior spruce branch under bark/witch hair"/>
    <s v="Spruce"/>
    <s v="Exterior"/>
    <s v="Under bark and witch hair "/>
    <n v="14"/>
    <n v="63.73912"/>
    <n v="148.90092000000001"/>
    <n v="0"/>
    <n v="0"/>
    <n v="0"/>
    <n v="0"/>
    <n v="0"/>
    <n v="0"/>
    <n v="0"/>
    <m/>
    <s v="Same as WW0909_6  (63.73912, 148.90092)"/>
    <m/>
    <m/>
  </r>
  <r>
    <s v="DSCN0523"/>
    <s v="WW0909_8"/>
    <n v="8"/>
    <n v="1"/>
    <s v="WAC West"/>
    <d v="2018-09-09T00:00:00"/>
    <x v="0"/>
    <s v="Fall"/>
    <d v="1899-12-30T02:25:00"/>
    <s v="Full sun"/>
    <s v="BP/PS"/>
    <s v="Caching"/>
    <s v="Spruce"/>
    <n v="0"/>
    <m/>
    <n v="2"/>
    <s v="Same tree"/>
    <x v="7"/>
    <x v="30"/>
    <s v="Food brought to branch of spruce by bird during watch"/>
    <s v="Interior bare spruce branch under bark"/>
    <s v="Spruce"/>
    <s v="Interior"/>
    <s v="Under bark"/>
    <n v="20"/>
    <n v="63.739170000000001"/>
    <n v="148.90096"/>
    <n v="0"/>
    <n v="0"/>
    <n v="0"/>
    <n v="0"/>
    <n v="0"/>
    <n v="0"/>
    <n v="0"/>
    <m/>
    <m/>
    <m/>
    <m/>
  </r>
  <r>
    <s v="DSCN0523"/>
    <s v="WW0909_8"/>
    <n v="8"/>
    <n v="2"/>
    <s v="WAC West"/>
    <d v="2018-09-09T00:00:00"/>
    <x v="0"/>
    <s v="Fall"/>
    <d v="1899-12-30T02:25:00"/>
    <s v="Full sun"/>
    <s v="BP/PS"/>
    <s v="Caching"/>
    <s v="Spruce"/>
    <n v="0"/>
    <m/>
    <n v="2"/>
    <s v="Same tree"/>
    <x v="7"/>
    <x v="30"/>
    <s v="Food brought to branch of spruce by bird during watch"/>
    <s v="Interior bare spruce branch under bark"/>
    <s v="Spruce"/>
    <s v="Interior"/>
    <s v="Under bark"/>
    <n v="20"/>
    <n v="63.739159999999998"/>
    <n v="148.90085999999999"/>
    <n v="0"/>
    <n v="0"/>
    <n v="0"/>
    <n v="0"/>
    <n v="0"/>
    <n v="0"/>
    <n v="0"/>
    <m/>
    <m/>
    <m/>
    <m/>
  </r>
  <r>
    <s v="DSCN0523"/>
    <s v="WW0909_8"/>
    <n v="8"/>
    <n v="3"/>
    <s v="WAC West"/>
    <d v="2018-09-09T00:00:00"/>
    <x v="0"/>
    <s v="Fall"/>
    <d v="1899-12-30T02:25:00"/>
    <s v="Full sun"/>
    <s v="BP/PS"/>
    <s v="Caching"/>
    <s v="Spruce"/>
    <n v="0"/>
    <m/>
    <n v="1"/>
    <n v="1"/>
    <x v="7"/>
    <x v="30"/>
    <s v="Food brought to branch of spruce by bird during watch"/>
    <s v="Interior bare spruce branch under bark"/>
    <s v="Spruce"/>
    <s v="Interior"/>
    <s v="Under bark"/>
    <n v="20"/>
    <n v="63.73921"/>
    <n v="148.90101999999999"/>
    <n v="0"/>
    <n v="0"/>
    <n v="0"/>
    <n v="0"/>
    <n v="0"/>
    <n v="0"/>
    <n v="0"/>
    <m/>
    <m/>
    <m/>
    <m/>
  </r>
  <r>
    <s v="DSCN0531"/>
    <s v="M2370909_1"/>
    <n v="1"/>
    <n v="1"/>
    <s v="Mile 237"/>
    <d v="2018-09-09T00:00:00"/>
    <x v="0"/>
    <s v="Fall"/>
    <d v="1899-12-30T00:11:00"/>
    <s v="Full sun"/>
    <s v="YP/RS"/>
    <s v="Foraging"/>
    <s v="Spruce"/>
    <n v="1"/>
    <m/>
    <n v="0"/>
    <m/>
    <x v="2"/>
    <x v="29"/>
    <s v="Exterior spruce foliage"/>
    <s v="NA"/>
    <s v="NA"/>
    <s v="NA"/>
    <s v="NA"/>
    <s v="NA"/>
    <s v="NA"/>
    <m/>
    <n v="0"/>
    <n v="2"/>
    <n v="0"/>
    <n v="2"/>
    <n v="0"/>
    <n v="0"/>
    <n v="2"/>
    <m/>
    <m/>
    <m/>
    <m/>
  </r>
  <r>
    <s v="DSCN0536"/>
    <s v="M2370909_2"/>
    <n v="2"/>
    <n v="1"/>
    <s v="Mile 237"/>
    <d v="2018-09-09T00:00:00"/>
    <x v="0"/>
    <s v="Fall"/>
    <d v="1899-12-30T00:08:00"/>
    <s v="Full sun"/>
    <s v="unknown"/>
    <s v="Foraging"/>
    <s v="Spruce"/>
    <n v="1"/>
    <m/>
    <n v="0"/>
    <m/>
    <x v="2"/>
    <x v="2"/>
    <s v="Exterior foliated spruce"/>
    <s v="NA"/>
    <s v="NA"/>
    <s v="NA"/>
    <s v="NA"/>
    <s v="NA"/>
    <s v="NA"/>
    <m/>
    <n v="0"/>
    <n v="2"/>
    <n v="0"/>
    <n v="2"/>
    <n v="0"/>
    <n v="0"/>
    <n v="2"/>
    <s v="unknown"/>
    <m/>
    <m/>
    <m/>
  </r>
  <r>
    <s v="DSCN0540"/>
    <s v="M2370909_3"/>
    <n v="3"/>
    <n v="1"/>
    <s v="Mile 237"/>
    <d v="2018-09-09T00:00:00"/>
    <x v="0"/>
    <s v="Fall"/>
    <d v="1899-12-30T00:02:00"/>
    <s v="Full sun"/>
    <s v="GB/PS"/>
    <s v="Foraging"/>
    <s v="Spruce"/>
    <n v="1"/>
    <m/>
    <n v="0"/>
    <m/>
    <x v="2"/>
    <x v="2"/>
    <s v="Interior spruce foliage"/>
    <s v="NA"/>
    <s v="NA"/>
    <s v="NA"/>
    <s v="NA"/>
    <s v="NA"/>
    <s v="NA"/>
    <m/>
    <n v="0"/>
    <s v="unknown"/>
    <s v="unknown"/>
    <n v="0"/>
    <n v="0"/>
    <n v="0"/>
    <n v="0"/>
    <m/>
    <m/>
    <m/>
    <m/>
  </r>
  <r>
    <s v="DSCN0541"/>
    <s v="M2370909_4"/>
    <n v="4"/>
    <n v="1"/>
    <s v="Mile 237"/>
    <d v="2018-09-09T00:00:00"/>
    <x v="0"/>
    <s v="Fall"/>
    <d v="1899-12-30T00:04:00"/>
    <s v="Full sun"/>
    <s v="GB/PS"/>
    <s v="Foraging"/>
    <s v="NA"/>
    <n v="1"/>
    <m/>
    <n v="0"/>
    <m/>
    <x v="2"/>
    <x v="2"/>
    <s v="Ground"/>
    <s v="NA"/>
    <s v="NA"/>
    <s v="NA"/>
    <s v="NA"/>
    <s v="NA"/>
    <s v="NA"/>
    <m/>
    <n v="0"/>
    <n v="0"/>
    <n v="0"/>
    <n v="0"/>
    <s v="unknown"/>
    <n v="0"/>
    <n v="0"/>
    <m/>
    <m/>
    <m/>
    <m/>
  </r>
  <r>
    <s v="DSCN0543"/>
    <s v="M2370909_5"/>
    <n v="5"/>
    <n v="1"/>
    <s v="Mile 237"/>
    <d v="2018-09-09T00:00:00"/>
    <x v="0"/>
    <s v="Fall"/>
    <d v="1899-12-30T00:07:00"/>
    <s v="Full sun"/>
    <s v="GB/PS"/>
    <s v="Foraging"/>
    <s v="NA"/>
    <s v="unknown"/>
    <m/>
    <n v="0"/>
    <m/>
    <x v="2"/>
    <x v="2"/>
    <s v="NA"/>
    <s v="NA"/>
    <s v="NA"/>
    <s v="NA"/>
    <s v="NA"/>
    <s v="NA"/>
    <s v="NA"/>
    <m/>
    <n v="0"/>
    <n v="0"/>
    <n v="0"/>
    <n v="0"/>
    <n v="7"/>
    <n v="0"/>
    <n v="7"/>
    <m/>
    <m/>
    <m/>
    <m/>
  </r>
  <r>
    <s v="DSCN0544"/>
    <s v="M2370909_6"/>
    <n v="6"/>
    <n v="1"/>
    <s v="Mile 237"/>
    <d v="2018-09-09T00:00:00"/>
    <x v="0"/>
    <s v="Fall"/>
    <d v="1899-12-30T00:36:00"/>
    <s v="Full sun"/>
    <s v="GB/PS"/>
    <s v="Foraging"/>
    <s v="NA"/>
    <s v="unknown"/>
    <m/>
    <n v="0"/>
    <m/>
    <x v="2"/>
    <x v="2"/>
    <s v="NA"/>
    <s v="NA"/>
    <s v="NA"/>
    <s v="NA"/>
    <s v="NA"/>
    <s v="NA"/>
    <s v="NA"/>
    <m/>
    <n v="0"/>
    <n v="0"/>
    <n v="0"/>
    <n v="0"/>
    <n v="21"/>
    <n v="0"/>
    <n v="21"/>
    <m/>
    <m/>
    <m/>
    <m/>
  </r>
  <r>
    <s v="DSCN0547"/>
    <s v="M2370909_7"/>
    <n v="7"/>
    <n v="1"/>
    <s v="Mile 237"/>
    <d v="2018-09-09T00:00:00"/>
    <x v="0"/>
    <s v="Fall"/>
    <d v="1899-12-30T00:09:00"/>
    <s v="Full sun"/>
    <s v="YP/RS"/>
    <s v="Foraging"/>
    <s v="Spruce"/>
    <s v="unknown"/>
    <m/>
    <n v="0"/>
    <m/>
    <x v="2"/>
    <x v="2"/>
    <s v="NA"/>
    <s v="NA"/>
    <s v="NA"/>
    <s v="NA"/>
    <s v="NA"/>
    <s v="NA"/>
    <s v="NA"/>
    <m/>
    <n v="0"/>
    <n v="6"/>
    <n v="6"/>
    <n v="0"/>
    <n v="0"/>
    <n v="0"/>
    <n v="6"/>
    <m/>
    <m/>
    <m/>
    <m/>
  </r>
  <r>
    <s v="DSCN0548"/>
    <s v="M2370909_8"/>
    <n v="8"/>
    <n v="1"/>
    <s v="Mile 237"/>
    <d v="2018-09-09T00:00:00"/>
    <x v="0"/>
    <s v="Fall"/>
    <d v="1899-12-30T00:04:00"/>
    <s v="Full sun"/>
    <s v="unknown"/>
    <s v="Foraging"/>
    <s v="NA"/>
    <n v="1"/>
    <m/>
    <n v="0"/>
    <m/>
    <x v="3"/>
    <x v="26"/>
    <s v="Ground"/>
    <s v="NA"/>
    <s v="NA"/>
    <s v="NA"/>
    <s v="NA"/>
    <s v="NA"/>
    <s v="NA"/>
    <m/>
    <n v="0"/>
    <n v="0"/>
    <n v="0"/>
    <n v="0"/>
    <s v="unknown"/>
    <n v="0"/>
    <n v="0"/>
    <m/>
    <m/>
    <m/>
    <m/>
  </r>
  <r>
    <s v="DSCN0559"/>
    <s v="M4R0909_1"/>
    <n v="1"/>
    <n v="1"/>
    <s v="M4Roadside"/>
    <d v="2018-09-09T00:00:00"/>
    <x v="0"/>
    <s v="Fall"/>
    <d v="1899-12-30T00:14:00"/>
    <s v="Full sun"/>
    <s v="OB/YS"/>
    <s v="Foraging"/>
    <s v="Alder"/>
    <n v="2"/>
    <m/>
    <n v="0"/>
    <m/>
    <x v="2"/>
    <x v="2"/>
    <s v="Alder branch"/>
    <s v="NA"/>
    <s v="NA"/>
    <s v="NA"/>
    <s v="NA"/>
    <s v="NA"/>
    <s v="NA"/>
    <m/>
    <n v="11"/>
    <n v="0"/>
    <n v="0"/>
    <n v="11"/>
    <n v="0"/>
    <n v="0"/>
    <n v="11"/>
    <m/>
    <s v="First food acquisition is not on film.  "/>
    <m/>
    <m/>
  </r>
  <r>
    <s v="DSCN0567"/>
    <s v="M4E0909_1"/>
    <n v="1"/>
    <n v="1"/>
    <s v="Mile 4 East "/>
    <d v="2018-09-09T00:00:00"/>
    <x v="0"/>
    <s v="Fall"/>
    <d v="1899-12-30T00:29:00"/>
    <s v="Full sun"/>
    <s v="WO/RS"/>
    <s v="Foraging"/>
    <s v="NA"/>
    <n v="2"/>
    <m/>
    <n v="0"/>
    <m/>
    <x v="2"/>
    <x v="2"/>
    <s v="Ground"/>
    <s v="NA"/>
    <s v="NA"/>
    <s v="NA"/>
    <s v="NA"/>
    <s v="NA"/>
    <s v="NA"/>
    <m/>
    <n v="0"/>
    <n v="0"/>
    <n v="0"/>
    <n v="0"/>
    <n v="15"/>
    <n v="0"/>
    <n v="15"/>
    <m/>
    <m/>
    <m/>
    <m/>
  </r>
  <r>
    <s v="DSCN0568"/>
    <s v="M4E0909_2"/>
    <n v="2"/>
    <n v="1"/>
    <s v="Mile 4 East "/>
    <d v="2018-09-09T00:00:00"/>
    <x v="0"/>
    <s v="Fall"/>
    <d v="1899-12-30T01:42:00"/>
    <s v="Full sun"/>
    <s v="WO/RS"/>
    <s v="Foraging"/>
    <s v="NA"/>
    <n v="1"/>
    <m/>
    <n v="0"/>
    <m/>
    <x v="4"/>
    <x v="31"/>
    <s v="Ground"/>
    <s v="NA"/>
    <s v="NA"/>
    <s v="NA"/>
    <s v="NA"/>
    <s v="NA"/>
    <s v="NA"/>
    <m/>
    <n v="0"/>
    <n v="0"/>
    <n v="0"/>
    <n v="0"/>
    <n v="2"/>
    <n v="0"/>
    <n v="2"/>
    <m/>
    <m/>
    <m/>
    <m/>
  </r>
  <r>
    <s v="DSCN0574"/>
    <s v="M4E0909_3"/>
    <n v="3"/>
    <n v="1"/>
    <s v="Mile 4 East "/>
    <d v="2018-09-09T00:00:00"/>
    <x v="0"/>
    <s v="Fall"/>
    <d v="1899-12-30T00:10:00"/>
    <s v="Full sun"/>
    <s v="WO/RS"/>
    <s v="Foraging"/>
    <s v="NA"/>
    <n v="1"/>
    <m/>
    <n v="0"/>
    <m/>
    <x v="4"/>
    <x v="18"/>
    <s v="Ground"/>
    <s v="NA"/>
    <s v="NA"/>
    <s v="NA"/>
    <s v="NA"/>
    <s v="NA"/>
    <s v="NA"/>
    <m/>
    <n v="0"/>
    <n v="0"/>
    <n v="0"/>
    <n v="0"/>
    <n v="0"/>
    <n v="0"/>
    <n v="0"/>
    <m/>
    <s v="Did not catch food acquisition on tape"/>
    <m/>
    <m/>
  </r>
  <r>
    <s v="DSCN0581"/>
    <s v="M4E0909_4"/>
    <n v="4"/>
    <n v="1"/>
    <s v="Mile 4 East "/>
    <d v="2018-09-09T00:00:00"/>
    <x v="0"/>
    <s v="Fall"/>
    <d v="1899-12-30T01:01:00"/>
    <s v="Full sun"/>
    <s v="WO/RS"/>
    <s v="Foraging/caching"/>
    <s v="Spruce"/>
    <n v="1"/>
    <m/>
    <n v="1"/>
    <m/>
    <x v="2"/>
    <x v="2"/>
    <s v="Ground"/>
    <s v="Exterior spruce foliage"/>
    <s v="Spruce"/>
    <s v="Exterior"/>
    <s v="Foliage"/>
    <s v="Unknown"/>
    <s v="Did not mark (did not recognize as cache while in field)"/>
    <m/>
    <n v="0"/>
    <n v="0"/>
    <n v="0"/>
    <n v="0"/>
    <n v="3"/>
    <n v="0"/>
    <n v="3"/>
    <m/>
    <s v="Not sure about cache B&amp;Ut suspected in field"/>
    <m/>
    <m/>
  </r>
  <r>
    <s v="DSCN0583"/>
    <s v="M4E0909_5"/>
    <n v="5"/>
    <n v="1"/>
    <s v="Mile 4 East "/>
    <d v="2018-09-09T00:00:00"/>
    <x v="0"/>
    <s v="Fall"/>
    <d v="1899-12-30T00:43:00"/>
    <s v="Full sun"/>
    <s v="WO/RS"/>
    <s v="Foraging/caching"/>
    <s v="Spruce"/>
    <n v="1"/>
    <m/>
    <n v="1"/>
    <m/>
    <x v="2"/>
    <x v="2"/>
    <s v="Ground"/>
    <s v="Exterior spruce foliage"/>
    <s v="Spruce"/>
    <s v="Exterior"/>
    <s v="Foliage"/>
    <s v="Unknown"/>
    <n v="63.725580000000001"/>
    <n v="148.98072999999999"/>
    <n v="0"/>
    <n v="0"/>
    <n v="0"/>
    <n v="0"/>
    <n v="11"/>
    <n v="0"/>
    <n v="11"/>
    <m/>
    <m/>
    <m/>
    <m/>
  </r>
  <r>
    <s v="DSCN0587"/>
    <s v="RC0911_1"/>
    <n v="1"/>
    <n v="1"/>
    <s v="Rock Creek"/>
    <d v="2018-09-11T00:00:00"/>
    <x v="0"/>
    <s v="Fall"/>
    <d v="1899-12-30T00:00:05"/>
    <s v="Full sun"/>
    <s v="unknown"/>
    <s v="Food handling"/>
    <s v="Spruce"/>
    <n v="1"/>
    <m/>
    <n v="0"/>
    <m/>
    <x v="7"/>
    <x v="14"/>
    <s v="unknown"/>
    <s v="NA"/>
    <s v="NA"/>
    <s v="NA"/>
    <s v="NA"/>
    <s v="NA"/>
    <s v="NA"/>
    <m/>
    <n v="0"/>
    <n v="3"/>
    <n v="0"/>
    <n v="3"/>
    <n v="0"/>
    <n v="0"/>
    <n v="3"/>
    <m/>
    <m/>
    <m/>
    <m/>
  </r>
  <r>
    <s v="DSCN0590"/>
    <s v="RC0911_2"/>
    <n v="2"/>
    <n v="1"/>
    <s v="Rock Creek"/>
    <d v="2018-09-11T00:00:00"/>
    <x v="0"/>
    <s v="Fall"/>
    <d v="1899-12-30T00:04:00"/>
    <s v="Full sun"/>
    <s v="unknown"/>
    <s v="Food handling"/>
    <s v="Spruce"/>
    <n v="1"/>
    <m/>
    <n v="0"/>
    <m/>
    <x v="2"/>
    <x v="2"/>
    <s v="unknown"/>
    <s v="NA"/>
    <s v="NA"/>
    <s v="NA"/>
    <s v="NA"/>
    <s v="NA"/>
    <s v="NA"/>
    <m/>
    <n v="0"/>
    <n v="0"/>
    <n v="0"/>
    <n v="0"/>
    <n v="0"/>
    <n v="0"/>
    <n v="0"/>
    <m/>
    <m/>
    <m/>
    <m/>
  </r>
  <r>
    <s v="DSCN0591"/>
    <s v="RC0911_3"/>
    <n v="3"/>
    <n v="1"/>
    <s v="Rock Creek"/>
    <d v="2018-09-11T00:00:00"/>
    <x v="0"/>
    <s v="Fall"/>
    <d v="1899-12-30T00:00:07"/>
    <s v="Full sun"/>
    <s v="unknown"/>
    <s v="Food handling/caching"/>
    <s v="Spruce"/>
    <n v="1"/>
    <m/>
    <n v="1"/>
    <m/>
    <x v="2"/>
    <x v="2"/>
    <s v="unknown"/>
    <s v="Interior spruce branch, B&amp;Ut bare part of brach between foliage.  "/>
    <s v="Spruce"/>
    <s v="Interior"/>
    <s v="Branch"/>
    <s v="Unknown"/>
    <n v="63.722499999999997"/>
    <n v="148.95992000000001"/>
    <n v="0"/>
    <n v="0"/>
    <n v="0"/>
    <n v="0"/>
    <n v="0"/>
    <n v="0"/>
    <n v="0"/>
    <m/>
    <s v="Saw bird eating unidentified food, appeared to leave some in tree so we marked it as a cache. "/>
    <m/>
    <m/>
  </r>
  <r>
    <s v="DSCN0593"/>
    <s v="RC0911_4"/>
    <n v="4"/>
    <n v="1"/>
    <s v="Rock Creek"/>
    <d v="2018-09-11T00:00:00"/>
    <x v="0"/>
    <s v="Fall"/>
    <d v="1899-12-30T00:24:00"/>
    <s v="Full sun"/>
    <s v="NA"/>
    <s v="Caching"/>
    <s v="Spruce"/>
    <n v="0"/>
    <m/>
    <n v="1"/>
    <m/>
    <x v="2"/>
    <x v="2"/>
    <s v="NA"/>
    <s v="Interior spruce foliage "/>
    <s v="Spruce"/>
    <s v="Interior"/>
    <s v="Foliage"/>
    <s v="Unknown"/>
    <n v="63.722520000000003"/>
    <n v="148.95984000000001"/>
    <n v="0"/>
    <n v="0"/>
    <n v="0"/>
    <n v="0"/>
    <n v="0"/>
    <n v="0"/>
    <n v="0"/>
    <m/>
    <s v="Cached food item seen eating in RC0911_3 in a separate tree. "/>
    <m/>
    <m/>
  </r>
  <r>
    <s v="DSCN0600"/>
    <s v="CC0911_1"/>
    <n v="1"/>
    <n v="1"/>
    <s v="CCAMP"/>
    <d v="2018-09-11T00:00:00"/>
    <x v="0"/>
    <s v="Fall"/>
    <d v="1899-12-30T00:08:00"/>
    <s v="Full sun"/>
    <s v="unknown"/>
    <s v="Caching"/>
    <s v="Spruce"/>
    <n v="0"/>
    <m/>
    <n v="1"/>
    <m/>
    <x v="2"/>
    <x v="2"/>
    <s v="NA"/>
    <s v="Spruce trunk under bark "/>
    <s v="Spruce"/>
    <s v="Trunk"/>
    <s v="Under bark"/>
    <s v="Unknown"/>
    <n v="63.723460000000003"/>
    <n v="148.94909999999999"/>
    <n v="0"/>
    <n v="0"/>
    <n v="0"/>
    <n v="0"/>
    <n v="0"/>
    <n v="0"/>
    <n v="0"/>
    <m/>
    <m/>
    <m/>
    <m/>
  </r>
  <r>
    <s v="DSCN0601"/>
    <s v="CC0911_2"/>
    <n v="2"/>
    <n v="1"/>
    <s v="CCAMP"/>
    <d v="2018-09-11T00:00:00"/>
    <x v="0"/>
    <s v="Fall"/>
    <d v="1899-12-30T00:18:00"/>
    <s v="Full sun"/>
    <s v="GR/RS"/>
    <s v="Foraging"/>
    <s v="NA"/>
    <n v="1"/>
    <n v="5"/>
    <n v="0"/>
    <m/>
    <x v="3"/>
    <x v="26"/>
    <s v="Ground"/>
    <s v="NA"/>
    <s v="NA"/>
    <s v="NA"/>
    <s v="NA"/>
    <s v="NA"/>
    <s v="NA"/>
    <m/>
    <n v="0"/>
    <n v="0"/>
    <n v="0"/>
    <n v="0"/>
    <n v="8"/>
    <n v="0"/>
    <n v="8"/>
    <m/>
    <m/>
    <m/>
    <m/>
  </r>
  <r>
    <s v="DSCN0602"/>
    <s v="CC0911_3"/>
    <n v="3"/>
    <n v="1"/>
    <s v="CCAMP"/>
    <d v="2018-09-11T00:00:00"/>
    <x v="0"/>
    <s v="Fall"/>
    <d v="1899-12-30T00:55:00"/>
    <s v="Full sun"/>
    <s v="GR/RS"/>
    <s v="Caching"/>
    <s v="Spruce"/>
    <n v="0"/>
    <m/>
    <n v="1"/>
    <m/>
    <x v="3"/>
    <x v="26"/>
    <s v="Ground"/>
    <s v="Interior spruce foliage"/>
    <s v="Spruce"/>
    <s v="Exterior"/>
    <s v="Foliage"/>
    <s v="Unknown"/>
    <n v="63.723739999999999"/>
    <n v="148.94995"/>
    <n v="0"/>
    <n v="0"/>
    <n v="0"/>
    <n v="0"/>
    <n v="0"/>
    <n v="0"/>
    <n v="0"/>
    <m/>
    <s v="Caching from previous food acquisition video.  "/>
    <m/>
    <m/>
  </r>
  <r>
    <s v="DSCN0602"/>
    <s v="CC0911_3"/>
    <n v="3"/>
    <n v="2"/>
    <s v="CCAMP"/>
    <d v="2018-09-11T00:00:00"/>
    <x v="0"/>
    <s v="Fall"/>
    <d v="1899-12-30T00:55:00"/>
    <s v="Full sun"/>
    <s v="GR/RS"/>
    <s v="Caching"/>
    <s v="Spruce"/>
    <n v="0"/>
    <m/>
    <n v="1"/>
    <m/>
    <x v="3"/>
    <x v="26"/>
    <s v="Ground"/>
    <s v="Exterior spruce foliage"/>
    <s v="Spruce"/>
    <s v="Exterior"/>
    <s v="Foliage"/>
    <s v="Unknown"/>
    <n v="63.723739999999999"/>
    <n v="148.94995"/>
    <n v="0"/>
    <n v="0"/>
    <n v="0"/>
    <n v="0"/>
    <n v="0"/>
    <n v="0"/>
    <n v="0"/>
    <m/>
    <s v="Caching from previous food acquisition video.  Cached in same tree as previous event.  "/>
    <m/>
    <m/>
  </r>
  <r>
    <s v="DSCN0605"/>
    <s v="TC0911_1"/>
    <n v="1"/>
    <n v="1"/>
    <s v="Trail Camp"/>
    <d v="2018-09-11T00:00:00"/>
    <x v="0"/>
    <s v="Fall"/>
    <d v="1899-12-30T00:45:00"/>
    <s v="Full sun"/>
    <s v="Unbanded"/>
    <s v="Foraging"/>
    <s v="Spruce"/>
    <n v="1"/>
    <m/>
    <n v="1"/>
    <m/>
    <x v="2"/>
    <x v="32"/>
    <s v="Exterior foliated spruce"/>
    <s v="Exterior spruce foliage"/>
    <s v="Spruce"/>
    <s v="Exterior"/>
    <s v="Foliage"/>
    <s v="Unknown"/>
    <n v="63.731929999999998"/>
    <n v="148.8989"/>
    <n v="0"/>
    <n v="0"/>
    <n v="0"/>
    <n v="0"/>
    <n v="0"/>
    <n v="0"/>
    <n v="0"/>
    <m/>
    <m/>
    <m/>
    <m/>
  </r>
  <r>
    <s v="DSCN0606"/>
    <s v="MC0911_1"/>
    <n v="1"/>
    <n v="1"/>
    <s v="Mercantile"/>
    <d v="2018-09-11T00:00:00"/>
    <x v="0"/>
    <s v="Fall"/>
    <d v="1899-12-30T00:21:00"/>
    <s v="Full sun"/>
    <s v="BW/GS"/>
    <s v="Caching"/>
    <s v="Aspen"/>
    <n v="0"/>
    <m/>
    <n v="1"/>
    <m/>
    <x v="2"/>
    <x v="2"/>
    <s v="unknown"/>
    <s v="Aspen trunk"/>
    <s v="Aspen"/>
    <s v="Trunk"/>
    <s v="On bark"/>
    <s v="Unknown"/>
    <s v="Did not mark (did not recognize as cache while in field)"/>
    <m/>
    <n v="0"/>
    <n v="0"/>
    <n v="0"/>
    <n v="0"/>
    <n v="0"/>
    <n v="0"/>
    <n v="0"/>
    <m/>
    <m/>
    <m/>
    <m/>
  </r>
  <r>
    <s v="DSCN0608"/>
    <s v="MC0911_2"/>
    <n v="2"/>
    <n v="1"/>
    <s v="Mercantile"/>
    <d v="2018-09-11T00:00:00"/>
    <x v="0"/>
    <s v="Fall"/>
    <d v="1899-12-30T00:04:00"/>
    <s v="Full sun"/>
    <s v="BW/GS"/>
    <s v="Foraging"/>
    <s v="Spruce"/>
    <n v="1"/>
    <m/>
    <n v="0"/>
    <m/>
    <x v="2"/>
    <x v="2"/>
    <s v="Exterior foliated spruce"/>
    <s v="NA"/>
    <s v="NA"/>
    <s v="NA"/>
    <s v="NA"/>
    <s v="NA"/>
    <s v="NA"/>
    <m/>
    <n v="0"/>
    <n v="0"/>
    <n v="0"/>
    <n v="0"/>
    <n v="0"/>
    <n v="0"/>
    <n v="0"/>
    <m/>
    <s v="Eating food in tree"/>
    <m/>
    <m/>
  </r>
  <r>
    <s v="DSCN0612"/>
    <s v="MC0911_3"/>
    <n v="3"/>
    <n v="1"/>
    <s v="Mercantile"/>
    <d v="2018-09-11T00:00:00"/>
    <x v="0"/>
    <s v="Fall"/>
    <d v="1899-12-30T00:05:00"/>
    <s v="Full sun"/>
    <s v="WO/OS"/>
    <s v="Foraging"/>
    <s v="Aspen"/>
    <n v="1"/>
    <m/>
    <n v="0"/>
    <m/>
    <x v="2"/>
    <x v="2"/>
    <s v="Aspen branch"/>
    <s v="NA"/>
    <s v="NA"/>
    <s v="NA"/>
    <s v="NA"/>
    <s v="NA"/>
    <s v="NA"/>
    <m/>
    <n v="4"/>
    <n v="0"/>
    <n v="0"/>
    <n v="4"/>
    <n v="0"/>
    <n v="0"/>
    <n v="4"/>
    <m/>
    <m/>
    <m/>
    <m/>
  </r>
  <r>
    <s v="DSCN0613"/>
    <s v="MC0911_4"/>
    <n v="4"/>
    <n v="1"/>
    <s v="Mercantile"/>
    <d v="2018-09-11T00:00:00"/>
    <x v="0"/>
    <s v="Fall"/>
    <d v="1899-12-30T00:16:00"/>
    <s v="Full sun"/>
    <s v="BW/GS"/>
    <s v="Foraging or caching"/>
    <s v="Aspen"/>
    <s v="unknown"/>
    <m/>
    <n v="0"/>
    <m/>
    <x v="2"/>
    <x v="2"/>
    <n v="0"/>
    <s v="Aspen branch"/>
    <s v="NA"/>
    <s v="NA"/>
    <s v="NA"/>
    <s v="NA"/>
    <s v="NA"/>
    <m/>
    <n v="0"/>
    <n v="0"/>
    <n v="0"/>
    <n v="0"/>
    <n v="0"/>
    <n v="0"/>
    <n v="0"/>
    <m/>
    <s v="Hard to tell, B&amp;Ut looked like caching behavior"/>
    <m/>
    <m/>
  </r>
  <r>
    <s v="DSCN0615"/>
    <s v="MC0911_5"/>
    <n v="5"/>
    <n v="1"/>
    <s v="Mercantile"/>
    <d v="2018-09-11T00:00:00"/>
    <x v="0"/>
    <s v="Fall"/>
    <d v="1899-12-30T00:29:00"/>
    <s v="Full sun"/>
    <s v="BW/GS"/>
    <s v="Foraging and caching"/>
    <s v="NA"/>
    <n v="1"/>
    <m/>
    <n v="0"/>
    <m/>
    <x v="0"/>
    <x v="0"/>
    <s v="Ground"/>
    <s v="NA"/>
    <s v="NA"/>
    <s v="NA"/>
    <s v="NA"/>
    <s v="NA"/>
    <s v="NA"/>
    <m/>
    <n v="0"/>
    <n v="0"/>
    <n v="0"/>
    <n v="0"/>
    <n v="12"/>
    <n v="0"/>
    <n v="12"/>
    <m/>
    <s v="Took about four pieces of same mushroom before flying up to cache on a spruce branch"/>
    <m/>
    <m/>
  </r>
  <r>
    <s v="DSCN0615"/>
    <s v="MC0911_5"/>
    <n v="5"/>
    <n v="2"/>
    <s v="Mercantile"/>
    <d v="2018-09-11T00:00:00"/>
    <x v="0"/>
    <s v="Fall"/>
    <d v="1899-12-30T00:29:00"/>
    <s v="Full sun"/>
    <s v="BW/GS"/>
    <s v="Foraging and caching"/>
    <s v="NA"/>
    <n v="1"/>
    <m/>
    <n v="1"/>
    <m/>
    <x v="0"/>
    <x v="0"/>
    <s v="Ground"/>
    <s v="Exterior spruce foliage"/>
    <s v="Spruce"/>
    <s v="Exterior"/>
    <s v="Foliage"/>
    <s v="Unknown"/>
    <s v="Did not mark (did not recognize as cache while in field)"/>
    <m/>
    <n v="0"/>
    <n v="0"/>
    <n v="0"/>
    <n v="0"/>
    <n v="0"/>
    <n v="0"/>
    <n v="0"/>
    <m/>
    <s v="Took about four pieces of same mushroom before flying up to cache on a spruce branch"/>
    <m/>
    <m/>
  </r>
  <r>
    <s v="DSCN0616"/>
    <s v="MC0911_6"/>
    <n v="6"/>
    <n v="1"/>
    <s v="Mercantile"/>
    <d v="2018-09-11T00:00:00"/>
    <x v="0"/>
    <s v="Fall"/>
    <d v="1899-12-30T00:39:00"/>
    <s v="Full sun"/>
    <s v="BW/GS"/>
    <s v="Caching"/>
    <s v="Aspen"/>
    <n v="0"/>
    <m/>
    <n v="1"/>
    <m/>
    <x v="4"/>
    <x v="18"/>
    <s v="unknown"/>
    <s v="Exterior aspen branch"/>
    <s v="Aspen"/>
    <s v="Exterior"/>
    <s v="Branch"/>
    <s v="Unknown"/>
    <n v="63.735460000000003"/>
    <n v="148.89166"/>
    <n v="0"/>
    <n v="0"/>
    <n v="0"/>
    <n v="0"/>
    <n v="0"/>
    <n v="0"/>
    <n v="0"/>
    <m/>
    <s v="Video started after bird had grabbed a caterpillar, looks like it caches it on an aspen branch"/>
    <m/>
    <m/>
  </r>
  <r>
    <s v="DSCN0617"/>
    <s v="MC0911_7"/>
    <n v="7"/>
    <n v="1"/>
    <s v="Mercantile"/>
    <d v="2018-09-11T00:00:00"/>
    <x v="0"/>
    <s v="Fall"/>
    <d v="1899-12-30T00:07:00"/>
    <s v="Full sun"/>
    <s v="BW/GS"/>
    <s v="Cache recovery"/>
    <s v="Spruce"/>
    <n v="1"/>
    <m/>
    <n v="0"/>
    <m/>
    <x v="3"/>
    <x v="26"/>
    <s v="Spruce exterior foliage"/>
    <s v="NA"/>
    <s v="NA"/>
    <s v="NA"/>
    <s v="NA"/>
    <s v="NA"/>
    <s v="NA"/>
    <m/>
    <n v="0"/>
    <n v="0"/>
    <n v="0"/>
    <n v="0"/>
    <n v="0"/>
    <n v="0"/>
    <n v="0"/>
    <m/>
    <s v="Looked like a soapberry, maybe with a stem attached"/>
    <m/>
    <m/>
  </r>
  <r>
    <s v="DSCN0619"/>
    <s v="HS0912_1"/>
    <n v="1"/>
    <n v="1"/>
    <s v="Horse shoe"/>
    <d v="2018-09-12T00:00:00"/>
    <x v="0"/>
    <s v="Fall"/>
    <d v="1899-12-30T00:46:00"/>
    <s v="Overcast"/>
    <s v="GL/PS"/>
    <s v="Caching"/>
    <s v="Spruce"/>
    <n v="0"/>
    <m/>
    <n v="1"/>
    <m/>
    <x v="2"/>
    <x v="2"/>
    <s v="unknown"/>
    <s v="Interior bare spruce branch under bark"/>
    <s v="Spruce"/>
    <s v="Interior"/>
    <s v="Under bark"/>
    <s v="Unknown"/>
    <n v="63.740139999999997"/>
    <n v="148.90387000000001"/>
    <n v="0"/>
    <n v="0"/>
    <n v="0"/>
    <n v="0"/>
    <n v="0"/>
    <n v="0"/>
    <n v="0"/>
    <m/>
    <s v="Unconfirmed B&amp;Ut suspected cache. "/>
    <m/>
    <m/>
  </r>
  <r>
    <s v="DSCN0622"/>
    <s v="HS0912_2"/>
    <n v="2"/>
    <n v="1"/>
    <s v="Horse shoe"/>
    <d v="2018-09-12T00:00:00"/>
    <x v="0"/>
    <s v="Fall"/>
    <d v="1899-12-30T01:19:00"/>
    <s v="Overcast"/>
    <s v="GL/PS"/>
    <s v="Foraging"/>
    <s v="Aspen"/>
    <s v="unknown"/>
    <m/>
    <n v="0"/>
    <m/>
    <x v="2"/>
    <x v="2"/>
    <s v="NA"/>
    <s v="NA"/>
    <s v="NA"/>
    <s v="NA"/>
    <s v="NA"/>
    <s v="NA"/>
    <s v="NA"/>
    <m/>
    <n v="0"/>
    <n v="59"/>
    <n v="0"/>
    <n v="59"/>
    <n v="0"/>
    <n v="0"/>
    <n v="59"/>
    <s v="Gleaning"/>
    <s v="Not sure what they're going after here.  Maybe aphids?"/>
    <n v="0"/>
    <n v="12"/>
  </r>
  <r>
    <s v="DSCN0630"/>
    <s v="HS0912_3"/>
    <n v="3"/>
    <n v="1"/>
    <s v="Horse shoe"/>
    <d v="2018-09-12T00:00:00"/>
    <x v="0"/>
    <s v="Fall"/>
    <d v="1899-12-30T00:11:00"/>
    <s v="Overcast"/>
    <s v="GL/PS"/>
    <s v="Foraging"/>
    <s v="Spruce"/>
    <s v="unknown"/>
    <m/>
    <n v="0"/>
    <m/>
    <x v="2"/>
    <x v="2"/>
    <s v="NA"/>
    <s v="NA"/>
    <s v="NA"/>
    <s v="NA"/>
    <s v="NA"/>
    <s v="NA"/>
    <s v="NA"/>
    <m/>
    <n v="0"/>
    <n v="8"/>
    <n v="0"/>
    <n v="8"/>
    <n v="0"/>
    <n v="0"/>
    <n v="8"/>
    <m/>
    <m/>
    <m/>
    <m/>
  </r>
  <r>
    <s v="DSCN0631"/>
    <s v="HS0912_4"/>
    <n v="4"/>
    <n v="1"/>
    <s v="Horse shoe"/>
    <d v="2018-09-12T00:00:00"/>
    <x v="0"/>
    <s v="Fall"/>
    <d v="1899-12-30T00:19:00"/>
    <s v="Overcast"/>
    <s v="YL/OS"/>
    <s v="Food handling"/>
    <s v="Spruce"/>
    <n v="1"/>
    <m/>
    <n v="0"/>
    <m/>
    <x v="2"/>
    <x v="2"/>
    <s v="unknown"/>
    <s v="NA"/>
    <s v="NA"/>
    <s v="NA"/>
    <s v="NA"/>
    <s v="NA"/>
    <s v="NA"/>
    <m/>
    <n v="0"/>
    <n v="0"/>
    <n v="0"/>
    <n v="0"/>
    <n v="0"/>
    <n v="0"/>
    <n v="0"/>
    <m/>
    <s v="Weird orange food! "/>
    <m/>
    <m/>
  </r>
  <r>
    <s v="DSCN0634"/>
    <s v="HS0912_5"/>
    <n v="5"/>
    <n v="1"/>
    <s v="Horse shoe"/>
    <d v="2018-09-12T00:00:00"/>
    <x v="0"/>
    <s v="Fall"/>
    <d v="1899-12-30T00:11:00"/>
    <s v="Overcast"/>
    <s v="unknown"/>
    <s v="Foraging"/>
    <s v="NA"/>
    <n v="1"/>
    <m/>
    <n v="0"/>
    <m/>
    <x v="2"/>
    <x v="2"/>
    <s v="Ground"/>
    <s v="NA"/>
    <s v="NA"/>
    <s v="NA"/>
    <s v="NA"/>
    <s v="NA"/>
    <s v="NA"/>
    <m/>
    <n v="0"/>
    <n v="0"/>
    <n v="0"/>
    <n v="0"/>
    <n v="0"/>
    <n v="0"/>
    <n v="0"/>
    <m/>
    <s v="Verbal recording that it got food on the ground "/>
    <m/>
    <m/>
  </r>
  <r>
    <s v="DSCN0635"/>
    <s v="HS0912_6"/>
    <n v="6"/>
    <n v="1"/>
    <s v="Horse shoe"/>
    <d v="2018-09-12T00:00:00"/>
    <x v="0"/>
    <s v="Fall"/>
    <d v="1899-12-30T00:24:00"/>
    <s v="Overcast"/>
    <s v="unknown"/>
    <s v="Foraging"/>
    <s v="NA"/>
    <n v="1"/>
    <n v="3"/>
    <n v="0"/>
    <m/>
    <x v="3"/>
    <x v="12"/>
    <s v="Ground"/>
    <s v="NA"/>
    <s v="NA"/>
    <s v="NA"/>
    <s v="NA"/>
    <s v="NA"/>
    <s v="NA"/>
    <m/>
    <n v="0"/>
    <n v="0"/>
    <n v="0"/>
    <n v="0"/>
    <n v="5"/>
    <n v="0"/>
    <n v="5"/>
    <m/>
    <m/>
    <m/>
    <m/>
  </r>
  <r>
    <s v="DSCN0638"/>
    <s v="HS0912_7"/>
    <n v="7"/>
    <n v="1"/>
    <s v="Horse shoe"/>
    <d v="2018-09-12T00:00:00"/>
    <x v="0"/>
    <s v="Fall"/>
    <d v="1899-12-30T00:35:00"/>
    <s v="Overcast"/>
    <s v="YL/OS"/>
    <s v="Foraging"/>
    <s v="NA"/>
    <n v="1"/>
    <m/>
    <n v="0"/>
    <m/>
    <x v="4"/>
    <x v="23"/>
    <s v="Ground"/>
    <s v="NA"/>
    <s v="NA"/>
    <s v="NA"/>
    <s v="NA"/>
    <s v="NA"/>
    <s v="NA"/>
    <m/>
    <n v="0"/>
    <n v="0"/>
    <n v="0"/>
    <n v="0"/>
    <n v="20"/>
    <n v="0"/>
    <n v="20"/>
    <m/>
    <m/>
    <m/>
    <m/>
  </r>
  <r>
    <s v="DSCN0641"/>
    <s v="HS0912_8"/>
    <n v="8"/>
    <n v="1"/>
    <s v="Horse shoe"/>
    <d v="2018-09-12T00:00:00"/>
    <x v="0"/>
    <s v="Fall"/>
    <d v="1899-12-30T00:11:00"/>
    <s v="Overcast"/>
    <s v="GL/PS"/>
    <s v="Foraging or caching"/>
    <s v="Spruce"/>
    <n v="1"/>
    <m/>
    <n v="0"/>
    <m/>
    <x v="2"/>
    <x v="33"/>
    <s v="Interior spruce foliage"/>
    <s v="NA"/>
    <s v="NA"/>
    <s v="NA"/>
    <s v="NA"/>
    <s v="NA"/>
    <s v="NA"/>
    <m/>
    <n v="0"/>
    <n v="0"/>
    <n v="0"/>
    <n v="0"/>
    <n v="0"/>
    <n v="0"/>
    <n v="0"/>
    <m/>
    <s v="Watched bird fly into foliage and emerge with food.  Not sure if cached some of it in the tree, or if it was retrieving the food from the tree. "/>
    <m/>
    <m/>
  </r>
  <r>
    <s v="DSCN0642"/>
    <s v="M2370912_1"/>
    <n v="1"/>
    <n v="1"/>
    <s v="Mile 237"/>
    <d v="2018-09-12T00:00:00"/>
    <x v="0"/>
    <s v="Fall"/>
    <d v="1899-12-30T01:42:00"/>
    <s v="Overcast"/>
    <s v="YP/RS"/>
    <s v="Foraging"/>
    <s v="Aspen"/>
    <n v="1"/>
    <m/>
    <n v="0"/>
    <m/>
    <x v="2"/>
    <x v="2"/>
    <s v="Under bare spruce branch bark"/>
    <s v="NA"/>
    <s v="NA"/>
    <s v="NA"/>
    <s v="NA"/>
    <s v="NA"/>
    <s v="NA"/>
    <m/>
    <n v="88"/>
    <n v="0"/>
    <n v="0"/>
    <n v="88"/>
    <n v="0"/>
    <n v="0"/>
    <n v="88"/>
    <s v="Probing"/>
    <m/>
    <n v="6"/>
    <n v="0"/>
  </r>
  <r>
    <s v="DSCN0643"/>
    <s v="M2370912_2"/>
    <n v="2"/>
    <n v="1"/>
    <s v="Mile 237"/>
    <d v="2018-09-12T00:00:00"/>
    <x v="0"/>
    <s v="Fall"/>
    <d v="1899-12-30T00:35:00"/>
    <s v="Overcast"/>
    <s v="unknown"/>
    <s v="Foraging"/>
    <s v="Spruce"/>
    <n v="1"/>
    <m/>
    <n v="0"/>
    <m/>
    <x v="2"/>
    <x v="2"/>
    <s v="Interior spruce foliage"/>
    <s v="NA"/>
    <s v="NA"/>
    <s v="NA"/>
    <s v="NA"/>
    <s v="NA"/>
    <s v="NA"/>
    <m/>
    <n v="0"/>
    <n v="19"/>
    <n v="19"/>
    <n v="0"/>
    <n v="0"/>
    <n v="0"/>
    <n v="19"/>
    <m/>
    <m/>
    <m/>
    <m/>
  </r>
  <r>
    <s v="DSCN0644"/>
    <s v="M2370912_3"/>
    <n v="3"/>
    <n v="1"/>
    <s v="Mile 237"/>
    <d v="2018-09-12T00:00:00"/>
    <x v="0"/>
    <s v="Fall"/>
    <d v="1899-12-30T00:36:00"/>
    <s v="Overcast"/>
    <s v="YP/RS"/>
    <s v="Foraging"/>
    <s v="Spruce"/>
    <n v="1"/>
    <m/>
    <n v="0"/>
    <m/>
    <x v="2"/>
    <x v="33"/>
    <s v="Interior spruce foliage"/>
    <s v="NA"/>
    <s v="NA"/>
    <s v="NA"/>
    <s v="NA"/>
    <s v="NA"/>
    <s v="NA"/>
    <m/>
    <n v="0"/>
    <n v="36"/>
    <n v="36"/>
    <n v="0"/>
    <n v="0"/>
    <n v="0"/>
    <n v="36"/>
    <m/>
    <m/>
    <m/>
    <m/>
  </r>
  <r>
    <s v="DSCN0645"/>
    <s v="M2370912_4"/>
    <n v="4"/>
    <n v="1"/>
    <s v="Mile 237"/>
    <d v="2018-09-12T00:00:00"/>
    <x v="0"/>
    <s v="Fall"/>
    <d v="1899-12-30T01:03:00"/>
    <s v="Overcast"/>
    <s v="YP/RS"/>
    <s v="Foraging/caching"/>
    <s v="Spruce"/>
    <n v="1"/>
    <m/>
    <n v="1"/>
    <m/>
    <x v="2"/>
    <x v="2"/>
    <s v="Exterior foliated spruce"/>
    <s v="Exterior spruce foliage"/>
    <s v="Spruce"/>
    <s v="Exterior"/>
    <s v="Foliage"/>
    <s v="Unknown"/>
    <s v="Did not mark (did not recognize as cache while in field)"/>
    <m/>
    <n v="0"/>
    <n v="2"/>
    <n v="0"/>
    <n v="2"/>
    <n v="0"/>
    <n v="0"/>
    <n v="2"/>
    <m/>
    <s v="Appeared to cache something in foliage (B&amp;Ut unconfirmed) then went and retrieved food item. Food item is unknown B&amp;Ut maybe congealed sap or seeds or something.    "/>
    <m/>
    <m/>
  </r>
  <r>
    <s v="DSCN0647"/>
    <s v="M2370912_5"/>
    <n v="5"/>
    <n v="1"/>
    <s v="Mile 237"/>
    <d v="2018-09-12T00:00:00"/>
    <x v="0"/>
    <s v="Fall"/>
    <d v="1899-12-30T01:47:00"/>
    <s v="Overcast"/>
    <s v="YP/RS"/>
    <s v="Food handling/caching"/>
    <s v="Spruce"/>
    <n v="0"/>
    <m/>
    <n v="1"/>
    <m/>
    <x v="2"/>
    <x v="2"/>
    <s v="NA"/>
    <s v="Interior spruce branch"/>
    <s v="Spruce"/>
    <s v="Interior"/>
    <s v="Branch"/>
    <s v="Unknown"/>
    <n v="63.72578"/>
    <n v="148.88998000000001"/>
    <n v="0"/>
    <n v="0"/>
    <n v="0"/>
    <n v="0"/>
    <n v="0"/>
    <n v="0"/>
    <n v="0"/>
    <m/>
    <s v="Working at unknown food item from M2370923_4.  left some on branch from video.  That's the marked cache tree. "/>
    <m/>
    <m/>
  </r>
  <r>
    <s v="DSCN0648"/>
    <s v="M2370912_6"/>
    <n v="6"/>
    <n v="1"/>
    <s v="Mile 237"/>
    <d v="2018-09-12T00:00:00"/>
    <x v="0"/>
    <s v="Fall"/>
    <d v="1899-12-30T00:41:00"/>
    <s v="Overcast"/>
    <s v="YP/RS"/>
    <s v="Foraging/caching"/>
    <s v="Spruce"/>
    <s v="unknown"/>
    <m/>
    <n v="1"/>
    <m/>
    <x v="2"/>
    <x v="2"/>
    <s v="NA"/>
    <s v="Interior spruce foliage "/>
    <s v="Spruce"/>
    <s v="Interior"/>
    <s v="Foliage"/>
    <s v="Unknown"/>
    <n v="63.725769999999997"/>
    <n v="148.89005"/>
    <n v="0"/>
    <n v="0"/>
    <n v="0"/>
    <n v="0"/>
    <n v="8"/>
    <n v="0"/>
    <n v="8"/>
    <m/>
    <s v="Cached part of unknown item from M2370912_4"/>
    <m/>
    <m/>
  </r>
  <r>
    <s v="DSCN0652"/>
    <s v="M2370912_7"/>
    <n v="7"/>
    <n v="1"/>
    <s v="Mile 237"/>
    <d v="2018-09-12T00:00:00"/>
    <x v="0"/>
    <s v="Fall"/>
    <d v="1899-12-30T00:21:00"/>
    <s v="Overcast"/>
    <s v="YP/RS"/>
    <s v="Foraging"/>
    <s v="Aspen"/>
    <n v="1"/>
    <m/>
    <n v="0"/>
    <m/>
    <x v="2"/>
    <x v="2"/>
    <s v="Aspen tree leaf stems"/>
    <s v="NA"/>
    <s v="NA"/>
    <s v="NA"/>
    <s v="NA"/>
    <s v="NA"/>
    <s v="NA"/>
    <m/>
    <n v="0"/>
    <n v="15"/>
    <n v="0"/>
    <n v="15"/>
    <n v="0"/>
    <n v="0"/>
    <n v="15"/>
    <s v="Gleaning"/>
    <m/>
    <n v="0"/>
    <n v="2"/>
  </r>
  <r>
    <s v="DSCN0660"/>
    <s v="B&amp;U0912_1"/>
    <n v="1"/>
    <n v="1"/>
    <s v="B&amp;U"/>
    <d v="2018-09-12T00:00:00"/>
    <x v="0"/>
    <s v="Fall"/>
    <d v="1899-12-30T01:07:00"/>
    <s v="Overcast"/>
    <s v="GR/PS"/>
    <s v="Foraging"/>
    <s v="NA"/>
    <n v="2"/>
    <s v="1 in first trip, 2 in second trip"/>
    <n v="0"/>
    <m/>
    <x v="3"/>
    <x v="4"/>
    <s v="Ground"/>
    <s v="NA"/>
    <s v="NA"/>
    <s v="NA"/>
    <s v="NA"/>
    <s v="NA"/>
    <s v="NA"/>
    <m/>
    <n v="0"/>
    <n v="0"/>
    <n v="0"/>
    <n v="0"/>
    <n v="62"/>
    <n v="0"/>
    <n v="62"/>
    <s v="searching"/>
    <m/>
    <m/>
    <m/>
  </r>
  <r>
    <s v="DSCN0660"/>
    <s v="B&amp;U0912_1"/>
    <n v="1"/>
    <n v="2"/>
    <s v="B&amp;U"/>
    <d v="2018-09-12T00:00:00"/>
    <x v="0"/>
    <s v="Fall"/>
    <d v="1899-12-30T01:07:00"/>
    <s v="Overcast"/>
    <s v="GR/PS"/>
    <s v="Foraging"/>
    <s v="NA"/>
    <n v="1"/>
    <m/>
    <n v="0"/>
    <m/>
    <x v="2"/>
    <x v="2"/>
    <s v="Ground"/>
    <s v="NA"/>
    <s v="NA"/>
    <s v="NA"/>
    <s v="NA"/>
    <s v="NA"/>
    <s v="NA"/>
    <m/>
    <n v="0"/>
    <n v="0"/>
    <n v="0"/>
    <n v="0"/>
    <n v="0"/>
    <n v="0"/>
    <n v="0"/>
    <s v="searching"/>
    <m/>
    <m/>
    <m/>
  </r>
  <r>
    <s v="DSCN0664"/>
    <s v="B&amp;U0912_2"/>
    <n v="2"/>
    <n v="1"/>
    <s v="B&amp;U"/>
    <d v="2018-09-12T00:00:00"/>
    <x v="0"/>
    <s v="Fall"/>
    <d v="1899-12-30T00:22:00"/>
    <s v="Overcast"/>
    <s v="WP/BS"/>
    <s v="Food handling"/>
    <s v="Spruce"/>
    <n v="1"/>
    <m/>
    <n v="0"/>
    <m/>
    <x v="2"/>
    <x v="2"/>
    <s v="unknown"/>
    <s v="NA"/>
    <s v="NA"/>
    <s v="NA"/>
    <s v="NA"/>
    <s v="NA"/>
    <s v="NA"/>
    <m/>
    <n v="0"/>
    <n v="0"/>
    <n v="0"/>
    <n v="0"/>
    <n v="0"/>
    <n v="0"/>
    <n v="0"/>
    <m/>
    <s v="Collected piece of mystery food!  "/>
    <m/>
    <m/>
  </r>
  <r>
    <s v="DSCN0665"/>
    <s v="B&amp;U0912_3"/>
    <n v="3"/>
    <n v="1"/>
    <s v="B&amp;U"/>
    <d v="2018-09-12T00:00:00"/>
    <x v="0"/>
    <s v="Fall"/>
    <d v="1899-12-30T00:09:00"/>
    <s v="Overcast"/>
    <s v="WP/BS"/>
    <s v="Caching"/>
    <s v="Spruce"/>
    <n v="0"/>
    <m/>
    <n v="1"/>
    <m/>
    <x v="2"/>
    <x v="2"/>
    <s v="NA"/>
    <s v="Interior foliate spruce, B&amp;Ut placed neatly on branch. "/>
    <s v="Spruce"/>
    <s v="Interior"/>
    <s v="Branch"/>
    <s v="Unknown"/>
    <n v="63.725380000000001"/>
    <n v="148.95672999999999"/>
    <n v="0"/>
    <n v="0"/>
    <n v="0"/>
    <n v="0"/>
    <n v="0"/>
    <n v="0"/>
    <n v="0"/>
    <m/>
    <s v="Same food from previous video.  "/>
    <m/>
    <m/>
  </r>
  <r>
    <s v="DSCN0668"/>
    <s v="B&amp;U0912_4"/>
    <n v="4"/>
    <n v="1"/>
    <s v="B&amp;U"/>
    <d v="2018-09-12T00:00:00"/>
    <x v="0"/>
    <s v="Fall"/>
    <d v="1899-12-30T00:28:00"/>
    <s v="Overcast"/>
    <s v="GR/PS"/>
    <s v="Foraging"/>
    <s v="NA"/>
    <s v="unknown"/>
    <m/>
    <n v="0"/>
    <m/>
    <x v="1"/>
    <x v="1"/>
    <s v="NA"/>
    <s v="NA"/>
    <s v="NA"/>
    <s v="NA"/>
    <s v="NA"/>
    <s v="NA"/>
    <s v="NA"/>
    <m/>
    <n v="0"/>
    <n v="0"/>
    <n v="0"/>
    <n v="0"/>
    <n v="10"/>
    <n v="0"/>
    <n v="10"/>
    <m/>
    <m/>
    <m/>
    <m/>
  </r>
  <r>
    <s v="DSCN0677"/>
    <s v="B&amp;U0912_5"/>
    <n v="5"/>
    <n v="1"/>
    <s v="B&amp;U"/>
    <d v="2018-09-12T00:00:00"/>
    <x v="0"/>
    <s v="Fall"/>
    <d v="1899-12-30T00:41:00"/>
    <s v="Overcast"/>
    <s v="unknown"/>
    <s v="Food handling"/>
    <s v="Spruce"/>
    <n v="1"/>
    <m/>
    <n v="1"/>
    <m/>
    <x v="2"/>
    <x v="2"/>
    <s v="unknown"/>
    <s v="Spruce"/>
    <s v="Spruce"/>
    <s v="unknown"/>
    <s v="unknown"/>
    <s v="Unknown"/>
    <n v="63.726739999999999"/>
    <n v="148.95921000000001"/>
    <n v="0"/>
    <n v="0"/>
    <n v="0"/>
    <n v="0"/>
    <n v="0"/>
    <n v="0"/>
    <n v="0"/>
    <m/>
    <s v="Unconfirmed caching (observed by Noah S.)"/>
    <m/>
    <m/>
  </r>
  <r>
    <s v="DSCN0678"/>
    <s v="B&amp;U0912_6"/>
    <n v="6"/>
    <n v="1"/>
    <s v="B&amp;U"/>
    <d v="2018-09-12T00:00:00"/>
    <x v="0"/>
    <s v="Fall"/>
    <d v="1899-12-30T00:11:00"/>
    <s v="Overcast"/>
    <s v="WP/BS"/>
    <s v="Foraging"/>
    <s v="NA"/>
    <n v="1"/>
    <n v="3"/>
    <n v="0"/>
    <m/>
    <x v="3"/>
    <x v="12"/>
    <s v="Ground"/>
    <s v="NA"/>
    <s v="NA"/>
    <s v="NA"/>
    <s v="NA"/>
    <s v="NA"/>
    <s v="NA"/>
    <m/>
    <n v="0"/>
    <n v="0"/>
    <n v="0"/>
    <n v="0"/>
    <n v="10"/>
    <n v="0"/>
    <n v="10"/>
    <m/>
    <m/>
    <m/>
    <m/>
  </r>
  <r>
    <s v="DSCN0679"/>
    <s v="B&amp;U0912_7"/>
    <n v="7"/>
    <n v="1"/>
    <s v="B&amp;U"/>
    <d v="2018-09-12T00:00:00"/>
    <x v="0"/>
    <s v="Fall"/>
    <d v="1899-12-30T00:19:00"/>
    <s v="Overcast"/>
    <s v="WP/BS"/>
    <s v="Caching"/>
    <s v="Spruce"/>
    <n v="0"/>
    <m/>
    <n v="1"/>
    <m/>
    <x v="3"/>
    <x v="12"/>
    <s v="NA"/>
    <s v="Exterior bare spruce branch"/>
    <s v="Spruce"/>
    <s v="Exterior"/>
    <s v="Branch"/>
    <s v="Unknown"/>
    <n v="63.726410000000001"/>
    <n v="148.95836"/>
    <n v="0"/>
    <n v="0"/>
    <n v="0"/>
    <n v="0"/>
    <n v="0"/>
    <n v="0"/>
    <n v="0"/>
    <m/>
    <m/>
    <m/>
    <m/>
  </r>
  <r>
    <s v="DSCN0686"/>
    <s v="B&amp;U0912_8"/>
    <n v="8"/>
    <n v="1"/>
    <s v="B&amp;U"/>
    <d v="2018-09-12T00:00:00"/>
    <x v="0"/>
    <s v="Fall"/>
    <d v="1899-12-30T00:26:00"/>
    <s v="Overcast"/>
    <s v="GR/PS"/>
    <s v="Caching"/>
    <s v="Spruce"/>
    <n v="1"/>
    <m/>
    <n v="1"/>
    <m/>
    <x v="2"/>
    <x v="2"/>
    <s v="Interior spruce foliage"/>
    <s v="Exterior spruce foliage"/>
    <s v="Spruce"/>
    <s v="Exterior"/>
    <s v="Foliage"/>
    <s v="Unknown"/>
    <n v="63.725990000000003"/>
    <n v="148.95717999999999"/>
    <n v="0"/>
    <n v="0"/>
    <n v="0"/>
    <n v="0"/>
    <n v="0"/>
    <n v="0"/>
    <n v="0"/>
    <m/>
    <s v="Notes about food acquisition based on unrecorded observations "/>
    <m/>
    <m/>
  </r>
  <r>
    <s v="DSCN0692"/>
    <s v="M4R0914_1"/>
    <n v="1"/>
    <n v="1"/>
    <s v="M4Roadside"/>
    <d v="2018-09-14T00:00:00"/>
    <x v="0"/>
    <s v="Fall"/>
    <d v="1899-12-30T00:50:00"/>
    <s v="Mostly sunny"/>
    <s v="OB/YS"/>
    <s v="Caching"/>
    <s v="Spruce"/>
    <n v="1"/>
    <m/>
    <n v="2"/>
    <s v="Same tree"/>
    <x v="2"/>
    <x v="2"/>
    <s v="Interior top of spruce tree"/>
    <s v="Interior bare spruce branch under bark/witch hair"/>
    <s v="Spruce"/>
    <s v="Interior"/>
    <s v="Under bark and witch hair "/>
    <s v="Unknown"/>
    <n v="63.720970000000001"/>
    <n v="148.98309"/>
    <n v="0"/>
    <n v="0"/>
    <n v="0"/>
    <n v="0"/>
    <n v="0"/>
    <n v="0"/>
    <n v="0"/>
    <m/>
    <s v="Food acquisition not captured on film B&amp;Ut observed beforhand by KS.  "/>
    <m/>
    <m/>
  </r>
  <r>
    <s v="DSCN0698"/>
    <s v="M4R0914_2"/>
    <n v="2"/>
    <n v="1"/>
    <s v="M4Roadside"/>
    <d v="2018-09-14T00:00:00"/>
    <x v="0"/>
    <s v="Fall"/>
    <d v="1899-12-30T00:16:00"/>
    <s v="Mostly sunny"/>
    <s v="unknown"/>
    <s v="Caching"/>
    <s v="Spruce"/>
    <n v="0"/>
    <m/>
    <n v="1"/>
    <m/>
    <x v="2"/>
    <x v="2"/>
    <s v="NA"/>
    <s v="Interior top of spruce in foliage."/>
    <s v="Spruce"/>
    <s v="Interior"/>
    <s v="Foliage"/>
    <s v="Unknown"/>
    <s v="Did not mark (did not recognize as cache while in field)"/>
    <m/>
    <n v="0"/>
    <n v="0"/>
    <n v="0"/>
    <n v="0"/>
    <n v="0"/>
    <n v="0"/>
    <n v="0"/>
    <m/>
    <s v="Determined caching based on saliva trail that you can see in video.  "/>
    <m/>
    <m/>
  </r>
  <r>
    <s v="DSCN0702"/>
    <s v="M4R0914_3"/>
    <n v="3"/>
    <n v="1"/>
    <s v="M4Roadside"/>
    <d v="2018-09-14T00:00:00"/>
    <x v="0"/>
    <s v="Fall"/>
    <d v="1899-12-30T00:26:00"/>
    <s v="Mostly sunny"/>
    <s v="OB/YS"/>
    <s v="Caching"/>
    <s v="Spruce"/>
    <n v="0"/>
    <m/>
    <n v="1"/>
    <m/>
    <x v="2"/>
    <x v="2"/>
    <s v="NA"/>
    <s v="Exterior spruce branch under bark/witch hair"/>
    <s v="Spruce"/>
    <s v="Exterior"/>
    <s v="Under bark and witch hair "/>
    <s v="Unknown"/>
    <n v="63.722270000000002"/>
    <n v="148.98532"/>
    <n v="0"/>
    <n v="0"/>
    <n v="0"/>
    <n v="0"/>
    <n v="0"/>
    <n v="0"/>
    <n v="0"/>
    <m/>
    <m/>
    <m/>
    <m/>
  </r>
  <r>
    <s v="DSCN0705"/>
    <s v="M4R0914_4"/>
    <n v="4"/>
    <n v="1"/>
    <s v="M4Roadside"/>
    <d v="2018-09-14T00:00:00"/>
    <x v="0"/>
    <s v="Fall"/>
    <d v="1899-12-30T00:14:00"/>
    <s v="Mostly sunny"/>
    <s v="unknown"/>
    <s v="Unknown"/>
    <s v="Alder"/>
    <n v="0"/>
    <m/>
    <s v="unknown"/>
    <m/>
    <x v="2"/>
    <x v="2"/>
    <s v="unknown"/>
    <s v="NA"/>
    <m/>
    <m/>
    <m/>
    <s v="NA"/>
    <s v="NA"/>
    <m/>
    <n v="0"/>
    <n v="0"/>
    <n v="0"/>
    <n v="0"/>
    <n v="0"/>
    <n v="0"/>
    <n v="0"/>
    <m/>
    <s v="Unclear if foraging or caching.  Check with jay crew. "/>
    <m/>
    <m/>
  </r>
  <r>
    <s v="DSCN0711"/>
    <s v="M4R0914_5"/>
    <n v="5"/>
    <n v="1"/>
    <s v="M4Roadside"/>
    <d v="2018-09-14T00:00:00"/>
    <x v="0"/>
    <s v="Fall"/>
    <d v="1899-12-30T00:21:00"/>
    <s v="Mostly sunny"/>
    <s v="OB/YS"/>
    <s v="Unknown"/>
    <s v="Spruce"/>
    <s v="unknown"/>
    <m/>
    <s v="unknown"/>
    <m/>
    <x v="2"/>
    <x v="2"/>
    <s v="unknown"/>
    <s v="NA"/>
    <m/>
    <m/>
    <m/>
    <s v="NA"/>
    <s v="NA"/>
    <m/>
    <n v="0"/>
    <n v="0"/>
    <n v="0"/>
    <n v="0"/>
    <n v="0"/>
    <n v="0"/>
    <n v="0"/>
    <m/>
    <s v="Unclear if foraging or caching.  Check with jay crew. "/>
    <m/>
    <m/>
  </r>
  <r>
    <s v="DSCN0715"/>
    <s v="M4R0914_6"/>
    <n v="6"/>
    <n v="1"/>
    <s v="M4Roadside"/>
    <d v="2018-09-14T00:00:00"/>
    <x v="0"/>
    <s v="Fall"/>
    <d v="1899-12-30T00:24:00"/>
    <s v="Mostly sunny"/>
    <s v="OB/YS"/>
    <s v="Food handling"/>
    <s v="Spruce"/>
    <n v="1"/>
    <m/>
    <n v="0"/>
    <m/>
    <x v="3"/>
    <x v="34"/>
    <s v="unknown"/>
    <s v="NA"/>
    <s v="NA"/>
    <s v="NA"/>
    <s v="NA"/>
    <s v="NA"/>
    <s v="NA"/>
    <m/>
    <n v="0"/>
    <n v="0"/>
    <n v="0"/>
    <n v="0"/>
    <n v="0"/>
    <n v="0"/>
    <n v="0"/>
    <m/>
    <s v="Has two blueberries in the bill"/>
    <m/>
    <m/>
  </r>
  <r>
    <s v="DSCN0716"/>
    <s v="M4R0914_7"/>
    <n v="7"/>
    <n v="1"/>
    <s v="M4Roadside"/>
    <d v="2018-09-14T00:00:00"/>
    <x v="0"/>
    <s v="Fall"/>
    <d v="1899-12-30T00:37:00"/>
    <s v="Mostly sunny"/>
    <s v="OB/YS"/>
    <s v="Foraging"/>
    <s v="NA"/>
    <n v="2"/>
    <n v="4"/>
    <s v="unknown"/>
    <m/>
    <x v="3"/>
    <x v="4"/>
    <s v="Ground"/>
    <s v="NA"/>
    <m/>
    <m/>
    <m/>
    <s v="NA"/>
    <s v="NA"/>
    <m/>
    <n v="0"/>
    <n v="0"/>
    <n v="0"/>
    <n v="0"/>
    <n v="10"/>
    <n v="0"/>
    <n v="10"/>
    <m/>
    <s v="DL witnessed it picking up 4 berries.  We orignially marked it as caching B&amp;Ut upon review of the video we decided there was't sufficient evidence of this.  "/>
    <m/>
    <m/>
  </r>
  <r>
    <s v="DSCN0721"/>
    <s v="M4R0914_8"/>
    <n v="8"/>
    <n v="1"/>
    <s v="M4Roadside"/>
    <d v="2018-09-14T00:00:00"/>
    <x v="0"/>
    <s v="Fall"/>
    <d v="1899-12-30T00:11:00"/>
    <s v="Mostly sunny"/>
    <s v="OB/YS"/>
    <s v="Foraging"/>
    <s v="Spruce"/>
    <s v="unknown"/>
    <m/>
    <n v="0"/>
    <m/>
    <x v="1"/>
    <x v="1"/>
    <s v="NA"/>
    <s v="NA"/>
    <s v="NA"/>
    <s v="NA"/>
    <s v="NA"/>
    <s v="NA"/>
    <s v="NA"/>
    <m/>
    <n v="10"/>
    <n v="0"/>
    <n v="10"/>
    <n v="0"/>
    <n v="0"/>
    <n v="0"/>
    <n v="10"/>
    <s v="Unclear from video…too blurry"/>
    <m/>
    <m/>
    <m/>
  </r>
  <r>
    <s v="DSCN0722"/>
    <s v="M4R0914_9"/>
    <n v="9"/>
    <n v="1"/>
    <s v="M4Roadside"/>
    <d v="2018-09-14T00:00:00"/>
    <x v="0"/>
    <s v="Fall"/>
    <d v="1899-12-30T00:29:00"/>
    <s v="Mostly sunny"/>
    <s v="OB/YS"/>
    <s v="Foraging"/>
    <s v="NA"/>
    <n v="0"/>
    <m/>
    <n v="0"/>
    <m/>
    <x v="1"/>
    <x v="1"/>
    <s v="NA"/>
    <s v="NA"/>
    <s v="NA"/>
    <s v="NA"/>
    <s v="NA"/>
    <s v="NA"/>
    <s v="NA"/>
    <m/>
    <n v="0"/>
    <n v="0"/>
    <n v="0"/>
    <n v="0"/>
    <n v="9"/>
    <n v="0"/>
    <n v="9"/>
    <m/>
    <m/>
    <m/>
    <m/>
  </r>
  <r>
    <s v="DSCN0729"/>
    <s v="CC0914_2"/>
    <n v="2"/>
    <n v="1"/>
    <s v="CCAMP"/>
    <d v="2018-09-14T00:00:00"/>
    <x v="0"/>
    <s v="Fall"/>
    <d v="1899-12-30T00:11:00"/>
    <s v="Mostly sunny"/>
    <s v="GR/RS"/>
    <s v="Caching"/>
    <s v="Spruce"/>
    <n v="0"/>
    <m/>
    <n v="1"/>
    <m/>
    <x v="2"/>
    <x v="2"/>
    <s v="NA"/>
    <s v="Exterior spruce branch in witch hair"/>
    <s v="Spruce"/>
    <s v="Exterior"/>
    <s v="Branch under witch hair"/>
    <s v="Unknown"/>
    <n v="63.722520000000003"/>
    <n v="148.95232999999999"/>
    <n v="0"/>
    <n v="0"/>
    <n v="0"/>
    <n v="0"/>
    <n v="0"/>
    <n v="0"/>
    <n v="0"/>
    <m/>
    <m/>
    <m/>
    <m/>
  </r>
  <r>
    <s v="DSCN0730"/>
    <s v="CC0914_3"/>
    <n v="3"/>
    <n v="1"/>
    <s v="CCAMP"/>
    <d v="2018-09-14T00:00:00"/>
    <x v="0"/>
    <s v="Fall"/>
    <d v="1899-12-30T00:35:00"/>
    <s v="Mostly sunny"/>
    <s v="GL/RS"/>
    <s v="Foraging"/>
    <s v="NA"/>
    <s v="unknown"/>
    <m/>
    <n v="0"/>
    <m/>
    <x v="2"/>
    <x v="2"/>
    <s v="NA"/>
    <s v="NA"/>
    <s v="NA"/>
    <s v="NA"/>
    <s v="NA"/>
    <s v="NA"/>
    <s v="NA"/>
    <m/>
    <n v="0"/>
    <n v="0"/>
    <n v="0"/>
    <n v="0"/>
    <n v="18"/>
    <n v="0"/>
    <n v="18"/>
    <m/>
    <m/>
    <m/>
    <m/>
  </r>
  <r>
    <s v="DSCN0733"/>
    <s v="MC0914_1"/>
    <n v="1"/>
    <n v="1"/>
    <s v="Mercantile"/>
    <d v="2018-09-14T00:00:00"/>
    <x v="0"/>
    <s v="Fall"/>
    <d v="1899-12-30T00:38:00"/>
    <s v="Mostly sunny"/>
    <s v="BW/GS"/>
    <s v="Foraging"/>
    <s v="Spruce"/>
    <s v="unknown"/>
    <m/>
    <n v="0"/>
    <m/>
    <x v="2"/>
    <x v="2"/>
    <s v="NA"/>
    <s v="NA"/>
    <s v="NA"/>
    <s v="NA"/>
    <s v="NA"/>
    <s v="NA"/>
    <s v="NA"/>
    <m/>
    <n v="0"/>
    <n v="8"/>
    <n v="0"/>
    <n v="8"/>
    <n v="10"/>
    <n v="0"/>
    <n v="18"/>
    <m/>
    <m/>
    <m/>
    <m/>
  </r>
  <r>
    <s v="DSCN0734"/>
    <s v="MC0914_2"/>
    <n v="2"/>
    <n v="1"/>
    <s v="Mercantile"/>
    <d v="2018-09-14T00:00:00"/>
    <x v="0"/>
    <s v="Fall"/>
    <d v="1899-12-30T00:54:00"/>
    <s v="Mostly sunny"/>
    <s v="WO/OS"/>
    <s v="Foraging"/>
    <s v="Spruce"/>
    <n v="1"/>
    <m/>
    <n v="3"/>
    <s v="Same tree"/>
    <x v="2"/>
    <x v="2"/>
    <s v="Mistletoe baremble"/>
    <s v="Exterior spruce limbs under bark "/>
    <s v="Spruce"/>
    <s v="Exterior"/>
    <s v="Under bark"/>
    <s v="Unknown"/>
    <n v="63.73272"/>
    <n v="148.89931999999999"/>
    <n v="0"/>
    <n v="0"/>
    <n v="0"/>
    <n v="0"/>
    <n v="0"/>
    <n v="0"/>
    <n v="0"/>
    <m/>
    <m/>
    <m/>
    <m/>
  </r>
  <r>
    <s v="DSCN0736"/>
    <s v="MC0914_3"/>
    <n v="3"/>
    <n v="1"/>
    <s v="Mercantile"/>
    <d v="2018-09-14T00:00:00"/>
    <x v="0"/>
    <s v="Fall"/>
    <d v="1899-12-30T00:23:00"/>
    <s v="Mostly sunny"/>
    <s v="WO/OS"/>
    <s v="Foraging"/>
    <s v="Spruce"/>
    <n v="1"/>
    <m/>
    <n v="0"/>
    <m/>
    <x v="2"/>
    <x v="2"/>
    <s v="Ground"/>
    <s v="NA"/>
    <s v="NA"/>
    <s v="NA"/>
    <s v="NA"/>
    <s v="NA"/>
    <s v="NA"/>
    <m/>
    <n v="0"/>
    <n v="0"/>
    <n v="0"/>
    <n v="0"/>
    <n v="0"/>
    <n v="0"/>
    <n v="0"/>
    <m/>
    <s v="Missed food acquisition on film"/>
    <m/>
    <m/>
  </r>
  <r>
    <s v="DSCN0739"/>
    <s v="MC0914_4"/>
    <n v="4"/>
    <n v="1"/>
    <s v="Mercantile"/>
    <d v="2018-09-14T00:00:00"/>
    <x v="0"/>
    <s v="Fall"/>
    <d v="1899-12-30T00:59:00"/>
    <s v="Mostly sunny"/>
    <s v="BW/GS"/>
    <s v="Food handling/caching"/>
    <s v="Spruce"/>
    <n v="1"/>
    <m/>
    <n v="2"/>
    <s v="Same tree"/>
    <x v="7"/>
    <x v="14"/>
    <s v="unknown"/>
    <s v="Exterior spruce branch under bark/witch hair"/>
    <s v="Spruce"/>
    <s v="Exterior"/>
    <s v="Under bark and witch hair "/>
    <s v="Unknown"/>
    <n v="63.732939999999999"/>
    <n v="148.90082000000001"/>
    <n v="0"/>
    <n v="0"/>
    <n v="0"/>
    <n v="0"/>
    <n v="0"/>
    <n v="0"/>
    <n v="0"/>
    <m/>
    <m/>
    <m/>
    <m/>
  </r>
  <r>
    <s v="DSCN0739"/>
    <s v="MC0914_4"/>
    <n v="4"/>
    <n v="2"/>
    <s v="Mercantile"/>
    <d v="2018-09-14T00:00:00"/>
    <x v="0"/>
    <s v="Fall"/>
    <d v="1899-12-30T00:59:00"/>
    <s v="Mostly sunny"/>
    <s v="BW/GS"/>
    <s v="Food handling/caching"/>
    <s v="Spruce"/>
    <n v="0"/>
    <m/>
    <n v="1"/>
    <m/>
    <x v="7"/>
    <x v="14"/>
    <s v="unknown"/>
    <s v="Exterior spruce branch under bark/witch hair"/>
    <s v="Spruce"/>
    <s v="Exterior"/>
    <s v="Under bark and witch hair "/>
    <s v="Unknown"/>
    <n v="63.732930000000003"/>
    <n v="148.90075999999999"/>
    <n v="0"/>
    <n v="0"/>
    <n v="0"/>
    <n v="0"/>
    <n v="0"/>
    <n v="0"/>
    <n v="0"/>
    <m/>
    <m/>
    <m/>
    <m/>
  </r>
  <r>
    <s v="DSCN0742"/>
    <s v="MC0914_5"/>
    <n v="5"/>
    <n v="1"/>
    <s v="Mercantile"/>
    <d v="2018-09-14T00:00:00"/>
    <x v="0"/>
    <s v="Fall"/>
    <d v="1899-12-30T00:12:00"/>
    <s v="Mostly sunny"/>
    <s v="BW/GS"/>
    <s v="Foraging"/>
    <s v="NA"/>
    <n v="1"/>
    <m/>
    <n v="0"/>
    <m/>
    <x v="2"/>
    <x v="35"/>
    <s v="Ground"/>
    <s v="NA"/>
    <s v="NA"/>
    <s v="NA"/>
    <s v="NA"/>
    <s v="NA"/>
    <s v="NA"/>
    <m/>
    <n v="0"/>
    <n v="0"/>
    <n v="0"/>
    <n v="0"/>
    <n v="0"/>
    <n v="0"/>
    <n v="0"/>
    <m/>
    <m/>
    <m/>
    <m/>
  </r>
  <r>
    <s v="DSCN0747"/>
    <s v="M4R0907_2"/>
    <n v="2"/>
    <n v="1"/>
    <s v="M4Roadside"/>
    <d v="2018-09-07T00:00:00"/>
    <x v="0"/>
    <s v="Fall"/>
    <d v="1899-12-30T00:22:00"/>
    <s v="Overcast"/>
    <s v="YO/BS"/>
    <s v="Foraging"/>
    <s v="Spruce"/>
    <s v="unknown"/>
    <m/>
    <n v="0"/>
    <m/>
    <x v="2"/>
    <x v="2"/>
    <s v="NA"/>
    <s v="NA"/>
    <s v="NA"/>
    <s v="NA"/>
    <s v="NA"/>
    <s v="NA"/>
    <s v="NA"/>
    <m/>
    <n v="11"/>
    <n v="0"/>
    <n v="0"/>
    <n v="11"/>
    <n v="0"/>
    <n v="0"/>
    <n v="11"/>
    <m/>
    <m/>
    <m/>
    <m/>
  </r>
  <r>
    <s v="DSCN0749"/>
    <s v="WW0915_1"/>
    <n v="1"/>
    <n v="1"/>
    <s v="WAC West"/>
    <d v="2018-09-15T00:00:00"/>
    <x v="0"/>
    <s v="Fall"/>
    <d v="1899-12-30T01:15:00"/>
    <s v="Mostly sunny"/>
    <s v="BP/PS"/>
    <s v="Caching"/>
    <s v="Spruce"/>
    <n v="0"/>
    <m/>
    <n v="1"/>
    <m/>
    <x v="2"/>
    <x v="2"/>
    <s v="NA"/>
    <s v="Spruce trunk under bark"/>
    <s v="Spruce"/>
    <s v="Trunk"/>
    <s v="Under bark"/>
    <s v="Unknown"/>
    <n v="63.738419999999998"/>
    <n v="148.90466000000001"/>
    <n v="0"/>
    <n v="0"/>
    <n v="0"/>
    <n v="0"/>
    <n v="0"/>
    <n v="0"/>
    <n v="0"/>
    <m/>
    <s v="We decided the first 10sec were looking for a place to cache rather than foraging.  "/>
    <m/>
    <m/>
  </r>
  <r>
    <s v="DSCN0750"/>
    <s v="WW0915_2"/>
    <n v="2"/>
    <n v="1"/>
    <s v="WAC West"/>
    <d v="2018-09-15T00:00:00"/>
    <x v="0"/>
    <s v="Fall"/>
    <d v="1899-12-30T00:19:00"/>
    <s v="Mostly sunny"/>
    <s v="BP/PS"/>
    <s v="Foraging/caching"/>
    <s v="Spruce"/>
    <n v="1"/>
    <n v="3"/>
    <n v="1"/>
    <m/>
    <x v="3"/>
    <x v="4"/>
    <s v="Ground"/>
    <s v="Interior spruce foliage "/>
    <s v="Spruce"/>
    <s v="Interior"/>
    <s v="Foliage"/>
    <s v="Unknown"/>
    <n v="63.738860000000003"/>
    <n v="148.90303"/>
    <n v="0"/>
    <n v="0"/>
    <n v="0"/>
    <n v="0"/>
    <n v="5"/>
    <n v="0"/>
    <n v="5"/>
    <m/>
    <m/>
    <m/>
    <m/>
  </r>
  <r>
    <s v="DSCN0751"/>
    <s v="WW0915_3"/>
    <n v="3"/>
    <n v="1"/>
    <s v="WAC West"/>
    <d v="2018-09-15T00:00:00"/>
    <x v="0"/>
    <s v="Fall"/>
    <d v="1899-12-30T00:49:00"/>
    <s v="Mostly sunny"/>
    <s v="BP/PS"/>
    <s v="Foraging"/>
    <s v="Spruce"/>
    <n v="2"/>
    <s v="2 in one, 4 in second"/>
    <n v="1"/>
    <m/>
    <x v="3"/>
    <x v="4"/>
    <s v="Ground"/>
    <s v="Interior spruce foliage "/>
    <s v="Spruce"/>
    <s v="Interior"/>
    <s v="Foliage"/>
    <s v="Unknown"/>
    <n v="63.738280000000003"/>
    <n v="148.89919"/>
    <n v="0"/>
    <n v="0"/>
    <n v="0"/>
    <n v="0"/>
    <n v="27"/>
    <n v="0"/>
    <n v="27"/>
    <m/>
    <m/>
    <m/>
    <m/>
  </r>
  <r>
    <s v="DSCN0755"/>
    <s v="WW0915_4"/>
    <n v="4"/>
    <n v="1"/>
    <s v="WAC West"/>
    <d v="2018-09-15T00:00:00"/>
    <x v="0"/>
    <s v="Fall"/>
    <d v="1899-12-30T00:44:00"/>
    <s v="Mostly sunny"/>
    <s v="BP/PS"/>
    <s v="Foraging"/>
    <s v="Spruce"/>
    <n v="1"/>
    <m/>
    <n v="0"/>
    <m/>
    <x v="2"/>
    <x v="2"/>
    <s v="Spruce trunk"/>
    <s v="NA"/>
    <s v="NA"/>
    <s v="NA"/>
    <s v="NA"/>
    <s v="NA"/>
    <s v="NA"/>
    <m/>
    <n v="17"/>
    <n v="0"/>
    <n v="17"/>
    <n v="0"/>
    <n v="0"/>
    <n v="0"/>
    <n v="17"/>
    <m/>
    <m/>
    <m/>
    <m/>
  </r>
  <r>
    <s v="DSCN0765"/>
    <s v="B&amp;U0915_1"/>
    <n v="1"/>
    <n v="1"/>
    <s v="B&amp;U"/>
    <d v="2018-09-15T00:00:00"/>
    <x v="0"/>
    <s v="Fall"/>
    <d v="1899-12-30T00:13:00"/>
    <s v="Mostly sunny"/>
    <s v="GR/PS"/>
    <s v="Caching"/>
    <s v="Spruce"/>
    <s v="NA"/>
    <m/>
    <n v="1"/>
    <m/>
    <x v="6"/>
    <x v="13"/>
    <s v="NA"/>
    <s v="Interior spruce foliage"/>
    <s v="Spruce"/>
    <s v="Interior"/>
    <s v="Foliage"/>
    <n v="19"/>
    <n v="63.724809999999998"/>
    <n v="148.95639"/>
    <n v="0"/>
    <n v="0"/>
    <n v="0"/>
    <n v="0"/>
    <n v="0"/>
    <n v="0"/>
    <n v="0"/>
    <m/>
    <s v="Foraging and caching off dead hare carcass (mostly entrails)"/>
    <m/>
    <m/>
  </r>
  <r>
    <s v="DSCN0766"/>
    <s v="B&amp;U0915_2"/>
    <n v="2"/>
    <n v="1"/>
    <s v="B&amp;U"/>
    <d v="2018-09-15T00:00:00"/>
    <x v="0"/>
    <s v="Fall"/>
    <d v="1899-12-30T00:04:00"/>
    <s v="Mostly sunny"/>
    <s v="GR/PS"/>
    <s v="Foraging"/>
    <s v="NA"/>
    <n v="1"/>
    <m/>
    <n v="0"/>
    <m/>
    <x v="6"/>
    <x v="13"/>
    <s v="Ground"/>
    <s v="NA"/>
    <s v="NA"/>
    <s v="NA"/>
    <s v="NA"/>
    <s v="NA"/>
    <s v="NA"/>
    <m/>
    <n v="0"/>
    <n v="0"/>
    <n v="0"/>
    <n v="0"/>
    <n v="0"/>
    <n v="0"/>
    <n v="0"/>
    <m/>
    <s v="Foraging and caching off dead hare carcass (mostly entrails)"/>
    <m/>
    <m/>
  </r>
  <r>
    <s v="DSCN0769"/>
    <s v="B&amp;U0915_13"/>
    <n v="13"/>
    <n v="1"/>
    <s v="B&amp;U"/>
    <d v="2018-09-15T00:00:00"/>
    <x v="0"/>
    <s v="Fall"/>
    <d v="1899-12-30T00:41:00"/>
    <s v="Mostly sunny"/>
    <s v="unknown"/>
    <s v="Foraging"/>
    <s v="NA"/>
    <n v="1"/>
    <m/>
    <n v="0"/>
    <m/>
    <x v="3"/>
    <x v="12"/>
    <s v="Ground"/>
    <s v="NA"/>
    <s v="NA"/>
    <s v="NA"/>
    <s v="NA"/>
    <s v="NA"/>
    <s v="NA"/>
    <m/>
    <n v="0"/>
    <n v="0"/>
    <n v="0"/>
    <n v="0"/>
    <n v="24"/>
    <n v="0"/>
    <n v="24"/>
    <m/>
    <m/>
    <m/>
    <m/>
  </r>
  <r>
    <s v="DSCN0769"/>
    <s v="B&amp;U0915_13"/>
    <n v="13"/>
    <n v="2"/>
    <s v="B&amp;U"/>
    <d v="2018-09-15T00:00:00"/>
    <x v="0"/>
    <s v="Fall"/>
    <d v="1899-12-30T00:41:00"/>
    <s v="Mostly sunny"/>
    <s v="unknown"/>
    <s v="Foraging"/>
    <s v="NA"/>
    <n v="1"/>
    <m/>
    <n v="0"/>
    <m/>
    <x v="2"/>
    <x v="2"/>
    <s v="Ground"/>
    <s v="NA"/>
    <s v="NA"/>
    <s v="NA"/>
    <s v="NA"/>
    <s v="NA"/>
    <s v="NA"/>
    <m/>
    <n v="0"/>
    <n v="0"/>
    <n v="0"/>
    <n v="0"/>
    <n v="0"/>
    <n v="0"/>
    <n v="0"/>
    <m/>
    <m/>
    <m/>
    <m/>
  </r>
  <r>
    <s v="DSCN0771"/>
    <s v="B&amp;U0915_3"/>
    <n v="3"/>
    <n v="1"/>
    <s v="B&amp;U"/>
    <d v="2018-09-15T00:00:00"/>
    <x v="0"/>
    <s v="Fall"/>
    <d v="1899-12-30T00:39:00"/>
    <s v="Mostly sunny"/>
    <s v="unknown"/>
    <s v="Foraging"/>
    <s v="Spruce"/>
    <n v="1"/>
    <m/>
    <n v="1"/>
    <m/>
    <x v="6"/>
    <x v="13"/>
    <s v="Ground"/>
    <s v="Interior bare spruce branch"/>
    <s v="Spruce"/>
    <s v="Interior"/>
    <s v="Branch"/>
    <n v="17"/>
    <n v="63.72486"/>
    <n v="148.95638"/>
    <n v="0"/>
    <n v="0"/>
    <n v="0"/>
    <n v="0"/>
    <n v="0"/>
    <n v="0"/>
    <n v="0"/>
    <m/>
    <s v="Foraging and caching off dead hare carcass (mostly entrails)"/>
    <m/>
    <m/>
  </r>
  <r>
    <s v="DSCN0777"/>
    <s v="B&amp;U0915_4"/>
    <n v="4"/>
    <n v="1"/>
    <s v="B&amp;U"/>
    <d v="2018-09-15T00:00:00"/>
    <x v="0"/>
    <s v="Fall"/>
    <d v="1899-12-30T00:23:00"/>
    <s v="Mostly sunny"/>
    <s v="GR/PS"/>
    <s v="Foraging"/>
    <s v="NA"/>
    <n v="1"/>
    <m/>
    <n v="0"/>
    <m/>
    <x v="6"/>
    <x v="13"/>
    <s v="Ground"/>
    <s v="NA"/>
    <s v="NA"/>
    <s v="NA"/>
    <s v="NA"/>
    <s v="NA"/>
    <s v="NA"/>
    <m/>
    <n v="0"/>
    <n v="0"/>
    <n v="0"/>
    <n v="0"/>
    <n v="0"/>
    <n v="0"/>
    <n v="0"/>
    <m/>
    <s v="Foraging and caching off dead hare carcass (mostly entrails)"/>
    <m/>
    <m/>
  </r>
  <r>
    <s v="DSCN0777"/>
    <s v="B&amp;U0915_4"/>
    <n v="4"/>
    <n v="2"/>
    <s v="B&amp;U"/>
    <d v="2018-09-15T00:00:00"/>
    <x v="0"/>
    <s v="Fall"/>
    <d v="1899-12-30T00:23:00"/>
    <s v="Mostly sunny"/>
    <s v="WP/BS"/>
    <s v="Foraging"/>
    <s v="NA"/>
    <n v="1"/>
    <m/>
    <n v="0"/>
    <m/>
    <x v="6"/>
    <x v="13"/>
    <s v="Ground"/>
    <s v="NA"/>
    <s v="NA"/>
    <s v="NA"/>
    <s v="NA"/>
    <s v="NA"/>
    <s v="NA"/>
    <m/>
    <n v="0"/>
    <n v="0"/>
    <n v="0"/>
    <n v="0"/>
    <n v="0"/>
    <n v="0"/>
    <n v="0"/>
    <m/>
    <s v="Foraging and caching off dead hare carcass (mostly entrails)"/>
    <m/>
    <m/>
  </r>
  <r>
    <s v="DSCN0778"/>
    <s v="B&amp;U0915_5"/>
    <n v="5"/>
    <n v="1"/>
    <s v="B&amp;U"/>
    <d v="2018-09-15T00:00:00"/>
    <x v="0"/>
    <s v="Fall"/>
    <d v="1899-12-30T00:06:00"/>
    <s v="Mostly sunny"/>
    <s v="GR/PS"/>
    <s v="Food handling"/>
    <s v="Spruce"/>
    <n v="1"/>
    <m/>
    <n v="0"/>
    <m/>
    <x v="6"/>
    <x v="13"/>
    <s v="NA"/>
    <s v="NA"/>
    <s v="NA"/>
    <s v="NA"/>
    <s v="NA"/>
    <s v="NA"/>
    <s v="NA"/>
    <m/>
    <n v="0"/>
    <n v="0"/>
    <n v="0"/>
    <n v="0"/>
    <n v="0"/>
    <n v="0"/>
    <n v="0"/>
    <m/>
    <s v="Processing hare in tree"/>
    <m/>
    <m/>
  </r>
  <r>
    <s v="DSCN0779"/>
    <s v="B&amp;U0915_6"/>
    <n v="6"/>
    <n v="1"/>
    <s v="B&amp;U"/>
    <d v="2018-09-15T00:00:00"/>
    <x v="0"/>
    <s v="Fall"/>
    <d v="1899-12-30T00:04:00"/>
    <s v="Mostly sunny"/>
    <s v="GR/PS"/>
    <s v="Caching"/>
    <s v="Spruce"/>
    <n v="0"/>
    <m/>
    <n v="1"/>
    <m/>
    <x v="6"/>
    <x v="13"/>
    <s v="NA"/>
    <s v="Interior top of spruce in foliage."/>
    <s v="Spruce"/>
    <s v="Interior"/>
    <s v="Foliage"/>
    <n v="3"/>
    <n v="63.72486"/>
    <n v="148.95665"/>
    <n v="0"/>
    <n v="0"/>
    <n v="0"/>
    <n v="0"/>
    <n v="0"/>
    <n v="0"/>
    <n v="0"/>
    <m/>
    <m/>
    <m/>
    <m/>
  </r>
  <r>
    <s v="DSCN0783"/>
    <s v="B&amp;U0915_7"/>
    <n v="7"/>
    <n v="1"/>
    <s v="B&amp;U"/>
    <d v="2018-09-15T00:00:00"/>
    <x v="0"/>
    <s v="Fall"/>
    <d v="1899-12-30T01:18:00"/>
    <s v="Mostly sunny"/>
    <s v="GR/PS"/>
    <s v="Looking for a place to cache"/>
    <s v="Spruce"/>
    <n v="0"/>
    <m/>
    <n v="0"/>
    <m/>
    <x v="6"/>
    <x v="13"/>
    <s v="NA"/>
    <s v="NA"/>
    <s v="NA"/>
    <s v="NA"/>
    <s v="NA"/>
    <s v="NA"/>
    <s v="NA"/>
    <m/>
    <n v="0"/>
    <n v="0"/>
    <n v="0"/>
    <n v="0"/>
    <n v="0"/>
    <n v="0"/>
    <n v="0"/>
    <m/>
    <m/>
    <m/>
    <m/>
  </r>
  <r>
    <s v="DSCN0784"/>
    <s v="B&amp;U0915_8"/>
    <n v="8"/>
    <n v="1"/>
    <s v="B&amp;U"/>
    <d v="2018-09-15T00:00:00"/>
    <x v="0"/>
    <s v="Fall"/>
    <d v="1899-12-30T00:52:00"/>
    <s v="Mostly sunny"/>
    <s v="GR/PS"/>
    <s v="Foraging"/>
    <s v="NA"/>
    <s v="unknown"/>
    <m/>
    <n v="0"/>
    <m/>
    <x v="1"/>
    <x v="1"/>
    <s v="NA"/>
    <s v="NA"/>
    <s v="NA"/>
    <s v="NA"/>
    <s v="NA"/>
    <s v="NA"/>
    <s v="NA"/>
    <m/>
    <n v="0"/>
    <n v="0"/>
    <n v="0"/>
    <n v="0"/>
    <n v="47"/>
    <n v="0"/>
    <n v="47"/>
    <m/>
    <m/>
    <m/>
    <m/>
  </r>
  <r>
    <s v="DSCN0786"/>
    <s v="B&amp;U0915_9"/>
    <n v="9"/>
    <n v="1"/>
    <s v="B&amp;U"/>
    <d v="2018-09-15T00:00:00"/>
    <x v="0"/>
    <s v="Fall"/>
    <d v="1899-12-30T00:56:00"/>
    <s v="Mostly sunny"/>
    <s v="GR/PS"/>
    <s v="Foraging/caching"/>
    <s v="Spruce"/>
    <n v="3"/>
    <m/>
    <n v="1"/>
    <m/>
    <x v="6"/>
    <x v="13"/>
    <s v="Ground"/>
    <s v="Interior bare spruce branch under bark"/>
    <s v="Spruce"/>
    <s v="Interior"/>
    <s v="Branch under bark"/>
    <n v="2"/>
    <n v="63.724910000000001"/>
    <n v="148.95679000000001"/>
    <n v="0"/>
    <n v="0"/>
    <n v="0"/>
    <n v="0"/>
    <n v="0"/>
    <n v="0"/>
    <n v="0"/>
    <m/>
    <m/>
    <m/>
    <m/>
  </r>
  <r>
    <s v="DSCN0789"/>
    <s v="B&amp;U0915_10"/>
    <n v="10"/>
    <n v="1"/>
    <s v="B&amp;U"/>
    <d v="2018-09-15T00:00:00"/>
    <x v="0"/>
    <s v="Fall"/>
    <d v="1899-12-30T00:18:00"/>
    <s v="Mostly sunny"/>
    <s v="unknown"/>
    <s v="Caching"/>
    <s v="Spruce"/>
    <n v="0"/>
    <m/>
    <n v="1"/>
    <m/>
    <x v="2"/>
    <x v="2"/>
    <s v="unknown"/>
    <s v="Spruce trunk under bark"/>
    <s v="Spruce"/>
    <s v="Trunk"/>
    <s v="Under bark"/>
    <s v="Unknown"/>
    <n v="63.72484"/>
    <n v="148.95616000000001"/>
    <n v="0"/>
    <n v="0"/>
    <n v="0"/>
    <n v="0"/>
    <n v="0"/>
    <n v="0"/>
    <n v="0"/>
    <m/>
    <m/>
    <m/>
    <m/>
  </r>
  <r>
    <s v="DSCN0791"/>
    <s v="B&amp;U0915_11"/>
    <n v="11"/>
    <n v="1"/>
    <s v="B&amp;U"/>
    <d v="2018-09-15T00:00:00"/>
    <x v="0"/>
    <s v="Fall"/>
    <d v="1899-12-30T00:29:00"/>
    <s v="Mostly sunny"/>
    <s v="GR/PS"/>
    <s v="Forgaing"/>
    <s v="NA"/>
    <n v="1"/>
    <m/>
    <n v="0"/>
    <m/>
    <x v="6"/>
    <x v="13"/>
    <s v="Ground"/>
    <s v="NA"/>
    <s v="NA"/>
    <s v="NA"/>
    <s v="NA"/>
    <s v="NA"/>
    <s v="NA"/>
    <m/>
    <n v="0"/>
    <n v="0"/>
    <n v="0"/>
    <n v="0"/>
    <n v="0"/>
    <n v="0"/>
    <n v="0"/>
    <m/>
    <s v="Eating from hare"/>
    <m/>
    <m/>
  </r>
  <r>
    <s v="DSCN0793"/>
    <s v="B&amp;U0915_12"/>
    <n v="12"/>
    <n v="1"/>
    <s v="B&amp;U"/>
    <d v="2018-09-15T00:00:00"/>
    <x v="0"/>
    <s v="Fall"/>
    <d v="1899-12-30T00:40:00"/>
    <s v="Mostly sunny"/>
    <s v="GR/PS"/>
    <s v="Foraging"/>
    <s v="NA"/>
    <s v="unknown"/>
    <m/>
    <n v="0"/>
    <m/>
    <x v="1"/>
    <x v="1"/>
    <s v="NA"/>
    <s v="NA"/>
    <s v="NA"/>
    <s v="NA"/>
    <s v="NA"/>
    <s v="NA"/>
    <s v="NA"/>
    <m/>
    <n v="0"/>
    <n v="0"/>
    <n v="0"/>
    <n v="0"/>
    <n v="23"/>
    <n v="0"/>
    <n v="23"/>
    <m/>
    <m/>
    <m/>
    <m/>
  </r>
  <r>
    <s v="DSCN0797"/>
    <s v="B&amp;U0915_14"/>
    <n v="14"/>
    <n v="1"/>
    <s v="B&amp;U"/>
    <d v="2018-09-15T00:00:00"/>
    <x v="0"/>
    <s v="Fall"/>
    <d v="1899-12-30T00:29:00"/>
    <s v="Mostly sunny"/>
    <s v="WP/BS"/>
    <s v="Foraging"/>
    <s v="NA"/>
    <s v="unknown"/>
    <m/>
    <n v="0"/>
    <m/>
    <x v="2"/>
    <x v="2"/>
    <s v="NA"/>
    <s v="NA"/>
    <s v="NA"/>
    <s v="NA"/>
    <s v="NA"/>
    <s v="NA"/>
    <s v="NA"/>
    <m/>
    <n v="0"/>
    <n v="0"/>
    <n v="0"/>
    <n v="0"/>
    <n v="23"/>
    <n v="0"/>
    <n v="23"/>
    <m/>
    <m/>
    <m/>
    <m/>
  </r>
  <r>
    <s v="DSCN0798"/>
    <s v="B&amp;U0915_15"/>
    <n v="15"/>
    <n v="1"/>
    <s v="B&amp;U"/>
    <d v="2018-09-15T00:00:00"/>
    <x v="0"/>
    <s v="Fall"/>
    <d v="1899-12-30T00:26:00"/>
    <s v="Mostly sunny"/>
    <s v="WP/BS"/>
    <s v="Foraging"/>
    <s v="NA"/>
    <s v="unknown"/>
    <m/>
    <n v="0"/>
    <m/>
    <x v="2"/>
    <x v="2"/>
    <s v="NA"/>
    <s v="NA"/>
    <s v="NA"/>
    <s v="NA"/>
    <s v="NA"/>
    <s v="NA"/>
    <s v="NA"/>
    <m/>
    <n v="0"/>
    <n v="0"/>
    <n v="0"/>
    <n v="0"/>
    <n v="5"/>
    <n v="0"/>
    <n v="5"/>
    <m/>
    <m/>
    <m/>
    <m/>
  </r>
  <r>
    <s v="DSCN0800"/>
    <s v="B&amp;U0915_16"/>
    <n v="16"/>
    <n v="1"/>
    <s v="B&amp;U"/>
    <d v="2018-09-15T00:00:00"/>
    <x v="0"/>
    <s v="Fall"/>
    <d v="1899-12-30T00:39:00"/>
    <s v="Mostly sunny"/>
    <s v="unknown"/>
    <s v="Foraging"/>
    <s v="NA"/>
    <n v="1"/>
    <m/>
    <n v="0"/>
    <m/>
    <x v="2"/>
    <x v="2"/>
    <s v="Ground"/>
    <s v="NA"/>
    <s v="NA"/>
    <s v="NA"/>
    <s v="NA"/>
    <s v="NA"/>
    <s v="NA"/>
    <m/>
    <n v="0"/>
    <n v="0"/>
    <n v="0"/>
    <n v="0"/>
    <n v="16"/>
    <n v="0"/>
    <n v="16"/>
    <m/>
    <m/>
    <m/>
    <m/>
  </r>
  <r>
    <s v="DSCN0801"/>
    <s v="B&amp;U0915_17"/>
    <n v="17"/>
    <n v="1"/>
    <s v="B&amp;U"/>
    <d v="2018-09-15T00:00:00"/>
    <x v="0"/>
    <s v="Fall"/>
    <d v="1899-12-30T02:39:00"/>
    <s v="Mostly sunny"/>
    <s v="WP/BS"/>
    <s v="Foraging"/>
    <s v="NA"/>
    <n v="2"/>
    <m/>
    <n v="0"/>
    <m/>
    <x v="2"/>
    <x v="2"/>
    <s v="Ground"/>
    <s v="NA"/>
    <s v="NA"/>
    <s v="NA"/>
    <s v="NA"/>
    <s v="NA"/>
    <s v="NA"/>
    <m/>
    <n v="0"/>
    <n v="0"/>
    <n v="0"/>
    <n v="0"/>
    <n v="13"/>
    <n v="0"/>
    <n v="13"/>
    <m/>
    <m/>
    <m/>
    <m/>
  </r>
  <r>
    <s v="DSCN0803"/>
    <s v="B&amp;U0915_18"/>
    <n v="18"/>
    <n v="1"/>
    <s v="B&amp;U"/>
    <d v="2018-09-15T00:00:00"/>
    <x v="0"/>
    <s v="Fall"/>
    <d v="1899-12-30T00:57:00"/>
    <s v="Mostly sunny"/>
    <s v="WP/BS"/>
    <s v="Caching"/>
    <s v="Spruce"/>
    <n v="0"/>
    <m/>
    <n v="2"/>
    <s v="Same tree"/>
    <x v="2"/>
    <x v="2"/>
    <s v="unknown"/>
    <s v="Exterior spruce branch under bark/witch hair"/>
    <s v="Spruce"/>
    <s v="Exterior"/>
    <s v="Under bark and witch hair "/>
    <s v="Unknown"/>
    <n v="63.725320000000004"/>
    <n v="148.95212000000001"/>
    <n v="0"/>
    <n v="0"/>
    <n v="0"/>
    <n v="0"/>
    <n v="0"/>
    <n v="0"/>
    <n v="0"/>
    <m/>
    <m/>
    <m/>
    <m/>
  </r>
  <r>
    <s v="DSCN0807"/>
    <s v="B&amp;U0915_19"/>
    <n v="19"/>
    <n v="1"/>
    <s v="B&amp;U"/>
    <d v="2018-09-15T00:00:00"/>
    <x v="0"/>
    <s v="Fall"/>
    <d v="1899-12-30T00:07:00"/>
    <s v="Mostly sunny"/>
    <s v="GR/PS"/>
    <s v="Foraging"/>
    <s v="NA"/>
    <n v="1"/>
    <m/>
    <n v="0"/>
    <m/>
    <x v="2"/>
    <x v="2"/>
    <s v="Ground"/>
    <s v="NA"/>
    <s v="NA"/>
    <s v="NA"/>
    <s v="NA"/>
    <s v="NA"/>
    <s v="NA"/>
    <m/>
    <n v="0"/>
    <n v="0"/>
    <n v="0"/>
    <n v="0"/>
    <n v="0"/>
    <n v="0"/>
    <n v="0"/>
    <m/>
    <s v="Did not catch actual foraging on video.  "/>
    <m/>
    <m/>
  </r>
  <r>
    <s v="DSCN0807"/>
    <s v="B&amp;U0915_20"/>
    <n v="20"/>
    <n v="1"/>
    <s v="B&amp;U"/>
    <d v="2018-09-15T00:00:00"/>
    <x v="0"/>
    <s v="Fall"/>
    <d v="1899-12-30T00:22:00"/>
    <s v="Mostly sunny"/>
    <s v="GR/PS"/>
    <s v="Caching"/>
    <s v="Spruce"/>
    <n v="0"/>
    <m/>
    <n v="1"/>
    <m/>
    <x v="3"/>
    <x v="4"/>
    <s v="NA"/>
    <s v="Interior tucked in foliage"/>
    <s v="Spruce"/>
    <s v="Interior"/>
    <s v="Foliage"/>
    <s v="Unknown"/>
    <n v="63.725749999999998"/>
    <n v="148.95331999999999"/>
    <n v="0"/>
    <n v="0"/>
    <n v="0"/>
    <n v="0"/>
    <n v="0"/>
    <n v="0"/>
    <n v="0"/>
    <m/>
    <m/>
    <m/>
    <m/>
  </r>
  <r>
    <s v="DSCN0810"/>
    <s v="M4R0916_1"/>
    <n v="1"/>
    <n v="1"/>
    <s v="M4Roadside"/>
    <d v="2018-09-16T00:00:00"/>
    <x v="0"/>
    <s v="Fall"/>
    <d v="1899-12-30T00:47:00"/>
    <s v="Overcast"/>
    <s v="OB/YS"/>
    <s v="Foraging"/>
    <s v="Spruce"/>
    <s v="unknown"/>
    <m/>
    <n v="0"/>
    <m/>
    <x v="2"/>
    <x v="2"/>
    <s v="NA"/>
    <s v="NA"/>
    <s v="NA"/>
    <s v="NA"/>
    <s v="NA"/>
    <s v="NA"/>
    <s v="NA"/>
    <m/>
    <n v="13"/>
    <n v="0"/>
    <n v="13"/>
    <n v="0"/>
    <n v="0"/>
    <n v="0"/>
    <n v="13"/>
    <s v="Too blocked to tell"/>
    <m/>
    <m/>
    <m/>
  </r>
  <r>
    <s v="DSCN0811"/>
    <s v="M4R0916_2"/>
    <n v="2"/>
    <n v="1"/>
    <s v="M4Roadside"/>
    <d v="2018-09-16T00:00:00"/>
    <x v="0"/>
    <s v="Fall"/>
    <d v="1899-12-30T00:28:00"/>
    <s v="Overcast"/>
    <s v="OB/YS"/>
    <s v="Foraging/caching"/>
    <s v="Spruce"/>
    <n v="1"/>
    <m/>
    <n v="1"/>
    <m/>
    <x v="2"/>
    <x v="2"/>
    <s v="Exterior foliated spruce"/>
    <s v="Exterior bare spruce branch"/>
    <s v="Spruce"/>
    <s v="Exterior"/>
    <s v="Branch"/>
    <s v="Unknown"/>
    <n v="63.722729999999999"/>
    <n v="148.98305999999999"/>
    <n v="0"/>
    <n v="0"/>
    <n v="0"/>
    <n v="0"/>
    <n v="0"/>
    <n v="0"/>
    <n v="0"/>
    <m/>
    <s v="Only got food acquisition on tape, not foraging.  "/>
    <m/>
    <m/>
  </r>
  <r>
    <s v="DSCN0815"/>
    <s v="M4R0916_3"/>
    <n v="3"/>
    <n v="1"/>
    <s v="M4Roadside"/>
    <d v="2018-09-16T00:00:00"/>
    <x v="0"/>
    <s v="Fall"/>
    <d v="1899-12-30T00:15:00"/>
    <s v="Overcast"/>
    <s v="unknown"/>
    <s v="Foraging/caching"/>
    <s v="Spruce"/>
    <n v="1"/>
    <m/>
    <n v="1"/>
    <m/>
    <x v="2"/>
    <x v="20"/>
    <s v="Exterior foliated spruce"/>
    <s v="Exterior spruce foliage"/>
    <s v="Spruce"/>
    <s v="Exterior"/>
    <s v="Foliage"/>
    <s v="Unknown"/>
    <s v="Did not mark (did not recognize as cache while in field)"/>
    <m/>
    <n v="0"/>
    <n v="0"/>
    <n v="0"/>
    <n v="0"/>
    <n v="0"/>
    <n v="0"/>
    <n v="0"/>
    <m/>
    <m/>
    <m/>
    <m/>
  </r>
  <r>
    <s v="DSCN0817"/>
    <s v="M4E0916_1"/>
    <n v="1"/>
    <n v="1"/>
    <s v="Mile 4 East "/>
    <d v="2018-09-16T00:00:00"/>
    <x v="0"/>
    <s v="Fall"/>
    <d v="1899-12-30T00:13:00"/>
    <s v="Overcast"/>
    <s v="GP/BS"/>
    <s v="Foraging"/>
    <s v="Spruce"/>
    <n v="1"/>
    <m/>
    <n v="0"/>
    <m/>
    <x v="2"/>
    <x v="2"/>
    <s v="Interior top of spruce tree"/>
    <s v="NA"/>
    <s v="NA"/>
    <s v="NA"/>
    <s v="NA"/>
    <s v="NA"/>
    <s v="NA"/>
    <m/>
    <n v="0"/>
    <n v="2"/>
    <n v="2"/>
    <n v="0"/>
    <n v="0"/>
    <n v="0"/>
    <n v="2"/>
    <m/>
    <m/>
    <m/>
    <m/>
  </r>
  <r>
    <s v="DSCN0820"/>
    <s v="M3.50916_1"/>
    <n v="1"/>
    <n v="1"/>
    <s v="Mile 3.5"/>
    <d v="2018-09-16T00:00:00"/>
    <x v="0"/>
    <s v="Fall"/>
    <d v="1899-12-30T00:09:00"/>
    <s v="Overcast"/>
    <s v="WL/RS or WP/OS"/>
    <s v="Foraging"/>
    <s v="NA"/>
    <s v="unknown"/>
    <m/>
    <n v="0"/>
    <m/>
    <x v="2"/>
    <x v="2"/>
    <s v="NA"/>
    <s v="NA"/>
    <s v="NA"/>
    <s v="NA"/>
    <s v="NA"/>
    <s v="NA"/>
    <s v="NA"/>
    <m/>
    <n v="0"/>
    <n v="0"/>
    <n v="0"/>
    <n v="0"/>
    <n v="8"/>
    <n v="0"/>
    <n v="8"/>
    <m/>
    <m/>
    <m/>
    <m/>
  </r>
  <r>
    <s v="DSCN0821"/>
    <s v="M4R0916_4"/>
    <n v="4"/>
    <n v="1"/>
    <s v="M4Roadside"/>
    <d v="2018-09-16T00:00:00"/>
    <x v="0"/>
    <s v="Fall"/>
    <d v="1899-12-30T00:31:00"/>
    <s v="Overcast"/>
    <s v="OB/YS"/>
    <s v="Foraging/caching"/>
    <s v="Spruce"/>
    <n v="0"/>
    <m/>
    <n v="1"/>
    <m/>
    <x v="2"/>
    <x v="2"/>
    <s v="unknown"/>
    <s v="Interior bare spruce branch under bark"/>
    <s v="Spruce"/>
    <s v="Interior"/>
    <s v="Under bark"/>
    <s v="Unknown"/>
    <n v="63.721499999999999"/>
    <n v="148.98752999999999"/>
    <n v="23"/>
    <n v="0"/>
    <n v="23"/>
    <n v="0"/>
    <n v="0"/>
    <n v="0"/>
    <n v="23"/>
    <m/>
    <s v="*Possible it was looking to cache rather than foraging.  "/>
    <m/>
    <m/>
  </r>
  <r>
    <s v="DSCN0822"/>
    <s v="M4R0916_5"/>
    <n v="5"/>
    <n v="1"/>
    <s v="M4Roadside"/>
    <d v="2018-09-16T00:00:00"/>
    <x v="0"/>
    <s v="Fall"/>
    <d v="1899-12-30T00:11:00"/>
    <s v="Overcast"/>
    <s v="OB/YS"/>
    <s v="Foraging"/>
    <s v="Spruce"/>
    <n v="1"/>
    <m/>
    <n v="0"/>
    <m/>
    <x v="2"/>
    <x v="2"/>
    <s v="Exterior foliated spruce"/>
    <s v="NA"/>
    <s v="NA"/>
    <s v="NA"/>
    <s v="NA"/>
    <s v="NA"/>
    <s v="NA"/>
    <m/>
    <n v="0"/>
    <n v="0"/>
    <n v="0"/>
    <n v="0"/>
    <n v="0"/>
    <n v="0"/>
    <n v="0"/>
    <m/>
    <s v="Continuation from previous video.  "/>
    <m/>
    <m/>
  </r>
  <r>
    <s v="DSCN0825"/>
    <s v="M4R0916_6"/>
    <n v="6"/>
    <n v="1"/>
    <s v="M4Roadside"/>
    <d v="2018-09-16T00:00:00"/>
    <x v="0"/>
    <s v="Fall"/>
    <d v="1899-12-30T00:31:00"/>
    <s v="Overcast"/>
    <s v="Unbanded"/>
    <s v="Foraging"/>
    <s v="Spruce"/>
    <n v="1"/>
    <m/>
    <n v="0"/>
    <m/>
    <x v="2"/>
    <x v="36"/>
    <s v="Spruce sapling trunk, near branch joint"/>
    <s v="NA"/>
    <s v="NA"/>
    <s v="NA"/>
    <s v="NA"/>
    <s v="NA"/>
    <s v="NA"/>
    <m/>
    <n v="8"/>
    <n v="8"/>
    <n v="16"/>
    <n v="0"/>
    <n v="0"/>
    <n v="0"/>
    <n v="16"/>
    <s v="Gleaning"/>
    <m/>
    <n v="0"/>
    <n v="3"/>
  </r>
  <r>
    <s v="DSCN0827"/>
    <s v="TC0916_1"/>
    <n v="1"/>
    <n v="1"/>
    <s v="Trail Camp"/>
    <d v="2018-09-16T00:00:00"/>
    <x v="0"/>
    <s v="Fall"/>
    <d v="1899-12-30T00:09:00"/>
    <s v="Overcast"/>
    <s v="Unbanded"/>
    <s v="Foraging"/>
    <s v="NA"/>
    <n v="1"/>
    <m/>
    <n v="0"/>
    <m/>
    <x v="7"/>
    <x v="37"/>
    <s v="Campsite ground"/>
    <s v="NA"/>
    <s v="NA"/>
    <s v="NA"/>
    <s v="NA"/>
    <s v="NA"/>
    <s v="NA"/>
    <m/>
    <n v="0"/>
    <n v="0"/>
    <n v="0"/>
    <n v="0"/>
    <n v="9"/>
    <n v="0"/>
    <n v="9"/>
    <m/>
    <m/>
    <m/>
    <m/>
  </r>
  <r>
    <s v="DSCN0828"/>
    <s v="TC0916_2"/>
    <n v="2"/>
    <n v="1"/>
    <s v="Trail Camp"/>
    <d v="2018-09-16T00:00:00"/>
    <x v="0"/>
    <s v="Fall"/>
    <d v="1899-12-30T00:13:00"/>
    <s v="Overcast"/>
    <s v="Unbanded"/>
    <s v="Food handling/caching"/>
    <s v="Spruce"/>
    <n v="1"/>
    <m/>
    <n v="1"/>
    <m/>
    <x v="7"/>
    <x v="37"/>
    <s v="Campsite ground"/>
    <s v="Exterior spruce foliage"/>
    <s v="Spruce"/>
    <s v="Exterior"/>
    <s v="Foliage"/>
    <s v="Unknown"/>
    <n v="63.730119999999999"/>
    <n v="148.90195"/>
    <n v="0"/>
    <n v="0"/>
    <n v="0"/>
    <n v="0"/>
    <n v="0"/>
    <n v="0"/>
    <n v="0"/>
    <m/>
    <s v="Moment of cache not caught on video B&amp;Ut it cached what was left in the spot seen on the video of it eating.  "/>
    <m/>
    <m/>
  </r>
  <r>
    <s v="DSCN0831"/>
    <s v="TC0916_3"/>
    <n v="3"/>
    <n v="1"/>
    <s v="Trail Camp"/>
    <d v="2018-09-16T00:00:00"/>
    <x v="0"/>
    <s v="Fall"/>
    <d v="1899-12-30T00:38:00"/>
    <s v="Overcast"/>
    <s v="Unbanded"/>
    <s v="Foraging"/>
    <s v="Spruce"/>
    <s v="unknown"/>
    <m/>
    <n v="0"/>
    <m/>
    <x v="1"/>
    <x v="1"/>
    <s v="NA"/>
    <s v="NA"/>
    <s v="NA"/>
    <s v="NA"/>
    <s v="NA"/>
    <s v="NA"/>
    <s v="NA"/>
    <m/>
    <n v="28"/>
    <n v="0"/>
    <n v="0"/>
    <n v="28"/>
    <n v="0"/>
    <n v="0"/>
    <n v="28"/>
    <s v="Gleaning"/>
    <m/>
    <n v="0"/>
    <n v="2"/>
  </r>
  <r>
    <s v="DSCN0833"/>
    <s v="MC0916_1"/>
    <n v="1"/>
    <n v="1"/>
    <s v="Mercantile"/>
    <d v="2018-09-16T00:00:00"/>
    <x v="0"/>
    <s v="Fall"/>
    <d v="1899-12-30T00:47:00"/>
    <s v="Overcast"/>
    <s v="WO/OS"/>
    <s v="Foraging"/>
    <s v="Spruce"/>
    <n v="1"/>
    <m/>
    <n v="1"/>
    <m/>
    <x v="7"/>
    <x v="38"/>
    <s v="Ground"/>
    <s v="Sitting on interior foliated spruce branch"/>
    <s v="Spruce"/>
    <s v="Interior"/>
    <s v="Foliage"/>
    <s v="Unknown"/>
    <n v="63.732439999999997"/>
    <n v="148.89502999999999"/>
    <n v="0"/>
    <n v="0"/>
    <n v="0"/>
    <n v="0"/>
    <n v="0"/>
    <n v="0"/>
    <n v="0"/>
    <m/>
    <s v="Left peel in tree its eating in in this video.  "/>
    <m/>
    <m/>
  </r>
  <r>
    <s v="DSCN0833"/>
    <s v="CC0917_6"/>
    <n v="6"/>
    <n v="1"/>
    <s v="CCAMP"/>
    <d v="2018-09-17T00:00:00"/>
    <x v="0"/>
    <s v="Fall"/>
    <d v="1899-12-30T00:26:00"/>
    <s v="Partly sunny"/>
    <s v="?/RS"/>
    <s v="Foraging"/>
    <s v="NA"/>
    <n v="1"/>
    <m/>
    <n v="0"/>
    <m/>
    <x v="4"/>
    <x v="39"/>
    <s v="Ground"/>
    <s v="NA"/>
    <s v="NA"/>
    <s v="NA"/>
    <s v="NA"/>
    <s v="NA"/>
    <s v="NA"/>
    <m/>
    <n v="0"/>
    <n v="0"/>
    <n v="0"/>
    <n v="0"/>
    <n v="11"/>
    <n v="0"/>
    <n v="11"/>
    <m/>
    <m/>
    <m/>
    <m/>
  </r>
  <r>
    <s v="DSCN0834"/>
    <s v="CC0917_7"/>
    <n v="7"/>
    <n v="1"/>
    <s v="CCAMP"/>
    <d v="2018-09-17T00:00:00"/>
    <x v="0"/>
    <s v="Fall"/>
    <d v="1899-12-30T00:11:00"/>
    <s v="Partly sunny"/>
    <s v="unknown"/>
    <s v="Foraging"/>
    <s v="NA"/>
    <s v="unknown"/>
    <m/>
    <n v="0"/>
    <m/>
    <x v="2"/>
    <x v="2"/>
    <s v="NA"/>
    <s v="NA"/>
    <s v="NA"/>
    <s v="NA"/>
    <s v="NA"/>
    <s v="NA"/>
    <s v="NA"/>
    <m/>
    <n v="0"/>
    <n v="0"/>
    <n v="0"/>
    <n v="0"/>
    <n v="7"/>
    <n v="0"/>
    <n v="7"/>
    <m/>
    <m/>
    <m/>
    <m/>
  </r>
  <r>
    <s v="DSCN0836"/>
    <s v="MC0916_2"/>
    <n v="2"/>
    <n v="1"/>
    <s v="Mercantile"/>
    <d v="2018-09-16T00:00:00"/>
    <x v="0"/>
    <s v="Fall"/>
    <d v="1899-12-30T00:22:00"/>
    <s v="Overcast"/>
    <s v="BW/GS"/>
    <s v="Cache recovery"/>
    <s v="Spruce"/>
    <n v="1"/>
    <m/>
    <n v="0"/>
    <m/>
    <x v="2"/>
    <x v="2"/>
    <s v="Interior top of spruce tree"/>
    <s v="NA"/>
    <s v="NA"/>
    <s v="NA"/>
    <s v="NA"/>
    <s v="NA"/>
    <s v="NA"/>
    <m/>
    <n v="0"/>
    <n v="0"/>
    <n v="0"/>
    <n v="0"/>
    <n v="0"/>
    <n v="0"/>
    <n v="0"/>
    <m/>
    <m/>
    <m/>
    <m/>
  </r>
  <r>
    <s v="DSCN0837"/>
    <s v="MC0916_3"/>
    <n v="3"/>
    <n v="1"/>
    <s v="Mercantile"/>
    <d v="2018-09-16T00:00:00"/>
    <x v="0"/>
    <s v="Fall"/>
    <d v="1899-12-30T00:03:00"/>
    <s v="Overcast"/>
    <s v="BW/GS"/>
    <s v="Food handling"/>
    <s v="NA"/>
    <n v="1"/>
    <m/>
    <n v="0"/>
    <m/>
    <x v="7"/>
    <x v="40"/>
    <s v="unknown"/>
    <s v="NA"/>
    <s v="NA"/>
    <s v="NA"/>
    <s v="NA"/>
    <s v="NA"/>
    <s v="NA"/>
    <m/>
    <n v="0"/>
    <n v="0"/>
    <n v="0"/>
    <n v="0"/>
    <n v="0"/>
    <n v="0"/>
    <n v="0"/>
    <m/>
    <s v="This is the first recovered piece of bread"/>
    <m/>
    <m/>
  </r>
  <r>
    <s v="DSCN0838"/>
    <s v="MC0916_4"/>
    <n v="4"/>
    <n v="1"/>
    <s v="Mercantile"/>
    <d v="2018-09-16T00:00:00"/>
    <x v="0"/>
    <s v="Fall"/>
    <d v="1899-12-30T00:35:00"/>
    <s v="Overcast"/>
    <s v="BW/GS"/>
    <s v="Cache recovery"/>
    <s v="Spruce"/>
    <n v="1"/>
    <m/>
    <n v="0"/>
    <m/>
    <x v="7"/>
    <x v="40"/>
    <s v="Interior spruce foliage"/>
    <s v="NA"/>
    <s v="NA"/>
    <s v="NA"/>
    <s v="NA"/>
    <s v="NA"/>
    <s v="NA"/>
    <m/>
    <n v="0"/>
    <n v="0"/>
    <n v="0"/>
    <n v="0"/>
    <n v="0"/>
    <n v="0"/>
    <n v="0"/>
    <m/>
    <s v="This is the second recovered piece of bread"/>
    <m/>
    <m/>
  </r>
  <r>
    <s v="DSCN0839"/>
    <s v="MC0916_5"/>
    <n v="5"/>
    <n v="1"/>
    <s v="Mercantile"/>
    <d v="2018-09-16T00:00:00"/>
    <x v="0"/>
    <s v="Fall"/>
    <d v="1899-12-30T00:09:00"/>
    <s v="Overcast"/>
    <s v="BW/GS"/>
    <s v="Food handling"/>
    <s v="Spruce"/>
    <n v="1"/>
    <m/>
    <n v="0"/>
    <m/>
    <x v="7"/>
    <x v="40"/>
    <s v="NA"/>
    <s v="NA"/>
    <s v="NA"/>
    <s v="NA"/>
    <s v="NA"/>
    <s v="NA"/>
    <s v="NA"/>
    <m/>
    <n v="0"/>
    <n v="0"/>
    <n v="0"/>
    <n v="0"/>
    <n v="0"/>
    <n v="0"/>
    <n v="0"/>
    <m/>
    <s v="Same piece of bread in previous video "/>
    <m/>
    <m/>
  </r>
  <r>
    <s v="DSCN0840"/>
    <s v="MC0916_6"/>
    <n v="6"/>
    <n v="1"/>
    <s v="Mercantile"/>
    <d v="2018-09-16T00:00:00"/>
    <x v="0"/>
    <s v="Fall"/>
    <d v="1899-12-30T00:12:00"/>
    <s v="Overcast"/>
    <s v="BW/GS"/>
    <s v="Food handling"/>
    <s v="NA"/>
    <n v="0"/>
    <m/>
    <n v="0"/>
    <m/>
    <x v="7"/>
    <x v="40"/>
    <s v="NA"/>
    <s v="NA"/>
    <s v="NA"/>
    <s v="NA"/>
    <s v="NA"/>
    <s v="NA"/>
    <s v="NA"/>
    <m/>
    <n v="0"/>
    <n v="0"/>
    <n v="0"/>
    <n v="0"/>
    <n v="0"/>
    <n v="0"/>
    <n v="0"/>
    <m/>
    <s v="Same piece of bread in previous video "/>
    <m/>
    <m/>
  </r>
  <r>
    <s v="DSCN0841"/>
    <s v="MC0916_7"/>
    <n v="7"/>
    <n v="1"/>
    <s v="Mercantile"/>
    <d v="2018-09-16T00:00:00"/>
    <x v="0"/>
    <s v="Fall"/>
    <d v="1899-12-30T00:26:00"/>
    <s v="Overcast"/>
    <s v="BW/GS"/>
    <s v="Food handling/caching"/>
    <s v="Spruce"/>
    <n v="0"/>
    <m/>
    <n v="1"/>
    <m/>
    <x v="7"/>
    <x v="40"/>
    <s v="NA"/>
    <s v="Sitting on bare spruce twigs"/>
    <s v="Spruce"/>
    <s v="unknown"/>
    <s v="On bark"/>
    <s v="Unknown"/>
    <n v="63.733759999999997"/>
    <n v="148.89946"/>
    <n v="0"/>
    <n v="0"/>
    <n v="0"/>
    <n v="0"/>
    <n v="0"/>
    <n v="0"/>
    <n v="0"/>
    <m/>
    <s v="Same piece of bread in previous video "/>
    <m/>
    <m/>
  </r>
  <r>
    <s v="DSCN0846"/>
    <s v="MC0916_8"/>
    <n v="8"/>
    <n v="1"/>
    <s v="Mercantile"/>
    <d v="2018-09-16T00:00:00"/>
    <x v="0"/>
    <s v="Fall"/>
    <d v="1899-12-30T00:35:00"/>
    <s v="Overcast"/>
    <s v="BW/GS"/>
    <s v="Foraging"/>
    <s v="Spruce"/>
    <s v="unknown"/>
    <m/>
    <n v="0"/>
    <m/>
    <x v="1"/>
    <x v="1"/>
    <s v="NA"/>
    <s v="NA"/>
    <s v="NA"/>
    <s v="NA"/>
    <s v="NA"/>
    <s v="NA"/>
    <s v="NA"/>
    <m/>
    <n v="0"/>
    <n v="13"/>
    <n v="9"/>
    <n v="4"/>
    <n v="0"/>
    <n v="0"/>
    <n v="13"/>
    <s v="Gleaning"/>
    <s v="Also pair cuteness"/>
    <n v="0"/>
    <n v="1"/>
  </r>
  <r>
    <s v="DSCN0853"/>
    <s v="MC0916_9"/>
    <n v="9"/>
    <n v="1"/>
    <s v="Mercantile"/>
    <d v="2018-09-16T00:00:00"/>
    <x v="0"/>
    <s v="Fall"/>
    <d v="1899-12-30T01:15:00"/>
    <s v="Overcast"/>
    <s v="WO/OS"/>
    <s v="Foraging"/>
    <s v="Spruce"/>
    <s v="unknown"/>
    <m/>
    <n v="0"/>
    <m/>
    <x v="1"/>
    <x v="1"/>
    <s v="NA"/>
    <s v="NA"/>
    <s v="NA"/>
    <s v="NA"/>
    <s v="NA"/>
    <s v="NA"/>
    <s v="NA"/>
    <m/>
    <n v="26"/>
    <n v="5"/>
    <n v="26"/>
    <n v="5"/>
    <n v="0"/>
    <n v="0"/>
    <n v="31"/>
    <m/>
    <m/>
    <m/>
    <m/>
  </r>
  <r>
    <s v="DSCN0859"/>
    <s v="B&amp;U0917_1"/>
    <n v="1"/>
    <n v="1"/>
    <s v="B&amp;U"/>
    <d v="2018-09-17T00:00:00"/>
    <x v="0"/>
    <s v="Fall"/>
    <d v="1899-12-30T00:58:00"/>
    <s v="Overcast"/>
    <s v="GR/PS"/>
    <s v="Caching"/>
    <s v="Spruce"/>
    <n v="1"/>
    <m/>
    <n v="2"/>
    <s v="Same tree"/>
    <x v="7"/>
    <x v="41"/>
    <s v="unknown"/>
    <s v="Spruce trunk under bark"/>
    <s v="Spruce"/>
    <s v="Trunk"/>
    <s v="Under bark"/>
    <s v="Unknown"/>
    <n v="63.725639999999999"/>
    <n v="148.95848000000001"/>
    <n v="0"/>
    <n v="0"/>
    <n v="0"/>
    <n v="0"/>
    <n v="0"/>
    <n v="0"/>
    <n v="0"/>
    <m/>
    <m/>
    <m/>
    <m/>
  </r>
  <r>
    <s v="DSCN0861"/>
    <s v="B&amp;U0917_2"/>
    <n v="2"/>
    <n v="1"/>
    <s v="B&amp;U"/>
    <d v="2018-09-17T00:00:00"/>
    <x v="0"/>
    <s v="Fall"/>
    <d v="1899-12-30T00:17:00"/>
    <m/>
    <s v="GR/PS"/>
    <s v="Food handling"/>
    <s v="Spruce"/>
    <n v="0"/>
    <m/>
    <n v="0"/>
    <m/>
    <x v="7"/>
    <x v="41"/>
    <s v="NA"/>
    <s v="NA"/>
    <s v="NA"/>
    <s v="NA"/>
    <s v="NA"/>
    <s v="NA"/>
    <s v="NA"/>
    <m/>
    <n v="0"/>
    <n v="0"/>
    <n v="0"/>
    <n v="0"/>
    <n v="0"/>
    <n v="0"/>
    <n v="0"/>
    <m/>
    <s v="Good shot of bird handling food"/>
    <m/>
    <m/>
  </r>
  <r>
    <s v="DSCN0862"/>
    <s v="B&amp;U0917_3"/>
    <n v="3"/>
    <n v="1"/>
    <s v="B&amp;U"/>
    <d v="2018-09-17T00:00:00"/>
    <x v="0"/>
    <s v="Fall"/>
    <d v="1899-12-30T01:03:00"/>
    <s v="Partly sunny"/>
    <s v="GR/PS"/>
    <s v="Food handling/caching"/>
    <s v="Spruce"/>
    <n v="1"/>
    <m/>
    <n v="1"/>
    <m/>
    <x v="7"/>
    <x v="41"/>
    <s v="NA"/>
    <s v="Interior spruce tree likely on trunk"/>
    <s v="Spruce"/>
    <s v="Trunk"/>
    <s v="Under bark"/>
    <s v="Unknown"/>
    <n v="63.725679999999997"/>
    <n v="148.9588"/>
    <n v="0"/>
    <n v="0"/>
    <n v="0"/>
    <n v="0"/>
    <n v="0"/>
    <n v="0"/>
    <n v="0"/>
    <m/>
    <m/>
    <m/>
    <m/>
  </r>
  <r>
    <s v="DSCN0862"/>
    <s v="B&amp;U0917_3"/>
    <n v="3"/>
    <n v="2"/>
    <s v="B&amp;U"/>
    <d v="2018-09-17T00:00:00"/>
    <x v="0"/>
    <s v="Fall"/>
    <d v="1899-12-30T01:03:00"/>
    <s v="Partly sunny"/>
    <s v="GR/PS"/>
    <s v="Food handling/caching"/>
    <s v="Spruce"/>
    <n v="0"/>
    <m/>
    <n v="1"/>
    <m/>
    <x v="7"/>
    <x v="41"/>
    <s v="NA"/>
    <s v="Exterior spruce foliage"/>
    <s v="Spruce"/>
    <s v="Exterior"/>
    <s v="Foliage"/>
    <s v="Unknown"/>
    <n v="63.72569"/>
    <n v="148.95882"/>
    <n v="0"/>
    <n v="0"/>
    <n v="0"/>
    <n v="0"/>
    <n v="0"/>
    <n v="0"/>
    <n v="0"/>
    <m/>
    <m/>
    <m/>
    <m/>
  </r>
  <r>
    <s v="DSCN0864"/>
    <s v="B&amp;U0917_4"/>
    <n v="4"/>
    <n v="1"/>
    <s v="B&amp;U"/>
    <d v="2018-09-17T00:00:00"/>
    <x v="0"/>
    <s v="Fall"/>
    <d v="1899-12-30T00:32:00"/>
    <s v="Partly sunny"/>
    <s v="GR/PS"/>
    <s v="Foraging or caching"/>
    <s v="Spruce"/>
    <s v="unknown"/>
    <m/>
    <n v="0"/>
    <m/>
    <x v="1"/>
    <x v="1"/>
    <s v="NA"/>
    <s v="NA"/>
    <s v="NA"/>
    <s v="NA"/>
    <s v="NA"/>
    <s v="NA"/>
    <s v="NA"/>
    <m/>
    <n v="0"/>
    <n v="17"/>
    <n v="14"/>
    <n v="3"/>
    <n v="0"/>
    <n v="0"/>
    <n v="17"/>
    <m/>
    <m/>
    <m/>
    <m/>
  </r>
  <r>
    <s v="DSCN0866"/>
    <s v="AQ0917_1"/>
    <n v="1"/>
    <n v="1"/>
    <s v="Air Quality"/>
    <d v="2018-09-17T00:00:00"/>
    <x v="0"/>
    <s v="Fall"/>
    <d v="1899-12-30T00:07:00"/>
    <s v="Partly sunny"/>
    <s v="unknown"/>
    <s v="Food handling"/>
    <s v="Spruce"/>
    <n v="1"/>
    <m/>
    <n v="0"/>
    <m/>
    <x v="7"/>
    <x v="40"/>
    <s v="unknown"/>
    <s v="NA"/>
    <s v="NA"/>
    <s v="NA"/>
    <s v="NA"/>
    <s v="NA"/>
    <s v="NA"/>
    <m/>
    <n v="0"/>
    <n v="0"/>
    <n v="0"/>
    <n v="0"/>
    <n v="0"/>
    <n v="0"/>
    <n v="0"/>
    <m/>
    <m/>
    <m/>
    <m/>
  </r>
  <r>
    <s v="DSCN0870"/>
    <s v="RC0917_1"/>
    <n v="1"/>
    <n v="2"/>
    <s v="CCAMP"/>
    <d v="2018-09-17T00:00:00"/>
    <x v="0"/>
    <s v="Fall"/>
    <d v="1899-12-30T03:44:00"/>
    <s v="Partly sunny"/>
    <s v="GB/BS"/>
    <s v="Food handling/caching"/>
    <s v="Spruce"/>
    <s v="unknown"/>
    <m/>
    <n v="1"/>
    <m/>
    <x v="7"/>
    <x v="40"/>
    <s v="unknown"/>
    <s v="Interior spruce near or on trunk in exposed area"/>
    <s v="Spruce"/>
    <s v="Trunk"/>
    <s v="Under bark"/>
    <s v="Unknown"/>
    <n v="63.72119"/>
    <n v="148.95818"/>
    <n v="0"/>
    <n v="0"/>
    <n v="0"/>
    <n v="0"/>
    <n v="0"/>
    <n v="0"/>
    <n v="0"/>
    <m/>
    <m/>
    <m/>
    <m/>
  </r>
  <r>
    <s v="DSCN0870"/>
    <s v="RC0917_1"/>
    <n v="1"/>
    <n v="1"/>
    <s v="CCAMP"/>
    <d v="2018-09-17T00:00:00"/>
    <x v="0"/>
    <s v="Fall"/>
    <d v="1899-12-30T03:44:00"/>
    <s v="Partly sunny"/>
    <s v="GB/BS"/>
    <s v="Food handling/caching"/>
    <s v="Spruce"/>
    <n v="1"/>
    <m/>
    <n v="1"/>
    <m/>
    <x v="7"/>
    <x v="40"/>
    <s v="unknown"/>
    <s v="Exterior spruce foliage"/>
    <s v="Spruce"/>
    <s v="Exterior"/>
    <s v="Foliage"/>
    <s v="Unknown"/>
    <n v="63.721159999999998"/>
    <n v="148.95854"/>
    <n v="0"/>
    <n v="0"/>
    <n v="0"/>
    <n v="0"/>
    <n v="0"/>
    <n v="0"/>
    <n v="0"/>
    <m/>
    <m/>
    <m/>
    <m/>
  </r>
  <r>
    <s v="DSCN0871"/>
    <s v="RC0917_2"/>
    <n v="2"/>
    <n v="1"/>
    <s v="CCAMP"/>
    <d v="2018-09-17T00:00:00"/>
    <x v="0"/>
    <s v="Fall"/>
    <d v="1899-12-30T01:24:00"/>
    <s v="Partly sunny"/>
    <s v="GB/BS"/>
    <s v="Caching"/>
    <s v="Spruce"/>
    <n v="0"/>
    <m/>
    <n v="1"/>
    <m/>
    <x v="7"/>
    <x v="40"/>
    <s v="unknown"/>
    <s v="Exterior spruce branch under bark"/>
    <s v="Spruce"/>
    <s v="Exterior"/>
    <s v="Under bark"/>
    <s v="Unknown"/>
    <n v="63.721150000000002"/>
    <n v="148.95850999999999"/>
    <n v="0"/>
    <n v="0"/>
    <n v="0"/>
    <n v="0"/>
    <n v="0"/>
    <n v="0"/>
    <n v="0"/>
    <m/>
    <m/>
    <m/>
    <m/>
  </r>
  <r>
    <s v="DSCN0872"/>
    <s v="CC0917_1"/>
    <n v="1"/>
    <n v="1"/>
    <s v="CCAMP"/>
    <d v="2018-09-17T00:00:00"/>
    <x v="0"/>
    <s v="Fall"/>
    <d v="1899-12-30T00:11:00"/>
    <s v="Partly sunny"/>
    <s v="G-/BS"/>
    <s v="Foraging/Food handling"/>
    <s v="Spruce"/>
    <n v="1"/>
    <m/>
    <n v="0"/>
    <m/>
    <x v="2"/>
    <x v="2"/>
    <s v="Exterior foliated spruce"/>
    <s v="NA"/>
    <s v="NA"/>
    <s v="NA"/>
    <s v="NA"/>
    <s v="NA"/>
    <s v="NA"/>
    <m/>
    <n v="0"/>
    <n v="0"/>
    <n v="0"/>
    <n v="0"/>
    <n v="0"/>
    <n v="0"/>
    <n v="0"/>
    <m/>
    <s v="Flew directly to area to retrieve food."/>
    <m/>
    <m/>
  </r>
  <r>
    <s v="DSCN0877"/>
    <s v="CC0917_2"/>
    <n v="2"/>
    <n v="1"/>
    <s v="CCAMP"/>
    <d v="2018-09-17T00:00:00"/>
    <x v="0"/>
    <s v="Fall"/>
    <d v="1899-12-30T00:15:00"/>
    <s v="Partly sunny"/>
    <s v="G-/BS"/>
    <s v="Foraging"/>
    <s v="Spruce"/>
    <s v="unknown"/>
    <m/>
    <n v="0"/>
    <m/>
    <x v="1"/>
    <x v="1"/>
    <s v="NA"/>
    <s v="NA"/>
    <s v="NA"/>
    <s v="NA"/>
    <s v="NA"/>
    <s v="NA"/>
    <s v="NA"/>
    <m/>
    <n v="0"/>
    <n v="14"/>
    <n v="14"/>
    <n v="0"/>
    <n v="0"/>
    <n v="0"/>
    <n v="14"/>
    <s v="Unclear from video…too obstructed"/>
    <m/>
    <m/>
    <m/>
  </r>
  <r>
    <s v="DSCN0878"/>
    <s v="CC0917_3"/>
    <n v="3"/>
    <n v="1"/>
    <s v="CCAMP"/>
    <d v="2018-09-17T00:00:00"/>
    <x v="0"/>
    <s v="Fall"/>
    <d v="1899-12-30T00:22:00"/>
    <s v="Partly sunny"/>
    <s v="unknown"/>
    <s v="Foraging"/>
    <s v="NA"/>
    <s v="unknown"/>
    <m/>
    <n v="0"/>
    <m/>
    <x v="1"/>
    <x v="1"/>
    <s v="NA"/>
    <s v="NA"/>
    <s v="NA"/>
    <s v="NA"/>
    <s v="NA"/>
    <s v="NA"/>
    <s v="NA"/>
    <m/>
    <n v="0"/>
    <n v="0"/>
    <n v="0"/>
    <n v="0"/>
    <n v="5"/>
    <n v="0"/>
    <n v="5"/>
    <s v="searching"/>
    <m/>
    <m/>
    <m/>
  </r>
  <r>
    <s v="DSCN0880"/>
    <s v="CC0917_4"/>
    <n v="4"/>
    <n v="1"/>
    <s v="CCAMP"/>
    <d v="2018-09-17T00:00:00"/>
    <x v="0"/>
    <s v="Fall"/>
    <d v="1899-12-30T00:33:00"/>
    <s v="Partly sunny"/>
    <s v="unknown"/>
    <s v="Foraging"/>
    <s v="NA"/>
    <n v="1"/>
    <m/>
    <n v="0"/>
    <m/>
    <x v="2"/>
    <x v="2"/>
    <s v="Ground"/>
    <s v="NA"/>
    <s v="NA"/>
    <s v="NA"/>
    <s v="NA"/>
    <s v="NA"/>
    <s v="NA"/>
    <m/>
    <n v="0"/>
    <n v="0"/>
    <n v="0"/>
    <n v="0"/>
    <n v="15"/>
    <n v="0"/>
    <n v="15"/>
    <s v="searching"/>
    <m/>
    <m/>
    <m/>
  </r>
  <r>
    <s v="DSCN0882"/>
    <s v="CC0917_5"/>
    <n v="5"/>
    <n v="1"/>
    <s v="CCAMP"/>
    <d v="2018-09-17T00:00:00"/>
    <x v="0"/>
    <s v="Fall"/>
    <d v="1899-12-30T00:38:00"/>
    <s v="Partly sunny"/>
    <s v="Unknown"/>
    <s v="Cache"/>
    <s v="Spruce"/>
    <n v="1"/>
    <m/>
    <n v="1"/>
    <m/>
    <x v="2"/>
    <x v="2"/>
    <s v="Ground"/>
    <s v="Exterior bare spruce branch"/>
    <s v="Spruce"/>
    <s v="Exterior"/>
    <s v="Branch"/>
    <s v="Unknown"/>
    <n v="63.722329999999999"/>
    <n v="148.95236"/>
    <n v="0"/>
    <n v="0"/>
    <n v="0"/>
    <n v="0"/>
    <n v="0"/>
    <n v="0"/>
    <n v="0"/>
    <s v="Probing"/>
    <m/>
    <n v="0"/>
    <n v="0"/>
  </r>
  <r>
    <s v="DSCN0882"/>
    <s v="CC0917_5"/>
    <n v="5"/>
    <n v="2"/>
    <s v="CCAMP"/>
    <d v="2018-09-17T00:00:00"/>
    <x v="0"/>
    <s v="Fall"/>
    <d v="1899-12-30T00:38:00"/>
    <s v="Partly sunny"/>
    <s v=" G-/BS"/>
    <s v="Foraging"/>
    <s v="Spruce"/>
    <n v="0"/>
    <m/>
    <n v="0"/>
    <m/>
    <x v="2"/>
    <x v="2"/>
    <s v="Ground"/>
    <s v="Exterior bare spruce branch"/>
    <s v="NA"/>
    <s v="NA"/>
    <s v="NA"/>
    <s v="Unknown"/>
    <n v="63.722329999999999"/>
    <n v="148.95236"/>
    <n v="3"/>
    <n v="0"/>
    <n v="0"/>
    <n v="3"/>
    <n v="0"/>
    <n v="0"/>
    <n v="3"/>
    <s v="Probing"/>
    <m/>
    <n v="1"/>
    <n v="0"/>
  </r>
  <r>
    <s v="DSCN0888"/>
    <s v="CC0917_8"/>
    <n v="8"/>
    <n v="1"/>
    <s v="CCAMP"/>
    <d v="2018-09-17T00:00:00"/>
    <x v="0"/>
    <s v="Fall"/>
    <d v="1899-12-30T00:38:00"/>
    <s v="Partly sunny"/>
    <s v="G-/BS"/>
    <s v="Foraging"/>
    <s v="NA"/>
    <s v="unknown"/>
    <m/>
    <n v="0"/>
    <m/>
    <x v="1"/>
    <x v="1"/>
    <s v="NA"/>
    <s v="NA"/>
    <s v="NA"/>
    <s v="NA"/>
    <s v="NA"/>
    <s v="NA"/>
    <s v="NA"/>
    <m/>
    <n v="0"/>
    <n v="0"/>
    <n v="0"/>
    <n v="0"/>
    <n v="20"/>
    <n v="0"/>
    <n v="20"/>
    <m/>
    <m/>
    <m/>
    <m/>
  </r>
  <r>
    <s v="DSCN0895"/>
    <s v="M2370918_1"/>
    <n v="1"/>
    <n v="1"/>
    <s v="Mile 237"/>
    <d v="2018-09-18T00:00:00"/>
    <x v="0"/>
    <s v="Fall"/>
    <d v="1899-12-30T00:36:00"/>
    <s v="Overcast"/>
    <s v="GB/PS"/>
    <s v="Caching"/>
    <s v="Spruce"/>
    <n v="0"/>
    <m/>
    <n v="1"/>
    <m/>
    <x v="2"/>
    <x v="2"/>
    <s v="unknown"/>
    <s v="Spruce trunk under bark"/>
    <s v="Spruce"/>
    <s v="Trunk"/>
    <s v="Under bark"/>
    <s v="Unknown"/>
    <n v="63.725499999999997"/>
    <n v="148.88943"/>
    <n v="0"/>
    <n v="0"/>
    <n v="0"/>
    <n v="0"/>
    <n v="0"/>
    <n v="0"/>
    <n v="0"/>
    <m/>
    <m/>
    <m/>
    <m/>
  </r>
  <r>
    <s v="DSCN0901"/>
    <s v="M2370918_2"/>
    <n v="2"/>
    <n v="1"/>
    <s v="Mile 237"/>
    <d v="2018-09-18T00:00:00"/>
    <x v="0"/>
    <s v="Fall"/>
    <d v="1899-12-30T00:41:00"/>
    <s v="Partly sunny"/>
    <s v="YP/RS"/>
    <s v="Caching"/>
    <s v="Spruce"/>
    <n v="0"/>
    <m/>
    <n v="1"/>
    <m/>
    <x v="2"/>
    <x v="2"/>
    <s v="unknown"/>
    <s v="low to ground Spruce branch/witch hair moss"/>
    <s v="Spruce"/>
    <s v="Exterior"/>
    <s v="Under bark and witch hair "/>
    <s v="Unknown"/>
    <n v="63.724200000000003"/>
    <n v="148.88985"/>
    <n v="0"/>
    <n v="0"/>
    <n v="0"/>
    <n v="0"/>
    <n v="0"/>
    <n v="0"/>
    <n v="0"/>
    <m/>
    <s v="Strongly suspected by not 100% confident cache "/>
    <m/>
    <m/>
  </r>
  <r>
    <s v="DSCN0902"/>
    <s v="M2370918_3"/>
    <n v="3"/>
    <n v="1"/>
    <s v="Mile 237"/>
    <d v="2018-09-18T00:00:00"/>
    <x v="0"/>
    <s v="Fall"/>
    <d v="1899-12-30T00:53:00"/>
    <s v="Partly sunny"/>
    <s v="GB/PS"/>
    <s v="Foraging"/>
    <s v="NA"/>
    <n v="1"/>
    <m/>
    <n v="0"/>
    <m/>
    <x v="3"/>
    <x v="4"/>
    <s v="Ground"/>
    <s v="NA"/>
    <s v="NA"/>
    <s v="NA"/>
    <s v="NA"/>
    <s v="NA"/>
    <s v="NA"/>
    <m/>
    <n v="0"/>
    <n v="0"/>
    <n v="0"/>
    <n v="0"/>
    <n v="5"/>
    <n v="0"/>
    <n v="5"/>
    <m/>
    <m/>
    <m/>
    <m/>
  </r>
  <r>
    <s v="DSCN0902"/>
    <s v="M2370918_3"/>
    <n v="3"/>
    <n v="2"/>
    <s v="Mile 237"/>
    <d v="2018-09-18T00:00:00"/>
    <x v="0"/>
    <s v="Fall"/>
    <d v="1899-12-30T00:53:00"/>
    <s v="Partly sunny"/>
    <s v="GB/PS"/>
    <s v="Foraging"/>
    <s v="NA"/>
    <n v="1"/>
    <m/>
    <n v="0"/>
    <m/>
    <x v="2"/>
    <x v="2"/>
    <s v="Ground"/>
    <s v="NA"/>
    <s v="NA"/>
    <s v="NA"/>
    <s v="NA"/>
    <s v="NA"/>
    <s v="NA"/>
    <m/>
    <n v="0"/>
    <n v="0"/>
    <n v="0"/>
    <n v="0"/>
    <n v="0"/>
    <n v="0"/>
    <n v="0"/>
    <m/>
    <m/>
    <m/>
    <m/>
  </r>
  <r>
    <s v="DSCN0929"/>
    <s v="M4R0919_1"/>
    <n v="1"/>
    <n v="1"/>
    <s v="M4Roadside"/>
    <d v="2018-09-19T00:00:00"/>
    <x v="0"/>
    <s v="Fall"/>
    <d v="1899-12-30T01:03:00"/>
    <m/>
    <s v="OB/YS"/>
    <s v="Foraging"/>
    <s v="Spruce"/>
    <n v="1"/>
    <m/>
    <n v="0"/>
    <m/>
    <x v="2"/>
    <x v="2"/>
    <s v="Spruce trunk"/>
    <s v="NA"/>
    <s v="NA"/>
    <s v="NA"/>
    <s v="NA"/>
    <s v="NA"/>
    <s v="NA"/>
    <m/>
    <n v="29"/>
    <n v="0"/>
    <n v="29"/>
    <n v="0"/>
    <n v="22"/>
    <n v="0"/>
    <n v="51"/>
    <m/>
    <m/>
    <m/>
    <m/>
  </r>
  <r>
    <s v="DSCN0932"/>
    <s v="M4R0919_2"/>
    <n v="2"/>
    <n v="1"/>
    <s v="M4Roadside"/>
    <d v="2018-09-19T00:00:00"/>
    <x v="0"/>
    <s v="Fall"/>
    <d v="1899-12-30T00:26:00"/>
    <m/>
    <s v="OB/YS"/>
    <s v="Foraging"/>
    <s v="NA"/>
    <n v="1"/>
    <m/>
    <n v="0"/>
    <m/>
    <x v="2"/>
    <x v="2"/>
    <s v="Ground"/>
    <s v="NA"/>
    <s v="NA"/>
    <s v="NA"/>
    <s v="NA"/>
    <s v="NA"/>
    <s v="NA"/>
    <m/>
    <n v="0"/>
    <n v="0"/>
    <n v="0"/>
    <n v="0"/>
    <n v="3"/>
    <n v="0"/>
    <n v="3"/>
    <s v="searching"/>
    <m/>
    <m/>
    <m/>
  </r>
  <r>
    <s v="DSCN0934"/>
    <s v="M4R0919_3"/>
    <n v="3"/>
    <n v="1"/>
    <s v="M4Roadside"/>
    <d v="2018-09-19T00:00:00"/>
    <x v="0"/>
    <s v="Fall"/>
    <d v="1899-12-30T00:11:00"/>
    <m/>
    <s v="OB/YS"/>
    <s v="Foraging"/>
    <s v="NA"/>
    <n v="1"/>
    <m/>
    <n v="0"/>
    <m/>
    <x v="4"/>
    <x v="42"/>
    <s v="Ground"/>
    <s v="NA"/>
    <s v="NA"/>
    <s v="NA"/>
    <s v="NA"/>
    <s v="NA"/>
    <s v="NA"/>
    <m/>
    <n v="0"/>
    <n v="0"/>
    <n v="0"/>
    <n v="0"/>
    <n v="11"/>
    <n v="0"/>
    <n v="11"/>
    <m/>
    <s v="Flew to ground and got it immediately "/>
    <m/>
    <m/>
  </r>
  <r>
    <s v="DSCN0949"/>
    <s v="B&amp;U0920_1"/>
    <n v="1"/>
    <n v="1"/>
    <s v="B&amp;U"/>
    <d v="2018-09-20T00:00:00"/>
    <x v="0"/>
    <s v="Fall"/>
    <d v="1899-12-30T00:43:00"/>
    <s v="Overcast, light rain"/>
    <s v="GR/PS"/>
    <s v="Foraging"/>
    <s v="Spruce"/>
    <n v="1"/>
    <m/>
    <n v="0"/>
    <m/>
    <x v="2"/>
    <x v="2"/>
    <s v="Interior spruce foliage"/>
    <s v="NA"/>
    <s v="NA"/>
    <s v="NA"/>
    <s v="NA"/>
    <s v="NA"/>
    <s v="NA"/>
    <m/>
    <n v="0"/>
    <n v="17"/>
    <n v="7"/>
    <n v="10"/>
    <n v="0"/>
    <n v="0"/>
    <n v="17"/>
    <m/>
    <m/>
    <m/>
    <m/>
  </r>
  <r>
    <s v="DSCN0952"/>
    <s v="B&amp;U0920_2"/>
    <n v="2"/>
    <n v="1"/>
    <s v="B&amp;U"/>
    <d v="2018-09-20T00:00:00"/>
    <x v="0"/>
    <s v="Fall"/>
    <d v="1899-12-30T00:31:00"/>
    <s v="Overcast, light rain"/>
    <s v="GR/PS"/>
    <s v="Foraging"/>
    <s v="Spruce"/>
    <s v="unknown"/>
    <m/>
    <n v="0"/>
    <m/>
    <x v="2"/>
    <x v="2"/>
    <s v="NA"/>
    <s v="NA"/>
    <s v="NA"/>
    <s v="NA"/>
    <s v="NA"/>
    <s v="NA"/>
    <s v="NA"/>
    <m/>
    <n v="0"/>
    <n v="13"/>
    <n v="13"/>
    <n v="0"/>
    <n v="0"/>
    <n v="0"/>
    <n v="13"/>
    <m/>
    <m/>
    <m/>
    <m/>
  </r>
  <r>
    <s v="DSCN0954"/>
    <s v="B&amp;U0920_3"/>
    <n v="3"/>
    <n v="1"/>
    <s v="B&amp;U"/>
    <d v="2018-09-20T00:00:00"/>
    <x v="0"/>
    <s v="Fall"/>
    <d v="1899-12-30T00:16:00"/>
    <s v="Overcast, light rain"/>
    <s v="GR/PS"/>
    <s v="Foraging"/>
    <s v="NA"/>
    <s v="unknown"/>
    <m/>
    <n v="0"/>
    <m/>
    <x v="2"/>
    <x v="2"/>
    <s v="NA"/>
    <s v="NA"/>
    <s v="NA"/>
    <s v="NA"/>
    <s v="NA"/>
    <s v="NA"/>
    <s v="NA"/>
    <m/>
    <n v="0"/>
    <m/>
    <n v="0"/>
    <n v="0"/>
    <n v="12"/>
    <n v="0"/>
    <n v="12"/>
    <m/>
    <m/>
    <m/>
    <m/>
  </r>
  <r>
    <s v="DSCN0960"/>
    <s v="B&amp;U0920_4"/>
    <n v="4"/>
    <n v="1"/>
    <s v="B&amp;U"/>
    <d v="2018-09-20T00:00:00"/>
    <x v="0"/>
    <s v="Fall"/>
    <d v="1899-12-30T00:15:00"/>
    <s v="Overcast, light rain"/>
    <s v="GR/PS"/>
    <s v="Foraging"/>
    <s v="Spruce"/>
    <n v="1"/>
    <m/>
    <n v="0"/>
    <m/>
    <x v="2"/>
    <x v="2"/>
    <s v="Exterior bare spruce branch"/>
    <s v="NA"/>
    <s v="NA"/>
    <s v="NA"/>
    <s v="NA"/>
    <s v="NA"/>
    <s v="NA"/>
    <m/>
    <n v="0"/>
    <n v="0"/>
    <n v="0"/>
    <n v="0"/>
    <n v="0"/>
    <n v="0"/>
    <n v="0"/>
    <m/>
    <s v="Finished preening and plucked it from branch. "/>
    <m/>
    <m/>
  </r>
  <r>
    <s v="DSCN0961"/>
    <s v="B&amp;U0920_5"/>
    <n v="5"/>
    <n v="1"/>
    <s v="B&amp;U"/>
    <d v="2018-09-20T00:00:00"/>
    <x v="0"/>
    <s v="Fall"/>
    <d v="1899-12-30T00:34:00"/>
    <s v="Overcast, light rain"/>
    <s v="Unknown"/>
    <s v="Foraging"/>
    <s v="NA"/>
    <n v="1"/>
    <n v="4"/>
    <n v="0"/>
    <m/>
    <x v="3"/>
    <x v="4"/>
    <s v="Ground"/>
    <s v="NA"/>
    <s v="NA"/>
    <s v="NA"/>
    <s v="NA"/>
    <s v="NA"/>
    <s v="NA"/>
    <m/>
    <n v="0"/>
    <n v="0"/>
    <n v="0"/>
    <n v="0"/>
    <n v="27"/>
    <n v="0"/>
    <n v="27"/>
    <m/>
    <m/>
    <m/>
    <m/>
  </r>
  <r>
    <s v="DSCN0967"/>
    <s v="B&amp;U0920_7"/>
    <n v="7"/>
    <n v="1"/>
    <s v="B&amp;U"/>
    <d v="2018-09-20T00:00:00"/>
    <x v="0"/>
    <s v="Fall"/>
    <d v="1899-12-30T00:29:00"/>
    <s v="Overcast, light rain"/>
    <s v="WP/BS"/>
    <s v="Caching"/>
    <s v="Spruce"/>
    <n v="0"/>
    <m/>
    <n v="1"/>
    <m/>
    <x v="2"/>
    <x v="2"/>
    <s v="unknown"/>
    <s v="Spruce trunk under bark"/>
    <s v="Spruce"/>
    <s v="Trunk"/>
    <s v="Under bark"/>
    <s v="Unknown"/>
    <s v="Did not mark (did not recognize as cache while in field)"/>
    <m/>
    <m/>
    <m/>
    <m/>
    <m/>
    <n v="0"/>
    <n v="0"/>
    <n v="0"/>
    <m/>
    <s v="Very close to previous cache tree"/>
    <m/>
    <m/>
  </r>
  <r>
    <s v="DSCN0970"/>
    <s v="B&amp;U0920_8"/>
    <n v="8"/>
    <n v="1"/>
    <s v="B&amp;U"/>
    <d v="2018-09-20T00:00:00"/>
    <x v="0"/>
    <s v="Fall"/>
    <d v="1899-12-30T00:58:00"/>
    <s v="Overcast, light rain"/>
    <s v="WP/BS"/>
    <s v="Caching"/>
    <s v="Spruce"/>
    <n v="0"/>
    <m/>
    <n v="1"/>
    <m/>
    <x v="2"/>
    <x v="2"/>
    <s v="unknown"/>
    <s v="Interior spruce among bare branch"/>
    <s v="Spruce"/>
    <s v="Interior"/>
    <s v="Branch"/>
    <s v="Unknown"/>
    <n v="63.724829999999997"/>
    <n v="148.95133999999999"/>
    <n v="0"/>
    <n v="0"/>
    <n v="0"/>
    <n v="0"/>
    <n v="0"/>
    <n v="0"/>
    <n v="0"/>
    <m/>
    <m/>
    <m/>
    <m/>
  </r>
  <r>
    <s v="DSCN0972"/>
    <s v="B&amp;U0920_9"/>
    <n v="9"/>
    <n v="1"/>
    <s v="B&amp;U"/>
    <d v="2018-09-20T00:00:00"/>
    <x v="0"/>
    <s v="Fall"/>
    <d v="1899-12-30T01:17:00"/>
    <s v="Overcast, light rain"/>
    <s v="WP/BS"/>
    <s v="Foraging"/>
    <s v="Aspen"/>
    <s v="unknown"/>
    <m/>
    <n v="0"/>
    <m/>
    <x v="1"/>
    <x v="1"/>
    <s v="NA"/>
    <s v="NA"/>
    <s v="NA"/>
    <s v="NA"/>
    <s v="NA"/>
    <s v="NA"/>
    <s v="NA"/>
    <m/>
    <n v="62"/>
    <n v="0"/>
    <n v="15"/>
    <n v="47"/>
    <n v="0"/>
    <n v="0"/>
    <n v="62"/>
    <m/>
    <m/>
    <m/>
    <m/>
  </r>
  <r>
    <s v="DSCN0974"/>
    <s v="B&amp;U0920_10"/>
    <n v="10"/>
    <n v="1"/>
    <s v="B&amp;U"/>
    <d v="2018-09-20T00:00:00"/>
    <x v="0"/>
    <s v="Fall"/>
    <d v="1899-12-30T00:53:00"/>
    <s v="Overcast, light rain"/>
    <s v="WP/BS"/>
    <s v="Foraging"/>
    <s v="Alder"/>
    <s v="unknown"/>
    <m/>
    <n v="0"/>
    <m/>
    <x v="1"/>
    <x v="1"/>
    <s v="NA"/>
    <s v="NA"/>
    <s v="NA"/>
    <s v="NA"/>
    <s v="NA"/>
    <s v="NA"/>
    <s v="NA"/>
    <m/>
    <n v="12"/>
    <n v="0"/>
    <n v="0"/>
    <n v="12"/>
    <n v="0"/>
    <n v="0"/>
    <n v="12"/>
    <m/>
    <m/>
    <m/>
    <m/>
  </r>
  <r>
    <s v="DSCN0981"/>
    <s v="M2370921_1"/>
    <n v="1"/>
    <n v="1"/>
    <s v="Mile 237"/>
    <d v="2018-09-21T00:00:00"/>
    <x v="0"/>
    <s v="Fall"/>
    <d v="1899-12-30T00:21:00"/>
    <s v="Overcast, light rain"/>
    <s v="YP/RS"/>
    <s v="Caching"/>
    <s v="Spruce"/>
    <n v="0"/>
    <m/>
    <n v="1"/>
    <m/>
    <x v="2"/>
    <x v="2"/>
    <s v="unknown"/>
    <s v="Spruce trunk under bark"/>
    <s v="Spruce"/>
    <s v="Trunk"/>
    <s v="Under bark"/>
    <s v="Unknown"/>
    <n v="63.723010000000002"/>
    <n v="148.88673"/>
    <n v="0"/>
    <n v="0"/>
    <n v="0"/>
    <n v="0"/>
    <n v="0"/>
    <n v="0"/>
    <n v="0"/>
    <m/>
    <m/>
    <m/>
    <m/>
  </r>
  <r>
    <s v="DSCN0982"/>
    <s v="M2370921_2"/>
    <n v="2"/>
    <n v="1"/>
    <s v="Mile 237"/>
    <d v="2018-09-21T00:00:00"/>
    <x v="0"/>
    <s v="Fall"/>
    <d v="1899-12-30T01:04:00"/>
    <s v="Overcast, light rain"/>
    <s v="YP/RS"/>
    <s v="Foraging"/>
    <s v="Spruce"/>
    <n v="1"/>
    <m/>
    <n v="0"/>
    <m/>
    <x v="2"/>
    <x v="2"/>
    <s v="Interior top of foilated spruce"/>
    <s v="NA"/>
    <s v="NA"/>
    <s v="NA"/>
    <s v="NA"/>
    <s v="NA"/>
    <s v="NA"/>
    <m/>
    <n v="0"/>
    <n v="19"/>
    <n v="19"/>
    <n v="0"/>
    <n v="0"/>
    <n v="0"/>
    <n v="19"/>
    <s v="unknown"/>
    <m/>
    <m/>
    <m/>
  </r>
  <r>
    <s v="DSCN0986"/>
    <s v="TC0921_1"/>
    <n v="1"/>
    <n v="1"/>
    <s v="Trail Camp"/>
    <d v="2018-09-21T00:00:00"/>
    <x v="0"/>
    <s v="Fall"/>
    <d v="1899-12-30T00:21:00"/>
    <s v="Partly sunny"/>
    <s v="WL/PS"/>
    <s v="Foraging"/>
    <s v="Spruce"/>
    <n v="1"/>
    <m/>
    <n v="0"/>
    <m/>
    <x v="2"/>
    <x v="2"/>
    <s v="Spruce branch under bark"/>
    <s v="NA"/>
    <s v="NA"/>
    <s v="NA"/>
    <s v="NA"/>
    <s v="NA"/>
    <s v="NA"/>
    <m/>
    <n v="11"/>
    <n v="0"/>
    <n v="0"/>
    <n v="11"/>
    <n v="0"/>
    <n v="0"/>
    <n v="11"/>
    <s v="Probing"/>
    <m/>
    <m/>
    <m/>
  </r>
  <r>
    <s v="DSCN0989"/>
    <s v="TC0921_2"/>
    <n v="2"/>
    <n v="1"/>
    <s v="Trail Camp"/>
    <d v="2018-09-21T00:00:00"/>
    <x v="0"/>
    <s v="Fall"/>
    <d v="1899-12-30T00:48:00"/>
    <s v="Partly sunny"/>
    <s v="WL/PS"/>
    <s v="Foraging/caching"/>
    <s v="Spruce"/>
    <n v="1"/>
    <s v="11 pecks"/>
    <n v="0"/>
    <m/>
    <x v="7"/>
    <x v="14"/>
    <s v="Ground"/>
    <s v="NA"/>
    <s v="NA"/>
    <s v="NA"/>
    <s v="NA"/>
    <s v="NA"/>
    <s v="NA"/>
    <m/>
    <n v="0"/>
    <n v="0"/>
    <n v="0"/>
    <n v="0"/>
    <n v="34"/>
    <n v="0"/>
    <n v="34"/>
    <m/>
    <m/>
    <m/>
    <m/>
  </r>
  <r>
    <s v="DSCN0990"/>
    <s v="TC0921_3"/>
    <n v="3"/>
    <n v="1"/>
    <s v="Trail Camp"/>
    <d v="2018-09-21T00:00:00"/>
    <x v="0"/>
    <s v="Fall"/>
    <d v="1899-12-30T00:04:00"/>
    <s v="Partly sunny"/>
    <s v="WL/PS"/>
    <s v="Caching"/>
    <s v="Spruce"/>
    <n v="0"/>
    <m/>
    <n v="1"/>
    <m/>
    <x v="7"/>
    <x v="14"/>
    <s v="Ground"/>
    <s v="Exterior spruce foliage"/>
    <s v="Spruce"/>
    <s v="Exterior"/>
    <s v="Foliage"/>
    <n v="17"/>
    <n v="63.731529999999999"/>
    <n v="148.90143"/>
    <n v="0"/>
    <n v="0"/>
    <n v="0"/>
    <n v="0"/>
    <n v="0"/>
    <n v="0"/>
    <n v="0"/>
    <m/>
    <s v="Cached food from previous video. "/>
    <m/>
    <m/>
  </r>
  <r>
    <s v="DSCN0997"/>
    <s v="MC0921_1"/>
    <n v="1"/>
    <n v="1"/>
    <s v="Mercantile"/>
    <d v="2018-09-21T00:00:00"/>
    <x v="0"/>
    <s v="Fall"/>
    <d v="1899-12-30T00:04:00"/>
    <s v="Mostly sunny"/>
    <s v="WO/OS"/>
    <s v="Food handling"/>
    <s v="Aspen"/>
    <n v="1"/>
    <m/>
    <n v="0"/>
    <m/>
    <x v="7"/>
    <x v="43"/>
    <s v="Seemed to get it from tree, B&amp;Ut unconfirmed"/>
    <s v="NA"/>
    <s v="NA"/>
    <s v="NA"/>
    <s v="NA"/>
    <s v="NA"/>
    <s v="NA"/>
    <m/>
    <n v="0"/>
    <n v="0"/>
    <n v="0"/>
    <n v="0"/>
    <n v="0"/>
    <n v="0"/>
    <n v="0"/>
    <m/>
    <m/>
    <m/>
    <m/>
  </r>
  <r>
    <s v="DSCN0998"/>
    <s v="MC0921_2"/>
    <n v="2"/>
    <n v="1"/>
    <s v="Mercantile"/>
    <d v="2018-09-21T00:00:00"/>
    <x v="0"/>
    <s v="Fall"/>
    <d v="1899-12-30T00:48:00"/>
    <s v="Mostly sunny"/>
    <s v="WO/OS"/>
    <s v="Caching"/>
    <s v="Spruce, aspen"/>
    <n v="0"/>
    <m/>
    <n v="1"/>
    <m/>
    <x v="7"/>
    <x v="43"/>
    <s v="Seemed to get it from tree, B&amp;Ut unconfirmed"/>
    <s v="Exterior aspen branch under bark"/>
    <s v="Aspen"/>
    <s v="Exterior"/>
    <s v="Under bark"/>
    <s v="Unknown"/>
    <n v="63.733040000000003"/>
    <n v="148.89510999999999"/>
    <n v="0"/>
    <n v="0"/>
    <n v="0"/>
    <n v="0"/>
    <n v="0"/>
    <n v="0"/>
    <n v="0"/>
    <m/>
    <s v="Great cache video"/>
    <m/>
    <m/>
  </r>
  <r>
    <s v="DSCN0998"/>
    <s v="MC0921_2"/>
    <n v="2"/>
    <n v="2"/>
    <s v="Mercantile"/>
    <d v="2018-09-21T00:00:00"/>
    <x v="0"/>
    <s v="Fall"/>
    <d v="1899-12-30T00:48:00"/>
    <s v="Mostly sunny"/>
    <s v="WO/OS"/>
    <s v="Caching"/>
    <s v="Spruce, aspen"/>
    <n v="0"/>
    <m/>
    <n v="1"/>
    <m/>
    <x v="7"/>
    <x v="43"/>
    <s v="Seemed to get it from tree, B&amp;Ut unconfirmed"/>
    <s v="Exterior aspen branch under bark"/>
    <s v="Aspen"/>
    <s v="Exterior"/>
    <s v="Under bark"/>
    <s v="Unknown"/>
    <n v="63.733040000000003"/>
    <n v="148.89510999999999"/>
    <n v="0"/>
    <n v="0"/>
    <n v="0"/>
    <n v="0"/>
    <n v="0"/>
    <n v="0"/>
    <n v="0"/>
    <m/>
    <s v="Trees right next to each other so same GPS"/>
    <m/>
    <m/>
  </r>
  <r>
    <s v="DSCN1004"/>
    <s v="M4R0924_1"/>
    <n v="1"/>
    <n v="1"/>
    <s v="M4Roadside"/>
    <d v="2018-09-24T00:00:00"/>
    <x v="0"/>
    <s v="Fall"/>
    <d v="1899-12-30T00:20:00"/>
    <s v="Overcast, light rain"/>
    <s v="WG/OS"/>
    <s v="Foraging"/>
    <s v="Spruce"/>
    <n v="1"/>
    <m/>
    <n v="0"/>
    <m/>
    <x v="2"/>
    <x v="2"/>
    <s v="Exterior foliated spruce"/>
    <s v="NA"/>
    <s v="NA"/>
    <s v="NA"/>
    <s v="NA"/>
    <s v="NA"/>
    <s v="NA"/>
    <m/>
    <n v="0"/>
    <n v="5"/>
    <n v="0"/>
    <n v="5"/>
    <n v="0"/>
    <n v="0"/>
    <n v="5"/>
    <s v="Probing"/>
    <m/>
    <n v="1"/>
    <n v="0"/>
  </r>
  <r>
    <s v="DSCN1014"/>
    <s v="AQ0924_1"/>
    <n v="1"/>
    <n v="1"/>
    <s v="Air Quality"/>
    <d v="2018-09-24T00:00:00"/>
    <x v="0"/>
    <s v="Fall"/>
    <d v="1899-12-30T00:18:00"/>
    <m/>
    <s v="PG/PS"/>
    <s v="Foraging"/>
    <s v="NA"/>
    <n v="1"/>
    <m/>
    <n v="0"/>
    <m/>
    <x v="2"/>
    <x v="2"/>
    <s v="Ground"/>
    <s v="NA"/>
    <s v="NA"/>
    <s v="NA"/>
    <s v="NA"/>
    <s v="NA"/>
    <s v="NA"/>
    <m/>
    <n v="0"/>
    <n v="0"/>
    <n v="0"/>
    <n v="0"/>
    <n v="15"/>
    <n v="0"/>
    <n v="15"/>
    <m/>
    <m/>
    <m/>
    <m/>
  </r>
  <r>
    <s v="DSCN1015"/>
    <s v="AQ0924_2"/>
    <n v="2"/>
    <n v="1"/>
    <s v="Air Quality"/>
    <d v="2018-09-24T00:00:00"/>
    <x v="0"/>
    <s v="Fall"/>
    <d v="1899-12-30T00:18:00"/>
    <s v="Partly sunny"/>
    <s v="PL/PS"/>
    <s v="Foraging"/>
    <s v="NA"/>
    <n v="1"/>
    <m/>
    <n v="0"/>
    <m/>
    <x v="4"/>
    <x v="42"/>
    <s v="Ground"/>
    <s v="NA"/>
    <s v="NA"/>
    <s v="NA"/>
    <s v="NA"/>
    <s v="NA"/>
    <s v="NA"/>
    <m/>
    <n v="0"/>
    <n v="0"/>
    <n v="0"/>
    <n v="0"/>
    <n v="18"/>
    <n v="0"/>
    <n v="18"/>
    <m/>
    <m/>
    <m/>
    <m/>
  </r>
  <r>
    <s v="DSCN1018"/>
    <s v="AQ0924_3"/>
    <n v="3"/>
    <n v="1"/>
    <s v="Air Quality"/>
    <d v="2018-09-24T00:00:00"/>
    <x v="0"/>
    <s v="Fall"/>
    <d v="1899-12-30T00:12:00"/>
    <s v="Partly sunny"/>
    <s v="PG/PS"/>
    <s v="Foraging"/>
    <s v="NA"/>
    <n v="1"/>
    <m/>
    <n v="0"/>
    <m/>
    <x v="4"/>
    <x v="42"/>
    <s v="Ground"/>
    <s v="NA"/>
    <s v="NA"/>
    <s v="NA"/>
    <s v="NA"/>
    <s v="NA"/>
    <s v="NA"/>
    <m/>
    <n v="0"/>
    <n v="0"/>
    <n v="0"/>
    <n v="0"/>
    <n v="8"/>
    <n v="0"/>
    <n v="8"/>
    <m/>
    <s v="Darted to ground and picked up B&amp;Ug. "/>
    <m/>
    <m/>
  </r>
  <r>
    <s v="DSCN1024"/>
    <s v="HS0924_1"/>
    <n v="1"/>
    <n v="1"/>
    <s v="Horse shoe"/>
    <d v="2018-09-24T00:00:00"/>
    <x v="0"/>
    <s v="Fall"/>
    <d v="1899-12-30T00:44:00"/>
    <s v="Partly cloudy"/>
    <s v="YO/OS"/>
    <s v="Foraging"/>
    <s v="NA"/>
    <n v="1"/>
    <m/>
    <n v="0"/>
    <m/>
    <x v="2"/>
    <x v="2"/>
    <s v="Ground"/>
    <s v="NA"/>
    <s v="NA"/>
    <s v="NA"/>
    <s v="NA"/>
    <s v="NA"/>
    <s v="NA"/>
    <m/>
    <n v="0"/>
    <n v="0"/>
    <n v="0"/>
    <n v="0"/>
    <n v="20"/>
    <n v="0"/>
    <n v="20"/>
    <m/>
    <m/>
    <m/>
    <m/>
  </r>
  <r>
    <s v="DSCN1025"/>
    <s v="HS0924_2"/>
    <n v="2"/>
    <n v="1"/>
    <s v="Horse shoe"/>
    <d v="2018-09-24T00:00:00"/>
    <x v="0"/>
    <s v="Fall"/>
    <d v="1899-12-30T00:16:00"/>
    <s v="Partly sunny"/>
    <s v="YO/OS"/>
    <s v="Caching"/>
    <s v="Spruce"/>
    <n v="0"/>
    <m/>
    <n v="1"/>
    <m/>
    <x v="2"/>
    <x v="2"/>
    <s v="Ground"/>
    <s v="Top, interior part of foliated spruce on trunk "/>
    <s v="Spruce"/>
    <s v="Trunk"/>
    <s v="On bark"/>
    <s v="Unknown"/>
    <n v="63.73798"/>
    <n v="148.90401"/>
    <n v="0"/>
    <n v="0"/>
    <n v="0"/>
    <n v="0"/>
    <n v="0"/>
    <n v="0"/>
    <n v="0"/>
    <m/>
    <s v="Unconfirmed B&amp;Ut suspected cache.  Bird was observed obtaining food in the previous video,  "/>
    <m/>
    <m/>
  </r>
  <r>
    <s v="DSCN1026"/>
    <s v="WW0924_1"/>
    <n v="1"/>
    <n v="1"/>
    <s v="WAC West"/>
    <d v="2018-09-24T00:00:00"/>
    <x v="0"/>
    <s v="Fall"/>
    <d v="1899-12-30T01:35:00"/>
    <s v="Partly sunny"/>
    <s v="BP/PS"/>
    <s v="Foraging"/>
    <s v="Spruce"/>
    <s v="unknown"/>
    <m/>
    <n v="0"/>
    <m/>
    <x v="2"/>
    <x v="2"/>
    <s v="NA"/>
    <s v="NA"/>
    <s v="NA"/>
    <s v="NA"/>
    <s v="NA"/>
    <s v="NA"/>
    <s v="NA"/>
    <m/>
    <n v="15"/>
    <n v="0"/>
    <n v="15"/>
    <n v="0"/>
    <n v="0"/>
    <n v="0"/>
    <n v="15"/>
    <s v="Gleaning"/>
    <m/>
    <n v="0"/>
    <n v="2"/>
  </r>
  <r>
    <s v="DSCN1080"/>
    <s v="MC0925_1"/>
    <n v="1"/>
    <n v="1"/>
    <s v="Mercantile"/>
    <d v="2018-09-25T00:00:00"/>
    <x v="0"/>
    <s v="Fall"/>
    <d v="1899-12-30T00:10:00"/>
    <s v="Overcast"/>
    <s v="BW/GS"/>
    <s v="Foraging/Food handling"/>
    <s v="Spruce"/>
    <n v="1"/>
    <m/>
    <n v="0"/>
    <m/>
    <x v="2"/>
    <x v="2"/>
    <s v="Spruce branch under bark"/>
    <s v="NA"/>
    <s v="NA"/>
    <s v="NA"/>
    <s v="NA"/>
    <s v="NA"/>
    <s v="NA"/>
    <m/>
    <n v="0"/>
    <n v="0"/>
    <n v="0"/>
    <n v="0"/>
    <n v="0"/>
    <n v="0"/>
    <n v="0"/>
    <m/>
    <s v="Could have been retrieving a cache "/>
    <m/>
    <m/>
  </r>
  <r>
    <s v="DSCN1084"/>
    <s v="MC0925_3"/>
    <n v="3"/>
    <n v="1"/>
    <s v="Mercantile"/>
    <d v="2018-09-25T00:00:00"/>
    <x v="0"/>
    <s v="Fall"/>
    <d v="1899-12-30T00:47:00"/>
    <s v="Overcast"/>
    <s v="BW/GS"/>
    <s v="Foraging/Food handling"/>
    <s v="Spruce"/>
    <n v="1"/>
    <m/>
    <n v="0"/>
    <m/>
    <x v="2"/>
    <x v="2"/>
    <s v="Exterior dense foliage of spruce"/>
    <s v="NA"/>
    <s v="NA"/>
    <s v="NA"/>
    <s v="NA"/>
    <s v="NA"/>
    <s v="NA"/>
    <m/>
    <n v="0"/>
    <n v="0"/>
    <n v="0"/>
    <n v="0"/>
    <n v="0"/>
    <n v="0"/>
    <n v="0"/>
    <m/>
    <m/>
    <m/>
    <m/>
  </r>
  <r>
    <s v="DSCN1085"/>
    <s v="MC0925_4"/>
    <n v="4"/>
    <n v="1"/>
    <s v="Mercantile"/>
    <d v="2018-09-25T00:00:00"/>
    <x v="0"/>
    <s v="Fall"/>
    <d v="1899-12-30T00:16:00"/>
    <s v="Overcast"/>
    <s v="WO/OS"/>
    <s v="Foraging"/>
    <s v="NA"/>
    <n v="1"/>
    <m/>
    <n v="0"/>
    <m/>
    <x v="6"/>
    <x v="13"/>
    <s v="Ground"/>
    <s v="NA"/>
    <s v="NA"/>
    <s v="NA"/>
    <s v="NA"/>
    <s v="NA"/>
    <s v="NA"/>
    <m/>
    <n v="0"/>
    <n v="0"/>
    <n v="0"/>
    <n v="0"/>
    <n v="0"/>
    <n v="0"/>
    <n v="0"/>
    <m/>
    <s v="In video I say worm, B&amp;Ut we checked later;def guts."/>
    <m/>
    <m/>
  </r>
  <r>
    <s v="DSCN1085"/>
    <s v="MC0925_5"/>
    <n v="5"/>
    <n v="1"/>
    <s v="Mercantile"/>
    <d v="2018-09-25T00:00:00"/>
    <x v="0"/>
    <s v="Fall"/>
    <d v="1899-12-30T00:14:00"/>
    <s v="Overcast"/>
    <s v="WO/OS"/>
    <s v="Food handling"/>
    <s v="NA"/>
    <n v="0"/>
    <m/>
    <n v="0"/>
    <m/>
    <x v="6"/>
    <x v="13"/>
    <s v="NA"/>
    <s v="NA"/>
    <s v="NA"/>
    <s v="NA"/>
    <s v="NA"/>
    <s v="NA"/>
    <s v="NA"/>
    <m/>
    <n v="0"/>
    <n v="0"/>
    <n v="0"/>
    <n v="0"/>
    <n v="0"/>
    <n v="0"/>
    <n v="0"/>
    <m/>
    <s v="Handling same bit of guts as in previors video.  "/>
    <m/>
    <m/>
  </r>
  <r>
    <s v="DSCN1088"/>
    <s v="MC0925_6"/>
    <n v="6"/>
    <n v="1"/>
    <s v="Mercantile"/>
    <d v="2018-09-25T00:00:00"/>
    <x v="0"/>
    <s v="Fall"/>
    <d v="1899-12-30T00:04:00"/>
    <s v="Overcast"/>
    <s v="WO/OS"/>
    <s v="Foraging"/>
    <s v="NA"/>
    <n v="1"/>
    <m/>
    <n v="0"/>
    <m/>
    <x v="6"/>
    <x v="13"/>
    <s v="Ground"/>
    <s v="NA"/>
    <s v="NA"/>
    <s v="NA"/>
    <s v="NA"/>
    <s v="NA"/>
    <s v="NA"/>
    <m/>
    <n v="0"/>
    <n v="0"/>
    <n v="0"/>
    <n v="0"/>
    <n v="0"/>
    <n v="0"/>
    <n v="0"/>
    <m/>
    <s v="New trip to hare"/>
    <m/>
    <m/>
  </r>
  <r>
    <s v="DSCN1089"/>
    <s v="MC0925_7"/>
    <n v="7"/>
    <n v="1"/>
    <s v="Mercantile"/>
    <d v="2018-09-25T00:00:00"/>
    <x v="0"/>
    <s v="Fall"/>
    <d v="1899-12-30T00:31:00"/>
    <s v="Overcast"/>
    <s v="WO/OS"/>
    <s v="Foraging"/>
    <s v="NA"/>
    <n v="1"/>
    <n v="3"/>
    <n v="1"/>
    <m/>
    <x v="3"/>
    <x v="4"/>
    <s v="Ground"/>
    <s v="Interior spruce foliage, 7m off ground"/>
    <s v="Spruce"/>
    <s v="Interior"/>
    <s v="Foliage"/>
    <n v="13"/>
    <n v="63.732559999999999"/>
    <n v="148.89667"/>
    <n v="0"/>
    <n v="0"/>
    <n v="0"/>
    <n v="0"/>
    <n v="6"/>
    <n v="0"/>
    <n v="6"/>
    <m/>
    <m/>
    <m/>
    <m/>
  </r>
  <r>
    <s v="DSCN1091"/>
    <s v="MC0925_8"/>
    <n v="8"/>
    <n v="1"/>
    <s v="Mercantile"/>
    <d v="2018-09-25T00:00:00"/>
    <x v="0"/>
    <s v="Fall"/>
    <d v="1899-12-30T00:21:00"/>
    <s v="Overcast"/>
    <s v="BW/GS"/>
    <s v="Caching"/>
    <s v="Spruce"/>
    <n v="0"/>
    <m/>
    <n v="1"/>
    <m/>
    <x v="7"/>
    <x v="14"/>
    <s v="unknown"/>
    <s v="Interior spruce foliage, 20M "/>
    <s v="Spruce"/>
    <s v="Interior"/>
    <s v="Foliage"/>
    <s v="Unknown"/>
    <n v="63.732529999999997"/>
    <n v="148.89622"/>
    <n v="0"/>
    <n v="0"/>
    <n v="0"/>
    <n v="0"/>
    <n v="0"/>
    <n v="0"/>
    <n v="0"/>
    <m/>
    <s v="Video does not show cache.  I had seen the female in another spruce eating the food, B&amp;Ut could not get video on her in time.  Then she flew the featured tree and put the food there.  When I saw her fly with it it looked like human food given the color/size and shape.  "/>
    <m/>
    <m/>
  </r>
  <r>
    <s v="DSCN1098"/>
    <s v="AQ0926_1"/>
    <n v="1"/>
    <n v="1"/>
    <s v="Air Quality"/>
    <d v="2018-09-26T00:00:00"/>
    <x v="0"/>
    <s v="Fall"/>
    <d v="1899-12-30T00:12:00"/>
    <s v="Overcast"/>
    <s v="PL/PS"/>
    <s v="Foraging or caching"/>
    <s v="Spruce"/>
    <s v="unknown"/>
    <m/>
    <s v="unknown"/>
    <m/>
    <x v="2"/>
    <x v="2"/>
    <s v="NA"/>
    <s v="NA"/>
    <m/>
    <m/>
    <m/>
    <s v="NA"/>
    <s v="NA"/>
    <m/>
    <n v="0"/>
    <n v="2"/>
    <n v="2"/>
    <n v="0"/>
    <n v="0"/>
    <n v="0"/>
    <n v="2"/>
    <m/>
    <m/>
    <m/>
    <m/>
  </r>
  <r>
    <s v="DSCN1099"/>
    <s v="AQ0926_2"/>
    <n v="2"/>
    <n v="1"/>
    <s v="Air Quality"/>
    <d v="2018-09-26T00:00:00"/>
    <x v="0"/>
    <s v="Fall"/>
    <d v="1899-12-30T00:30:00"/>
    <s v="Overcast"/>
    <s v="unknown"/>
    <s v="Food handling"/>
    <s v="Spruce"/>
    <n v="1"/>
    <m/>
    <n v="0"/>
    <m/>
    <x v="2"/>
    <x v="2"/>
    <s v="unknown"/>
    <s v="NA"/>
    <s v="NA"/>
    <s v="NA"/>
    <s v="NA"/>
    <s v="NA"/>
    <s v="NA"/>
    <m/>
    <n v="0"/>
    <n v="0"/>
    <n v="0"/>
    <n v="0"/>
    <n v="0"/>
    <n v="0"/>
    <n v="0"/>
    <m/>
    <s v="Eating something while on a spruce branch. "/>
    <m/>
    <m/>
  </r>
  <r>
    <s v="DSCN1100"/>
    <s v="AQ0926_3"/>
    <n v="3"/>
    <n v="1"/>
    <s v="Air Quality"/>
    <d v="2018-09-26T00:00:00"/>
    <x v="0"/>
    <s v="Fall"/>
    <d v="1899-12-30T00:46:00"/>
    <s v="Overcast"/>
    <s v="PL/PS"/>
    <s v="Caching"/>
    <s v="Spruce"/>
    <n v="0"/>
    <m/>
    <n v="2"/>
    <s v="2 (same tree)"/>
    <x v="2"/>
    <x v="2"/>
    <s v="unknown"/>
    <s v="On spruce trunk enclosed by semi-dense foliage.  "/>
    <s v="Spruce"/>
    <s v="Trunk"/>
    <s v="Under bark"/>
    <s v="Unknown"/>
    <n v="63.723379999999999"/>
    <n v="148.96933000000001"/>
    <n v="0"/>
    <n v="0"/>
    <n v="0"/>
    <n v="0"/>
    <n v="0"/>
    <n v="0"/>
    <n v="0"/>
    <m/>
    <m/>
    <m/>
    <m/>
  </r>
  <r>
    <s v="DSCN1101"/>
    <s v="AQ0926_4"/>
    <n v="4"/>
    <n v="1"/>
    <s v="Air Quality"/>
    <d v="2018-09-26T00:00:00"/>
    <x v="0"/>
    <s v="Fall"/>
    <d v="1899-12-30T01:46:00"/>
    <s v="Overcast"/>
    <s v="PL/PS"/>
    <s v="Foraging"/>
    <s v="Spruce"/>
    <n v="2"/>
    <m/>
    <n v="0"/>
    <m/>
    <x v="2"/>
    <x v="2"/>
    <s v="interior spruce foliage "/>
    <s v="NA"/>
    <s v="NA"/>
    <s v="NA"/>
    <s v="NA"/>
    <s v="NA"/>
    <s v="NA"/>
    <m/>
    <n v="0"/>
    <n v="66"/>
    <n v="66"/>
    <n v="0"/>
    <n v="2"/>
    <n v="0"/>
    <n v="68"/>
    <m/>
    <m/>
    <m/>
    <m/>
  </r>
  <r>
    <s v="DSCN1102"/>
    <s v="AQ0926_5"/>
    <n v="5"/>
    <n v="1"/>
    <s v="Air Quality"/>
    <d v="2018-09-26T00:00:00"/>
    <x v="0"/>
    <s v="Fall"/>
    <d v="1899-12-30T01:45:00"/>
    <s v="Overcast"/>
    <s v="PL/PS"/>
    <s v="Caching"/>
    <s v="Spruce"/>
    <n v="0"/>
    <m/>
    <n v="1"/>
    <m/>
    <x v="2"/>
    <x v="2"/>
    <s v="unknown"/>
    <s v="in top of stick sticking vertically from ground.  About 5ft high"/>
    <s v="Stick"/>
    <s v="Exterior"/>
    <s v="Branch"/>
    <s v="Unknown"/>
    <n v="63.723199999999999"/>
    <n v="148.97024999999999"/>
    <n v="0"/>
    <n v="0"/>
    <n v="0"/>
    <n v="0"/>
    <n v="0"/>
    <n v="0"/>
    <n v="0"/>
    <m/>
    <s v="Put Camera on this cache site "/>
    <m/>
    <m/>
  </r>
  <r>
    <s v="DSCN1102"/>
    <s v="AQ0926_5"/>
    <n v="5"/>
    <n v="2"/>
    <s v="Air Quality"/>
    <d v="2018-09-26T00:00:00"/>
    <x v="0"/>
    <s v="Fall"/>
    <d v="1899-12-30T01:45:00"/>
    <s v="Overcast"/>
    <s v="PL/PS"/>
    <s v="Caching"/>
    <s v="Spruce"/>
    <n v="0"/>
    <m/>
    <n v="1"/>
    <m/>
    <x v="2"/>
    <x v="2"/>
    <s v="unknown"/>
    <s v="Interior spruce bare branch under bark"/>
    <s v="Spruce"/>
    <s v="Interior"/>
    <s v="Branch under bark"/>
    <s v="Unknown"/>
    <n v="63.723280000000003"/>
    <n v="148.97037"/>
    <n v="0"/>
    <n v="0"/>
    <n v="0"/>
    <n v="0"/>
    <n v="0"/>
    <n v="0"/>
    <n v="0"/>
    <m/>
    <s v="Put Camera on this cache site "/>
    <m/>
    <m/>
  </r>
  <r>
    <s v="DSCN1102"/>
    <s v="AQ0926_5"/>
    <n v="5"/>
    <n v="3"/>
    <s v="Air Quality"/>
    <d v="2018-09-26T00:00:00"/>
    <x v="0"/>
    <s v="Fall"/>
    <d v="1899-12-30T01:45:00"/>
    <s v="Overcast"/>
    <s v="PL/PS"/>
    <s v="Caching"/>
    <s v="Spruce"/>
    <n v="0"/>
    <m/>
    <n v="2"/>
    <s v="Same tree"/>
    <x v="2"/>
    <x v="2"/>
    <s v="unknown"/>
    <s v="Exterior bare branch under bark/which hair."/>
    <s v="Spruce"/>
    <s v="Exterior"/>
    <s v="Under bark and witch hair "/>
    <s v="Unknown"/>
    <n v="63.723230000000001"/>
    <n v="148.97020000000001"/>
    <n v="0"/>
    <n v="0"/>
    <n v="0"/>
    <n v="0"/>
    <n v="0"/>
    <n v="0"/>
    <n v="0"/>
    <m/>
    <s v="Put Camera on this cache site "/>
    <m/>
    <m/>
  </r>
  <r>
    <s v="DSCN1112"/>
    <s v="CC0926_1"/>
    <n v="1"/>
    <n v="1"/>
    <s v="CCAMP"/>
    <d v="2018-09-26T00:00:00"/>
    <x v="0"/>
    <s v="Fall"/>
    <d v="1899-12-30T00:16:00"/>
    <s v="Overcast"/>
    <s v="unknown"/>
    <s v="Foraging"/>
    <s v="NA"/>
    <s v="unknown"/>
    <m/>
    <n v="0"/>
    <m/>
    <x v="2"/>
    <x v="2"/>
    <s v="NA"/>
    <s v="NA"/>
    <s v="NA"/>
    <s v="NA"/>
    <s v="NA"/>
    <s v="NA"/>
    <s v="NA"/>
    <m/>
    <n v="0"/>
    <n v="0"/>
    <n v="0"/>
    <n v="0"/>
    <n v="3"/>
    <n v="0"/>
    <n v="3"/>
    <m/>
    <m/>
    <m/>
    <m/>
  </r>
  <r>
    <s v="DSCN1116"/>
    <s v="CC0926_2"/>
    <n v="2"/>
    <n v="1"/>
    <s v="CCAMP"/>
    <d v="2018-09-26T00:00:00"/>
    <x v="0"/>
    <s v="Fall"/>
    <d v="1899-12-30T00:20:00"/>
    <s v="Overcast"/>
    <s v="GR/RS"/>
    <s v="Food handling"/>
    <s v="Spruce"/>
    <n v="1"/>
    <m/>
    <n v="0"/>
    <m/>
    <x v="2"/>
    <x v="2"/>
    <s v="unknown"/>
    <s v="NA"/>
    <s v="NA"/>
    <s v="NA"/>
    <s v="NA"/>
    <s v="NA"/>
    <s v="NA"/>
    <m/>
    <n v="0"/>
    <n v="0"/>
    <n v="0"/>
    <n v="0"/>
    <n v="0"/>
    <n v="0"/>
    <n v="0"/>
    <m/>
    <s v="No idea what food is! "/>
    <m/>
    <m/>
  </r>
  <r>
    <s v="DSCN1118"/>
    <s v="CC0926_3"/>
    <n v="3"/>
    <n v="1"/>
    <s v="CCAMP"/>
    <d v="2018-09-26T00:00:00"/>
    <x v="0"/>
    <s v="Fall"/>
    <d v="1899-12-30T01:10:00"/>
    <s v="Overcast"/>
    <s v="GR/RS"/>
    <s v="Caching"/>
    <s v="Spruce, aspen"/>
    <n v="0"/>
    <m/>
    <n v="2"/>
    <s v="Same tree"/>
    <x v="2"/>
    <x v="2"/>
    <s v="unknown"/>
    <s v="Exterior aspen branch under bark "/>
    <s v="Aspen"/>
    <s v="Exterior"/>
    <s v="Under bark"/>
    <s v="Unknown"/>
    <n v="63.724490000000003"/>
    <n v="148.95013"/>
    <n v="0"/>
    <n v="0"/>
    <n v="0"/>
    <n v="0"/>
    <n v="0"/>
    <n v="0"/>
    <n v="0"/>
    <m/>
    <s v="Great cache video, especially at 0:43"/>
    <m/>
    <m/>
  </r>
  <r>
    <s v="DSCN1118"/>
    <s v="CC0926_3"/>
    <n v="3"/>
    <n v="2"/>
    <s v="CCAMP"/>
    <d v="2018-09-26T00:00:00"/>
    <x v="0"/>
    <s v="Fall"/>
    <d v="1899-12-30T01:10:00"/>
    <s v="Overcast"/>
    <s v="GR/RS"/>
    <s v="Caching"/>
    <s v="Spruce, aspen"/>
    <n v="0"/>
    <m/>
    <n v="1"/>
    <m/>
    <x v="2"/>
    <x v="2"/>
    <s v="unknown"/>
    <s v="Exterior aspen branch under bark "/>
    <s v="Aspen"/>
    <s v="Exterior"/>
    <s v="Branch under bark"/>
    <s v="Unknown"/>
    <n v="63.724469999999997"/>
    <n v="148.95013"/>
    <n v="0"/>
    <n v="0"/>
    <n v="0"/>
    <n v="0"/>
    <n v="0"/>
    <n v="0"/>
    <n v="0"/>
    <m/>
    <s v="Great cache video, especially at 0:43"/>
    <m/>
    <m/>
  </r>
  <r>
    <s v="DSCN1118"/>
    <s v="CC0926_3"/>
    <n v="3"/>
    <n v="3"/>
    <s v="CCAMP"/>
    <d v="2018-09-26T00:00:00"/>
    <x v="0"/>
    <s v="Fall"/>
    <d v="1899-12-30T01:10:00"/>
    <s v="Overcast"/>
    <s v="GR/RS"/>
    <s v="Caching"/>
    <s v="Spruce, aspen"/>
    <n v="0"/>
    <m/>
    <n v="1"/>
    <m/>
    <x v="2"/>
    <x v="2"/>
    <s v="unknown"/>
    <s v="Exterior spruce foliage"/>
    <s v="Spruce"/>
    <s v="Exterior"/>
    <s v="Foliage"/>
    <s v="Unknown"/>
    <n v="63.724350000000001"/>
    <n v="148.95016000000001"/>
    <n v="0"/>
    <n v="0"/>
    <n v="0"/>
    <n v="0"/>
    <n v="0"/>
    <n v="0"/>
    <n v="0"/>
    <m/>
    <s v="Great cache video, especially at 0:43"/>
    <m/>
    <m/>
  </r>
  <r>
    <s v="DSCN1121"/>
    <s v="CC0926_4"/>
    <n v="4"/>
    <n v="1"/>
    <s v="CCAMP"/>
    <d v="2018-09-26T00:00:00"/>
    <x v="0"/>
    <s v="Fall"/>
    <d v="1899-12-30T00:07:00"/>
    <s v="Overcast"/>
    <s v="GR/RS"/>
    <s v="Caching"/>
    <s v="Aspen"/>
    <n v="0"/>
    <m/>
    <n v="1"/>
    <m/>
    <x v="2"/>
    <x v="2"/>
    <s v="ground"/>
    <s v="Aspen trunk"/>
    <s v="Aspen"/>
    <s v="Trunk"/>
    <s v="On bark"/>
    <n v="25"/>
    <n v="63.724290000000003"/>
    <n v="148.94922"/>
    <n v="0"/>
    <n v="0"/>
    <n v="0"/>
    <n v="0"/>
    <n v="0"/>
    <n v="0"/>
    <n v="0"/>
    <m/>
    <s v="Checked and could see cache! Later put camera on cache tree. "/>
    <m/>
    <m/>
  </r>
  <r>
    <s v="DSCN1128"/>
    <s v="AQ0926_6"/>
    <n v="6"/>
    <n v="1"/>
    <s v="Air Quality"/>
    <d v="2018-09-26T00:00:00"/>
    <x v="0"/>
    <s v="Fall"/>
    <d v="1899-12-30T00:13:00"/>
    <s v="Overcast"/>
    <s v="PL/PS"/>
    <s v="Foraging"/>
    <s v="NA"/>
    <s v="unknown"/>
    <m/>
    <n v="0"/>
    <m/>
    <x v="1"/>
    <x v="1"/>
    <s v="NA"/>
    <s v="NA"/>
    <s v="NA"/>
    <s v="NA"/>
    <s v="NA"/>
    <s v="NA"/>
    <s v="NA"/>
    <m/>
    <n v="0"/>
    <n v="0"/>
    <n v="0"/>
    <n v="0"/>
    <n v="13"/>
    <n v="0"/>
    <n v="13"/>
    <m/>
    <m/>
    <m/>
    <m/>
  </r>
  <r>
    <s v="DSCN1129"/>
    <s v="AQ0926_7"/>
    <n v="7"/>
    <n v="1"/>
    <s v="Air Quality"/>
    <d v="2018-09-26T00:00:00"/>
    <x v="0"/>
    <s v="Fall"/>
    <d v="1899-12-30T00:19:00"/>
    <s v="Overcast"/>
    <s v="PL/PS"/>
    <s v="Foraging"/>
    <s v="NA"/>
    <n v="1"/>
    <m/>
    <n v="0"/>
    <m/>
    <x v="2"/>
    <x v="2"/>
    <s v="Ground"/>
    <s v="NA"/>
    <s v="NA"/>
    <s v="NA"/>
    <s v="NA"/>
    <s v="NA"/>
    <s v="NA"/>
    <m/>
    <n v="0"/>
    <n v="0"/>
    <n v="0"/>
    <n v="0"/>
    <n v="17"/>
    <n v="0"/>
    <n v="17"/>
    <m/>
    <m/>
    <m/>
    <m/>
  </r>
  <r>
    <s v="DSCN1131"/>
    <s v="AQ0926_8"/>
    <n v="8"/>
    <n v="1"/>
    <s v="Air Quality"/>
    <d v="2018-09-26T00:00:00"/>
    <x v="0"/>
    <s v="Fall"/>
    <d v="1899-12-30T00:09:00"/>
    <s v="Overcast"/>
    <s v="PG/PS"/>
    <s v="Caching"/>
    <s v="Spruce"/>
    <n v="0"/>
    <m/>
    <n v="1"/>
    <m/>
    <x v="2"/>
    <x v="2"/>
    <s v="Ground"/>
    <s v="interior spruce, maybe on trunk"/>
    <s v="Spruce"/>
    <s v="Interior"/>
    <s v="Branch under witch hair"/>
    <s v="Unknown"/>
    <n v="63.721530000000001"/>
    <n v="148.96460999999999"/>
    <n v="0"/>
    <n v="0"/>
    <n v="0"/>
    <n v="0"/>
    <n v="0"/>
    <n v="0"/>
    <n v="0"/>
    <m/>
    <m/>
    <m/>
    <m/>
  </r>
  <r>
    <s v="DSCN1133"/>
    <s v="AQ0926_9"/>
    <n v="9"/>
    <n v="1"/>
    <s v="Air Quality"/>
    <d v="2018-09-26T00:00:00"/>
    <x v="0"/>
    <s v="Fall"/>
    <d v="1899-12-30T01:40:00"/>
    <s v="Overcast"/>
    <s v="PL/PS"/>
    <s v="Foraging"/>
    <s v="Spruce"/>
    <n v="1"/>
    <m/>
    <n v="2"/>
    <s v="Same tree"/>
    <x v="2"/>
    <x v="2"/>
    <s v="Spruce foliage"/>
    <s v="Interior spruce bare branch/witches broom "/>
    <s v="Spruce"/>
    <s v="Interior"/>
    <s v="In mistoe"/>
    <n v="5"/>
    <n v="63.721490000000003"/>
    <n v="148.96460999999999"/>
    <n v="0"/>
    <n v="0"/>
    <n v="0"/>
    <n v="0"/>
    <n v="0"/>
    <n v="0"/>
    <n v="0"/>
    <m/>
    <m/>
    <m/>
    <m/>
  </r>
  <r>
    <s v="DSCN1134"/>
    <s v="AQ0926_10"/>
    <n v="10"/>
    <n v="1"/>
    <s v="Air Quality"/>
    <d v="2018-09-26T00:00:00"/>
    <x v="0"/>
    <s v="Fall"/>
    <d v="1899-12-30T00:21:00"/>
    <s v="Overcast"/>
    <s v="PL/PS"/>
    <s v="Caching"/>
    <s v="Spruce"/>
    <n v="0"/>
    <m/>
    <n v="1"/>
    <m/>
    <x v="2"/>
    <x v="2"/>
    <s v="NA"/>
    <s v="Spruce trunk under bark"/>
    <s v="Spruce"/>
    <s v="Trunk"/>
    <s v="Under bark"/>
    <n v="8"/>
    <n v="63.721330000000002"/>
    <n v="148.96489"/>
    <n v="0"/>
    <n v="0"/>
    <n v="0"/>
    <n v="0"/>
    <n v="0"/>
    <n v="0"/>
    <n v="0"/>
    <m/>
    <s v="All the same food item as in previous video"/>
    <m/>
    <m/>
  </r>
  <r>
    <s v="DSCN1140"/>
    <s v="WW0926_1"/>
    <n v="1"/>
    <n v="1"/>
    <s v="WAC West"/>
    <d v="2018-09-26T00:00:00"/>
    <x v="0"/>
    <s v="Fall"/>
    <d v="1899-12-30T00:13:00"/>
    <s v="Overcast"/>
    <s v="BP/PS"/>
    <s v="Caching"/>
    <s v="Spruce"/>
    <n v="0"/>
    <m/>
    <n v="1"/>
    <m/>
    <x v="2"/>
    <x v="2"/>
    <s v="unknown"/>
    <s v="Spruce trunk under bark"/>
    <s v="Spruce"/>
    <s v="Trunk"/>
    <s v="Under bark"/>
    <s v="Unknown"/>
    <n v="63.737909999999999"/>
    <n v="148.90565000000001"/>
    <n v="0"/>
    <n v="0"/>
    <n v="0"/>
    <n v="0"/>
    <n v="0"/>
    <n v="0"/>
    <n v="0"/>
    <m/>
    <m/>
    <m/>
    <m/>
  </r>
  <r>
    <s v="DSCN1146"/>
    <s v="WW0926_2"/>
    <n v="2"/>
    <n v="1"/>
    <s v="WAC West"/>
    <d v="2018-09-26T00:00:00"/>
    <x v="0"/>
    <s v="Fall"/>
    <d v="1899-12-30T00:36:00"/>
    <s v="Overcast"/>
    <s v="BP/PS"/>
    <s v="Foraging"/>
    <s v="NA"/>
    <s v="unknown"/>
    <m/>
    <n v="0"/>
    <m/>
    <x v="2"/>
    <x v="2"/>
    <s v="NA"/>
    <s v="NA"/>
    <s v="NA"/>
    <s v="NA"/>
    <s v="NA"/>
    <s v="NA"/>
    <s v="NA"/>
    <m/>
    <n v="0"/>
    <n v="0"/>
    <n v="0"/>
    <n v="0"/>
    <n v="33"/>
    <n v="0"/>
    <n v="33"/>
    <m/>
    <m/>
    <m/>
    <m/>
  </r>
  <r>
    <s v="DSCN1148"/>
    <s v="WW0926_3"/>
    <n v="3"/>
    <n v="1"/>
    <s v="WAC West"/>
    <d v="2018-09-26T00:00:00"/>
    <x v="0"/>
    <s v="Fall"/>
    <d v="1899-12-30T00:23:00"/>
    <s v="Overcast"/>
    <s v="BP/PS"/>
    <s v="Foraging/caching"/>
    <s v="Spruce"/>
    <n v="1"/>
    <m/>
    <n v="1"/>
    <m/>
    <x v="3"/>
    <x v="4"/>
    <s v="Ground"/>
    <s v="Exterior spruce branch on bare branch and lichen"/>
    <s v="Spruce"/>
    <s v="Exterior"/>
    <s v="Under bark and witch hair "/>
    <n v="10"/>
    <n v="63.739910000000002"/>
    <n v="148.90183999999999"/>
    <n v="0"/>
    <n v="0"/>
    <n v="0"/>
    <n v="0"/>
    <n v="11"/>
    <n v="0"/>
    <n v="11"/>
    <m/>
    <s v="I went an inspected tree and could see cached bluberry on branch.  Later, after we lost the bird, I could not find it though! "/>
    <m/>
    <m/>
  </r>
  <r>
    <s v="DSCN1150"/>
    <s v="WW0926_4"/>
    <n v="4"/>
    <n v="1"/>
    <s v="WAC West"/>
    <d v="2018-09-26T00:00:00"/>
    <x v="0"/>
    <s v="Fall"/>
    <d v="1899-12-30T00:24:00"/>
    <s v="Overcast"/>
    <s v="BP/PS"/>
    <s v="Foraging"/>
    <s v="NA"/>
    <s v="unknown"/>
    <m/>
    <n v="0"/>
    <m/>
    <x v="2"/>
    <x v="2"/>
    <s v="NA"/>
    <s v="NA"/>
    <s v="NA"/>
    <s v="NA"/>
    <s v="NA"/>
    <s v="NA"/>
    <s v="NA"/>
    <m/>
    <n v="0"/>
    <n v="0"/>
    <n v="0"/>
    <n v="0"/>
    <n v="21"/>
    <n v="0"/>
    <n v="21"/>
    <m/>
    <m/>
    <m/>
    <m/>
  </r>
  <r>
    <s v="DSCN1153"/>
    <s v="WW0926_5"/>
    <n v="5"/>
    <n v="1"/>
    <s v="WAC West"/>
    <d v="2018-09-26T00:00:00"/>
    <x v="0"/>
    <s v="Fall"/>
    <d v="1899-12-30T00:34:00"/>
    <s v="Overcast"/>
    <s v="BP/PS"/>
    <s v="Foraging/caching"/>
    <s v="Spruce"/>
    <n v="1"/>
    <m/>
    <n v="1"/>
    <m/>
    <x v="4"/>
    <x v="44"/>
    <s v="Ground"/>
    <s v="Interior spruce, middle of branch under bark "/>
    <s v="Spruce"/>
    <s v="Interior"/>
    <s v="Under bark"/>
    <n v="5"/>
    <n v="63.739980000000003"/>
    <n v="148.90302"/>
    <n v="0"/>
    <n v="0"/>
    <n v="0"/>
    <n v="0"/>
    <n v="6"/>
    <n v="0"/>
    <n v="6"/>
    <m/>
    <m/>
    <m/>
    <m/>
  </r>
  <r>
    <s v="DSCN1155"/>
    <s v="WW0926_6"/>
    <n v="6"/>
    <n v="1"/>
    <s v="WAC West"/>
    <d v="2018-09-26T00:00:00"/>
    <x v="0"/>
    <s v="Fall"/>
    <d v="1899-12-30T00:17:00"/>
    <s v="Overcast"/>
    <s v="BP/PS"/>
    <s v="Foraging"/>
    <s v="NA"/>
    <s v="unknown"/>
    <m/>
    <n v="0"/>
    <m/>
    <x v="2"/>
    <x v="2"/>
    <s v="NA"/>
    <s v="NA"/>
    <s v="NA"/>
    <s v="NA"/>
    <s v="NA"/>
    <s v="NA"/>
    <s v="NA"/>
    <m/>
    <n v="0"/>
    <n v="0"/>
    <n v="0"/>
    <n v="0"/>
    <n v="15"/>
    <n v="0"/>
    <n v="15"/>
    <m/>
    <m/>
    <m/>
    <m/>
  </r>
  <r>
    <s v="DSCN1158"/>
    <s v="WW0926_7"/>
    <n v="7"/>
    <n v="1"/>
    <s v="WAC West"/>
    <d v="2018-09-26T00:00:00"/>
    <x v="0"/>
    <s v="Fall"/>
    <d v="1899-12-30T00:17:00"/>
    <s v="Overcast"/>
    <s v="BP/PS"/>
    <s v="Caching"/>
    <s v="Spruce"/>
    <n v="0"/>
    <m/>
    <n v="1"/>
    <m/>
    <x v="2"/>
    <x v="2"/>
    <s v="unknown"/>
    <s v="Spruce trunk under bark"/>
    <s v="Spruce"/>
    <s v="Trunk"/>
    <s v="Under bark"/>
    <s v="Unknown"/>
    <n v="63.739550000000001"/>
    <n v="148.90470999999999"/>
    <n v="0"/>
    <n v="0"/>
    <n v="0"/>
    <n v="0"/>
    <n v="0"/>
    <n v="0"/>
    <n v="0"/>
    <m/>
    <s v="Suspected B&amp;Ut unconfirmed cache"/>
    <m/>
    <m/>
  </r>
  <r>
    <s v="DSCN1162"/>
    <s v="WW0926_8"/>
    <n v="8"/>
    <n v="1"/>
    <s v="WAC West"/>
    <d v="2018-09-26T00:00:00"/>
    <x v="0"/>
    <s v="Fall"/>
    <d v="1899-12-30T00:50:00"/>
    <s v="Overcast"/>
    <s v="BP/PS"/>
    <s v="Foraging"/>
    <s v="NA"/>
    <n v="1"/>
    <m/>
    <n v="0"/>
    <m/>
    <x v="2"/>
    <x v="2"/>
    <s v="Ground"/>
    <s v="NA"/>
    <s v="NA"/>
    <s v="NA"/>
    <s v="NA"/>
    <s v="NA"/>
    <s v="NA"/>
    <m/>
    <n v="0"/>
    <n v="0"/>
    <n v="0"/>
    <n v="0"/>
    <n v="7"/>
    <n v="0"/>
    <n v="7"/>
    <m/>
    <m/>
    <m/>
    <m/>
  </r>
  <r>
    <s v="DSCN1163"/>
    <s v="WW0926_9"/>
    <n v="9"/>
    <n v="1"/>
    <s v="WAC West"/>
    <d v="2018-09-26T00:00:00"/>
    <x v="0"/>
    <s v="Fall"/>
    <d v="1899-12-30T00:48:00"/>
    <s v="Overcast"/>
    <s v="BP/PS"/>
    <s v="Foraging/caching"/>
    <s v="Spruce"/>
    <n v="1"/>
    <m/>
    <n v="1"/>
    <m/>
    <x v="4"/>
    <x v="44"/>
    <s v="Ground"/>
    <s v="Exterior spruce branch under bark"/>
    <s v="Spruce"/>
    <s v="Exterior"/>
    <s v="Under bark"/>
    <n v="10"/>
    <n v="63.739829999999998"/>
    <n v="148.90535"/>
    <n v="0"/>
    <n v="0"/>
    <n v="0"/>
    <n v="0"/>
    <n v="0"/>
    <n v="0"/>
    <n v="0"/>
    <m/>
    <s v="bird has just come off the Ground at video start. "/>
    <m/>
    <m/>
  </r>
  <r>
    <s v="DSCN1164"/>
    <s v="WW0926_10"/>
    <n v="10"/>
    <n v="1"/>
    <s v="WAC West"/>
    <d v="2018-09-26T00:00:00"/>
    <x v="0"/>
    <s v="Fall"/>
    <d v="1899-12-30T00:25:00"/>
    <s v="Overcast"/>
    <s v="BP/PS"/>
    <s v="Caching"/>
    <s v="Aspen"/>
    <n v="0"/>
    <m/>
    <n v="1"/>
    <m/>
    <x v="4"/>
    <x v="44"/>
    <s v="NA"/>
    <s v="Exterior aspen branch under bark"/>
    <s v="Spruce"/>
    <s v="Exterior"/>
    <s v="Under bark"/>
    <s v="Unknown"/>
    <n v="63.740020000000001"/>
    <n v="148.90588"/>
    <n v="0"/>
    <n v="0"/>
    <n v="0"/>
    <n v="0"/>
    <n v="0"/>
    <n v="0"/>
    <n v="0"/>
    <m/>
    <s v="Same food as in previous video"/>
    <m/>
    <m/>
  </r>
  <r>
    <s v="DSCN1167"/>
    <s v="WW0926_11"/>
    <n v="11"/>
    <n v="1"/>
    <s v="WAC West"/>
    <d v="2018-09-26T00:00:00"/>
    <x v="0"/>
    <s v="Fall"/>
    <d v="1899-12-30T00:17:00"/>
    <s v="Overcast"/>
    <s v="BP/PS"/>
    <s v="Caching"/>
    <s v="Spruce"/>
    <n v="0"/>
    <m/>
    <n v="1"/>
    <m/>
    <x v="2"/>
    <x v="2"/>
    <s v="unknown"/>
    <s v="Exterior spruce branch under bark/lichen"/>
    <s v="Spruce"/>
    <s v="Exterior"/>
    <s v="Under bark"/>
    <s v="Unknown"/>
    <n v="63.74024"/>
    <n v="148.90630999999999"/>
    <n v="0"/>
    <n v="0"/>
    <n v="0"/>
    <n v="0"/>
    <n v="0"/>
    <n v="0"/>
    <n v="0"/>
    <m/>
    <s v="Video picks up right after it cached. "/>
    <m/>
    <m/>
  </r>
  <r>
    <s v="DSCN1173"/>
    <s v="M4R0927_1"/>
    <n v="1"/>
    <n v="1"/>
    <s v="M4Roadside"/>
    <d v="2018-09-27T00:00:00"/>
    <x v="0"/>
    <s v="Fall"/>
    <d v="1899-12-30T00:25:00"/>
    <s v="Overcast"/>
    <s v="OB/YS"/>
    <s v="Foraging/caching"/>
    <s v="Spruce"/>
    <n v="1"/>
    <m/>
    <n v="1"/>
    <m/>
    <x v="2"/>
    <x v="2"/>
    <s v="Spruce foliage"/>
    <s v="Exterior spruce foliage"/>
    <s v="Spruce"/>
    <s v="Exterior"/>
    <s v="Foliage"/>
    <n v="2"/>
    <n v="63.722810000000003"/>
    <n v="148.98181"/>
    <n v="0"/>
    <n v="0"/>
    <n v="0"/>
    <n v="0"/>
    <n v="0"/>
    <n v="0"/>
    <n v="0"/>
    <m/>
    <s v="Instantly picks food from branch "/>
    <m/>
    <m/>
  </r>
  <r>
    <s v="DSCN1174"/>
    <s v="M4R0927_2"/>
    <n v="2"/>
    <n v="1"/>
    <s v="M4Roadside"/>
    <d v="2018-09-27T00:00:00"/>
    <x v="0"/>
    <s v="Fall"/>
    <d v="1899-12-30T00:13:00"/>
    <s v="Overcast"/>
    <s v="OB/YS"/>
    <s v="Foraging"/>
    <s v="Spruce"/>
    <n v="1"/>
    <m/>
    <n v="0"/>
    <m/>
    <x v="5"/>
    <x v="45"/>
    <s v="Spruce branch"/>
    <s v="NA"/>
    <s v="NA"/>
    <s v="NA"/>
    <s v="NA"/>
    <s v="NA"/>
    <s v="NA"/>
    <m/>
    <n v="0"/>
    <n v="0"/>
    <n v="0"/>
    <n v="0"/>
    <n v="0"/>
    <n v="0"/>
    <n v="0"/>
    <m/>
    <m/>
    <m/>
    <m/>
  </r>
  <r>
    <s v="DSCN1176"/>
    <s v="M4R0927_3"/>
    <n v="3"/>
    <n v="1"/>
    <s v="M4Roadside"/>
    <d v="2018-09-27T00:00:00"/>
    <x v="0"/>
    <s v="Fall"/>
    <d v="1899-12-30T00:23:00"/>
    <s v="Overcast"/>
    <s v="OB/YS"/>
    <s v="Foraging"/>
    <s v="Spruce"/>
    <n v="1"/>
    <m/>
    <n v="0"/>
    <m/>
    <x v="2"/>
    <x v="2"/>
    <s v="Spruce trunk"/>
    <s v="NA"/>
    <s v="NA"/>
    <s v="NA"/>
    <s v="NA"/>
    <s v="NA"/>
    <s v="NA"/>
    <m/>
    <n v="18"/>
    <n v="0"/>
    <n v="18"/>
    <n v="0"/>
    <n v="0"/>
    <n v="0"/>
    <n v="18"/>
    <s v="searching/Probing"/>
    <m/>
    <n v="2"/>
    <n v="0"/>
  </r>
  <r>
    <s v="DSCN1177"/>
    <s v="M4R0917_4"/>
    <n v="4"/>
    <n v="1"/>
    <s v="M4Roadside"/>
    <d v="2018-09-27T00:00:00"/>
    <x v="0"/>
    <s v="Fall"/>
    <d v="1899-12-30T00:14:00"/>
    <s v="Overcast"/>
    <s v="OB/YS"/>
    <s v="Caching"/>
    <s v="Spruce"/>
    <n v="0"/>
    <m/>
    <n v="1"/>
    <m/>
    <x v="2"/>
    <x v="2"/>
    <s v="unknown"/>
    <s v="Exterior spruce foliage"/>
    <s v="Spruce"/>
    <s v="Exterior"/>
    <s v="Foliage"/>
    <s v="Unknown"/>
    <n v="63.722810000000003"/>
    <n v="148.98215999999999"/>
    <n v="0"/>
    <n v="0"/>
    <n v="0"/>
    <n v="0"/>
    <n v="0"/>
    <n v="0"/>
    <n v="0"/>
    <m/>
    <s v="Unconfirmed B&amp;Ut suspected cache. "/>
    <m/>
    <m/>
  </r>
  <r>
    <s v="DSCN1179"/>
    <s v="M4R0927_5"/>
    <n v="5"/>
    <n v="1"/>
    <s v="M4Roadside"/>
    <d v="2018-09-27T00:00:00"/>
    <x v="0"/>
    <s v="Fall"/>
    <d v="1899-12-30T00:07:00"/>
    <s v="Overcast"/>
    <s v="WG/OS"/>
    <s v="Foraging"/>
    <s v="NA"/>
    <n v="1"/>
    <m/>
    <n v="0"/>
    <m/>
    <x v="2"/>
    <x v="2"/>
    <s v="Ground"/>
    <s v="NA"/>
    <s v="NA"/>
    <s v="NA"/>
    <s v="NA"/>
    <s v="NA"/>
    <s v="NA"/>
    <m/>
    <n v="0"/>
    <n v="0"/>
    <n v="0"/>
    <n v="0"/>
    <n v="7"/>
    <n v="0"/>
    <n v="7"/>
    <m/>
    <m/>
    <m/>
    <m/>
  </r>
  <r>
    <s v="DSCN1182"/>
    <s v="M4R0927_6"/>
    <n v="6"/>
    <n v="1"/>
    <s v="M4Roadside"/>
    <d v="2018-09-27T00:00:00"/>
    <x v="0"/>
    <s v="Fall"/>
    <d v="1899-12-30T00:30:00"/>
    <s v="Overcast"/>
    <s v="Unknown"/>
    <s v="Foraging/Food handling"/>
    <s v="Spruce"/>
    <n v="1"/>
    <m/>
    <n v="0"/>
    <m/>
    <x v="6"/>
    <x v="17"/>
    <s v="Interior spruce foliage"/>
    <s v="NA"/>
    <s v="NA"/>
    <s v="NA"/>
    <s v="NA"/>
    <s v="NA"/>
    <s v="NA"/>
    <m/>
    <n v="0"/>
    <n v="16"/>
    <n v="16"/>
    <n v="0"/>
    <n v="0"/>
    <n v="0"/>
    <n v="16"/>
    <m/>
    <m/>
    <m/>
    <m/>
  </r>
  <r>
    <s v="DSCN1183"/>
    <s v="M4R0927_7"/>
    <n v="7"/>
    <n v="1"/>
    <s v="M4Roadside"/>
    <d v="2018-09-27T00:00:00"/>
    <x v="0"/>
    <s v="Fall"/>
    <d v="1899-12-30T00:29:00"/>
    <s v="Overcast"/>
    <s v="Unbanded"/>
    <s v="Caching"/>
    <s v="Aspen"/>
    <n v="0"/>
    <m/>
    <n v="2"/>
    <s v="2 (same tree)"/>
    <x v="6"/>
    <x v="17"/>
    <s v="Interior spruce foliage"/>
    <s v="bare aspen branch under bark"/>
    <s v="Aspen"/>
    <s v="Exterior"/>
    <s v="Under bark"/>
    <s v="Unknown"/>
    <n v="63.72307"/>
    <n v="148.98291"/>
    <n v="0"/>
    <n v="0"/>
    <n v="0"/>
    <n v="0"/>
    <n v="0"/>
    <n v="0"/>
    <n v="0"/>
    <m/>
    <s v="Same food as in previous video.  "/>
    <m/>
    <m/>
  </r>
  <r>
    <s v="DSCN1199"/>
    <s v="M2370927_1"/>
    <n v="1"/>
    <n v="1"/>
    <s v="Mile 237"/>
    <d v="2018-09-27T00:00:00"/>
    <x v="0"/>
    <s v="Fall"/>
    <d v="1899-12-30T00:32:00"/>
    <s v="Partly sunny"/>
    <s v="YP/RS"/>
    <s v="Foraging"/>
    <s v="NA"/>
    <n v="1"/>
    <m/>
    <n v="0"/>
    <m/>
    <x v="4"/>
    <x v="44"/>
    <s v="Ground"/>
    <s v="NA"/>
    <s v="NA"/>
    <s v="NA"/>
    <s v="NA"/>
    <s v="NA"/>
    <s v="NA"/>
    <m/>
    <n v="0"/>
    <n v="0"/>
    <n v="0"/>
    <n v="0"/>
    <n v="26"/>
    <n v="0"/>
    <n v="26"/>
    <m/>
    <m/>
    <m/>
    <m/>
  </r>
  <r>
    <s v="DSCN1200"/>
    <s v="M2370927_2"/>
    <n v="2"/>
    <n v="1"/>
    <s v="Mile 237"/>
    <d v="2018-09-27T00:00:00"/>
    <x v="0"/>
    <s v="Fall"/>
    <d v="1899-12-30T00:11:00"/>
    <s v="Partly sunny"/>
    <s v="YP/RS"/>
    <s v="Caching"/>
    <s v="Spruce"/>
    <n v="0"/>
    <m/>
    <n v="1"/>
    <m/>
    <x v="4"/>
    <x v="44"/>
    <s v="NA"/>
    <s v="Interior bare spruce branch under bark"/>
    <s v="Spruce"/>
    <s v="Interior"/>
    <s v="Under bark"/>
    <n v="3"/>
    <n v="63.724089999999997"/>
    <n v="148.88977"/>
    <n v="0"/>
    <n v="0"/>
    <n v="0"/>
    <n v="0"/>
    <n v="0"/>
    <n v="0"/>
    <n v="0"/>
    <m/>
    <s v="Same food as in previous video."/>
    <m/>
    <m/>
  </r>
  <r>
    <s v="DSCN1203"/>
    <s v="M2370927_3"/>
    <n v="3"/>
    <n v="1"/>
    <s v="Mile 237"/>
    <d v="2018-09-27T00:00:00"/>
    <x v="0"/>
    <s v="Fall"/>
    <d v="1899-12-30T00:29:00"/>
    <s v="Partly sunny"/>
    <s v="YP/RS"/>
    <s v="Foraging/caching"/>
    <s v="Spruce"/>
    <n v="1"/>
    <m/>
    <n v="1"/>
    <m/>
    <x v="2"/>
    <x v="2"/>
    <s v="Ground"/>
    <s v="Interior bare spruce branch under bark"/>
    <s v="Spruce"/>
    <s v="Interior"/>
    <s v="Under bark"/>
    <n v="17"/>
    <n v="63.723649999999999"/>
    <n v="148.88979"/>
    <n v="0"/>
    <n v="0"/>
    <n v="0"/>
    <n v="0"/>
    <n v="1"/>
    <n v="0"/>
    <n v="1"/>
    <m/>
    <s v="Didn't catch either on video, narration only. "/>
    <m/>
    <m/>
  </r>
  <r>
    <s v="DSCN1206"/>
    <s v="M2371011_3"/>
    <n v="3"/>
    <n v="1"/>
    <s v="Mile 237"/>
    <d v="2018-10-11T00:00:00"/>
    <x v="1"/>
    <s v="Fall"/>
    <d v="1899-12-30T00:26:00"/>
    <m/>
    <s v="GB/PS"/>
    <s v="Foraging or caching"/>
    <s v="Aspen"/>
    <s v="unknown"/>
    <m/>
    <s v="unknown"/>
    <m/>
    <x v="2"/>
    <x v="2"/>
    <s v="Under bare spruce branch bark"/>
    <s v="Under bare spruce branch bark"/>
    <m/>
    <m/>
    <m/>
    <s v="Unknown"/>
    <n v="63.724080000000001"/>
    <n v="148.88910000000001"/>
    <n v="0"/>
    <n v="0"/>
    <n v="0"/>
    <n v="0"/>
    <n v="0"/>
    <n v="0"/>
    <n v="0"/>
    <m/>
    <s v="Was either obtaining food from branch or placing it there.  Impossible to tell. "/>
    <m/>
    <m/>
  </r>
  <r>
    <s v="DSCN1210"/>
    <s v="M2370927_4"/>
    <n v="4"/>
    <n v="1"/>
    <s v="Mile 237"/>
    <d v="2018-09-27T00:00:00"/>
    <x v="0"/>
    <s v="Fall"/>
    <d v="1899-12-30T00:24:00"/>
    <s v="Partly sunny"/>
    <s v="YP/RS"/>
    <s v="Food handling"/>
    <s v="Spruce"/>
    <n v="1"/>
    <m/>
    <n v="0"/>
    <m/>
    <x v="2"/>
    <x v="2"/>
    <s v="unknown"/>
    <s v="NA"/>
    <s v="NA"/>
    <s v="NA"/>
    <s v="NA"/>
    <s v="NA"/>
    <s v="NA"/>
    <m/>
    <n v="0"/>
    <n v="0"/>
    <n v="0"/>
    <n v="0"/>
    <n v="0"/>
    <n v="0"/>
    <n v="0"/>
    <m/>
    <m/>
    <m/>
    <m/>
  </r>
  <r>
    <s v="DSCN1212"/>
    <s v="M2370927_5"/>
    <n v="5"/>
    <n v="1"/>
    <s v="Mile 237"/>
    <d v="2018-09-27T00:00:00"/>
    <x v="0"/>
    <s v="Fall"/>
    <d v="1899-12-30T00:31:00"/>
    <s v="Partly sunny"/>
    <s v="Unknown"/>
    <s v="Foraging/caching"/>
    <s v="Spruce"/>
    <n v="1"/>
    <m/>
    <n v="1"/>
    <m/>
    <x v="2"/>
    <x v="2"/>
    <s v="Ground"/>
    <s v="Exterior spruce branch under bark/witch hair"/>
    <s v="Spruce"/>
    <s v="Exterior"/>
    <s v="Under bark and witch hair "/>
    <n v="10"/>
    <n v="63.724850000000004"/>
    <n v="148.88839999999999"/>
    <n v="0"/>
    <n v="0"/>
    <n v="0"/>
    <n v="0"/>
    <n v="2"/>
    <n v="0"/>
    <n v="2"/>
    <m/>
    <s v="Suspected B&amp;Ut unconfirmed cache "/>
    <m/>
    <m/>
  </r>
  <r>
    <s v="DSCN1214"/>
    <s v="M2370927_6"/>
    <n v="6"/>
    <n v="1"/>
    <s v="Mile 237"/>
    <d v="2018-09-27T00:00:00"/>
    <x v="0"/>
    <s v="Fall"/>
    <d v="1899-12-30T00:23:00"/>
    <s v="Partly sunny"/>
    <s v="YP/RS"/>
    <s v="Foraging"/>
    <s v="NA"/>
    <s v="unknown"/>
    <m/>
    <n v="0"/>
    <m/>
    <x v="2"/>
    <x v="2"/>
    <s v="NA"/>
    <s v="NA"/>
    <s v="NA"/>
    <s v="NA"/>
    <s v="NA"/>
    <s v="NA"/>
    <s v="NA"/>
    <m/>
    <n v="0"/>
    <n v="0"/>
    <n v="0"/>
    <n v="0"/>
    <n v="9"/>
    <n v="0"/>
    <n v="9"/>
    <m/>
    <m/>
    <m/>
    <m/>
  </r>
  <r>
    <s v="DSCN1234"/>
    <s v="CC0928_1"/>
    <n v="1"/>
    <n v="1"/>
    <s v="CCAMP"/>
    <d v="2018-09-28T00:00:00"/>
    <x v="0"/>
    <s v="Fall"/>
    <d v="1899-12-30T00:13:00"/>
    <s v="Full sun"/>
    <s v="Unknown"/>
    <s v="Caching"/>
    <s v="Spruce"/>
    <n v="0"/>
    <m/>
    <n v="1"/>
    <m/>
    <x v="2"/>
    <x v="2"/>
    <s v="unknown"/>
    <s v="Exterior spruce branch under bark"/>
    <s v="Spruce"/>
    <s v="Exterior"/>
    <s v="Under bark"/>
    <s v="Unknown"/>
    <n v="63.723210000000002"/>
    <n v="148.95068000000001"/>
    <n v="0"/>
    <n v="0"/>
    <n v="0"/>
    <n v="0"/>
    <n v="0"/>
    <n v="0"/>
    <n v="0"/>
    <m/>
    <m/>
    <m/>
    <m/>
  </r>
  <r>
    <s v="DSCN1241"/>
    <s v="CC0928_2"/>
    <n v="2"/>
    <n v="1"/>
    <s v="CCAMP"/>
    <d v="2018-09-28T00:00:00"/>
    <x v="0"/>
    <s v="Fall"/>
    <d v="1899-12-30T00:12:00"/>
    <s v="Full sun"/>
    <s v="GL/RS"/>
    <s v="Food handling/caching"/>
    <s v="Spruce"/>
    <n v="1"/>
    <m/>
    <n v="1"/>
    <m/>
    <x v="4"/>
    <x v="18"/>
    <s v="Ground"/>
    <s v="Exterior spruce branch in witch hair"/>
    <s v="Spruce"/>
    <s v="Exterior"/>
    <s v="Branch under witch hair"/>
    <n v="15"/>
    <n v="63.722380000000001"/>
    <n v="148.95303000000001"/>
    <n v="0"/>
    <n v="0"/>
    <n v="0"/>
    <n v="0"/>
    <n v="0"/>
    <n v="0"/>
    <n v="0"/>
    <m/>
    <m/>
    <m/>
    <m/>
  </r>
  <r>
    <s v="DSCN1243"/>
    <s v="CC0928_3"/>
    <n v="3"/>
    <n v="1"/>
    <s v="CCAMP"/>
    <d v="2018-09-28T00:00:00"/>
    <x v="0"/>
    <s v="Fall"/>
    <d v="1899-12-30T00:19:00"/>
    <s v="Full sun"/>
    <s v="GL/RS"/>
    <s v="Foraging"/>
    <s v="Spruce"/>
    <n v="1"/>
    <m/>
    <n v="0"/>
    <m/>
    <x v="2"/>
    <x v="2"/>
    <s v="Witche's broom."/>
    <s v="NA"/>
    <s v="NA"/>
    <s v="NA"/>
    <s v="NA"/>
    <s v="NA"/>
    <s v="NA"/>
    <m/>
    <n v="0"/>
    <n v="0"/>
    <n v="0"/>
    <n v="0"/>
    <n v="0"/>
    <n v="0"/>
    <n v="0"/>
    <m/>
    <s v="Food appears stored in witch's broom.  Maked two trips to retrieve food from the area. "/>
    <m/>
    <m/>
  </r>
  <r>
    <s v="DSCN1244"/>
    <s v="CC0928_4"/>
    <n v="4"/>
    <n v="1"/>
    <s v="CCAMP"/>
    <d v="2018-09-28T00:00:00"/>
    <x v="0"/>
    <s v="Fall"/>
    <d v="1899-12-30T00:21:00"/>
    <s v="Full sun"/>
    <s v="GL/RS"/>
    <s v="Caching"/>
    <s v="Spruce"/>
    <n v="0"/>
    <m/>
    <n v="1"/>
    <m/>
    <x v="2"/>
    <x v="2"/>
    <s v="Witche's broom."/>
    <s v="Exterior spruce foliage"/>
    <s v="Spruce"/>
    <s v="Exterior"/>
    <s v="Foliage"/>
    <n v="9"/>
    <n v="63.722709999999999"/>
    <n v="148.9539"/>
    <n v="0"/>
    <n v="0"/>
    <n v="0"/>
    <n v="0"/>
    <n v="0"/>
    <n v="0"/>
    <n v="0"/>
    <m/>
    <m/>
    <m/>
    <m/>
  </r>
  <r>
    <s v="DSCN1245"/>
    <s v="CC0928_5"/>
    <n v="5"/>
    <n v="1"/>
    <s v="CCAMP"/>
    <d v="2018-09-28T00:00:00"/>
    <x v="0"/>
    <s v="Fall"/>
    <d v="1899-12-30T00:24:00"/>
    <s v="Full sun"/>
    <s v="GL/RS"/>
    <s v="Caching"/>
    <s v="Spruce"/>
    <n v="0"/>
    <m/>
    <n v="1"/>
    <m/>
    <x v="2"/>
    <x v="2"/>
    <s v="Food it placed in spruce tree"/>
    <s v="Interior spruce foliage "/>
    <s v="Spruce"/>
    <s v="Exterior"/>
    <s v="Foliage"/>
    <n v="4"/>
    <n v="63.722920000000002"/>
    <n v="148.95419000000001"/>
    <n v="0"/>
    <n v="0"/>
    <n v="0"/>
    <n v="0"/>
    <n v="0"/>
    <n v="0"/>
    <n v="0"/>
    <m/>
    <m/>
    <m/>
    <m/>
  </r>
  <r>
    <s v="DSCN1245"/>
    <s v="CC0928_5"/>
    <n v="5"/>
    <n v="2"/>
    <s v="CCAMP"/>
    <d v="2018-09-28T00:00:00"/>
    <x v="0"/>
    <s v="Fall"/>
    <d v="1899-12-30T00:24:00"/>
    <s v="Full sun"/>
    <s v="GL/RS"/>
    <s v="Caching"/>
    <s v="Spruce"/>
    <n v="0"/>
    <m/>
    <n v="1"/>
    <m/>
    <x v="2"/>
    <x v="2"/>
    <s v="Food it placed in spruce tree"/>
    <s v="Interior spruce foliage "/>
    <s v="Spruce"/>
    <s v="Exterior"/>
    <s v="Foliage"/>
    <n v="10"/>
    <n v="63.722839999999998"/>
    <n v="148.95433"/>
    <n v="0"/>
    <n v="0"/>
    <n v="0"/>
    <n v="0"/>
    <n v="0"/>
    <n v="0"/>
    <n v="0"/>
    <m/>
    <m/>
    <m/>
    <m/>
  </r>
  <r>
    <s v="DSCN1251"/>
    <s v="B&amp;U1003_1"/>
    <n v="1"/>
    <n v="1"/>
    <s v="B&amp;U"/>
    <d v="2018-10-03T00:00:00"/>
    <x v="1"/>
    <s v="Fall"/>
    <d v="1899-12-30T01:00:00"/>
    <s v="Full sun"/>
    <s v="Unknown"/>
    <s v="Foraging"/>
    <s v="Spruce"/>
    <n v="1"/>
    <m/>
    <n v="0"/>
    <m/>
    <x v="2"/>
    <x v="2"/>
    <s v="Exterior dense foliage of spruce"/>
    <s v="NA"/>
    <s v="NA"/>
    <s v="NA"/>
    <s v="NA"/>
    <s v="NA"/>
    <s v="NA"/>
    <m/>
    <n v="0"/>
    <n v="13"/>
    <n v="0"/>
    <n v="13"/>
    <n v="0"/>
    <n v="0"/>
    <n v="13"/>
    <s v="searching"/>
    <s v="No lavendar band as indicated in video. "/>
    <m/>
    <m/>
  </r>
  <r>
    <s v="DSCN1257"/>
    <s v="M2371004_1"/>
    <n v="1"/>
    <n v="1"/>
    <s v="Mile 237"/>
    <d v="2018-10-04T00:00:00"/>
    <x v="1"/>
    <s v="Fall"/>
    <d v="1899-12-30T00:09:00"/>
    <s v="Partly sunny"/>
    <s v="YP/RS"/>
    <s v="Foraging"/>
    <s v="NA"/>
    <n v="1"/>
    <m/>
    <n v="0"/>
    <m/>
    <x v="2"/>
    <x v="2"/>
    <s v="Ground"/>
    <s v="NA"/>
    <s v="NA"/>
    <s v="NA"/>
    <s v="NA"/>
    <s v="NA"/>
    <s v="NA"/>
    <m/>
    <n v="0"/>
    <n v="0"/>
    <n v="0"/>
    <n v="0"/>
    <n v="0"/>
    <n v="0"/>
    <n v="0"/>
    <m/>
    <s v="Video start after bird finished foraging. "/>
    <m/>
    <m/>
  </r>
  <r>
    <s v="DSCN1262"/>
    <s v="AQ1004_1"/>
    <n v="1"/>
    <n v="1"/>
    <s v="Air Quality"/>
    <d v="2018-10-04T00:00:00"/>
    <x v="1"/>
    <s v="Fall"/>
    <d v="1899-12-30T00:18:00"/>
    <s v="Overcast"/>
    <s v="O-/BS"/>
    <s v="Food handling"/>
    <s v="Spruce"/>
    <n v="1"/>
    <m/>
    <n v="0"/>
    <m/>
    <x v="2"/>
    <x v="2"/>
    <s v="unknown"/>
    <s v="NA"/>
    <s v="NA"/>
    <s v="NA"/>
    <s v="NA"/>
    <s v="NA"/>
    <s v="NA"/>
    <m/>
    <n v="0"/>
    <n v="0"/>
    <n v="0"/>
    <n v="0"/>
    <n v="0"/>
    <n v="0"/>
    <n v="0"/>
    <m/>
    <s v="Video start after bird finished foraging. "/>
    <m/>
    <m/>
  </r>
  <r>
    <s v="DSCN1263"/>
    <s v="M4R1005_1"/>
    <n v="1"/>
    <n v="1"/>
    <s v="M4Roadside"/>
    <d v="2018-10-05T00:00:00"/>
    <x v="1"/>
    <s v="Fall"/>
    <d v="1899-12-30T00:29:00"/>
    <s v="Overcast"/>
    <s v="Unknown"/>
    <s v="Caching"/>
    <s v="Spruce"/>
    <n v="1"/>
    <m/>
    <n v="1"/>
    <m/>
    <x v="2"/>
    <x v="2"/>
    <s v="Ground"/>
    <s v="Exterior spruce foliage"/>
    <s v="Spruce"/>
    <s v="Exterior"/>
    <s v="Foliage"/>
    <n v="7"/>
    <n v="63.723480000000002"/>
    <n v="148.98240999999999"/>
    <n v="0"/>
    <n v="0"/>
    <n v="0"/>
    <n v="0"/>
    <n v="0"/>
    <n v="0"/>
    <n v="0"/>
    <m/>
    <s v="Suspected B&amp;Ut unconfirmed cache"/>
    <m/>
    <m/>
  </r>
  <r>
    <s v="DSCN1276"/>
    <s v="M4R1005_2"/>
    <n v="2"/>
    <n v="1"/>
    <s v="M4Roadside"/>
    <d v="2018-10-05T00:00:00"/>
    <x v="1"/>
    <s v="Fall"/>
    <d v="1899-12-30T00:54:00"/>
    <s v="Overcast"/>
    <s v="OB/YS"/>
    <s v="Foraging"/>
    <s v="NA"/>
    <s v="unknown"/>
    <m/>
    <n v="0"/>
    <m/>
    <x v="2"/>
    <x v="2"/>
    <s v="Ground"/>
    <s v="NA"/>
    <s v="NA"/>
    <s v="NA"/>
    <s v="NA"/>
    <s v="NA"/>
    <s v="NA"/>
    <m/>
    <n v="0"/>
    <n v="0"/>
    <n v="0"/>
    <n v="0"/>
    <n v="44"/>
    <n v="0"/>
    <n v="44"/>
    <m/>
    <m/>
    <m/>
    <m/>
  </r>
  <r>
    <s v="DSCN1277"/>
    <s v="M4R1005_3"/>
    <n v="3"/>
    <n v="1"/>
    <s v="M4Roadside"/>
    <d v="2018-10-05T00:00:00"/>
    <x v="1"/>
    <s v="Fall"/>
    <d v="1899-12-30T00:23:00"/>
    <s v="Overcast"/>
    <s v="OB/YS"/>
    <s v="Foraging"/>
    <s v="NA"/>
    <n v="1"/>
    <m/>
    <n v="0"/>
    <m/>
    <x v="3"/>
    <x v="4"/>
    <s v="Ground"/>
    <s v="NA"/>
    <s v="NA"/>
    <s v="NA"/>
    <s v="NA"/>
    <s v="NA"/>
    <s v="NA"/>
    <m/>
    <n v="0"/>
    <n v="0"/>
    <n v="0"/>
    <n v="0"/>
    <n v="17"/>
    <n v="0"/>
    <n v="17"/>
    <m/>
    <m/>
    <m/>
    <m/>
  </r>
  <r>
    <s v="DSCN1329"/>
    <s v="M4R1005_4"/>
    <n v="4"/>
    <n v="1"/>
    <s v="M4Roadside"/>
    <d v="2018-10-05T00:00:00"/>
    <x v="1"/>
    <s v="Fall"/>
    <d v="1899-12-30T00:14:00"/>
    <s v="Overcast"/>
    <s v="OB/YS"/>
    <s v="Foraging"/>
    <s v="Spruce"/>
    <s v="unknown"/>
    <m/>
    <n v="1"/>
    <s v="at least 1, possibly 2 (same tree)"/>
    <x v="2"/>
    <x v="2"/>
    <s v="Ground"/>
    <s v="Exterior spruce branch under bark/witch hair"/>
    <s v="Spruce"/>
    <s v="Exterior"/>
    <s v="Under bark and witch hair "/>
    <n v="10"/>
    <n v="63.721789999999999"/>
    <n v="148.98455999999999"/>
    <n v="0"/>
    <n v="0"/>
    <n v="0"/>
    <n v="0"/>
    <n v="0"/>
    <n v="0"/>
    <n v="0"/>
    <m/>
    <m/>
    <m/>
    <m/>
  </r>
  <r>
    <s v="DSCN1335"/>
    <s v="M4R1005_5"/>
    <n v="5"/>
    <n v="1"/>
    <s v="M4Roadside"/>
    <d v="2018-10-05T00:00:00"/>
    <x v="1"/>
    <s v="Fall"/>
    <d v="1899-12-30T00:15:00"/>
    <s v="Overcast"/>
    <s v="OB/YS"/>
    <s v="Caching"/>
    <s v="Spruce"/>
    <s v="unknown"/>
    <m/>
    <n v="1"/>
    <m/>
    <x v="2"/>
    <x v="2"/>
    <s v="Ground"/>
    <s v="Exterior spruce branch under bark/witch hair"/>
    <s v="Spruce"/>
    <s v="Exterior"/>
    <s v="Under bark and witch hair "/>
    <s v="Unknown"/>
    <n v="63.720469999999999"/>
    <n v="148.98471000000001"/>
    <n v="0"/>
    <n v="0"/>
    <n v="0"/>
    <n v="0"/>
    <n v="0"/>
    <n v="0"/>
    <n v="0"/>
    <m/>
    <s v="Did not observe cache with camera, B&amp;Ut KS reasonably confident she saw it with naked eye. "/>
    <m/>
    <m/>
  </r>
  <r>
    <s v="DSCN1337"/>
    <s v="M4R1005_6"/>
    <n v="6"/>
    <n v="1"/>
    <s v="M4Roadside"/>
    <d v="2018-10-05T00:00:00"/>
    <x v="1"/>
    <s v="Fall"/>
    <d v="1899-12-30T00:51:00"/>
    <s v="Overcast"/>
    <s v="WG/OS"/>
    <s v="Foraging"/>
    <s v="NA"/>
    <n v="1"/>
    <m/>
    <n v="0"/>
    <m/>
    <x v="2"/>
    <x v="2"/>
    <s v="Ground"/>
    <s v="NA"/>
    <s v="NA"/>
    <s v="NA"/>
    <s v="NA"/>
    <s v="NA"/>
    <s v="NA"/>
    <m/>
    <n v="0"/>
    <n v="0"/>
    <n v="0"/>
    <n v="0"/>
    <n v="26"/>
    <n v="0"/>
    <n v="26"/>
    <m/>
    <m/>
    <m/>
    <m/>
  </r>
  <r>
    <s v="DSCN1339"/>
    <s v="ww1005_1"/>
    <n v="1"/>
    <n v="1"/>
    <s v="WAC West"/>
    <d v="2018-10-05T00:00:00"/>
    <x v="1"/>
    <s v="Fall"/>
    <d v="1899-12-30T01:15:00"/>
    <s v="Partly sunny"/>
    <s v="BP/PS"/>
    <s v="Foraging"/>
    <s v="Spruce"/>
    <n v="0"/>
    <m/>
    <n v="0"/>
    <m/>
    <x v="1"/>
    <x v="1"/>
    <s v="NA"/>
    <s v="NA"/>
    <s v="NA"/>
    <s v="NA"/>
    <s v="NA"/>
    <s v="NA"/>
    <s v="NA"/>
    <m/>
    <n v="0"/>
    <n v="8"/>
    <n v="0"/>
    <n v="8"/>
    <n v="23"/>
    <n v="0"/>
    <n v="31"/>
    <m/>
    <s v="Was seaching ground B&amp;Ut from low branch"/>
    <m/>
    <m/>
  </r>
  <r>
    <s v="DSCN1340"/>
    <s v="WW1005_2"/>
    <n v="2"/>
    <n v="1"/>
    <s v="WAC West"/>
    <d v="2018-10-05T00:00:00"/>
    <x v="1"/>
    <s v="Fall"/>
    <d v="1899-12-30T00:38:00"/>
    <s v="Partly sunny"/>
    <s v="BP/PS"/>
    <s v="Foraging"/>
    <s v="NA"/>
    <n v="0"/>
    <m/>
    <n v="0"/>
    <m/>
    <x v="1"/>
    <x v="1"/>
    <s v="NA"/>
    <s v="NA"/>
    <s v="NA"/>
    <s v="NA"/>
    <s v="NA"/>
    <s v="NA"/>
    <s v="NA"/>
    <m/>
    <n v="0"/>
    <n v="0"/>
    <n v="0"/>
    <n v="0"/>
    <n v="20"/>
    <n v="0"/>
    <n v="20"/>
    <m/>
    <m/>
    <m/>
    <m/>
  </r>
  <r>
    <s v="DSCN1343"/>
    <s v="WW1005_3"/>
    <n v="3"/>
    <n v="1"/>
    <s v="WAC West"/>
    <d v="2018-10-05T00:00:00"/>
    <x v="1"/>
    <s v="Fall"/>
    <d v="1899-12-30T00:32:00"/>
    <s v="Partly sunny"/>
    <s v="BP/PS"/>
    <s v="Foraging/cache retrieval"/>
    <s v="Spruce"/>
    <n v="1"/>
    <m/>
    <n v="0"/>
    <m/>
    <x v="2"/>
    <x v="46"/>
    <s v="Ground"/>
    <s v="NA"/>
    <s v="NA"/>
    <s v="NA"/>
    <s v="NA"/>
    <s v="NA"/>
    <s v="NA"/>
    <m/>
    <n v="0"/>
    <n v="2"/>
    <n v="0"/>
    <n v="2"/>
    <n v="12"/>
    <n v="0"/>
    <n v="14"/>
    <m/>
    <s v="Counted as cache retrieval due to location of food (exterior spruce foliage) and speed at which bird got it. "/>
    <m/>
    <m/>
  </r>
  <r>
    <s v="DSCN1343"/>
    <s v="WW1005_3"/>
    <n v="3"/>
    <n v="2"/>
    <s v="WAC West"/>
    <d v="2018-10-05T00:00:00"/>
    <x v="1"/>
    <s v="Fall"/>
    <d v="1899-12-30T00:32:00"/>
    <s v="Partly sunny"/>
    <s v="BP/PS"/>
    <s v="Foraging/cache retrieval"/>
    <s v="Spruce"/>
    <n v="1"/>
    <m/>
    <n v="0"/>
    <m/>
    <x v="2"/>
    <x v="2"/>
    <s v="Exterior spruce foliage"/>
    <s v="NA"/>
    <s v="NA"/>
    <s v="NA"/>
    <s v="NA"/>
    <s v="NA"/>
    <s v="NA"/>
    <m/>
    <n v="0"/>
    <n v="0"/>
    <n v="0"/>
    <n v="0"/>
    <n v="0"/>
    <n v="0"/>
    <n v="0"/>
    <m/>
    <s v="Counted as cache retrieval due to location of food (exterior spruce foliage) and speed at which bird got it. "/>
    <m/>
    <m/>
  </r>
  <r>
    <s v="DSCN1344"/>
    <s v="WW1005_4"/>
    <n v="4"/>
    <n v="1"/>
    <s v="WAC West"/>
    <d v="2018-10-05T00:00:00"/>
    <x v="1"/>
    <s v="Fall"/>
    <d v="1899-12-30T00:17:00"/>
    <s v="Partly sunny"/>
    <s v="BP/PS"/>
    <s v="Foraging"/>
    <s v="NA"/>
    <s v="unknown"/>
    <m/>
    <n v="0"/>
    <m/>
    <x v="2"/>
    <x v="2"/>
    <s v="NA"/>
    <s v="NA"/>
    <s v="NA"/>
    <s v="NA"/>
    <s v="NA"/>
    <s v="NA"/>
    <s v="NA"/>
    <m/>
    <n v="0"/>
    <n v="0"/>
    <n v="0"/>
    <n v="0"/>
    <n v="3"/>
    <n v="0"/>
    <n v="3"/>
    <m/>
    <m/>
    <m/>
    <m/>
  </r>
  <r>
    <s v="DSCN1345"/>
    <s v="WW1005_5"/>
    <n v="5"/>
    <n v="1"/>
    <s v="WAC West"/>
    <d v="2018-10-05T00:00:00"/>
    <x v="1"/>
    <s v="Fall"/>
    <d v="1899-12-30T00:19:00"/>
    <s v="Partly sunny"/>
    <s v="BP/PS"/>
    <s v="Caching"/>
    <s v="Spruce"/>
    <n v="1"/>
    <m/>
    <n v="1"/>
    <m/>
    <x v="2"/>
    <x v="2"/>
    <s v="Ground"/>
    <s v="Spruce trunk"/>
    <s v="Spruce"/>
    <s v="Trunk"/>
    <s v="Under bark"/>
    <s v="Unknown"/>
    <n v="63.738579999999999"/>
    <n v="148.90271000000001"/>
    <n v="0"/>
    <n v="0"/>
    <n v="0"/>
    <n v="0"/>
    <n v="0"/>
    <n v="0"/>
    <n v="0"/>
    <m/>
    <s v="Both suspected B&amp;Ut unconfirmed cahces"/>
    <m/>
    <m/>
  </r>
  <r>
    <s v="DSCN1345"/>
    <s v="WW1005_5"/>
    <n v="5"/>
    <n v="2"/>
    <s v="WAC West"/>
    <d v="2018-10-05T00:00:00"/>
    <x v="1"/>
    <s v="Fall"/>
    <d v="1899-12-30T00:19:00"/>
    <s v="Partly sunny"/>
    <s v="BP/PS"/>
    <s v="Caching"/>
    <s v="Spruce"/>
    <n v="0"/>
    <m/>
    <n v="1"/>
    <m/>
    <x v="2"/>
    <x v="2"/>
    <s v="Ground"/>
    <s v="Exterior spruce foliage"/>
    <s v="Spruce"/>
    <s v="Exterior"/>
    <s v="Foliage"/>
    <s v="Unknown"/>
    <n v="63.738619999999997"/>
    <n v="148.90286"/>
    <n v="0"/>
    <n v="0"/>
    <n v="0"/>
    <n v="0"/>
    <n v="0"/>
    <n v="0"/>
    <n v="0"/>
    <m/>
    <s v="Both suspected B&amp;Ut unconfirmed cahces"/>
    <m/>
    <m/>
  </r>
  <r>
    <s v="DSCN1346"/>
    <s v="WW1005_6"/>
    <n v="6"/>
    <n v="1"/>
    <s v="WAC West"/>
    <d v="2018-10-05T00:00:00"/>
    <x v="1"/>
    <s v="Fall"/>
    <d v="1899-12-30T00:05:00"/>
    <s v="Partly sunny"/>
    <s v="BP/PS"/>
    <s v="Caching/foraging"/>
    <s v="Spruce"/>
    <n v="0"/>
    <m/>
    <n v="1"/>
    <m/>
    <x v="2"/>
    <x v="2"/>
    <s v="unknown"/>
    <s v="Exterior bare spruce branch"/>
    <s v="Spruce"/>
    <s v="Exterior"/>
    <s v="Branch"/>
    <s v="Unknown"/>
    <n v="63.738590000000002"/>
    <n v="148.90305000000001"/>
    <n v="0"/>
    <n v="0"/>
    <n v="0"/>
    <n v="0"/>
    <n v="2"/>
    <n v="0"/>
    <n v="2"/>
    <m/>
    <s v="Confirmed naked eye cache by KS"/>
    <m/>
    <m/>
  </r>
  <r>
    <s v="DSCN1348"/>
    <s v="WW1005_7"/>
    <n v="7"/>
    <n v="1"/>
    <s v="WAC West"/>
    <d v="2018-10-05T00:00:00"/>
    <x v="1"/>
    <s v="Fall"/>
    <d v="1899-12-30T00:32:00"/>
    <s v="Partly sunny"/>
    <s v="BP/PS"/>
    <s v="Foraging"/>
    <s v="NA"/>
    <n v="1"/>
    <m/>
    <n v="0"/>
    <m/>
    <x v="2"/>
    <x v="47"/>
    <s v="Ground"/>
    <s v="NA"/>
    <s v="NA"/>
    <s v="NA"/>
    <s v="NA"/>
    <s v="NA"/>
    <s v="NA"/>
    <m/>
    <n v="0"/>
    <n v="0"/>
    <n v="0"/>
    <n v="0"/>
    <n v="28"/>
    <n v="0"/>
    <n v="28"/>
    <m/>
    <m/>
    <m/>
    <m/>
  </r>
  <r>
    <s v="DSCN1350"/>
    <s v="B&amp;U1006_1"/>
    <n v="1"/>
    <n v="1"/>
    <s v="B&amp;U"/>
    <d v="2018-10-06T00:00:00"/>
    <x v="1"/>
    <s v="Fall"/>
    <d v="1899-12-30T00:10:00"/>
    <s v="Mostly sunny"/>
    <s v="GR/PS"/>
    <s v="Foraging"/>
    <s v="NA"/>
    <n v="1"/>
    <m/>
    <n v="0"/>
    <m/>
    <x v="3"/>
    <x v="4"/>
    <s v="Ground"/>
    <s v="NA"/>
    <s v="NA"/>
    <s v="NA"/>
    <s v="NA"/>
    <s v="NA"/>
    <s v="NA"/>
    <m/>
    <n v="0"/>
    <n v="0"/>
    <n v="0"/>
    <n v="0"/>
    <n v="10"/>
    <n v="0"/>
    <n v="10"/>
    <s v="searching"/>
    <m/>
    <m/>
    <m/>
  </r>
  <r>
    <s v="DSCN1351"/>
    <s v="B&amp;U1006_2"/>
    <n v="2"/>
    <n v="1"/>
    <s v="B&amp;U"/>
    <d v="2018-10-06T00:00:00"/>
    <x v="1"/>
    <s v="Fall"/>
    <d v="1899-12-30T00:14:00"/>
    <s v="Mostly sunny"/>
    <s v="GR/PS"/>
    <s v="Foraging"/>
    <s v="NA"/>
    <n v="1"/>
    <m/>
    <n v="0"/>
    <m/>
    <x v="2"/>
    <x v="2"/>
    <s v="Ground"/>
    <s v="NA"/>
    <s v="NA"/>
    <s v="NA"/>
    <s v="NA"/>
    <s v="NA"/>
    <s v="NA"/>
    <m/>
    <n v="0"/>
    <n v="0"/>
    <n v="0"/>
    <n v="0"/>
    <n v="10"/>
    <n v="0"/>
    <n v="10"/>
    <m/>
    <s v="Likely B&amp;Ug B&amp;Ut not sure enough to mark.  "/>
    <m/>
    <m/>
  </r>
  <r>
    <s v="DSCN1352"/>
    <s v="B&amp;U1006_3"/>
    <n v="3"/>
    <n v="1"/>
    <s v="B&amp;U"/>
    <d v="2018-10-06T00:00:00"/>
    <x v="1"/>
    <s v="Fall"/>
    <d v="1899-12-30T00:28:00"/>
    <s v="Mostly sunny"/>
    <s v="WP/BS"/>
    <s v="Foraging/cache retrieval"/>
    <s v="Spruce"/>
    <n v="1"/>
    <m/>
    <n v="0"/>
    <m/>
    <x v="2"/>
    <x v="48"/>
    <s v="Spruce branch under bark"/>
    <s v="NA"/>
    <s v="NA"/>
    <s v="NA"/>
    <s v="NA"/>
    <s v="NA"/>
    <s v="NA"/>
    <m/>
    <n v="2"/>
    <n v="0"/>
    <n v="2"/>
    <n v="0"/>
    <n v="0"/>
    <n v="0"/>
    <n v="2"/>
    <m/>
    <s v="Went straight for food site.  "/>
    <m/>
    <m/>
  </r>
  <r>
    <s v="DSCN1353"/>
    <s v="B&amp;U1006_4"/>
    <n v="4"/>
    <n v="1"/>
    <s v="B&amp;U"/>
    <d v="2018-10-06T00:00:00"/>
    <x v="1"/>
    <s v="Fall"/>
    <d v="1899-12-30T00:16:00"/>
    <s v="Mostly sunny"/>
    <s v="GR/PS"/>
    <s v="Foraging"/>
    <s v="NA"/>
    <n v="1"/>
    <m/>
    <n v="0"/>
    <m/>
    <x v="3"/>
    <x v="49"/>
    <s v="Ground"/>
    <s v="NA"/>
    <s v="NA"/>
    <s v="NA"/>
    <s v="NA"/>
    <s v="NA"/>
    <s v="NA"/>
    <m/>
    <n v="0"/>
    <n v="0"/>
    <n v="0"/>
    <n v="0"/>
    <n v="0"/>
    <n v="0"/>
    <n v="0"/>
    <m/>
    <s v="Not recorded on camera"/>
    <m/>
    <m/>
  </r>
  <r>
    <s v="DSCN1354"/>
    <s v="B&amp;U1006_5"/>
    <n v="5"/>
    <n v="1"/>
    <s v="B&amp;U"/>
    <d v="2018-10-06T00:00:00"/>
    <x v="1"/>
    <s v="Fall"/>
    <d v="1899-12-30T00:11:00"/>
    <s v="Mostly sunny"/>
    <s v="GR/PS"/>
    <s v="Food handling"/>
    <s v="NA"/>
    <n v="0"/>
    <m/>
    <n v="0"/>
    <m/>
    <x v="3"/>
    <x v="49"/>
    <s v="NA"/>
    <s v="NA"/>
    <s v="NA"/>
    <s v="NA"/>
    <s v="NA"/>
    <s v="NA"/>
    <s v="NA"/>
    <m/>
    <n v="0"/>
    <n v="0"/>
    <n v="0"/>
    <n v="0"/>
    <n v="0"/>
    <n v="0"/>
    <n v="0"/>
    <m/>
    <s v="Manipulating orange berry from previous video"/>
    <m/>
    <m/>
  </r>
  <r>
    <s v="DSCN1355"/>
    <s v="B&amp;U1006_6"/>
    <n v="6"/>
    <n v="1"/>
    <s v="B&amp;U"/>
    <d v="2018-10-06T00:00:00"/>
    <x v="1"/>
    <s v="Fall"/>
    <d v="1899-12-30T00:17:00"/>
    <s v="Mostly sunny"/>
    <s v="GR/PS"/>
    <s v="Caching"/>
    <s v="Spruce"/>
    <n v="0"/>
    <m/>
    <n v="1"/>
    <m/>
    <x v="2"/>
    <x v="50"/>
    <s v="unknown"/>
    <s v="Spruce trunk under bark"/>
    <s v="Spruce"/>
    <s v="Trunk"/>
    <s v="Under bark"/>
    <s v="Unknown"/>
    <n v="63.724710000000002"/>
    <n v="148.95338000000001"/>
    <n v="0"/>
    <n v="0"/>
    <n v="0"/>
    <n v="0"/>
    <n v="0"/>
    <n v="0"/>
    <n v="0"/>
    <m/>
    <m/>
    <m/>
    <m/>
  </r>
  <r>
    <s v="DSCN1360"/>
    <s v="B&amp;U1006_7"/>
    <n v="7"/>
    <n v="1"/>
    <s v="B&amp;U"/>
    <d v="2018-10-06T00:00:00"/>
    <x v="1"/>
    <s v="Fall"/>
    <d v="1899-12-30T00:13:00"/>
    <s v="Mostly sunny"/>
    <s v="GR/PS"/>
    <s v="Caching"/>
    <s v="Spruce"/>
    <n v="0"/>
    <m/>
    <n v="1"/>
    <m/>
    <x v="2"/>
    <x v="2"/>
    <s v="unknown"/>
    <s v="Spruce trunk under bark"/>
    <s v="Spruce"/>
    <s v="Trunk"/>
    <s v="Under bark and witch hair "/>
    <s v="Unknown"/>
    <n v="63.72475"/>
    <n v="148.95241999999999"/>
    <n v="0"/>
    <n v="0"/>
    <n v="0"/>
    <n v="0"/>
    <n v="0"/>
    <n v="0"/>
    <n v="0"/>
    <m/>
    <s v="Excellent cache video.  "/>
    <m/>
    <m/>
  </r>
  <r>
    <s v="DSCN1361"/>
    <s v="B&amp;U1006_8"/>
    <n v="8"/>
    <n v="1"/>
    <s v="B&amp;U"/>
    <d v="2018-10-06T00:00:00"/>
    <x v="1"/>
    <s v="Fall"/>
    <d v="1899-12-30T00:22:00"/>
    <s v="Mostly sunny"/>
    <s v="GR/PS"/>
    <s v="Caching"/>
    <s v="Spruce"/>
    <n v="1"/>
    <m/>
    <n v="1"/>
    <m/>
    <x v="2"/>
    <x v="2"/>
    <s v="Ground"/>
    <s v="Exterior spruce branch under bark/witch hair"/>
    <s v="Spruce"/>
    <s v="Exterior"/>
    <s v="Under bark and witch hair "/>
    <n v="1"/>
    <n v="63.724789999999999"/>
    <n v="148.95250999999999"/>
    <n v="0"/>
    <n v="0"/>
    <n v="0"/>
    <n v="0"/>
    <n v="0"/>
    <n v="0"/>
    <n v="0"/>
    <m/>
    <s v="Cache not recorded on video.  Second cache found by accident in same tree.  Large piece of mushroom (based on texture and smell).  KS notcied it sticking out from under a piece of bark on the trunk.  You could see the cystalized saliva.  KS collected.  We also returned later to put a camera on this cache tree. "/>
    <m/>
    <m/>
  </r>
  <r>
    <s v="DSCN1362"/>
    <s v="B&amp;U1006_9"/>
    <n v="9"/>
    <n v="1"/>
    <s v="B&amp;U"/>
    <d v="2018-10-06T00:00:00"/>
    <x v="1"/>
    <s v="Fall"/>
    <d v="1899-12-30T00:18:00"/>
    <s v="Mostly sunny"/>
    <s v="GR/PS"/>
    <s v="Caching"/>
    <s v="Spruce"/>
    <n v="0"/>
    <m/>
    <n v="1"/>
    <m/>
    <x v="2"/>
    <x v="2"/>
    <s v="unknown"/>
    <s v="Exterior spruce foliage"/>
    <s v="Spruce"/>
    <s v="Exterior"/>
    <s v="Foliage"/>
    <s v="Unknown"/>
    <n v="63.724919999999997"/>
    <n v="148.95245"/>
    <n v="0"/>
    <n v="0"/>
    <n v="0"/>
    <n v="0"/>
    <n v="0"/>
    <n v="0"/>
    <n v="0"/>
    <m/>
    <s v="Caches not recorded on video"/>
    <m/>
    <m/>
  </r>
  <r>
    <s v="DSCN1362"/>
    <s v="B&amp;U1006_9"/>
    <n v="9"/>
    <n v="2"/>
    <s v="B&amp;U"/>
    <d v="2018-10-06T00:00:00"/>
    <x v="1"/>
    <s v="Fall"/>
    <d v="1899-12-30T00:18:00"/>
    <s v="Mostly sunny"/>
    <s v="GR/PS"/>
    <s v="Caching"/>
    <s v="Spruce"/>
    <n v="0"/>
    <m/>
    <n v="1"/>
    <m/>
    <x v="2"/>
    <x v="2"/>
    <s v="unknown"/>
    <s v="Exterior spruce foliage"/>
    <s v="Spruce"/>
    <s v="Exterior"/>
    <s v="Foliage"/>
    <s v="Unknown"/>
    <n v="63.724919999999997"/>
    <n v="148.95258000000001"/>
    <n v="0"/>
    <n v="0"/>
    <n v="0"/>
    <n v="0"/>
    <n v="0"/>
    <n v="0"/>
    <n v="0"/>
    <m/>
    <s v="Caches not recorded on video"/>
    <m/>
    <m/>
  </r>
  <r>
    <s v="DSCN1369"/>
    <s v="AQ1007_1"/>
    <n v="1"/>
    <n v="1"/>
    <s v="Air Quality"/>
    <d v="2018-10-07T00:00:00"/>
    <x v="1"/>
    <s v="Fall"/>
    <d v="1899-12-30T00:15:00"/>
    <s v="Overcast"/>
    <s v="PG/PS"/>
    <s v="Foraging"/>
    <s v="NA"/>
    <n v="1"/>
    <m/>
    <n v="0"/>
    <m/>
    <x v="2"/>
    <x v="2"/>
    <s v="Ground"/>
    <s v="NA"/>
    <s v="NA"/>
    <s v="NA"/>
    <s v="NA"/>
    <s v="NA"/>
    <s v="NA"/>
    <m/>
    <n v="0"/>
    <n v="0"/>
    <n v="0"/>
    <n v="0"/>
    <n v="0"/>
    <n v="0"/>
    <n v="0"/>
    <m/>
    <s v="Not captured on video.  "/>
    <m/>
    <m/>
  </r>
  <r>
    <s v="DSCN1371"/>
    <s v="AQ1007_2"/>
    <n v="2"/>
    <n v="1"/>
    <s v="Air Quality"/>
    <d v="2018-10-07T00:00:00"/>
    <x v="1"/>
    <s v="Fall"/>
    <d v="1899-12-30T00:07:00"/>
    <s v="Overcast"/>
    <s v="PL/PS"/>
    <s v="Foraging"/>
    <s v="NA"/>
    <n v="1"/>
    <m/>
    <n v="0"/>
    <m/>
    <x v="3"/>
    <x v="4"/>
    <s v="Ground"/>
    <s v="NA"/>
    <s v="NA"/>
    <s v="NA"/>
    <s v="NA"/>
    <s v="NA"/>
    <s v="NA"/>
    <m/>
    <n v="0"/>
    <n v="0"/>
    <n v="0"/>
    <n v="0"/>
    <n v="6"/>
    <n v="0"/>
    <n v="6"/>
    <m/>
    <m/>
    <m/>
    <m/>
  </r>
  <r>
    <s v="DSCN1373"/>
    <s v="AQ1007_3"/>
    <n v="3"/>
    <n v="1"/>
    <s v="Air Quality"/>
    <d v="2018-10-07T00:00:00"/>
    <x v="1"/>
    <s v="Fall"/>
    <d v="1899-12-30T01:27:00"/>
    <s v="Overcast"/>
    <s v="PG/PS"/>
    <s v="Caching"/>
    <s v="Spruce"/>
    <n v="1"/>
    <m/>
    <n v="1"/>
    <m/>
    <x v="2"/>
    <x v="2"/>
    <s v="Spruce branch near lichen"/>
    <s v="Exterior spruce branch under bark"/>
    <s v="Spruce"/>
    <s v="Exterior"/>
    <s v="Branch under bark"/>
    <s v="Unknown"/>
    <n v="63.721200000000003"/>
    <n v="148.96514999999999"/>
    <n v="0"/>
    <n v="0"/>
    <n v="0"/>
    <n v="0"/>
    <n v="0"/>
    <n v="0"/>
    <n v="0"/>
    <m/>
    <m/>
    <m/>
    <m/>
  </r>
  <r>
    <s v="DSCN1373"/>
    <s v="AQ1007_3"/>
    <n v="3"/>
    <n v="2"/>
    <s v="Air Quality"/>
    <d v="2018-10-07T00:00:00"/>
    <x v="1"/>
    <s v="Fall"/>
    <d v="1899-12-30T01:27:00"/>
    <s v="Overcast"/>
    <s v="PG/PS"/>
    <s v="Caching"/>
    <s v="Spruce"/>
    <n v="0"/>
    <m/>
    <n v="2"/>
    <s v="Same tree"/>
    <x v="2"/>
    <x v="2"/>
    <s v="Spruce branch near lichen"/>
    <s v="Exterior spruce branch under bark"/>
    <s v="Spruce"/>
    <s v="Exterior"/>
    <s v="Under bark"/>
    <s v="Unknown"/>
    <n v="63.721200000000003"/>
    <n v="148.96527"/>
    <n v="0"/>
    <n v="0"/>
    <n v="0"/>
    <n v="0"/>
    <n v="0"/>
    <n v="0"/>
    <n v="0"/>
    <m/>
    <m/>
    <m/>
    <m/>
  </r>
  <r>
    <s v="DSCN1386"/>
    <s v="AQ1007_4"/>
    <n v="4"/>
    <n v="1"/>
    <s v="Air Quality"/>
    <d v="2018-10-07T00:00:00"/>
    <x v="1"/>
    <s v="Fall"/>
    <d v="1899-12-30T00:34:00"/>
    <s v="Overcast"/>
    <s v="PG/PS"/>
    <s v="Foraging"/>
    <s v="Spruce"/>
    <n v="1"/>
    <m/>
    <n v="0"/>
    <m/>
    <x v="2"/>
    <x v="2"/>
    <s v="Exterior foliated spruce"/>
    <s v="NA"/>
    <s v="NA"/>
    <s v="NA"/>
    <s v="NA"/>
    <s v="NA"/>
    <s v="NA"/>
    <m/>
    <n v="0"/>
    <n v="33"/>
    <n v="0"/>
    <n v="33"/>
    <n v="0"/>
    <n v="0"/>
    <n v="33"/>
    <s v="searching"/>
    <m/>
    <m/>
    <m/>
  </r>
  <r>
    <s v="DSCN1389"/>
    <s v="AQ1007_5"/>
    <n v="5"/>
    <n v="1"/>
    <s v="Air Quality"/>
    <d v="2018-10-07T00:00:00"/>
    <x v="1"/>
    <s v="Fall"/>
    <d v="1899-12-30T01:23:00"/>
    <s v="Overcast"/>
    <s v="PG/PS"/>
    <s v="Foraging/caching"/>
    <s v="Spruce"/>
    <n v="2"/>
    <s v="2 in one trip, 1 in second"/>
    <n v="1"/>
    <n v="0"/>
    <x v="3"/>
    <x v="4"/>
    <s v="Ground"/>
    <s v="Exterior spruce foliage under witchhair"/>
    <s v="Spruce"/>
    <s v="Exterior"/>
    <s v="Foliage and witch hair"/>
    <n v="4"/>
    <n v="63.722389999999997"/>
    <n v="148.96592999999999"/>
    <n v="0"/>
    <n v="0"/>
    <n v="0"/>
    <n v="0"/>
    <n v="18"/>
    <n v="0"/>
    <n v="18"/>
    <m/>
    <s v="Two birds in this video.  The first (O/BS) is the one foraging in the tree.  We did not document any food acquisitions or caches for that birds.  The rest of the data is based on the second bird (PG/PS)"/>
    <m/>
    <m/>
  </r>
  <r>
    <s v="DSCN1389"/>
    <s v="AQ1007_5"/>
    <n v="5"/>
    <n v="3"/>
    <s v="Air Quality"/>
    <d v="2018-10-07T00:00:00"/>
    <x v="1"/>
    <s v="Fall"/>
    <d v="1899-12-30T01:23:00"/>
    <s v="Overcast"/>
    <s v="PG/PS"/>
    <s v="Caching"/>
    <s v="Spruce"/>
    <n v="1"/>
    <m/>
    <n v="1"/>
    <m/>
    <x v="3"/>
    <x v="4"/>
    <s v="Ground"/>
    <s v="Interior bare spruce branch near trunk"/>
    <s v="Spruce"/>
    <s v="Interior"/>
    <s v="Branch"/>
    <n v="13"/>
    <n v="63.722320000000003"/>
    <n v="148.96617000000001"/>
    <n v="0"/>
    <n v="0"/>
    <n v="0"/>
    <n v="0"/>
    <n v="0"/>
    <n v="0"/>
    <n v="0"/>
    <m/>
    <s v="Cached and then foraged."/>
    <m/>
    <m/>
  </r>
  <r>
    <s v="DSCN1389"/>
    <s v="AQ1007_5"/>
    <n v="5"/>
    <n v="1"/>
    <s v="Air Quality"/>
    <d v="2018-10-07T00:00:00"/>
    <x v="1"/>
    <s v="Fall"/>
    <d v="1899-12-30T01:23:00"/>
    <s v="Overcast"/>
    <s v="O-/BS"/>
    <s v="Foraging"/>
    <s v="Spruce"/>
    <n v="0"/>
    <n v="0"/>
    <n v="0"/>
    <n v="0"/>
    <x v="1"/>
    <x v="1"/>
    <s v="NA"/>
    <s v="NA"/>
    <s v="NA"/>
    <s v="NA"/>
    <s v="NA"/>
    <s v="NA"/>
    <s v="NA"/>
    <s v="NA"/>
    <n v="18"/>
    <n v="0"/>
    <n v="0"/>
    <n v="18"/>
    <n v="0"/>
    <n v="0"/>
    <n v="18"/>
    <m/>
    <s v="Two birds in this video.  The first (O/BS) is the one foraging in the tree.  We did not document any food acquisitions or caches for that birds.  The rest of the data is based on the second bird (PG/PS)"/>
    <m/>
    <m/>
  </r>
  <r>
    <s v="DSCN1389"/>
    <s v="AQ1007_5"/>
    <n v="5"/>
    <n v="2"/>
    <s v="Air Quality"/>
    <d v="2018-10-07T00:00:00"/>
    <x v="1"/>
    <s v="Fall"/>
    <d v="1899-12-30T01:23:00"/>
    <s v="Overcast"/>
    <s v="PG/PS"/>
    <s v="Caching"/>
    <s v="Spruce"/>
    <n v="0"/>
    <m/>
    <n v="2"/>
    <s v="Same tree"/>
    <x v="2"/>
    <x v="2"/>
    <s v="Ground"/>
    <s v="Exterior spruce foliage under witchhair"/>
    <s v="Spruce"/>
    <s v="Exterior"/>
    <s v="Foliage"/>
    <n v="21"/>
    <n v="63.722290000000001"/>
    <n v="148.96632"/>
    <n v="0"/>
    <n v="0"/>
    <n v="0"/>
    <n v="0"/>
    <n v="0"/>
    <n v="0"/>
    <n v="0"/>
    <m/>
    <m/>
    <m/>
    <m/>
  </r>
  <r>
    <s v="DSCN1394"/>
    <s v="M2371007_1"/>
    <n v="1"/>
    <n v="1"/>
    <s v="Mile 237"/>
    <d v="2018-10-07T00:00:00"/>
    <x v="1"/>
    <s v="Fall"/>
    <d v="1899-12-30T00:09:00"/>
    <s v="Overcast"/>
    <s v="YP/RS"/>
    <s v="Caching"/>
    <s v="Aspen"/>
    <n v="0"/>
    <m/>
    <n v="1"/>
    <m/>
    <x v="2"/>
    <x v="2"/>
    <s v="unknown"/>
    <s v="Exterior aspen branch under bark"/>
    <s v="Aspen"/>
    <s v="Exterior"/>
    <s v="Under bark"/>
    <s v="Unknown"/>
    <n v="63.72533"/>
    <n v="148.88963000000001"/>
    <n v="0"/>
    <n v="0"/>
    <n v="0"/>
    <n v="0"/>
    <n v="0"/>
    <n v="0"/>
    <n v="0"/>
    <m/>
    <s v="Seen by DL. Not captured on video. "/>
    <m/>
    <m/>
  </r>
  <r>
    <s v="DSCN1398"/>
    <s v="M4R1008_1"/>
    <n v="1"/>
    <n v="1"/>
    <s v="M4Roadside"/>
    <d v="2018-10-08T00:00:00"/>
    <x v="1"/>
    <s v="Fall"/>
    <d v="1899-12-30T00:23:00"/>
    <s v="Partly cloudy, light snow"/>
    <s v="WG/OS"/>
    <s v="Foraging"/>
    <s v="NA"/>
    <n v="2"/>
    <m/>
    <n v="0"/>
    <m/>
    <x v="2"/>
    <x v="2"/>
    <s v="Ground"/>
    <s v="NA"/>
    <s v="NA"/>
    <s v="NA"/>
    <s v="NA"/>
    <s v="NA"/>
    <s v="NA"/>
    <m/>
    <n v="0"/>
    <n v="0"/>
    <n v="0"/>
    <n v="0"/>
    <n v="20"/>
    <n v="0"/>
    <n v="20"/>
    <m/>
    <m/>
    <m/>
    <m/>
  </r>
  <r>
    <s v="DSCN1399"/>
    <s v="M4R1008_2"/>
    <n v="2"/>
    <n v="1"/>
    <s v="M4Roadside"/>
    <d v="2018-10-08T00:00:00"/>
    <x v="1"/>
    <s v="Fall"/>
    <d v="1899-12-30T00:23:00"/>
    <s v="Partly cloudy"/>
    <s v="WG/OS"/>
    <s v="Foraging"/>
    <s v="NA"/>
    <n v="1"/>
    <m/>
    <n v="0"/>
    <m/>
    <x v="3"/>
    <x v="4"/>
    <s v="Ground"/>
    <s v="NA"/>
    <s v="NA"/>
    <s v="NA"/>
    <s v="NA"/>
    <s v="NA"/>
    <s v="NA"/>
    <m/>
    <n v="0"/>
    <n v="0"/>
    <n v="0"/>
    <n v="0"/>
    <n v="0"/>
    <n v="0"/>
    <n v="0"/>
    <m/>
    <s v="Video started right after acquisition "/>
    <m/>
    <m/>
  </r>
  <r>
    <s v="DSCN1402"/>
    <s v="M4R1008_3"/>
    <n v="3"/>
    <n v="1"/>
    <s v="M4Roadside"/>
    <d v="2018-10-08T00:00:00"/>
    <x v="1"/>
    <s v="Fall"/>
    <d v="1899-12-30T00:15:00"/>
    <s v="Partly cloudy"/>
    <s v="WG/OS"/>
    <s v="Cache recovery/Caching"/>
    <s v="Spruce"/>
    <n v="1"/>
    <m/>
    <n v="1"/>
    <m/>
    <x v="3"/>
    <x v="51"/>
    <s v="Interior spruce foliage"/>
    <s v="Interior spruce bare branch/witches broom "/>
    <s v="Spruce"/>
    <s v="Interior"/>
    <s v="In mistoe"/>
    <n v="3"/>
    <n v="63.718719999999998"/>
    <n v="148.9863"/>
    <n v="0"/>
    <n v="0"/>
    <n v="0"/>
    <n v="0"/>
    <n v="0"/>
    <n v="0"/>
    <n v="0"/>
    <m/>
    <s v="Pulled food out of one tree and then went the the next tree over and appeared to recache it.  B&amp;Ut that cache is unconfirmed.  "/>
    <m/>
    <m/>
  </r>
  <r>
    <s v="DSCN1410"/>
    <s v="M4R1008_4"/>
    <n v="4"/>
    <n v="1"/>
    <s v="M4Roadside"/>
    <d v="2018-10-08T00:00:00"/>
    <x v="1"/>
    <s v="Fall"/>
    <d v="1899-12-30T00:33:00"/>
    <s v="Partly cloudy"/>
    <s v="WG/OS"/>
    <s v="Caching"/>
    <s v="Spruce"/>
    <n v="0"/>
    <m/>
    <n v="1"/>
    <m/>
    <x v="2"/>
    <x v="2"/>
    <s v="unknown"/>
    <s v="Spruce trunk under bark"/>
    <s v="Spruce"/>
    <s v="Trunk"/>
    <s v="Under bark"/>
    <s v="Unknown"/>
    <n v="63.719540000000002"/>
    <n v="148.98489000000001"/>
    <n v="0"/>
    <n v="0"/>
    <n v="0"/>
    <n v="0"/>
    <n v="0"/>
    <n v="0"/>
    <n v="0"/>
    <m/>
    <s v="Great cache video.  We put a Camera on this tree as well.  "/>
    <m/>
    <m/>
  </r>
  <r>
    <s v="DSCN1413"/>
    <s v="M4R1008_5"/>
    <n v="5"/>
    <n v="1"/>
    <s v="M4Roadside"/>
    <d v="2018-10-08T00:00:00"/>
    <x v="1"/>
    <s v="Fall"/>
    <d v="1899-12-30T00:11:00"/>
    <s v="Partly cloudy"/>
    <s v="OB/YS"/>
    <s v="Foraging"/>
    <s v="NA"/>
    <n v="1"/>
    <n v="2"/>
    <n v="0"/>
    <m/>
    <x v="3"/>
    <x v="4"/>
    <s v="Ground"/>
    <s v="NA"/>
    <s v="NA"/>
    <s v="NA"/>
    <s v="NA"/>
    <s v="NA"/>
    <s v="NA"/>
    <m/>
    <n v="0"/>
    <n v="0"/>
    <n v="0"/>
    <n v="0"/>
    <n v="11"/>
    <n v="0"/>
    <n v="11"/>
    <m/>
    <m/>
    <m/>
    <m/>
  </r>
  <r>
    <s v="DSCN1414"/>
    <s v="M4R1008_6"/>
    <n v="6"/>
    <n v="1"/>
    <s v="M4Roadside"/>
    <d v="2018-10-08T00:00:00"/>
    <x v="1"/>
    <s v="Fall"/>
    <d v="1899-12-30T00:35:00"/>
    <s v="Partly cloudy"/>
    <s v="OB/YS"/>
    <s v="Caching"/>
    <s v="Spruce"/>
    <n v="0"/>
    <m/>
    <n v="1"/>
    <m/>
    <x v="2"/>
    <x v="2"/>
    <s v="unknown"/>
    <s v="Exterior bare spruce branch"/>
    <s v="Spruce"/>
    <s v="Exterior"/>
    <s v="Branch"/>
    <s v="Unknown"/>
    <n v="63.719549999999998"/>
    <n v="148.98508000000001"/>
    <n v="0"/>
    <n v="0"/>
    <n v="0"/>
    <n v="0"/>
    <n v="0"/>
    <n v="0"/>
    <n v="0"/>
    <m/>
    <s v="No video of event.  Observed by DL.  "/>
    <m/>
    <m/>
  </r>
  <r>
    <s v="DSCN1428"/>
    <s v="M4E1008_1"/>
    <n v="1"/>
    <n v="1"/>
    <s v="Mile 4 East "/>
    <d v="2018-10-08T00:00:00"/>
    <x v="1"/>
    <s v="Fall"/>
    <d v="1899-12-30T00:17:00"/>
    <s v="Partly cloudy"/>
    <s v="YO/BS"/>
    <s v="Caching"/>
    <s v="Spruce"/>
    <n v="0"/>
    <m/>
    <n v="2"/>
    <m/>
    <x v="2"/>
    <x v="2"/>
    <s v="unknown"/>
    <s v="Spruce trunk under bark"/>
    <s v="Spruce"/>
    <s v="Trunk"/>
    <s v="Under bark"/>
    <s v="Unknown"/>
    <s v="Did not mark (did not recognize as cache while in field)"/>
    <m/>
    <n v="0"/>
    <n v="0"/>
    <n v="0"/>
    <n v="0"/>
    <n v="0"/>
    <n v="0"/>
    <n v="0"/>
    <m/>
    <s v="First cache is obviouos from video, second is more of a guess, B&amp;Ut seems likely based on the behavior.  "/>
    <m/>
    <m/>
  </r>
  <r>
    <s v="DSCN1430"/>
    <s v="M4E1008_2"/>
    <n v="2"/>
    <n v="1"/>
    <s v="Mile 4 East "/>
    <d v="2018-10-08T00:00:00"/>
    <x v="1"/>
    <s v="Fall"/>
    <d v="1899-12-30T00:33:00"/>
    <s v="Partly cloudy"/>
    <s v="YO/BS"/>
    <s v="Caching"/>
    <s v="Spruce"/>
    <n v="1"/>
    <m/>
    <n v="1"/>
    <m/>
    <x v="2"/>
    <x v="2"/>
    <s v="Ground"/>
    <s v="Exterior spruce branch under bark/witch hair"/>
    <s v="Spruce"/>
    <s v="Exterior"/>
    <s v="Under bark and witch hair "/>
    <n v="2"/>
    <n v="63.719540000000002"/>
    <n v="148.98946000000001"/>
    <n v="0"/>
    <n v="0"/>
    <n v="0"/>
    <n v="0"/>
    <n v="13"/>
    <n v="0"/>
    <n v="13"/>
    <m/>
    <m/>
    <m/>
    <m/>
  </r>
  <r>
    <s v="DSCN1430"/>
    <s v="M4E1008_2"/>
    <n v="2"/>
    <n v="2"/>
    <s v="Mile 4 East "/>
    <d v="2018-10-08T00:00:00"/>
    <x v="1"/>
    <s v="Fall"/>
    <d v="1899-12-30T00:33:00"/>
    <s v="Partly cloudy"/>
    <s v="YO/BS"/>
    <s v="Caching/foraging"/>
    <s v="Spruce"/>
    <n v="1"/>
    <n v="3"/>
    <n v="1"/>
    <m/>
    <x v="3"/>
    <x v="4"/>
    <s v="Ground"/>
    <s v="Interior spruce foliage "/>
    <s v="Spruce"/>
    <s v="Interior"/>
    <s v="Foliage"/>
    <n v="14"/>
    <n v="63.719450000000002"/>
    <n v="148.98935"/>
    <n v="0"/>
    <n v="0"/>
    <n v="0"/>
    <n v="0"/>
    <n v="0"/>
    <n v="0"/>
    <n v="0"/>
    <m/>
    <m/>
    <m/>
    <m/>
  </r>
  <r>
    <s v="DSCN1431"/>
    <s v="M4E1008_3"/>
    <n v="3"/>
    <n v="1"/>
    <s v="Mile 4 East "/>
    <d v="2018-10-08T00:00:00"/>
    <x v="1"/>
    <s v="Fall"/>
    <d v="1899-12-30T00:32:00"/>
    <s v="Partly cloudy"/>
    <s v="YO/BS"/>
    <s v="Caching"/>
    <s v="Spruce"/>
    <n v="0"/>
    <m/>
    <n v="1"/>
    <m/>
    <x v="3"/>
    <x v="4"/>
    <s v="Ground"/>
    <s v="Interior spruce foliage "/>
    <s v="Spruce"/>
    <s v="Interior"/>
    <s v="Foliage"/>
    <n v="14"/>
    <n v="63.719450000000002"/>
    <n v="148.98935"/>
    <n v="0"/>
    <n v="0"/>
    <n v="0"/>
    <n v="0"/>
    <n v="0"/>
    <n v="0"/>
    <n v="0"/>
    <m/>
    <s v="Same tree as second cache tree in previous video.  Seemed like it returned to cache more, B&amp;Ut this was unconfirmed by the video.  "/>
    <m/>
    <m/>
  </r>
  <r>
    <s v="DSCN1432"/>
    <s v="RC1008_1"/>
    <n v="1"/>
    <n v="1"/>
    <s v="CCAMP"/>
    <d v="2018-10-08T00:00:00"/>
    <x v="1"/>
    <s v="Fall"/>
    <d v="1899-12-30T00:34:00"/>
    <s v="Partly cloudy"/>
    <s v="GB/BS"/>
    <s v="Foraging/caching"/>
    <s v="Spruce"/>
    <n v="1"/>
    <m/>
    <n v="1"/>
    <m/>
    <x v="2"/>
    <x v="2"/>
    <s v="Ground"/>
    <s v="Interior bare spruce branch under bark"/>
    <s v="Spruce"/>
    <s v="Interior"/>
    <s v="Under bark"/>
    <n v="5"/>
    <n v="63.7239"/>
    <n v="148.94981000000001"/>
    <n v="0"/>
    <n v="0"/>
    <n v="0"/>
    <n v="0"/>
    <n v="2"/>
    <n v="0"/>
    <n v="2"/>
    <m/>
    <m/>
    <m/>
    <m/>
  </r>
  <r>
    <s v="DSCN1433"/>
    <s v="RC1008_2"/>
    <n v="2"/>
    <n v="1"/>
    <s v="CCAMP"/>
    <d v="2018-10-08T00:00:00"/>
    <x v="1"/>
    <s v="Fall"/>
    <d v="1899-12-30T00:08:00"/>
    <s v="Mostly sunny"/>
    <s v="GB/BS"/>
    <s v="Foraging"/>
    <s v="Spruce"/>
    <n v="1"/>
    <m/>
    <n v="0"/>
    <m/>
    <x v="4"/>
    <x v="44"/>
    <s v="Exterior bare spruce branch"/>
    <s v="NA"/>
    <s v="NA"/>
    <s v="NA"/>
    <s v="NA"/>
    <s v="NA"/>
    <s v="NA"/>
    <m/>
    <n v="5"/>
    <n v="0"/>
    <n v="0"/>
    <n v="5"/>
    <n v="0"/>
    <n v="0"/>
    <n v="5"/>
    <m/>
    <m/>
    <m/>
    <m/>
  </r>
  <r>
    <s v="DSCN1435"/>
    <s v="RC1008_3"/>
    <n v="3"/>
    <n v="1"/>
    <s v="CCAMP"/>
    <d v="2018-10-08T00:00:00"/>
    <x v="1"/>
    <s v="Fall"/>
    <d v="1899-12-30T00:16:00"/>
    <s v="Mostly sunny"/>
    <s v="GB/BS"/>
    <s v="Foraging/caching"/>
    <s v="Willow"/>
    <n v="1"/>
    <m/>
    <n v="1"/>
    <m/>
    <x v="3"/>
    <x v="4"/>
    <s v="Ground"/>
    <s v="Dead shrub, maybe an alder"/>
    <s v="Shrub"/>
    <s v="Exterior"/>
    <s v="Under bark"/>
    <n v="5"/>
    <n v="63.724020000000003"/>
    <n v="148.95114000000001"/>
    <n v="0"/>
    <n v="0"/>
    <n v="0"/>
    <n v="0"/>
    <n v="0"/>
    <n v="0"/>
    <n v="0"/>
    <m/>
    <s v="Foraging not caught on tape. "/>
    <m/>
    <m/>
  </r>
  <r>
    <s v="DSCN1438"/>
    <s v="RC1008_4"/>
    <n v="4"/>
    <n v="1"/>
    <s v="CCAMP"/>
    <d v="2018-10-08T00:00:00"/>
    <x v="1"/>
    <s v="Fall"/>
    <d v="1899-12-30T00:33:00"/>
    <s v="Mostly sunny"/>
    <s v="GB/BS"/>
    <s v="Caching"/>
    <s v="Spruce"/>
    <n v="1"/>
    <m/>
    <n v="1"/>
    <m/>
    <x v="2"/>
    <x v="2"/>
    <s v="Ground"/>
    <s v="Interior bare spruce branch under bark"/>
    <s v="Spruce"/>
    <s v="Interior"/>
    <s v="Under bark"/>
    <n v="2"/>
    <n v="63.723999999999997"/>
    <n v="148.94900999999999"/>
    <n v="0"/>
    <n v="0"/>
    <n v="0"/>
    <n v="0"/>
    <n v="0"/>
    <n v="0"/>
    <n v="0"/>
    <m/>
    <s v="Foraging not caught on tape. "/>
    <m/>
    <m/>
  </r>
  <r>
    <s v="DSCN1439"/>
    <s v="RC1008_5"/>
    <n v="5"/>
    <n v="1"/>
    <s v="CCAMP"/>
    <d v="2018-10-08T00:00:00"/>
    <x v="1"/>
    <s v="Fall"/>
    <d v="1899-12-30T00:41:00"/>
    <s v="Mostly sunny"/>
    <s v="GB/BS"/>
    <s v="Foraging"/>
    <s v="NA"/>
    <n v="1"/>
    <m/>
    <n v="0"/>
    <m/>
    <x v="2"/>
    <x v="2"/>
    <s v="Ground"/>
    <s v="NA"/>
    <s v="NA"/>
    <s v="NA"/>
    <s v="NA"/>
    <s v="NA"/>
    <s v="NA"/>
    <m/>
    <n v="0"/>
    <n v="0"/>
    <n v="0"/>
    <n v="0"/>
    <n v="29"/>
    <n v="0"/>
    <n v="29"/>
    <m/>
    <m/>
    <m/>
    <m/>
  </r>
  <r>
    <s v="DSCN1441"/>
    <s v="RC1008_6"/>
    <n v="6"/>
    <n v="1"/>
    <s v="CCAMP"/>
    <d v="2018-10-08T00:00:00"/>
    <x v="1"/>
    <s v="Fall"/>
    <d v="1899-12-30T00:25:00"/>
    <s v="Mostly sunny"/>
    <s v="GB/BS"/>
    <s v="Foraging"/>
    <s v="NA"/>
    <n v="1"/>
    <m/>
    <n v="0"/>
    <m/>
    <x v="2"/>
    <x v="2"/>
    <s v="Ground"/>
    <s v="NA"/>
    <s v="NA"/>
    <s v="NA"/>
    <s v="NA"/>
    <s v="NA"/>
    <s v="NA"/>
    <m/>
    <n v="0"/>
    <n v="0"/>
    <n v="0"/>
    <n v="0"/>
    <n v="2"/>
    <n v="0"/>
    <n v="2"/>
    <m/>
    <m/>
    <m/>
    <m/>
  </r>
  <r>
    <s v="DSCN1442"/>
    <s v="RC1008_7"/>
    <n v="7"/>
    <n v="1"/>
    <s v="CCAMP"/>
    <d v="2018-10-08T00:00:00"/>
    <x v="1"/>
    <s v="Fall"/>
    <d v="1899-12-30T00:33:00"/>
    <s v="Mostly sunny"/>
    <s v="GB/BS"/>
    <s v="Caching"/>
    <s v="Spruce"/>
    <n v="0"/>
    <m/>
    <n v="1"/>
    <m/>
    <x v="2"/>
    <x v="2"/>
    <s v="Ground"/>
    <s v="Interior bare spruce branch under bark"/>
    <s v="Spruce"/>
    <s v="Interior"/>
    <s v="Under bark"/>
    <n v="7"/>
    <n v="63.724110000000003"/>
    <n v="148.95033000000001"/>
    <n v="0"/>
    <n v="0"/>
    <n v="0"/>
    <n v="0"/>
    <n v="0"/>
    <n v="0"/>
    <n v="0"/>
    <m/>
    <s v="cache from previous video. "/>
    <m/>
    <m/>
  </r>
  <r>
    <s v="DSCN1443"/>
    <s v="RC1008_8"/>
    <n v="8"/>
    <n v="1"/>
    <s v="CCAMP"/>
    <d v="2018-10-08T00:00:00"/>
    <x v="1"/>
    <s v="Fall"/>
    <d v="1899-12-30T01:18:00"/>
    <s v="Mostly sunny"/>
    <s v="GB/BS"/>
    <s v="Foraging/caching"/>
    <s v="Spruce"/>
    <n v="1"/>
    <m/>
    <n v="1"/>
    <m/>
    <x v="2"/>
    <x v="2"/>
    <s v="Ground"/>
    <s v="Interior bare spruce branch under bark"/>
    <s v="Spruce"/>
    <s v="Interior"/>
    <s v="Under bark"/>
    <n v="9"/>
    <n v="63.723779999999998"/>
    <n v="148.95067"/>
    <n v="0"/>
    <n v="0"/>
    <n v="0"/>
    <n v="0"/>
    <n v="30"/>
    <n v="0"/>
    <n v="30"/>
    <m/>
    <m/>
    <m/>
    <m/>
  </r>
  <r>
    <s v="DSCN1445"/>
    <s v="RC1008_9"/>
    <n v="9"/>
    <n v="1"/>
    <s v="CCAMP"/>
    <d v="2018-10-08T00:00:00"/>
    <x v="1"/>
    <s v="Fall"/>
    <d v="1899-12-30T00:14:00"/>
    <s v="Mostly sunny"/>
    <s v="GB/BS"/>
    <s v="Foraging"/>
    <s v="NA"/>
    <s v="unknown"/>
    <m/>
    <n v="0"/>
    <m/>
    <x v="2"/>
    <x v="2"/>
    <s v="NA"/>
    <s v="NA"/>
    <s v="NA"/>
    <s v="NA"/>
    <s v="NA"/>
    <s v="NA"/>
    <s v="NA"/>
    <m/>
    <n v="0"/>
    <n v="0"/>
    <n v="0"/>
    <n v="0"/>
    <n v="14"/>
    <n v="0"/>
    <n v="14"/>
    <m/>
    <m/>
    <m/>
    <m/>
  </r>
  <r>
    <s v="DSCN1446"/>
    <s v="RC1008_10"/>
    <n v="10"/>
    <n v="1"/>
    <s v="CCAMP"/>
    <d v="2018-10-08T00:00:00"/>
    <x v="1"/>
    <s v="Fall"/>
    <d v="1899-12-30T00:52:00"/>
    <s v="Mostly sunny"/>
    <s v="GB/BS"/>
    <s v="Foraging"/>
    <s v="NA"/>
    <n v="1"/>
    <m/>
    <n v="0"/>
    <m/>
    <x v="2"/>
    <x v="2"/>
    <s v="Ground"/>
    <s v="NA"/>
    <s v="NA"/>
    <s v="NA"/>
    <s v="NA"/>
    <s v="NA"/>
    <s v="NA"/>
    <m/>
    <n v="0"/>
    <n v="0"/>
    <n v="0"/>
    <n v="0"/>
    <n v="16"/>
    <n v="0"/>
    <n v="16"/>
    <m/>
    <m/>
    <m/>
    <m/>
  </r>
  <r>
    <s v="DSCN1447"/>
    <s v="RC1008_11"/>
    <n v="11"/>
    <n v="1"/>
    <s v="Rock Creek"/>
    <d v="2018-10-08T00:00:00"/>
    <x v="1"/>
    <s v="Fall"/>
    <d v="1899-12-30T00:16:00"/>
    <s v="Mostly sunny"/>
    <s v="LB/RS"/>
    <s v="Caching"/>
    <s v="Spruce"/>
    <n v="1"/>
    <m/>
    <n v="1"/>
    <m/>
    <x v="2"/>
    <x v="2"/>
    <s v="Ground"/>
    <s v="Exterior spruce branch under bark/witch hair"/>
    <s v="Spruce"/>
    <s v="Exterior"/>
    <s v="Under bark and witch hair "/>
    <n v="1"/>
    <n v="63.723610000000001"/>
    <n v="148.95204000000001"/>
    <n v="0"/>
    <n v="0"/>
    <n v="0"/>
    <n v="0"/>
    <n v="0"/>
    <n v="0"/>
    <n v="0"/>
    <m/>
    <s v="Foraging not caught on tape"/>
    <m/>
    <m/>
  </r>
  <r>
    <s v="DSCN1448"/>
    <s v="RC1008_12"/>
    <n v="12"/>
    <n v="1"/>
    <s v="Rock Creek"/>
    <d v="2018-10-08T00:00:00"/>
    <x v="1"/>
    <s v="Fall"/>
    <d v="1899-12-30T00:13:00"/>
    <s v="Mostly sunny"/>
    <s v="LB/RS"/>
    <s v="Foraging"/>
    <s v="NA"/>
    <n v="2"/>
    <m/>
    <n v="0"/>
    <m/>
    <x v="2"/>
    <x v="2"/>
    <s v="Ground"/>
    <s v="NA"/>
    <s v="NA"/>
    <s v="NA"/>
    <s v="NA"/>
    <s v="NA"/>
    <s v="NA"/>
    <m/>
    <n v="0"/>
    <n v="0"/>
    <n v="0"/>
    <n v="0"/>
    <n v="10"/>
    <n v="0"/>
    <n v="10"/>
    <m/>
    <m/>
    <m/>
    <m/>
  </r>
  <r>
    <s v="DSCN1452"/>
    <s v="RC1008_13"/>
    <n v="13"/>
    <n v="1"/>
    <s v="Rock Creek"/>
    <d v="2018-10-08T00:00:00"/>
    <x v="1"/>
    <s v="Fall"/>
    <d v="1899-12-30T00:30:00"/>
    <s v="Mostly sunny"/>
    <s v="LB/RS"/>
    <s v="Foraging/caching"/>
    <s v="Spruce"/>
    <n v="1"/>
    <m/>
    <n v="1"/>
    <m/>
    <x v="4"/>
    <x v="52"/>
    <s v="Ground"/>
    <s v="Exterior spruce branch under bark/witch hair"/>
    <s v="Spruce"/>
    <s v="Exterior"/>
    <s v="Under bark and witch hair "/>
    <n v="2"/>
    <n v="63.724409999999999"/>
    <n v="148.95231999999999"/>
    <n v="0"/>
    <n v="0"/>
    <n v="0"/>
    <n v="0"/>
    <n v="4"/>
    <n v="0"/>
    <n v="4"/>
    <m/>
    <s v="Photographed and collected beetle grub.  "/>
    <m/>
    <m/>
  </r>
  <r>
    <s v="DSCN1458"/>
    <s v="RC1009_1"/>
    <n v="1"/>
    <n v="1"/>
    <s v="Rock Creek"/>
    <d v="2018-10-09T00:00:00"/>
    <x v="1"/>
    <s v="Fall"/>
    <d v="1899-12-30T00:14:00"/>
    <s v="Mostly cloudy"/>
    <s v="LB/RS"/>
    <s v="Foraging or caching"/>
    <s v="Spruce"/>
    <s v="unknown"/>
    <m/>
    <s v="unknown"/>
    <m/>
    <x v="2"/>
    <x v="2"/>
    <s v="NA"/>
    <s v="Aspen trunk"/>
    <m/>
    <m/>
    <m/>
    <s v="Unknown"/>
    <n v="63.723520000000001"/>
    <n v="148.95076"/>
    <n v="14"/>
    <n v="0"/>
    <n v="14"/>
    <n v="0"/>
    <n v="0"/>
    <n v="0"/>
    <n v="14"/>
    <m/>
    <s v="Could have either been caching or foraging.  Provided data for either possibility "/>
    <m/>
    <m/>
  </r>
  <r>
    <s v="DSCN1465"/>
    <s v="RC1009_2"/>
    <n v="2"/>
    <n v="1"/>
    <s v="CCAMP"/>
    <d v="2018-10-09T00:00:00"/>
    <x v="1"/>
    <s v="Fall"/>
    <d v="1899-12-30T00:18:00"/>
    <s v="Mostly cloudy"/>
    <s v="GB/BS"/>
    <s v="Foraging"/>
    <s v="NA"/>
    <n v="1"/>
    <n v="4"/>
    <n v="0"/>
    <m/>
    <x v="3"/>
    <x v="26"/>
    <s v="Ground"/>
    <s v="NA"/>
    <s v="NA"/>
    <s v="NA"/>
    <s v="NA"/>
    <s v="NA"/>
    <s v="NA"/>
    <m/>
    <n v="0"/>
    <n v="0"/>
    <n v="0"/>
    <n v="0"/>
    <n v="15"/>
    <n v="0"/>
    <n v="15"/>
    <m/>
    <m/>
    <m/>
    <m/>
  </r>
  <r>
    <s v="DSCN1471"/>
    <s v="RC1009_3"/>
    <n v="3"/>
    <n v="1"/>
    <s v="Rock Creek"/>
    <d v="2018-10-09T00:00:00"/>
    <x v="1"/>
    <s v="Fall"/>
    <d v="1899-12-30T00:16:00"/>
    <s v="Mostly cloudy"/>
    <s v="LB/RS"/>
    <s v="Caching"/>
    <s v="Spruce"/>
    <n v="0"/>
    <m/>
    <n v="1"/>
    <m/>
    <x v="2"/>
    <x v="2"/>
    <s v="unknown"/>
    <s v="Exterior spruce branch under bark/witch hair"/>
    <s v="Spruce"/>
    <s v="Exterior"/>
    <s v="Under bark and witch hair "/>
    <s v="Unknown"/>
    <n v="63.724490000000003"/>
    <n v="148.94810000000001"/>
    <n v="0"/>
    <n v="0"/>
    <n v="0"/>
    <n v="0"/>
    <n v="0"/>
    <n v="0"/>
    <n v="0"/>
    <m/>
    <s v="Not captured on film.  Observed by DL. "/>
    <m/>
    <m/>
  </r>
  <r>
    <s v="DSCN1473"/>
    <s v="RC1009_4"/>
    <n v="4"/>
    <n v="1"/>
    <s v="CCAMP"/>
    <d v="2018-10-09T00:00:00"/>
    <x v="1"/>
    <s v="Fall"/>
    <d v="1899-12-30T00:10:00"/>
    <s v="Mostly cloudy"/>
    <s v="GB/BS"/>
    <s v="Caching"/>
    <s v="Spruce"/>
    <n v="0"/>
    <m/>
    <n v="1"/>
    <m/>
    <x v="2"/>
    <x v="2"/>
    <s v="unknown"/>
    <s v="Witch broom in exterior spruce"/>
    <s v="Spruce"/>
    <s v="Exterior"/>
    <s v="In mistoe"/>
    <s v="Unknown"/>
    <n v="63.724910000000001"/>
    <n v="148.94807"/>
    <n v="0"/>
    <n v="0"/>
    <n v="0"/>
    <n v="0"/>
    <n v="0"/>
    <n v="0"/>
    <n v="0"/>
    <m/>
    <m/>
    <m/>
    <m/>
  </r>
  <r>
    <s v="DSCN1474"/>
    <s v="RC1009_5"/>
    <n v="5"/>
    <n v="1"/>
    <s v="CCAMP"/>
    <d v="2018-10-09T00:00:00"/>
    <x v="1"/>
    <s v="Fall"/>
    <d v="1899-12-30T00:14:00"/>
    <s v="Mostly cloudy"/>
    <s v="GB/BS"/>
    <s v="Caching"/>
    <s v="Spruce"/>
    <n v="0"/>
    <m/>
    <n v="1"/>
    <m/>
    <x v="2"/>
    <x v="2"/>
    <s v="unknown"/>
    <s v="Interior bare spruce branch under bark"/>
    <s v="Spruce"/>
    <s v="Interior"/>
    <s v="Under bark"/>
    <s v="Unknown"/>
    <n v="63.724910000000001"/>
    <n v="148.94807"/>
    <n v="0"/>
    <n v="0"/>
    <n v="0"/>
    <n v="0"/>
    <n v="0"/>
    <n v="0"/>
    <n v="0"/>
    <m/>
    <s v="Possible second cache from tree in previous video.  "/>
    <m/>
    <m/>
  </r>
  <r>
    <s v="DSCN1484"/>
    <s v="RC1009_6"/>
    <n v="6"/>
    <n v="1"/>
    <s v="Rock Creek"/>
    <d v="2018-10-09T00:00:00"/>
    <x v="1"/>
    <s v="Fall"/>
    <d v="1899-12-30T00:25:00"/>
    <s v="Mostly cloudy"/>
    <s v="LB/RS"/>
    <s v="Foraging"/>
    <s v="NA"/>
    <s v="unknown"/>
    <m/>
    <n v="0"/>
    <m/>
    <x v="2"/>
    <x v="2"/>
    <s v="NA"/>
    <s v="NA"/>
    <s v="NA"/>
    <s v="NA"/>
    <s v="NA"/>
    <s v="NA"/>
    <s v="NA"/>
    <m/>
    <n v="0"/>
    <n v="0"/>
    <n v="0"/>
    <n v="0"/>
    <n v="22"/>
    <n v="0"/>
    <n v="22"/>
    <m/>
    <m/>
    <m/>
    <m/>
  </r>
  <r>
    <s v="DSCN1485"/>
    <s v="RC1009_7"/>
    <n v="7"/>
    <n v="1"/>
    <s v="CCAMP"/>
    <d v="2018-10-09T00:00:00"/>
    <x v="1"/>
    <s v="Fall"/>
    <d v="1899-12-30T00:14:00"/>
    <s v="Mostly cloudy"/>
    <s v="GB/BS"/>
    <s v="Foraging"/>
    <s v="Spruce"/>
    <n v="0"/>
    <m/>
    <n v="0"/>
    <m/>
    <x v="1"/>
    <x v="1"/>
    <s v="NA"/>
    <s v="NA"/>
    <s v="NA"/>
    <s v="NA"/>
    <s v="NA"/>
    <s v="NA"/>
    <s v="NA"/>
    <m/>
    <n v="14"/>
    <n v="0"/>
    <n v="14"/>
    <n v="0"/>
    <n v="0"/>
    <n v="0"/>
    <n v="14"/>
    <s v="Probing"/>
    <s v="Called cachiing in video, B&amp;Ut after being unable to locate what should have been a very obvious  cache we concluded it was more likely foraging.  "/>
    <n v="1"/>
    <n v="0"/>
  </r>
  <r>
    <s v="DSCN1487"/>
    <s v="RC1009_8"/>
    <n v="8"/>
    <n v="1"/>
    <s v="CCAMP"/>
    <d v="2018-10-09T00:00:00"/>
    <x v="1"/>
    <s v="Fall"/>
    <d v="1899-12-30T00:03:00"/>
    <s v="Mostly cloudy"/>
    <s v="GB/BS"/>
    <s v="Foraging"/>
    <s v="NA"/>
    <n v="1"/>
    <m/>
    <n v="0"/>
    <m/>
    <x v="2"/>
    <x v="2"/>
    <s v="Ground"/>
    <s v="NA"/>
    <s v="NA"/>
    <s v="NA"/>
    <s v="NA"/>
    <s v="NA"/>
    <s v="NA"/>
    <m/>
    <n v="0"/>
    <n v="0"/>
    <n v="0"/>
    <n v="0"/>
    <n v="10"/>
    <n v="0"/>
    <n v="10"/>
    <m/>
    <s v="Video clip is 3sec, B&amp;Ut total foraging time as calculated in the field was 10.  "/>
    <m/>
    <m/>
  </r>
  <r>
    <s v="DSCN1488"/>
    <s v="RC1009_9"/>
    <n v="9"/>
    <n v="1"/>
    <s v="CCAMP"/>
    <d v="2018-10-09T00:00:00"/>
    <x v="1"/>
    <s v="Fall"/>
    <d v="1899-12-30T00:12:00"/>
    <s v="Mostly cloudy"/>
    <s v="GB/BS"/>
    <s v="Foraging"/>
    <s v="NA"/>
    <n v="1"/>
    <m/>
    <n v="0"/>
    <m/>
    <x v="2"/>
    <x v="2"/>
    <s v="Ground"/>
    <s v="NA"/>
    <s v="NA"/>
    <s v="NA"/>
    <s v="NA"/>
    <s v="NA"/>
    <s v="NA"/>
    <m/>
    <n v="0"/>
    <n v="0"/>
    <n v="0"/>
    <n v="0"/>
    <n v="9"/>
    <n v="0"/>
    <n v="9"/>
    <m/>
    <m/>
    <m/>
    <m/>
  </r>
  <r>
    <s v="DSCN1489"/>
    <s v="RC1009_10"/>
    <n v="10"/>
    <n v="1"/>
    <s v="CCAMP"/>
    <d v="2018-10-09T00:00:00"/>
    <x v="1"/>
    <s v="Fall"/>
    <d v="1899-12-30T00:05:00"/>
    <s v="Mostly cloudy"/>
    <s v="GB/BS"/>
    <s v="Foraging"/>
    <s v="Spruce"/>
    <s v="unknown"/>
    <m/>
    <n v="0"/>
    <m/>
    <x v="2"/>
    <x v="2"/>
    <s v="NA"/>
    <s v="NA"/>
    <s v="NA"/>
    <s v="NA"/>
    <s v="NA"/>
    <s v="NA"/>
    <s v="NA"/>
    <m/>
    <n v="5"/>
    <n v="0"/>
    <n v="5"/>
    <n v="0"/>
    <n v="0"/>
    <n v="0"/>
    <n v="5"/>
    <s v="Probing"/>
    <s v="Called cachiing in video, B&amp;Ut after being unable to locate what should have been a very obvious  cache we concluded it was more likely foraging.  "/>
    <n v="2"/>
    <n v="0"/>
  </r>
  <r>
    <s v="DSCN1490"/>
    <s v="RC1009_11"/>
    <n v="11"/>
    <n v="1"/>
    <s v="CCAMP"/>
    <d v="2018-10-09T00:00:00"/>
    <x v="1"/>
    <s v="Fall"/>
    <d v="1899-12-30T00:29:00"/>
    <s v="Mostly cloudy"/>
    <s v="GB/BS"/>
    <s v="Foraging"/>
    <s v="NA"/>
    <s v="unknown"/>
    <m/>
    <n v="0"/>
    <m/>
    <x v="2"/>
    <x v="2"/>
    <s v="NA"/>
    <s v="NA"/>
    <s v="NA"/>
    <s v="NA"/>
    <s v="NA"/>
    <s v="NA"/>
    <s v="NA"/>
    <m/>
    <n v="0"/>
    <n v="0"/>
    <n v="0"/>
    <n v="0"/>
    <n v="21"/>
    <n v="0"/>
    <n v="21"/>
    <m/>
    <m/>
    <m/>
    <m/>
  </r>
  <r>
    <s v="DSCN1491"/>
    <s v="RC1009_12"/>
    <n v="12"/>
    <n v="1"/>
    <s v="CCAMP"/>
    <d v="2018-10-09T00:00:00"/>
    <x v="1"/>
    <s v="Fall"/>
    <d v="1899-12-30T00:35:00"/>
    <s v="Mostly cloudy"/>
    <s v="GB/BS"/>
    <s v="Foraging"/>
    <s v="Spruce"/>
    <s v="unknown"/>
    <m/>
    <n v="0"/>
    <m/>
    <x v="2"/>
    <x v="2"/>
    <s v="NA"/>
    <s v="NA"/>
    <s v="NA"/>
    <s v="NA"/>
    <s v="NA"/>
    <s v="NA"/>
    <s v="NA"/>
    <m/>
    <n v="13"/>
    <n v="0"/>
    <n v="13"/>
    <n v="0"/>
    <n v="0"/>
    <n v="0"/>
    <n v="13"/>
    <s v="Probing"/>
    <s v="Called cachiing in video, B&amp;Ut after being unable to locate what should have been a very obvious  cache we concluded it was more likely foraging.  "/>
    <n v="4"/>
    <n v="0"/>
  </r>
  <r>
    <s v="DSCN1492"/>
    <s v="RC1009_13"/>
    <n v="13"/>
    <n v="1"/>
    <s v="CCAMP"/>
    <d v="2018-10-09T00:00:00"/>
    <x v="1"/>
    <s v="Fall"/>
    <d v="1899-12-30T00:27:00"/>
    <s v="Mostly cloudy"/>
    <s v="GB/BS"/>
    <s v="Foraging"/>
    <s v="Spruce"/>
    <n v="1"/>
    <m/>
    <n v="0"/>
    <m/>
    <x v="2"/>
    <x v="2"/>
    <s v="Exterior bare branch in witch hair"/>
    <s v="NA"/>
    <s v="NA"/>
    <s v="NA"/>
    <s v="NA"/>
    <s v="NA"/>
    <s v="NA"/>
    <m/>
    <n v="27"/>
    <n v="0"/>
    <n v="0"/>
    <n v="27"/>
    <n v="0"/>
    <n v="0"/>
    <n v="27"/>
    <s v="Gleaning"/>
    <m/>
    <n v="0"/>
    <n v="5"/>
  </r>
  <r>
    <s v="DSCN1493"/>
    <s v="RC1009_14"/>
    <n v="14"/>
    <n v="1"/>
    <s v="CCAMP"/>
    <d v="2018-10-09T00:00:00"/>
    <x v="1"/>
    <s v="Fall"/>
    <d v="1899-12-30T02:25:00"/>
    <s v="Mostly cloudy"/>
    <s v="GB/BS"/>
    <s v="Foraging"/>
    <s v="Spruce"/>
    <n v="1"/>
    <m/>
    <n v="0"/>
    <m/>
    <x v="2"/>
    <x v="48"/>
    <s v="Exterior bare branch under bark"/>
    <s v="na"/>
    <s v="NA"/>
    <s v="NA"/>
    <s v="NA"/>
    <s v="NA"/>
    <s v="NA"/>
    <m/>
    <n v="45"/>
    <n v="38"/>
    <n v="0"/>
    <n v="83"/>
    <n v="0"/>
    <n v="0"/>
    <n v="83"/>
    <s v="Probing"/>
    <m/>
    <n v="3"/>
    <n v="0"/>
  </r>
  <r>
    <s v="DSCN1498"/>
    <s v="HS1009_1"/>
    <n v="1"/>
    <n v="1"/>
    <s v="Horse shoe"/>
    <d v="2018-10-09T00:00:00"/>
    <x v="1"/>
    <s v="Fall"/>
    <d v="1899-12-30T00:07:00"/>
    <s v="Mostly cloudy"/>
    <s v="Unknown"/>
    <s v="Food handling"/>
    <s v="NA"/>
    <n v="1"/>
    <m/>
    <n v="0"/>
    <m/>
    <x v="6"/>
    <x v="17"/>
    <s v="unknown"/>
    <s v="NA"/>
    <s v="NA"/>
    <s v="NA"/>
    <s v="NA"/>
    <s v="NA"/>
    <s v="NA"/>
    <m/>
    <n v="0"/>
    <n v="0"/>
    <n v="0"/>
    <n v="0"/>
    <n v="0"/>
    <n v="0"/>
    <n v="0"/>
    <m/>
    <s v="Descriptive video only. "/>
    <m/>
    <m/>
  </r>
  <r>
    <s v="DSCN1502"/>
    <s v="M2371011_1"/>
    <n v="1"/>
    <n v="1"/>
    <s v="Mile 237"/>
    <d v="2018-10-11T00:00:00"/>
    <x v="1"/>
    <s v="Fall"/>
    <d v="1899-12-30T00:01:00"/>
    <s v="Overcast, light rain"/>
    <s v="GB/PS"/>
    <s v="Food handling"/>
    <s v="Spruce"/>
    <n v="1"/>
    <m/>
    <n v="0"/>
    <m/>
    <x v="4"/>
    <x v="52"/>
    <s v="unknown"/>
    <s v="NA"/>
    <s v="NA"/>
    <s v="NA"/>
    <s v="NA"/>
    <s v="NA"/>
    <s v="NA"/>
    <m/>
    <n v="0"/>
    <n v="0"/>
    <n v="0"/>
    <n v="0"/>
    <n v="0"/>
    <n v="0"/>
    <n v="0"/>
    <m/>
    <s v="Seen holding grub"/>
    <m/>
    <m/>
  </r>
  <r>
    <s v="DSCN1503"/>
    <s v="M2371011_2"/>
    <n v="2"/>
    <n v="1"/>
    <s v="Mile 237"/>
    <d v="2018-10-11T00:00:00"/>
    <x v="1"/>
    <s v="Fall"/>
    <d v="1899-12-30T00:07:00"/>
    <m/>
    <s v="GB/PS"/>
    <s v="Caching"/>
    <s v="NA"/>
    <n v="0"/>
    <m/>
    <n v="1"/>
    <m/>
    <x v="4"/>
    <x v="52"/>
    <s v="unknown"/>
    <s v="Under bark/witch hair in dead shrub branch.  "/>
    <s v="Shrub"/>
    <s v="Exterior"/>
    <s v="Under bark and witch hair "/>
    <s v="Unknown"/>
    <n v="63.725389999999997"/>
    <n v="148.88972000000001"/>
    <n v="0"/>
    <n v="0"/>
    <n v="0"/>
    <n v="0"/>
    <n v="0"/>
    <n v="0"/>
    <n v="0"/>
    <m/>
    <s v="Cached food from previous video. Put camera on this cache site "/>
    <m/>
    <m/>
  </r>
  <r>
    <s v="DSCN1520"/>
    <s v="M2371011_4"/>
    <n v="4"/>
    <n v="1"/>
    <s v="Mile 237"/>
    <d v="2018-10-11T00:00:00"/>
    <x v="1"/>
    <s v="Fall"/>
    <d v="1899-12-30T00:29:00"/>
    <s v="Overcast"/>
    <s v="Unknown"/>
    <s v="NA"/>
    <s v="Aspen"/>
    <n v="0"/>
    <m/>
    <n v="1"/>
    <m/>
    <x v="3"/>
    <x v="26"/>
    <s v="unknown"/>
    <s v="Under bark of aspen on trunk"/>
    <s v="Aspen"/>
    <s v="Trunk"/>
    <s v="Under bark"/>
    <s v="Unknown"/>
    <n v="63.724260000000001"/>
    <n v="148.88929999999999"/>
    <n v="0"/>
    <n v="0"/>
    <n v="0"/>
    <n v="0"/>
    <n v="0"/>
    <n v="0"/>
    <n v="0"/>
    <m/>
    <s v="Caching event not observed.  Cache found incidentally by TG.  Jay spit evident.  "/>
    <m/>
    <m/>
  </r>
  <r>
    <s v="DSCN1526"/>
    <s v="M2371011_5"/>
    <n v="5"/>
    <n v="1"/>
    <s v="Mile 237"/>
    <d v="2018-10-11T00:00:00"/>
    <x v="1"/>
    <s v="Fall"/>
    <d v="1899-12-30T00:19:00"/>
    <s v="Overcast"/>
    <s v="GB/PS"/>
    <s v="Caching"/>
    <s v="Spruce"/>
    <n v="0"/>
    <m/>
    <n v="1"/>
    <m/>
    <x v="2"/>
    <x v="2"/>
    <s v="Ground"/>
    <s v="Exterior spruce branch under bark/witch hair"/>
    <s v="Spruce"/>
    <s v="Exterior"/>
    <s v="Under bark and witch hair "/>
    <n v="101"/>
    <n v="63.72372"/>
    <n v="148.88693000000001"/>
    <n v="0"/>
    <n v="0"/>
    <n v="0"/>
    <n v="0"/>
    <n v="0"/>
    <n v="0"/>
    <n v="0"/>
    <m/>
    <s v="Observed by TG.  "/>
    <m/>
    <m/>
  </r>
  <r>
    <s v="DSCN1529"/>
    <s v="RC1012_1"/>
    <n v="1"/>
    <n v="1"/>
    <s v="Rock Creek"/>
    <d v="2018-10-12T00:00:00"/>
    <x v="1"/>
    <s v="Fall"/>
    <d v="1899-12-30T00:11:00"/>
    <s v="Overcast"/>
    <s v="LB/RS"/>
    <s v="Food handling/caching"/>
    <s v="Spruce"/>
    <n v="1"/>
    <m/>
    <n v="1"/>
    <m/>
    <x v="2"/>
    <x v="2"/>
    <s v="unknown"/>
    <s v="Interior spruce foliage "/>
    <s v="Spruce"/>
    <s v="Interior"/>
    <s v="Foliage"/>
    <s v="Unknown"/>
    <n v="63.722709999999999"/>
    <n v="148.95956000000001"/>
    <n v="0"/>
    <n v="0"/>
    <n v="0"/>
    <n v="0"/>
    <n v="0"/>
    <n v="0"/>
    <n v="0"/>
    <m/>
    <s v="Caching event not recorded on video. "/>
    <m/>
    <m/>
  </r>
  <r>
    <s v="DSCN1533"/>
    <s v="MC1012_1"/>
    <n v="1"/>
    <n v="1"/>
    <s v="Mercantile"/>
    <d v="2018-10-12T00:00:00"/>
    <x v="1"/>
    <s v="Fall"/>
    <d v="1899-12-30T00:17:00"/>
    <s v="Overcast"/>
    <s v="BW/GS"/>
    <s v="Caching"/>
    <s v="Spruce"/>
    <n v="0"/>
    <m/>
    <n v="1"/>
    <m/>
    <x v="2"/>
    <x v="2"/>
    <s v="unknown"/>
    <s v="Spruce trunk under bark"/>
    <s v="Spruce"/>
    <s v="Trunk"/>
    <s v="Under bark"/>
    <s v="Unknown"/>
    <n v="63.733600000000003"/>
    <n v="148.89886000000001"/>
    <n v="0"/>
    <n v="0"/>
    <n v="0"/>
    <n v="0"/>
    <n v="0"/>
    <n v="0"/>
    <n v="0"/>
    <m/>
    <m/>
    <m/>
    <m/>
  </r>
  <r>
    <s v="DSCN1535"/>
    <s v="MC1012_2"/>
    <n v="2"/>
    <n v="1"/>
    <s v="Mercantile"/>
    <d v="2018-10-12T00:00:00"/>
    <x v="1"/>
    <s v="Fall"/>
    <d v="1899-12-30T00:17:00"/>
    <s v="Overcast"/>
    <s v="BW/GS"/>
    <s v="Foraging"/>
    <s v="NA"/>
    <n v="1"/>
    <n v="4"/>
    <n v="0"/>
    <m/>
    <x v="3"/>
    <x v="4"/>
    <s v="Ground"/>
    <s v="NA"/>
    <s v="NA"/>
    <s v="NA"/>
    <s v="NA"/>
    <s v="NA"/>
    <s v="NA"/>
    <m/>
    <n v="0"/>
    <n v="0"/>
    <n v="0"/>
    <n v="0"/>
    <n v="13"/>
    <n v="0"/>
    <n v="13"/>
    <m/>
    <m/>
    <m/>
    <m/>
  </r>
  <r>
    <s v="DSCN1536"/>
    <s v="MC1012_3"/>
    <n v="3"/>
    <n v="1"/>
    <s v="Mercantile"/>
    <d v="2018-10-12T00:00:00"/>
    <x v="1"/>
    <s v="Fall"/>
    <d v="1899-12-30T00:40:00"/>
    <s v="Overcast"/>
    <s v="BW/GS"/>
    <s v="Caching"/>
    <s v="Spruce"/>
    <n v="0"/>
    <m/>
    <n v="2"/>
    <s v="Same tree"/>
    <x v="3"/>
    <x v="4"/>
    <s v="Ground"/>
    <s v="Interior spruce foliage"/>
    <s v="Spruce"/>
    <s v="Interior"/>
    <s v="Foliage"/>
    <n v="4"/>
    <n v="63.732779999999998"/>
    <n v="148.89912000000001"/>
    <n v="0"/>
    <n v="0"/>
    <n v="0"/>
    <n v="0"/>
    <n v="0"/>
    <n v="0"/>
    <n v="0"/>
    <m/>
    <m/>
    <m/>
    <m/>
  </r>
  <r>
    <s v="DSCN1536"/>
    <s v="MC1012_3"/>
    <n v="3"/>
    <n v="2"/>
    <s v="Mercantile"/>
    <d v="2018-10-12T00:00:00"/>
    <x v="1"/>
    <s v="Fall"/>
    <d v="1899-12-30T00:40:00"/>
    <s v="Overcast"/>
    <s v="BW/GS"/>
    <s v="Caching"/>
    <s v="Spruce"/>
    <n v="0"/>
    <m/>
    <n v="1"/>
    <m/>
    <x v="3"/>
    <x v="4"/>
    <s v="Ground"/>
    <s v="Exterior spruce foliage at tippy top of tree"/>
    <s v="Spruce"/>
    <s v="Exterior"/>
    <s v="Foliage"/>
    <n v="11"/>
    <n v="63.732810000000001"/>
    <n v="148.89922999999999"/>
    <n v="0"/>
    <n v="0"/>
    <n v="0"/>
    <n v="0"/>
    <n v="0"/>
    <n v="0"/>
    <n v="0"/>
    <m/>
    <m/>
    <m/>
    <m/>
  </r>
  <r>
    <s v="DSCN1537"/>
    <s v="MC1012_4"/>
    <n v="4"/>
    <n v="1"/>
    <s v="Mercantile"/>
    <d v="2018-10-12T00:00:00"/>
    <x v="1"/>
    <s v="Fall"/>
    <d v="1899-12-30T00:33:00"/>
    <s v="Overcast"/>
    <s v="BW/GS"/>
    <s v="Caching"/>
    <s v="Aspen and spruce"/>
    <n v="0"/>
    <m/>
    <n v="1"/>
    <m/>
    <x v="3"/>
    <x v="4"/>
    <s v="Ground"/>
    <s v="Exterior aspen branch"/>
    <s v="Aspen"/>
    <s v="Exterior"/>
    <s v="On bark"/>
    <n v="35"/>
    <n v="63.73254"/>
    <n v="148.89954"/>
    <n v="0"/>
    <n v="0"/>
    <n v="0"/>
    <n v="0"/>
    <n v="0"/>
    <n v="0"/>
    <n v="0"/>
    <m/>
    <m/>
    <m/>
    <m/>
  </r>
  <r>
    <s v="DSCN1537"/>
    <s v="MC1012_4"/>
    <n v="4"/>
    <n v="2"/>
    <s v="Mercantile"/>
    <d v="2018-10-12T00:00:00"/>
    <x v="1"/>
    <s v="Fall"/>
    <d v="1899-12-30T00:33:00"/>
    <s v="Overcast"/>
    <s v="BW/GS"/>
    <s v="Caching"/>
    <s v="Aspen and spruce"/>
    <n v="0"/>
    <m/>
    <n v="1"/>
    <m/>
    <x v="3"/>
    <x v="4"/>
    <s v="Ground"/>
    <s v="Exterior spruce branch under witch hair"/>
    <s v="Spruce"/>
    <s v="Exterior"/>
    <s v="Branch under witch hair"/>
    <n v="45"/>
    <n v="63.73245"/>
    <n v="148.89957000000001"/>
    <n v="0"/>
    <n v="0"/>
    <n v="0"/>
    <n v="0"/>
    <n v="0"/>
    <n v="0"/>
    <n v="0"/>
    <m/>
    <m/>
    <m/>
    <m/>
  </r>
  <r>
    <s v="DSCN1540"/>
    <s v="MC1012_5"/>
    <n v="5"/>
    <n v="1"/>
    <s v="Mercantile"/>
    <d v="2018-10-12T00:00:00"/>
    <x v="1"/>
    <s v="Fall"/>
    <d v="1899-12-30T01:35:00"/>
    <s v="Overcast"/>
    <s v="WO/OS"/>
    <s v="Foraging (Cache recovery)"/>
    <s v="Spruce"/>
    <n v="1"/>
    <m/>
    <n v="0"/>
    <m/>
    <x v="2"/>
    <x v="2"/>
    <s v="Under bare spruce branch bark"/>
    <s v="NA"/>
    <s v="NA"/>
    <s v="NA"/>
    <s v="NA"/>
    <s v="NA"/>
    <s v="NA"/>
    <m/>
    <n v="45"/>
    <n v="0"/>
    <n v="45"/>
    <n v="0"/>
    <n v="0"/>
    <n v="0"/>
    <n v="45"/>
    <s v="Probing"/>
    <m/>
    <n v="3"/>
    <n v="0"/>
  </r>
  <r>
    <s v="DSCN1546"/>
    <s v="MC1012_6"/>
    <n v="6"/>
    <n v="1"/>
    <s v="Mercantile"/>
    <d v="2018-10-12T00:00:00"/>
    <x v="1"/>
    <s v="Fall"/>
    <d v="1899-12-30T00:29:00"/>
    <s v="Overcast"/>
    <s v="BW/GS"/>
    <s v="Foraging"/>
    <s v="Aspen"/>
    <n v="0"/>
    <m/>
    <n v="0"/>
    <m/>
    <x v="1"/>
    <x v="1"/>
    <s v="NA"/>
    <s v="NA"/>
    <s v="NA"/>
    <s v="NA"/>
    <s v="NA"/>
    <s v="NA"/>
    <s v="NA"/>
    <m/>
    <n v="7"/>
    <n v="7"/>
    <n v="0"/>
    <n v="14"/>
    <n v="0"/>
    <n v="0"/>
    <n v="14"/>
    <s v="Probing"/>
    <m/>
    <n v="1"/>
    <n v="0"/>
  </r>
  <r>
    <s v="DSCN1548"/>
    <s v="MC1012_7"/>
    <n v="7"/>
    <n v="1"/>
    <s v="Mercantile"/>
    <d v="2018-10-12T00:00:00"/>
    <x v="1"/>
    <s v="Fall"/>
    <d v="1899-12-30T00:41:00"/>
    <s v="Overcast"/>
    <s v="WO/OS"/>
    <s v="Foraging/caching"/>
    <s v="Spruce"/>
    <n v="1"/>
    <m/>
    <n v="1"/>
    <m/>
    <x v="2"/>
    <x v="2"/>
    <s v="Ground"/>
    <s v="Exterior spruce branch under bark/witch hair"/>
    <s v="Spruce"/>
    <s v="Exterior"/>
    <s v="Under bark and witch hair "/>
    <n v="3"/>
    <n v="63.731409999999997"/>
    <n v="148.89959999999999"/>
    <n v="0"/>
    <n v="0"/>
    <n v="0"/>
    <n v="0"/>
    <n v="7"/>
    <n v="0"/>
    <n v="7"/>
    <m/>
    <m/>
    <m/>
    <m/>
  </r>
  <r>
    <s v="DSCN1550"/>
    <s v="MC1012_8"/>
    <n v="8"/>
    <n v="1"/>
    <s v="Mercantile"/>
    <d v="2018-10-12T00:00:00"/>
    <x v="1"/>
    <s v="Fall"/>
    <d v="1899-12-30T00:37:00"/>
    <s v="Overcast"/>
    <s v="WO/OS"/>
    <s v="Foraging/caching"/>
    <s v="Aspen"/>
    <n v="1"/>
    <m/>
    <n v="1"/>
    <m/>
    <x v="2"/>
    <x v="2"/>
    <s v="In crevice of aspen branch"/>
    <s v="Glued to aspen branch"/>
    <s v="Aspen"/>
    <s v="Exterior"/>
    <s v="On bark"/>
    <n v="0"/>
    <n v="63.731270000000002"/>
    <n v="148.90007"/>
    <n v="12"/>
    <n v="0"/>
    <n v="0"/>
    <n v="12"/>
    <n v="0"/>
    <n v="0"/>
    <n v="12"/>
    <s v="Probing/pecking"/>
    <s v="Spends about 12 extracting food from crevice of aspen branch and then glues it (caches it) on the same branch like 6 inches away??????"/>
    <n v="5"/>
    <n v="0"/>
  </r>
  <r>
    <s v="DSCN1555"/>
    <s v="MC1012_9"/>
    <n v="9"/>
    <n v="1"/>
    <s v="Mercantile"/>
    <d v="2018-10-12T00:00:00"/>
    <x v="1"/>
    <s v="Fall"/>
    <d v="1899-12-30T00:07:00"/>
    <s v="Overcast"/>
    <s v="BW/GS"/>
    <s v="Foraging"/>
    <s v="NA"/>
    <n v="1"/>
    <n v="2"/>
    <n v="0"/>
    <m/>
    <x v="3"/>
    <x v="53"/>
    <s v="Ground"/>
    <s v="NA"/>
    <s v="NA"/>
    <s v="NA"/>
    <s v="NA"/>
    <s v="NA"/>
    <s v="NA"/>
    <m/>
    <n v="0"/>
    <n v="0"/>
    <n v="0"/>
    <n v="0"/>
    <n v="5"/>
    <n v="0"/>
    <n v="5"/>
    <m/>
    <m/>
    <m/>
    <m/>
  </r>
  <r>
    <s v="DSCN1558"/>
    <s v="RC1012_2"/>
    <n v="2"/>
    <n v="1"/>
    <s v="Rock Creek"/>
    <d v="2018-10-12T00:00:00"/>
    <x v="1"/>
    <s v="Fall"/>
    <d v="1899-12-30T00:27:00"/>
    <s v="Overcast"/>
    <s v="Unknown"/>
    <s v="Caching"/>
    <s v="Spruce"/>
    <n v="0"/>
    <m/>
    <n v="1"/>
    <m/>
    <x v="2"/>
    <x v="2"/>
    <s v="unknown"/>
    <s v="Under bark of spruce trunk "/>
    <s v="Spruce"/>
    <s v="Trunk"/>
    <s v="Under bark"/>
    <s v="Unknown"/>
    <n v="63.723970000000001"/>
    <n v="148.94882000000001"/>
    <n v="0"/>
    <n v="0"/>
    <n v="0"/>
    <n v="0"/>
    <n v="0"/>
    <n v="0"/>
    <n v="0"/>
    <m/>
    <m/>
    <m/>
    <m/>
  </r>
  <r>
    <s v="DSCN1559"/>
    <s v="RC1012_3"/>
    <n v="3"/>
    <n v="1"/>
    <s v="Rock Creek"/>
    <d v="2018-10-12T00:00:00"/>
    <x v="1"/>
    <s v="Fall"/>
    <d v="1899-12-30T00:54:00"/>
    <s v="Overcast"/>
    <s v="LB/RS"/>
    <s v="Foraging/caching"/>
    <s v="Spruce"/>
    <n v="1"/>
    <m/>
    <n v="1"/>
    <m/>
    <x v="3"/>
    <x v="4"/>
    <s v="Ground"/>
    <s v="Under bark of spruce trunk (about 4ft off ground)"/>
    <s v="Spruce"/>
    <s v="Trunk"/>
    <s v="Under bark"/>
    <n v="2"/>
    <n v="63.72354"/>
    <n v="148.94923"/>
    <n v="0"/>
    <n v="0"/>
    <n v="0"/>
    <n v="0"/>
    <n v="21"/>
    <n v="0"/>
    <n v="21"/>
    <m/>
    <s v="Was able to find and photograph cache site.  The bird had shoved the blueberry under a bark chip.  It was very snug! Put trail cam on this site. "/>
    <m/>
    <m/>
  </r>
  <r>
    <s v="DSCN1559"/>
    <s v="RC1012_3"/>
    <n v="3"/>
    <n v="2"/>
    <s v="Rock Creek"/>
    <d v="2018-10-12T00:00:00"/>
    <x v="1"/>
    <s v="Fall"/>
    <d v="1899-12-30T00:54:00"/>
    <s v="Overcast"/>
    <s v="LB/RS"/>
    <s v="Foraging"/>
    <s v="Spruce"/>
    <n v="1"/>
    <n v="2"/>
    <n v="0"/>
    <m/>
    <x v="3"/>
    <x v="26"/>
    <s v="Ground"/>
    <s v="NA"/>
    <s v="NA"/>
    <s v="NA"/>
    <s v="NA"/>
    <s v="NA"/>
    <s v="NA"/>
    <m/>
    <n v="0"/>
    <n v="0"/>
    <n v="0"/>
    <n v="0"/>
    <n v="0"/>
    <n v="0"/>
    <n v="0"/>
    <m/>
    <s v="Was able to find and photograph cache site.  The bird had shoved the blueberry under a bark chip.  It was very snug! "/>
    <m/>
    <m/>
  </r>
  <r>
    <s v="DSCN1561"/>
    <s v="RC1012_4"/>
    <n v="4"/>
    <n v="1"/>
    <s v="Rock Creek"/>
    <d v="2018-10-12T00:00:00"/>
    <x v="1"/>
    <s v="Fall"/>
    <d v="1899-12-30T00:16:00"/>
    <s v="Overcast"/>
    <s v="Unknown"/>
    <s v="Foraging/caching"/>
    <s v="Spruce"/>
    <n v="1"/>
    <m/>
    <n v="1"/>
    <m/>
    <x v="3"/>
    <x v="12"/>
    <s v="Ground"/>
    <s v="Under bark of spruce trunk "/>
    <s v="Spruce"/>
    <s v="Trunk"/>
    <s v="Under bark"/>
    <n v="7"/>
    <n v="63.722360000000002"/>
    <n v="148.94922"/>
    <n v="0"/>
    <n v="0"/>
    <n v="0"/>
    <n v="0"/>
    <n v="5"/>
    <n v="0"/>
    <n v="5"/>
    <m/>
    <s v="Not captured on video by observed by KS"/>
    <m/>
    <m/>
  </r>
  <r>
    <s v="DSCN1562"/>
    <s v="RC1012_5"/>
    <n v="5"/>
    <n v="1"/>
    <s v="CCAMP"/>
    <d v="2018-10-12T00:00:00"/>
    <x v="1"/>
    <s v="Fall"/>
    <d v="1899-12-30T00:48:00"/>
    <s v="Overcast"/>
    <s v="GB/BS"/>
    <s v="Foraging"/>
    <s v="NA"/>
    <n v="1"/>
    <n v="4"/>
    <n v="0"/>
    <m/>
    <x v="3"/>
    <x v="4"/>
    <s v="Ground"/>
    <s v="NA"/>
    <s v="NA"/>
    <s v="NA"/>
    <s v="NA"/>
    <s v="NA"/>
    <s v="NA"/>
    <m/>
    <n v="0"/>
    <n v="0"/>
    <n v="0"/>
    <n v="0"/>
    <n v="16"/>
    <n v="0"/>
    <n v="16"/>
    <m/>
    <m/>
    <m/>
    <m/>
  </r>
  <r>
    <s v="DSCN1563"/>
    <s v="RC1012_6"/>
    <n v="6"/>
    <n v="1"/>
    <s v="CCAMP"/>
    <d v="2018-10-12T00:00:00"/>
    <x v="1"/>
    <s v="Fall"/>
    <d v="1899-12-30T00:16:00"/>
    <s v="Overcast"/>
    <s v="GB/BS"/>
    <s v="Caching"/>
    <s v="Spruce"/>
    <n v="0"/>
    <m/>
    <n v="1"/>
    <m/>
    <x v="3"/>
    <x v="4"/>
    <s v="Ground"/>
    <s v="Exterior spruce branch under bark/witch hair"/>
    <s v="Spruce"/>
    <s v="Exterior"/>
    <s v="Under bark and witch hair "/>
    <s v="unknown-didn't record in field"/>
    <n v="63.722360000000002"/>
    <s v="148. 94931"/>
    <n v="0"/>
    <n v="0"/>
    <n v="0"/>
    <n v="0"/>
    <n v="0"/>
    <n v="0"/>
    <n v="0"/>
    <m/>
    <m/>
    <m/>
    <m/>
  </r>
  <r>
    <s v="DSCN1564"/>
    <s v="RC1012_7"/>
    <n v="7"/>
    <n v="1"/>
    <s v="Rock Creek"/>
    <d v="2018-10-12T00:00:00"/>
    <x v="1"/>
    <s v="Fall"/>
    <d v="1899-12-30T00:11:00"/>
    <s v="Overcast"/>
    <s v="LB/RS"/>
    <s v="Foraging"/>
    <s v="Spruce"/>
    <n v="1"/>
    <m/>
    <n v="0"/>
    <m/>
    <x v="2"/>
    <x v="2"/>
    <s v="Spruce foliage"/>
    <s v="NA"/>
    <s v="NA"/>
    <s v="NA"/>
    <s v="NA"/>
    <s v="NA"/>
    <s v="NA"/>
    <m/>
    <n v="0"/>
    <n v="6"/>
    <n v="0"/>
    <n v="6"/>
    <n v="0"/>
    <n v="0"/>
    <n v="6"/>
    <m/>
    <m/>
    <m/>
    <m/>
  </r>
  <r>
    <s v="DSCN1565"/>
    <s v="RC1012_8"/>
    <n v="8"/>
    <n v="1"/>
    <s v="Rock Creek"/>
    <d v="2018-10-12T00:00:00"/>
    <x v="1"/>
    <s v="Fall"/>
    <d v="1899-12-30T00:18:00"/>
    <s v="Overcast"/>
    <s v="LB/RS"/>
    <s v="Foraging"/>
    <s v="NA"/>
    <n v="1"/>
    <m/>
    <n v="0"/>
    <m/>
    <x v="3"/>
    <x v="12"/>
    <s v="Ground"/>
    <s v="NA"/>
    <s v="NA"/>
    <s v="NA"/>
    <s v="NA"/>
    <s v="NA"/>
    <s v="NA"/>
    <m/>
    <n v="0"/>
    <n v="0"/>
    <n v="0"/>
    <n v="0"/>
    <n v="0"/>
    <n v="0"/>
    <n v="0"/>
    <m/>
    <s v="Didn’t record foraging on video. "/>
    <m/>
    <m/>
  </r>
  <r>
    <s v="DSCN1566"/>
    <s v="RC1012_9"/>
    <n v="9"/>
    <n v="1"/>
    <s v="Rock Creek"/>
    <d v="2018-10-12T00:00:00"/>
    <x v="1"/>
    <s v="Fall"/>
    <d v="1899-12-30T00:36:00"/>
    <s v="Overcast"/>
    <s v="LB/RS"/>
    <s v="Caching"/>
    <s v="Spruce"/>
    <n v="0"/>
    <m/>
    <n v="1"/>
    <m/>
    <x v="3"/>
    <x v="12"/>
    <s v="Ground"/>
    <s v="Exterior spruce foliage"/>
    <s v="Spruce"/>
    <s v="Exterior"/>
    <s v="Foliage"/>
    <s v="unknown-didn't record in field"/>
    <n v="63.722029999999997"/>
    <n v="148.94954999999999"/>
    <n v="0"/>
    <n v="0"/>
    <n v="0"/>
    <n v="0"/>
    <n v="0"/>
    <n v="0"/>
    <n v="0"/>
    <m/>
    <m/>
    <m/>
    <m/>
  </r>
  <r>
    <s v="DSCN1568"/>
    <s v="RC1012_10"/>
    <n v="10"/>
    <n v="1"/>
    <s v="Rock Creek"/>
    <d v="2018-10-12T00:00:00"/>
    <x v="1"/>
    <s v="Fall"/>
    <d v="1899-12-30T00:47:00"/>
    <s v="Overcast"/>
    <s v="LB/RS"/>
    <s v="Caching"/>
    <s v="Spruce"/>
    <n v="0"/>
    <m/>
    <n v="1"/>
    <m/>
    <x v="2"/>
    <x v="2"/>
    <s v="unknown"/>
    <s v="Exterior spruce branch under bark/witch hair "/>
    <s v="Spruce"/>
    <s v="Exterior"/>
    <s v="Under bark and witch hair "/>
    <s v="unknown-didn't record in field"/>
    <n v="63.722029999999997"/>
    <n v="148.94855000000001"/>
    <n v="0"/>
    <n v="0"/>
    <n v="0"/>
    <n v="0"/>
    <n v="0"/>
    <n v="0"/>
    <n v="0"/>
    <m/>
    <m/>
    <m/>
    <m/>
  </r>
  <r>
    <s v="DSCN1568"/>
    <s v="RC1012_10"/>
    <n v="10"/>
    <n v="2"/>
    <s v="Rock Creek"/>
    <d v="2018-10-12T00:00:00"/>
    <x v="1"/>
    <s v="Fall"/>
    <d v="1899-12-30T00:47:00"/>
    <s v="Overcast"/>
    <s v="LB/RS"/>
    <s v="Caching"/>
    <s v="Spruce"/>
    <n v="0"/>
    <m/>
    <n v="1"/>
    <m/>
    <x v="2"/>
    <x v="2"/>
    <s v="unknown"/>
    <s v="Interior bare branch bark/withc hair"/>
    <s v="Spruce"/>
    <s v="Interior"/>
    <s v="Under bark and witch hair "/>
    <s v="unknown-didn't record in field"/>
    <n v="63.722029999999997"/>
    <n v="148.94855000000001"/>
    <n v="0"/>
    <n v="0"/>
    <n v="0"/>
    <n v="0"/>
    <n v="0"/>
    <n v="0"/>
    <n v="0"/>
    <m/>
    <s v="Same tree as previous cache tree"/>
    <m/>
    <m/>
  </r>
  <r>
    <s v="DSCN1568"/>
    <s v="RC1012_10"/>
    <n v="10"/>
    <n v="3"/>
    <s v="Rock Creek"/>
    <d v="2018-10-12T00:00:00"/>
    <x v="1"/>
    <s v="Fall"/>
    <d v="1899-12-30T00:47:00"/>
    <s v="Overcast"/>
    <s v="LB/RS"/>
    <s v="Caching"/>
    <s v="Spruce"/>
    <n v="0"/>
    <m/>
    <n v="1"/>
    <m/>
    <x v="2"/>
    <x v="2"/>
    <s v="unknown"/>
    <s v="Interior spruce foliage "/>
    <s v="Spruce"/>
    <s v="Interior"/>
    <s v="Foliage"/>
    <s v="unknown-didn't record in field"/>
    <n v="63.72204"/>
    <n v="148.94962000000001"/>
    <n v="0"/>
    <n v="0"/>
    <n v="0"/>
    <n v="0"/>
    <n v="0"/>
    <n v="0"/>
    <n v="0"/>
    <m/>
    <m/>
    <m/>
    <m/>
  </r>
  <r>
    <s v="DSCN1569"/>
    <s v="AQ1012_1"/>
    <n v="1"/>
    <n v="1"/>
    <s v="Air Quality"/>
    <d v="2018-10-12T00:00:00"/>
    <x v="1"/>
    <s v="Fall"/>
    <d v="1899-12-30T00:29:00"/>
    <s v="Overcast"/>
    <s v="O-/BS"/>
    <s v="Foraging/caching"/>
    <s v="Spruce"/>
    <n v="1"/>
    <m/>
    <n v="1"/>
    <m/>
    <x v="3"/>
    <x v="4"/>
    <s v="Ground"/>
    <s v="Exterior spruce branch under bark/witch hair"/>
    <s v="Spruce"/>
    <s v="Exterior"/>
    <s v="Branch under witch hair"/>
    <n v="1"/>
    <n v="63.723140000000001"/>
    <n v="148.96843999999999"/>
    <n v="0"/>
    <n v="0"/>
    <n v="0"/>
    <n v="0"/>
    <n v="12"/>
    <n v="0"/>
    <n v="12"/>
    <m/>
    <m/>
    <m/>
    <m/>
  </r>
  <r>
    <s v="DSCN1569"/>
    <s v="AQ1012_1"/>
    <n v="1"/>
    <n v="1"/>
    <s v="Air Quality"/>
    <d v="2018-10-12T00:00:00"/>
    <x v="1"/>
    <s v="Fall"/>
    <d v="1899-12-30T00:29:00"/>
    <s v="Overcast"/>
    <s v="O-/BS"/>
    <s v="Foraging/caching"/>
    <s v="Spruce"/>
    <n v="1"/>
    <m/>
    <n v="1"/>
    <m/>
    <x v="3"/>
    <x v="4"/>
    <s v="Ground"/>
    <s v="Exterior spruce branch under bark/witch hair"/>
    <s v="Spruce"/>
    <s v="Exterior"/>
    <s v="Branch under witch hair"/>
    <n v="1"/>
    <n v="63.723140000000001"/>
    <n v="148.96843999999999"/>
    <n v="0"/>
    <n v="0"/>
    <n v="0"/>
    <n v="0"/>
    <n v="3"/>
    <n v="0"/>
    <n v="3"/>
    <m/>
    <m/>
    <m/>
    <m/>
  </r>
  <r>
    <s v="DSCN1574"/>
    <s v="M4R1015_1"/>
    <n v="1"/>
    <n v="1"/>
    <s v="M4Roadside"/>
    <d v="2018-10-15T00:00:00"/>
    <x v="1"/>
    <s v="Fall"/>
    <d v="1899-12-30T00:23:00"/>
    <s v="Overcast"/>
    <s v="OB/YS"/>
    <s v="Foraging"/>
    <s v="NA"/>
    <n v="1"/>
    <n v="2"/>
    <n v="0"/>
    <m/>
    <x v="3"/>
    <x v="4"/>
    <s v="Ground"/>
    <s v="unknown"/>
    <s v="NA"/>
    <s v="NA"/>
    <s v="NA"/>
    <s v="NA"/>
    <s v="NA"/>
    <m/>
    <n v="0"/>
    <n v="0"/>
    <n v="0"/>
    <n v="0"/>
    <n v="14"/>
    <n v="0"/>
    <n v="14"/>
    <m/>
    <m/>
    <m/>
    <m/>
  </r>
  <r>
    <s v="DSCN1575"/>
    <s v="M4R1015_2"/>
    <n v="2"/>
    <n v="1"/>
    <s v="M4Roadside"/>
    <d v="2018-10-15T00:00:00"/>
    <x v="1"/>
    <s v="Fall"/>
    <d v="1899-12-30T00:15:00"/>
    <s v="Overcast"/>
    <s v="OB/YS"/>
    <s v="Foraging"/>
    <s v="NA"/>
    <n v="1"/>
    <m/>
    <n v="0"/>
    <m/>
    <x v="6"/>
    <x v="13"/>
    <s v="Ground"/>
    <s v="NA"/>
    <s v="NA"/>
    <s v="NA"/>
    <s v="NA"/>
    <s v="NA"/>
    <s v="NA"/>
    <m/>
    <n v="0"/>
    <n v="0"/>
    <n v="0"/>
    <n v="0"/>
    <n v="0"/>
    <n v="0"/>
    <n v="0"/>
    <m/>
    <s v="13 Foraging for OB/YS, 4 for WG/OS"/>
    <m/>
    <m/>
  </r>
  <r>
    <s v="DSCN1575"/>
    <s v="M4R1015_2"/>
    <n v="2"/>
    <n v="2"/>
    <s v="M4Roadside"/>
    <d v="2018-10-15T00:00:00"/>
    <x v="1"/>
    <s v="Fall"/>
    <d v="1899-12-30T00:15:00"/>
    <s v="Overcast"/>
    <s v="WG/OS"/>
    <s v="Foraging"/>
    <s v="NA"/>
    <n v="1"/>
    <m/>
    <n v="0"/>
    <m/>
    <x v="6"/>
    <x v="13"/>
    <s v="Ground"/>
    <s v="NA"/>
    <s v="NA"/>
    <s v="NA"/>
    <s v="NA"/>
    <s v="NA"/>
    <s v="NA"/>
    <m/>
    <n v="0"/>
    <n v="0"/>
    <n v="0"/>
    <n v="0"/>
    <n v="0"/>
    <n v="0"/>
    <n v="0"/>
    <m/>
    <s v="13 Foraging for OB/YS, 4 for WG/OS"/>
    <m/>
    <m/>
  </r>
  <r>
    <s v="DSCN1577"/>
    <s v="M4R1015_3"/>
    <n v="3"/>
    <n v="1"/>
    <s v="M4Roadside"/>
    <d v="2018-10-15T00:00:00"/>
    <x v="1"/>
    <s v="Fall"/>
    <d v="1899-12-30T00:04:00"/>
    <s v="Overcast"/>
    <s v="Unknown"/>
    <s v="Caching"/>
    <s v="Spruce"/>
    <n v="0"/>
    <m/>
    <n v="1"/>
    <m/>
    <x v="6"/>
    <x v="13"/>
    <s v="Ground"/>
    <s v="Exterior spruce foliage"/>
    <s v="Spruce"/>
    <s v="Exterior"/>
    <s v="Foliage"/>
    <n v="6"/>
    <n v="63.72184"/>
    <n v="148.98740000000001"/>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578"/>
    <s v="M4R1015_4"/>
    <n v="4"/>
    <n v="1"/>
    <s v="M4Roadside"/>
    <d v="2018-10-15T00:00:00"/>
    <x v="1"/>
    <s v="Fall"/>
    <d v="1899-12-30T00:06:00"/>
    <s v="Overcast"/>
    <s v="Unknown"/>
    <s v="Caching"/>
    <s v="Spruce"/>
    <n v="0"/>
    <m/>
    <n v="1"/>
    <m/>
    <x v="6"/>
    <x v="13"/>
    <s v="Ground"/>
    <s v="Interior spruce foliage "/>
    <s v="Spruce"/>
    <s v="Interior"/>
    <s v="Foliage"/>
    <n v="22"/>
    <n v="63.721739999999997"/>
    <n v="148.98759000000001"/>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580"/>
    <s v="M4R1015_5"/>
    <n v="5"/>
    <n v="1"/>
    <s v="M4Roadside"/>
    <d v="2018-10-15T00:00:00"/>
    <x v="1"/>
    <s v="Fall"/>
    <d v="1899-12-30T00:10:00"/>
    <s v="Overcast"/>
    <s v="Unknown"/>
    <s v="Foraging"/>
    <s v="Spruce"/>
    <n v="1"/>
    <m/>
    <n v="0"/>
    <m/>
    <x v="6"/>
    <x v="13"/>
    <s v="Ground"/>
    <s v="NA"/>
    <s v="NA"/>
    <s v="NA"/>
    <s v="NA"/>
    <s v="NA"/>
    <s v="NA"/>
    <m/>
    <n v="0"/>
    <n v="0"/>
    <n v="0"/>
    <n v="0"/>
    <n v="0"/>
    <n v="0"/>
    <n v="0"/>
    <m/>
    <m/>
    <m/>
    <m/>
  </r>
  <r>
    <s v="DSCN1581"/>
    <s v="M4R1015_6"/>
    <n v="6"/>
    <n v="1"/>
    <s v="M4Roadside"/>
    <d v="2018-10-15T00:00:00"/>
    <x v="1"/>
    <s v="Fall"/>
    <d v="1899-12-30T00:09:00"/>
    <s v="Overcast"/>
    <s v="Unknown"/>
    <s v="Caching"/>
    <s v="Spruce"/>
    <n v="0"/>
    <m/>
    <n v="1"/>
    <m/>
    <x v="6"/>
    <x v="13"/>
    <s v="Ground"/>
    <s v="Exterior spruce foliage"/>
    <s v="Spruce"/>
    <s v="Exterior"/>
    <s v="Foliage"/>
    <n v="7"/>
    <n v="63.721829999999997"/>
    <n v="148.98707999999999"/>
    <n v="0"/>
    <n v="0"/>
    <n v="0"/>
    <n v="0"/>
    <n v="0"/>
    <n v="0"/>
    <n v="0"/>
    <m/>
    <m/>
    <m/>
    <m/>
  </r>
  <r>
    <s v="DSCN1582"/>
    <s v="M4R1015_7"/>
    <n v="7"/>
    <n v="1"/>
    <s v="M4Roadside"/>
    <d v="2018-10-15T00:00:00"/>
    <x v="1"/>
    <s v="Fall"/>
    <d v="1899-12-30T00:36:00"/>
    <s v="Overcast"/>
    <s v="OB/YS"/>
    <s v="Foraging"/>
    <s v="NA"/>
    <n v="1"/>
    <m/>
    <n v="0"/>
    <m/>
    <x v="6"/>
    <x v="13"/>
    <s v="Ground"/>
    <s v="NA"/>
    <s v="NA"/>
    <s v="NA"/>
    <s v="NA"/>
    <s v="NA"/>
    <s v="NA"/>
    <m/>
    <n v="0"/>
    <n v="0"/>
    <n v="0"/>
    <n v="0"/>
    <n v="0"/>
    <n v="0"/>
    <n v="0"/>
    <m/>
    <m/>
    <m/>
    <m/>
  </r>
  <r>
    <s v="DSCN1583"/>
    <s v="M4R1015_8"/>
    <n v="8"/>
    <n v="1"/>
    <s v="M4Roadside"/>
    <d v="2018-10-15T00:00:00"/>
    <x v="1"/>
    <s v="Fall"/>
    <d v="1899-12-30T00:39:00"/>
    <s v="Overcast"/>
    <s v="Unknown"/>
    <s v="Foraging"/>
    <s v="NA"/>
    <n v="1"/>
    <m/>
    <n v="0"/>
    <m/>
    <x v="6"/>
    <x v="13"/>
    <s v="Ground"/>
    <s v="NA"/>
    <s v="NA"/>
    <s v="NA"/>
    <s v="NA"/>
    <s v="NA"/>
    <s v="NA"/>
    <m/>
    <n v="0"/>
    <n v="0"/>
    <n v="0"/>
    <n v="0"/>
    <n v="0"/>
    <n v="0"/>
    <n v="0"/>
    <m/>
    <m/>
    <m/>
    <m/>
  </r>
  <r>
    <s v="DSCN1585"/>
    <s v="M4R1015_9"/>
    <n v="9"/>
    <n v="1"/>
    <s v="M4Roadside"/>
    <d v="2018-10-15T00:00:00"/>
    <x v="1"/>
    <s v="Fall"/>
    <d v="1899-12-30T00:04:00"/>
    <s v="Overcast"/>
    <s v="Unknown"/>
    <s v="Caching"/>
    <s v="Spruce"/>
    <n v="0"/>
    <m/>
    <n v="1"/>
    <m/>
    <x v="6"/>
    <x v="13"/>
    <s v="Ground"/>
    <s v="Interior spruce foliage "/>
    <s v="Spruce"/>
    <s v="Interior"/>
    <s v="Foliage"/>
    <n v="16"/>
    <n v="63.72195"/>
    <n v="148.98760999999999"/>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587"/>
    <s v="M4R1015_10"/>
    <n v="10"/>
    <n v="1"/>
    <s v="M4Roadside"/>
    <d v="2018-10-15T00:00:00"/>
    <x v="1"/>
    <s v="Fall"/>
    <d v="1899-12-30T00:25:00"/>
    <s v="Overcast"/>
    <s v="WG/OS"/>
    <s v="Caching"/>
    <s v="Spruce"/>
    <n v="0"/>
    <m/>
    <n v="1"/>
    <n v="0"/>
    <x v="6"/>
    <x v="13"/>
    <s v="Ground"/>
    <s v="Spruce trunk under bark"/>
    <s v="Spruce"/>
    <s v="Trunk"/>
    <s v="Under bark"/>
    <n v="1"/>
    <n v="63.721919999999997"/>
    <n v="148.98732000000001"/>
    <n v="0"/>
    <n v="0"/>
    <n v="0"/>
    <n v="0"/>
    <n v="0"/>
    <n v="0"/>
    <n v="0"/>
    <m/>
    <s v="Confirmed cache. "/>
    <m/>
    <m/>
  </r>
  <r>
    <s v="DSCN1588"/>
    <s v="M4R1015_11"/>
    <n v="11"/>
    <n v="1"/>
    <s v="M4Roadside"/>
    <d v="2018-10-15T00:00:00"/>
    <x v="1"/>
    <s v="Fall"/>
    <d v="1899-12-30T01:10:00"/>
    <s v="Overcast"/>
    <s v="YO/BS"/>
    <s v="Foraging"/>
    <s v="NA"/>
    <n v="1"/>
    <m/>
    <n v="0"/>
    <n v="0"/>
    <x v="6"/>
    <x v="13"/>
    <s v="Ground"/>
    <s v="NA"/>
    <s v="NA"/>
    <s v="NA"/>
    <s v="NA"/>
    <s v="NA"/>
    <s v="NA"/>
    <m/>
    <n v="0"/>
    <n v="0"/>
    <n v="0"/>
    <n v="0"/>
    <n v="0"/>
    <n v="0"/>
    <n v="0"/>
    <m/>
    <m/>
    <m/>
    <m/>
  </r>
  <r>
    <s v="DSCN1589"/>
    <s v="M4R1015_12"/>
    <n v="12"/>
    <n v="1"/>
    <s v="M4Roadside"/>
    <d v="2018-10-15T00:00:00"/>
    <x v="1"/>
    <s v="Fall"/>
    <d v="1899-12-30T00:10:00"/>
    <s v="Overcast"/>
    <s v="YO/BS"/>
    <s v="Caching"/>
    <s v="Spruce"/>
    <n v="0"/>
    <m/>
    <n v="1"/>
    <m/>
    <x v="6"/>
    <x v="13"/>
    <s v="Ground"/>
    <s v="Exterior spruce foliage"/>
    <s v="Spruce"/>
    <s v="Exterior"/>
    <s v="Foliage"/>
    <n v="31"/>
    <n v="63.721730000000001"/>
    <n v="148.98685"/>
    <n v="0"/>
    <n v="0"/>
    <n v="0"/>
    <n v="0"/>
    <n v="0"/>
    <n v="0"/>
    <n v="0"/>
    <m/>
    <s v="Cache from previous video. Followed bird from hare to tree.  Observation os cache wasn't caught on video and was obstructed from view due to delay in catching up with the bird.  B&amp;Ut given the behavior and location upon our arrival, we felt confident marking the tree. "/>
    <m/>
    <m/>
  </r>
  <r>
    <s v="DSCN1590"/>
    <s v="M4R1015_13"/>
    <n v="13"/>
    <n v="1"/>
    <s v="M4Roadside"/>
    <d v="2018-10-15T00:00:00"/>
    <x v="1"/>
    <s v="Fall"/>
    <d v="1899-12-30T00:37:00"/>
    <s v="Overcast"/>
    <s v="Unknown"/>
    <s v="Caching"/>
    <s v="Alder"/>
    <n v="0"/>
    <m/>
    <n v="2"/>
    <s v="Same trees. "/>
    <x v="6"/>
    <x v="13"/>
    <s v="Ground"/>
    <s v="Exterior alder branch"/>
    <s v="Alder"/>
    <s v="Exterior"/>
    <s v="Branch"/>
    <n v="25"/>
    <n v="63.722020000000001"/>
    <n v="148.98776000000001"/>
    <n v="0"/>
    <n v="0"/>
    <n v="0"/>
    <n v="0"/>
    <n v="0"/>
    <n v="0"/>
    <n v="0"/>
    <m/>
    <s v="One confirmed cache, one suspected cache. "/>
    <m/>
    <m/>
  </r>
  <r>
    <s v="DSCN1591"/>
    <s v="M4R1015_14"/>
    <n v="14"/>
    <n v="1"/>
    <s v="M4Roadside"/>
    <d v="2018-10-15T00:00:00"/>
    <x v="1"/>
    <s v="Fall"/>
    <d v="1899-12-30T00:59:00"/>
    <s v="Overcast"/>
    <s v="WG/OS"/>
    <s v="Foraging"/>
    <s v="NA"/>
    <n v="1"/>
    <m/>
    <n v="0"/>
    <m/>
    <x v="6"/>
    <x v="13"/>
    <s v="Ground"/>
    <s v="NA"/>
    <s v="NA"/>
    <s v="NA"/>
    <s v="NA"/>
    <s v="NA"/>
    <s v="NA"/>
    <m/>
    <n v="0"/>
    <n v="0"/>
    <n v="0"/>
    <n v="0"/>
    <n v="0"/>
    <n v="0"/>
    <n v="0"/>
    <m/>
    <m/>
    <m/>
    <m/>
  </r>
  <r>
    <s v="DSCN1591"/>
    <s v="M4R1015_14"/>
    <n v="14"/>
    <n v="2"/>
    <s v="M4Roadside"/>
    <d v="2018-10-15T00:00:00"/>
    <x v="1"/>
    <s v="Fall"/>
    <d v="1899-12-30T00:59:00"/>
    <s v="Overcast"/>
    <s v="YO/BS"/>
    <s v="Foraging"/>
    <s v="NA"/>
    <n v="1"/>
    <m/>
    <n v="0"/>
    <m/>
    <x v="6"/>
    <x v="13"/>
    <s v="Ground"/>
    <s v="NA"/>
    <s v="NA"/>
    <s v="NA"/>
    <s v="NA"/>
    <s v="NA"/>
    <s v="NA"/>
    <m/>
    <n v="0"/>
    <n v="0"/>
    <n v="0"/>
    <n v="0"/>
    <n v="0"/>
    <n v="0"/>
    <n v="0"/>
    <m/>
    <m/>
    <m/>
    <m/>
  </r>
  <r>
    <s v="DSCN1592"/>
    <s v="M4R1015_15"/>
    <n v="15"/>
    <n v="1"/>
    <s v="M4Roadside"/>
    <d v="2018-10-15T00:00:00"/>
    <x v="1"/>
    <s v="Fall"/>
    <d v="1899-12-30T00:38:00"/>
    <s v="Overcast"/>
    <s v="YO/BS"/>
    <s v="Foraging"/>
    <s v="NA"/>
    <n v="1"/>
    <m/>
    <n v="0"/>
    <m/>
    <x v="6"/>
    <x v="13"/>
    <s v="Ground"/>
    <s v="NA"/>
    <s v="NA"/>
    <s v="NA"/>
    <s v="NA"/>
    <s v="NA"/>
    <s v="NA"/>
    <m/>
    <n v="0"/>
    <n v="0"/>
    <n v="0"/>
    <n v="0"/>
    <n v="0"/>
    <n v="0"/>
    <n v="0"/>
    <m/>
    <m/>
    <m/>
    <m/>
  </r>
  <r>
    <s v="DSCN1593"/>
    <s v="M4R1015_16"/>
    <n v="16"/>
    <n v="1"/>
    <s v="M4Roadside"/>
    <d v="2018-10-15T00:00:00"/>
    <x v="1"/>
    <s v="Fall"/>
    <d v="1899-12-30T00:56:00"/>
    <s v="Overcast"/>
    <s v="Unknown"/>
    <s v="Foraging"/>
    <s v="NA"/>
    <n v="1"/>
    <m/>
    <n v="0"/>
    <m/>
    <x v="6"/>
    <x v="13"/>
    <s v="Ground"/>
    <s v="NA"/>
    <s v="NA"/>
    <s v="NA"/>
    <s v="NA"/>
    <s v="NA"/>
    <s v="NA"/>
    <m/>
    <n v="0"/>
    <n v="0"/>
    <n v="0"/>
    <n v="0"/>
    <n v="0"/>
    <n v="0"/>
    <n v="0"/>
    <m/>
    <m/>
    <m/>
    <m/>
  </r>
  <r>
    <s v="DSCN1594"/>
    <s v="M4R1015_17"/>
    <n v="17"/>
    <n v="1"/>
    <s v="M4Roadside"/>
    <d v="2018-10-15T00:00:00"/>
    <x v="1"/>
    <s v="Fall"/>
    <d v="1899-12-30T02:42:00"/>
    <s v="Overcast"/>
    <s v="YO/BS"/>
    <s v="Foraging"/>
    <s v="NA"/>
    <n v="2"/>
    <m/>
    <n v="0"/>
    <m/>
    <x v="6"/>
    <x v="13"/>
    <s v="Ground"/>
    <s v="NA"/>
    <s v="NA"/>
    <s v="NA"/>
    <s v="NA"/>
    <s v="NA"/>
    <s v="NA"/>
    <m/>
    <n v="0"/>
    <n v="0"/>
    <n v="0"/>
    <n v="0"/>
    <n v="0"/>
    <n v="0"/>
    <n v="0"/>
    <m/>
    <m/>
    <m/>
    <m/>
  </r>
  <r>
    <s v="DSCN1594"/>
    <s v="M4R1015_17"/>
    <n v="17"/>
    <n v="2"/>
    <s v="M4Roadside"/>
    <d v="2018-10-15T00:00:00"/>
    <x v="1"/>
    <s v="Fall"/>
    <d v="1899-12-30T02:42:00"/>
    <s v="Overcast"/>
    <s v="WG/OS"/>
    <s v="Foraging"/>
    <s v="NA"/>
    <n v="2"/>
    <m/>
    <n v="0"/>
    <m/>
    <x v="6"/>
    <x v="13"/>
    <s v="Ground"/>
    <s v="NA"/>
    <s v="NA"/>
    <s v="NA"/>
    <s v="NA"/>
    <s v="NA"/>
    <s v="NA"/>
    <m/>
    <n v="0"/>
    <n v="0"/>
    <n v="0"/>
    <n v="0"/>
    <n v="0"/>
    <n v="0"/>
    <n v="0"/>
    <m/>
    <m/>
    <m/>
    <m/>
  </r>
  <r>
    <s v="DSCN1594"/>
    <s v="M4R1015_17"/>
    <n v="17"/>
    <n v="3"/>
    <s v="M4Roadside"/>
    <d v="2018-10-15T00:00:00"/>
    <x v="1"/>
    <s v="Fall"/>
    <d v="1899-12-30T02:42:00"/>
    <s v="Overcast"/>
    <s v="OB/YS"/>
    <s v="Foraging"/>
    <s v="NA"/>
    <n v="1"/>
    <m/>
    <n v="0"/>
    <m/>
    <x v="6"/>
    <x v="13"/>
    <s v="Ground"/>
    <s v="NA"/>
    <s v="NA"/>
    <s v="NA"/>
    <s v="NA"/>
    <s v="NA"/>
    <s v="NA"/>
    <m/>
    <n v="0"/>
    <n v="0"/>
    <n v="0"/>
    <n v="0"/>
    <n v="0"/>
    <n v="0"/>
    <n v="0"/>
    <m/>
    <m/>
    <m/>
    <m/>
  </r>
  <r>
    <s v="DSCN1595"/>
    <s v="M451015_18"/>
    <n v="18"/>
    <n v="1"/>
    <s v="M4Roadside"/>
    <d v="2018-10-15T00:00:00"/>
    <x v="1"/>
    <s v="Fall"/>
    <d v="1899-12-30T00:13:00"/>
    <s v="Overcast"/>
    <s v="YO/BS"/>
    <s v="Caching"/>
    <s v="NA"/>
    <n v="0"/>
    <m/>
    <n v="1"/>
    <m/>
    <x v="6"/>
    <x v="13"/>
    <s v="Ground"/>
    <s v="Interior spruce foliage "/>
    <s v="Spruce"/>
    <s v="Interior"/>
    <s v="Foliage"/>
    <n v="45"/>
    <n v="63.721649999999997"/>
    <n v="148.98674"/>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596"/>
    <s v="M4R1015_19"/>
    <n v="19"/>
    <n v="1"/>
    <s v="M4Roadside"/>
    <d v="2018-10-15T00:00:00"/>
    <x v="1"/>
    <s v="Fall"/>
    <d v="1899-12-30T00:53:00"/>
    <s v="Overcast"/>
    <s v="YO/BS"/>
    <s v="Foraging"/>
    <s v="NA"/>
    <n v="1"/>
    <m/>
    <n v="0"/>
    <m/>
    <x v="6"/>
    <x v="13"/>
    <s v="Ground"/>
    <s v="NA"/>
    <s v="NA"/>
    <s v="NA"/>
    <s v="NA"/>
    <s v="NA"/>
    <s v="NA"/>
    <m/>
    <n v="0"/>
    <n v="0"/>
    <n v="0"/>
    <n v="0"/>
    <n v="0"/>
    <n v="0"/>
    <n v="0"/>
    <m/>
    <m/>
    <m/>
    <m/>
  </r>
  <r>
    <s v="DSCN1597"/>
    <s v="M4R1015_20"/>
    <n v="20"/>
    <n v="1"/>
    <s v="M4Roadside"/>
    <d v="2018-10-15T00:00:00"/>
    <x v="1"/>
    <s v="Fall"/>
    <d v="1899-12-30T00:15:00"/>
    <s v="Overcast"/>
    <s v="YO/BS"/>
    <s v="Caching"/>
    <s v="Spruce"/>
    <n v="0"/>
    <m/>
    <n v="1"/>
    <m/>
    <x v="6"/>
    <x v="13"/>
    <s v="Ground"/>
    <s v="Interior bare spruce"/>
    <s v="Spruce"/>
    <s v="Interior"/>
    <s v="Branch"/>
    <n v="6"/>
    <n v="63.721870000000003"/>
    <n v="148.98738"/>
    <n v="0"/>
    <n v="0"/>
    <n v="0"/>
    <n v="0"/>
    <n v="0"/>
    <n v="0"/>
    <n v="0"/>
    <m/>
    <s v="First cache is confirmed.  Second cache: Followed bird from hare to tree.  Observation os cache wasn't caught on video and was obstructed from view due to delay in catching up with the bird.  B&amp;Ut given the behavior and location upon our arrival, we felt confident marking the tree. "/>
    <m/>
    <m/>
  </r>
  <r>
    <s v="DSCN1597"/>
    <s v="M4R1015_20"/>
    <n v="20"/>
    <n v="2"/>
    <s v="M4Roadside"/>
    <d v="2018-10-15T00:00:00"/>
    <x v="1"/>
    <s v="Fall"/>
    <d v="1899-12-30T00:15:00"/>
    <s v="Overcast"/>
    <s v="Unknown"/>
    <s v="Caching"/>
    <s v="Spruce"/>
    <n v="0"/>
    <m/>
    <n v="1"/>
    <m/>
    <x v="6"/>
    <x v="13"/>
    <s v="Ground"/>
    <s v="Interior spruce foliage "/>
    <s v="Spruce"/>
    <s v="Interior"/>
    <s v="Foliage"/>
    <n v="8"/>
    <n v="63.72184"/>
    <n v="148.98740000000001"/>
    <n v="0"/>
    <n v="0"/>
    <n v="0"/>
    <n v="0"/>
    <n v="0"/>
    <n v="0"/>
    <n v="0"/>
    <m/>
    <s v="First cache is confirmed.  Second cache: Followed bird from hare to tree.  Observation os cache wasn't caught on video and was obstructed from view due to delay in catching up with the bird.  B&amp;Ut given the behavior and location upon our arrival, we felt confident marking the tree. "/>
    <m/>
    <m/>
  </r>
  <r>
    <s v="DSCN1598"/>
    <s v="M4R1015_21"/>
    <n v="21"/>
    <n v="1"/>
    <s v="M4Roadside"/>
    <d v="2018-10-15T00:00:00"/>
    <x v="1"/>
    <s v="Fall"/>
    <d v="1899-12-30T00:58:00"/>
    <s v="Overcast"/>
    <s v="Unknown"/>
    <s v="Foraging"/>
    <s v="NA"/>
    <n v="1"/>
    <m/>
    <n v="0"/>
    <m/>
    <x v="6"/>
    <x v="13"/>
    <s v="Ground"/>
    <s v="NA"/>
    <s v="NA"/>
    <s v="NA"/>
    <s v="NA"/>
    <s v="NA"/>
    <s v="NA"/>
    <m/>
    <n v="0"/>
    <n v="0"/>
    <n v="0"/>
    <n v="0"/>
    <n v="0"/>
    <n v="0"/>
    <n v="0"/>
    <m/>
    <m/>
    <m/>
    <m/>
  </r>
  <r>
    <s v="DSCN1599"/>
    <s v="M4R1015_22"/>
    <n v="22"/>
    <n v="1"/>
    <s v="M4Roadside"/>
    <d v="2018-10-15T00:00:00"/>
    <x v="1"/>
    <s v="Fall"/>
    <d v="1899-12-30T00:22:00"/>
    <s v="Overcast"/>
    <s v="OB/YS"/>
    <s v="Foraging"/>
    <s v="NA"/>
    <n v="1"/>
    <m/>
    <n v="0"/>
    <m/>
    <x v="6"/>
    <x v="13"/>
    <s v="Ground"/>
    <s v="NA"/>
    <s v="NA"/>
    <s v="NA"/>
    <s v="NA"/>
    <s v="NA"/>
    <s v="NA"/>
    <m/>
    <n v="0"/>
    <n v="0"/>
    <n v="0"/>
    <n v="0"/>
    <n v="0"/>
    <n v="0"/>
    <n v="0"/>
    <m/>
    <m/>
    <m/>
    <m/>
  </r>
  <r>
    <s v="DSCN1602"/>
    <s v="M4R1015_23"/>
    <n v="23"/>
    <n v="1"/>
    <s v="M4Roadside"/>
    <d v="2018-10-15T00:00:00"/>
    <x v="1"/>
    <s v="Fall"/>
    <d v="1899-12-30T00:24:00"/>
    <s v="Overcast"/>
    <s v="Unknown"/>
    <s v="Caching"/>
    <s v="Spruce"/>
    <n v="0"/>
    <m/>
    <n v="1"/>
    <m/>
    <x v="6"/>
    <x v="13"/>
    <s v="Ground"/>
    <s v="Exterior spruce foliage"/>
    <s v="Spruce"/>
    <s v="Exterior"/>
    <s v="Foliage"/>
    <n v="10"/>
    <n v="63.721899999999998"/>
    <n v="148.98749000000001"/>
    <n v="0"/>
    <n v="0"/>
    <n v="0"/>
    <n v="0"/>
    <n v="0"/>
    <n v="0"/>
    <n v="0"/>
    <m/>
    <m/>
    <m/>
    <m/>
  </r>
  <r>
    <s v="DSCN1603"/>
    <s v="M4R1015_24"/>
    <n v="24"/>
    <n v="1"/>
    <s v="M4Roadside"/>
    <d v="2018-10-15T00:00:00"/>
    <x v="1"/>
    <s v="Fall"/>
    <d v="1899-12-30T00:27:00"/>
    <s v="Overcast"/>
    <s v="OB/YS"/>
    <s v="Caching"/>
    <s v="Spruce"/>
    <n v="0"/>
    <m/>
    <n v="1"/>
    <m/>
    <x v="6"/>
    <x v="13"/>
    <s v="Ground"/>
    <s v="Exterior spruce foliage"/>
    <s v="Spruce"/>
    <s v="Exterior"/>
    <s v="Foliage"/>
    <n v="23"/>
    <n v="63.722029999999997"/>
    <n v="148.98781"/>
    <n v="0"/>
    <n v="0"/>
    <n v="0"/>
    <n v="0"/>
    <n v="0"/>
    <n v="0"/>
    <n v="0"/>
    <m/>
    <m/>
    <m/>
    <m/>
  </r>
  <r>
    <s v="DSCN1604"/>
    <s v="M4R1015_25"/>
    <n v="25"/>
    <n v="1"/>
    <s v="M4Roadside"/>
    <d v="2018-10-15T00:00:00"/>
    <x v="1"/>
    <s v="Fall"/>
    <d v="1899-12-30T00:19:00"/>
    <s v="Overcast"/>
    <s v="YO/BS"/>
    <s v="Foraging"/>
    <s v="NA"/>
    <n v="1"/>
    <m/>
    <n v="0"/>
    <m/>
    <x v="6"/>
    <x v="13"/>
    <s v="Ground"/>
    <s v="NA"/>
    <s v="NA"/>
    <s v="NA"/>
    <s v="NA"/>
    <s v="NA"/>
    <s v="NA"/>
    <m/>
    <n v="0"/>
    <n v="0"/>
    <n v="0"/>
    <n v="0"/>
    <n v="0"/>
    <n v="0"/>
    <n v="0"/>
    <m/>
    <m/>
    <m/>
    <m/>
  </r>
  <r>
    <s v="DSCN1604"/>
    <s v="M4R1015_25"/>
    <n v="25"/>
    <n v="2"/>
    <s v="M4Roadside"/>
    <d v="2018-10-15T00:00:00"/>
    <x v="1"/>
    <s v="Fall"/>
    <d v="1899-12-30T00:19:00"/>
    <s v="Overcast"/>
    <s v="WG/OS"/>
    <s v="Foraging"/>
    <s v="NA"/>
    <n v="1"/>
    <m/>
    <n v="0"/>
    <m/>
    <x v="6"/>
    <x v="13"/>
    <s v="Ground"/>
    <s v="NA"/>
    <s v="NA"/>
    <s v="NA"/>
    <s v="NA"/>
    <s v="NA"/>
    <s v="NA"/>
    <m/>
    <n v="0"/>
    <n v="0"/>
    <n v="0"/>
    <n v="0"/>
    <n v="0"/>
    <n v="0"/>
    <n v="0"/>
    <m/>
    <m/>
    <m/>
    <m/>
  </r>
  <r>
    <s v="DSCN1606"/>
    <s v="M4R1015_26"/>
    <n v="26"/>
    <n v="1"/>
    <s v="M4Roadside"/>
    <d v="2018-10-15T00:00:00"/>
    <x v="1"/>
    <s v="Fall"/>
    <d v="1899-12-30T02:06:00"/>
    <s v="Overcast"/>
    <s v="Unknown"/>
    <s v="Caching"/>
    <s v="Spruce"/>
    <n v="0"/>
    <m/>
    <n v="1"/>
    <m/>
    <x v="6"/>
    <x v="13"/>
    <s v="Ground"/>
    <s v="Exterior spruce foliage"/>
    <s v="Spruce"/>
    <s v="Exterior"/>
    <s v="Foliage"/>
    <n v="60"/>
    <n v="63.72137"/>
    <n v="148.98742999999999"/>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617"/>
    <s v="M4R1015_27"/>
    <n v="27"/>
    <n v="1"/>
    <s v="M4Roadside"/>
    <d v="2018-10-15T00:00:00"/>
    <x v="1"/>
    <s v="Fall"/>
    <d v="1899-12-30T03:31:00"/>
    <s v="Overcast"/>
    <s v="YO/BS"/>
    <s v="Foraging"/>
    <s v="NA"/>
    <n v="1"/>
    <m/>
    <n v="0"/>
    <m/>
    <x v="6"/>
    <x v="13"/>
    <s v="Ground"/>
    <s v="NA"/>
    <s v="NA"/>
    <s v="NA"/>
    <s v="NA"/>
    <s v="NA"/>
    <s v="NA"/>
    <m/>
    <n v="0"/>
    <n v="0"/>
    <n v="0"/>
    <n v="0"/>
    <n v="0"/>
    <n v="0"/>
    <n v="0"/>
    <m/>
    <m/>
    <m/>
    <m/>
  </r>
  <r>
    <s v="DSCN1624"/>
    <s v="M4R1015_28"/>
    <n v="28"/>
    <n v="1"/>
    <s v="M4Roadside"/>
    <d v="2018-10-15T00:00:00"/>
    <x v="1"/>
    <s v="Fall"/>
    <d v="1899-12-30T00:17:00"/>
    <s v="Overcast"/>
    <s v="Unknown"/>
    <s v="Caching"/>
    <s v="Spruce"/>
    <n v="0"/>
    <m/>
    <n v="1"/>
    <m/>
    <x v="6"/>
    <x v="13"/>
    <s v="Ground"/>
    <s v="Exterior spruce foliage"/>
    <s v="Spruce"/>
    <s v="Exterior"/>
    <s v="Foliage"/>
    <n v="37"/>
    <n v="63.721769999999999"/>
    <n v="148.98671999999999"/>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632"/>
    <s v="M4R1015_29"/>
    <n v="29"/>
    <n v="1"/>
    <s v="M4Roadside"/>
    <d v="2018-10-15T00:00:00"/>
    <x v="1"/>
    <s v="Fall"/>
    <d v="1899-12-30T00:11:00"/>
    <s v="Overcast"/>
    <s v="YO/BS"/>
    <s v="Foraging"/>
    <s v="NA"/>
    <n v="1"/>
    <m/>
    <n v="0"/>
    <m/>
    <x v="6"/>
    <x v="13"/>
    <s v="Ground"/>
    <s v="NA"/>
    <s v="NA"/>
    <s v="NA"/>
    <s v="NA"/>
    <s v="NA"/>
    <s v="NA"/>
    <m/>
    <n v="0"/>
    <n v="0"/>
    <n v="0"/>
    <n v="0"/>
    <n v="0"/>
    <n v="0"/>
    <n v="0"/>
    <m/>
    <m/>
    <m/>
    <m/>
  </r>
  <r>
    <s v="DSCN1659"/>
    <s v="M4R1015_30"/>
    <n v="30"/>
    <n v="1"/>
    <s v="M4Roadside"/>
    <d v="2018-10-15T00:00:00"/>
    <x v="1"/>
    <s v="Fall"/>
    <d v="1899-12-30T00:43:00"/>
    <s v="Overcast"/>
    <s v="OB/YS"/>
    <s v="Foraging"/>
    <s v="NA"/>
    <n v="1"/>
    <m/>
    <n v="0"/>
    <m/>
    <x v="6"/>
    <x v="13"/>
    <s v="Ground"/>
    <s v="NA"/>
    <s v="NA"/>
    <s v="NA"/>
    <s v="NA"/>
    <s v="NA"/>
    <s v="NA"/>
    <m/>
    <n v="0"/>
    <n v="0"/>
    <n v="0"/>
    <n v="0"/>
    <n v="0"/>
    <n v="0"/>
    <n v="0"/>
    <m/>
    <m/>
    <m/>
    <m/>
  </r>
  <r>
    <s v="DSCN1659"/>
    <s v="M4R1015_30"/>
    <n v="30"/>
    <n v="2"/>
    <s v="M4Roadside"/>
    <d v="2018-10-15T00:00:00"/>
    <x v="1"/>
    <s v="Fall"/>
    <d v="1899-12-30T00:43:00"/>
    <s v="Overcast"/>
    <s v="YO/BS"/>
    <s v="Foraging"/>
    <s v="NA"/>
    <n v="1"/>
    <m/>
    <n v="0"/>
    <m/>
    <x v="6"/>
    <x v="13"/>
    <s v="Ground"/>
    <s v="NA"/>
    <s v="NA"/>
    <s v="NA"/>
    <s v="NA"/>
    <s v="NA"/>
    <s v="NA"/>
    <m/>
    <n v="0"/>
    <n v="0"/>
    <n v="0"/>
    <n v="0"/>
    <n v="0"/>
    <n v="0"/>
    <n v="0"/>
    <m/>
    <m/>
    <m/>
    <m/>
  </r>
  <r>
    <s v="DSCN1671"/>
    <s v="M4R1015_31"/>
    <n v="31"/>
    <n v="1"/>
    <s v="M4Roadside"/>
    <d v="2018-10-15T00:00:00"/>
    <x v="1"/>
    <s v="Fall"/>
    <d v="1899-12-30T00:38:00"/>
    <s v="Overcast"/>
    <s v="YO/BS"/>
    <s v="Foraging"/>
    <s v="Spruce"/>
    <n v="1"/>
    <m/>
    <n v="1"/>
    <m/>
    <x v="6"/>
    <x v="13"/>
    <s v="Ground"/>
    <s v="Exterior spruce foliage"/>
    <s v="Spruce"/>
    <s v="Exterior"/>
    <s v="Foliage"/>
    <n v="20"/>
    <n v="63.721870000000003"/>
    <n v="148.98699999999999"/>
    <n v="0"/>
    <n v="0"/>
    <n v="0"/>
    <n v="0"/>
    <n v="0"/>
    <n v="0"/>
    <n v="0"/>
    <m/>
    <m/>
    <m/>
    <m/>
  </r>
  <r>
    <s v="DSCN1672"/>
    <s v="M4R1015_32"/>
    <n v="32"/>
    <n v="1"/>
    <s v="M4Roadside"/>
    <d v="2018-10-15T00:00:00"/>
    <x v="1"/>
    <s v="Fall"/>
    <d v="1899-12-30T00:25:00"/>
    <s v="Overcast"/>
    <s v="YO/BS"/>
    <s v="Foraging"/>
    <s v="NA"/>
    <n v="1"/>
    <m/>
    <n v="0"/>
    <m/>
    <x v="6"/>
    <x v="13"/>
    <s v="Ground"/>
    <s v="NA"/>
    <s v="NA"/>
    <s v="NA"/>
    <s v="NA"/>
    <s v="NA"/>
    <s v="NA"/>
    <m/>
    <n v="0"/>
    <n v="0"/>
    <n v="0"/>
    <n v="0"/>
    <n v="0"/>
    <n v="0"/>
    <n v="0"/>
    <m/>
    <m/>
    <m/>
    <m/>
  </r>
  <r>
    <s v="DSCN1673"/>
    <s v="M4R1015_33"/>
    <n v="33"/>
    <n v="1"/>
    <s v="M4Roadside"/>
    <d v="2018-10-15T00:00:00"/>
    <x v="1"/>
    <s v="Fall"/>
    <d v="1899-12-30T00:23:00"/>
    <s v="Overcast"/>
    <s v="YO/BS"/>
    <s v="Caching"/>
    <s v="Spruce"/>
    <n v="0"/>
    <m/>
    <n v="1"/>
    <m/>
    <x v="6"/>
    <x v="13"/>
    <s v="Ground"/>
    <s v="Interior bare spruce branch under bark"/>
    <s v="Spruce"/>
    <s v="Interior"/>
    <s v="Under bark"/>
    <n v="28"/>
    <n v="63.721710000000002"/>
    <n v="148.98701"/>
    <n v="0"/>
    <n v="0"/>
    <n v="0"/>
    <n v="0"/>
    <n v="0"/>
    <n v="0"/>
    <n v="0"/>
    <m/>
    <m/>
    <m/>
    <m/>
  </r>
  <r>
    <s v="DSCN1674"/>
    <s v="M4R1015_34"/>
    <n v="34"/>
    <n v="1"/>
    <s v="M4Roadside"/>
    <d v="2018-10-15T00:00:00"/>
    <x v="1"/>
    <s v="Fall"/>
    <d v="1899-12-30T00:58:00"/>
    <s v="Overcast"/>
    <s v="YO/BS"/>
    <s v="Foraging"/>
    <s v="NA"/>
    <n v="1"/>
    <m/>
    <n v="0"/>
    <m/>
    <x v="6"/>
    <x v="13"/>
    <s v="Ground"/>
    <s v="NA"/>
    <s v="NA"/>
    <s v="NA"/>
    <s v="NA"/>
    <s v="NA"/>
    <s v="NA"/>
    <m/>
    <n v="0"/>
    <n v="0"/>
    <n v="0"/>
    <n v="0"/>
    <n v="0"/>
    <n v="0"/>
    <n v="0"/>
    <m/>
    <m/>
    <m/>
    <m/>
  </r>
  <r>
    <s v="DSCN1676"/>
    <s v="M4R1015_35"/>
    <n v="35"/>
    <n v="1"/>
    <s v="M4Roadside"/>
    <d v="2018-10-15T00:00:00"/>
    <x v="1"/>
    <s v="Fall"/>
    <d v="1899-12-30T01:28:00"/>
    <s v="Overcast"/>
    <s v="YO/BS"/>
    <s v="Foraging"/>
    <s v="NA"/>
    <n v="1"/>
    <m/>
    <n v="0"/>
    <m/>
    <x v="6"/>
    <x v="13"/>
    <s v="Ground"/>
    <s v="NA"/>
    <s v="NA"/>
    <s v="NA"/>
    <s v="NA"/>
    <s v="NA"/>
    <s v="NA"/>
    <m/>
    <n v="0"/>
    <n v="0"/>
    <n v="0"/>
    <n v="0"/>
    <n v="0"/>
    <n v="0"/>
    <n v="0"/>
    <m/>
    <m/>
    <m/>
    <m/>
  </r>
  <r>
    <s v="DSCN1677"/>
    <s v="M4R1015_36"/>
    <n v="36"/>
    <n v="1"/>
    <s v="M4Roadside"/>
    <d v="2018-10-15T00:00:00"/>
    <x v="1"/>
    <s v="Fall"/>
    <d v="1899-12-30T00:22:00"/>
    <s v="Overcast"/>
    <s v="YO/BS"/>
    <s v="Caching"/>
    <s v="Spruce"/>
    <n v="0"/>
    <m/>
    <n v="1"/>
    <m/>
    <x v="6"/>
    <x v="13"/>
    <s v="Ground"/>
    <s v="Interior bare spruce branch under bark"/>
    <s v="Spruce"/>
    <s v="Interior"/>
    <s v="Under bark"/>
    <n v="6"/>
    <n v="63.72184"/>
    <n v="148.9074"/>
    <n v="0"/>
    <n v="0"/>
    <n v="0"/>
    <n v="0"/>
    <n v="0"/>
    <n v="0"/>
    <n v="0"/>
    <m/>
    <s v="Same as CT1 for this day. Followed bird from hare to tree.  Observation os cache wasn't caught on video and was obstructed from view due to delay in catching up with the bird.  B&amp;Ut given the behavior and location upon our arrival, we felt confident marking the tree. "/>
    <m/>
    <m/>
  </r>
  <r>
    <s v="DSCN1684"/>
    <s v="M4R1015_37"/>
    <n v="37"/>
    <n v="1"/>
    <s v="M4Roadside"/>
    <d v="2018-10-15T00:00:00"/>
    <x v="1"/>
    <s v="Fall"/>
    <d v="1899-12-30T00:16:00"/>
    <s v="Overcast"/>
    <s v="YO/BS"/>
    <s v="Foraging"/>
    <s v="NA"/>
    <n v="1"/>
    <m/>
    <n v="0"/>
    <m/>
    <x v="6"/>
    <x v="13"/>
    <s v="Ground"/>
    <s v="NA"/>
    <s v="NA"/>
    <s v="NA"/>
    <s v="NA"/>
    <s v="NA"/>
    <s v="NA"/>
    <m/>
    <n v="0"/>
    <n v="0"/>
    <n v="0"/>
    <n v="0"/>
    <n v="0"/>
    <n v="0"/>
    <n v="0"/>
    <m/>
    <m/>
    <m/>
    <m/>
  </r>
  <r>
    <s v="DSCN1685"/>
    <s v="M4R1015_38"/>
    <n v="38"/>
    <n v="1"/>
    <s v="M4Roadside"/>
    <d v="2018-10-15T00:00:00"/>
    <x v="1"/>
    <s v="Fall"/>
    <d v="1899-12-30T01:47:00"/>
    <s v="Overcast"/>
    <s v="YO/BS"/>
    <s v="Foraging"/>
    <s v="NA"/>
    <n v="1"/>
    <m/>
    <n v="0"/>
    <m/>
    <x v="6"/>
    <x v="13"/>
    <s v="Ground"/>
    <s v="NA"/>
    <s v="NA"/>
    <s v="NA"/>
    <s v="NA"/>
    <s v="NA"/>
    <s v="NA"/>
    <m/>
    <n v="0"/>
    <n v="0"/>
    <n v="0"/>
    <n v="0"/>
    <n v="0"/>
    <n v="0"/>
    <n v="0"/>
    <m/>
    <m/>
    <m/>
    <m/>
  </r>
  <r>
    <s v="DSCN1687"/>
    <s v="M4R1015_39"/>
    <n v="39"/>
    <n v="1"/>
    <s v="M4Roadside"/>
    <d v="2018-10-15T00:00:00"/>
    <x v="1"/>
    <s v="Fall"/>
    <d v="1899-12-30T00:20:00"/>
    <s v="Overcast"/>
    <s v="YO/BS"/>
    <s v="Foraging"/>
    <s v="NA"/>
    <n v="1"/>
    <m/>
    <n v="0"/>
    <m/>
    <x v="6"/>
    <x v="13"/>
    <s v="Ground"/>
    <s v="NA"/>
    <s v="NA"/>
    <s v="NA"/>
    <s v="NA"/>
    <s v="NA"/>
    <s v="NA"/>
    <m/>
    <n v="0"/>
    <n v="0"/>
    <n v="0"/>
    <n v="0"/>
    <n v="0"/>
    <n v="0"/>
    <n v="0"/>
    <m/>
    <m/>
    <m/>
    <m/>
  </r>
  <r>
    <s v="DSCN1688"/>
    <s v="M4R1015_40"/>
    <n v="40"/>
    <n v="1"/>
    <s v="M4Roadside"/>
    <d v="2018-10-15T00:00:00"/>
    <x v="1"/>
    <s v="Fall"/>
    <d v="1899-12-30T04:00:00"/>
    <s v="Overcast"/>
    <s v="YO/BS"/>
    <s v="Foraging"/>
    <s v="NA"/>
    <n v="1"/>
    <m/>
    <n v="0"/>
    <m/>
    <x v="6"/>
    <x v="13"/>
    <s v="Ground"/>
    <s v="NA"/>
    <s v="NA"/>
    <s v="NA"/>
    <s v="NA"/>
    <s v="NA"/>
    <s v="NA"/>
    <m/>
    <n v="0"/>
    <n v="0"/>
    <n v="0"/>
    <n v="0"/>
    <n v="0"/>
    <n v="0"/>
    <n v="0"/>
    <m/>
    <m/>
    <m/>
    <m/>
  </r>
  <r>
    <s v="DSCN1690"/>
    <s v="M4R1015_41"/>
    <n v="41"/>
    <n v="1"/>
    <s v="M4Roadside"/>
    <d v="2018-10-15T00:00:00"/>
    <x v="1"/>
    <s v="Fall"/>
    <d v="1899-12-30T00:40:00"/>
    <s v="Overcast"/>
    <s v="WG/OS"/>
    <s v="Foraging/caching"/>
    <s v="Spruce"/>
    <n v="2"/>
    <m/>
    <n v="1"/>
    <m/>
    <x v="3"/>
    <x v="4"/>
    <s v="Ground"/>
    <s v="Exterior spruce branch under bark/witch hair"/>
    <s v="Spruce"/>
    <s v="Exterior"/>
    <s v="Under bark and witch hair "/>
    <n v="32"/>
    <n v="63.721510000000002"/>
    <n v="148.98741000000001"/>
    <n v="0"/>
    <n v="0"/>
    <n v="0"/>
    <n v="0"/>
    <n v="10"/>
    <n v="0"/>
    <n v="10"/>
    <m/>
    <m/>
    <m/>
    <m/>
  </r>
  <r>
    <s v="DSCN1692"/>
    <s v="M4R1015_42"/>
    <n v="42"/>
    <n v="1"/>
    <s v="M4Roadside"/>
    <d v="2018-10-15T00:00:00"/>
    <x v="1"/>
    <s v="Fall"/>
    <d v="1899-12-30T00:46:00"/>
    <s v="Overcast"/>
    <s v="YO/BS"/>
    <s v="Foraging"/>
    <s v="NA"/>
    <n v="1"/>
    <m/>
    <n v="0"/>
    <m/>
    <x v="6"/>
    <x v="13"/>
    <s v="Ground"/>
    <s v="NA"/>
    <s v="NA"/>
    <s v="NA"/>
    <s v="NA"/>
    <s v="NA"/>
    <s v="NA"/>
    <m/>
    <n v="0"/>
    <n v="0"/>
    <n v="0"/>
    <n v="0"/>
    <n v="0"/>
    <n v="0"/>
    <n v="0"/>
    <m/>
    <m/>
    <m/>
    <m/>
  </r>
  <r>
    <s v="DSCN1693"/>
    <s v="M4R1015_43"/>
    <n v="43"/>
    <n v="1"/>
    <s v="M4Roadside"/>
    <d v="2018-10-15T00:00:00"/>
    <x v="1"/>
    <s v="Fall"/>
    <d v="1899-12-30T00:36:00"/>
    <s v="Overcast"/>
    <s v="YO/BS"/>
    <s v="Caching"/>
    <s v="Spruce"/>
    <n v="0"/>
    <m/>
    <n v="1"/>
    <m/>
    <x v="6"/>
    <x v="13"/>
    <s v="Ground"/>
    <s v="Interior spruce foliage "/>
    <s v="Spruce"/>
    <s v="Interior"/>
    <s v="Foliage"/>
    <n v="46"/>
    <n v="63.721530000000001"/>
    <n v="148.98785000000001"/>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695"/>
    <s v="M4R1015_44"/>
    <n v="44"/>
    <n v="1"/>
    <s v="M4Roadside"/>
    <d v="2018-10-15T00:00:00"/>
    <x v="1"/>
    <s v="Fall"/>
    <d v="1899-12-30T00:23:00"/>
    <s v="Overcast"/>
    <s v="YO/BS"/>
    <s v="Foraging"/>
    <s v="NA"/>
    <n v="1"/>
    <m/>
    <n v="0"/>
    <m/>
    <x v="6"/>
    <x v="13"/>
    <s v="Ground"/>
    <s v="NA"/>
    <s v="NA"/>
    <s v="NA"/>
    <s v="NA"/>
    <s v="NA"/>
    <s v="NA"/>
    <m/>
    <n v="0"/>
    <n v="0"/>
    <n v="0"/>
    <n v="0"/>
    <n v="0"/>
    <n v="0"/>
    <n v="0"/>
    <m/>
    <m/>
    <m/>
    <m/>
  </r>
  <r>
    <s v="DSCN1696"/>
    <s v="M4R1015_45"/>
    <n v="45"/>
    <n v="1"/>
    <s v="M4Roadside"/>
    <d v="2018-10-15T00:00:00"/>
    <x v="1"/>
    <s v="Fall"/>
    <d v="1899-12-30T00:10:00"/>
    <s v="Overcast"/>
    <s v="YO/BS"/>
    <s v="Caching"/>
    <s v="Spruce"/>
    <n v="0"/>
    <m/>
    <n v="1"/>
    <m/>
    <x v="6"/>
    <x v="13"/>
    <s v="Ground"/>
    <s v="Exterior spruce branch under bark/witch hair"/>
    <s v="Spruce"/>
    <s v="Exterior"/>
    <s v="Under bark and witch hair "/>
    <n v="10"/>
    <n v="63.721919999999997"/>
    <n v="148.98746"/>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698"/>
    <s v="M4R1015_46"/>
    <n v="46"/>
    <n v="1"/>
    <s v="M4Roadside"/>
    <d v="2018-10-15T00:00:00"/>
    <x v="1"/>
    <s v="Fall"/>
    <d v="1899-12-30T04:44:00"/>
    <s v="Overcast"/>
    <s v="YO/BS"/>
    <s v="Foraging/caching"/>
    <s v="Spruce"/>
    <n v="2"/>
    <m/>
    <n v="1"/>
    <m/>
    <x v="6"/>
    <x v="13"/>
    <s v="Ground"/>
    <s v="Interior bare branch wedged in spruce bark"/>
    <s v="Spruce"/>
    <s v="Interior"/>
    <s v="Under bark"/>
    <n v="4"/>
    <n v="63.721969999999999"/>
    <n v="148.98725999999999"/>
    <n v="0"/>
    <n v="0"/>
    <n v="0"/>
    <n v="0"/>
    <n v="0"/>
    <n v="0"/>
    <n v="0"/>
    <m/>
    <s v="Confirmed cache, could see in tree. "/>
    <m/>
    <m/>
  </r>
  <r>
    <s v="DSCN1701"/>
    <s v="M4R1015_47"/>
    <n v="47"/>
    <n v="1"/>
    <s v="M4Roadside"/>
    <d v="2018-10-15T00:00:00"/>
    <x v="1"/>
    <s v="Fall"/>
    <d v="1899-12-30T02:26:00"/>
    <s v="Overcast"/>
    <s v="YO/BS"/>
    <s v="Foraging"/>
    <s v="NA"/>
    <n v="1"/>
    <m/>
    <n v="0"/>
    <m/>
    <x v="6"/>
    <x v="13"/>
    <s v="Ground"/>
    <s v="NA"/>
    <s v="NA"/>
    <s v="NA"/>
    <s v="NA"/>
    <s v="NA"/>
    <s v="NA"/>
    <m/>
    <n v="0"/>
    <n v="0"/>
    <n v="0"/>
    <n v="0"/>
    <n v="0"/>
    <n v="0"/>
    <n v="0"/>
    <m/>
    <m/>
    <m/>
    <m/>
  </r>
  <r>
    <s v="DSCN1703"/>
    <s v="M4R1015_48"/>
    <n v="48"/>
    <n v="1"/>
    <s v="M4Roadside"/>
    <d v="2018-10-15T00:00:00"/>
    <x v="1"/>
    <s v="Fall"/>
    <d v="1899-12-30T00:55:00"/>
    <s v="Overcast"/>
    <s v="YO/BS"/>
    <s v="Foraging"/>
    <s v="NA"/>
    <n v="1"/>
    <m/>
    <n v="0"/>
    <m/>
    <x v="6"/>
    <x v="13"/>
    <s v="Ground"/>
    <s v="NA"/>
    <s v="NA"/>
    <s v="NA"/>
    <s v="NA"/>
    <s v="NA"/>
    <s v="NA"/>
    <m/>
    <n v="0"/>
    <n v="0"/>
    <n v="0"/>
    <n v="0"/>
    <n v="0"/>
    <n v="0"/>
    <n v="0"/>
    <m/>
    <m/>
    <m/>
    <m/>
  </r>
  <r>
    <s v="DSCN1721"/>
    <s v="M4R1015_49"/>
    <n v="49"/>
    <n v="1"/>
    <s v="M4Roadside"/>
    <d v="2018-10-15T00:00:00"/>
    <x v="1"/>
    <s v="Fall"/>
    <d v="1899-12-30T00:17:00"/>
    <s v="Overcast"/>
    <s v="YO/BS"/>
    <s v="Foraging"/>
    <s v="NA"/>
    <n v="1"/>
    <m/>
    <n v="0"/>
    <m/>
    <x v="6"/>
    <x v="13"/>
    <s v="Ground"/>
    <s v="NA"/>
    <s v="NA"/>
    <s v="NA"/>
    <s v="NA"/>
    <s v="NA"/>
    <s v="NA"/>
    <m/>
    <n v="0"/>
    <n v="0"/>
    <n v="0"/>
    <n v="0"/>
    <n v="0"/>
    <n v="0"/>
    <n v="0"/>
    <m/>
    <m/>
    <m/>
    <m/>
  </r>
  <r>
    <s v="DSCN1722"/>
    <s v="M4R1015_50"/>
    <n v="50"/>
    <n v="1"/>
    <s v="M4Roadside"/>
    <d v="2018-10-15T00:00:00"/>
    <x v="1"/>
    <s v="Fall"/>
    <d v="1899-12-30T01:25:00"/>
    <s v="Overcast"/>
    <s v="YO/BS"/>
    <s v="Foraging"/>
    <s v="NA"/>
    <n v="1"/>
    <m/>
    <n v="0"/>
    <m/>
    <x v="6"/>
    <x v="13"/>
    <s v="Ground"/>
    <s v="NA"/>
    <s v="NA"/>
    <s v="NA"/>
    <s v="NA"/>
    <s v="NA"/>
    <s v="NA"/>
    <m/>
    <n v="0"/>
    <n v="0"/>
    <n v="0"/>
    <n v="0"/>
    <n v="0"/>
    <n v="0"/>
    <n v="0"/>
    <m/>
    <m/>
    <m/>
    <m/>
  </r>
  <r>
    <s v="DSCN1722"/>
    <s v="M4R1015_50"/>
    <n v="50"/>
    <n v="2"/>
    <s v="M4Roadside"/>
    <d v="2018-10-15T00:00:00"/>
    <x v="1"/>
    <s v="Fall"/>
    <d v="1899-12-30T01:25:00"/>
    <s v="Overcast"/>
    <s v="Unbanded"/>
    <s v="Foraging"/>
    <s v="NA"/>
    <n v="1"/>
    <m/>
    <n v="0"/>
    <m/>
    <x v="6"/>
    <x v="13"/>
    <s v="Ground"/>
    <s v="NA"/>
    <s v="NA"/>
    <s v="NA"/>
    <s v="NA"/>
    <s v="NA"/>
    <s v="NA"/>
    <m/>
    <n v="0"/>
    <n v="0"/>
    <n v="0"/>
    <n v="0"/>
    <n v="0"/>
    <n v="0"/>
    <n v="0"/>
    <m/>
    <s v="Fed alongside /BS "/>
    <m/>
    <m/>
  </r>
  <r>
    <s v="DSCN1723"/>
    <s v="M4R1015_51"/>
    <n v="51"/>
    <n v="1"/>
    <s v="M4Roadside"/>
    <d v="2018-10-15T00:00:00"/>
    <x v="1"/>
    <s v="Fall"/>
    <d v="1899-12-30T00:29:00"/>
    <s v="Overcast"/>
    <s v="YO/BS"/>
    <s v="Caching"/>
    <s v="Spruce"/>
    <n v="0"/>
    <m/>
    <n v="1"/>
    <m/>
    <x v="6"/>
    <x v="13"/>
    <s v="Ground"/>
    <s v="Exterior spruce foliage"/>
    <s v="Spruce"/>
    <s v="Exterior"/>
    <s v="Foliage"/>
    <n v="9"/>
    <n v="63.721829999999997"/>
    <n v="148.98733999999999"/>
    <n v="0"/>
    <n v="0"/>
    <n v="0"/>
    <n v="0"/>
    <n v="0"/>
    <n v="0"/>
    <n v="0"/>
    <m/>
    <s v="Caches observed by KS.  Confident. "/>
    <m/>
    <m/>
  </r>
  <r>
    <s v="DSCN1723"/>
    <s v="M4R1015_51"/>
    <n v="51"/>
    <n v="2"/>
    <s v="M4Roadside"/>
    <d v="2018-10-15T00:00:00"/>
    <x v="1"/>
    <s v="Fall"/>
    <d v="1899-12-30T00:29:00"/>
    <s v="Overcast"/>
    <s v="YO/BS"/>
    <s v="Caching"/>
    <s v="Spruce"/>
    <n v="0"/>
    <m/>
    <n v="1"/>
    <m/>
    <x v="6"/>
    <x v="13"/>
    <s v="Ground"/>
    <s v="Exterior bare spruce branch under bark"/>
    <s v="Spruce"/>
    <s v="Exterior"/>
    <s v="Under bark"/>
    <n v="4"/>
    <n v="63.72186"/>
    <n v="148.98733999999999"/>
    <n v="0"/>
    <n v="0"/>
    <n v="0"/>
    <n v="0"/>
    <n v="0"/>
    <n v="0"/>
    <n v="0"/>
    <m/>
    <s v="Caches observed by KS.  Confident. "/>
    <m/>
    <m/>
  </r>
  <r>
    <s v="DSCN1724"/>
    <s v="M4R1015_52"/>
    <n v="52"/>
    <n v="1"/>
    <s v="M4Roadside"/>
    <d v="2018-10-15T00:00:00"/>
    <x v="1"/>
    <s v="Fall"/>
    <d v="1899-12-30T00:32:00"/>
    <s v="Overcast"/>
    <s v="Unbanded"/>
    <s v="Foraging"/>
    <s v="NA"/>
    <n v="1"/>
    <m/>
    <n v="0"/>
    <m/>
    <x v="6"/>
    <x v="13"/>
    <s v="Ground"/>
    <s v="NA"/>
    <s v="NA"/>
    <s v="NA"/>
    <s v="NA"/>
    <s v="NA"/>
    <s v="NA"/>
    <m/>
    <n v="0"/>
    <n v="0"/>
    <n v="0"/>
    <n v="0"/>
    <n v="0"/>
    <n v="0"/>
    <n v="0"/>
    <m/>
    <m/>
    <m/>
    <m/>
  </r>
  <r>
    <s v="DSCN1725"/>
    <s v="M4R1015_53"/>
    <n v="53"/>
    <n v="1"/>
    <s v="M4Roadside"/>
    <d v="2018-10-15T00:00:00"/>
    <x v="1"/>
    <s v="Fall"/>
    <d v="1899-12-30T00:12:00"/>
    <s v="Overcast"/>
    <s v="Unbanded"/>
    <s v="Caching"/>
    <s v="NA"/>
    <n v="0"/>
    <m/>
    <n v="1"/>
    <m/>
    <x v="6"/>
    <x v="13"/>
    <s v="Ground"/>
    <s v="Interior spruce foliage "/>
    <s v="Spruce"/>
    <s v="Interior"/>
    <s v="Foliage"/>
    <n v="37"/>
    <n v="63.721760000000003"/>
    <n v="148.98801"/>
    <n v="0"/>
    <n v="0"/>
    <n v="0"/>
    <n v="0"/>
    <n v="0"/>
    <n v="0"/>
    <n v="0"/>
    <m/>
    <m/>
    <m/>
    <m/>
  </r>
  <r>
    <s v="DSCN1728"/>
    <s v="M4R1015_54"/>
    <n v="54"/>
    <n v="1"/>
    <s v="M4Roadside"/>
    <d v="2018-10-15T00:00:00"/>
    <x v="1"/>
    <s v="Fall"/>
    <d v="1899-12-30T00:52:00"/>
    <s v="Overcast"/>
    <s v="Unbanded"/>
    <s v="Foraging"/>
    <s v="NA"/>
    <n v="1"/>
    <m/>
    <n v="0"/>
    <m/>
    <x v="6"/>
    <x v="13"/>
    <s v="Ground"/>
    <s v="NA"/>
    <s v="NA"/>
    <s v="NA"/>
    <s v="NA"/>
    <s v="NA"/>
    <s v="NA"/>
    <m/>
    <n v="0"/>
    <n v="0"/>
    <n v="0"/>
    <n v="0"/>
    <n v="0"/>
    <n v="0"/>
    <n v="0"/>
    <m/>
    <m/>
    <m/>
    <m/>
  </r>
  <r>
    <s v="DSCN1729"/>
    <s v="M4R1015_55"/>
    <n v="55"/>
    <n v="1"/>
    <s v="M4Roadside"/>
    <d v="2018-10-15T00:00:00"/>
    <x v="1"/>
    <s v="Fall"/>
    <d v="1899-12-30T01:06:00"/>
    <s v="Overcast"/>
    <s v="Unbanded"/>
    <s v="Foraging"/>
    <s v="NA"/>
    <n v="1"/>
    <m/>
    <n v="0"/>
    <m/>
    <x v="6"/>
    <x v="13"/>
    <s v="Ground"/>
    <s v="NA"/>
    <s v="NA"/>
    <s v="NA"/>
    <s v="NA"/>
    <s v="NA"/>
    <s v="NA"/>
    <m/>
    <n v="0"/>
    <n v="0"/>
    <n v="0"/>
    <n v="0"/>
    <n v="0"/>
    <n v="0"/>
    <n v="0"/>
    <m/>
    <m/>
    <m/>
    <m/>
  </r>
  <r>
    <s v="DSCN1734"/>
    <s v="M4R1015_56"/>
    <n v="56"/>
    <n v="1"/>
    <s v="M4Roadside"/>
    <d v="2018-10-15T00:00:00"/>
    <x v="1"/>
    <s v="Fall"/>
    <d v="1899-12-30T00:21:00"/>
    <s v="Overcast"/>
    <s v="Unknown"/>
    <m/>
    <s v="NA"/>
    <n v="0"/>
    <m/>
    <n v="1"/>
    <m/>
    <x v="3"/>
    <x v="4"/>
    <s v="Ground"/>
    <s v="Exterior spruce foliage"/>
    <s v="Spruce"/>
    <s v="Exterior"/>
    <s v="Foliage"/>
    <s v="unknown"/>
    <n v="63.721649999999997"/>
    <n v="148.98887999999999"/>
    <n v="0"/>
    <n v="0"/>
    <n v="0"/>
    <n v="0"/>
    <n v="0"/>
    <n v="0"/>
    <n v="0"/>
    <m/>
    <s v="Incidental cache.  Found byt acident.  Berry in good condition B&amp;Ut spit dry.  "/>
    <m/>
    <m/>
  </r>
  <r>
    <s v="DSCN1735"/>
    <s v="M4R1015_57"/>
    <n v="57"/>
    <n v="1"/>
    <s v="M4Roadside"/>
    <d v="2018-10-15T00:00:00"/>
    <x v="1"/>
    <s v="Fall"/>
    <d v="1899-12-30T01:21:00"/>
    <s v="Overcast"/>
    <s v="YO/BS"/>
    <s v="Foraging"/>
    <s v="NA"/>
    <n v="1"/>
    <m/>
    <n v="0"/>
    <m/>
    <x v="6"/>
    <x v="13"/>
    <s v="Ground"/>
    <s v="NA"/>
    <s v="NA"/>
    <s v="NA"/>
    <s v="NA"/>
    <s v="NA"/>
    <s v="NA"/>
    <m/>
    <n v="0"/>
    <n v="0"/>
    <n v="0"/>
    <n v="0"/>
    <n v="0"/>
    <n v="0"/>
    <n v="0"/>
    <m/>
    <m/>
    <m/>
    <m/>
  </r>
  <r>
    <s v="DSCN1736"/>
    <s v="M4R1015_58"/>
    <n v="58"/>
    <n v="1"/>
    <s v="M4Roadside"/>
    <d v="2018-10-15T00:00:00"/>
    <x v="1"/>
    <s v="Fall"/>
    <d v="1899-12-30T00:24:00"/>
    <s v="Overcast"/>
    <s v="Unbanded"/>
    <s v="Foraging"/>
    <s v="NA"/>
    <n v="1"/>
    <m/>
    <n v="0"/>
    <m/>
    <x v="6"/>
    <x v="13"/>
    <s v="Ground"/>
    <s v="NA"/>
    <s v="NA"/>
    <s v="NA"/>
    <s v="NA"/>
    <s v="NA"/>
    <s v="NA"/>
    <m/>
    <n v="0"/>
    <n v="0"/>
    <n v="0"/>
    <n v="0"/>
    <n v="0"/>
    <n v="0"/>
    <n v="0"/>
    <m/>
    <m/>
    <m/>
    <m/>
  </r>
  <r>
    <s v="DSCN1738"/>
    <s v="M4R1015_59"/>
    <n v="59"/>
    <n v="1"/>
    <s v="M4Roadside"/>
    <d v="2018-10-15T00:00:00"/>
    <x v="1"/>
    <s v="Fall"/>
    <d v="1899-12-30T01:39:00"/>
    <s v="Overcast"/>
    <s v="YO/BS"/>
    <s v="Foraging"/>
    <s v="NA"/>
    <n v="1"/>
    <m/>
    <n v="0"/>
    <m/>
    <x v="6"/>
    <x v="13"/>
    <s v="Ground"/>
    <s v="NA"/>
    <s v="NA"/>
    <s v="NA"/>
    <s v="NA"/>
    <s v="NA"/>
    <s v="NA"/>
    <m/>
    <n v="0"/>
    <n v="0"/>
    <n v="0"/>
    <n v="0"/>
    <n v="0"/>
    <n v="0"/>
    <n v="0"/>
    <m/>
    <m/>
    <m/>
    <m/>
  </r>
  <r>
    <s v="DSCN1740"/>
    <s v="M4R1015_60"/>
    <n v="60"/>
    <n v="1"/>
    <s v="M4Roadside"/>
    <d v="2018-10-15T00:00:00"/>
    <x v="1"/>
    <s v="Fall"/>
    <d v="1899-12-30T02:00:00"/>
    <s v="Overcast"/>
    <s v="YO/BS"/>
    <s v="Foraging"/>
    <s v="NA"/>
    <n v="1"/>
    <m/>
    <n v="0"/>
    <m/>
    <x v="6"/>
    <x v="13"/>
    <s v="Ground"/>
    <s v="NA"/>
    <s v="NA"/>
    <s v="NA"/>
    <s v="NA"/>
    <s v="NA"/>
    <s v="NA"/>
    <m/>
    <n v="0"/>
    <n v="0"/>
    <n v="0"/>
    <n v="0"/>
    <n v="0"/>
    <n v="0"/>
    <n v="0"/>
    <m/>
    <m/>
    <m/>
    <m/>
  </r>
  <r>
    <s v="DSCN1743"/>
    <s v="M4R1015_61"/>
    <n v="61"/>
    <n v="1"/>
    <s v="M4Roadside"/>
    <d v="2018-10-15T00:00:00"/>
    <x v="1"/>
    <s v="Fall"/>
    <d v="1899-12-30T00:16:00"/>
    <s v="Overcast"/>
    <s v="Unbanded"/>
    <s v="Foraging"/>
    <s v="NA"/>
    <n v="1"/>
    <m/>
    <n v="0"/>
    <m/>
    <x v="6"/>
    <x v="13"/>
    <s v="Ground"/>
    <s v="NA"/>
    <s v="NA"/>
    <s v="NA"/>
    <s v="NA"/>
    <s v="NA"/>
    <s v="NA"/>
    <m/>
    <n v="0"/>
    <n v="0"/>
    <n v="0"/>
    <n v="0"/>
    <n v="0"/>
    <n v="0"/>
    <n v="0"/>
    <m/>
    <m/>
    <m/>
    <m/>
  </r>
  <r>
    <s v="DSCN1748"/>
    <s v="M4R1015_62"/>
    <n v="62"/>
    <n v="1"/>
    <s v="M4Roadside"/>
    <d v="2018-10-15T00:00:00"/>
    <x v="1"/>
    <s v="Fall"/>
    <d v="1899-12-30T00:36:00"/>
    <s v="Overcast"/>
    <s v="Unbanded"/>
    <s v="Foraging"/>
    <s v="NA"/>
    <n v="1"/>
    <m/>
    <n v="0"/>
    <m/>
    <x v="6"/>
    <x v="13"/>
    <s v="Ground"/>
    <s v="NA"/>
    <s v="NA"/>
    <s v="NA"/>
    <s v="NA"/>
    <s v="NA"/>
    <s v="NA"/>
    <m/>
    <n v="0"/>
    <n v="0"/>
    <n v="0"/>
    <n v="0"/>
    <n v="0"/>
    <n v="0"/>
    <n v="0"/>
    <m/>
    <m/>
    <m/>
    <m/>
  </r>
  <r>
    <s v="DSCN1750"/>
    <s v="M4R1015_63"/>
    <n v="63"/>
    <n v="1"/>
    <s v="M4Roadside"/>
    <d v="2018-10-15T00:00:00"/>
    <x v="1"/>
    <s v="Fall"/>
    <d v="1899-12-30T01:41:00"/>
    <s v="Overcast"/>
    <s v="Unbanded"/>
    <s v="Foraging"/>
    <s v="NA"/>
    <n v="1"/>
    <m/>
    <n v="0"/>
    <m/>
    <x v="6"/>
    <x v="13"/>
    <s v="Ground"/>
    <s v="NA"/>
    <s v="NA"/>
    <s v="NA"/>
    <s v="NA"/>
    <s v="NA"/>
    <s v="NA"/>
    <m/>
    <n v="0"/>
    <n v="0"/>
    <n v="0"/>
    <n v="0"/>
    <n v="0"/>
    <n v="0"/>
    <n v="0"/>
    <m/>
    <m/>
    <m/>
    <m/>
  </r>
  <r>
    <s v="DSCN1758"/>
    <s v="M4R1015_64"/>
    <n v="64"/>
    <n v="1"/>
    <s v="M4Roadside"/>
    <d v="2018-10-15T00:00:00"/>
    <x v="1"/>
    <s v="Fall"/>
    <d v="1899-12-30T00:25:00"/>
    <s v="Overcast"/>
    <s v="Unbanded"/>
    <s v="Caching"/>
    <s v="Spruce"/>
    <n v="0"/>
    <m/>
    <n v="1"/>
    <m/>
    <x v="6"/>
    <x v="13"/>
    <s v="Ground"/>
    <s v="Exterior spruce foliage"/>
    <s v="Spruce"/>
    <s v="Exterior"/>
    <s v="Foliage"/>
    <s v="unknown"/>
    <n v="63.721519999999998"/>
    <n v="148.98714000000001"/>
    <n v="0"/>
    <n v="0"/>
    <n v="0"/>
    <n v="0"/>
    <n v="0"/>
    <n v="0"/>
    <n v="0"/>
    <m/>
    <m/>
    <m/>
    <m/>
  </r>
  <r>
    <s v="DSCN1760"/>
    <s v="M4R1015_65"/>
    <n v="65"/>
    <n v="1"/>
    <s v="M4Roadside"/>
    <d v="2018-10-15T00:00:00"/>
    <x v="1"/>
    <s v="Fall"/>
    <d v="1899-12-30T02:29:00"/>
    <s v="Overcast"/>
    <s v="YO/BS"/>
    <s v="Foraging/caching"/>
    <s v="Spruce"/>
    <n v="1"/>
    <m/>
    <n v="1"/>
    <m/>
    <x v="6"/>
    <x v="13"/>
    <s v="Ground"/>
    <s v="Exterior spruce foliage"/>
    <s v="Spruce"/>
    <s v="Exterior"/>
    <s v="Foliage"/>
    <s v="unknown"/>
    <n v="63.72193"/>
    <n v="148.98715000000001"/>
    <n v="0"/>
    <n v="0"/>
    <n v="0"/>
    <n v="0"/>
    <n v="0"/>
    <n v="0"/>
    <n v="0"/>
    <m/>
    <m/>
    <m/>
    <m/>
  </r>
  <r>
    <s v="DSCN1761"/>
    <s v="M4R1015_66"/>
    <n v="66"/>
    <n v="1"/>
    <s v="M4Roadside"/>
    <d v="2018-10-15T00:00:00"/>
    <x v="1"/>
    <s v="Fall"/>
    <d v="1899-12-30T00:59:00"/>
    <s v="Overcast"/>
    <s v="YO/BS"/>
    <s v="Foraging"/>
    <s v="NA"/>
    <n v="1"/>
    <m/>
    <n v="0"/>
    <m/>
    <x v="6"/>
    <x v="13"/>
    <s v="Ground"/>
    <s v="NA"/>
    <s v="NA"/>
    <s v="NA"/>
    <s v="NA"/>
    <s v="NA"/>
    <s v="NA"/>
    <m/>
    <n v="0"/>
    <n v="0"/>
    <n v="0"/>
    <n v="0"/>
    <n v="0"/>
    <n v="0"/>
    <n v="0"/>
    <m/>
    <m/>
    <m/>
    <m/>
  </r>
  <r>
    <s v="DSCN1776"/>
    <s v="M4R1015_67"/>
    <n v="67"/>
    <n v="1"/>
    <s v="M4Roadside"/>
    <d v="2018-10-15T00:00:00"/>
    <x v="1"/>
    <s v="Fall"/>
    <d v="1899-12-30T00:20:00"/>
    <s v="Overcast"/>
    <s v="YO/BS"/>
    <s v="Foraging"/>
    <s v="NA"/>
    <n v="1"/>
    <m/>
    <n v="0"/>
    <m/>
    <x v="6"/>
    <x v="13"/>
    <s v="Ground"/>
    <s v="NA"/>
    <s v="NA"/>
    <s v="NA"/>
    <s v="NA"/>
    <s v="NA"/>
    <s v="NA"/>
    <m/>
    <n v="0"/>
    <n v="0"/>
    <n v="0"/>
    <n v="0"/>
    <n v="0"/>
    <n v="0"/>
    <n v="0"/>
    <m/>
    <m/>
    <m/>
    <m/>
  </r>
  <r>
    <s v="DSCN1777"/>
    <s v="M4R1015_68"/>
    <n v="68"/>
    <n v="1"/>
    <s v="M4Roadside"/>
    <d v="2018-10-15T00:00:00"/>
    <x v="1"/>
    <s v="Fall"/>
    <d v="1899-12-30T01:38:00"/>
    <s v="Overcast"/>
    <s v="YO/BS"/>
    <s v="Foraging"/>
    <s v="NA"/>
    <n v="1"/>
    <m/>
    <n v="0"/>
    <m/>
    <x v="6"/>
    <x v="13"/>
    <s v="Ground"/>
    <s v="NA"/>
    <s v="NA"/>
    <s v="NA"/>
    <s v="NA"/>
    <s v="NA"/>
    <s v="NA"/>
    <m/>
    <n v="0"/>
    <n v="0"/>
    <n v="0"/>
    <n v="0"/>
    <n v="0"/>
    <n v="0"/>
    <n v="0"/>
    <m/>
    <s v="Really nice foraging video! "/>
    <m/>
    <m/>
  </r>
  <r>
    <s v="DSCN1778"/>
    <s v="M2371016_1"/>
    <n v="1"/>
    <n v="1"/>
    <s v="Mile 237"/>
    <d v="2018-10-16T00:00:00"/>
    <x v="1"/>
    <s v="Fall"/>
    <d v="1899-12-30T00:09:00"/>
    <s v="Overcast, light rain"/>
    <s v="GB/PS"/>
    <s v="Foraging"/>
    <s v="NA"/>
    <n v="1"/>
    <m/>
    <n v="0"/>
    <m/>
    <x v="2"/>
    <x v="2"/>
    <s v="Ground"/>
    <s v="NA"/>
    <s v="NA"/>
    <s v="NA"/>
    <s v="NA"/>
    <s v="NA"/>
    <s v="NA"/>
    <m/>
    <n v="0"/>
    <n v="0"/>
    <n v="0"/>
    <n v="0"/>
    <n v="9"/>
    <n v="0"/>
    <n v="9"/>
    <m/>
    <s v="Foraging on trail.  Picking things out of gravel. "/>
    <m/>
    <m/>
  </r>
  <r>
    <s v="DSCN1780"/>
    <s v="M2371016_2"/>
    <n v="2"/>
    <n v="1"/>
    <s v="Mile 237"/>
    <d v="2018-10-16T00:00:00"/>
    <x v="1"/>
    <s v="Fall"/>
    <d v="1899-12-30T00:58:00"/>
    <s v="Overcast"/>
    <s v="GB/PS"/>
    <s v="Foraging"/>
    <s v="NA"/>
    <n v="2"/>
    <s v="5ish pecks each trip"/>
    <n v="0"/>
    <m/>
    <x v="2"/>
    <x v="2"/>
    <s v="Ground"/>
    <s v="NA"/>
    <s v="NA"/>
    <s v="NA"/>
    <s v="NA"/>
    <s v="NA"/>
    <s v="NA"/>
    <m/>
    <n v="0"/>
    <n v="0"/>
    <n v="0"/>
    <n v="0"/>
    <n v="58"/>
    <n v="0"/>
    <n v="58"/>
    <m/>
    <s v="Foraging on trail.  Picking things out of gravel. "/>
    <m/>
    <m/>
  </r>
  <r>
    <s v="DSCN1780"/>
    <s v="M2371016_2"/>
    <n v="2"/>
    <n v="1"/>
    <s v="Mile 237"/>
    <d v="2018-10-16T00:00:00"/>
    <x v="1"/>
    <s v="Fall"/>
    <d v="1899-12-30T00:58:00"/>
    <s v="Overcast"/>
    <s v="GB/PS"/>
    <s v="Foraging"/>
    <s v="NA"/>
    <n v="2"/>
    <s v="5ish pecks each trip"/>
    <n v="0"/>
    <m/>
    <x v="2"/>
    <x v="2"/>
    <s v="Ground"/>
    <s v="NA"/>
    <s v="NA"/>
    <s v="NA"/>
    <s v="NA"/>
    <s v="NA"/>
    <s v="NA"/>
    <m/>
    <n v="0"/>
    <n v="0"/>
    <n v="0"/>
    <n v="0"/>
    <n v="58"/>
    <n v="0"/>
    <n v="58"/>
    <m/>
    <s v="Foraging on trail.  Picking things out of gravel. "/>
    <m/>
    <m/>
  </r>
  <r>
    <s v="DSCN1781"/>
    <s v="M2371016_3"/>
    <n v="3"/>
    <n v="1"/>
    <s v="Mile 237"/>
    <d v="2018-10-16T00:00:00"/>
    <x v="1"/>
    <s v="Fall"/>
    <d v="1899-12-30T00:34:00"/>
    <s v="Overcast"/>
    <s v="YP/RS"/>
    <s v="Foraging"/>
    <s v="NA"/>
    <n v="2"/>
    <m/>
    <n v="0"/>
    <m/>
    <x v="2"/>
    <x v="2"/>
    <s v="Ground"/>
    <s v="NA"/>
    <s v="NA"/>
    <s v="NA"/>
    <s v="NA"/>
    <s v="NA"/>
    <s v="NA"/>
    <m/>
    <n v="0"/>
    <n v="0"/>
    <n v="0"/>
    <n v="0"/>
    <n v="26"/>
    <n v="0"/>
    <n v="26"/>
    <m/>
    <s v="Foraging on trail.  Picking things out of gravel. "/>
    <m/>
    <m/>
  </r>
  <r>
    <s v="DSCN1783"/>
    <s v="M2371016_4"/>
    <n v="4"/>
    <n v="1"/>
    <s v="Mile 237"/>
    <d v="2018-10-16T00:00:00"/>
    <x v="1"/>
    <s v="Fall"/>
    <d v="1899-12-30T00:32:00"/>
    <s v="Overcast"/>
    <s v="YP/RS"/>
    <s v="Foraging"/>
    <s v="NA"/>
    <n v="1"/>
    <s v="5 pecks"/>
    <n v="0"/>
    <m/>
    <x v="2"/>
    <x v="2"/>
    <s v="Ground"/>
    <s v="NA"/>
    <s v="NA"/>
    <s v="NA"/>
    <s v="NA"/>
    <s v="NA"/>
    <s v="NA"/>
    <m/>
    <n v="0"/>
    <n v="0"/>
    <n v="0"/>
    <n v="0"/>
    <n v="32"/>
    <n v="0"/>
    <n v="32"/>
    <m/>
    <s v="Foraging on trail.  Picking things out of gravel. "/>
    <m/>
    <m/>
  </r>
  <r>
    <s v="DSCN1785"/>
    <s v="M2371016_5"/>
    <n v="5"/>
    <n v="1"/>
    <s v="Mile 237"/>
    <d v="2018-10-16T00:00:00"/>
    <x v="1"/>
    <s v="Fall"/>
    <d v="1899-12-30T01:46:00"/>
    <s v="Overcast"/>
    <s v="YP/RS"/>
    <s v="Foraging"/>
    <s v="NA"/>
    <n v="2"/>
    <s v="18 in one two in second"/>
    <n v="0"/>
    <m/>
    <x v="2"/>
    <x v="2"/>
    <s v="Ground"/>
    <s v="NA"/>
    <s v="NA"/>
    <s v="NA"/>
    <s v="NA"/>
    <s v="NA"/>
    <s v="NA"/>
    <m/>
    <n v="0"/>
    <n v="0"/>
    <n v="0"/>
    <n v="0"/>
    <n v="106"/>
    <n v="0"/>
    <n v="106"/>
    <m/>
    <s v="Foraging on trail.  Picking things out of gravel. "/>
    <m/>
    <m/>
  </r>
  <r>
    <s v="DSCN1786"/>
    <s v="M2371016_6"/>
    <n v="6"/>
    <n v="1"/>
    <s v="Mile 237"/>
    <d v="2018-10-16T00:00:00"/>
    <x v="1"/>
    <s v="Fall"/>
    <d v="1899-12-30T00:20:00"/>
    <s v="Overcast"/>
    <s v="YP/RS"/>
    <s v="Foraging"/>
    <s v="NA"/>
    <n v="1"/>
    <m/>
    <n v="0"/>
    <m/>
    <x v="2"/>
    <x v="2"/>
    <s v="Ground"/>
    <s v="NA"/>
    <s v="NA"/>
    <s v="NA"/>
    <s v="NA"/>
    <s v="NA"/>
    <s v="NA"/>
    <m/>
    <n v="0"/>
    <n v="0"/>
    <n v="0"/>
    <n v="0"/>
    <n v="15"/>
    <n v="0"/>
    <n v="15"/>
    <m/>
    <s v="Foraging on trail.  Picking things out of gravel. "/>
    <m/>
    <m/>
  </r>
  <r>
    <s v="DSCN1787"/>
    <s v="M2371016_7"/>
    <n v="7"/>
    <n v="1"/>
    <s v="Mile 237"/>
    <d v="2018-10-16T00:00:00"/>
    <x v="1"/>
    <s v="Fall"/>
    <d v="1899-12-30T00:15:00"/>
    <s v="Overcast"/>
    <s v="GB/PS"/>
    <s v="Foraging"/>
    <s v="NA"/>
    <n v="1"/>
    <m/>
    <n v="0"/>
    <m/>
    <x v="2"/>
    <x v="2"/>
    <s v="Ground"/>
    <s v="NA"/>
    <s v="NA"/>
    <s v="NA"/>
    <s v="NA"/>
    <s v="NA"/>
    <s v="NA"/>
    <m/>
    <n v="0"/>
    <n v="0"/>
    <n v="0"/>
    <n v="0"/>
    <n v="15"/>
    <n v="0"/>
    <n v="15"/>
    <m/>
    <s v="Foraging on trail.  Picking things out of gravel. "/>
    <m/>
    <m/>
  </r>
  <r>
    <s v="DSCN1790"/>
    <s v="M2371016_8"/>
    <n v="8"/>
    <n v="1"/>
    <s v="Mile 237"/>
    <d v="2018-10-16T00:00:00"/>
    <x v="1"/>
    <s v="Fall"/>
    <d v="1899-12-30T00:39:00"/>
    <s v="Overcast"/>
    <s v="YP/RS"/>
    <s v="Foraging"/>
    <s v="NA"/>
    <n v="1"/>
    <s v="5 pecks"/>
    <n v="0"/>
    <m/>
    <x v="2"/>
    <x v="2"/>
    <s v="Ground"/>
    <s v="NA"/>
    <s v="NA"/>
    <s v="NA"/>
    <s v="NA"/>
    <s v="NA"/>
    <s v="NA"/>
    <m/>
    <n v="0"/>
    <n v="0"/>
    <n v="0"/>
    <n v="0"/>
    <n v="39"/>
    <n v="0"/>
    <n v="39"/>
    <m/>
    <s v="Foraging on trail.  Picking things out of gravel. "/>
    <m/>
    <m/>
  </r>
  <r>
    <s v="DSCN1795"/>
    <s v="M2371016_9"/>
    <n v="9"/>
    <n v="1"/>
    <s v="Mile 237"/>
    <d v="2018-10-16T00:00:00"/>
    <x v="1"/>
    <s v="Fall"/>
    <d v="1899-12-30T00:48:00"/>
    <s v="Overcast"/>
    <s v="GB/PS"/>
    <s v="Foraging"/>
    <s v="NA"/>
    <s v="unknown"/>
    <m/>
    <n v="0"/>
    <m/>
    <x v="2"/>
    <x v="2"/>
    <s v="NA"/>
    <s v="NA"/>
    <s v="NA"/>
    <s v="NA"/>
    <s v="NA"/>
    <s v="NA"/>
    <s v="NA"/>
    <m/>
    <n v="4"/>
    <n v="0"/>
    <n v="0"/>
    <n v="4"/>
    <n v="0"/>
    <n v="0"/>
    <n v="4"/>
    <m/>
    <s v="shrub branch on ground"/>
    <m/>
    <m/>
  </r>
  <r>
    <s v="DSCN1796"/>
    <s v="M2371016_10"/>
    <n v="10"/>
    <n v="1"/>
    <s v="Mile 237"/>
    <d v="2018-10-16T00:00:00"/>
    <x v="1"/>
    <s v="Fall"/>
    <d v="1899-12-30T00:22:00"/>
    <s v="Overcast"/>
    <s v="Unknown"/>
    <m/>
    <s v="Willow"/>
    <n v="0"/>
    <m/>
    <n v="1"/>
    <m/>
    <x v="3"/>
    <x v="53"/>
    <s v="Ground"/>
    <s v="Under bark of small willos shrub"/>
    <s v="Willow"/>
    <s v="Exterior"/>
    <s v="Under bark"/>
    <s v="unknown"/>
    <n v="63.723840000000003"/>
    <n v="148.88453999999999"/>
    <n v="0"/>
    <n v="0"/>
    <n v="0"/>
    <n v="0"/>
    <n v="0"/>
    <n v="0"/>
    <n v="0"/>
    <m/>
    <s v="Incidental find.  Spotted by DL while following birds.  Obvous jay spit based on location an visible dried saliva.  "/>
    <m/>
    <m/>
  </r>
  <r>
    <s v="DSCN1805"/>
    <s v="HS1016_1"/>
    <n v="1"/>
    <n v="1"/>
    <s v="Horse shoe"/>
    <d v="2018-10-16T00:00:00"/>
    <x v="1"/>
    <s v="Fall"/>
    <d v="1899-12-30T00:35:00"/>
    <s v="Overcast"/>
    <s v="GL/PS"/>
    <s v="Foraging"/>
    <s v="Spruce"/>
    <n v="0"/>
    <m/>
    <n v="0"/>
    <m/>
    <x v="1"/>
    <x v="1"/>
    <s v="NA"/>
    <s v="NA"/>
    <s v="NA"/>
    <s v="NA"/>
    <s v="NA"/>
    <s v="NA"/>
    <s v="NA"/>
    <m/>
    <n v="5"/>
    <n v="0"/>
    <n v="5"/>
    <n v="0"/>
    <n v="0"/>
    <n v="0"/>
    <n v="5"/>
    <m/>
    <m/>
    <m/>
    <m/>
  </r>
  <r>
    <s v="DSCN1806"/>
    <s v="HS1016_2"/>
    <n v="2"/>
    <n v="1"/>
    <s v="Horse shoe"/>
    <d v="2018-10-16T00:00:00"/>
    <x v="1"/>
    <s v="Fall"/>
    <d v="1899-12-30T00:29:00"/>
    <s v="Overcast"/>
    <s v="GL/PS"/>
    <s v="Foraging"/>
    <s v="Spruce"/>
    <n v="0"/>
    <m/>
    <n v="0"/>
    <m/>
    <x v="1"/>
    <x v="1"/>
    <s v="NA"/>
    <s v="NA"/>
    <s v="NA"/>
    <s v="NA"/>
    <s v="NA"/>
    <s v="NA"/>
    <s v="NA"/>
    <m/>
    <n v="29"/>
    <n v="0"/>
    <n v="29"/>
    <n v="0"/>
    <n v="0"/>
    <n v="0"/>
    <n v="29"/>
    <s v="Probing"/>
    <m/>
    <n v="1"/>
    <n v="0"/>
  </r>
  <r>
    <s v="DSCN1810"/>
    <s v="WW1016_1"/>
    <n v="1"/>
    <n v="1"/>
    <s v="WAC West"/>
    <d v="2018-10-16T00:00:00"/>
    <x v="1"/>
    <s v="Fall"/>
    <d v="1899-12-30T00:35:00"/>
    <s v="Overcast"/>
    <s v="BP/PS"/>
    <s v="Foraging/caching"/>
    <s v="Spruce"/>
    <s v="unknown"/>
    <m/>
    <n v="1"/>
    <m/>
    <x v="2"/>
    <x v="2"/>
    <s v="unknown"/>
    <s v="Interior bare spruce branch under bark"/>
    <s v="Spruce"/>
    <s v="Interior"/>
    <s v="Under bark"/>
    <s v="unknown"/>
    <n v="63.738300000000002"/>
    <n v="148.90355"/>
    <n v="26"/>
    <n v="0"/>
    <n v="26"/>
    <n v="0"/>
    <n v="0"/>
    <n v="0"/>
    <n v="26"/>
    <s v="Probing"/>
    <m/>
    <n v="3"/>
    <n v="0"/>
  </r>
  <r>
    <s v="DSCN1811"/>
    <s v="WW1016_2"/>
    <n v="2"/>
    <n v="1"/>
    <s v="WAC West"/>
    <d v="2018-10-16T00:00:00"/>
    <x v="1"/>
    <s v="Fall"/>
    <d v="1899-12-30T00:21:00"/>
    <s v="Overcast"/>
    <s v="BP/PS"/>
    <s v="Foraging"/>
    <s v="Spruce"/>
    <n v="1"/>
    <m/>
    <n v="0"/>
    <m/>
    <x v="2"/>
    <x v="54"/>
    <s v="Spruce cone"/>
    <s v="NA"/>
    <s v="NA"/>
    <s v="NA"/>
    <s v="NA"/>
    <s v="NA"/>
    <s v="NA"/>
    <m/>
    <n v="0"/>
    <n v="10"/>
    <n v="0"/>
    <n v="10"/>
    <n v="0"/>
    <n v="0"/>
    <n v="10"/>
    <m/>
    <m/>
    <m/>
    <m/>
  </r>
  <r>
    <s v="DSCN1812"/>
    <s v="WW1016_3"/>
    <n v="3"/>
    <n v="1"/>
    <s v="WAC West"/>
    <d v="2018-10-16T00:00:00"/>
    <x v="1"/>
    <s v="Fall"/>
    <d v="1899-12-30T01:10:00"/>
    <s v="Overcast"/>
    <s v="BP/PS"/>
    <s v="Foraging/caching"/>
    <s v="Spruce"/>
    <n v="1"/>
    <m/>
    <n v="1"/>
    <m/>
    <x v="2"/>
    <x v="2"/>
    <s v="Top of sappling from foliage"/>
    <s v="Interior spruce foliage "/>
    <s v="Spruce"/>
    <s v="Interior"/>
    <s v="Foliage"/>
    <n v="7"/>
    <n v="63.738460000000003"/>
    <n v="148.90312"/>
    <n v="0"/>
    <n v="0"/>
    <n v="0"/>
    <n v="0"/>
    <n v="7"/>
    <n v="0"/>
    <n v="7"/>
    <m/>
    <s v="Get plucked food from tree, no foraging time.  "/>
    <m/>
    <m/>
  </r>
  <r>
    <s v="DSCN1812"/>
    <s v="WW1016_3"/>
    <n v="3"/>
    <n v="2"/>
    <s v="WAC West"/>
    <d v="2018-10-16T00:00:00"/>
    <x v="1"/>
    <s v="Fall"/>
    <d v="1899-12-30T01:10:00"/>
    <s v="Overcast"/>
    <s v="BP/PS"/>
    <s v="Foraging"/>
    <s v="Spruce"/>
    <n v="1"/>
    <m/>
    <n v="0"/>
    <m/>
    <x v="3"/>
    <x v="12"/>
    <s v="Ground"/>
    <s v="NA"/>
    <s v="NA"/>
    <s v="NA"/>
    <s v="NA"/>
    <s v="NA"/>
    <s v="NA"/>
    <m/>
    <n v="0"/>
    <n v="0"/>
    <n v="0"/>
    <n v="0"/>
    <n v="0"/>
    <n v="0"/>
    <n v="0"/>
    <m/>
    <s v="Get plucked food from tree, no foraging time.  "/>
    <m/>
    <m/>
  </r>
  <r>
    <s v="DSCN1813"/>
    <s v="HS1016_3"/>
    <n v="3"/>
    <n v="1"/>
    <s v="Horse shoe"/>
    <d v="2018-10-16T00:00:00"/>
    <x v="1"/>
    <s v="Fall"/>
    <d v="1899-12-30T00:50:00"/>
    <s v="Overcast"/>
    <s v="GL/PS"/>
    <s v="Foraging"/>
    <s v="Spruce"/>
    <n v="1"/>
    <m/>
    <n v="0"/>
    <m/>
    <x v="2"/>
    <x v="2"/>
    <s v="Spruce trunk under bark"/>
    <s v="NA"/>
    <s v="NA"/>
    <s v="NA"/>
    <s v="NA"/>
    <s v="NA"/>
    <s v="NA"/>
    <m/>
    <n v="50"/>
    <n v="0"/>
    <n v="50"/>
    <n v="0"/>
    <n v="0"/>
    <n v="0"/>
    <n v="50"/>
    <m/>
    <m/>
    <m/>
    <m/>
  </r>
  <r>
    <s v="DSCN1814"/>
    <s v="HS1016_4"/>
    <n v="4"/>
    <n v="1"/>
    <s v="Horse shoe"/>
    <d v="2018-10-16T00:00:00"/>
    <x v="1"/>
    <s v="Fall"/>
    <d v="1899-12-30T00:21:00"/>
    <s v="Overcast"/>
    <s v="GL/PS"/>
    <s v="Foraging"/>
    <s v="NA"/>
    <n v="1"/>
    <m/>
    <n v="0"/>
    <m/>
    <x v="3"/>
    <x v="4"/>
    <s v="Ground"/>
    <s v="NA"/>
    <s v="NA"/>
    <s v="NA"/>
    <s v="NA"/>
    <s v="NA"/>
    <s v="NA"/>
    <m/>
    <n v="0"/>
    <n v="0"/>
    <n v="0"/>
    <n v="0"/>
    <n v="15"/>
    <n v="0"/>
    <n v="15"/>
    <m/>
    <m/>
    <m/>
    <m/>
  </r>
  <r>
    <s v="DSCN1815"/>
    <s v="HS1016_5"/>
    <n v="5"/>
    <n v="1"/>
    <s v="Horse shoe"/>
    <d v="2018-10-16T00:00:00"/>
    <x v="1"/>
    <s v="Fall"/>
    <d v="1899-12-30T00:26:00"/>
    <s v="Overcast"/>
    <s v="GL/PS"/>
    <s v="Food handling"/>
    <s v="NA"/>
    <n v="1"/>
    <m/>
    <n v="0"/>
    <m/>
    <x v="2"/>
    <x v="2"/>
    <s v="unknown"/>
    <s v="NA"/>
    <s v="NA"/>
    <s v="NA"/>
    <s v="NA"/>
    <s v="NA"/>
    <s v="NA"/>
    <m/>
    <n v="0"/>
    <n v="0"/>
    <n v="0"/>
    <n v="0"/>
    <n v="0"/>
    <n v="0"/>
    <n v="0"/>
    <m/>
    <m/>
    <m/>
    <m/>
  </r>
  <r>
    <s v="DSCN1819"/>
    <s v="HS1016_6"/>
    <n v="6"/>
    <n v="1"/>
    <s v="Horse shoe"/>
    <d v="2018-10-16T00:00:00"/>
    <x v="1"/>
    <s v="Fall"/>
    <d v="1899-12-30T00:28:00"/>
    <s v="Overcast"/>
    <s v="GL/PS"/>
    <s v="Foraging"/>
    <s v="Spruce"/>
    <n v="0"/>
    <m/>
    <n v="0"/>
    <m/>
    <x v="1"/>
    <x v="1"/>
    <s v="NA"/>
    <s v="NA"/>
    <s v="NA"/>
    <s v="NA"/>
    <s v="NA"/>
    <s v="NA"/>
    <s v="NA"/>
    <m/>
    <n v="26"/>
    <n v="0"/>
    <n v="26"/>
    <n v="0"/>
    <n v="0"/>
    <n v="0"/>
    <n v="26"/>
    <m/>
    <m/>
    <m/>
    <m/>
  </r>
  <r>
    <s v="DSCN1823"/>
    <s v="WW1016_4"/>
    <n v="4"/>
    <n v="1"/>
    <s v="WAC West"/>
    <d v="2018-10-16T00:00:00"/>
    <x v="1"/>
    <s v="Fall"/>
    <d v="1899-12-30T00:34:00"/>
    <s v="Overcast"/>
    <s v="BP/PS"/>
    <s v="Foraging"/>
    <s v="NA"/>
    <n v="1"/>
    <m/>
    <n v="0"/>
    <m/>
    <x v="2"/>
    <x v="2"/>
    <s v="Interior spruce foliage"/>
    <s v="NA"/>
    <s v="NA"/>
    <s v="NA"/>
    <s v="NA"/>
    <s v="NA"/>
    <s v="NA"/>
    <m/>
    <n v="0"/>
    <n v="0"/>
    <n v="0"/>
    <n v="0"/>
    <n v="0"/>
    <n v="0"/>
    <n v="0"/>
    <m/>
    <s v="Some kind of orange stringy thing.  Missed acquisition on camera B&amp;Ut witnessed in person. "/>
    <m/>
    <m/>
  </r>
  <r>
    <s v="DSCN1824"/>
    <s v="WW1016_5"/>
    <n v="5"/>
    <n v="1"/>
    <s v="WAC West"/>
    <d v="2018-10-16T00:00:00"/>
    <x v="1"/>
    <s v="Fall"/>
    <d v="1899-12-30T00:17:00"/>
    <s v="Overcast"/>
    <s v="BP/PS"/>
    <s v="Caching"/>
    <s v="Spruce"/>
    <n v="0"/>
    <m/>
    <n v="1"/>
    <m/>
    <x v="2"/>
    <x v="2"/>
    <s v="unknown"/>
    <s v="Spruce trunk"/>
    <s v="Spruce"/>
    <s v="Trunk"/>
    <s v="Under bark"/>
    <s v="unknown"/>
    <n v="63.739269999999998"/>
    <n v="148.98978"/>
    <n v="0"/>
    <n v="0"/>
    <n v="0"/>
    <n v="0"/>
    <n v="0"/>
    <n v="0"/>
    <n v="0"/>
    <m/>
    <m/>
    <m/>
    <m/>
  </r>
  <r>
    <s v="DSCN1830"/>
    <s v="B&amp;U1017_1"/>
    <n v="1"/>
    <n v="1"/>
    <s v="B&amp;U"/>
    <d v="2018-10-17T00:00:00"/>
    <x v="1"/>
    <s v="Fall"/>
    <d v="1899-12-30T00:10:00"/>
    <s v="Overcast"/>
    <s v="WP/BS"/>
    <s v="Foraging"/>
    <s v="NA"/>
    <n v="1"/>
    <m/>
    <n v="0"/>
    <m/>
    <x v="3"/>
    <x v="4"/>
    <s v="Ground"/>
    <s v="NA"/>
    <s v="NA"/>
    <s v="NA"/>
    <s v="NA"/>
    <s v="NA"/>
    <s v="NA"/>
    <m/>
    <n v="0"/>
    <n v="0"/>
    <n v="0"/>
    <n v="0"/>
    <n v="10"/>
    <n v="0"/>
    <n v="10"/>
    <m/>
    <m/>
    <m/>
    <m/>
  </r>
  <r>
    <s v="DSCN1831"/>
    <s v="B&amp;U1017_2"/>
    <n v="2"/>
    <n v="1"/>
    <s v="B&amp;U"/>
    <d v="2018-10-17T00:00:00"/>
    <x v="1"/>
    <s v="Fall"/>
    <d v="1899-12-30T00:34:00"/>
    <s v="Overcast"/>
    <s v="WP/BS"/>
    <s v="Caching/foraging"/>
    <s v="Spruce"/>
    <n v="1"/>
    <m/>
    <n v="1"/>
    <m/>
    <x v="3"/>
    <x v="4"/>
    <s v="Ground"/>
    <s v="Interior spruce foliage"/>
    <s v="Spruce "/>
    <s v="Interior"/>
    <s v="Foliage"/>
    <n v="6"/>
    <n v="63.725520000000003"/>
    <n v="148.95973000000001"/>
    <n v="0"/>
    <n v="0"/>
    <n v="0"/>
    <n v="0"/>
    <n v="12"/>
    <n v="0"/>
    <n v="12"/>
    <m/>
    <m/>
    <m/>
    <m/>
  </r>
  <r>
    <s v="DSCN1832"/>
    <s v="B&amp;U1017_3"/>
    <n v="3"/>
    <n v="1"/>
    <s v="B&amp;U"/>
    <d v="2018-10-17T00:00:00"/>
    <x v="1"/>
    <s v="Fall"/>
    <d v="1899-12-30T00:23:00"/>
    <s v="Overcast"/>
    <s v="Unknown"/>
    <s v="Caching"/>
    <s v="Spruce"/>
    <n v="0"/>
    <m/>
    <n v="1"/>
    <m/>
    <x v="2"/>
    <x v="2"/>
    <s v="unknown"/>
    <s v="Exterior spruce branch under bark/witch hair"/>
    <s v="Spruce"/>
    <s v="Exterior"/>
    <s v="Under bark and witch hair "/>
    <s v="unknown"/>
    <n v="63.724910000000001"/>
    <n v="148.96313000000001"/>
    <n v="0"/>
    <n v="0"/>
    <n v="0"/>
    <n v="0"/>
    <n v="0"/>
    <n v="0"/>
    <n v="0"/>
    <m/>
    <m/>
    <m/>
    <m/>
  </r>
  <r>
    <s v="DSCN1833"/>
    <s v="B&amp;U1017_4"/>
    <n v="4"/>
    <n v="1"/>
    <s v="B&amp;U"/>
    <d v="2018-10-17T00:00:00"/>
    <x v="1"/>
    <s v="Fall"/>
    <d v="1899-12-30T00:06:00"/>
    <s v="Overcast"/>
    <s v="Unknown"/>
    <s v="Foraging"/>
    <s v="NA"/>
    <n v="1"/>
    <m/>
    <n v="0"/>
    <m/>
    <x v="2"/>
    <x v="2"/>
    <s v="Ground"/>
    <s v="NA"/>
    <s v="NA"/>
    <s v="NA"/>
    <s v="NA"/>
    <s v="NA"/>
    <s v="NA"/>
    <m/>
    <n v="0"/>
    <n v="0"/>
    <n v="0"/>
    <n v="0"/>
    <n v="0"/>
    <n v="0"/>
    <n v="0"/>
    <m/>
    <s v="Missed foraging session. "/>
    <m/>
    <m/>
  </r>
  <r>
    <s v="DSCN1835"/>
    <s v="B&amp;U1017_5"/>
    <n v="5"/>
    <n v="1"/>
    <s v="B&amp;U"/>
    <d v="2018-10-17T00:00:00"/>
    <x v="1"/>
    <s v="Fall"/>
    <d v="1899-12-30T00:11:00"/>
    <s v="Overcast"/>
    <s v="Unknown"/>
    <s v="Foraging"/>
    <s v="NA"/>
    <n v="1"/>
    <m/>
    <n v="0"/>
    <m/>
    <x v="2"/>
    <x v="2"/>
    <s v="Ground"/>
    <s v="NA"/>
    <s v="NA"/>
    <s v="NA"/>
    <s v="NA"/>
    <s v="NA"/>
    <s v="NA"/>
    <m/>
    <n v="0"/>
    <n v="0"/>
    <n v="0"/>
    <n v="0"/>
    <n v="5"/>
    <n v="0"/>
    <n v="5"/>
    <m/>
    <m/>
    <m/>
    <m/>
  </r>
  <r>
    <s v="DSCN1847"/>
    <s v="RC1017_1"/>
    <n v="1"/>
    <n v="1"/>
    <s v="Rock Creek"/>
    <d v="2018-10-17T00:00:00"/>
    <x v="1"/>
    <s v="Fall"/>
    <d v="1899-12-30T00:44:00"/>
    <s v="Overcast"/>
    <s v="LB/RS"/>
    <s v="Foraging"/>
    <s v="Spruce"/>
    <n v="2"/>
    <m/>
    <n v="0"/>
    <m/>
    <x v="2"/>
    <x v="2"/>
    <s v="Exterior dense foliage of spruce"/>
    <s v="NA"/>
    <s v="NA"/>
    <s v="NA"/>
    <s v="NA"/>
    <s v="NA"/>
    <s v="NA"/>
    <m/>
    <n v="0"/>
    <n v="44"/>
    <n v="0"/>
    <n v="44"/>
    <n v="0"/>
    <n v="0"/>
    <n v="44"/>
    <s v="searching"/>
    <m/>
    <m/>
    <m/>
  </r>
  <r>
    <s v="DSCN1848"/>
    <s v="RC1017_2"/>
    <n v="2"/>
    <n v="1"/>
    <s v="Rock Creek"/>
    <d v="2018-10-17T00:00:00"/>
    <x v="1"/>
    <s v="Fall"/>
    <d v="1899-12-30T00:29:00"/>
    <s v="Overcast"/>
    <s v="LB/RS"/>
    <s v="Foraging"/>
    <s v="Spruce"/>
    <n v="1"/>
    <m/>
    <n v="0"/>
    <m/>
    <x v="2"/>
    <x v="2"/>
    <s v="Exterior dense foliage of spruce"/>
    <s v="NA"/>
    <s v="NA"/>
    <s v="NA"/>
    <s v="NA"/>
    <s v="NA"/>
    <s v="NA"/>
    <m/>
    <n v="0"/>
    <n v="15"/>
    <n v="0"/>
    <n v="15"/>
    <n v="0"/>
    <n v="0"/>
    <n v="15"/>
    <s v="searching"/>
    <m/>
    <m/>
    <m/>
  </r>
  <r>
    <s v="DSCN1848"/>
    <s v="RC1017_2"/>
    <n v="2"/>
    <n v="1"/>
    <s v="Rock Creek"/>
    <d v="2018-10-17T00:00:00"/>
    <x v="1"/>
    <s v="Fall"/>
    <d v="1899-12-30T00:29:00"/>
    <s v="Overcast"/>
    <s v="LB/RS"/>
    <s v="Foraging/cache recovery"/>
    <s v="Spruce"/>
    <n v="1"/>
    <m/>
    <n v="0"/>
    <m/>
    <x v="3"/>
    <x v="51"/>
    <s v="Exterior dense foliage of spruce"/>
    <s v="NA"/>
    <s v="NA"/>
    <s v="NA"/>
    <s v="NA"/>
    <s v="NA"/>
    <s v="NA"/>
    <m/>
    <n v="0"/>
    <n v="15"/>
    <n v="0"/>
    <n v="15"/>
    <n v="0"/>
    <n v="0"/>
    <n v="15"/>
    <s v="searching"/>
    <m/>
    <m/>
    <m/>
  </r>
  <r>
    <s v="DSCN1849"/>
    <s v="RC1017_3"/>
    <n v="3"/>
    <n v="1"/>
    <s v="Rock Creek"/>
    <d v="2018-10-17T00:00:00"/>
    <x v="1"/>
    <s v="Fall"/>
    <d v="1899-12-30T00:33:00"/>
    <s v="Overcast"/>
    <s v="LB/RS"/>
    <s v="Foraging"/>
    <s v="Spruce"/>
    <s v="unknown"/>
    <m/>
    <n v="0"/>
    <m/>
    <x v="1"/>
    <x v="1"/>
    <s v="NA"/>
    <s v="NA"/>
    <s v="NA"/>
    <s v="NA"/>
    <s v="NA"/>
    <s v="NA"/>
    <s v="NA"/>
    <m/>
    <n v="28"/>
    <n v="0"/>
    <n v="10"/>
    <n v="18"/>
    <n v="0"/>
    <n v="0"/>
    <n v="28"/>
    <s v="Probing"/>
    <m/>
    <n v="2"/>
    <n v="0"/>
  </r>
  <r>
    <s v="DSCN1850"/>
    <s v="RC1017_4"/>
    <n v="4"/>
    <n v="1"/>
    <s v="CCAMP"/>
    <d v="2018-10-17T00:00:00"/>
    <x v="1"/>
    <s v="Fall"/>
    <d v="1899-12-30T00:12:00"/>
    <s v="Overcast"/>
    <s v="GB/BS"/>
    <s v="Foraging"/>
    <s v="NA"/>
    <n v="1"/>
    <m/>
    <n v="0"/>
    <m/>
    <x v="2"/>
    <x v="2"/>
    <s v="Ground"/>
    <s v="NA"/>
    <s v="NA"/>
    <s v="NA"/>
    <s v="NA"/>
    <s v="NA"/>
    <s v="NA"/>
    <m/>
    <n v="0"/>
    <n v="0"/>
    <n v="0"/>
    <n v="0"/>
    <n v="9"/>
    <n v="0"/>
    <n v="9"/>
    <m/>
    <s v="Foraging on gravel"/>
    <m/>
    <m/>
  </r>
  <r>
    <s v="DSCN1854"/>
    <s v="RC1017_6"/>
    <n v="6"/>
    <n v="1"/>
    <s v="CCAMP"/>
    <d v="2018-10-17T00:00:00"/>
    <x v="1"/>
    <s v="Fall"/>
    <d v="1899-12-30T00:13:00"/>
    <s v="Overcast"/>
    <s v="GB/BS"/>
    <s v="Foraging"/>
    <s v="Spruce"/>
    <n v="1"/>
    <m/>
    <n v="0"/>
    <m/>
    <x v="2"/>
    <x v="55"/>
    <s v="Exterior dense foliage of spruce"/>
    <s v="NA"/>
    <s v="NA"/>
    <s v="NA"/>
    <s v="NA"/>
    <s v="NA"/>
    <s v="NA"/>
    <m/>
    <n v="0"/>
    <n v="10"/>
    <n v="0"/>
    <n v="10"/>
    <n v="0"/>
    <n v="0"/>
    <n v="10"/>
    <m/>
    <m/>
    <m/>
    <m/>
  </r>
  <r>
    <s v="DSCN1855"/>
    <s v="RC1017_7"/>
    <n v="7"/>
    <n v="1"/>
    <s v="CCAMP"/>
    <d v="2018-10-17T00:00:00"/>
    <x v="1"/>
    <s v="Fall"/>
    <d v="1899-12-30T00:41:00"/>
    <s v="Overcast"/>
    <s v="GB/BS"/>
    <s v="Foraging"/>
    <s v="Spruce"/>
    <s v="unknown"/>
    <m/>
    <n v="0"/>
    <m/>
    <x v="1"/>
    <x v="1"/>
    <s v="NA"/>
    <s v="NA"/>
    <s v="NA"/>
    <s v="NA"/>
    <s v="NA"/>
    <s v="NA"/>
    <s v="NA"/>
    <m/>
    <n v="5"/>
    <n v="26"/>
    <n v="0"/>
    <n v="31"/>
    <n v="0"/>
    <n v="0"/>
    <n v="31"/>
    <m/>
    <m/>
    <m/>
    <m/>
  </r>
  <r>
    <s v="DSCN1857"/>
    <s v="RC1017_8"/>
    <n v="8"/>
    <n v="1"/>
    <s v="Rock Creek"/>
    <d v="2018-10-17T00:00:00"/>
    <x v="1"/>
    <s v="Fall"/>
    <d v="1899-12-30T00:22:00"/>
    <s v="Overcast"/>
    <s v="LB/RS"/>
    <s v="Caching"/>
    <s v="Spruce"/>
    <n v="0"/>
    <m/>
    <n v="1"/>
    <m/>
    <x v="2"/>
    <x v="2"/>
    <s v="unknown"/>
    <s v="Spruce trunk under bark"/>
    <s v="Spruce"/>
    <s v="Trunk"/>
    <s v="Under bark"/>
    <s v="unknown"/>
    <n v="63.722830000000002"/>
    <n v="148.95454000000001"/>
    <n v="0"/>
    <n v="0"/>
    <n v="0"/>
    <n v="0"/>
    <n v="0"/>
    <n v="0"/>
    <n v="0"/>
    <m/>
    <m/>
    <m/>
    <m/>
  </r>
  <r>
    <s v="DSCN1859"/>
    <s v="RC1017_9"/>
    <n v="9"/>
    <n v="1"/>
    <s v="Rock Creek"/>
    <d v="2018-10-17T00:00:00"/>
    <x v="1"/>
    <s v="Fall"/>
    <d v="1899-12-30T00:32:00"/>
    <s v="Overcast"/>
    <s v="LB/RS"/>
    <s v="Foraging"/>
    <s v="Spruce"/>
    <s v="unknown"/>
    <m/>
    <n v="0"/>
    <m/>
    <x v="1"/>
    <x v="1"/>
    <s v="NA"/>
    <s v="NA"/>
    <s v="NA"/>
    <s v="NA"/>
    <s v="NA"/>
    <s v="NA"/>
    <s v="NA"/>
    <m/>
    <n v="25"/>
    <n v="0"/>
    <n v="10"/>
    <n v="15"/>
    <n v="0"/>
    <n v="0"/>
    <n v="25"/>
    <m/>
    <m/>
    <m/>
    <m/>
  </r>
  <r>
    <s v="DSCN1860"/>
    <s v="RC1017_10"/>
    <n v="10"/>
    <n v="1"/>
    <s v="Rock Creek"/>
    <d v="2018-10-17T00:00:00"/>
    <x v="1"/>
    <s v="Fall"/>
    <d v="1899-12-30T00:12:00"/>
    <s v="Overcast"/>
    <s v="LB/RS"/>
    <s v="Foraging"/>
    <s v="Spruce"/>
    <n v="1"/>
    <m/>
    <n v="0"/>
    <m/>
    <x v="2"/>
    <x v="2"/>
    <s v="Exterior bare spruce branch"/>
    <s v="NA"/>
    <s v="NA"/>
    <s v="NA"/>
    <s v="NA"/>
    <s v="NA"/>
    <s v="NA"/>
    <m/>
    <n v="12"/>
    <n v="0"/>
    <n v="5"/>
    <n v="7"/>
    <n v="0"/>
    <n v="0"/>
    <n v="12"/>
    <m/>
    <m/>
    <m/>
    <m/>
  </r>
  <r>
    <s v="DSCN1861"/>
    <s v="RC1017_11"/>
    <n v="11"/>
    <n v="1"/>
    <s v="Rock Creek"/>
    <d v="2018-10-17T00:00:00"/>
    <x v="1"/>
    <s v="Fall"/>
    <d v="1899-12-30T00:51:00"/>
    <s v="Overcast"/>
    <s v="LB/RS"/>
    <s v="Foraging"/>
    <s v="Spruce"/>
    <n v="1"/>
    <m/>
    <n v="0"/>
    <m/>
    <x v="3"/>
    <x v="4"/>
    <s v="Ground"/>
    <s v="NA"/>
    <s v="NA"/>
    <s v="NA"/>
    <s v="NA"/>
    <s v="NA"/>
    <s v="NA"/>
    <m/>
    <n v="13"/>
    <n v="0"/>
    <n v="0"/>
    <n v="13"/>
    <n v="10"/>
    <n v="0"/>
    <n v="23"/>
    <m/>
    <m/>
    <m/>
    <m/>
  </r>
  <r>
    <s v="DSCN1866"/>
    <s v="B&amp;U1017_6"/>
    <n v="6"/>
    <n v="1"/>
    <s v="B&amp;U"/>
    <d v="2018-10-17T00:00:00"/>
    <x v="1"/>
    <s v="Fall"/>
    <d v="1899-12-30T00:11:00"/>
    <s v="Overcast"/>
    <s v="GR/PS"/>
    <s v="Foraging"/>
    <s v="NA"/>
    <n v="1"/>
    <m/>
    <n v="0"/>
    <m/>
    <x v="3"/>
    <x v="4"/>
    <s v="Ground"/>
    <s v="NA"/>
    <s v="NA"/>
    <s v="NA"/>
    <s v="NA"/>
    <s v="NA"/>
    <s v="NA"/>
    <m/>
    <n v="0"/>
    <n v="0"/>
    <n v="0"/>
    <n v="0"/>
    <n v="10"/>
    <n v="0"/>
    <n v="10"/>
    <m/>
    <m/>
    <m/>
    <m/>
  </r>
  <r>
    <s v="DSCN1867"/>
    <s v="B&amp;U1017_7"/>
    <n v="7"/>
    <n v="1"/>
    <s v="B&amp;U"/>
    <d v="2018-10-17T00:00:00"/>
    <x v="1"/>
    <s v="Fall"/>
    <d v="1899-12-30T00:14:00"/>
    <s v="Overcast"/>
    <s v="GR/PS"/>
    <s v="Caching"/>
    <s v="Spruce"/>
    <n v="0"/>
    <m/>
    <n v="1"/>
    <m/>
    <x v="3"/>
    <x v="4"/>
    <s v="Ground"/>
    <s v="Interior bare spruce branch under bark"/>
    <s v="Spruce"/>
    <s v="Interior"/>
    <s v="Under bark"/>
    <n v="8"/>
    <n v="63.725540000000002"/>
    <n v="148.9563"/>
    <n v="0"/>
    <n v="0"/>
    <n v="0"/>
    <n v="0"/>
    <n v="0"/>
    <n v="0"/>
    <n v="0"/>
    <m/>
    <m/>
    <m/>
    <m/>
  </r>
  <r>
    <s v="DSCN1869"/>
    <s v="B&amp;U1017_8"/>
    <n v="8"/>
    <n v="1"/>
    <s v="B&amp;U"/>
    <d v="2018-10-17T00:00:00"/>
    <x v="1"/>
    <s v="Fall"/>
    <d v="1899-12-30T00:41:00"/>
    <s v="Overcast"/>
    <s v="GR/PS"/>
    <s v="Foraging"/>
    <s v="Spruce"/>
    <s v="unknown"/>
    <m/>
    <n v="0"/>
    <m/>
    <x v="1"/>
    <x v="1"/>
    <s v="NA"/>
    <s v="NA"/>
    <s v="NA"/>
    <s v="NA"/>
    <s v="NA"/>
    <s v="NA"/>
    <s v="NA"/>
    <m/>
    <n v="0"/>
    <n v="30"/>
    <n v="0"/>
    <n v="30"/>
    <n v="0"/>
    <n v="0"/>
    <n v="30"/>
    <m/>
    <m/>
    <m/>
    <m/>
  </r>
  <r>
    <s v="DSCN1873"/>
    <s v="AQ1017_1"/>
    <n v="1"/>
    <n v="1"/>
    <s v="Air Quality"/>
    <d v="2018-10-17T00:00:00"/>
    <x v="1"/>
    <s v="Fall"/>
    <d v="1899-12-30T00:31:00"/>
    <s v="Overcast"/>
    <s v="PL/PS"/>
    <s v="Caching/foraging"/>
    <s v="Spruce"/>
    <n v="2"/>
    <m/>
    <n v="1"/>
    <m/>
    <x v="2"/>
    <x v="56"/>
    <s v="Ground for cached item; then on bare spruce branch under bark"/>
    <s v="Exterior spruce branch under bark/witch hair"/>
    <s v="Spruce"/>
    <s v="Exterior"/>
    <s v="Branch under witch hair"/>
    <s v="unknown"/>
    <n v="63.723950000000002"/>
    <n v="148.96271999999999"/>
    <n v="10"/>
    <n v="0"/>
    <n v="0"/>
    <n v="10"/>
    <n v="0"/>
    <n v="0"/>
    <n v="10"/>
    <m/>
    <s v="Picked something up from ground (not on film) then cached, then resumed foraging in tree. "/>
    <m/>
    <m/>
  </r>
  <r>
    <s v="DSCN1881"/>
    <s v="M4R1018_1"/>
    <n v="1"/>
    <n v="1"/>
    <s v="M4Roadside"/>
    <d v="2018-10-18T00:00:00"/>
    <x v="1"/>
    <s v="Fall"/>
    <d v="1899-12-30T00:12:00"/>
    <s v="Overcast"/>
    <s v="Unknown"/>
    <s v="Foraging"/>
    <s v="NA"/>
    <s v="unknown"/>
    <m/>
    <n v="0"/>
    <m/>
    <x v="2"/>
    <x v="2"/>
    <s v="NA"/>
    <s v="NA"/>
    <s v="NA"/>
    <s v="NA"/>
    <s v="NA"/>
    <s v="NA"/>
    <s v="NA"/>
    <m/>
    <n v="0"/>
    <n v="0"/>
    <n v="0"/>
    <n v="0"/>
    <n v="11"/>
    <n v="0"/>
    <n v="11"/>
    <m/>
    <m/>
    <m/>
    <m/>
  </r>
  <r>
    <s v="DSCN1883"/>
    <s v="M4R1018_2"/>
    <n v="2"/>
    <n v="1"/>
    <s v="M4Roadside"/>
    <d v="2018-10-18T00:00:00"/>
    <x v="1"/>
    <s v="Fall"/>
    <d v="1899-12-30T00:28:00"/>
    <s v="Overcast"/>
    <s v="WG/OS"/>
    <s v="Foraging"/>
    <s v="Spruce"/>
    <n v="1"/>
    <m/>
    <n v="0"/>
    <m/>
    <x v="2"/>
    <x v="2"/>
    <s v="Exterior dense foliage of spruce"/>
    <s v="NA"/>
    <s v="NA"/>
    <s v="NA"/>
    <s v="NA"/>
    <s v="NA"/>
    <s v="NA"/>
    <m/>
    <n v="0"/>
    <n v="18"/>
    <n v="0"/>
    <n v="18"/>
    <n v="0"/>
    <n v="0"/>
    <n v="18"/>
    <s v="searching"/>
    <m/>
    <m/>
    <m/>
  </r>
  <r>
    <s v="DSCN1886"/>
    <s v="M4R1018_3"/>
    <n v="3"/>
    <n v="1"/>
    <s v="M4Roadside"/>
    <d v="2018-10-18T00:00:00"/>
    <x v="1"/>
    <s v="Fall"/>
    <d v="1899-12-30T00:46:00"/>
    <s v="Overcast"/>
    <s v="OB/YS"/>
    <s v="Caching/foraging"/>
    <s v="Spruce"/>
    <n v="1"/>
    <n v="5"/>
    <n v="1"/>
    <m/>
    <x v="3"/>
    <x v="4"/>
    <s v="Ground"/>
    <s v="Exterior spruce foliage"/>
    <s v="Spruce"/>
    <s v="Exterior"/>
    <s v="Foliage"/>
    <n v="10"/>
    <n v="63.721490000000003"/>
    <n v="148.98593"/>
    <n v="0"/>
    <n v="0"/>
    <n v="0"/>
    <n v="0"/>
    <n v="22"/>
    <n v="0"/>
    <n v="22"/>
    <m/>
    <m/>
    <m/>
    <m/>
  </r>
  <r>
    <s v="DSCN1887"/>
    <s v="M4R1018_4"/>
    <n v="4"/>
    <n v="1"/>
    <s v="M4Roadside"/>
    <d v="2018-10-18T00:00:00"/>
    <x v="1"/>
    <s v="Fall"/>
    <d v="1899-12-30T00:19:00"/>
    <s v="Overcast"/>
    <s v="OB/YS"/>
    <s v="Caching/foraging"/>
    <s v="Spruce"/>
    <n v="1"/>
    <n v="2"/>
    <n v="1"/>
    <m/>
    <x v="3"/>
    <x v="4"/>
    <s v="Ground"/>
    <s v="Exterior spruce branch under bark/witch hair"/>
    <s v="Spruce"/>
    <s v="Exterior"/>
    <s v="Under bark and witch hair "/>
    <n v="15"/>
    <n v="63.721530000000001"/>
    <n v="148.98598999999999"/>
    <n v="0"/>
    <n v="0"/>
    <n v="0"/>
    <n v="0"/>
    <n v="7"/>
    <n v="0"/>
    <n v="7"/>
    <m/>
    <m/>
    <m/>
    <m/>
  </r>
  <r>
    <s v="DSCN1888"/>
    <s v="M4R1018_5"/>
    <n v="5"/>
    <n v="1"/>
    <s v="M4Roadside"/>
    <d v="2018-10-18T00:00:00"/>
    <x v="1"/>
    <s v="Fall"/>
    <d v="1899-12-30T00:29:00"/>
    <s v="Overcast"/>
    <s v="OB/YS"/>
    <s v="Foraging"/>
    <s v="NA"/>
    <n v="1"/>
    <m/>
    <n v="0"/>
    <m/>
    <x v="3"/>
    <x v="4"/>
    <s v="Ground"/>
    <s v="NA"/>
    <s v="NA"/>
    <s v="NA"/>
    <s v="NA"/>
    <s v="NA"/>
    <s v="NA"/>
    <m/>
    <n v="0"/>
    <n v="0"/>
    <n v="0"/>
    <n v="0"/>
    <n v="20"/>
    <n v="0"/>
    <n v="20"/>
    <m/>
    <m/>
    <m/>
    <m/>
  </r>
  <r>
    <s v="DSCN1895"/>
    <s v="MC1019_1"/>
    <n v="1"/>
    <n v="1"/>
    <s v="Mercantile"/>
    <d v="2018-10-19T00:00:00"/>
    <x v="1"/>
    <s v="Fall"/>
    <d v="1899-12-30T00:18:00"/>
    <s v="Overcast"/>
    <s v="WO/OS"/>
    <s v="Foraging"/>
    <s v="Spruce"/>
    <n v="1"/>
    <m/>
    <n v="0"/>
    <m/>
    <x v="2"/>
    <x v="2"/>
    <s v="Tip of spruce foliage at top of tree"/>
    <s v="NA"/>
    <s v="NA"/>
    <s v="NA"/>
    <s v="NA"/>
    <s v="NA"/>
    <s v="NA"/>
    <m/>
    <n v="0"/>
    <n v="10"/>
    <n v="0"/>
    <n v="10"/>
    <n v="0"/>
    <n v="0"/>
    <n v="10"/>
    <s v="searching"/>
    <s v="Maybe a berry?"/>
    <m/>
    <m/>
  </r>
  <r>
    <s v="DSCN1897"/>
    <s v="MC1019_2"/>
    <n v="2"/>
    <n v="1"/>
    <s v="Mercantile"/>
    <d v="2018-10-19T00:00:00"/>
    <x v="1"/>
    <s v="Fall"/>
    <d v="1899-12-30T00:17:00"/>
    <s v="Overcast"/>
    <s v="WO/OS"/>
    <s v="Caching"/>
    <s v="Aspen"/>
    <n v="0"/>
    <m/>
    <n v="1"/>
    <m/>
    <x v="2"/>
    <x v="2"/>
    <s v="Tip of spruce foliage at top of tree"/>
    <s v="Glued to aspen branch"/>
    <s v="Aspen"/>
    <s v="Exterior"/>
    <s v="On bark"/>
    <s v="unknown"/>
    <s v="Did not mark (did not recognize as cache while in field)"/>
    <m/>
    <n v="0"/>
    <n v="0"/>
    <n v="0"/>
    <n v="0"/>
    <n v="0"/>
    <n v="0"/>
    <n v="0"/>
    <m/>
    <m/>
    <m/>
    <m/>
  </r>
  <r>
    <s v="DSCN1898"/>
    <s v="MC1019_3"/>
    <n v="3"/>
    <n v="1"/>
    <s v="Mercantile"/>
    <d v="2018-10-19T00:00:00"/>
    <x v="1"/>
    <s v="Fall"/>
    <d v="1899-12-30T00:57:00"/>
    <m/>
    <s v="BW/GS"/>
    <s v="Foraging"/>
    <s v="Aspen"/>
    <n v="4"/>
    <m/>
    <n v="0"/>
    <m/>
    <x v="2"/>
    <x v="2"/>
    <s v="bare aspen branch"/>
    <s v="NA"/>
    <s v="NA"/>
    <s v="NA"/>
    <s v="NA"/>
    <s v="NA"/>
    <s v="NA"/>
    <m/>
    <n v="57"/>
    <n v="0"/>
    <n v="0"/>
    <n v="57"/>
    <n v="0"/>
    <n v="0"/>
    <n v="57"/>
    <s v="Searching/gleaning"/>
    <m/>
    <m/>
    <m/>
  </r>
  <r>
    <s v="DSCN1902"/>
    <s v="MC1019_4"/>
    <n v="4"/>
    <n v="1"/>
    <s v="Mercantile"/>
    <d v="2018-10-19T00:00:00"/>
    <x v="1"/>
    <s v="Fall"/>
    <d v="1899-12-30T00:30:00"/>
    <m/>
    <s v="WO/OS"/>
    <s v="Foraging"/>
    <s v="Spruce"/>
    <s v="unknown"/>
    <m/>
    <n v="0"/>
    <m/>
    <x v="2"/>
    <x v="2"/>
    <s v="NA"/>
    <s v="NA"/>
    <s v="NA"/>
    <s v="NA"/>
    <s v="NA"/>
    <s v="NA"/>
    <s v="NA"/>
    <m/>
    <n v="0"/>
    <n v="29"/>
    <n v="0"/>
    <n v="29"/>
    <n v="0"/>
    <n v="0"/>
    <n v="29"/>
    <s v="searching"/>
    <m/>
    <m/>
    <m/>
  </r>
  <r>
    <s v="DSCN1903"/>
    <s v="MC1019_5"/>
    <n v="5"/>
    <n v="1"/>
    <s v="Mercantile"/>
    <d v="2018-10-19T00:00:00"/>
    <x v="1"/>
    <s v="Fall"/>
    <d v="1899-12-30T00:13:00"/>
    <m/>
    <s v="WO/OS"/>
    <s v="Foraging"/>
    <s v="Aspen"/>
    <n v="0"/>
    <m/>
    <n v="0"/>
    <m/>
    <x v="1"/>
    <x v="1"/>
    <s v="NA"/>
    <s v="NA"/>
    <s v="NA"/>
    <s v="NA"/>
    <s v="NA"/>
    <s v="NA"/>
    <s v="NA"/>
    <m/>
    <n v="13"/>
    <n v="0"/>
    <n v="0"/>
    <n v="13"/>
    <n v="0"/>
    <n v="0"/>
    <n v="13"/>
    <m/>
    <m/>
    <m/>
    <m/>
  </r>
  <r>
    <s v="DSCN1904"/>
    <s v="MC1019_6"/>
    <n v="6"/>
    <n v="1"/>
    <s v="Mercantile"/>
    <d v="2018-10-19T00:00:00"/>
    <x v="1"/>
    <s v="Fall"/>
    <d v="1899-12-30T00:09:00"/>
    <m/>
    <s v="WO/OS"/>
    <s v="Foraging"/>
    <s v="NA"/>
    <n v="0"/>
    <m/>
    <n v="0"/>
    <n v="0"/>
    <x v="1"/>
    <x v="1"/>
    <s v="NA"/>
    <s v="NA"/>
    <s v="NA"/>
    <s v="NA"/>
    <s v="NA"/>
    <s v="NA"/>
    <s v="NA"/>
    <m/>
    <n v="0"/>
    <n v="0"/>
    <n v="0"/>
    <n v="0"/>
    <n v="0"/>
    <n v="9"/>
    <n v="9"/>
    <m/>
    <s v="Picinic table "/>
    <m/>
    <m/>
  </r>
  <r>
    <s v="DSCN1907"/>
    <s v="MC1019_7"/>
    <n v="7"/>
    <n v="1"/>
    <s v="Mercantile"/>
    <d v="2018-10-19T00:00:00"/>
    <x v="1"/>
    <s v="Fall"/>
    <d v="1899-12-30T00:26:00"/>
    <m/>
    <s v="BW/GS"/>
    <s v="Foraging"/>
    <s v="NA"/>
    <n v="1"/>
    <m/>
    <n v="0"/>
    <n v="0"/>
    <x v="7"/>
    <x v="14"/>
    <s v="Picinic table"/>
    <s v="NA"/>
    <s v="NA"/>
    <s v="NA"/>
    <s v="NA"/>
    <s v="NA"/>
    <s v="NA"/>
    <m/>
    <n v="0"/>
    <n v="0"/>
    <n v="0"/>
    <n v="0"/>
    <n v="0"/>
    <n v="22"/>
    <n v="22"/>
    <m/>
    <s v="Campt stove and picinic table"/>
    <m/>
    <m/>
  </r>
  <r>
    <s v="DSCN1913"/>
    <s v="MC1019_8"/>
    <n v="8"/>
    <n v="1"/>
    <s v="Mercantile"/>
    <d v="2018-10-19T00:00:00"/>
    <x v="1"/>
    <s v="Fall"/>
    <d v="1899-12-30T00:20:00"/>
    <m/>
    <s v="BW/GS"/>
    <s v="Foraging"/>
    <s v="Spruce"/>
    <n v="0"/>
    <m/>
    <n v="0"/>
    <m/>
    <x v="1"/>
    <x v="1"/>
    <s v="NA"/>
    <s v="NA"/>
    <s v="NA"/>
    <s v="NA"/>
    <s v="NA"/>
    <s v="NA"/>
    <s v="NA"/>
    <m/>
    <n v="5"/>
    <n v="9"/>
    <n v="5"/>
    <n v="9"/>
    <n v="0"/>
    <n v="0"/>
    <n v="14"/>
    <s v="searching"/>
    <m/>
    <m/>
    <m/>
  </r>
  <r>
    <s v="DSCN1918"/>
    <s v="MC1019_9"/>
    <n v="9"/>
    <n v="1"/>
    <s v="Mercantile"/>
    <d v="2018-10-19T00:00:00"/>
    <x v="1"/>
    <s v="Fall"/>
    <d v="1899-12-30T00:54:00"/>
    <m/>
    <s v="BW/GS"/>
    <s v="Foraging"/>
    <s v="Aspen and spruce"/>
    <n v="1"/>
    <m/>
    <n v="0"/>
    <m/>
    <x v="4"/>
    <x v="23"/>
    <s v="Curled up aspen leaf"/>
    <s v="NA"/>
    <s v="NA"/>
    <s v="NA"/>
    <s v="NA"/>
    <s v="NA"/>
    <s v="NA"/>
    <m/>
    <n v="10"/>
    <n v="0"/>
    <n v="0"/>
    <n v="10"/>
    <n v="0"/>
    <n v="0"/>
    <n v="10"/>
    <m/>
    <m/>
    <m/>
    <m/>
  </r>
  <r>
    <s v="DSCN1919"/>
    <s v="MC1019_10"/>
    <n v="10"/>
    <n v="1"/>
    <s v="Mercantile"/>
    <d v="2018-10-19T00:00:00"/>
    <x v="1"/>
    <s v="Fall"/>
    <d v="1899-12-30T00:19:00"/>
    <m/>
    <s v="BW/GS"/>
    <s v="Foraging"/>
    <s v="Aspen and spruce"/>
    <s v="unknown"/>
    <m/>
    <s v="unknown"/>
    <m/>
    <x v="2"/>
    <x v="2"/>
    <s v="NA"/>
    <s v="NA"/>
    <m/>
    <m/>
    <m/>
    <s v="NA"/>
    <s v="NA"/>
    <m/>
    <n v="19"/>
    <n v="0"/>
    <n v="13"/>
    <n v="6"/>
    <n v="0"/>
    <n v="0"/>
    <n v="19"/>
    <m/>
    <m/>
    <m/>
    <m/>
  </r>
  <r>
    <s v="DSCN1920"/>
    <s v="MC1019_11"/>
    <n v="11"/>
    <n v="1"/>
    <s v="Mercantile"/>
    <d v="2018-10-19T00:00:00"/>
    <x v="1"/>
    <s v="Fall"/>
    <d v="1899-12-30T00:57:00"/>
    <m/>
    <s v="BW/GS"/>
    <s v="Foraging"/>
    <s v="Aspen"/>
    <n v="2"/>
    <m/>
    <n v="0"/>
    <m/>
    <x v="2"/>
    <x v="2"/>
    <s v="Under aspen bark"/>
    <s v="NA"/>
    <s v="NA"/>
    <s v="NA"/>
    <s v="NA"/>
    <s v="NA"/>
    <s v="NA"/>
    <m/>
    <n v="40"/>
    <n v="0"/>
    <n v="36"/>
    <n v="4"/>
    <n v="0"/>
    <n v="0"/>
    <n v="40"/>
    <s v="Probing"/>
    <m/>
    <n v="4"/>
    <n v="0"/>
  </r>
  <r>
    <s v="DSCN1922"/>
    <s v="MC1019_12"/>
    <n v="12"/>
    <n v="1"/>
    <s v="Mercantile"/>
    <d v="2018-10-19T00:00:00"/>
    <x v="1"/>
    <s v="Fall"/>
    <d v="1899-12-30T00:15:00"/>
    <m/>
    <s v="WO/OS"/>
    <s v="Foraging"/>
    <s v="Spruce"/>
    <n v="0"/>
    <m/>
    <n v="0"/>
    <m/>
    <x v="1"/>
    <x v="1"/>
    <s v="NA"/>
    <s v="NA"/>
    <s v="NA"/>
    <s v="NA"/>
    <s v="NA"/>
    <s v="NA"/>
    <s v="NA"/>
    <m/>
    <n v="15"/>
    <n v="0"/>
    <n v="0"/>
    <n v="15"/>
    <n v="0"/>
    <n v="0"/>
    <n v="15"/>
    <m/>
    <m/>
    <m/>
    <m/>
  </r>
  <r>
    <s v="DSCN1925"/>
    <s v="MC1019_13"/>
    <n v="13"/>
    <n v="1"/>
    <s v="Mercantile"/>
    <d v="2018-10-19T00:00:00"/>
    <x v="1"/>
    <s v="Fall"/>
    <d v="1899-12-30T00:26:00"/>
    <m/>
    <s v="BW/GS"/>
    <s v="Foraging"/>
    <s v="Spruce, aspen"/>
    <n v="0"/>
    <m/>
    <n v="0"/>
    <m/>
    <x v="1"/>
    <x v="1"/>
    <s v="NA"/>
    <s v="NA"/>
    <s v="NA"/>
    <s v="NA"/>
    <s v="NA"/>
    <s v="NA"/>
    <s v="NA"/>
    <m/>
    <n v="5"/>
    <n v="13"/>
    <n v="0"/>
    <n v="18"/>
    <n v="0"/>
    <n v="0"/>
    <n v="18"/>
    <s v="Searching "/>
    <m/>
    <m/>
    <m/>
  </r>
  <r>
    <s v="DSCN1926"/>
    <s v="MC1019_14"/>
    <n v="14"/>
    <n v="1"/>
    <s v="Mercantile"/>
    <d v="2018-10-19T00:00:00"/>
    <x v="1"/>
    <s v="Fall"/>
    <d v="1899-12-30T00:33:00"/>
    <m/>
    <s v="BW/GS"/>
    <s v="Foraging"/>
    <s v="Aspen"/>
    <n v="0"/>
    <m/>
    <n v="0"/>
    <m/>
    <x v="1"/>
    <x v="1"/>
    <s v="NA"/>
    <s v="NA"/>
    <s v="NA"/>
    <s v="NA"/>
    <s v="NA"/>
    <s v="NA"/>
    <s v="NA"/>
    <m/>
    <n v="29"/>
    <n v="0"/>
    <n v="0"/>
    <n v="29"/>
    <n v="0"/>
    <n v="0"/>
    <n v="29"/>
    <s v="searching"/>
    <m/>
    <m/>
    <m/>
  </r>
  <r>
    <s v="DSCN1928"/>
    <s v="MC1019_15"/>
    <n v="15"/>
    <n v="1"/>
    <s v="Mercantile"/>
    <d v="2018-10-19T00:00:00"/>
    <x v="1"/>
    <s v="Fall"/>
    <d v="1899-12-30T00:42:00"/>
    <m/>
    <s v="BW/GS"/>
    <s v="Foraging"/>
    <s v="Spruce"/>
    <n v="1"/>
    <m/>
    <n v="0"/>
    <m/>
    <x v="2"/>
    <x v="2"/>
    <s v="bare aspen branch"/>
    <s v="NA"/>
    <s v="NA"/>
    <s v="NA"/>
    <s v="NA"/>
    <s v="NA"/>
    <s v="NA"/>
    <m/>
    <n v="0"/>
    <n v="20"/>
    <n v="0"/>
    <n v="20"/>
    <n v="0"/>
    <n v="0"/>
    <n v="20"/>
    <s v="searching"/>
    <m/>
    <m/>
    <m/>
  </r>
  <r>
    <s v="DSCN1930"/>
    <s v="MC1019_16"/>
    <n v="16"/>
    <n v="1"/>
    <s v="Mercantile"/>
    <d v="2018-10-19T00:00:00"/>
    <x v="1"/>
    <s v="Fall"/>
    <d v="1899-12-30T00:10:00"/>
    <m/>
    <s v="BW/GS"/>
    <s v="Foraging"/>
    <s v="NA"/>
    <n v="1"/>
    <m/>
    <n v="0"/>
    <m/>
    <x v="2"/>
    <x v="2"/>
    <s v="Ground"/>
    <s v="NA"/>
    <s v="NA"/>
    <s v="NA"/>
    <s v="NA"/>
    <s v="NA"/>
    <s v="NA"/>
    <m/>
    <n v="0"/>
    <n v="0"/>
    <n v="0"/>
    <n v="0"/>
    <n v="0"/>
    <n v="0"/>
    <n v="0"/>
    <m/>
    <s v="Starting filimg after it pcked it up "/>
    <m/>
    <m/>
  </r>
  <r>
    <s v="DSCN1931"/>
    <s v="MC1019_17"/>
    <n v="17"/>
    <n v="1"/>
    <s v="Mercantile"/>
    <d v="2018-10-19T00:00:00"/>
    <x v="1"/>
    <s v="Fall"/>
    <d v="1899-12-30T00:25:00"/>
    <m/>
    <s v="BW/GS"/>
    <s v="Foraging or caching"/>
    <s v="Spruce"/>
    <s v="unknown"/>
    <m/>
    <s v="unknown"/>
    <n v="0"/>
    <x v="2"/>
    <x v="2"/>
    <s v="NA"/>
    <s v="NA"/>
    <m/>
    <m/>
    <m/>
    <s v="NA"/>
    <s v="NA"/>
    <m/>
    <n v="15"/>
    <n v="0"/>
    <n v="10"/>
    <n v="5"/>
    <n v="0"/>
    <n v="0"/>
    <n v="15"/>
    <s v="searching"/>
    <s v="Was wither foraging or caching.  Provided foraging time just in case. "/>
    <m/>
    <m/>
  </r>
  <r>
    <s v="DSCN1932"/>
    <s v="MC1019_18"/>
    <n v="18"/>
    <n v="1"/>
    <s v="Mercantile"/>
    <d v="2018-10-19T00:00:00"/>
    <x v="1"/>
    <s v="Fall"/>
    <d v="1899-12-30T00:10:00"/>
    <m/>
    <s v="BW/GS"/>
    <s v="Foraging or caching"/>
    <s v="Spruce"/>
    <s v="unknown"/>
    <m/>
    <s v="unknown"/>
    <m/>
    <x v="2"/>
    <x v="2"/>
    <s v="NA"/>
    <s v="NA"/>
    <m/>
    <m/>
    <m/>
    <s v="NA"/>
    <s v="NA"/>
    <m/>
    <n v="10"/>
    <n v="0"/>
    <n v="10"/>
    <n v="0"/>
    <n v="0"/>
    <n v="0"/>
    <n v="10"/>
    <m/>
    <m/>
    <m/>
    <m/>
  </r>
  <r>
    <s v="DSCN1934"/>
    <s v="MC1019_19"/>
    <n v="19"/>
    <n v="1"/>
    <s v="Mercantile"/>
    <d v="2018-10-19T00:00:00"/>
    <x v="1"/>
    <s v="Fall"/>
    <d v="1899-12-30T00:16:00"/>
    <m/>
    <s v="BW/GS"/>
    <s v="Caching"/>
    <s v="Spruce"/>
    <n v="0"/>
    <m/>
    <n v="1"/>
    <m/>
    <x v="2"/>
    <x v="2"/>
    <s v="unknown"/>
    <s v="Exterior spruce tree in mistletoe"/>
    <s v="Spruce"/>
    <s v="Exterior"/>
    <s v="Under bark"/>
    <s v="unknown"/>
    <n v="63.735639999999997"/>
    <n v="148.89315999999999"/>
    <n v="0"/>
    <n v="0"/>
    <n v="0"/>
    <n v="0"/>
    <n v="0"/>
    <n v="0"/>
    <n v="0"/>
    <m/>
    <m/>
    <m/>
    <m/>
  </r>
  <r>
    <s v="DSCN1936"/>
    <s v="MC1019_20"/>
    <n v="20"/>
    <n v="1"/>
    <s v="Mercantile"/>
    <d v="2018-10-19T00:00:00"/>
    <x v="1"/>
    <s v="Fall"/>
    <d v="1899-12-30T00:58:00"/>
    <m/>
    <s v="WO/OS"/>
    <s v="Foraging"/>
    <s v="NA"/>
    <n v="1"/>
    <m/>
    <n v="0"/>
    <m/>
    <x v="4"/>
    <x v="23"/>
    <s v="Ground"/>
    <s v="NA"/>
    <s v="NA"/>
    <s v="NA"/>
    <s v="NA"/>
    <s v="NA"/>
    <s v="NA"/>
    <m/>
    <n v="0"/>
    <n v="0"/>
    <n v="0"/>
    <n v="0"/>
    <n v="15"/>
    <n v="0"/>
    <n v="15"/>
    <m/>
    <m/>
    <m/>
    <m/>
  </r>
  <r>
    <s v="DSCN1937"/>
    <s v="MC1019_21"/>
    <n v="21"/>
    <n v="1"/>
    <s v="Mercantile"/>
    <d v="2018-10-19T00:00:00"/>
    <x v="1"/>
    <s v="Fall"/>
    <d v="1899-12-30T00:54:00"/>
    <m/>
    <s v="BW/GS"/>
    <s v="Foraging"/>
    <s v="Spruce"/>
    <n v="0"/>
    <m/>
    <n v="0"/>
    <n v="0"/>
    <x v="1"/>
    <x v="1"/>
    <s v="NA"/>
    <s v="NA"/>
    <s v="NA"/>
    <s v="NA"/>
    <s v="NA"/>
    <s v="NA"/>
    <s v="NA"/>
    <m/>
    <n v="7"/>
    <n v="0"/>
    <n v="7"/>
    <n v="0"/>
    <n v="0"/>
    <n v="0"/>
    <n v="7"/>
    <s v="Probing"/>
    <s v="Had a leaf at the start of the video B&amp;Ut no telling if there was food in it or not"/>
    <n v="3"/>
    <n v="0"/>
  </r>
  <r>
    <s v="DSCN1938"/>
    <s v="MC1019_22"/>
    <n v="22"/>
    <n v="1"/>
    <s v="Mercantile"/>
    <d v="2018-10-19T00:00:00"/>
    <x v="1"/>
    <s v="Fall"/>
    <d v="1899-12-30T00:29:00"/>
    <m/>
    <s v="WO/OS"/>
    <s v="Caching"/>
    <s v="Aspen"/>
    <n v="0"/>
    <m/>
    <n v="1"/>
    <n v="0"/>
    <x v="2"/>
    <x v="2"/>
    <s v="Ground"/>
    <s v="bare aspen branch under bark"/>
    <s v="Aspen"/>
    <s v="Exterior"/>
    <s v="Under bark"/>
    <n v="1"/>
    <n v="63.736020000000003"/>
    <n v="148.89214000000001"/>
    <n v="0"/>
    <n v="0"/>
    <n v="0"/>
    <n v="0"/>
    <n v="0"/>
    <n v="0"/>
    <n v="0"/>
    <m/>
    <m/>
    <m/>
    <m/>
  </r>
  <r>
    <s v="DSCN1939"/>
    <s v="MC1019_23"/>
    <n v="23"/>
    <n v="1"/>
    <s v="Mercantile"/>
    <d v="2018-10-19T00:00:00"/>
    <x v="1"/>
    <s v="Fall"/>
    <d v="1899-12-30T00:13:00"/>
    <m/>
    <s v="BW/GS"/>
    <s v="Foraging"/>
    <s v="Spruce"/>
    <n v="0"/>
    <m/>
    <n v="0"/>
    <m/>
    <x v="1"/>
    <x v="1"/>
    <s v="NA"/>
    <s v="NA"/>
    <s v="NA"/>
    <s v="NA"/>
    <s v="NA"/>
    <s v="NA"/>
    <s v="NA"/>
    <m/>
    <n v="0"/>
    <n v="13"/>
    <n v="0"/>
    <n v="13"/>
    <n v="0"/>
    <n v="0"/>
    <n v="13"/>
    <s v="searching"/>
    <m/>
    <m/>
    <m/>
  </r>
  <r>
    <s v="DSCN1941"/>
    <s v="MC1019_24"/>
    <n v="24"/>
    <n v="1"/>
    <s v="Mercantile"/>
    <d v="2018-10-19T00:00:00"/>
    <x v="1"/>
    <s v="Fall"/>
    <d v="1899-12-30T00:20:00"/>
    <m/>
    <s v="WO/OS"/>
    <s v="Foraging"/>
    <s v="Aspen and spruce"/>
    <s v="unknown"/>
    <m/>
    <n v="0"/>
    <m/>
    <x v="1"/>
    <x v="1"/>
    <s v="NA"/>
    <s v="NA"/>
    <s v="NA"/>
    <s v="NA"/>
    <s v="NA"/>
    <s v="NA"/>
    <s v="NA"/>
    <m/>
    <n v="13"/>
    <n v="4"/>
    <n v="0"/>
    <n v="17"/>
    <n v="0"/>
    <n v="0"/>
    <n v="17"/>
    <s v="searching/Probing"/>
    <m/>
    <n v="1"/>
    <n v="0"/>
  </r>
  <r>
    <s v="DSCN1942"/>
    <s v="MC1019_25"/>
    <n v="25"/>
    <n v="1"/>
    <s v="Mercantile"/>
    <d v="2018-10-19T00:00:00"/>
    <x v="1"/>
    <s v="Fall"/>
    <d v="1899-12-30T00:16:00"/>
    <m/>
    <s v="BW/GS"/>
    <s v="Foraging"/>
    <s v="Aspen"/>
    <n v="0"/>
    <m/>
    <n v="0"/>
    <n v="0"/>
    <x v="1"/>
    <x v="1"/>
    <s v="NA"/>
    <s v="NA"/>
    <s v="NA"/>
    <s v="NA"/>
    <s v="NA"/>
    <s v="NA"/>
    <s v="NA"/>
    <m/>
    <n v="13"/>
    <n v="0"/>
    <n v="0"/>
    <n v="13"/>
    <n v="0"/>
    <n v="0"/>
    <n v="13"/>
    <s v="Probing"/>
    <m/>
    <n v="1"/>
    <n v="0"/>
  </r>
  <r>
    <s v="DSCN1944"/>
    <s v="MC1019_26"/>
    <n v="26"/>
    <n v="1"/>
    <s v="Mercantile"/>
    <d v="2018-10-19T00:00:00"/>
    <x v="1"/>
    <s v="Fall"/>
    <d v="1899-12-30T00:19:00"/>
    <m/>
    <s v="BW/GS"/>
    <s v="Foraging"/>
    <s v="Spruce"/>
    <n v="1"/>
    <m/>
    <n v="0"/>
    <m/>
    <x v="2"/>
    <x v="2"/>
    <s v="Spruce trunk)"/>
    <s v="NA"/>
    <s v="NA"/>
    <s v="NA"/>
    <s v="NA"/>
    <s v="NA"/>
    <s v="NA"/>
    <m/>
    <n v="19"/>
    <n v="0"/>
    <n v="19"/>
    <n v="0"/>
    <n v="0"/>
    <n v="0"/>
    <n v="19"/>
    <s v="Gleaning"/>
    <m/>
    <n v="0"/>
    <n v="2"/>
  </r>
  <r>
    <s v="DSCN1944"/>
    <s v="MC1019_26"/>
    <n v="26"/>
    <n v="2"/>
    <s v="Mercantile"/>
    <d v="2018-10-19T00:00:00"/>
    <x v="1"/>
    <s v="Fall"/>
    <d v="1899-12-30T00:19:00"/>
    <m/>
    <s v="BW/GS"/>
    <s v="Foraging"/>
    <s v="Spruce"/>
    <n v="1"/>
    <m/>
    <n v="0"/>
    <m/>
    <x v="4"/>
    <x v="44"/>
    <s v="Spruce trunk"/>
    <s v="NA"/>
    <s v="NA"/>
    <s v="NA"/>
    <s v="NA"/>
    <s v="NA"/>
    <s v="NA"/>
    <m/>
    <n v="0"/>
    <n v="0"/>
    <n v="0"/>
    <n v="0"/>
    <n v="0"/>
    <n v="0"/>
    <n v="0"/>
    <s v="Gleaning"/>
    <m/>
    <n v="0"/>
    <n v="2"/>
  </r>
  <r>
    <s v="DSCN1950"/>
    <s v="MC1019_27"/>
    <n v="27"/>
    <n v="1"/>
    <s v="Mercantile"/>
    <d v="2018-10-19T00:00:00"/>
    <x v="1"/>
    <s v="Fall"/>
    <d v="1899-12-30T00:22:00"/>
    <m/>
    <s v="BW/GS"/>
    <s v="Foraging"/>
    <s v="Aspen and spruce"/>
    <s v="unknown"/>
    <m/>
    <n v="0"/>
    <m/>
    <x v="1"/>
    <x v="1"/>
    <s v="NA"/>
    <s v="NA"/>
    <s v="NA"/>
    <s v="NA"/>
    <s v="NA"/>
    <s v="NA"/>
    <s v="NA"/>
    <m/>
    <n v="9"/>
    <n v="2"/>
    <n v="0"/>
    <n v="11"/>
    <n v="0"/>
    <n v="0"/>
    <n v="11"/>
    <s v="searching"/>
    <m/>
    <m/>
    <m/>
  </r>
  <r>
    <s v="DSCN1954"/>
    <s v="MC1019_28"/>
    <n v="28"/>
    <n v="1"/>
    <s v="Mercantile"/>
    <d v="2018-10-19T00:00:00"/>
    <x v="1"/>
    <s v="Fall"/>
    <d v="1899-12-30T00:14:00"/>
    <m/>
    <s v="BW/GS"/>
    <s v="Foraging"/>
    <s v="NA"/>
    <n v="1"/>
    <m/>
    <n v="0"/>
    <m/>
    <x v="2"/>
    <x v="2"/>
    <s v="Ground"/>
    <s v="NA"/>
    <s v="NA"/>
    <s v="NA"/>
    <s v="NA"/>
    <s v="NA"/>
    <s v="NA"/>
    <m/>
    <n v="0"/>
    <n v="0"/>
    <n v="0"/>
    <n v="0"/>
    <n v="8"/>
    <n v="0"/>
    <n v="8"/>
    <m/>
    <m/>
    <m/>
    <m/>
  </r>
  <r>
    <s v="DSCN1958"/>
    <s v="M2371022_1"/>
    <n v="1"/>
    <n v="1"/>
    <s v="Mile 237"/>
    <d v="2018-10-22T00:00:00"/>
    <x v="1"/>
    <s v="Fall"/>
    <d v="1899-12-30T00:31:00"/>
    <m/>
    <s v="YP/RS"/>
    <s v="Foraging"/>
    <s v="NA"/>
    <n v="1"/>
    <s v="4 individual pecks"/>
    <n v="0"/>
    <m/>
    <x v="2"/>
    <x v="2"/>
    <s v="Ground (parking lot)"/>
    <s v="NA"/>
    <s v="NA"/>
    <s v="NA"/>
    <s v="NA"/>
    <s v="NA"/>
    <s v="NA"/>
    <m/>
    <n v="0"/>
    <n v="0"/>
    <n v="0"/>
    <n v="0"/>
    <n v="31"/>
    <n v="0"/>
    <n v="31"/>
    <s v="Picking"/>
    <m/>
    <m/>
    <m/>
  </r>
  <r>
    <s v="DSCN1959"/>
    <s v="M2371022_2"/>
    <n v="2"/>
    <n v="1"/>
    <s v="Mile 237"/>
    <d v="2018-10-22T00:00:00"/>
    <x v="1"/>
    <s v="Fall"/>
    <d v="1899-12-30T00:24:00"/>
    <m/>
    <s v="YP/RS"/>
    <s v="Foraging"/>
    <s v="NA"/>
    <n v="1"/>
    <m/>
    <n v="0"/>
    <m/>
    <x v="2"/>
    <x v="2"/>
    <s v="Ground (parking lot)"/>
    <s v="NA"/>
    <s v="NA"/>
    <s v="NA"/>
    <s v="NA"/>
    <s v="NA"/>
    <s v="NA"/>
    <m/>
    <n v="0"/>
    <n v="0"/>
    <n v="0"/>
    <n v="0"/>
    <n v="23"/>
    <n v="0"/>
    <n v="23"/>
    <s v="Picking"/>
    <m/>
    <m/>
    <m/>
  </r>
  <r>
    <s v="DSCN1960"/>
    <s v="M2371022_3"/>
    <n v="3"/>
    <n v="1"/>
    <s v="Mile 237"/>
    <d v="2018-10-22T00:00:00"/>
    <x v="1"/>
    <s v="Fall"/>
    <d v="1899-12-30T00:44:00"/>
    <m/>
    <s v="YP/RS"/>
    <s v="Foraging"/>
    <s v="NA"/>
    <n v="1"/>
    <s v="10 pecks"/>
    <n v="0"/>
    <m/>
    <x v="2"/>
    <x v="2"/>
    <s v="Ground (parking lot)"/>
    <s v="NA"/>
    <s v="NA"/>
    <s v="NA"/>
    <s v="NA"/>
    <s v="NA"/>
    <s v="NA"/>
    <m/>
    <n v="0"/>
    <n v="0"/>
    <n v="0"/>
    <n v="0"/>
    <n v="42"/>
    <n v="0"/>
    <n v="42"/>
    <s v="Picking"/>
    <m/>
    <m/>
    <m/>
  </r>
  <r>
    <s v="DSCN1963"/>
    <s v="M2371022_4"/>
    <n v="4"/>
    <n v="1"/>
    <s v="Mile 237"/>
    <d v="2018-10-22T00:00:00"/>
    <x v="1"/>
    <s v="Fall"/>
    <d v="1899-12-30T00:08:00"/>
    <m/>
    <s v="YP/RS"/>
    <s v="Foraging"/>
    <s v="Spruce"/>
    <n v="1"/>
    <m/>
    <n v="0"/>
    <m/>
    <x v="2"/>
    <x v="2"/>
    <s v="Exterior dense foliage of spruce"/>
    <s v="NA"/>
    <s v="NA"/>
    <s v="NA"/>
    <s v="NA"/>
    <s v="NA"/>
    <s v="NA"/>
    <m/>
    <n v="0"/>
    <n v="0"/>
    <n v="0"/>
    <n v="0"/>
    <n v="0"/>
    <n v="0"/>
    <n v="0"/>
    <m/>
    <s v="Just immediately fishes it out. "/>
    <m/>
    <m/>
  </r>
  <r>
    <s v="DSCN1964"/>
    <s v="M2371022_5"/>
    <n v="5"/>
    <n v="1"/>
    <s v="Mile 237"/>
    <d v="2018-10-22T00:00:00"/>
    <x v="1"/>
    <s v="Fall"/>
    <d v="1899-12-30T00:20:00"/>
    <m/>
    <s v="YP/RS"/>
    <s v="Caching"/>
    <s v="Spruce"/>
    <n v="0"/>
    <m/>
    <n v="1"/>
    <m/>
    <x v="2"/>
    <x v="2"/>
    <s v="unknown"/>
    <s v="Exterior spruce foliage"/>
    <s v="Spruce"/>
    <s v="Exterior"/>
    <s v="Foliage"/>
    <s v="unknown"/>
    <n v="63.72383"/>
    <n v="148.88605999999999"/>
    <n v="0"/>
    <n v="0"/>
    <n v="0"/>
    <n v="0"/>
    <n v="0"/>
    <n v="0"/>
    <n v="0"/>
    <m/>
    <m/>
    <m/>
    <m/>
  </r>
  <r>
    <s v="DSCN1966"/>
    <s v="M2371022_6"/>
    <n v="6"/>
    <n v="1"/>
    <s v="Mile 237"/>
    <d v="2018-10-22T00:00:00"/>
    <x v="1"/>
    <s v="Fall"/>
    <d v="1899-12-30T00:34:00"/>
    <m/>
    <s v="YP/RS"/>
    <s v="Foraging"/>
    <s v="Spruce, aspen"/>
    <n v="1"/>
    <m/>
    <n v="0"/>
    <m/>
    <x v="2"/>
    <x v="2"/>
    <s v="Exterior dense foliage of spruce"/>
    <s v="NA"/>
    <s v="NA"/>
    <s v="NA"/>
    <s v="NA"/>
    <s v="NA"/>
    <s v="NA"/>
    <m/>
    <n v="4"/>
    <n v="0"/>
    <n v="0"/>
    <n v="4"/>
    <n v="0"/>
    <n v="0"/>
    <n v="4"/>
    <m/>
    <s v="Got food from spruce then disapeared then foraged in aspen tree. "/>
    <m/>
    <m/>
  </r>
  <r>
    <s v="DSCN1971"/>
    <s v="M2371022_7"/>
    <n v="7"/>
    <n v="1"/>
    <s v="Mile 237"/>
    <d v="2018-10-22T00:00:00"/>
    <x v="1"/>
    <s v="Fall"/>
    <d v="1899-12-30T00:16:00"/>
    <m/>
    <s v="YP/RS"/>
    <s v="Caching"/>
    <s v="Spruce"/>
    <n v="0"/>
    <m/>
    <n v="1"/>
    <m/>
    <x v="2"/>
    <x v="2"/>
    <s v="unknown"/>
    <s v="Spruce trunk behind foliage"/>
    <s v="Spruce"/>
    <s v="Trunk"/>
    <s v="Behind foliage "/>
    <s v="unknown"/>
    <n v="63.723610000000001"/>
    <n v="148.88697999999999"/>
    <n v="0"/>
    <n v="0"/>
    <n v="0"/>
    <n v="0"/>
    <n v="0"/>
    <n v="0"/>
    <n v="0"/>
    <m/>
    <s v="Really blurry. Possible cace B&amp;Ut unconfirmed by video."/>
    <m/>
    <m/>
  </r>
  <r>
    <s v="DSCN1973"/>
    <s v="M2371022_8"/>
    <n v="8"/>
    <n v="1"/>
    <s v="Mile 237"/>
    <d v="2018-10-22T00:00:00"/>
    <x v="1"/>
    <s v="Fall"/>
    <d v="1899-12-30T00:18:00"/>
    <m/>
    <s v="YP/RS"/>
    <s v="Foraging"/>
    <s v="Spruce"/>
    <n v="1"/>
    <m/>
    <n v="0"/>
    <m/>
    <x v="2"/>
    <x v="2"/>
    <s v="Exterior dense foliage of spruce"/>
    <s v="NA"/>
    <s v="NA"/>
    <s v="NA"/>
    <s v="NA"/>
    <s v="NA"/>
    <s v="NA"/>
    <m/>
    <n v="0"/>
    <n v="0"/>
    <n v="0"/>
    <n v="0"/>
    <n v="0"/>
    <n v="0"/>
    <n v="0"/>
    <m/>
    <s v="Immedaitely went to spot and retrieved"/>
    <m/>
    <m/>
  </r>
  <r>
    <s v="DSCN1983"/>
    <s v="AQ1018_1"/>
    <n v="1"/>
    <n v="1"/>
    <s v="Air Quality"/>
    <d v="2018-10-18T00:00:00"/>
    <x v="1"/>
    <s v="Fall"/>
    <d v="1899-12-30T00:18:00"/>
    <s v="Overcast"/>
    <s v="Unknown"/>
    <m/>
    <s v="Spruce"/>
    <n v="0"/>
    <m/>
    <n v="1"/>
    <m/>
    <x v="3"/>
    <x v="4"/>
    <s v="unknown"/>
    <s v="Exterior spruce foliage"/>
    <s v="Spruce"/>
    <s v="Exterior"/>
    <s v="Foliage"/>
    <s v="unknown"/>
    <n v="63.723109999999998"/>
    <n v="148.96836999999999"/>
    <n v="0"/>
    <n v="0"/>
    <n v="0"/>
    <n v="0"/>
    <n v="0"/>
    <n v="0"/>
    <n v="0"/>
    <m/>
    <s v="Incidental cache find.  Discovered while looking for a different cache.  Two blueberries shoved in needles of spruce.  Sticky saliva evident, they were glued in place! "/>
    <m/>
    <m/>
  </r>
  <r>
    <s v="DSCN1997"/>
    <s v="M4R1023_1"/>
    <n v="1"/>
    <n v="1"/>
    <s v="M4Roadside"/>
    <d v="2018-10-23T00:00:00"/>
    <x v="1"/>
    <s v="Fall"/>
    <d v="1899-12-30T01:15:00"/>
    <s v="Mostly cloudy"/>
    <s v="OB/YS"/>
    <s v="Foraging"/>
    <s v="Spruce"/>
    <n v="1"/>
    <m/>
    <n v="0"/>
    <m/>
    <x v="7"/>
    <x v="57"/>
    <s v="Exteriro bare spruce branch tucked under witch hair"/>
    <s v="NA"/>
    <s v="NA"/>
    <s v="NA"/>
    <s v="NA"/>
    <s v="NA"/>
    <s v="NA"/>
    <m/>
    <n v="0"/>
    <n v="0"/>
    <n v="0"/>
    <n v="0"/>
    <n v="0"/>
    <n v="0"/>
    <n v="0"/>
    <m/>
    <s v="Missed acquisition on camera"/>
    <m/>
    <m/>
  </r>
  <r>
    <s v="DSCN1998"/>
    <s v="M4R1023_2"/>
    <n v="2"/>
    <n v="1"/>
    <s v="M4Roadside"/>
    <d v="2018-10-23T00:00:00"/>
    <x v="1"/>
    <s v="Fall"/>
    <d v="1899-12-30T00:13:00"/>
    <m/>
    <s v="Unknown"/>
    <s v="Foraging"/>
    <s v="NA"/>
    <s v="unknown"/>
    <m/>
    <n v="0"/>
    <m/>
    <x v="2"/>
    <x v="2"/>
    <s v="NA"/>
    <s v="NA"/>
    <s v="NA"/>
    <s v="NA"/>
    <s v="NA"/>
    <s v="NA"/>
    <s v="NA"/>
    <m/>
    <n v="0"/>
    <n v="0"/>
    <n v="0"/>
    <n v="0"/>
    <n v="11"/>
    <n v="0"/>
    <n v="11"/>
    <m/>
    <m/>
    <m/>
    <m/>
  </r>
  <r>
    <s v="DSCN1999"/>
    <s v="M3.51023_1"/>
    <n v="1"/>
    <n v="1"/>
    <s v="Mile 3.5"/>
    <d v="2018-10-23T00:00:00"/>
    <x v="1"/>
    <s v="Fall"/>
    <d v="1899-12-30T00:28:00"/>
    <m/>
    <s v="WL/RS"/>
    <s v="Foraging"/>
    <s v="Spruce"/>
    <s v="unknown"/>
    <m/>
    <n v="0"/>
    <m/>
    <x v="2"/>
    <x v="2"/>
    <s v="NA"/>
    <s v="NA"/>
    <s v="NA"/>
    <s v="NA"/>
    <s v="NA"/>
    <s v="NA"/>
    <s v="NA"/>
    <m/>
    <n v="0"/>
    <n v="16"/>
    <n v="0"/>
    <n v="16"/>
    <n v="0"/>
    <n v="0"/>
    <n v="16"/>
    <s v="searching"/>
    <s v="3.5 bird B&amp;Ut with M4R birds and in territory"/>
    <m/>
    <m/>
  </r>
  <r>
    <s v="DSCN2002"/>
    <s v="M4R1023_3"/>
    <n v="3"/>
    <n v="1"/>
    <s v="M4Roadside"/>
    <d v="2018-10-23T00:00:00"/>
    <x v="1"/>
    <s v="Fall"/>
    <d v="1899-12-30T00:32:00"/>
    <m/>
    <s v="Unknown"/>
    <s v="Foraging"/>
    <s v="NA"/>
    <n v="1"/>
    <n v="2"/>
    <n v="0"/>
    <n v="0"/>
    <x v="3"/>
    <x v="4"/>
    <s v="Ground"/>
    <s v="NA"/>
    <s v="NA"/>
    <s v="NA"/>
    <s v="NA"/>
    <s v="NA"/>
    <s v="NA"/>
    <m/>
    <n v="0"/>
    <n v="0"/>
    <n v="0"/>
    <n v="0"/>
    <n v="32"/>
    <n v="0"/>
    <n v="32"/>
    <m/>
    <m/>
    <m/>
    <m/>
  </r>
  <r>
    <s v="DSCN2003"/>
    <s v="M4R1023_4"/>
    <n v="4"/>
    <n v="1"/>
    <s v="M4Roadside"/>
    <d v="2018-10-23T00:00:00"/>
    <x v="1"/>
    <s v="Fall"/>
    <d v="1899-12-30T00:07:00"/>
    <m/>
    <s v="Unknown"/>
    <s v="Foraging"/>
    <s v="NA"/>
    <n v="1"/>
    <m/>
    <n v="0"/>
    <m/>
    <x v="2"/>
    <x v="2"/>
    <s v="Ground"/>
    <s v="NA"/>
    <s v="NA"/>
    <s v="NA"/>
    <s v="NA"/>
    <s v="NA"/>
    <s v="NA"/>
    <m/>
    <n v="0"/>
    <n v="0"/>
    <n v="0"/>
    <n v="0"/>
    <n v="7"/>
    <n v="0"/>
    <n v="7"/>
    <m/>
    <s v="Possible food aqcusitions "/>
    <m/>
    <m/>
  </r>
  <r>
    <s v="DSCN2004"/>
    <s v="M4R1023_5"/>
    <n v="5"/>
    <n v="1"/>
    <s v="M4Roadside"/>
    <d v="2018-10-23T00:00:00"/>
    <x v="1"/>
    <s v="Fall"/>
    <d v="1899-12-30T00:28:00"/>
    <m/>
    <s v="Unknown"/>
    <s v="Unknown"/>
    <s v="NA"/>
    <n v="0"/>
    <m/>
    <n v="0"/>
    <m/>
    <x v="3"/>
    <x v="4"/>
    <s v="unknown"/>
    <s v="Exterior spruce foliage"/>
    <s v="NA"/>
    <s v="NA"/>
    <s v="NA"/>
    <s v="unknown"/>
    <n v="63.719949999999997"/>
    <n v="148.99030999999999"/>
    <n v="0"/>
    <n v="0"/>
    <n v="0"/>
    <n v="0"/>
    <n v="18"/>
    <n v="0"/>
    <n v="18"/>
    <m/>
    <s v="Checked tree. No cache evident, B&amp;Ut found indicental older cache of blueberries so we marked anyway.  "/>
    <m/>
    <m/>
  </r>
  <r>
    <s v="DSCN2008"/>
    <s v="M3.51023_2"/>
    <n v="2"/>
    <n v="1"/>
    <s v="Mile 3.5"/>
    <d v="2018-10-23T00:00:00"/>
    <x v="1"/>
    <s v="Fall"/>
    <d v="1899-12-30T00:17:00"/>
    <m/>
    <s v="WP/OS"/>
    <s v="Foraging (Cache recovery)"/>
    <s v="Spruce"/>
    <n v="1"/>
    <m/>
    <n v="0"/>
    <m/>
    <x v="2"/>
    <x v="58"/>
    <s v="Exterior bare branch in witch hair"/>
    <s v="NA"/>
    <s v="NA"/>
    <s v="NA"/>
    <s v="NA"/>
    <s v="NA"/>
    <s v="NA"/>
    <m/>
    <n v="10"/>
    <n v="0"/>
    <n v="0"/>
    <n v="10"/>
    <n v="0"/>
    <n v="0"/>
    <n v="10"/>
    <m/>
    <m/>
    <m/>
    <m/>
  </r>
  <r>
    <s v="DSCN2010"/>
    <s v="M3.51023_3"/>
    <n v="3"/>
    <n v="1"/>
    <s v="Mile 3.5"/>
    <d v="2018-10-23T00:00:00"/>
    <x v="1"/>
    <s v="Fall"/>
    <d v="1899-12-30T00:14:00"/>
    <m/>
    <s v="WP/OS"/>
    <s v="Food handling"/>
    <s v="Spruce"/>
    <n v="1"/>
    <m/>
    <n v="0"/>
    <m/>
    <x v="2"/>
    <x v="58"/>
    <s v="unknown"/>
    <s v="NA"/>
    <s v="NA"/>
    <s v="NA"/>
    <s v="NA"/>
    <s v="NA"/>
    <s v="NA"/>
    <m/>
    <n v="0"/>
    <n v="0"/>
    <n v="0"/>
    <n v="0"/>
    <n v="0"/>
    <n v="0"/>
    <n v="0"/>
    <m/>
    <s v="Possibly new food item or food item it obtained in previous video. "/>
    <m/>
    <m/>
  </r>
  <r>
    <s v="DSCN2014"/>
    <s v="M4S1023_1"/>
    <n v="1"/>
    <n v="1"/>
    <s v="Mile 4 South"/>
    <d v="2018-10-23T00:00:00"/>
    <x v="1"/>
    <s v="Fall"/>
    <d v="1899-12-30T00:15:00"/>
    <m/>
    <s v="PW/PS"/>
    <s v="Foraging"/>
    <s v="Spruce"/>
    <s v="unknown"/>
    <m/>
    <n v="0"/>
    <m/>
    <x v="1"/>
    <x v="1"/>
    <s v="NA"/>
    <s v="NA"/>
    <s v="NA"/>
    <s v="NA"/>
    <s v="NA"/>
    <s v="NA"/>
    <s v="NA"/>
    <m/>
    <n v="0"/>
    <n v="15"/>
    <n v="0"/>
    <n v="15"/>
    <n v="0"/>
    <n v="0"/>
    <n v="15"/>
    <s v="searching"/>
    <m/>
    <m/>
    <m/>
  </r>
  <r>
    <s v="DSCN2016"/>
    <s v="MR41023_6"/>
    <n v="6"/>
    <n v="1"/>
    <s v="M4Roadside"/>
    <d v="2018-10-23T00:00:00"/>
    <x v="1"/>
    <s v="Fall"/>
    <d v="1899-12-30T00:56:00"/>
    <m/>
    <s v="Unbanded"/>
    <s v="Foraging"/>
    <s v="Spruce"/>
    <n v="1"/>
    <m/>
    <n v="0"/>
    <m/>
    <x v="2"/>
    <x v="2"/>
    <s v="Exterior dense foliage of spruce"/>
    <s v="NA"/>
    <s v="NA"/>
    <s v="NA"/>
    <s v="NA"/>
    <s v="NA"/>
    <s v="NA"/>
    <m/>
    <n v="0"/>
    <n v="17"/>
    <n v="0"/>
    <n v="17"/>
    <n v="0"/>
    <n v="0"/>
    <n v="17"/>
    <s v="searching"/>
    <m/>
    <m/>
    <m/>
  </r>
  <r>
    <s v="DSCN2017"/>
    <s v="M4R1023_7"/>
    <n v="7"/>
    <n v="1"/>
    <s v="M4Roadside"/>
    <d v="2018-10-23T00:00:00"/>
    <x v="1"/>
    <s v="Fall"/>
    <d v="1899-12-30T00:53:00"/>
    <m/>
    <s v="Unbanded"/>
    <s v="Caching"/>
    <s v="Spruce"/>
    <n v="0"/>
    <m/>
    <n v="1"/>
    <m/>
    <x v="2"/>
    <x v="2"/>
    <s v="Exterior dense foliage of spruce"/>
    <s v="Top of spruce tree in foliage "/>
    <s v="Spruce"/>
    <s v="Interior"/>
    <s v="Foliage"/>
    <n v="10"/>
    <n v="63.720440000000004"/>
    <n v="148.98979"/>
    <n v="0"/>
    <n v="0"/>
    <n v="0"/>
    <n v="0"/>
    <n v="0"/>
    <n v="0"/>
    <n v="0"/>
    <m/>
    <s v="Caching event suspected B&amp;Ut unconfirmed  Seen by JG"/>
    <m/>
    <m/>
  </r>
  <r>
    <s v="DSCN2018"/>
    <s v="M4R1023_8"/>
    <n v="8"/>
    <n v="1"/>
    <s v="M4Roadside"/>
    <d v="2018-10-23T00:00:00"/>
    <x v="1"/>
    <s v="Fall"/>
    <d v="1899-12-30T00:32:00"/>
    <m/>
    <s v="Unbanded"/>
    <s v="Foraging"/>
    <s v="NA"/>
    <n v="1"/>
    <n v="2"/>
    <n v="0"/>
    <m/>
    <x v="3"/>
    <x v="4"/>
    <s v="Ground"/>
    <s v="NA"/>
    <s v="NA"/>
    <s v="NA"/>
    <s v="NA"/>
    <s v="NA"/>
    <s v="NA"/>
    <m/>
    <n v="0"/>
    <n v="0"/>
    <n v="0"/>
    <n v="0"/>
    <n v="6"/>
    <n v="0"/>
    <n v="6"/>
    <m/>
    <m/>
    <m/>
    <m/>
  </r>
  <r>
    <s v="DSCN2019"/>
    <s v="M4R1023_9"/>
    <n v="9"/>
    <n v="1"/>
    <s v="M4Roadside"/>
    <d v="2018-10-23T00:00:00"/>
    <x v="1"/>
    <s v="Fall"/>
    <d v="1899-12-30T00:06:00"/>
    <m/>
    <s v="Unbanded"/>
    <s v="Foraging"/>
    <s v="NA"/>
    <n v="1"/>
    <m/>
    <n v="0"/>
    <m/>
    <x v="2"/>
    <x v="2"/>
    <s v="Ground"/>
    <s v="NA"/>
    <s v="NA"/>
    <s v="NA"/>
    <s v="NA"/>
    <s v="NA"/>
    <s v="NA"/>
    <m/>
    <n v="0"/>
    <n v="0"/>
    <n v="0"/>
    <n v="0"/>
    <n v="0"/>
    <n v="0"/>
    <n v="0"/>
    <m/>
    <s v="Foraging not captured on video"/>
    <m/>
    <m/>
  </r>
  <r>
    <s v="DSCN2021"/>
    <s v="M4R1023_10"/>
    <n v="10"/>
    <n v="1"/>
    <s v="M4Roadside"/>
    <d v="2018-10-23T00:00:00"/>
    <x v="1"/>
    <s v="Fall"/>
    <d v="1899-12-30T00:33:00"/>
    <m/>
    <s v="Unknown"/>
    <s v="Foraging"/>
    <s v="NA"/>
    <n v="2"/>
    <s v="2 in one 3, in second"/>
    <n v="0"/>
    <m/>
    <x v="3"/>
    <x v="12"/>
    <s v="Ground"/>
    <s v="NA"/>
    <s v="NA"/>
    <s v="NA"/>
    <s v="NA"/>
    <s v="NA"/>
    <s v="NA"/>
    <m/>
    <n v="0"/>
    <n v="0"/>
    <n v="0"/>
    <n v="0"/>
    <n v="13"/>
    <n v="0"/>
    <n v="13"/>
    <m/>
    <s v="Did not see cache in tree so did not mark. "/>
    <m/>
    <m/>
  </r>
  <r>
    <s v="DSCN2023"/>
    <s v="M4R1023_11"/>
    <n v="11"/>
    <n v="1"/>
    <s v="M4Roadside"/>
    <d v="2018-10-23T00:00:00"/>
    <x v="1"/>
    <s v="Fall"/>
    <d v="1899-12-30T00:41:00"/>
    <m/>
    <s v="Unbanded"/>
    <s v="Foraging"/>
    <s v="Spruce"/>
    <n v="1"/>
    <m/>
    <n v="0"/>
    <m/>
    <x v="2"/>
    <x v="2"/>
    <s v="Exterior dense foliage of spruce"/>
    <s v="NA"/>
    <s v="NA"/>
    <s v="NA"/>
    <s v="NA"/>
    <s v="NA"/>
    <s v="NA"/>
    <m/>
    <n v="3"/>
    <n v="2"/>
    <n v="0"/>
    <n v="5"/>
    <n v="4"/>
    <n v="0"/>
    <n v="9"/>
    <m/>
    <m/>
    <m/>
    <m/>
  </r>
  <r>
    <s v="DSCN2033"/>
    <s v="K21023_1"/>
    <n v="1"/>
    <n v="1"/>
    <s v="Kennel_2"/>
    <d v="2018-10-23T00:00:00"/>
    <x v="1"/>
    <s v="Fall"/>
    <d v="1899-12-30T00:35:00"/>
    <m/>
    <s v="PB/RS"/>
    <s v="Foraging"/>
    <s v="Spruce"/>
    <s v="unknown"/>
    <m/>
    <n v="0"/>
    <m/>
    <x v="2"/>
    <x v="2"/>
    <s v="NA"/>
    <s v="NA"/>
    <s v="NA"/>
    <s v="NA"/>
    <s v="NA"/>
    <s v="NA"/>
    <s v="NA"/>
    <m/>
    <n v="14"/>
    <n v="0"/>
    <n v="14"/>
    <n v="0"/>
    <n v="0"/>
    <n v="0"/>
    <n v="14"/>
    <s v="searching"/>
    <m/>
    <m/>
    <m/>
  </r>
  <r>
    <s v="DSCN2034"/>
    <s v="K11023_1"/>
    <n v="1"/>
    <n v="1"/>
    <s v="Kennel_1"/>
    <d v="2018-10-23T00:00:00"/>
    <x v="1"/>
    <s v="Fall"/>
    <d v="1899-12-30T00:43:00"/>
    <m/>
    <s v="PW/RS"/>
    <s v="Foraging"/>
    <s v="Spruce"/>
    <n v="2"/>
    <m/>
    <n v="0"/>
    <m/>
    <x v="2"/>
    <x v="2"/>
    <s v="Exterior bare spruce branch and spruce trunk under bark"/>
    <s v="NA"/>
    <s v="NA"/>
    <s v="NA"/>
    <s v="NA"/>
    <s v="NA"/>
    <s v="NA"/>
    <m/>
    <n v="41"/>
    <n v="0"/>
    <n v="41"/>
    <n v="0"/>
    <n v="0"/>
    <n v="0"/>
    <n v="41"/>
    <s v="Probing"/>
    <s v="Video starts after it has first acquisition, then it forages and finds another under bark"/>
    <n v="3"/>
    <n v="0"/>
  </r>
  <r>
    <s v="DSCN2036"/>
    <s v="AQ1023_1"/>
    <n v="1"/>
    <n v="1"/>
    <s v="Air Quality"/>
    <d v="2018-10-23T00:00:00"/>
    <x v="1"/>
    <s v="Fall"/>
    <d v="1899-12-30T00:27:00"/>
    <m/>
    <s v="PG/PS"/>
    <s v="Foraging"/>
    <s v="NA"/>
    <s v="unknown"/>
    <m/>
    <n v="0"/>
    <m/>
    <x v="2"/>
    <x v="2"/>
    <s v="NA"/>
    <s v="NA"/>
    <s v="NA"/>
    <s v="NA"/>
    <s v="NA"/>
    <s v="NA"/>
    <s v="NA"/>
    <m/>
    <n v="0"/>
    <n v="0"/>
    <n v="0"/>
    <n v="0"/>
    <n v="27"/>
    <n v="0"/>
    <n v="27"/>
    <m/>
    <m/>
    <m/>
    <m/>
  </r>
  <r>
    <s v="DSCN2037"/>
    <s v="AQ1023_2"/>
    <n v="2"/>
    <n v="1"/>
    <s v="Air Quality"/>
    <d v="2018-10-23T00:00:00"/>
    <x v="1"/>
    <s v="Fall"/>
    <d v="1899-12-30T00:12:00"/>
    <m/>
    <s v="PL/PS"/>
    <s v="Foraging"/>
    <s v="NA"/>
    <n v="2"/>
    <m/>
    <n v="0"/>
    <m/>
    <x v="2"/>
    <x v="2"/>
    <s v="Ground"/>
    <s v="NA"/>
    <s v="NA"/>
    <s v="NA"/>
    <s v="NA"/>
    <s v="NA"/>
    <s v="NA"/>
    <m/>
    <n v="0"/>
    <n v="0"/>
    <n v="0"/>
    <n v="0"/>
    <n v="12"/>
    <n v="0"/>
    <n v="12"/>
    <m/>
    <m/>
    <m/>
    <m/>
  </r>
  <r>
    <s v="DSCN2039"/>
    <s v="AQ1023_3"/>
    <n v="3"/>
    <n v="1"/>
    <s v="Air Quality"/>
    <d v="2018-10-23T00:00:00"/>
    <x v="1"/>
    <s v="Fall"/>
    <d v="1899-12-30T00:27:00"/>
    <m/>
    <s v="PG/PS"/>
    <s v="Foraging"/>
    <s v="NA"/>
    <n v="0"/>
    <m/>
    <n v="0"/>
    <m/>
    <x v="1"/>
    <x v="1"/>
    <s v="NA"/>
    <s v="NA"/>
    <s v="NA"/>
    <s v="NA"/>
    <s v="NA"/>
    <s v="NA"/>
    <s v="NA"/>
    <m/>
    <n v="0"/>
    <n v="0"/>
    <n v="0"/>
    <n v="0"/>
    <n v="27"/>
    <n v="0"/>
    <n v="27"/>
    <m/>
    <s v="Looking at ground from low branch"/>
    <m/>
    <m/>
  </r>
  <r>
    <s v="DSCN2041"/>
    <s v="RC1024_26"/>
    <n v="26"/>
    <n v="1"/>
    <s v="CCAMP"/>
    <d v="2018-10-24T00:00:00"/>
    <x v="1"/>
    <s v="Fall"/>
    <d v="1899-12-30T00:20:00"/>
    <m/>
    <s v="GL/RS"/>
    <s v="Caching"/>
    <s v="Spruce"/>
    <n v="0"/>
    <m/>
    <n v="1"/>
    <m/>
    <x v="2"/>
    <x v="2"/>
    <s v="Top of spruce in witch broom"/>
    <s v="Spruce trunk"/>
    <s v="Spruce"/>
    <s v="Trunk"/>
    <s v="Under bark"/>
    <n v="10"/>
    <n v="63.722700000000003"/>
    <n v="148.95214999999999"/>
    <n v="0"/>
    <n v="0"/>
    <n v="0"/>
    <n v="0"/>
    <n v="0"/>
    <n v="0"/>
    <n v="0"/>
    <m/>
    <m/>
    <m/>
    <m/>
  </r>
  <r>
    <s v="DSCN2042"/>
    <s v="AQ1023_4"/>
    <n v="4"/>
    <n v="1"/>
    <s v="Air Quality"/>
    <d v="2018-10-23T00:00:00"/>
    <x v="1"/>
    <s v="Fall"/>
    <d v="1899-12-30T00:17:00"/>
    <m/>
    <s v="PG/PS"/>
    <s v="Foraging"/>
    <s v="NA"/>
    <n v="0"/>
    <m/>
    <n v="0"/>
    <m/>
    <x v="1"/>
    <x v="1"/>
    <s v="NA"/>
    <s v="NA"/>
    <s v="NA"/>
    <s v="NA"/>
    <s v="NA"/>
    <s v="NA"/>
    <s v="NA"/>
    <m/>
    <n v="0"/>
    <n v="0"/>
    <n v="0"/>
    <n v="0"/>
    <n v="16"/>
    <n v="0"/>
    <n v="16"/>
    <m/>
    <s v="Looking at ground from low branch"/>
    <m/>
    <m/>
  </r>
  <r>
    <s v="DSCN2043"/>
    <s v="AQ1023_5"/>
    <n v="5"/>
    <n v="1"/>
    <s v="Air Quality"/>
    <d v="2018-10-23T00:00:00"/>
    <x v="1"/>
    <s v="Fall"/>
    <d v="1899-12-30T00:11:00"/>
    <m/>
    <s v="PL/PS"/>
    <s v="Foraging"/>
    <s v="NA"/>
    <n v="1"/>
    <m/>
    <n v="0"/>
    <m/>
    <x v="2"/>
    <x v="2"/>
    <s v="Ground"/>
    <s v="NA"/>
    <s v="NA"/>
    <s v="NA"/>
    <s v="NA"/>
    <s v="NA"/>
    <s v="NA"/>
    <m/>
    <n v="0"/>
    <n v="0"/>
    <n v="0"/>
    <n v="0"/>
    <n v="9"/>
    <n v="0"/>
    <n v="9"/>
    <m/>
    <s v="Band combo determined in field"/>
    <m/>
    <m/>
  </r>
  <r>
    <s v="DSCN2045"/>
    <s v="AQ1023_6"/>
    <n v="6"/>
    <n v="1"/>
    <s v="Air Quality"/>
    <d v="2018-10-23T00:00:00"/>
    <x v="1"/>
    <s v="Fall"/>
    <d v="1899-12-30T00:10:00"/>
    <m/>
    <s v="PG/PS"/>
    <s v="Foraging"/>
    <s v="NA"/>
    <s v="unknown"/>
    <m/>
    <n v="0"/>
    <m/>
    <x v="1"/>
    <x v="1"/>
    <s v="NA"/>
    <s v="NA"/>
    <s v="NA"/>
    <s v="NA"/>
    <s v="NA"/>
    <s v="NA"/>
    <s v="NA"/>
    <m/>
    <n v="0"/>
    <n v="0"/>
    <n v="0"/>
    <n v="0"/>
    <n v="2"/>
    <n v="0"/>
    <n v="2"/>
    <m/>
    <m/>
    <m/>
    <m/>
  </r>
  <r>
    <s v="DSCN2048"/>
    <s v="AQ1023_7"/>
    <n v="7"/>
    <n v="1"/>
    <s v="Air Quality"/>
    <d v="2018-10-23T00:00:00"/>
    <x v="1"/>
    <s v="Fall"/>
    <d v="1899-12-30T00:43:00"/>
    <m/>
    <s v="PG/PS"/>
    <s v="Foraging"/>
    <s v="NA"/>
    <n v="1"/>
    <m/>
    <n v="0"/>
    <m/>
    <x v="4"/>
    <x v="44"/>
    <s v="Ground"/>
    <s v="NA"/>
    <s v="NA"/>
    <s v="NA"/>
    <s v="NA"/>
    <s v="NA"/>
    <s v="NA"/>
    <m/>
    <n v="0"/>
    <n v="0"/>
    <n v="0"/>
    <n v="0"/>
    <n v="23"/>
    <n v="0"/>
    <n v="23"/>
    <m/>
    <s v="Looking at ground from low branch.  Eventually went to ground and picked up something it had to beat against tree.  Took that as indication of insect.  "/>
    <m/>
    <m/>
  </r>
  <r>
    <s v="DSCN2058"/>
    <s v="MC1024_1"/>
    <n v="1"/>
    <n v="1"/>
    <s v="Mercantile"/>
    <d v="2018-10-24T00:00:00"/>
    <x v="1"/>
    <s v="Fall"/>
    <d v="1899-12-30T00:16:00"/>
    <s v="Overcast"/>
    <s v="BW/GS"/>
    <s v="Foraging"/>
    <s v="Spruce"/>
    <n v="1"/>
    <m/>
    <n v="0"/>
    <m/>
    <x v="2"/>
    <x v="2"/>
    <s v="Exterior dense foliage of spruce"/>
    <s v="NA"/>
    <s v="NA"/>
    <s v="NA"/>
    <s v="NA"/>
    <s v="NA"/>
    <s v="NA"/>
    <m/>
    <n v="0"/>
    <n v="6"/>
    <n v="0"/>
    <n v="6"/>
    <n v="0"/>
    <n v="0"/>
    <n v="6"/>
    <s v="searching"/>
    <m/>
    <m/>
    <m/>
  </r>
  <r>
    <s v="DSCN2059"/>
    <s v="MC1024_2"/>
    <n v="2"/>
    <n v="1"/>
    <s v="Mercantile"/>
    <d v="2018-10-24T00:00:00"/>
    <x v="1"/>
    <s v="Fall"/>
    <d v="1899-12-30T00:17:00"/>
    <m/>
    <s v="BW/GS"/>
    <s v="Caching"/>
    <s v="Spruce"/>
    <n v="0"/>
    <m/>
    <n v="1"/>
    <m/>
    <x v="2"/>
    <x v="2"/>
    <s v="Exterior dense foliage of spruce"/>
    <s v="Exterior spruce foliage"/>
    <s v="Spruce"/>
    <s v="Exterior"/>
    <s v="Foliage"/>
    <n v="5"/>
    <n v="63.736159999999998"/>
    <n v="148.89746"/>
    <n v="0"/>
    <n v="0"/>
    <n v="0"/>
    <n v="0"/>
    <n v="0"/>
    <n v="0"/>
    <n v="0"/>
    <m/>
    <m/>
    <m/>
    <m/>
  </r>
  <r>
    <s v="DSCN2063"/>
    <s v="HS1024_1"/>
    <n v="1"/>
    <n v="1"/>
    <s v="Horse shoe"/>
    <d v="2018-10-24T00:00:00"/>
    <x v="1"/>
    <s v="Fall"/>
    <d v="1899-12-30T00:17:00"/>
    <m/>
    <s v="GL/PS"/>
    <s v="Food handling"/>
    <s v="Spruce"/>
    <n v="1"/>
    <m/>
    <n v="0"/>
    <m/>
    <x v="6"/>
    <x v="17"/>
    <s v="unknown"/>
    <s v="NA"/>
    <s v="NA"/>
    <s v="NA"/>
    <s v="NA"/>
    <s v="NA"/>
    <s v="NA"/>
    <m/>
    <n v="0"/>
    <n v="0"/>
    <n v="0"/>
    <n v="0"/>
    <n v="0"/>
    <n v="0"/>
    <n v="0"/>
    <m/>
    <m/>
    <m/>
    <m/>
  </r>
  <r>
    <s v="DSCN2064"/>
    <s v="HS1024_2"/>
    <n v="2"/>
    <n v="1"/>
    <s v="Horse shoe"/>
    <d v="2018-10-24T00:00:00"/>
    <x v="1"/>
    <s v="Fall"/>
    <d v="1899-12-30T00:25:00"/>
    <m/>
    <s v="GL/PS"/>
    <s v="Food handling"/>
    <s v="Spruce"/>
    <n v="0"/>
    <m/>
    <n v="0"/>
    <m/>
    <x v="6"/>
    <x v="17"/>
    <s v="unknown"/>
    <s v="NA"/>
    <s v="NA"/>
    <s v="NA"/>
    <s v="NA"/>
    <s v="NA"/>
    <s v="NA"/>
    <m/>
    <n v="0"/>
    <n v="0"/>
    <n v="0"/>
    <n v="0"/>
    <n v="0"/>
    <n v="0"/>
    <n v="0"/>
    <m/>
    <s v="Same piece in previous video "/>
    <m/>
    <m/>
  </r>
  <r>
    <s v="DSCN2065"/>
    <s v="HS1024_3"/>
    <n v="3"/>
    <n v="1"/>
    <s v="Horse shoe"/>
    <d v="2018-10-24T00:00:00"/>
    <x v="1"/>
    <s v="Fall"/>
    <d v="1899-12-30T00:07:00"/>
    <m/>
    <s v="GL/PS"/>
    <s v="Food handling"/>
    <s v="Spruce"/>
    <n v="0"/>
    <m/>
    <n v="0"/>
    <m/>
    <x v="6"/>
    <x v="17"/>
    <s v="unknown"/>
    <s v="NA"/>
    <s v="NA"/>
    <s v="NA"/>
    <s v="NA"/>
    <s v="NA"/>
    <s v="NA"/>
    <m/>
    <n v="0"/>
    <n v="0"/>
    <n v="0"/>
    <n v="0"/>
    <n v="0"/>
    <n v="0"/>
    <n v="0"/>
    <m/>
    <s v="Same piece in previous video "/>
    <m/>
    <m/>
  </r>
  <r>
    <s v="DSCN2069"/>
    <s v="HS1024_4"/>
    <n v="4"/>
    <n v="1"/>
    <s v="Horse shoe"/>
    <d v="2018-10-24T00:00:00"/>
    <x v="1"/>
    <s v="Fall"/>
    <d v="1899-12-30T00:25:00"/>
    <m/>
    <s v="GL/PS"/>
    <s v="Foraging"/>
    <s v="Spruce"/>
    <s v="unknown"/>
    <m/>
    <n v="0"/>
    <m/>
    <x v="1"/>
    <x v="1"/>
    <s v="NA"/>
    <s v="NA"/>
    <s v="NA"/>
    <s v="NA"/>
    <s v="NA"/>
    <s v="NA"/>
    <s v="NA"/>
    <m/>
    <n v="25"/>
    <n v="0"/>
    <n v="25"/>
    <n v="0"/>
    <n v="0"/>
    <n v="0"/>
    <n v="25"/>
    <s v="searching"/>
    <m/>
    <m/>
    <m/>
  </r>
  <r>
    <s v="DSCN2083"/>
    <s v="WW1024_1"/>
    <n v="1"/>
    <n v="1"/>
    <s v="WAC West"/>
    <d v="2018-10-24T00:00:00"/>
    <x v="1"/>
    <s v="Fall"/>
    <d v="1899-12-30T00:25:00"/>
    <m/>
    <s v="BP/PS"/>
    <s v="Foraging"/>
    <s v="Spruce"/>
    <n v="1"/>
    <m/>
    <n v="0"/>
    <m/>
    <x v="2"/>
    <x v="2"/>
    <s v="Interior spruce near trunk behind foliage"/>
    <s v="NA"/>
    <s v="NA"/>
    <s v="NA"/>
    <s v="NA"/>
    <s v="NA"/>
    <s v="NA"/>
    <m/>
    <n v="7"/>
    <n v="0"/>
    <n v="7"/>
    <n v="0"/>
    <n v="0"/>
    <n v="0"/>
    <n v="7"/>
    <s v="searching"/>
    <m/>
    <m/>
    <m/>
  </r>
  <r>
    <s v="DSCN2084"/>
    <s v="WW1024_2"/>
    <n v="2"/>
    <n v="1"/>
    <s v="WAC West"/>
    <d v="2018-10-24T00:00:00"/>
    <x v="1"/>
    <s v="Fall"/>
    <d v="1899-12-30T00:10:00"/>
    <m/>
    <s v="BP/PS"/>
    <s v="Foraging"/>
    <s v="Spruce"/>
    <n v="0"/>
    <m/>
    <n v="0"/>
    <m/>
    <x v="1"/>
    <x v="1"/>
    <s v="NA"/>
    <s v="NA"/>
    <s v="NA"/>
    <s v="NA"/>
    <s v="NA"/>
    <s v="NA"/>
    <s v="NA"/>
    <m/>
    <n v="0"/>
    <n v="8"/>
    <n v="0"/>
    <n v="8"/>
    <n v="0"/>
    <n v="0"/>
    <n v="8"/>
    <s v="searching"/>
    <m/>
    <m/>
    <m/>
  </r>
  <r>
    <s v="DSCN2086"/>
    <s v="HS1024_5"/>
    <n v="5"/>
    <n v="1"/>
    <s v="Horse shoe"/>
    <d v="2018-10-24T00:00:00"/>
    <x v="1"/>
    <s v="Fall"/>
    <d v="1899-12-30T00:20:00"/>
    <m/>
    <s v="GL/PS"/>
    <s v="Foraging"/>
    <s v="Spruce"/>
    <n v="0"/>
    <m/>
    <n v="0"/>
    <m/>
    <x v="1"/>
    <x v="1"/>
    <s v="NA"/>
    <s v="NA"/>
    <s v="NA"/>
    <s v="NA"/>
    <s v="NA"/>
    <s v="NA"/>
    <s v="NA"/>
    <m/>
    <n v="10"/>
    <n v="6"/>
    <n v="10"/>
    <n v="6"/>
    <n v="0"/>
    <n v="0"/>
    <n v="16"/>
    <s v="searching"/>
    <m/>
    <m/>
    <m/>
  </r>
  <r>
    <s v="DSCN2090"/>
    <s v="WW1024_3"/>
    <n v="3"/>
    <n v="1"/>
    <s v="WAC West"/>
    <d v="2018-10-24T00:00:00"/>
    <x v="1"/>
    <s v="Fall"/>
    <d v="1899-12-30T00:16:00"/>
    <m/>
    <s v="BP/PS"/>
    <s v="Foraging (Cache recovery)"/>
    <s v="Spruce"/>
    <n v="1"/>
    <m/>
    <n v="0"/>
    <m/>
    <x v="3"/>
    <x v="4"/>
    <s v="interior spruce foliage "/>
    <s v="NA"/>
    <s v="NA"/>
    <s v="NA"/>
    <s v="NA"/>
    <s v="NA"/>
    <s v="NA"/>
    <m/>
    <n v="0"/>
    <n v="0"/>
    <n v="0"/>
    <n v="0"/>
    <n v="0"/>
    <n v="0"/>
    <n v="0"/>
    <m/>
    <s v="Video start after bird finished foraging. "/>
    <m/>
    <m/>
  </r>
  <r>
    <s v="DSCN2091"/>
    <s v="WW1024_4"/>
    <n v="4"/>
    <n v="1"/>
    <s v="WAC West"/>
    <d v="2018-10-24T00:00:00"/>
    <x v="1"/>
    <s v="Fall"/>
    <d v="1899-12-30T00:30:00"/>
    <m/>
    <s v="BP/PS"/>
    <s v="Foraging"/>
    <s v="Spruce"/>
    <s v="1 possible"/>
    <m/>
    <n v="0"/>
    <m/>
    <x v="2"/>
    <x v="2"/>
    <s v="Exterior dense foliage of spruce"/>
    <s v="NA"/>
    <s v="NA"/>
    <s v="NA"/>
    <s v="NA"/>
    <s v="NA"/>
    <s v="NA"/>
    <m/>
    <n v="11"/>
    <n v="9"/>
    <n v="11"/>
    <n v="9"/>
    <n v="0"/>
    <n v="0"/>
    <n v="20"/>
    <m/>
    <s v="Didn't see forage B&amp;Ut saw bird smacking.  "/>
    <m/>
    <m/>
  </r>
  <r>
    <s v="DSCN2092"/>
    <s v="WW1024_5"/>
    <n v="5"/>
    <n v="1"/>
    <s v="WAC West"/>
    <d v="2018-10-24T00:00:00"/>
    <x v="1"/>
    <s v="Fall"/>
    <d v="1899-12-30T00:10:00"/>
    <m/>
    <s v="BP/PS"/>
    <s v="Foraging (Cache recovery)"/>
    <s v="Spruce"/>
    <n v="1"/>
    <m/>
    <n v="0"/>
    <m/>
    <x v="3"/>
    <x v="4"/>
    <s v="Spruce trunk under bark"/>
    <s v="NA"/>
    <s v="NA"/>
    <s v="NA"/>
    <s v="NA"/>
    <s v="NA"/>
    <s v="NA"/>
    <m/>
    <n v="6"/>
    <n v="2"/>
    <n v="6"/>
    <n v="2"/>
    <n v="0"/>
    <n v="0"/>
    <n v="8"/>
    <m/>
    <m/>
    <m/>
    <m/>
  </r>
  <r>
    <s v="DSCN2093"/>
    <s v="HS1024_6"/>
    <n v="6"/>
    <n v="1"/>
    <s v="Horse shoe"/>
    <d v="2018-10-24T00:00:00"/>
    <x v="1"/>
    <s v="Fall"/>
    <d v="1899-12-30T00:26:00"/>
    <m/>
    <s v="GL/PS"/>
    <s v="Foraging"/>
    <s v="Spruce"/>
    <s v="unknown"/>
    <m/>
    <n v="0"/>
    <m/>
    <x v="1"/>
    <x v="1"/>
    <s v="NA"/>
    <s v="NA"/>
    <s v="NA"/>
    <s v="NA"/>
    <s v="NA"/>
    <s v="NA"/>
    <s v="NA"/>
    <m/>
    <n v="12"/>
    <n v="0"/>
    <n v="12"/>
    <n v="0"/>
    <n v="2"/>
    <n v="0"/>
    <n v="14"/>
    <s v="searching"/>
    <m/>
    <m/>
    <m/>
  </r>
  <r>
    <s v="DSCN2096"/>
    <s v="WW1024_6"/>
    <n v="6"/>
    <n v="1"/>
    <s v="WAC West"/>
    <d v="2018-10-24T00:00:00"/>
    <x v="1"/>
    <s v="Fall"/>
    <d v="1899-12-30T00:56:00"/>
    <m/>
    <s v="BP/PS"/>
    <s v="Foraging"/>
    <s v="Spruce"/>
    <n v="1"/>
    <m/>
    <n v="0"/>
    <m/>
    <x v="2"/>
    <x v="2"/>
    <s v="Spruce trunk of sapplng"/>
    <s v="NA"/>
    <s v="NA"/>
    <s v="NA"/>
    <s v="NA"/>
    <s v="NA"/>
    <s v="NA"/>
    <m/>
    <n v="0"/>
    <n v="0"/>
    <n v="0"/>
    <n v="0"/>
    <n v="28"/>
    <n v="0"/>
    <n v="28"/>
    <m/>
    <m/>
    <m/>
    <m/>
  </r>
  <r>
    <s v="DSCN2096"/>
    <s v="WW1024_6"/>
    <n v="6"/>
    <n v="2"/>
    <s v="WAC West"/>
    <d v="2018-10-24T00:00:00"/>
    <x v="1"/>
    <s v="Fall"/>
    <d v="1899-12-30T00:56:00"/>
    <m/>
    <s v="BP/PS"/>
    <s v="Foraging"/>
    <s v="Spruce"/>
    <n v="1"/>
    <m/>
    <n v="0"/>
    <m/>
    <x v="2"/>
    <x v="2"/>
    <s v="Ground"/>
    <s v="NA"/>
    <s v="NA"/>
    <s v="NA"/>
    <s v="NA"/>
    <s v="NA"/>
    <s v="NA"/>
    <m/>
    <n v="0"/>
    <n v="0"/>
    <n v="0"/>
    <n v="0"/>
    <n v="0"/>
    <n v="0"/>
    <n v="0"/>
    <m/>
    <m/>
    <m/>
    <m/>
  </r>
  <r>
    <s v="DSCN2097"/>
    <s v="WW1024_7"/>
    <n v="7"/>
    <n v="1"/>
    <s v="WAC West"/>
    <d v="2018-10-24T00:00:00"/>
    <x v="1"/>
    <s v="Fall"/>
    <d v="1899-12-30T00:33:00"/>
    <m/>
    <s v="BP/PS"/>
    <s v="Foraging"/>
    <s v="Spruce"/>
    <n v="0"/>
    <m/>
    <n v="0"/>
    <m/>
    <x v="1"/>
    <x v="1"/>
    <s v="NA"/>
    <s v="NA"/>
    <s v="NA"/>
    <s v="NA"/>
    <s v="NA"/>
    <s v="NA"/>
    <s v="NA"/>
    <m/>
    <n v="0"/>
    <n v="33"/>
    <n v="0"/>
    <n v="33"/>
    <n v="0"/>
    <n v="0"/>
    <n v="33"/>
    <s v="searching"/>
    <m/>
    <m/>
    <m/>
  </r>
  <r>
    <s v="DSCN21"/>
    <s v="M4R1026_1"/>
    <n v="1"/>
    <n v="1"/>
    <s v="M4Roadside"/>
    <d v="2018-10-26T00:00:00"/>
    <x v="1"/>
    <s v="Fall"/>
    <d v="1899-12-30T00:26:00"/>
    <m/>
    <s v="Unknown"/>
    <s v="Caching"/>
    <s v="Spruce"/>
    <n v="0"/>
    <m/>
    <n v="1"/>
    <m/>
    <x v="3"/>
    <x v="4"/>
    <s v="unknown"/>
    <s v="Exterior spruce foliage"/>
    <s v="Spruce"/>
    <s v="Exterior"/>
    <s v="Foliage"/>
    <s v="unknown"/>
    <n v="63.719990000000003"/>
    <n v="148.98468"/>
    <n v="0"/>
    <n v="0"/>
    <n v="0"/>
    <n v="0"/>
    <n v="0"/>
    <n v="0"/>
    <n v="0"/>
    <m/>
    <s v="INCIDENTAL FIND"/>
    <m/>
    <m/>
  </r>
  <r>
    <s v="DSCN2101"/>
    <s v="RC1024_1"/>
    <n v="1"/>
    <n v="1"/>
    <s v="CCAMP"/>
    <d v="2018-10-24T00:00:00"/>
    <x v="1"/>
    <s v="Fall"/>
    <d v="1899-12-30T01:37:00"/>
    <m/>
    <s v="GB/BS"/>
    <s v="Foraging"/>
    <s v="Spruce"/>
    <s v="unknown"/>
    <m/>
    <n v="0"/>
    <m/>
    <x v="1"/>
    <x v="1"/>
    <s v="NA"/>
    <s v="NA"/>
    <s v="NA"/>
    <s v="NA"/>
    <s v="NA"/>
    <s v="NA"/>
    <s v="NA"/>
    <m/>
    <n v="20"/>
    <n v="17"/>
    <n v="20"/>
    <n v="17"/>
    <n v="0"/>
    <n v="0"/>
    <n v="37"/>
    <s v="Gleaning"/>
    <m/>
    <n v="0"/>
    <n v="1"/>
  </r>
  <r>
    <s v="DSCN2102"/>
    <s v="RC1024_2"/>
    <n v="2"/>
    <n v="1"/>
    <s v="CCAMP"/>
    <d v="2018-10-24T00:00:00"/>
    <x v="1"/>
    <s v="Fall"/>
    <d v="1899-12-30T00:11:00"/>
    <m/>
    <s v="GB/BS"/>
    <s v="Foraging"/>
    <s v="Spruce"/>
    <n v="0"/>
    <m/>
    <n v="0"/>
    <n v="0"/>
    <x v="1"/>
    <x v="1"/>
    <s v="NA"/>
    <s v="NA"/>
    <s v="NA"/>
    <s v="NA"/>
    <s v="NA"/>
    <s v="NA"/>
    <s v="NA"/>
    <m/>
    <n v="8"/>
    <n v="0"/>
    <n v="8"/>
    <n v="0"/>
    <n v="0"/>
    <n v="0"/>
    <n v="8"/>
    <s v="searching"/>
    <m/>
    <m/>
    <m/>
  </r>
  <r>
    <s v="DSCN2103"/>
    <s v="RC1024_3"/>
    <n v="3"/>
    <n v="1"/>
    <s v="CCAMP"/>
    <d v="2018-10-24T00:00:00"/>
    <x v="1"/>
    <s v="Fall"/>
    <d v="1899-12-30T00:25:00"/>
    <m/>
    <s v="GB/BS"/>
    <s v="Foraging"/>
    <s v="Spruce"/>
    <s v="unknown"/>
    <m/>
    <n v="0"/>
    <m/>
    <x v="1"/>
    <x v="1"/>
    <s v="NA"/>
    <s v="NA"/>
    <s v="NA"/>
    <s v="NA"/>
    <s v="NA"/>
    <s v="NA"/>
    <s v="NA"/>
    <m/>
    <n v="0"/>
    <n v="21"/>
    <n v="0"/>
    <n v="21"/>
    <n v="0"/>
    <n v="0"/>
    <n v="21"/>
    <s v="searching"/>
    <m/>
    <m/>
    <m/>
  </r>
  <r>
    <s v="DSCN2104"/>
    <s v="RC1024_4"/>
    <n v="4"/>
    <n v="1"/>
    <s v="CCAMP"/>
    <d v="2018-10-24T00:00:00"/>
    <x v="1"/>
    <s v="Fall"/>
    <d v="1899-12-30T00:21:00"/>
    <m/>
    <s v="GB/BS"/>
    <s v="Foraging"/>
    <s v="Spruce"/>
    <n v="0"/>
    <m/>
    <n v="0"/>
    <m/>
    <x v="1"/>
    <x v="1"/>
    <s v="NA"/>
    <s v="NA"/>
    <s v="NA"/>
    <s v="NA"/>
    <s v="NA"/>
    <s v="NA"/>
    <s v="NA"/>
    <m/>
    <n v="0"/>
    <n v="20"/>
    <n v="0"/>
    <n v="20"/>
    <n v="0"/>
    <n v="0"/>
    <n v="20"/>
    <s v="Searching "/>
    <m/>
    <m/>
    <m/>
  </r>
  <r>
    <s v="DSCN2105"/>
    <s v="RC1024_5"/>
    <n v="5"/>
    <n v="1"/>
    <s v="CCAMP"/>
    <d v="2018-10-24T00:00:00"/>
    <x v="1"/>
    <s v="Fall"/>
    <d v="1899-12-30T00:06:00"/>
    <m/>
    <s v="GL/RS"/>
    <s v="Foraging"/>
    <s v="NA"/>
    <n v="1"/>
    <m/>
    <n v="0"/>
    <m/>
    <x v="3"/>
    <x v="4"/>
    <s v="Ground"/>
    <s v="NA"/>
    <s v="NA"/>
    <s v="NA"/>
    <s v="NA"/>
    <s v="NA"/>
    <s v="NA"/>
    <m/>
    <n v="0"/>
    <n v="0"/>
    <n v="0"/>
    <n v="0"/>
    <n v="0"/>
    <n v="0"/>
    <n v="0"/>
    <m/>
    <s v="Video start after bird finished foraging.  SIMILAR COMBO TO MOM, B&amp;UT WE SAW MOM THAT DAY AND SHE HAD ALL HER BANDS "/>
    <m/>
    <m/>
  </r>
  <r>
    <s v="DSCN2106"/>
    <s v="RC1024_6"/>
    <n v="6"/>
    <n v="1"/>
    <s v="CCAMP"/>
    <d v="2018-10-24T00:00:00"/>
    <x v="1"/>
    <s v="Fall"/>
    <d v="1899-12-30T00:28:00"/>
    <m/>
    <s v="GL/RS"/>
    <s v="Caching"/>
    <s v="Spruce"/>
    <n v="0"/>
    <m/>
    <n v="1"/>
    <m/>
    <x v="3"/>
    <x v="4"/>
    <s v="Ground"/>
    <s v="Interior crown of spruce foliage"/>
    <s v="Spruce"/>
    <s v="Interior"/>
    <s v="Foliage"/>
    <n v="8"/>
    <n v="63.723059999999997"/>
    <n v="148.95411999999999"/>
    <n v="0"/>
    <n v="0"/>
    <n v="0"/>
    <n v="0"/>
    <n v="0"/>
    <n v="0"/>
    <n v="0"/>
    <m/>
    <s v="Strongly suspected cache.  Again, not LB/RS "/>
    <m/>
    <m/>
  </r>
  <r>
    <s v="DSCN2107"/>
    <s v="RC1024_7"/>
    <n v="7"/>
    <n v="1"/>
    <s v="CCAMP"/>
    <d v="2018-10-24T00:00:00"/>
    <x v="1"/>
    <s v="Fall"/>
    <d v="1899-12-30T00:10:00"/>
    <m/>
    <s v="GB/BS"/>
    <s v="Foraging"/>
    <s v="Spruce"/>
    <n v="0"/>
    <m/>
    <n v="0"/>
    <m/>
    <x v="1"/>
    <x v="1"/>
    <s v="NA"/>
    <s v="NA"/>
    <s v="NA"/>
    <s v="NA"/>
    <s v="NA"/>
    <s v="NA"/>
    <s v="NA"/>
    <m/>
    <n v="0"/>
    <n v="10"/>
    <n v="0"/>
    <n v="10"/>
    <n v="0"/>
    <n v="0"/>
    <n v="10"/>
    <s v="searching"/>
    <m/>
    <m/>
    <m/>
  </r>
  <r>
    <s v="DSCN2108"/>
    <s v="RC1024_8"/>
    <n v="8"/>
    <n v="2"/>
    <s v="CCAMP"/>
    <d v="2018-10-24T00:00:00"/>
    <x v="1"/>
    <s v="Fall"/>
    <d v="1899-12-30T02:21:00"/>
    <m/>
    <s v="GL/RS"/>
    <s v="Foraging/caching"/>
    <s v="Spruce"/>
    <n v="2"/>
    <s v="1 each"/>
    <n v="2"/>
    <s v="Same tree"/>
    <x v="3"/>
    <x v="4"/>
    <s v="Ground"/>
    <s v="Exterior spruce under witch hair"/>
    <s v="Spruce"/>
    <s v="Exterior"/>
    <s v="Branch under witch hair"/>
    <n v="5"/>
    <n v="63.723419999999997"/>
    <n v="148.95421999999999"/>
    <n v="0"/>
    <n v="0"/>
    <n v="0"/>
    <n v="0"/>
    <n v="0"/>
    <n v="0"/>
    <n v="0"/>
    <s v="Probing"/>
    <s v="Second one we were able to find and photograph in tree. Third was too high to find. Again, not seahawk's mom"/>
    <n v="3"/>
    <m/>
  </r>
  <r>
    <s v="DSCN2108"/>
    <s v="RC1024_8"/>
    <n v="8"/>
    <n v="1"/>
    <s v="CCAMP"/>
    <d v="2018-10-24T00:00:00"/>
    <x v="1"/>
    <s v="Fall"/>
    <d v="1899-12-30T02:21:00"/>
    <m/>
    <s v="GL/RS"/>
    <s v="Foraging/caching"/>
    <s v="Spruce"/>
    <n v="0"/>
    <m/>
    <n v="1"/>
    <m/>
    <x v="2"/>
    <x v="2"/>
    <s v="Unknown"/>
    <s v="Interior spruce near trunk under witch hair"/>
    <s v="Spruce"/>
    <s v="Interior"/>
    <s v="Branch under witch hair"/>
    <s v="Unknown"/>
    <n v="63.723379999999999"/>
    <n v="148.95421999999999"/>
    <n v="25"/>
    <n v="27"/>
    <n v="8"/>
    <n v="44"/>
    <n v="24"/>
    <n v="0"/>
    <n v="76"/>
    <s v="Probing"/>
    <s v="Missed foraging and caching for event 1.  "/>
    <n v="3"/>
    <m/>
  </r>
  <r>
    <s v="DSCN2111"/>
    <s v="RC1024_9"/>
    <n v="9"/>
    <n v="1"/>
    <s v="CCAMP"/>
    <d v="2018-10-24T00:00:00"/>
    <x v="1"/>
    <s v="Fall"/>
    <d v="1899-12-30T00:29:00"/>
    <m/>
    <s v="GL/RS"/>
    <s v="Foraging"/>
    <s v="Spruce"/>
    <n v="0"/>
    <m/>
    <n v="0"/>
    <m/>
    <x v="1"/>
    <x v="1"/>
    <s v="NA"/>
    <s v="NA"/>
    <s v="NA"/>
    <s v="NA"/>
    <s v="NA"/>
    <s v="NA"/>
    <s v="NA"/>
    <m/>
    <n v="0"/>
    <n v="6"/>
    <n v="0"/>
    <n v="6"/>
    <n v="0"/>
    <n v="0"/>
    <n v="6"/>
    <s v="searching"/>
    <m/>
    <m/>
    <m/>
  </r>
  <r>
    <s v="DSCN2112"/>
    <s v="RC1024_10"/>
    <n v="10"/>
    <n v="1"/>
    <s v="CCAMP"/>
    <d v="2018-10-24T00:00:00"/>
    <x v="1"/>
    <s v="Fall"/>
    <d v="1899-12-30T00:10:00"/>
    <m/>
    <s v="GL/RS"/>
    <s v="Foraging"/>
    <s v="Spruce"/>
    <n v="0"/>
    <m/>
    <n v="0"/>
    <m/>
    <x v="1"/>
    <x v="1"/>
    <s v="NA"/>
    <s v="NA"/>
    <s v="NA"/>
    <s v="NA"/>
    <s v="NA"/>
    <s v="NA"/>
    <s v="NA"/>
    <m/>
    <n v="0"/>
    <n v="8"/>
    <n v="8"/>
    <n v="0"/>
    <n v="0"/>
    <n v="0"/>
    <n v="8"/>
    <s v="searching"/>
    <m/>
    <m/>
    <m/>
  </r>
  <r>
    <s v="DSCN2113"/>
    <s v="RC1024_11"/>
    <n v="11"/>
    <n v="1"/>
    <s v="CCAMP"/>
    <d v="2018-10-24T00:00:00"/>
    <x v="1"/>
    <s v="Fall"/>
    <d v="1899-12-30T00:10:00"/>
    <m/>
    <s v="GL/RS"/>
    <s v="Foraging"/>
    <s v="Spruce"/>
    <n v="0"/>
    <m/>
    <n v="0"/>
    <m/>
    <x v="1"/>
    <x v="1"/>
    <s v="NA"/>
    <s v="NA"/>
    <s v="NA"/>
    <s v="NA"/>
    <s v="NA"/>
    <s v="NA"/>
    <s v="NA"/>
    <m/>
    <n v="8"/>
    <n v="0"/>
    <n v="8"/>
    <n v="0"/>
    <n v="0"/>
    <n v="0"/>
    <n v="8"/>
    <s v="searching"/>
    <m/>
    <m/>
    <m/>
  </r>
  <r>
    <s v="DSCN2114"/>
    <s v="RC1024_12"/>
    <n v="12"/>
    <n v="1"/>
    <s v="CCAMP"/>
    <d v="2018-10-24T00:00:00"/>
    <x v="1"/>
    <s v="Fall"/>
    <d v="1899-12-30T00:25:00"/>
    <m/>
    <s v="GL/RS"/>
    <s v="Foraging"/>
    <s v="NA"/>
    <n v="1"/>
    <n v="5"/>
    <n v="0"/>
    <m/>
    <x v="3"/>
    <x v="4"/>
    <s v="Ground"/>
    <s v="NA"/>
    <s v="NA"/>
    <s v="NA"/>
    <s v="NA"/>
    <s v="NA"/>
    <s v="NA"/>
    <m/>
    <n v="0"/>
    <n v="0"/>
    <n v="0"/>
    <n v="0"/>
    <n v="23"/>
    <n v="0"/>
    <n v="23"/>
    <m/>
    <m/>
    <m/>
    <m/>
  </r>
  <r>
    <s v="DSCN2115"/>
    <s v="RC1024_13"/>
    <n v="13"/>
    <n v="1"/>
    <s v="CCAMP"/>
    <d v="2018-10-24T00:00:00"/>
    <x v="1"/>
    <s v="Fall"/>
    <d v="1899-12-30T00:39:00"/>
    <m/>
    <s v="GL/RS"/>
    <s v="Foraging"/>
    <s v="Spruce"/>
    <s v="unknown"/>
    <m/>
    <n v="0"/>
    <m/>
    <x v="2"/>
    <x v="2"/>
    <s v="NA"/>
    <s v="NA"/>
    <s v="NA"/>
    <s v="NA"/>
    <s v="NA"/>
    <s v="NA"/>
    <s v="NA"/>
    <m/>
    <n v="37"/>
    <n v="0"/>
    <n v="0"/>
    <n v="37"/>
    <n v="0"/>
    <n v="0"/>
    <n v="37"/>
    <m/>
    <m/>
    <m/>
    <m/>
  </r>
  <r>
    <s v="DSCN2118"/>
    <s v="RC1024_14"/>
    <n v="14"/>
    <n v="1"/>
    <s v="Rock Creek"/>
    <d v="2018-10-24T00:00:00"/>
    <x v="1"/>
    <s v="Fall"/>
    <d v="1899-12-30T00:09:00"/>
    <m/>
    <s v="Unknown"/>
    <s v="Foraging"/>
    <s v="Spruce"/>
    <n v="1"/>
    <m/>
    <n v="0"/>
    <m/>
    <x v="2"/>
    <x v="2"/>
    <s v="Interior spruce"/>
    <s v="NA"/>
    <s v="NA"/>
    <s v="NA"/>
    <s v="NA"/>
    <s v="NA"/>
    <s v="NA"/>
    <m/>
    <n v="0"/>
    <n v="0"/>
    <n v="0"/>
    <n v="0"/>
    <n v="0"/>
    <n v="0"/>
    <n v="0"/>
    <m/>
    <s v="Video started after food acqusition"/>
    <m/>
    <m/>
  </r>
  <r>
    <s v="DSCN2124"/>
    <s v="RC1024_15"/>
    <n v="15"/>
    <n v="1"/>
    <s v="Rock Creek"/>
    <d v="2018-10-24T00:00:00"/>
    <x v="1"/>
    <s v="Fall"/>
    <d v="1899-12-30T00:23:00"/>
    <m/>
    <s v="Unknown"/>
    <s v="Foraging"/>
    <s v="Spruce"/>
    <n v="0"/>
    <m/>
    <n v="0"/>
    <m/>
    <x v="2"/>
    <x v="2"/>
    <s v="unknown"/>
    <s v="NA"/>
    <s v="NA"/>
    <s v="NA"/>
    <s v="NA"/>
    <s v="NA"/>
    <s v="NA"/>
    <m/>
    <n v="21"/>
    <n v="0"/>
    <n v="21"/>
    <n v="0"/>
    <n v="0"/>
    <n v="0"/>
    <n v="21"/>
    <m/>
    <s v="Video started after food acqusition, B&amp;Ut then continued to forage"/>
    <m/>
    <m/>
  </r>
  <r>
    <s v="DSCN2127"/>
    <s v="RC1024_16"/>
    <n v="16"/>
    <n v="1"/>
    <s v="CCAMP"/>
    <d v="2018-10-24T00:00:00"/>
    <x v="1"/>
    <s v="Fall"/>
    <d v="1899-12-30T01:04:00"/>
    <m/>
    <s v="GL/RS"/>
    <s v="Foraging"/>
    <s v="Aspen and spruce"/>
    <n v="1"/>
    <m/>
    <n v="0"/>
    <m/>
    <x v="2"/>
    <x v="2"/>
    <s v="Aspen branch under bark"/>
    <s v="NA"/>
    <s v="NA"/>
    <s v="NA"/>
    <s v="NA"/>
    <s v="NA"/>
    <s v="NA"/>
    <m/>
    <n v="64"/>
    <n v="0"/>
    <n v="0"/>
    <n v="64"/>
    <n v="0"/>
    <n v="0"/>
    <n v="64"/>
    <s v="Probing"/>
    <s v="Not mom! "/>
    <n v="1"/>
    <n v="0"/>
  </r>
  <r>
    <s v="DSCN2129"/>
    <s v="RC1024_17"/>
    <n v="17"/>
    <n v="1"/>
    <s v="Rock Creek"/>
    <d v="2018-10-24T00:00:00"/>
    <x v="1"/>
    <s v="Fall"/>
    <d v="1899-12-30T00:27:00"/>
    <m/>
    <s v="Unknown"/>
    <s v="Foraging"/>
    <s v="Spruce"/>
    <s v="unknown"/>
    <m/>
    <n v="0"/>
    <m/>
    <x v="1"/>
    <x v="1"/>
    <s v="NA"/>
    <s v="NA"/>
    <s v="NA"/>
    <s v="NA"/>
    <s v="NA"/>
    <s v="NA"/>
    <s v="NA"/>
    <m/>
    <n v="27"/>
    <n v="0"/>
    <n v="0"/>
    <n v="27"/>
    <n v="0"/>
    <n v="0"/>
    <n v="27"/>
    <m/>
    <m/>
    <m/>
    <m/>
  </r>
  <r>
    <s v="DSCN2130"/>
    <s v="RC1024_18"/>
    <n v="18"/>
    <n v="1"/>
    <s v="CCAMP"/>
    <d v="2018-10-24T00:00:00"/>
    <x v="1"/>
    <s v="Fall"/>
    <d v="1899-12-30T00:27:00"/>
    <m/>
    <s v="GL/RS"/>
    <s v="Foraging (cache recovery)/food handling"/>
    <s v="Spruce"/>
    <n v="1"/>
    <m/>
    <n v="0"/>
    <m/>
    <x v="6"/>
    <x v="59"/>
    <s v="Spruce branch"/>
    <s v="NA"/>
    <s v="NA"/>
    <s v="NA"/>
    <s v="NA"/>
    <s v="NA"/>
    <s v="NA"/>
    <m/>
    <n v="0"/>
    <n v="0"/>
    <n v="0"/>
    <n v="0"/>
    <n v="0"/>
    <n v="0"/>
    <n v="0"/>
    <m/>
    <m/>
    <m/>
    <m/>
  </r>
  <r>
    <s v="DSCN2131"/>
    <s v="RC1024_19"/>
    <n v="19"/>
    <n v="1"/>
    <s v="CCAMP"/>
    <d v="2018-10-24T00:00:00"/>
    <x v="1"/>
    <s v="Fall"/>
    <d v="1899-12-30T00:25:00"/>
    <m/>
    <s v="GL/RS"/>
    <s v="Food handling"/>
    <s v="Spruce"/>
    <n v="0"/>
    <m/>
    <n v="0"/>
    <m/>
    <x v="6"/>
    <x v="59"/>
    <s v="Spruce branch"/>
    <s v="NA"/>
    <s v="NA"/>
    <s v="NA"/>
    <s v="NA"/>
    <s v="NA"/>
    <s v="NA"/>
    <m/>
    <n v="0"/>
    <n v="0"/>
    <n v="0"/>
    <n v="0"/>
    <n v="0"/>
    <n v="0"/>
    <n v="0"/>
    <m/>
    <s v="Same as previous video"/>
    <m/>
    <m/>
  </r>
  <r>
    <s v="DSCN2132"/>
    <s v="RC1024_20"/>
    <n v="20"/>
    <n v="1"/>
    <s v="CCAMP"/>
    <d v="2018-10-24T00:00:00"/>
    <x v="1"/>
    <s v="Fall"/>
    <d v="1899-12-30T01:22:00"/>
    <m/>
    <s v="GL/RS"/>
    <s v="Food handling/caching"/>
    <s v="Spruce and birch"/>
    <n v="0"/>
    <m/>
    <n v="1"/>
    <m/>
    <x v="6"/>
    <x v="59"/>
    <s v="Spruce branch"/>
    <s v="Exterior spruce foliage"/>
    <s v="Spruce"/>
    <s v="Exterior"/>
    <s v="Foliage"/>
    <n v="8"/>
    <n v="63.724319999999999"/>
    <n v="148.95133999999999"/>
    <n v="0"/>
    <n v="0"/>
    <n v="0"/>
    <n v="0"/>
    <n v="0"/>
    <n v="0"/>
    <n v="0"/>
    <m/>
    <s v="Same as previous video"/>
    <m/>
    <m/>
  </r>
  <r>
    <s v="DSCN2132"/>
    <s v="RC1024_20"/>
    <n v="20"/>
    <n v="2"/>
    <s v="CCAMP"/>
    <d v="2018-10-24T00:00:00"/>
    <x v="1"/>
    <s v="Fall"/>
    <d v="1899-12-30T01:22:00"/>
    <m/>
    <s v="GL/RS"/>
    <s v="Food handling/caching"/>
    <s v="Spruce and birch"/>
    <n v="0"/>
    <m/>
    <n v="1"/>
    <m/>
    <x v="6"/>
    <x v="59"/>
    <s v="Spruce branch"/>
    <s v="Under birch bark on trunk"/>
    <s v="Birch"/>
    <s v="Trunk"/>
    <s v="Under bark"/>
    <n v="8"/>
    <n v="63.724290000000003"/>
    <n v="148.95132000000001"/>
    <n v="0"/>
    <n v="0"/>
    <n v="0"/>
    <n v="0"/>
    <n v="0"/>
    <n v="0"/>
    <n v="0"/>
    <m/>
    <s v="Same as previous video"/>
    <m/>
    <m/>
  </r>
  <r>
    <s v="DSCN2135"/>
    <s v="RC1024_21"/>
    <n v="21"/>
    <n v="1"/>
    <s v="CCAMP"/>
    <d v="2018-10-24T00:00:00"/>
    <x v="1"/>
    <s v="Fall"/>
    <d v="1899-12-30T00:18:00"/>
    <m/>
    <s v="GL/RS"/>
    <s v="Foraging"/>
    <s v="NA"/>
    <s v="unknown"/>
    <m/>
    <n v="0"/>
    <m/>
    <x v="1"/>
    <x v="1"/>
    <s v="NA"/>
    <s v="NA"/>
    <s v="NA"/>
    <s v="NA"/>
    <s v="NA"/>
    <s v="NA"/>
    <s v="NA"/>
    <m/>
    <n v="0"/>
    <n v="0"/>
    <n v="0"/>
    <n v="0"/>
    <n v="2"/>
    <n v="0"/>
    <n v="2"/>
    <m/>
    <m/>
    <m/>
    <m/>
  </r>
  <r>
    <s v="DSCN2136"/>
    <s v="RC1024_22"/>
    <n v="22"/>
    <n v="1"/>
    <s v="CCAMP"/>
    <d v="2018-10-24T00:00:00"/>
    <x v="1"/>
    <s v="Fall"/>
    <d v="1899-12-30T00:23:00"/>
    <m/>
    <s v="GL/RS"/>
    <s v="Foraging"/>
    <s v="Spruce"/>
    <n v="0"/>
    <m/>
    <n v="0"/>
    <m/>
    <x v="1"/>
    <x v="1"/>
    <s v="NA"/>
    <s v="NA"/>
    <s v="NA"/>
    <s v="NA"/>
    <s v="NA"/>
    <s v="NA"/>
    <s v="NA"/>
    <m/>
    <n v="0"/>
    <n v="21"/>
    <n v="0"/>
    <n v="21"/>
    <n v="0"/>
    <n v="0"/>
    <n v="21"/>
    <s v="searching"/>
    <m/>
    <m/>
    <m/>
  </r>
  <r>
    <s v="DSCN2137"/>
    <s v="RC1024_23"/>
    <n v="23"/>
    <n v="1"/>
    <s v="CCAMP"/>
    <d v="2018-10-24T00:00:00"/>
    <x v="1"/>
    <s v="Fall"/>
    <d v="1899-12-30T00:07:00"/>
    <m/>
    <s v="GL/RS"/>
    <s v="Foraging"/>
    <s v="Spruce"/>
    <n v="0"/>
    <m/>
    <n v="0"/>
    <m/>
    <x v="1"/>
    <x v="1"/>
    <s v="NA"/>
    <s v="NA"/>
    <s v="NA"/>
    <s v="NA"/>
    <s v="NA"/>
    <s v="NA"/>
    <s v="NA"/>
    <m/>
    <n v="6"/>
    <n v="0"/>
    <n v="6"/>
    <n v="0"/>
    <n v="0"/>
    <n v="0"/>
    <n v="6"/>
    <s v="searching"/>
    <m/>
    <m/>
    <m/>
  </r>
  <r>
    <s v="DSCN2139"/>
    <s v="RC1024_24"/>
    <n v="24"/>
    <n v="1"/>
    <s v="CCAMP"/>
    <d v="2018-10-24T00:00:00"/>
    <x v="1"/>
    <s v="Fall"/>
    <d v="1899-12-30T00:23:00"/>
    <m/>
    <s v="GL/RS"/>
    <s v="Caching"/>
    <s v="Spruce"/>
    <n v="0"/>
    <m/>
    <n v="1"/>
    <m/>
    <x v="2"/>
    <x v="2"/>
    <s v="unknown"/>
    <s v="Spruce trunk under bark"/>
    <s v="Spruce"/>
    <s v="Trunk"/>
    <s v="Under bark"/>
    <s v="unknown"/>
    <n v="63.722619999999999"/>
    <n v="148.95219"/>
    <n v="0"/>
    <n v="0"/>
    <n v="0"/>
    <n v="0"/>
    <n v="0"/>
    <n v="0"/>
    <n v="0"/>
    <m/>
    <s v="Suspected B&amp;Ut unconfirmed cache"/>
    <m/>
    <m/>
  </r>
  <r>
    <s v="DSCN2140"/>
    <s v="RC1024_25"/>
    <n v="25"/>
    <n v="1"/>
    <s v="CCAMP"/>
    <d v="2018-10-24T00:00:00"/>
    <x v="1"/>
    <s v="Fall"/>
    <d v="1899-12-30T00:05:00"/>
    <m/>
    <s v="GL/RS"/>
    <s v="Foraging"/>
    <s v="Spruce"/>
    <n v="1"/>
    <m/>
    <n v="0"/>
    <m/>
    <x v="2"/>
    <x v="2"/>
    <s v="Top of spruce in witch broom"/>
    <s v="NA"/>
    <s v="NA"/>
    <s v="NA"/>
    <s v="NA"/>
    <s v="NA"/>
    <s v="NA"/>
    <m/>
    <n v="0"/>
    <n v="0"/>
    <n v="0"/>
    <n v="0"/>
    <n v="0"/>
    <n v="0"/>
    <n v="0"/>
    <m/>
    <s v="Video start after bird finished foraging. "/>
    <m/>
    <m/>
  </r>
  <r>
    <s v="DSCN2142"/>
    <s v="RC1024_27"/>
    <n v="27"/>
    <n v="1"/>
    <s v="CCAMP"/>
    <d v="2018-10-24T00:00:00"/>
    <x v="1"/>
    <s v="Fall"/>
    <d v="1899-12-30T00:32:00"/>
    <m/>
    <s v="GL/RS"/>
    <s v="Foraging"/>
    <s v="Spruce"/>
    <s v="unknown"/>
    <m/>
    <n v="0"/>
    <m/>
    <x v="2"/>
    <x v="2"/>
    <s v="NA"/>
    <s v="NA"/>
    <s v="NA"/>
    <s v="NA"/>
    <s v="NA"/>
    <s v="NA"/>
    <s v="NA"/>
    <m/>
    <n v="7"/>
    <n v="24"/>
    <n v="14"/>
    <n v="17"/>
    <n v="0"/>
    <n v="0"/>
    <n v="31"/>
    <m/>
    <m/>
    <m/>
    <m/>
  </r>
  <r>
    <s v="DSCN2145"/>
    <s v="TC1025_1"/>
    <n v="1"/>
    <n v="1"/>
    <s v="Trial Camp"/>
    <d v="2018-10-25T00:00:00"/>
    <x v="1"/>
    <s v="Fall"/>
    <d v="1899-12-30T00:14:00"/>
    <m/>
    <s v="WL/PS"/>
    <s v="Foraging"/>
    <s v="Spruce"/>
    <n v="1"/>
    <m/>
    <n v="0"/>
    <m/>
    <x v="2"/>
    <x v="2"/>
    <s v="Exterior bare spruce branch"/>
    <s v="NA"/>
    <s v="NA"/>
    <s v="NA"/>
    <s v="NA"/>
    <s v="NA"/>
    <s v="NA"/>
    <m/>
    <n v="14"/>
    <n v="0"/>
    <n v="0"/>
    <n v="14"/>
    <n v="0"/>
    <n v="0"/>
    <n v="14"/>
    <s v="Gleaning"/>
    <m/>
    <n v="0"/>
    <n v="1"/>
  </r>
  <r>
    <s v="DSCN2152"/>
    <s v="MC1025_1"/>
    <n v="1"/>
    <n v="1"/>
    <s v="Mercantile"/>
    <d v="2018-10-25T00:00:00"/>
    <x v="1"/>
    <s v="Fall"/>
    <d v="1899-12-30T00:12:00"/>
    <m/>
    <s v="WO/OS"/>
    <s v="Foraging"/>
    <s v="Spruce"/>
    <n v="1"/>
    <m/>
    <n v="0"/>
    <m/>
    <x v="2"/>
    <x v="2"/>
    <s v="Exterior dense foliage of spruce"/>
    <m/>
    <s v="NA"/>
    <s v="NA"/>
    <s v="NA"/>
    <s v="NA"/>
    <s v="NA"/>
    <m/>
    <n v="0"/>
    <n v="10"/>
    <n v="0"/>
    <n v="10"/>
    <n v="0"/>
    <n v="0"/>
    <n v="10"/>
    <s v="Gleaning"/>
    <m/>
    <n v="0"/>
    <n v="1"/>
  </r>
  <r>
    <s v="DSCN2153"/>
    <s v="MC1025_2"/>
    <n v="2"/>
    <n v="1"/>
    <s v="Mercantile"/>
    <d v="2018-10-25T00:00:00"/>
    <x v="1"/>
    <s v="Fall"/>
    <d v="1899-12-30T00:35:00"/>
    <m/>
    <s v="WO/OS"/>
    <s v="Foraging"/>
    <s v="Spruce"/>
    <s v="unknown"/>
    <m/>
    <n v="0"/>
    <m/>
    <x v="2"/>
    <x v="2"/>
    <s v="NA"/>
    <s v="NA"/>
    <s v="NA"/>
    <s v="NA"/>
    <s v="NA"/>
    <s v="NA"/>
    <s v="NA"/>
    <m/>
    <n v="0"/>
    <n v="35"/>
    <n v="0"/>
    <n v="35"/>
    <n v="0"/>
    <n v="0"/>
    <n v="35"/>
    <m/>
    <m/>
    <m/>
    <m/>
  </r>
  <r>
    <s v="DSCN2154"/>
    <s v="MC1025_3"/>
    <n v="3"/>
    <n v="1"/>
    <s v="Mercantile"/>
    <d v="2018-10-25T00:00:00"/>
    <x v="1"/>
    <s v="Fall"/>
    <d v="1899-12-30T00:37:00"/>
    <m/>
    <s v="WO/OS"/>
    <s v="Foraging"/>
    <s v="Spruce"/>
    <s v="unknown"/>
    <m/>
    <n v="0"/>
    <m/>
    <x v="1"/>
    <x v="1"/>
    <s v="NA"/>
    <s v="NA"/>
    <s v="NA"/>
    <s v="NA"/>
    <s v="NA"/>
    <s v="NA"/>
    <s v="NA"/>
    <m/>
    <n v="0"/>
    <n v="37"/>
    <n v="11"/>
    <n v="26"/>
    <n v="0"/>
    <n v="0"/>
    <n v="37"/>
    <m/>
    <m/>
    <m/>
    <m/>
  </r>
  <r>
    <s v="DSCN2156"/>
    <s v="MC1025_4"/>
    <n v="4"/>
    <n v="1"/>
    <s v="Mercantile"/>
    <d v="2018-10-25T00:00:00"/>
    <x v="1"/>
    <s v="Fall"/>
    <d v="1899-12-30T00:38:00"/>
    <m/>
    <s v="BW/GS"/>
    <s v="Foraging"/>
    <s v="Spruce, aspen"/>
    <n v="0"/>
    <m/>
    <n v="0"/>
    <m/>
    <x v="1"/>
    <x v="1"/>
    <s v="NA"/>
    <s v="NA"/>
    <s v="NA"/>
    <s v="NA"/>
    <s v="NA"/>
    <s v="NA"/>
    <s v="NA"/>
    <m/>
    <n v="19"/>
    <n v="8"/>
    <n v="8"/>
    <n v="19"/>
    <n v="0"/>
    <n v="0"/>
    <n v="27"/>
    <s v="Probing"/>
    <m/>
    <n v="1"/>
    <n v="0"/>
  </r>
  <r>
    <s v="DSCN2157"/>
    <s v="MC1025_5"/>
    <n v="5"/>
    <n v="1"/>
    <s v="Mercantile"/>
    <d v="2018-10-25T00:00:00"/>
    <x v="1"/>
    <s v="Fall"/>
    <d v="1899-12-30T00:47:00"/>
    <m/>
    <s v="WO/OS"/>
    <s v="Caching"/>
    <s v="Aspen"/>
    <n v="0"/>
    <m/>
    <n v="1"/>
    <m/>
    <x v="2"/>
    <x v="2"/>
    <s v="unknown"/>
    <s v="Under bark of aspen branch"/>
    <s v="Aspen"/>
    <s v="Exterior"/>
    <s v="Under bark"/>
    <s v="unknown"/>
    <n v="63.73254"/>
    <n v="148.89940000000001"/>
    <n v="0"/>
    <n v="0"/>
    <n v="0"/>
    <n v="0"/>
    <n v="0"/>
    <n v="0"/>
    <n v="0"/>
    <m/>
    <s v="*Possible that female pulled food out after! B&amp;Ut didn't catch on tape to confirm. "/>
    <m/>
    <m/>
  </r>
  <r>
    <s v="DSCN2158"/>
    <s v="MC1025_6"/>
    <n v="6"/>
    <n v="1"/>
    <s v="Mercantile"/>
    <d v="2018-10-25T00:00:00"/>
    <x v="1"/>
    <s v="Fall"/>
    <d v="1899-12-30T00:16:00"/>
    <m/>
    <s v="BW/GS"/>
    <s v="Foraging"/>
    <s v="Spruce"/>
    <n v="0"/>
    <m/>
    <n v="0"/>
    <m/>
    <x v="1"/>
    <x v="1"/>
    <s v="NA"/>
    <s v="NA"/>
    <s v="NA"/>
    <s v="NA"/>
    <s v="NA"/>
    <s v="NA"/>
    <s v="NA"/>
    <m/>
    <n v="11"/>
    <n v="0"/>
    <n v="11"/>
    <n v="0"/>
    <n v="6"/>
    <n v="0"/>
    <n v="17"/>
    <m/>
    <m/>
    <m/>
    <m/>
  </r>
  <r>
    <s v="DSCN2159"/>
    <s v="MC1025_7"/>
    <n v="7"/>
    <n v="1"/>
    <s v="Mercantile"/>
    <d v="2018-10-25T00:00:00"/>
    <x v="1"/>
    <s v="Fall"/>
    <d v="1899-12-30T01:04:00"/>
    <m/>
    <s v="WO/OS"/>
    <s v="Caching/foraging"/>
    <s v="Spruce"/>
    <n v="1"/>
    <m/>
    <n v="1"/>
    <m/>
    <x v="0"/>
    <x v="60"/>
    <s v="Spruce branch"/>
    <s v="Exterior spruce foliage"/>
    <s v="Spruce"/>
    <s v="Exterior"/>
    <s v="Foliage"/>
    <n v="6"/>
    <n v="63.732669999999999"/>
    <n v="148.89955"/>
    <n v="29"/>
    <n v="0"/>
    <n v="0"/>
    <n v="29"/>
    <n v="9"/>
    <n v="0"/>
    <n v="38"/>
    <m/>
    <m/>
    <m/>
    <m/>
  </r>
  <r>
    <s v="DSCN2163"/>
    <s v="MC1025_8"/>
    <n v="8"/>
    <n v="1"/>
    <s v="Mercantile"/>
    <d v="2018-10-25T00:00:00"/>
    <x v="1"/>
    <s v="Fall"/>
    <d v="1899-12-30T00:08:00"/>
    <m/>
    <s v="BW/GS"/>
    <s v="Food handling"/>
    <s v="Spruce"/>
    <n v="1"/>
    <m/>
    <n v="0"/>
    <m/>
    <x v="2"/>
    <x v="2"/>
    <s v="unknown"/>
    <s v="NA"/>
    <s v="NA"/>
    <s v="NA"/>
    <s v="NA"/>
    <s v="NA"/>
    <s v="NA"/>
    <m/>
    <n v="0"/>
    <n v="0"/>
    <n v="0"/>
    <n v="0"/>
    <n v="0"/>
    <n v="0"/>
    <n v="0"/>
    <m/>
    <s v="Could not find cache so did not mark. "/>
    <m/>
    <m/>
  </r>
  <r>
    <s v="DSCN2166"/>
    <s v="MC1025_9"/>
    <n v="9"/>
    <n v="1"/>
    <s v="Mercantile"/>
    <d v="2018-10-25T00:00:00"/>
    <x v="1"/>
    <s v="Fall"/>
    <d v="1899-12-30T00:49:00"/>
    <m/>
    <s v="BW/GS"/>
    <s v="Foraging"/>
    <s v="Spruce"/>
    <n v="0"/>
    <m/>
    <n v="0"/>
    <m/>
    <x v="1"/>
    <x v="1"/>
    <s v="NA"/>
    <s v="NA"/>
    <s v="NA"/>
    <s v="NA"/>
    <s v="NA"/>
    <s v="NA"/>
    <s v="NA"/>
    <m/>
    <n v="8"/>
    <n v="2"/>
    <n v="2"/>
    <n v="8"/>
    <n v="0"/>
    <n v="0"/>
    <n v="10"/>
    <m/>
    <m/>
    <m/>
    <m/>
  </r>
  <r>
    <s v="DSCN2168"/>
    <s v="MC1025_10"/>
    <n v="10"/>
    <n v="1"/>
    <s v="Mercantile"/>
    <d v="2018-10-25T00:00:00"/>
    <x v="1"/>
    <s v="Fall"/>
    <d v="1899-12-30T01:35:00"/>
    <m/>
    <s v="BW/GS"/>
    <s v="Foraging"/>
    <s v="Spruce"/>
    <n v="1"/>
    <m/>
    <n v="1"/>
    <m/>
    <x v="6"/>
    <x v="13"/>
    <s v="Ground"/>
    <s v="Interior bare spruce branch "/>
    <s v="Spruce"/>
    <s v="Interior"/>
    <s v="Branch"/>
    <n v="9"/>
    <n v="63.732770000000002"/>
    <n v="148.89867000000001"/>
    <n v="0"/>
    <n v="0"/>
    <n v="0"/>
    <n v="0"/>
    <n v="0"/>
    <n v="0"/>
    <n v="0"/>
    <m/>
    <m/>
    <m/>
    <m/>
  </r>
  <r>
    <s v="DSCN2168"/>
    <s v="MC1025_10"/>
    <n v="10"/>
    <n v="2"/>
    <s v="Mercantile"/>
    <d v="2018-10-25T00:00:00"/>
    <x v="1"/>
    <s v="Fall"/>
    <d v="1899-12-30T01:35:00"/>
    <m/>
    <s v="BW/GS"/>
    <s v="Foraging"/>
    <s v="Spruce"/>
    <n v="1"/>
    <m/>
    <n v="1"/>
    <m/>
    <x v="6"/>
    <x v="13"/>
    <s v="Ground"/>
    <s v="Exterior spruce foliage"/>
    <s v="Spruce"/>
    <s v="Exterior"/>
    <s v="Foliage"/>
    <n v="9"/>
    <n v="63.732770000000002"/>
    <n v="148.89867000000001"/>
    <n v="0"/>
    <n v="0"/>
    <n v="0"/>
    <n v="0"/>
    <n v="0"/>
    <n v="0"/>
    <n v="0"/>
    <s v="Same tree as previous cache"/>
    <m/>
    <m/>
    <m/>
  </r>
  <r>
    <s v="DSCN2169"/>
    <s v="MC1025_11"/>
    <n v="11"/>
    <n v="1"/>
    <s v="Mercantile"/>
    <d v="2018-10-25T00:00:00"/>
    <x v="1"/>
    <s v="Fall"/>
    <d v="1899-12-30T00:28:00"/>
    <m/>
    <s v="BW/GS"/>
    <s v="Caching"/>
    <s v="Spruce"/>
    <n v="0"/>
    <m/>
    <n v="1"/>
    <m/>
    <x v="6"/>
    <x v="13"/>
    <s v="Ground"/>
    <s v="Exterior spruce foliage"/>
    <s v="Spruce"/>
    <s v="Exterior"/>
    <s v="Foliage"/>
    <n v="25"/>
    <n v="63.733040000000003"/>
    <n v="148.89887999999999"/>
    <n v="0"/>
    <n v="0"/>
    <n v="0"/>
    <n v="0"/>
    <n v="0"/>
    <n v="0"/>
    <n v="0"/>
    <m/>
    <s v="Same hare as before "/>
    <m/>
    <m/>
  </r>
  <r>
    <s v="DSCN2170"/>
    <s v="MC1025_12"/>
    <n v="12"/>
    <n v="1"/>
    <s v="Mercantile"/>
    <d v="2018-10-25T00:00:00"/>
    <x v="1"/>
    <s v="Fall"/>
    <d v="1899-12-30T00:50:00"/>
    <m/>
    <s v="BW/GS"/>
    <s v="Caching"/>
    <s v="Spruce"/>
    <n v="0"/>
    <m/>
    <n v="1"/>
    <m/>
    <x v="6"/>
    <x v="13"/>
    <s v="Ground"/>
    <s v="Exterior spruce foliage"/>
    <s v="Spruce"/>
    <s v="Exterior"/>
    <s v="Foliage"/>
    <n v="30"/>
    <n v="63.733040000000003"/>
    <n v="148.89893000000001"/>
    <n v="0"/>
    <n v="0"/>
    <n v="0"/>
    <n v="0"/>
    <n v="0"/>
    <n v="0"/>
    <n v="0"/>
    <m/>
    <s v="Caching from piece of hare it took earlier"/>
    <m/>
    <m/>
  </r>
  <r>
    <s v="DSCN2170"/>
    <s v="MC1025_12"/>
    <n v="12"/>
    <n v="2"/>
    <s v="Mercantile"/>
    <d v="2018-10-25T00:00:00"/>
    <x v="1"/>
    <s v="Fall"/>
    <d v="1899-12-30T00:50:00"/>
    <m/>
    <s v="BW/GS"/>
    <s v="Caching"/>
    <s v="Spruce"/>
    <n v="0"/>
    <m/>
    <n v="1"/>
    <m/>
    <x v="6"/>
    <x v="13"/>
    <s v="Ground"/>
    <s v="Exterior spruce foliage"/>
    <s v="Spruce"/>
    <s v="Exterior"/>
    <s v="Foliage"/>
    <n v="30"/>
    <n v="63.733020000000003"/>
    <n v="148.89896999999999"/>
    <n v="0"/>
    <n v="0"/>
    <n v="0"/>
    <n v="0"/>
    <n v="0"/>
    <n v="0"/>
    <n v="0"/>
    <m/>
    <s v="Caching from piece of hare it took earlier"/>
    <m/>
    <m/>
  </r>
  <r>
    <s v="DSCN2178"/>
    <s v="M2371025_1"/>
    <n v="1"/>
    <n v="1"/>
    <s v="Mile 237"/>
    <d v="2018-10-25T00:00:00"/>
    <x v="1"/>
    <s v="Fall"/>
    <d v="1899-12-30T00:59:00"/>
    <m/>
    <s v="YP/RS"/>
    <s v="Foraging"/>
    <s v="NA"/>
    <n v="3"/>
    <m/>
    <n v="0"/>
    <m/>
    <x v="2"/>
    <x v="2"/>
    <s v="Ground"/>
    <s v="NA"/>
    <s v="NA"/>
    <s v="NA"/>
    <s v="NA"/>
    <s v="NA"/>
    <s v="NA"/>
    <m/>
    <n v="0"/>
    <n v="0"/>
    <n v="0"/>
    <n v="0"/>
    <n v="59"/>
    <n v="0"/>
    <n v="59"/>
    <m/>
    <s v="Moving low through trees, picking at moss on ground "/>
    <m/>
    <m/>
  </r>
  <r>
    <s v="DSCN2179"/>
    <s v="M2371025_2"/>
    <n v="2"/>
    <n v="1"/>
    <s v="Mile 237"/>
    <d v="2018-10-25T00:00:00"/>
    <x v="1"/>
    <s v="Fall"/>
    <d v="1899-12-30T00:19:00"/>
    <m/>
    <s v="YP/RS"/>
    <s v="Foraging"/>
    <s v="NA"/>
    <s v="unknown"/>
    <m/>
    <n v="0"/>
    <m/>
    <x v="2"/>
    <x v="2"/>
    <s v="NA"/>
    <s v="NA"/>
    <s v="NA"/>
    <s v="NA"/>
    <s v="NA"/>
    <s v="NA"/>
    <s v="NA"/>
    <m/>
    <n v="0"/>
    <n v="0"/>
    <n v="0"/>
    <n v="0"/>
    <n v="19"/>
    <n v="0"/>
    <n v="19"/>
    <m/>
    <s v="Moving low through trees, picking at moss on ground "/>
    <m/>
    <m/>
  </r>
  <r>
    <s v="DSCN2180"/>
    <s v="M2371025_3"/>
    <n v="3"/>
    <n v="1"/>
    <s v="Mile 237"/>
    <d v="2018-10-25T00:00:00"/>
    <x v="1"/>
    <s v="Fall"/>
    <d v="1899-12-30T03:13:00"/>
    <m/>
    <s v="YP/RS"/>
    <s v="Foraging"/>
    <s v="NA"/>
    <n v="7"/>
    <s v="10 pecks total"/>
    <n v="0"/>
    <m/>
    <x v="2"/>
    <x v="2"/>
    <s v="Ground"/>
    <s v="NA"/>
    <s v="NA"/>
    <s v="NA"/>
    <s v="NA"/>
    <s v="NA"/>
    <s v="NA"/>
    <m/>
    <n v="0"/>
    <n v="0"/>
    <n v="0"/>
    <n v="0"/>
    <n v="193"/>
    <n v="0"/>
    <n v="193"/>
    <m/>
    <s v="Moving low through trees, picking at moss on ground "/>
    <m/>
    <m/>
  </r>
  <r>
    <s v="DSCN2182"/>
    <s v="M2371025_4"/>
    <n v="4"/>
    <n v="1"/>
    <s v="Mile 237"/>
    <d v="2018-10-25T00:00:00"/>
    <x v="1"/>
    <s v="Fall"/>
    <d v="1899-12-30T00:41:00"/>
    <m/>
    <s v="YP/RS"/>
    <s v="Foraging"/>
    <s v="NA"/>
    <n v="1"/>
    <m/>
    <n v="0"/>
    <m/>
    <x v="2"/>
    <x v="2"/>
    <s v="Ground"/>
    <s v="NA"/>
    <s v="NA"/>
    <s v="NA"/>
    <s v="NA"/>
    <s v="NA"/>
    <s v="NA"/>
    <m/>
    <n v="0"/>
    <n v="0"/>
    <n v="0"/>
    <n v="0"/>
    <n v="41"/>
    <n v="0"/>
    <n v="41"/>
    <m/>
    <s v="Moving low through trees, picking at moss on ground "/>
    <m/>
    <m/>
  </r>
  <r>
    <s v="DSCN2183"/>
    <s v="M2371025_5"/>
    <n v="5"/>
    <n v="1"/>
    <s v="Mile 237"/>
    <d v="2018-10-25T00:00:00"/>
    <x v="1"/>
    <s v="Fall"/>
    <d v="1899-12-30T00:13:00"/>
    <m/>
    <s v="YP/RS"/>
    <s v="Foraging"/>
    <s v="NA"/>
    <n v="0"/>
    <m/>
    <n v="1"/>
    <m/>
    <x v="2"/>
    <x v="2"/>
    <s v="Ground"/>
    <s v="Exterior spruce branch under bark/witch hair"/>
    <s v="Spruce"/>
    <s v="Exterior"/>
    <s v="Under bark and witch hair "/>
    <n v="5"/>
    <n v="63.723309999999998"/>
    <n v="148.88614000000001"/>
    <n v="0"/>
    <n v="0"/>
    <n v="0"/>
    <n v="0"/>
    <n v="0"/>
    <n v="0"/>
    <n v="0"/>
    <m/>
    <s v="Suspected B&amp;Ut unconfirmed cache"/>
    <m/>
    <m/>
  </r>
  <r>
    <s v="DSCN2184"/>
    <s v="M2371025_6"/>
    <n v="6"/>
    <n v="1"/>
    <s v="Mile 237"/>
    <d v="2018-10-25T00:00:00"/>
    <x v="1"/>
    <s v="Fall"/>
    <d v="1899-12-30T00:36:00"/>
    <m/>
    <s v="YP/RS"/>
    <s v="Caching"/>
    <s v="Spruce"/>
    <n v="0"/>
    <m/>
    <n v="1"/>
    <m/>
    <x v="3"/>
    <x v="61"/>
    <s v="unknown"/>
    <s v="Exterior spruce branch under bark/witch hair"/>
    <s v="Spruce"/>
    <s v="Exterior"/>
    <s v="Under bark and witch hair "/>
    <s v="unknown"/>
    <n v="63.723309999999998"/>
    <n v="148.88614000000001"/>
    <n v="0"/>
    <n v="0"/>
    <n v="0"/>
    <n v="0"/>
    <n v="0"/>
    <n v="0"/>
    <n v="0"/>
    <m/>
    <s v="INCIDENTAL FIND. SAME CACHE TREE AS PREVIOUS."/>
    <m/>
    <m/>
  </r>
  <r>
    <s v="DSCN2196"/>
    <s v="B&amp;U1029_1"/>
    <n v="1"/>
    <n v="1"/>
    <s v="B&amp;U"/>
    <d v="2018-10-29T00:00:00"/>
    <x v="1"/>
    <s v="Fall"/>
    <d v="1899-12-30T01:07:00"/>
    <s v="Clear"/>
    <s v="GR/PS"/>
    <s v="Foraging"/>
    <s v="Spruce"/>
    <s v="unknown"/>
    <m/>
    <s v="unknown"/>
    <m/>
    <x v="2"/>
    <x v="2"/>
    <s v="NA"/>
    <s v="NA"/>
    <m/>
    <m/>
    <m/>
    <s v="NA"/>
    <s v="NA"/>
    <m/>
    <n v="0"/>
    <n v="67"/>
    <n v="0"/>
    <n v="67"/>
    <n v="0"/>
    <n v="0"/>
    <n v="67"/>
    <s v="Searching "/>
    <s v="View obstructed for a lot of it"/>
    <m/>
    <m/>
  </r>
  <r>
    <s v="DSCN2199"/>
    <s v="B&amp;U1029_2"/>
    <n v="2"/>
    <n v="1"/>
    <s v="B&amp;U"/>
    <d v="2018-10-29T00:00:00"/>
    <x v="1"/>
    <s v="Fall"/>
    <d v="1899-12-30T00:50:00"/>
    <s v="Clear"/>
    <s v="GR/PS"/>
    <s v="Foraging"/>
    <s v="Spruce"/>
    <n v="1"/>
    <m/>
    <n v="0"/>
    <m/>
    <x v="2"/>
    <x v="2"/>
    <s v="Exterior dense foliage of spruce"/>
    <s v="NA"/>
    <s v="NA"/>
    <s v="NA"/>
    <s v="NA"/>
    <s v="NA"/>
    <s v="NA"/>
    <m/>
    <n v="0"/>
    <n v="24"/>
    <n v="0"/>
    <n v="24"/>
    <n v="0"/>
    <n v="0"/>
    <n v="24"/>
    <m/>
    <s v="Thought it was a cache B&amp;Ut decided it wasn't.  Just in case, the GPS is 63.72587, 148.95973"/>
    <m/>
    <m/>
  </r>
  <r>
    <s v="DSCN2202"/>
    <s v="B&amp;U1029_3"/>
    <n v="3"/>
    <n v="1"/>
    <s v="B&amp;U"/>
    <d v="2018-10-29T00:00:00"/>
    <x v="1"/>
    <s v="Fall"/>
    <d v="1899-12-30T00:35:00"/>
    <s v="Clear"/>
    <s v="WP/BS"/>
    <s v="Foraging"/>
    <s v="Spruce"/>
    <s v="unknown"/>
    <m/>
    <n v="0"/>
    <m/>
    <x v="1"/>
    <x v="1"/>
    <s v="NA"/>
    <s v="NA"/>
    <s v="NA"/>
    <s v="NA"/>
    <s v="NA"/>
    <s v="NA"/>
    <s v="NA"/>
    <m/>
    <n v="0"/>
    <n v="35"/>
    <n v="0"/>
    <n v="35"/>
    <n v="0"/>
    <n v="0"/>
    <n v="35"/>
    <m/>
    <m/>
    <m/>
    <m/>
  </r>
  <r>
    <s v="DSCN2203"/>
    <s v="B&amp;U1029_4"/>
    <n v="4"/>
    <n v="1"/>
    <s v="B&amp;U"/>
    <d v="2018-10-29T00:00:00"/>
    <x v="1"/>
    <s v="Fall"/>
    <d v="1899-12-30T00:20:00"/>
    <s v="Clear"/>
    <s v="WP/BS"/>
    <s v="Foraging"/>
    <s v="Spruce"/>
    <s v="unknown"/>
    <m/>
    <n v="0"/>
    <m/>
    <x v="1"/>
    <x v="1"/>
    <s v="NA"/>
    <s v="NA"/>
    <s v="NA"/>
    <s v="NA"/>
    <s v="NA"/>
    <s v="NA"/>
    <s v="NA"/>
    <m/>
    <n v="0"/>
    <n v="20"/>
    <n v="0"/>
    <n v="20"/>
    <n v="0"/>
    <n v="0"/>
    <n v="20"/>
    <m/>
    <m/>
    <m/>
    <m/>
  </r>
  <r>
    <s v="DSCN2204"/>
    <s v="B&amp;U1029_5"/>
    <n v="5"/>
    <n v="1"/>
    <s v="B&amp;U"/>
    <d v="2018-10-29T00:00:00"/>
    <x v="1"/>
    <s v="Fall"/>
    <d v="1899-12-30T00:45:00"/>
    <s v="Clear"/>
    <s v="WP/BS"/>
    <s v="Foraging"/>
    <s v="Spruce"/>
    <s v="unknown"/>
    <m/>
    <s v="unknown"/>
    <m/>
    <x v="2"/>
    <x v="2"/>
    <s v="NA"/>
    <s v="NA"/>
    <m/>
    <m/>
    <m/>
    <s v="NA"/>
    <s v="NA"/>
    <m/>
    <n v="0"/>
    <n v="45"/>
    <n v="13"/>
    <n v="32"/>
    <n v="0"/>
    <n v="0"/>
    <n v="45"/>
    <m/>
    <m/>
    <m/>
    <m/>
  </r>
  <r>
    <s v="DSCN2206"/>
    <s v="B&amp;U1029_6"/>
    <n v="6"/>
    <n v="1"/>
    <s v="B&amp;U"/>
    <d v="2018-10-29T00:00:00"/>
    <x v="1"/>
    <s v="Fall"/>
    <d v="1899-12-30T00:36:00"/>
    <s v="Clear"/>
    <s v="WP/BS"/>
    <s v="Foraging"/>
    <s v="Spruce"/>
    <s v="unknown"/>
    <m/>
    <s v="unknown"/>
    <m/>
    <x v="2"/>
    <x v="2"/>
    <s v="NA"/>
    <s v="NA"/>
    <m/>
    <m/>
    <m/>
    <s v="NA"/>
    <s v="NA"/>
    <m/>
    <n v="7"/>
    <n v="13"/>
    <n v="7"/>
    <n v="13"/>
    <n v="0"/>
    <n v="0"/>
    <n v="20"/>
    <m/>
    <m/>
    <m/>
    <m/>
  </r>
  <r>
    <s v="DSCN2209"/>
    <s v="B&amp;U1029_7"/>
    <n v="7"/>
    <n v="1"/>
    <s v="B&amp;U"/>
    <d v="2018-10-29T00:00:00"/>
    <x v="1"/>
    <s v="Fall"/>
    <d v="1899-12-30T01:15:00"/>
    <s v="Clear"/>
    <s v="GR/PS"/>
    <s v="Foraging"/>
    <s v="Spruce"/>
    <s v="unknown"/>
    <m/>
    <n v="0"/>
    <m/>
    <x v="1"/>
    <x v="1"/>
    <s v="NA"/>
    <s v="NA"/>
    <s v="NA"/>
    <s v="NA"/>
    <s v="NA"/>
    <s v="NA"/>
    <s v="NA"/>
    <m/>
    <n v="0"/>
    <n v="12"/>
    <n v="0"/>
    <n v="12"/>
    <n v="0"/>
    <n v="0"/>
    <n v="12"/>
    <m/>
    <m/>
    <m/>
    <m/>
  </r>
  <r>
    <s v="DSCN2211"/>
    <s v="B&amp;U1029_8"/>
    <n v="8"/>
    <n v="1"/>
    <s v="B&amp;U"/>
    <d v="2018-10-29T00:00:00"/>
    <x v="1"/>
    <s v="Fall"/>
    <d v="1899-12-30T00:34:00"/>
    <s v="Clear"/>
    <s v="GR/PS"/>
    <s v="Foraging"/>
    <s v="Spruce"/>
    <s v="unknown"/>
    <m/>
    <n v="0"/>
    <m/>
    <x v="1"/>
    <x v="1"/>
    <s v="NA"/>
    <s v="NA"/>
    <s v="NA"/>
    <s v="NA"/>
    <s v="NA"/>
    <s v="NA"/>
    <s v="NA"/>
    <m/>
    <n v="7"/>
    <n v="27"/>
    <n v="7"/>
    <n v="27"/>
    <n v="0"/>
    <n v="0"/>
    <n v="34"/>
    <m/>
    <m/>
    <m/>
    <m/>
  </r>
  <r>
    <s v="DSCN2212"/>
    <s v="B&amp;U1029_9"/>
    <n v="9"/>
    <n v="1"/>
    <s v="B&amp;U"/>
    <d v="2018-10-29T00:00:00"/>
    <x v="1"/>
    <s v="Fall"/>
    <d v="1899-12-30T01:01:00"/>
    <s v="Clear"/>
    <s v="GR/PS"/>
    <s v="Foraging"/>
    <s v="Spruce"/>
    <n v="1"/>
    <m/>
    <n v="0"/>
    <m/>
    <x v="2"/>
    <x v="2"/>
    <s v="Exterior dense foliage of spruce"/>
    <s v="NA"/>
    <s v="NA"/>
    <s v="NA"/>
    <s v="NA"/>
    <s v="NA"/>
    <s v="NA"/>
    <m/>
    <n v="2"/>
    <n v="10"/>
    <n v="2"/>
    <n v="10"/>
    <n v="0"/>
    <n v="0"/>
    <n v="12"/>
    <m/>
    <m/>
    <m/>
    <m/>
  </r>
  <r>
    <s v="DSCN2216"/>
    <s v="B&amp;U1029_10"/>
    <n v="10"/>
    <n v="1"/>
    <s v="B&amp;U"/>
    <d v="2018-10-29T00:00:00"/>
    <x v="1"/>
    <s v="Fall"/>
    <d v="1899-12-30T00:30:00"/>
    <s v="Clear"/>
    <s v="WP/BS"/>
    <s v="Foraging"/>
    <s v="Spruce"/>
    <n v="0"/>
    <m/>
    <n v="0"/>
    <m/>
    <x v="1"/>
    <x v="1"/>
    <s v="NA"/>
    <s v="NA"/>
    <s v="NA"/>
    <s v="NA"/>
    <s v="NA"/>
    <s v="NA"/>
    <s v="NA"/>
    <m/>
    <n v="0"/>
    <n v="19"/>
    <n v="0"/>
    <n v="19"/>
    <n v="0"/>
    <n v="0"/>
    <n v="19"/>
    <m/>
    <m/>
    <m/>
    <m/>
  </r>
  <r>
    <s v="DSCN2220"/>
    <s v="B&amp;U1029_11"/>
    <n v="11"/>
    <n v="1"/>
    <s v="B&amp;U"/>
    <d v="2018-10-29T00:00:00"/>
    <x v="1"/>
    <s v="Fall"/>
    <d v="1899-12-30T00:24:00"/>
    <s v="Clear"/>
    <s v="GR/PS"/>
    <s v="Foraging"/>
    <s v="Spruce"/>
    <s v="unknown"/>
    <m/>
    <s v="unknown"/>
    <m/>
    <x v="2"/>
    <x v="2"/>
    <s v="NA"/>
    <s v="NA"/>
    <m/>
    <m/>
    <m/>
    <s v="NA"/>
    <s v="NA"/>
    <m/>
    <n v="22"/>
    <n v="0"/>
    <n v="22"/>
    <n v="0"/>
    <n v="0"/>
    <n v="0"/>
    <n v="22"/>
    <m/>
    <m/>
    <m/>
    <m/>
  </r>
  <r>
    <s v="DSCN2222"/>
    <s v="B&amp;U1029_12"/>
    <n v="12"/>
    <n v="1"/>
    <s v="B&amp;U"/>
    <d v="2018-10-29T00:00:00"/>
    <x v="1"/>
    <s v="Fall"/>
    <d v="1899-12-30T00:32:00"/>
    <s v="Clear"/>
    <s v="GR/PS"/>
    <s v="Foraging"/>
    <s v="Spruce"/>
    <n v="0"/>
    <m/>
    <n v="0"/>
    <m/>
    <x v="1"/>
    <x v="1"/>
    <s v="NA"/>
    <s v="NA"/>
    <s v="NA"/>
    <s v="NA"/>
    <s v="NA"/>
    <s v="NA"/>
    <s v="NA"/>
    <m/>
    <n v="0"/>
    <n v="25"/>
    <n v="0"/>
    <n v="25"/>
    <n v="0"/>
    <n v="0"/>
    <n v="25"/>
    <m/>
    <m/>
    <m/>
    <m/>
  </r>
  <r>
    <s v="DSCN2223"/>
    <s v="B&amp;U1029_13"/>
    <n v="13"/>
    <n v="1"/>
    <s v="B&amp;U"/>
    <d v="2018-10-29T00:00:00"/>
    <x v="1"/>
    <s v="Fall"/>
    <d v="1899-12-30T01:43:00"/>
    <s v="Clear"/>
    <s v="GR/PS"/>
    <s v="Foraging"/>
    <s v="Spruce"/>
    <n v="1"/>
    <m/>
    <n v="0"/>
    <m/>
    <x v="2"/>
    <x v="2"/>
    <s v="Exterior dense foliage of spruce"/>
    <s v="NA"/>
    <s v="NA"/>
    <s v="NA"/>
    <s v="NA"/>
    <s v="NA"/>
    <s v="NA"/>
    <m/>
    <n v="47"/>
    <n v="38"/>
    <n v="47"/>
    <n v="38"/>
    <n v="0"/>
    <n v="0"/>
    <n v="85"/>
    <s v="Probing"/>
    <m/>
    <n v="2"/>
    <n v="0"/>
  </r>
  <r>
    <s v="DSCN2226"/>
    <s v="B&amp;U1029_14"/>
    <n v="14"/>
    <n v="1"/>
    <s v="B&amp;U"/>
    <d v="2018-10-29T00:00:00"/>
    <x v="1"/>
    <s v="Fall"/>
    <d v="1899-12-30T00:14:00"/>
    <s v="Clear"/>
    <s v="GR/PS"/>
    <s v="Foraring"/>
    <s v="Spruce"/>
    <n v="1"/>
    <m/>
    <n v="0"/>
    <m/>
    <x v="2"/>
    <x v="2"/>
    <s v="Exterior spruce"/>
    <s v="NA"/>
    <s v="NA"/>
    <s v="NA"/>
    <s v="NA"/>
    <s v="NA"/>
    <s v="NA"/>
    <m/>
    <n v="0"/>
    <n v="0"/>
    <n v="0"/>
    <n v="0"/>
    <n v="0"/>
    <n v="0"/>
    <n v="0"/>
    <m/>
    <m/>
    <m/>
    <m/>
  </r>
  <r>
    <s v="DSCN2227"/>
    <s v="B&amp;U1029_15"/>
    <n v="15"/>
    <n v="1"/>
    <s v="B&amp;U"/>
    <d v="2018-10-29T00:00:00"/>
    <x v="1"/>
    <s v="Fall"/>
    <d v="1899-12-30T00:23:00"/>
    <s v="Clear"/>
    <s v="GR/PS"/>
    <s v="Caching"/>
    <s v="Spruce"/>
    <n v="0"/>
    <m/>
    <n v="1"/>
    <m/>
    <x v="2"/>
    <x v="2"/>
    <s v="Exterior spruce"/>
    <s v="Exterior spruce branch under bark/witch hair"/>
    <s v="Spruce"/>
    <s v="Exterior"/>
    <s v="Under bark and witch hair "/>
    <s v="unknown"/>
    <n v="63.725090000000002"/>
    <n v="148.96426"/>
    <n v="0"/>
    <n v="0"/>
    <n v="0"/>
    <n v="0"/>
    <n v="0"/>
    <n v="0"/>
    <n v="0"/>
    <m/>
    <s v="Cached item from previous video"/>
    <m/>
    <m/>
  </r>
  <r>
    <s v="DSCN2228"/>
    <s v="B&amp;U1029_16"/>
    <n v="16"/>
    <n v="1"/>
    <s v="B&amp;U"/>
    <d v="2018-10-29T00:00:00"/>
    <x v="1"/>
    <s v="Fall"/>
    <d v="1899-12-30T00:07:00"/>
    <s v="Clear"/>
    <s v="WP/BS"/>
    <s v="Foraging"/>
    <s v="Spruce"/>
    <n v="0"/>
    <m/>
    <n v="0"/>
    <m/>
    <x v="1"/>
    <x v="1"/>
    <s v="NA"/>
    <s v="NA"/>
    <s v="NA"/>
    <s v="NA"/>
    <s v="NA"/>
    <s v="NA"/>
    <s v="NA"/>
    <m/>
    <n v="0"/>
    <n v="7"/>
    <n v="0"/>
    <n v="7"/>
    <n v="0"/>
    <n v="0"/>
    <n v="7"/>
    <m/>
    <m/>
    <m/>
    <m/>
  </r>
  <r>
    <s v="DSCN2229"/>
    <s v="B&amp;U1029_17"/>
    <n v="17"/>
    <n v="1"/>
    <s v="B&amp;U"/>
    <d v="2018-10-29T00:00:00"/>
    <x v="1"/>
    <s v="Fall"/>
    <d v="1899-12-30T00:20:00"/>
    <s v="Clear"/>
    <s v="GR/PS"/>
    <s v="Foraging (Cache recovery)"/>
    <s v="Spruce"/>
    <n v="1"/>
    <m/>
    <n v="0"/>
    <m/>
    <x v="2"/>
    <x v="2"/>
    <s v="Interior bare spruce branch under bark"/>
    <s v="NA"/>
    <s v="NA"/>
    <s v="NA"/>
    <s v="NA"/>
    <s v="NA"/>
    <s v="NA"/>
    <m/>
    <n v="13"/>
    <n v="0"/>
    <n v="13"/>
    <n v="0"/>
    <n v="0"/>
    <n v="0"/>
    <n v="13"/>
    <s v="Probing"/>
    <m/>
    <n v="4"/>
    <n v="0"/>
  </r>
  <r>
    <s v="DSCN2230"/>
    <s v="B&amp;U1029_18"/>
    <n v="18"/>
    <n v="1"/>
    <s v="B&amp;U"/>
    <d v="2018-10-29T00:00:00"/>
    <x v="1"/>
    <s v="Fall"/>
    <d v="1899-12-30T00:42:00"/>
    <s v="Clear"/>
    <s v="GR/PS"/>
    <s v="Foraging"/>
    <s v="Spruce"/>
    <s v="unknown"/>
    <m/>
    <s v="unknown"/>
    <m/>
    <x v="2"/>
    <x v="2"/>
    <s v="NA"/>
    <s v="NA"/>
    <m/>
    <m/>
    <m/>
    <s v="NA"/>
    <s v="NA"/>
    <m/>
    <n v="0"/>
    <n v="35"/>
    <n v="0"/>
    <n v="35"/>
    <n v="0"/>
    <n v="0"/>
    <n v="35"/>
    <s v="searching"/>
    <m/>
    <m/>
    <m/>
  </r>
  <r>
    <s v="DSCN2233"/>
    <s v="B&amp;U1029_19"/>
    <n v="19"/>
    <n v="1"/>
    <s v="B&amp;U"/>
    <d v="2018-10-29T00:00:00"/>
    <x v="1"/>
    <s v="Fall"/>
    <d v="1899-12-30T00:27:00"/>
    <s v="Clear"/>
    <s v="GR/PS"/>
    <s v="Foraging"/>
    <s v="Spruce"/>
    <s v="unknown"/>
    <m/>
    <s v="unknown"/>
    <m/>
    <x v="2"/>
    <x v="2"/>
    <s v="NA"/>
    <s v="NA"/>
    <m/>
    <m/>
    <m/>
    <s v="NA"/>
    <s v="NA"/>
    <m/>
    <n v="0"/>
    <n v="6"/>
    <n v="0"/>
    <n v="6"/>
    <n v="0"/>
    <n v="0"/>
    <n v="6"/>
    <m/>
    <m/>
    <m/>
    <m/>
  </r>
  <r>
    <s v="DSCN2235"/>
    <s v="B&amp;U1029_20"/>
    <n v="20"/>
    <n v="1"/>
    <s v="B&amp;U"/>
    <d v="2018-10-29T00:00:00"/>
    <x v="1"/>
    <s v="Fall"/>
    <d v="1899-12-30T00:17:00"/>
    <s v="Clear"/>
    <s v="GR/PS"/>
    <s v="Foraging"/>
    <s v="Spruce"/>
    <s v="unknown"/>
    <m/>
    <s v="unknown"/>
    <m/>
    <x v="2"/>
    <x v="2"/>
    <s v="NA"/>
    <s v="NA"/>
    <m/>
    <m/>
    <m/>
    <s v="NA"/>
    <s v="NA"/>
    <m/>
    <n v="0"/>
    <n v="16"/>
    <n v="0"/>
    <n v="16"/>
    <n v="0"/>
    <n v="0"/>
    <n v="16"/>
    <m/>
    <m/>
    <m/>
    <m/>
  </r>
  <r>
    <s v="DSCN2244"/>
    <s v="AQ1029_1"/>
    <n v="1"/>
    <n v="1"/>
    <s v="Air Quality"/>
    <d v="2018-10-29T00:00:00"/>
    <x v="1"/>
    <s v="Fall"/>
    <d v="1899-12-30T00:16:00"/>
    <s v="Clear"/>
    <s v="WO/RS"/>
    <s v="Foraging/Food handling"/>
    <s v="Spruce"/>
    <s v="unknown"/>
    <m/>
    <n v="0"/>
    <m/>
    <x v="2"/>
    <x v="2"/>
    <s v="NA"/>
    <s v="NA"/>
    <s v="NA"/>
    <s v="NA"/>
    <s v="NA"/>
    <s v="NA"/>
    <s v="NA"/>
    <m/>
    <n v="15"/>
    <n v="0"/>
    <n v="0"/>
    <n v="15"/>
    <n v="0"/>
    <n v="0"/>
    <n v="15"/>
    <m/>
    <m/>
    <m/>
    <m/>
  </r>
  <r>
    <s v="DSCN2248"/>
    <s v="AQ1029_2"/>
    <n v="2"/>
    <n v="1"/>
    <s v="Air Quality"/>
    <d v="2018-10-29T00:00:00"/>
    <x v="1"/>
    <s v="Fall"/>
    <d v="1899-12-30T01:07:00"/>
    <s v="Clear"/>
    <s v="WO/RS"/>
    <s v="Foraging (Cache recovery)"/>
    <s v="Spruce"/>
    <n v="1"/>
    <m/>
    <n v="0"/>
    <m/>
    <x v="2"/>
    <x v="62"/>
    <s v="Interior bare branch under witch hair"/>
    <s v="NA"/>
    <s v="NA"/>
    <s v="NA"/>
    <s v="NA"/>
    <s v="NA"/>
    <s v="NA"/>
    <m/>
    <n v="68"/>
    <n v="0"/>
    <n v="68"/>
    <n v="0"/>
    <n v="0"/>
    <n v="0"/>
    <n v="68"/>
    <s v="Probing/pecking"/>
    <s v="5 pecks "/>
    <n v="1"/>
    <n v="0"/>
  </r>
  <r>
    <s v="DSCN2250"/>
    <s v="AQ1029_3"/>
    <n v="3"/>
    <n v="1"/>
    <s v="Air Quality"/>
    <d v="2018-10-29T00:00:00"/>
    <x v="1"/>
    <s v="Fall"/>
    <d v="1899-12-30T00:10:00"/>
    <s v="Clear"/>
    <s v="WO/RS"/>
    <s v="Foraging"/>
    <s v="Spruce"/>
    <n v="1"/>
    <m/>
    <n v="0"/>
    <m/>
    <x v="2"/>
    <x v="2"/>
    <s v="Interior bare spruce branch"/>
    <s v="NA"/>
    <s v="NA"/>
    <s v="NA"/>
    <s v="NA"/>
    <s v="NA"/>
    <s v="NA"/>
    <m/>
    <n v="10"/>
    <n v="0"/>
    <n v="10"/>
    <n v="0"/>
    <n v="0"/>
    <n v="0"/>
    <n v="10"/>
    <s v="Gleaning"/>
    <m/>
    <n v="0"/>
    <n v="1"/>
  </r>
  <r>
    <s v="DSCN2251"/>
    <s v="AQ1029_4"/>
    <n v="4"/>
    <n v="1"/>
    <s v="Air Quality"/>
    <d v="2018-10-29T00:00:00"/>
    <x v="1"/>
    <s v="Fall"/>
    <d v="1899-12-30T00:07:00"/>
    <s v="Clear"/>
    <s v="WO/RS"/>
    <s v="Foraging"/>
    <s v="Spruce"/>
    <s v="unknown"/>
    <m/>
    <s v="unknown"/>
    <m/>
    <x v="2"/>
    <x v="2"/>
    <s v="NA"/>
    <s v="NA"/>
    <m/>
    <m/>
    <m/>
    <s v="NA"/>
    <s v="NA"/>
    <m/>
    <n v="7"/>
    <n v="0"/>
    <n v="7"/>
    <n v="0"/>
    <n v="0"/>
    <n v="0"/>
    <n v="7"/>
    <m/>
    <m/>
    <m/>
    <m/>
  </r>
  <r>
    <s v="DSCN2253"/>
    <s v="AQ1029_5"/>
    <n v="5"/>
    <n v="1"/>
    <s v="Air Quality"/>
    <d v="2018-10-29T00:00:00"/>
    <x v="1"/>
    <s v="Fall"/>
    <d v="1899-12-30T00:33:00"/>
    <s v="Clear"/>
    <s v="WO/RS"/>
    <s v="Foraging"/>
    <s v="Spruce"/>
    <s v="unknown"/>
    <m/>
    <s v="unknown"/>
    <m/>
    <x v="2"/>
    <x v="2"/>
    <s v="NA"/>
    <s v="NA"/>
    <m/>
    <m/>
    <m/>
    <s v="NA"/>
    <s v="NA"/>
    <m/>
    <n v="30"/>
    <n v="0"/>
    <n v="30"/>
    <n v="0"/>
    <n v="0"/>
    <n v="0"/>
    <n v="30"/>
    <m/>
    <m/>
    <m/>
    <m/>
  </r>
  <r>
    <s v="DSCN2257"/>
    <s v="MC1029_1"/>
    <n v="1"/>
    <n v="1"/>
    <s v="Mercantile"/>
    <d v="2018-10-29T00:00:00"/>
    <x v="1"/>
    <s v="Fall"/>
    <d v="1899-12-30T00:39:00"/>
    <s v="Clear"/>
    <s v="BW/GS"/>
    <s v="Foraging"/>
    <s v="NA"/>
    <n v="1"/>
    <n v="3"/>
    <n v="0"/>
    <m/>
    <x v="3"/>
    <x v="12"/>
    <s v="Ground"/>
    <s v="NA"/>
    <s v="NA"/>
    <s v="NA"/>
    <s v="NA"/>
    <s v="NA"/>
    <s v="NA"/>
    <m/>
    <n v="0"/>
    <n v="0"/>
    <n v="0"/>
    <n v="0"/>
    <n v="12"/>
    <n v="0"/>
    <n v="12"/>
    <m/>
    <m/>
    <m/>
    <m/>
  </r>
  <r>
    <s v="DSCN2258"/>
    <s v="MC1029_2"/>
    <n v="2"/>
    <n v="1"/>
    <s v="Mercantile"/>
    <d v="2018-10-29T00:00:00"/>
    <x v="1"/>
    <s v="Fall"/>
    <d v="1899-12-30T00:08:00"/>
    <s v="Clear"/>
    <s v="BW/GS"/>
    <s v="Foraging"/>
    <s v="NA"/>
    <s v="unknown"/>
    <m/>
    <n v="0"/>
    <m/>
    <x v="1"/>
    <x v="1"/>
    <s v="NA"/>
    <s v="NA"/>
    <s v="NA"/>
    <s v="NA"/>
    <s v="NA"/>
    <s v="NA"/>
    <s v="NA"/>
    <m/>
    <n v="0"/>
    <n v="0"/>
    <n v="0"/>
    <n v="0"/>
    <n v="4"/>
    <n v="0"/>
    <n v="4"/>
    <m/>
    <m/>
    <m/>
    <m/>
  </r>
  <r>
    <s v="DSCN2259"/>
    <s v="MC1029_3"/>
    <n v="3"/>
    <n v="1"/>
    <s v="Mercantile"/>
    <d v="2018-10-29T00:00:00"/>
    <x v="1"/>
    <s v="Fall"/>
    <d v="1899-12-30T00:47:00"/>
    <s v="Clear"/>
    <s v="BW/GS"/>
    <s v="Foraging (Cache recovery)"/>
    <s v="Spruce"/>
    <n v="1"/>
    <m/>
    <n v="0"/>
    <m/>
    <x v="3"/>
    <x v="4"/>
    <s v="Exterior spruce foliage"/>
    <s v="NA"/>
    <s v="NA"/>
    <s v="NA"/>
    <s v="NA"/>
    <s v="NA"/>
    <s v="NA"/>
    <m/>
    <n v="0"/>
    <n v="0"/>
    <n v="0"/>
    <n v="0"/>
    <n v="0"/>
    <n v="0"/>
    <n v="0"/>
    <m/>
    <s v="Video starts after it already got berry"/>
    <m/>
    <m/>
  </r>
  <r>
    <s v="DSCN2260"/>
    <s v="MC1029_4"/>
    <n v="4"/>
    <n v="1"/>
    <s v="Mercantile"/>
    <d v="2018-10-29T00:00:00"/>
    <x v="1"/>
    <s v="Fall"/>
    <d v="1899-12-30T00:24:00"/>
    <s v="Clear"/>
    <s v="BW/GS"/>
    <s v="Foraging"/>
    <s v="NA"/>
    <n v="1"/>
    <m/>
    <n v="0"/>
    <m/>
    <x v="3"/>
    <x v="4"/>
    <s v="Ground"/>
    <s v="NA"/>
    <s v="NA"/>
    <s v="NA"/>
    <s v="NA"/>
    <s v="NA"/>
    <s v="NA"/>
    <m/>
    <n v="0"/>
    <n v="0"/>
    <n v="0"/>
    <n v="0"/>
    <n v="23"/>
    <n v="0"/>
    <n v="23"/>
    <m/>
    <m/>
    <m/>
    <m/>
  </r>
  <r>
    <s v="DSCN2261"/>
    <s v="MC1029_5"/>
    <n v="5"/>
    <n v="1"/>
    <s v="Mercantile"/>
    <d v="2018-10-29T00:00:00"/>
    <x v="1"/>
    <s v="Fall"/>
    <d v="1899-12-30T00:41:00"/>
    <s v="Clear"/>
    <s v="BW/GS"/>
    <s v="Foraging"/>
    <s v="NA"/>
    <s v="unknown"/>
    <m/>
    <s v="unknown"/>
    <m/>
    <x v="2"/>
    <x v="2"/>
    <s v="NA"/>
    <s v="NA"/>
    <m/>
    <m/>
    <m/>
    <s v="NA"/>
    <s v="NA"/>
    <m/>
    <n v="0"/>
    <n v="41"/>
    <n v="0"/>
    <n v="41"/>
    <n v="0"/>
    <n v="0"/>
    <n v="41"/>
    <m/>
    <m/>
    <m/>
    <m/>
  </r>
  <r>
    <s v="DSCN2263"/>
    <s v="MC1029_6"/>
    <n v="6"/>
    <n v="1"/>
    <s v="Mercantile"/>
    <d v="2018-10-29T00:00:00"/>
    <x v="1"/>
    <s v="Fall"/>
    <d v="1899-12-30T00:07:00"/>
    <s v="Clear"/>
    <s v="WO/OS"/>
    <s v="Foraging"/>
    <s v="Spruce"/>
    <n v="1"/>
    <m/>
    <n v="0"/>
    <m/>
    <x v="2"/>
    <x v="63"/>
    <s v="Interior spruce tree"/>
    <s v="NA"/>
    <s v="NA"/>
    <s v="NA"/>
    <s v="NA"/>
    <s v="NA"/>
    <s v="NA"/>
    <m/>
    <n v="0"/>
    <n v="0"/>
    <n v="0"/>
    <n v="0"/>
    <n v="0"/>
    <n v="0"/>
    <n v="0"/>
    <m/>
    <s v="Missed seeing it pull it from tree on camera B&amp;Ut we saw IRL that's where it got it from. "/>
    <m/>
    <m/>
  </r>
  <r>
    <s v="DSCN2264"/>
    <s v="MC1029_7"/>
    <n v="7"/>
    <n v="1"/>
    <s v="Mercantile"/>
    <d v="2018-10-29T00:00:00"/>
    <x v="1"/>
    <s v="Fall"/>
    <d v="1899-12-30T00:37:00"/>
    <s v="Clear"/>
    <s v="WO/OS"/>
    <s v="Caching"/>
    <s v="Spruce"/>
    <n v="0"/>
    <m/>
    <n v="2"/>
    <s v="Same tree"/>
    <x v="2"/>
    <x v="63"/>
    <s v="Interior spruce tree"/>
    <s v="Interior spruce foliage near trunk"/>
    <s v="Spruce"/>
    <s v="Interior"/>
    <s v="Foliage"/>
    <n v="7"/>
    <n v="63.736229999999999"/>
    <n v="148.90009000000001"/>
    <n v="0"/>
    <n v="0"/>
    <n v="0"/>
    <n v="0"/>
    <n v="0"/>
    <n v="0"/>
    <n v="0"/>
    <m/>
    <s v="Same food as in previous video"/>
    <m/>
    <m/>
  </r>
  <r>
    <s v="DSCN2277"/>
    <s v="M4R1030_1"/>
    <n v="1"/>
    <n v="1"/>
    <s v="M4Roadside"/>
    <d v="2018-10-30T00:00:00"/>
    <x v="1"/>
    <s v="Fall"/>
    <d v="1899-12-30T00:16:00"/>
    <s v="Clear"/>
    <s v="Unbanded"/>
    <s v="Foraging"/>
    <s v="Spruce"/>
    <n v="0"/>
    <m/>
    <n v="0"/>
    <m/>
    <x v="1"/>
    <x v="1"/>
    <s v="NA"/>
    <s v="NA"/>
    <s v="NA"/>
    <s v="NA"/>
    <s v="NA"/>
    <s v="NA"/>
    <s v="NA"/>
    <m/>
    <n v="0"/>
    <n v="8"/>
    <n v="0"/>
    <n v="8"/>
    <n v="0"/>
    <n v="0"/>
    <n v="8"/>
    <m/>
    <m/>
    <m/>
    <m/>
  </r>
  <r>
    <s v="DSCN2301"/>
    <s v="M2371030_1"/>
    <n v="1"/>
    <n v="1"/>
    <s v="Mile 237"/>
    <d v="2018-10-30T00:00:00"/>
    <x v="1"/>
    <s v="Fall"/>
    <d v="1899-12-30T00:40:00"/>
    <s v="Clear"/>
    <s v="GB/PS"/>
    <s v="Foraging"/>
    <s v="Aspen"/>
    <n v="0"/>
    <m/>
    <n v="0"/>
    <m/>
    <x v="1"/>
    <x v="1"/>
    <s v="NA"/>
    <s v="NA"/>
    <s v="NA"/>
    <s v="NA"/>
    <s v="NA"/>
    <s v="NA"/>
    <s v="NA"/>
    <m/>
    <n v="17"/>
    <n v="0"/>
    <n v="0"/>
    <n v="17"/>
    <n v="0"/>
    <n v="0"/>
    <n v="17"/>
    <m/>
    <m/>
    <m/>
    <m/>
  </r>
  <r>
    <s v="DSCN2310"/>
    <s v="RC1031_1"/>
    <n v="1"/>
    <n v="1"/>
    <s v="CCAMP"/>
    <d v="2018-10-31T00:00:00"/>
    <x v="1"/>
    <s v="Fall"/>
    <d v="1899-12-30T00:11:00"/>
    <s v="Partly cloudy"/>
    <s v="GL/RS"/>
    <s v="Foraging"/>
    <s v="Spruce"/>
    <n v="1"/>
    <m/>
    <n v="0"/>
    <m/>
    <x v="2"/>
    <x v="2"/>
    <s v="Exterior spruce foliage"/>
    <s v="NA"/>
    <s v="NA"/>
    <s v="NA"/>
    <s v="NA"/>
    <s v="NA"/>
    <s v="NA"/>
    <m/>
    <n v="0"/>
    <n v="0"/>
    <n v="0"/>
    <n v="0"/>
    <n v="0"/>
    <n v="0"/>
    <n v="0"/>
    <m/>
    <s v="Did not catch foraging "/>
    <m/>
    <m/>
  </r>
  <r>
    <s v="DSCN2311"/>
    <s v="RC1031_2"/>
    <n v="2"/>
    <n v="1"/>
    <s v="Rock Creek"/>
    <d v="2018-10-31T00:00:00"/>
    <x v="1"/>
    <s v="Fall"/>
    <d v="1899-12-30T00:17:00"/>
    <s v="Partly cloudy"/>
    <s v="Unknown"/>
    <s v="Foraging"/>
    <s v="NA"/>
    <n v="1"/>
    <m/>
    <n v="0"/>
    <m/>
    <x v="2"/>
    <x v="2"/>
    <s v="Ground"/>
    <s v="NA"/>
    <s v="NA"/>
    <s v="NA"/>
    <s v="NA"/>
    <s v="NA"/>
    <s v="NA"/>
    <m/>
    <n v="0"/>
    <n v="0"/>
    <n v="0"/>
    <n v="0"/>
    <n v="17"/>
    <n v="0"/>
    <n v="17"/>
    <m/>
    <m/>
    <m/>
    <m/>
  </r>
  <r>
    <s v="DSCN2318"/>
    <s v="RC1031_3"/>
    <n v="3"/>
    <n v="1"/>
    <s v="CCAMP"/>
    <d v="2018-10-31T00:00:00"/>
    <x v="1"/>
    <s v="Fall"/>
    <d v="1899-12-30T00:45:00"/>
    <s v="Partly cloudy"/>
    <s v="GL/RS"/>
    <s v="Foraging"/>
    <s v="Spruce"/>
    <n v="1"/>
    <m/>
    <n v="0"/>
    <m/>
    <x v="2"/>
    <x v="2"/>
    <s v="Exterior bare branch in witch hair"/>
    <s v="NA"/>
    <s v="NA"/>
    <s v="NA"/>
    <s v="NA"/>
    <s v="NA"/>
    <s v="NA"/>
    <m/>
    <n v="45"/>
    <n v="0"/>
    <n v="0"/>
    <n v="45"/>
    <n v="0"/>
    <n v="0"/>
    <n v="45"/>
    <s v="Gleaning"/>
    <m/>
    <n v="0"/>
    <n v="3"/>
  </r>
  <r>
    <s v="DSCN2319"/>
    <s v="RC1031_4"/>
    <n v="4"/>
    <n v="1"/>
    <s v="Rock Creek"/>
    <d v="2018-10-31T00:00:00"/>
    <x v="1"/>
    <s v="Fall"/>
    <d v="1899-12-30T00:10:00"/>
    <s v="Partly cloudy"/>
    <s v="Unknown"/>
    <s v="Foraging"/>
    <s v="Spruce"/>
    <n v="0"/>
    <m/>
    <n v="0"/>
    <m/>
    <x v="1"/>
    <x v="1"/>
    <s v="NA"/>
    <s v="NA"/>
    <s v="NA"/>
    <s v="NA"/>
    <s v="NA"/>
    <s v="NA"/>
    <s v="NA"/>
    <m/>
    <n v="0"/>
    <n v="8"/>
    <n v="0"/>
    <n v="8"/>
    <n v="0"/>
    <n v="0"/>
    <n v="8"/>
    <m/>
    <m/>
    <m/>
    <m/>
  </r>
  <r>
    <s v="DSCN2320"/>
    <s v="RC1031_5"/>
    <n v="5"/>
    <n v="1"/>
    <s v="CCAMP"/>
    <d v="2018-10-31T00:00:00"/>
    <x v="1"/>
    <s v="Fall"/>
    <d v="1899-12-30T00:51:00"/>
    <s v="Partly cloudy"/>
    <s v="GB/BS"/>
    <s v="Foraging"/>
    <s v="Spruce"/>
    <s v="unknown"/>
    <m/>
    <s v="unknown"/>
    <m/>
    <x v="2"/>
    <x v="2"/>
    <s v="NA"/>
    <s v="NA"/>
    <m/>
    <m/>
    <m/>
    <s v="NA"/>
    <s v="NA"/>
    <m/>
    <n v="0"/>
    <n v="51"/>
    <n v="0"/>
    <n v="51"/>
    <n v="0"/>
    <n v="0"/>
    <n v="51"/>
    <m/>
    <m/>
    <m/>
    <m/>
  </r>
  <r>
    <s v="DSCN2324"/>
    <s v="RC1031_6"/>
    <n v="6"/>
    <n v="1"/>
    <s v="CCAMP"/>
    <d v="2018-10-31T00:00:00"/>
    <x v="1"/>
    <s v="Fall"/>
    <d v="1899-12-30T00:37:00"/>
    <s v="Partly cloudy"/>
    <s v="GL/RS"/>
    <s v="Caching"/>
    <s v="Spruce"/>
    <n v="0"/>
    <m/>
    <n v="1"/>
    <m/>
    <x v="2"/>
    <x v="2"/>
    <s v="unknown"/>
    <s v="Interior bare spruce branch under bark"/>
    <s v="Spruce"/>
    <s v="Interior"/>
    <s v="Under bark"/>
    <s v="unknown"/>
    <n v="63.722760000000001"/>
    <n v="148.95087000000001"/>
    <n v="0"/>
    <n v="0"/>
    <n v="0"/>
    <n v="0"/>
    <n v="0"/>
    <n v="0"/>
    <n v="0"/>
    <m/>
    <m/>
    <m/>
    <m/>
  </r>
  <r>
    <s v="DSCN2327"/>
    <s v="RC1031_7"/>
    <n v="7"/>
    <n v="1"/>
    <s v="CCAMP"/>
    <d v="2018-10-31T00:00:00"/>
    <x v="1"/>
    <s v="Fall"/>
    <d v="1899-12-30T00:18:00"/>
    <s v="Partly cloudy"/>
    <s v="GB/BS"/>
    <s v="Foraging"/>
    <s v="NA"/>
    <n v="0"/>
    <m/>
    <n v="0"/>
    <m/>
    <x v="1"/>
    <x v="1"/>
    <s v="NA"/>
    <s v="NA"/>
    <s v="NA"/>
    <s v="NA"/>
    <s v="NA"/>
    <s v="NA"/>
    <s v="NA"/>
    <m/>
    <n v="0"/>
    <n v="0"/>
    <n v="0"/>
    <n v="0"/>
    <n v="10"/>
    <n v="0"/>
    <n v="10"/>
    <m/>
    <m/>
    <m/>
    <m/>
  </r>
  <r>
    <s v="DSCN2328"/>
    <s v="RC1031_8"/>
    <n v="8"/>
    <n v="1"/>
    <s v="CCAMP"/>
    <d v="2018-10-31T00:00:00"/>
    <x v="1"/>
    <s v="Fall"/>
    <d v="1899-12-30T00:14:00"/>
    <s v="Partly cloudy"/>
    <s v="GB/BS"/>
    <s v="Foraging"/>
    <s v="Spruce"/>
    <s v="unknown"/>
    <m/>
    <n v="0"/>
    <m/>
    <x v="1"/>
    <x v="1"/>
    <s v="NA"/>
    <s v="NA"/>
    <s v="NA"/>
    <s v="NA"/>
    <s v="NA"/>
    <s v="NA"/>
    <s v="NA"/>
    <m/>
    <n v="8"/>
    <n v="0"/>
    <n v="0"/>
    <n v="8"/>
    <n v="4"/>
    <n v="0"/>
    <n v="12"/>
    <s v="searching"/>
    <m/>
    <m/>
    <m/>
  </r>
  <r>
    <s v="DSCN2329"/>
    <s v="RC1031_9"/>
    <n v="9"/>
    <n v="1"/>
    <s v="Rock Creek"/>
    <d v="2018-10-31T00:00:00"/>
    <x v="1"/>
    <s v="Fall"/>
    <d v="1899-12-30T00:32:00"/>
    <s v="Partly cloudy"/>
    <s v="Unknown"/>
    <s v="Foraging"/>
    <s v="Spruce"/>
    <s v="unknown"/>
    <m/>
    <n v="0"/>
    <m/>
    <x v="2"/>
    <x v="2"/>
    <s v="NA"/>
    <s v="NA"/>
    <s v="NA"/>
    <s v="NA"/>
    <s v="NA"/>
    <s v="NA"/>
    <s v="NA"/>
    <m/>
    <n v="11"/>
    <n v="0"/>
    <n v="11"/>
    <n v="0"/>
    <n v="0"/>
    <n v="0"/>
    <n v="11"/>
    <s v="Probing"/>
    <m/>
    <n v="3"/>
    <n v="0"/>
  </r>
  <r>
    <s v="DSCN2330"/>
    <s v="RC1031_10"/>
    <n v="10"/>
    <n v="1"/>
    <s v="Rock Creek"/>
    <d v="2018-10-31T00:00:00"/>
    <x v="1"/>
    <s v="Fall"/>
    <d v="1899-12-30T00:13:00"/>
    <s v="Partly cloudy"/>
    <s v="Unknown"/>
    <s v="Foraging"/>
    <s v="Spruce"/>
    <s v="unknown"/>
    <m/>
    <s v="unknown"/>
    <m/>
    <x v="2"/>
    <x v="2"/>
    <s v="NA"/>
    <s v="NA"/>
    <m/>
    <m/>
    <m/>
    <s v="NA"/>
    <s v="NA"/>
    <m/>
    <n v="11"/>
    <n v="0"/>
    <n v="0"/>
    <n v="11"/>
    <n v="0"/>
    <n v="0"/>
    <n v="11"/>
    <s v="Gleaning"/>
    <m/>
    <n v="0"/>
    <n v="2"/>
  </r>
  <r>
    <s v="DSCN2333"/>
    <s v="RC1031_11"/>
    <n v="11"/>
    <n v="1"/>
    <s v="CCAMP"/>
    <d v="2018-10-31T00:00:00"/>
    <x v="1"/>
    <s v="Fall"/>
    <d v="1899-12-30T00:24:00"/>
    <s v="Partly cloudy"/>
    <s v="GL/RS"/>
    <s v="Foraging"/>
    <s v="Spruce"/>
    <n v="0"/>
    <m/>
    <n v="0"/>
    <m/>
    <x v="1"/>
    <x v="1"/>
    <s v="NA"/>
    <s v="NA"/>
    <s v="NA"/>
    <s v="NA"/>
    <s v="NA"/>
    <s v="NA"/>
    <s v="NA"/>
    <m/>
    <n v="17"/>
    <n v="0"/>
    <n v="17"/>
    <n v="0"/>
    <n v="0"/>
    <n v="0"/>
    <n v="17"/>
    <m/>
    <m/>
    <m/>
    <m/>
  </r>
  <r>
    <s v="Dscn2338"/>
    <s v="TC1031_1"/>
    <n v="1"/>
    <n v="1"/>
    <s v="Trail Camp"/>
    <d v="2018-10-31T00:00:00"/>
    <x v="1"/>
    <s v="Fall"/>
    <d v="1899-12-30T00:48:00"/>
    <s v="Partly cloudy, snowing"/>
    <s v="W/PS"/>
    <s v="Foraging"/>
    <s v="Spruce"/>
    <n v="1"/>
    <m/>
    <n v="0"/>
    <m/>
    <x v="3"/>
    <x v="12"/>
    <s v="Ground"/>
    <s v="NA"/>
    <s v="NA"/>
    <s v="NA"/>
    <s v="NA"/>
    <s v="NA"/>
    <s v="NA"/>
    <m/>
    <n v="12"/>
    <n v="0"/>
    <n v="12"/>
    <n v="0"/>
    <n v="0"/>
    <n v="0"/>
    <n v="12"/>
    <m/>
    <s v="Missed foraging event on the ground. "/>
    <m/>
    <m/>
  </r>
  <r>
    <s v="DSCN2339"/>
    <s v="TC1031_2"/>
    <n v="2"/>
    <n v="1"/>
    <s v="Trail Camp"/>
    <d v="2018-10-31T00:00:00"/>
    <x v="1"/>
    <s v="Fall"/>
    <d v="1899-12-30T00:33:00"/>
    <s v="Partly cloudy, snowing"/>
    <s v="Unknown"/>
    <s v="Foraging"/>
    <s v="Spruce"/>
    <s v="unknown"/>
    <m/>
    <s v="unknown"/>
    <m/>
    <x v="2"/>
    <x v="2"/>
    <s v="NA"/>
    <s v="NA"/>
    <m/>
    <m/>
    <m/>
    <s v="NA"/>
    <s v="NA"/>
    <m/>
    <n v="0"/>
    <n v="22"/>
    <n v="22"/>
    <n v="0"/>
    <n v="0"/>
    <n v="0"/>
    <n v="22"/>
    <m/>
    <m/>
    <m/>
    <m/>
  </r>
  <r>
    <s v="DSCN2340"/>
    <s v="TC1031_3"/>
    <n v="3"/>
    <n v="1"/>
    <s v="Trail Camp"/>
    <d v="2018-10-31T00:00:00"/>
    <x v="1"/>
    <s v="Fall"/>
    <d v="1899-12-30T00:06:00"/>
    <s v="Partly cloudy, snowing"/>
    <s v="BO/OS"/>
    <s v="Foraging"/>
    <s v="Aspen"/>
    <n v="1"/>
    <m/>
    <n v="0"/>
    <m/>
    <x v="2"/>
    <x v="2"/>
    <s v="Exterior Aspen bare branch"/>
    <s v="NA"/>
    <s v="NA"/>
    <s v="NA"/>
    <s v="NA"/>
    <s v="NA"/>
    <s v="NA"/>
    <m/>
    <n v="0"/>
    <n v="0"/>
    <n v="0"/>
    <n v="0"/>
    <n v="0"/>
    <n v="0"/>
    <n v="0"/>
    <m/>
    <s v="Didn't catch foraging event "/>
    <m/>
    <m/>
  </r>
  <r>
    <s v="DSCN2341"/>
    <s v="TC1031_4"/>
    <n v="4"/>
    <n v="1"/>
    <s v="Trail Camp"/>
    <d v="2018-10-31T00:00:00"/>
    <x v="1"/>
    <s v="Fall"/>
    <d v="1899-12-30T00:51:00"/>
    <s v="Partly cloudy, snowing"/>
    <s v="BO/OS"/>
    <s v="Caching"/>
    <s v="Aspen"/>
    <n v="0"/>
    <m/>
    <n v="1"/>
    <m/>
    <x v="2"/>
    <x v="2"/>
    <s v="unknown"/>
    <s v="Exterior aspen branch under bark"/>
    <s v="Aspen"/>
    <s v="Exterior"/>
    <s v="Under bark"/>
    <s v="unknown"/>
    <n v="63.73142"/>
    <n v="148.89966999999999"/>
    <n v="0"/>
    <n v="0"/>
    <n v="0"/>
    <n v="0"/>
    <n v="0"/>
    <n v="0"/>
    <n v="0"/>
    <m/>
    <s v="Good caching video "/>
    <m/>
    <m/>
  </r>
  <r>
    <s v="DSCN2350"/>
    <s v="TC1031_5"/>
    <n v="5"/>
    <n v="1"/>
    <s v="Trail Camp"/>
    <d v="2018-10-31T00:00:00"/>
    <x v="1"/>
    <s v="Fall"/>
    <d v="1899-12-30T00:33:00"/>
    <s v="Partly cloudy, snowing"/>
    <s v="WL/PS"/>
    <s v="Foraging"/>
    <s v="Spruce"/>
    <n v="1"/>
    <m/>
    <n v="0"/>
    <m/>
    <x v="2"/>
    <x v="2"/>
    <s v="Ground"/>
    <s v="NA"/>
    <s v="NA"/>
    <s v="NA"/>
    <s v="NA"/>
    <s v="NA"/>
    <s v="NA"/>
    <m/>
    <n v="7"/>
    <n v="0"/>
    <n v="0"/>
    <n v="7"/>
    <n v="17"/>
    <n v="0"/>
    <n v="24"/>
    <m/>
    <m/>
    <m/>
    <m/>
  </r>
  <r>
    <s v="DSCN2351"/>
    <s v="TC1031_6"/>
    <n v="6"/>
    <n v="1"/>
    <s v="Trail Camp"/>
    <d v="2018-10-31T00:00:00"/>
    <x v="1"/>
    <s v="Fall"/>
    <d v="1899-12-30T00:40:00"/>
    <s v="Partly cloudy, snowing"/>
    <s v="WL/PS"/>
    <s v="Foraging"/>
    <s v="Aspen and spruce"/>
    <n v="1"/>
    <s v="8 pecks"/>
    <n v="0"/>
    <m/>
    <x v="2"/>
    <x v="2"/>
    <s v="Ground"/>
    <s v="NA"/>
    <s v="NA"/>
    <s v="NA"/>
    <s v="NA"/>
    <s v="NA"/>
    <s v="NA"/>
    <m/>
    <n v="14"/>
    <n v="0"/>
    <n v="0"/>
    <n v="14"/>
    <n v="19"/>
    <n v="0"/>
    <n v="33"/>
    <m/>
    <m/>
    <m/>
    <m/>
  </r>
  <r>
    <s v="DSCN2352"/>
    <s v="TC1031_7"/>
    <n v="7"/>
    <n v="1"/>
    <s v="Trail Camp"/>
    <d v="2018-10-31T00:00:00"/>
    <x v="1"/>
    <s v="Fall"/>
    <d v="1899-12-30T00:28:00"/>
    <s v="Partly cloudy, snowing"/>
    <s v="WL/PS"/>
    <s v="Foraging"/>
    <s v="NA"/>
    <n v="1"/>
    <m/>
    <n v="0"/>
    <m/>
    <x v="2"/>
    <x v="2"/>
    <s v="Ground"/>
    <s v="NA"/>
    <s v="NA"/>
    <s v="NA"/>
    <s v="NA"/>
    <s v="NA"/>
    <s v="NA"/>
    <m/>
    <n v="0"/>
    <n v="0"/>
    <n v="0"/>
    <n v="0"/>
    <n v="8"/>
    <n v="0"/>
    <n v="8"/>
    <m/>
    <m/>
    <m/>
    <m/>
  </r>
  <r>
    <s v="DSCN2354"/>
    <s v="TC1031_8"/>
    <n v="8"/>
    <n v="1"/>
    <s v="Trail Camp"/>
    <d v="2018-10-31T00:00:00"/>
    <x v="1"/>
    <s v="Fall"/>
    <d v="1899-12-30T00:32:00"/>
    <s v="Partly cloudy, snowing"/>
    <s v="WL/PS"/>
    <s v="Foraging"/>
    <s v="Aspen and spruce"/>
    <s v="unknown"/>
    <m/>
    <s v="unknown"/>
    <m/>
    <x v="2"/>
    <x v="2"/>
    <s v="NA"/>
    <s v="NA"/>
    <m/>
    <m/>
    <m/>
    <s v="NA"/>
    <s v="NA"/>
    <m/>
    <n v="21"/>
    <n v="7"/>
    <n v="7"/>
    <n v="21"/>
    <n v="0"/>
    <n v="0"/>
    <n v="28"/>
    <m/>
    <m/>
    <m/>
    <m/>
  </r>
  <r>
    <s v="DSCN2355"/>
    <s v="TC1031_9"/>
    <n v="9"/>
    <n v="1"/>
    <s v="Trail Camp"/>
    <d v="2018-10-31T00:00:00"/>
    <x v="1"/>
    <s v="Fall"/>
    <d v="1899-12-30T00:57:00"/>
    <s v="Partly cloudy, snowing"/>
    <s v="WL/PS"/>
    <s v="Caching"/>
    <s v="Spruce"/>
    <n v="0"/>
    <m/>
    <n v="1"/>
    <m/>
    <x v="2"/>
    <x v="2"/>
    <s v="unknown"/>
    <s v="Exterior spruce in needles"/>
    <s v="Spruce"/>
    <s v="Exterior"/>
    <s v="Foliage"/>
    <s v="unknown"/>
    <n v="63.73171"/>
    <n v="148.90314000000001"/>
    <n v="0"/>
    <n v="0"/>
    <n v="0"/>
    <n v="0"/>
    <n v="0"/>
    <n v="0"/>
    <n v="0"/>
    <m/>
    <s v="First cache is suspected, B&amp;Ut second was confirmed"/>
    <m/>
    <m/>
  </r>
  <r>
    <s v="DSCN2355"/>
    <s v="TC1031_9"/>
    <n v="9"/>
    <n v="2"/>
    <s v="Trail Camp"/>
    <d v="2018-10-31T00:00:00"/>
    <x v="1"/>
    <s v="Fall"/>
    <d v="1899-12-30T00:57:00"/>
    <s v="Partly cloudy, snowing"/>
    <s v="WL/PS"/>
    <s v="Caching"/>
    <s v="Spruce"/>
    <n v="0"/>
    <m/>
    <n v="1"/>
    <m/>
    <x v="2"/>
    <x v="2"/>
    <s v="unknown"/>
    <s v="Interior spruce on trunk under bark "/>
    <s v="Spruce"/>
    <s v="Trunk"/>
    <s v="Under bark"/>
    <s v="unknown"/>
    <n v="63.73171"/>
    <n v="148.90315000000001"/>
    <n v="0"/>
    <n v="0"/>
    <n v="0"/>
    <n v="0"/>
    <n v="0"/>
    <n v="0"/>
    <n v="0"/>
    <m/>
    <s v="First cache is suspected, B&amp;Ut second was confirmed"/>
    <m/>
    <m/>
  </r>
  <r>
    <s v="DSCN2356"/>
    <s v="TC1031_10"/>
    <n v="10"/>
    <n v="1"/>
    <s v="Trail Camp"/>
    <d v="2018-10-31T00:00:00"/>
    <x v="1"/>
    <s v="Fall"/>
    <d v="1899-12-30T00:16:00"/>
    <s v="Partly cloudy, snowing"/>
    <s v="WL/PS"/>
    <s v="Foraging"/>
    <s v="NA"/>
    <n v="1"/>
    <m/>
    <n v="0"/>
    <m/>
    <x v="2"/>
    <x v="2"/>
    <s v="Ground"/>
    <s v="NA"/>
    <s v="NA"/>
    <s v="NA"/>
    <s v="NA"/>
    <s v="NA"/>
    <s v="NA"/>
    <m/>
    <n v="0"/>
    <n v="0"/>
    <n v="0"/>
    <n v="0"/>
    <n v="7"/>
    <n v="0"/>
    <n v="7"/>
    <m/>
    <m/>
    <m/>
    <m/>
  </r>
  <r>
    <s v="DSCN2361"/>
    <s v="TC1031_11"/>
    <n v="11"/>
    <n v="1"/>
    <s v="Trail Camp"/>
    <d v="2018-10-31T00:00:00"/>
    <x v="1"/>
    <s v="Fall"/>
    <d v="1899-12-30T00:14:00"/>
    <s v="Partly cloudy, snowing"/>
    <s v="BO/OS"/>
    <s v="Foraging"/>
    <s v="Spruce"/>
    <n v="0"/>
    <m/>
    <n v="0"/>
    <m/>
    <x v="1"/>
    <x v="1"/>
    <s v="NA"/>
    <s v="NA"/>
    <s v="NA"/>
    <s v="NA"/>
    <s v="NA"/>
    <s v="NA"/>
    <s v="NA"/>
    <m/>
    <n v="14"/>
    <n v="0"/>
    <n v="14"/>
    <n v="0"/>
    <n v="0"/>
    <n v="0"/>
    <n v="14"/>
    <s v="searching"/>
    <m/>
    <m/>
    <m/>
  </r>
  <r>
    <s v="DSCN2362"/>
    <s v="TC1031_12"/>
    <n v="12"/>
    <n v="1"/>
    <s v="Trail Camp"/>
    <d v="2018-10-31T00:00:00"/>
    <x v="1"/>
    <s v="Fall"/>
    <d v="1899-12-30T00:20:00"/>
    <s v="Partly cloudy, snowing"/>
    <s v="WL/PS"/>
    <s v="Food handling"/>
    <s v="Spruce"/>
    <n v="1"/>
    <m/>
    <n v="0"/>
    <m/>
    <x v="2"/>
    <x v="2"/>
    <s v="unknown"/>
    <s v="NA"/>
    <s v="NA"/>
    <s v="NA"/>
    <s v="NA"/>
    <s v="NA"/>
    <s v="NA"/>
    <m/>
    <n v="0"/>
    <n v="0"/>
    <n v="0"/>
    <n v="0"/>
    <n v="0"/>
    <n v="0"/>
    <n v="0"/>
    <m/>
    <m/>
    <m/>
    <m/>
  </r>
  <r>
    <s v="DSCN2363"/>
    <s v="TC1031_13"/>
    <n v="13"/>
    <n v="1"/>
    <s v="Trail Camp"/>
    <d v="2018-10-31T00:00:00"/>
    <x v="1"/>
    <s v="Fall"/>
    <d v="1899-12-30T00:16:00"/>
    <s v="Partly cloudy, snowing"/>
    <s v="WL/PS"/>
    <s v="Foraging"/>
    <s v="Spruce"/>
    <n v="0"/>
    <m/>
    <n v="0"/>
    <m/>
    <x v="1"/>
    <x v="1"/>
    <s v="NA"/>
    <s v="NA"/>
    <s v="NA"/>
    <s v="NA"/>
    <s v="NA"/>
    <s v="NA"/>
    <s v="NA"/>
    <m/>
    <n v="11"/>
    <n v="0"/>
    <n v="11"/>
    <n v="0"/>
    <n v="0"/>
    <n v="0"/>
    <n v="11"/>
    <m/>
    <m/>
    <m/>
    <m/>
  </r>
  <r>
    <s v="DSCN2364"/>
    <s v="TC1031_14"/>
    <n v="14"/>
    <n v="1"/>
    <s v="Trail Camp"/>
    <d v="2018-10-31T00:00:00"/>
    <x v="1"/>
    <s v="Fall"/>
    <d v="1899-12-30T00:07:00"/>
    <s v="Partly cloudy, snowing"/>
    <s v="BO/OS"/>
    <s v="Foraging"/>
    <s v="Aspen"/>
    <n v="1"/>
    <m/>
    <n v="0"/>
    <m/>
    <x v="2"/>
    <x v="2"/>
    <s v="Exterior Aspen bare branch"/>
    <s v="NA"/>
    <s v="NA"/>
    <s v="NA"/>
    <s v="NA"/>
    <s v="NA"/>
    <s v="NA"/>
    <m/>
    <n v="0"/>
    <n v="0"/>
    <n v="0"/>
    <n v="0"/>
    <n v="0"/>
    <n v="0"/>
    <n v="0"/>
    <m/>
    <s v="Didn't catch foraging on film"/>
    <m/>
    <m/>
  </r>
  <r>
    <s v="DSCN2367"/>
    <s v="TC1031_15"/>
    <n v="15"/>
    <n v="1"/>
    <s v="Trail Camp"/>
    <d v="2018-10-31T00:00:00"/>
    <x v="1"/>
    <s v="Fall"/>
    <d v="1899-12-30T00:21:00"/>
    <s v="Partly cloudy, snowing"/>
    <s v="Unknown"/>
    <s v="Foraging"/>
    <s v="Spruce"/>
    <s v="unknown"/>
    <m/>
    <s v="unknown"/>
    <m/>
    <x v="2"/>
    <x v="2"/>
    <s v="NA"/>
    <s v="NA"/>
    <m/>
    <m/>
    <m/>
    <s v="NA"/>
    <s v="NA"/>
    <m/>
    <n v="0"/>
    <n v="21"/>
    <n v="21"/>
    <n v="0"/>
    <n v="0"/>
    <n v="0"/>
    <n v="21"/>
    <m/>
    <s v="Unsure if really from TC"/>
    <m/>
    <m/>
  </r>
  <r>
    <s v="DSCN405"/>
    <s v="M2370907_4"/>
    <n v="4"/>
    <n v="1"/>
    <s v="Mile 237"/>
    <d v="2018-09-07T00:00:00"/>
    <x v="0"/>
    <s v="Fall"/>
    <d v="1899-12-30T01:30:00"/>
    <s v="Overcast"/>
    <s v="Unknown"/>
    <s v="Cache recovery/foraging"/>
    <s v="Aspen"/>
    <n v="1"/>
    <m/>
    <n v="0"/>
    <m/>
    <x v="6"/>
    <x v="17"/>
    <s v="Exterior aspen branch"/>
    <s v="NA"/>
    <s v="NA"/>
    <s v="NA"/>
    <s v="NA"/>
    <s v="NA"/>
    <s v="NA"/>
    <m/>
    <n v="0"/>
    <n v="0"/>
    <n v="0"/>
    <n v="0"/>
    <n v="12"/>
    <n v="0"/>
    <n v="12"/>
    <m/>
    <m/>
    <m/>
    <m/>
  </r>
  <r>
    <s v="DSCN405"/>
    <s v="M2370907_4"/>
    <n v="4"/>
    <n v="1"/>
    <s v="Mile 237"/>
    <d v="2018-09-07T00:00:00"/>
    <x v="0"/>
    <s v="Fall"/>
    <d v="1899-12-30T01:30:00"/>
    <s v="Overcast"/>
    <s v="Unknown"/>
    <s v="Cache recovery/foraging"/>
    <s v="Aspen"/>
    <n v="1"/>
    <m/>
    <n v="0"/>
    <m/>
    <x v="6"/>
    <x v="17"/>
    <s v="Exterior aspen branch"/>
    <s v="NA"/>
    <s v="NA"/>
    <s v="NA"/>
    <s v="NA"/>
    <s v="NA"/>
    <s v="NA"/>
    <m/>
    <n v="0"/>
    <n v="0"/>
    <n v="0"/>
    <n v="0"/>
    <n v="4"/>
    <n v="0"/>
    <n v="4"/>
    <m/>
    <m/>
    <m/>
    <m/>
  </r>
  <r>
    <s v="DSN0725"/>
    <s v="CC0914_1"/>
    <n v="1"/>
    <n v="1"/>
    <s v="CCAMP"/>
    <d v="2018-09-14T00:00:00"/>
    <x v="0"/>
    <s v="Fall"/>
    <d v="1899-12-30T00:21:00"/>
    <s v="Mostly sunny"/>
    <s v="GR/RS"/>
    <s v="Food handling"/>
    <s v="Spruce"/>
    <n v="1"/>
    <m/>
    <n v="0"/>
    <m/>
    <x v="2"/>
    <x v="2"/>
    <s v="unknown"/>
    <s v="NA"/>
    <s v="NA"/>
    <s v="NA"/>
    <s v="NA"/>
    <s v="NA"/>
    <s v="NA"/>
    <m/>
    <n v="2"/>
    <n v="0"/>
    <n v="2"/>
    <n v="0"/>
    <n v="0"/>
    <n v="0"/>
    <n v="2"/>
    <m/>
    <s v="A little unclear from video if it was eating food it already had or foraging for more…"/>
    <m/>
    <m/>
  </r>
  <r>
    <s v="DSN0966"/>
    <s v="B&amp;U0920_6"/>
    <n v="6"/>
    <n v="1"/>
    <s v="B&amp;U"/>
    <d v="2018-09-20T00:00:00"/>
    <x v="0"/>
    <s v="Fall"/>
    <d v="1899-12-30T00:38:00"/>
    <s v="Overcast, light rain"/>
    <s v="WP/BS"/>
    <s v="Caching"/>
    <s v="Spruce"/>
    <n v="0"/>
    <m/>
    <n v="1"/>
    <m/>
    <x v="2"/>
    <x v="2"/>
    <s v="unknown"/>
    <s v="Exterior spruce foliage"/>
    <s v="Spruce"/>
    <s v="Exterior"/>
    <s v="Foliage"/>
    <s v="Unknown"/>
    <n v="63.72569"/>
    <n v="148.95882"/>
    <n v="0"/>
    <n v="0"/>
    <n v="0"/>
    <n v="0"/>
    <n v="0"/>
    <n v="0"/>
    <n v="0"/>
    <m/>
    <s v="Double cache tree!"/>
    <m/>
    <m/>
  </r>
  <r>
    <s v="No video"/>
    <m/>
    <m/>
    <m/>
    <s v="Mile 3.5"/>
    <d v="2018-09-03T00:00:00"/>
    <x v="0"/>
    <s v="Fall"/>
    <s v="NA"/>
    <m/>
    <s v="unknown"/>
    <s v="Caching"/>
    <s v="Spruce"/>
    <n v="0"/>
    <m/>
    <n v="1"/>
    <m/>
    <x v="2"/>
    <x v="2"/>
    <s v="unknown"/>
    <s v="Spruce"/>
    <s v="Spruce"/>
    <s v="unknown"/>
    <s v="unknown"/>
    <s v="unknown"/>
    <n v="63.72287"/>
    <n v="148.98138"/>
    <n v="0"/>
    <n v="0"/>
    <n v="0"/>
    <n v="0"/>
    <n v="0"/>
    <n v="0"/>
    <n v="0"/>
    <m/>
    <s v="Don't have video, B&amp;Ut gps'd cahce location.  "/>
    <n v="0"/>
    <n v="0"/>
  </r>
  <r>
    <s v="No video"/>
    <m/>
    <m/>
    <m/>
    <s v="B&amp;U"/>
    <d v="2018-09-15T00:00:00"/>
    <x v="0"/>
    <s v="Fall"/>
    <m/>
    <s v="Mostly sunny"/>
    <s v="unknown"/>
    <s v="Caching"/>
    <s v="Spruce"/>
    <n v="0"/>
    <m/>
    <n v="1"/>
    <m/>
    <x v="6"/>
    <x v="13"/>
    <s v="NA"/>
    <s v="Spruce"/>
    <s v="Spruce"/>
    <s v="unknown"/>
    <s v="unknown"/>
    <n v="28"/>
    <n v="63.725029999999997"/>
    <n v="148.95626999999999"/>
    <n v="0"/>
    <n v="0"/>
    <n v="0"/>
    <n v="0"/>
    <n v="0"/>
    <n v="0"/>
    <n v="0"/>
    <m/>
    <s v="Did not record cache on cemera B&amp;Ut witnessed with binoculars "/>
    <m/>
    <m/>
  </r>
  <r>
    <s v="No video"/>
    <m/>
    <m/>
    <m/>
    <s v="Mile 237"/>
    <d v="2018-09-18T00:00:00"/>
    <x v="0"/>
    <s v="Fall"/>
    <m/>
    <s v="Overcast"/>
    <s v="YP/RS"/>
    <s v="Caching"/>
    <s v="Aspen"/>
    <n v="0"/>
    <m/>
    <n v="1"/>
    <m/>
    <x v="2"/>
    <x v="2"/>
    <s v="unknown"/>
    <s v="Aspen trunk "/>
    <s v="Aspen"/>
    <s v="Trunk"/>
    <s v="Under bark"/>
    <s v="Unknown"/>
    <n v="63.724319999999999"/>
    <n v="148.88916"/>
    <n v="0"/>
    <n v="0"/>
    <n v="0"/>
    <n v="0"/>
    <n v="0"/>
    <n v="0"/>
    <n v="0"/>
    <m/>
    <s v="Observed by DL"/>
    <m/>
    <m/>
  </r>
  <r>
    <s v="No video"/>
    <m/>
    <m/>
    <n v="1"/>
    <s v="B&amp;U"/>
    <d v="2018-09-20T00:00:00"/>
    <x v="0"/>
    <s v="Fall"/>
    <m/>
    <s v="Overcast, light rain"/>
    <s v="GR/PS"/>
    <s v="Caching"/>
    <s v="Spruce"/>
    <n v="0"/>
    <m/>
    <n v="1"/>
    <s v="Same tree"/>
    <x v="2"/>
    <x v="2"/>
    <s v="Ground"/>
    <s v="Spruce on trunk under bark. "/>
    <s v="Spruce"/>
    <s v="Trunk"/>
    <s v="Under bark"/>
    <s v="Unknown"/>
    <n v="63.726179999999999"/>
    <n v="148.96117000000001"/>
    <n v="0"/>
    <n v="0"/>
    <n v="0"/>
    <n v="0"/>
    <n v="0"/>
    <n v="0"/>
    <n v="0"/>
    <m/>
    <s v="Witnessed by DL"/>
    <m/>
    <m/>
  </r>
  <r>
    <s v="No video"/>
    <m/>
    <m/>
    <n v="2"/>
    <s v="B&amp;U"/>
    <d v="2018-09-20T00:00:00"/>
    <x v="0"/>
    <s v="Fall"/>
    <m/>
    <s v="Overcast, light rain"/>
    <s v="GR/PS"/>
    <s v="Caching"/>
    <s v="Spruce"/>
    <n v="0"/>
    <m/>
    <n v="1"/>
    <s v="Same tree"/>
    <x v="2"/>
    <x v="2"/>
    <s v="Ground"/>
    <s v="Spruce in exterior foliage. "/>
    <s v="Spruce"/>
    <s v="Exterior"/>
    <s v="Foliage"/>
    <s v="Unknown"/>
    <n v="63.726179999999999"/>
    <n v="148.96117000000001"/>
    <n v="0"/>
    <n v="0"/>
    <n v="0"/>
    <n v="0"/>
    <n v="0"/>
    <n v="0"/>
    <n v="0"/>
    <m/>
    <s v="Witnessed by DL"/>
    <m/>
    <m/>
  </r>
  <r>
    <s v="No video"/>
    <m/>
    <m/>
    <m/>
    <s v="B&amp;U"/>
    <d v="2018-09-23T00:00:00"/>
    <x v="0"/>
    <s v="Fall"/>
    <m/>
    <s v="Overcast"/>
    <s v="unknown"/>
    <s v="Caching"/>
    <s v="Spruce"/>
    <n v="1"/>
    <m/>
    <n v="1"/>
    <m/>
    <x v="3"/>
    <x v="12"/>
    <s v="Ground"/>
    <s v="Interior spruce under bark"/>
    <s v="Spruce"/>
    <s v="Interior"/>
    <s v="Under bark"/>
    <n v="5"/>
    <n v="63.725430000000003"/>
    <n v="148.9597"/>
    <n v="0"/>
    <n v="0"/>
    <n v="0"/>
    <n v="0"/>
    <n v="0"/>
    <n v="0"/>
    <n v="0"/>
    <m/>
    <s v="Witnessed foraging/caching event outside of work.  Noted tree and returned later to record GPS"/>
    <m/>
    <m/>
  </r>
  <r>
    <s v="No video"/>
    <m/>
    <m/>
    <m/>
    <s v="Mercantile"/>
    <d v="2018-09-25T00:00:00"/>
    <x v="0"/>
    <s v="Fall"/>
    <m/>
    <s v="Overcast"/>
    <s v="WO/OS"/>
    <s v="Caching"/>
    <s v="NA"/>
    <n v="0"/>
    <m/>
    <n v="1"/>
    <m/>
    <x v="6"/>
    <x v="13"/>
    <s v="NA"/>
    <s v="Interior top of spruce in foliage."/>
    <s v="Spruce"/>
    <s v="Interior"/>
    <s v="Foliage"/>
    <n v="18"/>
    <n v="63.732320000000001"/>
    <n v="148.89685"/>
    <n v="0"/>
    <n v="0"/>
    <n v="0"/>
    <n v="0"/>
    <n v="0"/>
    <n v="0"/>
    <n v="0"/>
    <m/>
    <s v="Cached food from previous video.  Did not get in on camera B&amp;Ut observed IRL"/>
    <m/>
    <m/>
  </r>
  <r>
    <s v="No video"/>
    <m/>
    <m/>
    <m/>
    <s v="Mile 237"/>
    <d v="2018-09-27T00:00:00"/>
    <x v="0"/>
    <s v="Fall"/>
    <m/>
    <s v="Partly sunny"/>
    <s v="YP/RS"/>
    <s v="Foraging/caching"/>
    <s v="Spruce"/>
    <n v="1"/>
    <m/>
    <n v="1"/>
    <m/>
    <x v="2"/>
    <x v="2"/>
    <s v="Ground"/>
    <s v="Exterior spruce foliage"/>
    <s v="Spruce"/>
    <s v="Exterior"/>
    <s v="Foliage"/>
    <n v="3"/>
    <n v="63.724739999999997"/>
    <n v="148.88999999999999"/>
    <n v="0"/>
    <n v="0"/>
    <n v="0"/>
    <n v="0"/>
    <n v="2"/>
    <n v="0"/>
    <n v="2"/>
    <m/>
    <s v="Didn't catch either on video, B&amp;Ut KS witnessed both.  We were able to visually confirm cache, though we couldn't figure out what it was! "/>
    <m/>
    <m/>
  </r>
  <r>
    <s v="No video"/>
    <m/>
    <m/>
    <n v="1"/>
    <s v="CCAMP"/>
    <d v="2018-10-09T00:00:00"/>
    <x v="1"/>
    <s v="Fall"/>
    <m/>
    <s v="Mostly cloudy"/>
    <s v="GB/BS"/>
    <s v="Caching"/>
    <s v="Aspen"/>
    <n v="0"/>
    <m/>
    <n v="1"/>
    <m/>
    <x v="2"/>
    <x v="2"/>
    <s v="unknown"/>
    <s v="unknown"/>
    <s v="Unknown"/>
    <s v="unknown"/>
    <s v="unknown"/>
    <s v="unknown"/>
    <n v="63.723750000000003"/>
    <n v="148.95131000000001"/>
    <n v="0"/>
    <n v="0"/>
    <n v="0"/>
    <n v="0"/>
    <n v="0"/>
    <n v="0"/>
    <n v="0"/>
    <m/>
    <s v="Observed by KS.  B&amp;Ut she can't remember any details about the cache :( "/>
    <m/>
    <m/>
  </r>
  <r>
    <s v="No video "/>
    <m/>
    <m/>
    <m/>
    <s v="M4Roadside"/>
    <d v="2018-09-05T00:00:00"/>
    <x v="0"/>
    <s v="Fall"/>
    <m/>
    <s v="Partly sunny"/>
    <s v="unknown"/>
    <s v="Caching"/>
    <s v="Spruce"/>
    <n v="0"/>
    <m/>
    <n v="1"/>
    <m/>
    <x v="3"/>
    <x v="4"/>
    <s v="Ground"/>
    <s v="Spruce foliage"/>
    <s v="Spruce"/>
    <s v="unknown"/>
    <s v="Foliage"/>
    <s v="Unknown"/>
    <n v="63.72148"/>
    <n v="148.98616000000001"/>
    <n v="0"/>
    <n v="0"/>
    <n v="0"/>
    <n v="0"/>
    <n v="0"/>
    <n v="0"/>
    <n v="0"/>
    <m/>
    <s v="Caching blueberries from previous video "/>
    <m/>
    <m/>
  </r>
  <r>
    <s v="No video "/>
    <m/>
    <m/>
    <m/>
    <s v="M4Roadside"/>
    <d v="2018-09-05T00:00:00"/>
    <x v="0"/>
    <s v="Fall"/>
    <m/>
    <s v="Partly sunny"/>
    <s v="WG/OS"/>
    <s v="Caching"/>
    <s v="Spruce"/>
    <n v="0"/>
    <m/>
    <n v="1"/>
    <m/>
    <x v="2"/>
    <x v="2"/>
    <s v="Unknown"/>
    <s v="Spruce foliage"/>
    <s v="Spruce"/>
    <s v="unknown"/>
    <s v="Foliage"/>
    <s v="Unknown"/>
    <n v="63.721179999999997"/>
    <n v="148.98785000000001"/>
    <n v="0"/>
    <n v="0"/>
    <n v="0"/>
    <n v="0"/>
    <n v="0"/>
    <n v="0"/>
    <n v="0"/>
    <m/>
    <s v="Tucker saw the bird cache with his binocculars "/>
    <m/>
    <m/>
  </r>
  <r>
    <s v="No video "/>
    <m/>
    <m/>
    <m/>
    <s v="M4Roadside"/>
    <d v="2018-09-19T00:00:00"/>
    <x v="0"/>
    <s v="Fall"/>
    <m/>
    <m/>
    <s v="OB/YS"/>
    <s v="Caching"/>
    <s v="Spruce"/>
    <n v="0"/>
    <m/>
    <n v="1"/>
    <m/>
    <x v="2"/>
    <x v="2"/>
    <s v="unknown"/>
    <s v="Exterior spruce branch under bark/witch hair"/>
    <s v="Spruce"/>
    <s v="Exterior"/>
    <s v="Under bark and witch hair "/>
    <s v="Unknown"/>
    <n v="63.723179999999999"/>
    <n v="148.98204000000001"/>
    <n v="0"/>
    <n v="0"/>
    <n v="0"/>
    <n v="0"/>
    <n v="0"/>
    <n v="0"/>
    <n v="0"/>
    <m/>
    <s v="Observed by KS, TG,  B&amp;Ut not captured on video "/>
    <m/>
    <m/>
  </r>
  <r>
    <m/>
    <m/>
    <m/>
    <m/>
    <m/>
    <m/>
    <x v="3"/>
    <s v="Fall"/>
    <m/>
    <m/>
    <m/>
    <m/>
    <m/>
    <m/>
    <m/>
    <m/>
    <m/>
    <x v="1"/>
    <x v="64"/>
    <m/>
    <m/>
    <m/>
    <m/>
    <m/>
    <m/>
    <m/>
    <m/>
    <m/>
    <m/>
    <m/>
    <m/>
    <m/>
    <m/>
    <n v="0"/>
    <m/>
    <m/>
    <m/>
    <m/>
  </r>
  <r>
    <m/>
    <m/>
    <m/>
    <m/>
    <m/>
    <m/>
    <x v="3"/>
    <s v="Fall"/>
    <m/>
    <m/>
    <m/>
    <m/>
    <m/>
    <m/>
    <m/>
    <m/>
    <m/>
    <x v="1"/>
    <x v="64"/>
    <m/>
    <m/>
    <m/>
    <m/>
    <m/>
    <m/>
    <m/>
    <m/>
    <m/>
    <m/>
    <m/>
    <m/>
    <m/>
    <m/>
    <n v="0"/>
    <m/>
    <m/>
    <m/>
    <m/>
  </r>
  <r>
    <m/>
    <m/>
    <m/>
    <m/>
    <m/>
    <m/>
    <x v="3"/>
    <s v="Fall"/>
    <m/>
    <m/>
    <m/>
    <m/>
    <m/>
    <m/>
    <m/>
    <m/>
    <m/>
    <x v="1"/>
    <x v="64"/>
    <m/>
    <m/>
    <m/>
    <m/>
    <m/>
    <m/>
    <m/>
    <m/>
    <m/>
    <m/>
    <m/>
    <m/>
    <m/>
    <m/>
    <n v="0"/>
    <m/>
    <m/>
    <m/>
    <m/>
  </r>
  <r>
    <m/>
    <m/>
    <m/>
    <m/>
    <m/>
    <m/>
    <x v="3"/>
    <s v="Fall"/>
    <m/>
    <m/>
    <m/>
    <m/>
    <m/>
    <m/>
    <m/>
    <m/>
    <m/>
    <x v="1"/>
    <x v="64"/>
    <m/>
    <m/>
    <m/>
    <m/>
    <m/>
    <m/>
    <m/>
    <m/>
    <m/>
    <m/>
    <m/>
    <m/>
    <m/>
    <m/>
    <n v="0"/>
    <m/>
    <m/>
    <m/>
    <m/>
  </r>
  <r>
    <m/>
    <m/>
    <m/>
    <m/>
    <m/>
    <m/>
    <x v="3"/>
    <s v="Fall"/>
    <m/>
    <m/>
    <m/>
    <m/>
    <m/>
    <m/>
    <m/>
    <m/>
    <m/>
    <x v="1"/>
    <x v="64"/>
    <m/>
    <m/>
    <m/>
    <m/>
    <m/>
    <m/>
    <m/>
    <m/>
    <m/>
    <m/>
    <m/>
    <m/>
    <m/>
    <m/>
    <n v="0"/>
    <m/>
    <m/>
    <m/>
    <m/>
  </r>
  <r>
    <m/>
    <m/>
    <m/>
    <m/>
    <m/>
    <m/>
    <x v="3"/>
    <s v="Fall"/>
    <m/>
    <m/>
    <m/>
    <m/>
    <m/>
    <m/>
    <m/>
    <m/>
    <m/>
    <x v="1"/>
    <x v="64"/>
    <m/>
    <m/>
    <m/>
    <m/>
    <m/>
    <m/>
    <m/>
    <m/>
    <m/>
    <m/>
    <m/>
    <m/>
    <m/>
    <m/>
    <n v="0"/>
    <m/>
    <m/>
    <m/>
    <m/>
  </r>
  <r>
    <m/>
    <m/>
    <m/>
    <m/>
    <m/>
    <m/>
    <x v="3"/>
    <s v="Fall"/>
    <m/>
    <m/>
    <m/>
    <m/>
    <m/>
    <m/>
    <m/>
    <m/>
    <m/>
    <x v="1"/>
    <x v="64"/>
    <m/>
    <m/>
    <m/>
    <m/>
    <m/>
    <m/>
    <m/>
    <m/>
    <m/>
    <m/>
    <m/>
    <m/>
    <m/>
    <m/>
    <n v="0"/>
    <m/>
    <m/>
    <m/>
    <m/>
  </r>
  <r>
    <m/>
    <m/>
    <m/>
    <m/>
    <m/>
    <m/>
    <x v="3"/>
    <s v="Fall"/>
    <m/>
    <m/>
    <m/>
    <m/>
    <m/>
    <m/>
    <m/>
    <m/>
    <m/>
    <x v="1"/>
    <x v="64"/>
    <m/>
    <m/>
    <m/>
    <m/>
    <m/>
    <m/>
    <m/>
    <m/>
    <m/>
    <m/>
    <m/>
    <m/>
    <m/>
    <m/>
    <n v="0"/>
    <m/>
    <m/>
    <m/>
    <m/>
  </r>
  <r>
    <m/>
    <m/>
    <m/>
    <m/>
    <m/>
    <m/>
    <x v="3"/>
    <s v="Fall"/>
    <m/>
    <m/>
    <m/>
    <m/>
    <m/>
    <m/>
    <m/>
    <m/>
    <m/>
    <x v="1"/>
    <x v="64"/>
    <m/>
    <m/>
    <m/>
    <m/>
    <m/>
    <m/>
    <m/>
    <m/>
    <m/>
    <m/>
    <m/>
    <m/>
    <m/>
    <m/>
    <n v="0"/>
    <m/>
    <m/>
    <m/>
    <m/>
  </r>
  <r>
    <m/>
    <m/>
    <m/>
    <m/>
    <m/>
    <m/>
    <x v="3"/>
    <s v="Fall"/>
    <m/>
    <m/>
    <m/>
    <m/>
    <m/>
    <m/>
    <m/>
    <m/>
    <m/>
    <x v="1"/>
    <x v="64"/>
    <m/>
    <m/>
    <m/>
    <m/>
    <m/>
    <m/>
    <m/>
    <m/>
    <m/>
    <m/>
    <m/>
    <m/>
    <m/>
    <m/>
    <n v="0"/>
    <m/>
    <m/>
    <m/>
    <m/>
  </r>
  <r>
    <m/>
    <m/>
    <m/>
    <m/>
    <m/>
    <m/>
    <x v="3"/>
    <s v="Fall"/>
    <m/>
    <m/>
    <m/>
    <m/>
    <m/>
    <m/>
    <m/>
    <m/>
    <m/>
    <x v="1"/>
    <x v="64"/>
    <m/>
    <m/>
    <m/>
    <m/>
    <m/>
    <m/>
    <m/>
    <m/>
    <m/>
    <m/>
    <m/>
    <m/>
    <m/>
    <m/>
    <n v="0"/>
    <m/>
    <m/>
    <m/>
    <m/>
  </r>
  <r>
    <m/>
    <m/>
    <m/>
    <m/>
    <m/>
    <m/>
    <x v="3"/>
    <s v="Fall"/>
    <m/>
    <m/>
    <m/>
    <m/>
    <m/>
    <m/>
    <m/>
    <m/>
    <m/>
    <x v="1"/>
    <x v="64"/>
    <m/>
    <m/>
    <m/>
    <m/>
    <m/>
    <m/>
    <m/>
    <m/>
    <m/>
    <m/>
    <m/>
    <m/>
    <m/>
    <m/>
    <n v="0"/>
    <m/>
    <m/>
    <m/>
    <m/>
  </r>
  <r>
    <m/>
    <m/>
    <m/>
    <m/>
    <m/>
    <m/>
    <x v="3"/>
    <s v="Fall"/>
    <m/>
    <m/>
    <m/>
    <m/>
    <m/>
    <m/>
    <m/>
    <m/>
    <m/>
    <x v="1"/>
    <x v="64"/>
    <m/>
    <m/>
    <m/>
    <m/>
    <m/>
    <m/>
    <m/>
    <m/>
    <m/>
    <m/>
    <m/>
    <m/>
    <m/>
    <m/>
    <n v="0"/>
    <m/>
    <m/>
    <m/>
    <m/>
  </r>
  <r>
    <m/>
    <m/>
    <m/>
    <m/>
    <m/>
    <m/>
    <x v="3"/>
    <s v="Fall"/>
    <m/>
    <m/>
    <m/>
    <m/>
    <m/>
    <m/>
    <m/>
    <m/>
    <m/>
    <x v="1"/>
    <x v="64"/>
    <m/>
    <m/>
    <m/>
    <m/>
    <m/>
    <m/>
    <m/>
    <m/>
    <m/>
    <m/>
    <m/>
    <m/>
    <m/>
    <m/>
    <n v="0"/>
    <m/>
    <m/>
    <m/>
    <m/>
  </r>
  <r>
    <m/>
    <m/>
    <m/>
    <m/>
    <m/>
    <m/>
    <x v="3"/>
    <s v="Fall"/>
    <m/>
    <m/>
    <m/>
    <m/>
    <m/>
    <m/>
    <m/>
    <m/>
    <m/>
    <x v="1"/>
    <x v="64"/>
    <m/>
    <m/>
    <m/>
    <m/>
    <m/>
    <m/>
    <m/>
    <m/>
    <m/>
    <m/>
    <m/>
    <m/>
    <m/>
    <m/>
    <n v="0"/>
    <m/>
    <m/>
    <m/>
    <m/>
  </r>
  <r>
    <m/>
    <m/>
    <m/>
    <m/>
    <m/>
    <m/>
    <x v="3"/>
    <s v="Fall"/>
    <m/>
    <m/>
    <m/>
    <m/>
    <m/>
    <m/>
    <m/>
    <m/>
    <m/>
    <x v="1"/>
    <x v="64"/>
    <m/>
    <m/>
    <m/>
    <m/>
    <m/>
    <m/>
    <m/>
    <m/>
    <m/>
    <m/>
    <m/>
    <m/>
    <m/>
    <m/>
    <n v="0"/>
    <m/>
    <m/>
    <m/>
    <m/>
  </r>
  <r>
    <m/>
    <m/>
    <m/>
    <m/>
    <m/>
    <m/>
    <x v="3"/>
    <s v="Fall"/>
    <m/>
    <m/>
    <m/>
    <m/>
    <m/>
    <m/>
    <m/>
    <m/>
    <m/>
    <x v="1"/>
    <x v="64"/>
    <m/>
    <m/>
    <m/>
    <m/>
    <m/>
    <m/>
    <m/>
    <m/>
    <m/>
    <m/>
    <m/>
    <m/>
    <m/>
    <m/>
    <n v="0"/>
    <m/>
    <m/>
    <m/>
    <m/>
  </r>
  <r>
    <m/>
    <m/>
    <m/>
    <m/>
    <m/>
    <m/>
    <x v="3"/>
    <s v="Fall"/>
    <m/>
    <m/>
    <m/>
    <m/>
    <m/>
    <m/>
    <m/>
    <m/>
    <m/>
    <x v="1"/>
    <x v="64"/>
    <m/>
    <m/>
    <m/>
    <m/>
    <m/>
    <m/>
    <m/>
    <m/>
    <m/>
    <m/>
    <m/>
    <m/>
    <m/>
    <m/>
    <n v="0"/>
    <m/>
    <m/>
    <m/>
    <m/>
  </r>
  <r>
    <m/>
    <m/>
    <m/>
    <m/>
    <m/>
    <m/>
    <x v="3"/>
    <m/>
    <m/>
    <m/>
    <m/>
    <m/>
    <m/>
    <m/>
    <m/>
    <m/>
    <m/>
    <x v="1"/>
    <x v="64"/>
    <m/>
    <m/>
    <m/>
    <m/>
    <m/>
    <m/>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85">
  <r>
    <s v="DSCN4288"/>
    <s v="Porc0808_1"/>
    <n v="1"/>
    <n v="1"/>
    <s v="Porc"/>
    <d v="2019-08-08T00:00:00"/>
    <x v="0"/>
    <s v="Fall"/>
    <d v="1899-12-30T00:29:00"/>
    <s v="Sunny"/>
    <s v="PL/LS"/>
    <s v="Caching"/>
    <s v="Spruce"/>
    <n v="0"/>
    <s v="NA"/>
    <n v="1"/>
    <x v="0"/>
    <x v="0"/>
    <s v="Unknown"/>
    <s v="Interior spruce under bark"/>
    <s v="Spruce"/>
    <s v="Interior"/>
    <s v="Bark"/>
    <s v="NE"/>
    <n v="62"/>
    <s v="Unknown"/>
    <n v="63.720280000000002"/>
    <n v="148.97528"/>
    <s v="NA"/>
    <s v="NA"/>
    <s v="NA"/>
    <n v="0"/>
    <n v="0"/>
    <n v="0"/>
    <n v="0"/>
    <n v="0"/>
    <n v="0"/>
    <n v="0"/>
    <m/>
    <m/>
    <m/>
    <m/>
  </r>
  <r>
    <s v="DSCN4279"/>
    <s v="M3.50808_1"/>
    <n v="1"/>
    <n v="1"/>
    <s v="Mile 3.5"/>
    <d v="2019-08-08T00:00:00"/>
    <x v="0"/>
    <s v="Fall"/>
    <d v="1899-12-30T01:20:00"/>
    <s v="Sunny"/>
    <s v="WG/RS"/>
    <s v="Foraging"/>
    <s v="Spruce"/>
    <n v="1"/>
    <s v="Unknown"/>
    <s v="Unknown"/>
    <x v="0"/>
    <x v="0"/>
    <s v="Exterior spruce bark"/>
    <s v="NA"/>
    <s v="NA"/>
    <s v="NA"/>
    <s v="NA"/>
    <s v="NA"/>
    <s v="NA"/>
    <s v="NA"/>
    <s v="NA"/>
    <s v="NA"/>
    <s v="NA"/>
    <s v="NA"/>
    <s v="NA"/>
    <n v="41"/>
    <n v="0"/>
    <n v="12"/>
    <n v="29"/>
    <n v="0"/>
    <n v="0"/>
    <n v="41"/>
    <s v="Gleaning"/>
    <m/>
    <n v="0"/>
    <n v="1"/>
  </r>
  <r>
    <s v="DSCN4300"/>
    <s v="MC0809_3"/>
    <n v="3"/>
    <n v="1"/>
    <s v="Merc"/>
    <d v="2019-08-09T00:00:00"/>
    <x v="0"/>
    <s v="Fall"/>
    <d v="1899-12-30T00:07:00"/>
    <s v="Mostly cloudy"/>
    <s v="BW/GS"/>
    <s v="Caching"/>
    <s v="Spruce"/>
    <n v="0"/>
    <n v="1"/>
    <n v="1"/>
    <x v="0"/>
    <x v="0"/>
    <s v="Unknown"/>
    <s v="Spruce trunk under bark"/>
    <s v="Spruce"/>
    <s v="Trunk"/>
    <s v="Bark"/>
    <m/>
    <n v="246"/>
    <s v="Unknown"/>
    <n v="63.731619999999999"/>
    <n v="148.90079"/>
    <s v="NA"/>
    <s v="NA"/>
    <s v="NA"/>
    <n v="0"/>
    <n v="0"/>
    <n v="0"/>
    <n v="0"/>
    <n v="0"/>
    <n v="0"/>
    <n v="0"/>
    <m/>
    <s v="Missed acquisition"/>
    <m/>
    <m/>
  </r>
  <r>
    <s v="DSCN4308"/>
    <s v="MC0809_7"/>
    <n v="7"/>
    <n v="1"/>
    <s v="Merc"/>
    <d v="2019-08-09T00:00:00"/>
    <x v="0"/>
    <s v="Fall"/>
    <d v="1899-12-30T00:22:00"/>
    <s v="Mostly cloudy"/>
    <s v="BW/GS"/>
    <s v="Caching"/>
    <s v="Spruce"/>
    <n v="0"/>
    <n v="0"/>
    <n v="1"/>
    <x v="0"/>
    <x v="0"/>
    <s v="Unknown"/>
    <s v="Exterior spruce under bark"/>
    <s v="Spruce"/>
    <s v="Exterior"/>
    <s v="Bark"/>
    <m/>
    <n v="215"/>
    <s v="Unknown"/>
    <n v="63.733350000000002"/>
    <n v="148.89823999999999"/>
    <s v="NA"/>
    <s v="NA"/>
    <s v="NA"/>
    <n v="0"/>
    <n v="0"/>
    <n v="0"/>
    <n v="0"/>
    <n v="0"/>
    <n v="0"/>
    <n v="0"/>
    <m/>
    <m/>
    <m/>
    <m/>
  </r>
  <r>
    <s v="DSCN4308"/>
    <s v="MC0809_7"/>
    <n v="7"/>
    <n v="1"/>
    <s v="Merc"/>
    <d v="2019-08-09T00:00:00"/>
    <x v="0"/>
    <s v="Fall"/>
    <d v="1899-12-30T00:22:00"/>
    <s v="Mostly cloudy"/>
    <s v="BW/GS"/>
    <s v="Caching"/>
    <s v="Spruce"/>
    <n v="0"/>
    <n v="0"/>
    <n v="1"/>
    <x v="0"/>
    <x v="0"/>
    <s v="Unknown"/>
    <s v="Interior spruce under bark"/>
    <s v="Spruce"/>
    <s v="Interior"/>
    <s v="Bark"/>
    <m/>
    <n v="215"/>
    <s v="Unknown"/>
    <n v="63.733350000000002"/>
    <n v="148.89823999999999"/>
    <s v="NA"/>
    <s v="NA"/>
    <s v="NA"/>
    <n v="0"/>
    <n v="0"/>
    <n v="0"/>
    <n v="0"/>
    <n v="0"/>
    <n v="0"/>
    <n v="0"/>
    <m/>
    <s v="Differet trees.  GPS can't differnetiate "/>
    <m/>
    <m/>
  </r>
  <r>
    <s v="DSCN4297"/>
    <s v="MC0809_2"/>
    <n v="2"/>
    <n v="1"/>
    <s v="Merc"/>
    <d v="2019-08-09T00:00:00"/>
    <x v="0"/>
    <s v="Fall"/>
    <d v="1899-12-30T00:27:00"/>
    <s v="Mostly cloudy"/>
    <s v="BW/GS"/>
    <s v="Caching"/>
    <s v="Spruce"/>
    <n v="0"/>
    <n v="0"/>
    <n v="1"/>
    <x v="0"/>
    <x v="0"/>
    <s v="Unknown"/>
    <s v="Exterior spruce under bark"/>
    <s v="Spruce"/>
    <s v="Exterior"/>
    <s v="Bark"/>
    <m/>
    <n v="300"/>
    <s v="Unknown"/>
    <n v="63.733980000000003"/>
    <n v="148.89940000000001"/>
    <s v="NA"/>
    <s v="NA"/>
    <s v="NA"/>
    <n v="0"/>
    <n v="0"/>
    <n v="0"/>
    <n v="0"/>
    <n v="0"/>
    <n v="0"/>
    <n v="0"/>
    <m/>
    <s v="Missed acquisition"/>
    <m/>
    <m/>
  </r>
  <r>
    <s v="DSCN4311"/>
    <s v="MC809_10"/>
    <n v="10"/>
    <n v="1"/>
    <s v="Merc"/>
    <d v="2019-08-09T00:00:00"/>
    <x v="0"/>
    <s v="Fall"/>
    <d v="1899-12-30T00:22:00"/>
    <s v="Mostly cloudy"/>
    <s v="WO/OS"/>
    <s v="Caching"/>
    <s v="Aspen"/>
    <n v="0"/>
    <n v="0"/>
    <n v="1"/>
    <x v="0"/>
    <x v="0"/>
    <s v="Unknown"/>
    <s v="Exterior aspen under bark"/>
    <s v="Aspen"/>
    <s v="Exterior"/>
    <s v="Bark"/>
    <m/>
    <n v="65"/>
    <s v="Unknown"/>
    <n v="63.734540000000003"/>
    <n v="148.89734000000001"/>
    <s v="NA"/>
    <s v="NA"/>
    <s v="NA"/>
    <n v="0"/>
    <n v="0"/>
    <n v="0"/>
    <n v="0"/>
    <n v="0"/>
    <n v="0"/>
    <n v="0"/>
    <m/>
    <m/>
    <m/>
    <m/>
  </r>
  <r>
    <s v="DSCN4293"/>
    <s v="MC0809_1"/>
    <n v="1"/>
    <n v="1"/>
    <s v="Merc"/>
    <d v="2019-08-09T00:00:00"/>
    <x v="0"/>
    <s v="Fall"/>
    <d v="1899-12-30T00:13:00"/>
    <s v="Mostly cloudy"/>
    <s v="BW/GS"/>
    <s v="Foraging"/>
    <s v="Spruce"/>
    <n v="1"/>
    <s v="Unknown"/>
    <n v="0"/>
    <x v="0"/>
    <x v="0"/>
    <s v="Exterior spruce bark"/>
    <s v="NA"/>
    <s v="NA"/>
    <s v="NA"/>
    <s v="NA"/>
    <s v="NA"/>
    <s v="NA"/>
    <s v="NA"/>
    <s v="NA"/>
    <s v="NA"/>
    <s v="NA"/>
    <s v="NA"/>
    <s v="NA"/>
    <n v="0"/>
    <n v="0"/>
    <n v="0"/>
    <n v="0"/>
    <n v="0"/>
    <n v="0"/>
    <n v="0"/>
    <m/>
    <s v="Missed acquisition"/>
    <m/>
    <m/>
  </r>
  <r>
    <s v="DSCN4293"/>
    <s v="MC0809_1"/>
    <n v="1"/>
    <n v="2"/>
    <s v="Merc"/>
    <d v="2019-08-09T00:00:00"/>
    <x v="0"/>
    <s v="Fall"/>
    <d v="1899-12-30T00:13:00"/>
    <s v="Mostly cloudy"/>
    <s v="BW/GS"/>
    <s v="Foraging"/>
    <s v="Spruce"/>
    <n v="1"/>
    <s v="Unknown"/>
    <n v="0"/>
    <x v="0"/>
    <x v="0"/>
    <s v="Unknown"/>
    <s v="NA"/>
    <s v="NA"/>
    <s v="NA"/>
    <s v="NA"/>
    <s v="NA"/>
    <s v="NA"/>
    <s v="NA"/>
    <s v="NA"/>
    <s v="NA"/>
    <s v="NA"/>
    <s v="NA"/>
    <s v="NA"/>
    <n v="0"/>
    <n v="0"/>
    <n v="0"/>
    <n v="0"/>
    <n v="0"/>
    <n v="0"/>
    <n v="0"/>
    <m/>
    <s v="Missed acquisition"/>
    <m/>
    <m/>
  </r>
  <r>
    <s v="DSCN4307"/>
    <s v="MC0809_6"/>
    <n v="6"/>
    <n v="1"/>
    <s v="Merc"/>
    <d v="2019-08-09T00:00:00"/>
    <x v="0"/>
    <s v="Fall"/>
    <d v="1899-12-30T00:34:00"/>
    <s v="Mostly cloudy"/>
    <s v="BW/GS"/>
    <s v="Foraging"/>
    <s v="Spruce"/>
    <n v="1"/>
    <s v="Unknown"/>
    <n v="0"/>
    <x v="0"/>
    <x v="0"/>
    <s v="Interior spruce foliage"/>
    <s v="NA"/>
    <s v="NA"/>
    <s v="NA"/>
    <s v="NA"/>
    <s v="NA"/>
    <s v="NA"/>
    <s v="NA"/>
    <s v="NA"/>
    <s v="NA"/>
    <s v="NA"/>
    <s v="NA"/>
    <s v="NA"/>
    <n v="0"/>
    <n v="10"/>
    <n v="10"/>
    <n v="0"/>
    <n v="3"/>
    <n v="0"/>
    <n v="13"/>
    <m/>
    <m/>
    <m/>
    <m/>
  </r>
  <r>
    <s v="DSCN4309"/>
    <s v="MC0809_8"/>
    <n v="8"/>
    <n v="1"/>
    <s v="Merc"/>
    <d v="2019-08-09T00:00:00"/>
    <x v="0"/>
    <s v="Fall"/>
    <d v="1899-12-30T00:32:00"/>
    <s v="Mostly cloudy"/>
    <s v="WO/OS"/>
    <s v="Foraging"/>
    <s v="NA"/>
    <n v="1"/>
    <n v="0"/>
    <n v="0"/>
    <x v="0"/>
    <x v="0"/>
    <s v="Ground"/>
    <s v="NA"/>
    <s v="NA"/>
    <s v="NA"/>
    <s v="NA"/>
    <s v="NA"/>
    <s v="NA"/>
    <s v="NA"/>
    <s v="NA"/>
    <s v="NA"/>
    <s v="NA"/>
    <s v="NA"/>
    <s v="NA"/>
    <n v="0"/>
    <n v="0"/>
    <n v="0"/>
    <n v="0"/>
    <n v="4"/>
    <n v="0"/>
    <n v="4"/>
    <m/>
    <m/>
    <m/>
    <m/>
  </r>
  <r>
    <s v="DSCN4310"/>
    <s v="MC0809_9"/>
    <n v="9"/>
    <n v="1"/>
    <s v="Merc"/>
    <d v="2019-08-09T00:00:00"/>
    <x v="0"/>
    <s v="Fall"/>
    <d v="1899-12-30T00:23:00"/>
    <s v="Mostly cloudy"/>
    <s v="WO/OS"/>
    <s v="Foraging"/>
    <s v="Spruce"/>
    <n v="1"/>
    <s v="Unknown"/>
    <s v="Unknown"/>
    <x v="0"/>
    <x v="0"/>
    <s v="Interior spruce foliage"/>
    <m/>
    <s v="NA"/>
    <s v="NA"/>
    <s v="NA"/>
    <s v="NA"/>
    <s v="NA"/>
    <s v="NA"/>
    <s v="NA"/>
    <s v="NA"/>
    <s v="NA"/>
    <s v="NA"/>
    <s v="NA"/>
    <n v="0"/>
    <n v="3"/>
    <n v="3"/>
    <n v="0"/>
    <n v="0"/>
    <n v="0"/>
    <n v="3"/>
    <m/>
    <m/>
    <m/>
    <m/>
  </r>
  <r>
    <s v="DSCN4305"/>
    <s v="MC0809_5"/>
    <n v="5"/>
    <n v="1"/>
    <s v="Merc"/>
    <d v="2019-08-09T00:00:00"/>
    <x v="0"/>
    <s v="Fall"/>
    <d v="1899-12-30T00:06:00"/>
    <s v="Mostly cloudy"/>
    <s v="WO/OS"/>
    <s v="Caching"/>
    <s v="Spruce"/>
    <n v="1"/>
    <n v="0"/>
    <n v="0"/>
    <x v="1"/>
    <x v="1"/>
    <s v="Spruce tree"/>
    <s v="NA"/>
    <s v="NA"/>
    <s v="NA"/>
    <s v="NA"/>
    <s v="NA"/>
    <s v="NA"/>
    <s v="NA"/>
    <s v="NA"/>
    <s v="NA"/>
    <s v="NA"/>
    <s v="NA"/>
    <s v="NA"/>
    <n v="0"/>
    <n v="0"/>
    <n v="0"/>
    <n v="0"/>
    <n v="0"/>
    <n v="0"/>
    <n v="0"/>
    <m/>
    <s v="Didn't catch foraging o film"/>
    <m/>
    <m/>
  </r>
  <r>
    <s v="DSCN4301"/>
    <s v="MC0809_4"/>
    <n v="4"/>
    <n v="1"/>
    <s v="Merc"/>
    <d v="2019-08-09T00:00:00"/>
    <x v="0"/>
    <s v="Fall"/>
    <d v="1899-12-30T00:26:00"/>
    <s v="Mostly cloudy"/>
    <s v="WO/OS"/>
    <s v="Caching"/>
    <s v="Spruce"/>
    <n v="2"/>
    <n v="0"/>
    <n v="0"/>
    <x v="2"/>
    <x v="0"/>
    <s v="Picinic table"/>
    <s v="NA"/>
    <s v="NA"/>
    <s v="NA"/>
    <s v="NA"/>
    <s v="NA"/>
    <s v="NA"/>
    <s v="NA"/>
    <s v="NA"/>
    <s v="NA"/>
    <s v="NA"/>
    <s v="NA"/>
    <s v="NA"/>
    <n v="0"/>
    <n v="0"/>
    <n v="0"/>
    <n v="0"/>
    <n v="0"/>
    <n v="17"/>
    <n v="17"/>
    <m/>
    <m/>
    <m/>
    <m/>
  </r>
  <r>
    <s v="DSCN4353"/>
    <s v="BU0810_2"/>
    <n v="2"/>
    <n v="1"/>
    <s v="BU"/>
    <d v="2019-08-10T00:00:00"/>
    <x v="0"/>
    <s v="Fall"/>
    <d v="1899-12-30T00:47:00"/>
    <s v="Overcast"/>
    <s v="RR/OS"/>
    <s v="Caching and foraging"/>
    <s v="Spruce"/>
    <n v="0"/>
    <n v="0"/>
    <n v="1"/>
    <x v="0"/>
    <x v="0"/>
    <s v="Unknown"/>
    <s v="Exterior spruce on lichen"/>
    <s v="Spruce"/>
    <s v="Exterior"/>
    <s v="Lichen"/>
    <m/>
    <n v="335"/>
    <s v="Unknown"/>
    <n v="63.723979999999997"/>
    <n v="148.95451"/>
    <s v="NA"/>
    <s v="NA"/>
    <s v="NA"/>
    <n v="11"/>
    <n v="0"/>
    <n v="11"/>
    <n v="0"/>
    <n v="0"/>
    <n v="0"/>
    <n v="11"/>
    <m/>
    <m/>
    <m/>
    <m/>
  </r>
  <r>
    <s v="DSCN4357"/>
    <s v="BU0810_3"/>
    <n v="3"/>
    <n v="1"/>
    <s v="BU"/>
    <d v="2019-08-10T00:00:00"/>
    <x v="0"/>
    <s v="Fall"/>
    <d v="1899-12-30T00:14:00"/>
    <s v="Overcast"/>
    <s v="RR/OS"/>
    <s v="Caching"/>
    <s v="Spruce"/>
    <n v="0"/>
    <n v="0"/>
    <n v="1"/>
    <x v="0"/>
    <x v="0"/>
    <s v="Unknown"/>
    <s v="Exterior spruce on lichen"/>
    <s v="Spruce"/>
    <s v="Exterior"/>
    <s v="Lichen"/>
    <m/>
    <n v="24"/>
    <s v="Unknown"/>
    <n v="63.724029999999999"/>
    <n v="148.95576"/>
    <s v="NA"/>
    <s v="NA"/>
    <s v="NA"/>
    <n v="0"/>
    <n v="0"/>
    <n v="0"/>
    <n v="0"/>
    <n v="0"/>
    <n v="0"/>
    <n v="0"/>
    <m/>
    <m/>
    <m/>
    <m/>
  </r>
  <r>
    <s v="DSCN4340"/>
    <s v="CC0810_2"/>
    <n v="2"/>
    <n v="1"/>
    <s v="Ccamp"/>
    <d v="2019-08-10T00:00:00"/>
    <x v="0"/>
    <s v="Fall"/>
    <d v="1899-12-30T00:47:00"/>
    <s v="Overcast"/>
    <s v="GB/BS"/>
    <s v="Caching"/>
    <s v="Spruce"/>
    <n v="1"/>
    <n v="0"/>
    <n v="1"/>
    <x v="0"/>
    <x v="0"/>
    <s v="Unknown"/>
    <s v="Exterior foliage"/>
    <s v="Spruce"/>
    <s v="Exterior"/>
    <s v="Foliage"/>
    <m/>
    <n v="352"/>
    <s v="Unknown"/>
    <n v="63.724060000000001"/>
    <n v="148.94916000000001"/>
    <s v="NA"/>
    <s v="NA"/>
    <s v="NA"/>
    <n v="0"/>
    <n v="0"/>
    <n v="0"/>
    <n v="0"/>
    <n v="0"/>
    <n v="0"/>
    <n v="0"/>
    <m/>
    <m/>
    <m/>
    <m/>
  </r>
  <r>
    <s v="DSCN4348"/>
    <s v="CC0810_5"/>
    <n v="5"/>
    <n v="1"/>
    <s v="Ccamp"/>
    <d v="2019-08-10T00:00:00"/>
    <x v="0"/>
    <s v="Fall"/>
    <d v="1899-12-30T00:55:00"/>
    <s v="Overcast"/>
    <s v="GR/OS"/>
    <s v="Foraging"/>
    <s v="Spruce"/>
    <n v="1"/>
    <n v="0"/>
    <n v="1"/>
    <x v="0"/>
    <x v="0"/>
    <s v="Unknown"/>
    <s v="Interior spruce under bark"/>
    <s v="Spruce"/>
    <s v="Interior"/>
    <s v="Bark"/>
    <m/>
    <n v="250"/>
    <s v="Unknown"/>
    <n v="63.724339999999998"/>
    <n v="148.94852"/>
    <s v="NA"/>
    <s v="NA"/>
    <s v="NA"/>
    <n v="0"/>
    <n v="0"/>
    <n v="0"/>
    <n v="0"/>
    <n v="0"/>
    <n v="0"/>
    <n v="0"/>
    <m/>
    <s v="Food determined to have not been aquired from where it was initially perched as we suggest in the video. "/>
    <m/>
    <m/>
  </r>
  <r>
    <s v="DSCN4322"/>
    <s v="WW0810_3"/>
    <n v="3"/>
    <n v="1"/>
    <s v="Wac West"/>
    <d v="2019-08-10T00:00:00"/>
    <x v="0"/>
    <s v="Fall"/>
    <d v="1899-12-30T00:12:00"/>
    <s v="Overcast"/>
    <s v="Unbanded"/>
    <s v="Caching"/>
    <s v="Spruce"/>
    <n v="0"/>
    <n v="0"/>
    <n v="1"/>
    <x v="0"/>
    <x v="0"/>
    <s v="Unknown"/>
    <s v="Spruce trunk under bark"/>
    <s v="Spruce"/>
    <s v="Trunk"/>
    <s v="Bark"/>
    <m/>
    <n v="302"/>
    <s v="Unknown"/>
    <n v="63.739220000000003"/>
    <n v="148.90398999999999"/>
    <s v="NA"/>
    <s v="NA"/>
    <s v="NA"/>
    <n v="0"/>
    <n v="0"/>
    <n v="0"/>
    <n v="0"/>
    <n v="0"/>
    <n v="0"/>
    <n v="0"/>
    <m/>
    <m/>
    <m/>
    <m/>
  </r>
  <r>
    <s v="DSCN4330"/>
    <s v="WW0810_8"/>
    <n v="8"/>
    <n v="1"/>
    <s v="Wac West"/>
    <d v="2019-08-10T00:00:00"/>
    <x v="0"/>
    <s v="Fall"/>
    <d v="1899-12-30T00:23:00"/>
    <s v="Overcast"/>
    <s v="Unbanded"/>
    <s v="Caching"/>
    <s v="Spruce"/>
    <n v="1"/>
    <n v="0"/>
    <n v="1"/>
    <x v="0"/>
    <x v="0"/>
    <s v="Interior spruce bark"/>
    <s v="Interior foliage"/>
    <s v="Spruce"/>
    <s v="Interior"/>
    <s v="Foliage"/>
    <m/>
    <n v="30"/>
    <n v="10"/>
    <n v="63.739519999999999"/>
    <n v="148.89788999999999"/>
    <s v="NA"/>
    <s v="NA"/>
    <s v="NA"/>
    <n v="12"/>
    <n v="0"/>
    <n v="12"/>
    <n v="0"/>
    <n v="0"/>
    <n v="0"/>
    <n v="12"/>
    <m/>
    <m/>
    <m/>
    <m/>
  </r>
  <r>
    <s v="DSCN4331"/>
    <s v="WW0810_9"/>
    <n v="9"/>
    <n v="1"/>
    <s v="Wac West"/>
    <d v="2019-08-10T00:00:00"/>
    <x v="0"/>
    <s v="Fall"/>
    <d v="1899-12-30T00:51:00"/>
    <s v="Overcast"/>
    <s v="Unbanded"/>
    <s v="Caching"/>
    <s v="Spruce"/>
    <n v="0"/>
    <n v="0"/>
    <n v="1"/>
    <x v="0"/>
    <x v="0"/>
    <s v="NA"/>
    <s v="Exterior spruce under bark"/>
    <s v="Spruce"/>
    <s v="Exterior"/>
    <s v="Bark"/>
    <m/>
    <n v="123"/>
    <n v="10"/>
    <n v="63.739519999999999"/>
    <n v="148.89788999999999"/>
    <s v="NA"/>
    <s v="NA"/>
    <s v="NA"/>
    <n v="0"/>
    <n v="0"/>
    <n v="0"/>
    <n v="0"/>
    <n v="0"/>
    <n v="0"/>
    <n v="0"/>
    <m/>
    <m/>
    <m/>
    <m/>
  </r>
  <r>
    <s v="DSCN4331"/>
    <s v="WW0810_9"/>
    <n v="9"/>
    <n v="2"/>
    <s v="Wac West"/>
    <d v="2019-08-10T00:00:00"/>
    <x v="0"/>
    <s v="Fall"/>
    <d v="1899-12-30T00:51:00"/>
    <s v="Overcast"/>
    <s v="Unbanded"/>
    <s v="Caching"/>
    <s v="Spruce"/>
    <n v="0"/>
    <n v="0"/>
    <n v="1"/>
    <x v="0"/>
    <x v="0"/>
    <s v="NA"/>
    <s v="Interior bark"/>
    <s v="Spruce"/>
    <s v="Interior"/>
    <s v="Bark"/>
    <m/>
    <n v="30"/>
    <n v="10"/>
    <n v="63.739519999999999"/>
    <n v="148.89788999999999"/>
    <s v="NA"/>
    <s v="NA"/>
    <s v="NA"/>
    <n v="0"/>
    <n v="0"/>
    <n v="0"/>
    <n v="0"/>
    <n v="0"/>
    <n v="0"/>
    <n v="0"/>
    <m/>
    <m/>
    <m/>
    <m/>
  </r>
  <r>
    <s v="DSCN4331"/>
    <s v="WW0810_9"/>
    <n v="9"/>
    <n v="3"/>
    <s v="Wac West"/>
    <d v="2019-08-10T00:00:00"/>
    <x v="0"/>
    <s v="Fall"/>
    <d v="1899-12-30T00:51:00"/>
    <s v="Overcast"/>
    <s v="Unbanded"/>
    <s v="Caching"/>
    <s v="Spruce"/>
    <n v="0"/>
    <n v="0"/>
    <n v="1"/>
    <x v="0"/>
    <x v="0"/>
    <s v="NA"/>
    <s v="Interior bark"/>
    <s v="Spruce"/>
    <s v="Interior"/>
    <s v="Bark"/>
    <m/>
    <n v="223"/>
    <n v="12"/>
    <n v="63.739730000000002"/>
    <n v="148.89786000000001"/>
    <s v="NA"/>
    <s v="NA"/>
    <s v="NA"/>
    <n v="0"/>
    <n v="0"/>
    <n v="0"/>
    <n v="0"/>
    <n v="0"/>
    <n v="0"/>
    <n v="0"/>
    <m/>
    <m/>
    <m/>
    <m/>
  </r>
  <r>
    <s v="DSCN4335"/>
    <s v="WW0810_11"/>
    <n v="11"/>
    <n v="2"/>
    <s v="Wac West"/>
    <d v="2019-08-10T00:00:00"/>
    <x v="0"/>
    <s v="Fall"/>
    <d v="1899-12-30T01:01:00"/>
    <s v="Overcast"/>
    <s v="Unbanded"/>
    <s v="Foraging"/>
    <s v="Spruce"/>
    <n v="1"/>
    <n v="0"/>
    <n v="1"/>
    <x v="0"/>
    <x v="0"/>
    <s v="Exterior spruce bark"/>
    <s v="Spruce trunk under bark"/>
    <s v="Spruce"/>
    <s v="Trunk"/>
    <s v="Bark"/>
    <m/>
    <n v="123"/>
    <n v="0"/>
    <n v="63.740020000000001"/>
    <n v="148.89968999999999"/>
    <s v="NA"/>
    <s v="NA"/>
    <s v="NA"/>
    <n v="4"/>
    <n v="0"/>
    <n v="0"/>
    <n v="4"/>
    <n v="0"/>
    <n v="0"/>
    <n v="4"/>
    <m/>
    <m/>
    <m/>
    <m/>
  </r>
  <r>
    <s v="DSCN4335"/>
    <s v="WW0810_11"/>
    <n v="11"/>
    <n v="1"/>
    <s v="Wac West"/>
    <d v="2019-08-10T00:00:00"/>
    <x v="0"/>
    <s v="Fall"/>
    <d v="1899-12-30T01:01:00"/>
    <s v="Overcast"/>
    <s v="Unbanded"/>
    <s v="Foraging"/>
    <s v="Spruce"/>
    <n v="0"/>
    <n v="0"/>
    <n v="1"/>
    <x v="0"/>
    <x v="0"/>
    <s v="Unknown"/>
    <s v="Spruce trunk under bark"/>
    <s v="Spruce"/>
    <s v="Trunk"/>
    <s v="Bark"/>
    <m/>
    <n v="72"/>
    <s v="Unknown"/>
    <n v="63.740099999999998"/>
    <n v="148.89954"/>
    <s v="NA"/>
    <s v="NA"/>
    <s v="NA"/>
    <n v="0"/>
    <n v="0"/>
    <n v="0"/>
    <n v="0"/>
    <n v="0"/>
    <n v="0"/>
    <n v="0"/>
    <m/>
    <m/>
    <m/>
    <m/>
  </r>
  <r>
    <s v="DSCN4340"/>
    <s v="CC0810_2"/>
    <n v="2"/>
    <n v="2"/>
    <s v="Ccamp"/>
    <d v="2019-08-10T00:00:00"/>
    <x v="0"/>
    <s v="Fall"/>
    <d v="1899-12-30T00:47:00"/>
    <s v="Overcast"/>
    <s v="GB/BS"/>
    <s v="Foraging and caching"/>
    <s v="Spruce"/>
    <n v="1"/>
    <n v="0"/>
    <n v="1"/>
    <x v="0"/>
    <x v="0"/>
    <s v="Exterior spruce foliage"/>
    <s v="Exterior foliage"/>
    <s v="Spruce"/>
    <s v="Exterior"/>
    <s v="Foliage"/>
    <m/>
    <s v="Did not record"/>
    <s v="Did not record"/>
    <s v="Did not record"/>
    <s v="Did not record"/>
    <s v="NA"/>
    <s v="NA"/>
    <s v="NA"/>
    <n v="0"/>
    <n v="16"/>
    <n v="0"/>
    <n v="16"/>
    <n v="0"/>
    <n v="0"/>
    <n v="16"/>
    <m/>
    <m/>
    <m/>
    <m/>
  </r>
  <r>
    <s v="DSCN4317"/>
    <s v="WW0810_1"/>
    <n v="1"/>
    <n v="1"/>
    <s v="Wac West"/>
    <d v="2019-08-10T00:00:00"/>
    <x v="0"/>
    <s v="Fall"/>
    <d v="1899-12-30T00:33:00"/>
    <s v="Overcast"/>
    <s v="Unbanded"/>
    <s v="Foraging"/>
    <s v="Spruce"/>
    <n v="1"/>
    <s v="Unknown"/>
    <n v="0"/>
    <x v="0"/>
    <x v="0"/>
    <s v="Interior spruce bark"/>
    <s v="NA"/>
    <s v="NA"/>
    <s v="NA"/>
    <s v="NA"/>
    <s v="NA"/>
    <s v="NA"/>
    <s v="NA"/>
    <s v="NA"/>
    <s v="NA"/>
    <s v="NA"/>
    <s v="NA"/>
    <s v="NA"/>
    <n v="17"/>
    <n v="0"/>
    <n v="17"/>
    <n v="0"/>
    <n v="0"/>
    <n v="0"/>
    <n v="17"/>
    <m/>
    <m/>
    <m/>
    <m/>
  </r>
  <r>
    <s v="DSCN4338"/>
    <s v="CC0810_1"/>
    <n v="1"/>
    <n v="1"/>
    <s v="Ccamp"/>
    <d v="2019-08-10T00:00:00"/>
    <x v="0"/>
    <s v="Fall"/>
    <d v="1899-12-30T00:33:00"/>
    <s v="Overcast"/>
    <s v="GB/BS"/>
    <s v="Foraging"/>
    <s v="Spruce"/>
    <n v="1"/>
    <s v="Unknown"/>
    <n v="0"/>
    <x v="0"/>
    <x v="0"/>
    <s v="Spruce trunk under bark"/>
    <s v="NA"/>
    <s v="NA"/>
    <s v="NA"/>
    <s v="NA"/>
    <s v="NA"/>
    <s v="NA"/>
    <s v="NA"/>
    <s v="NA"/>
    <s v="NA"/>
    <s v="NA"/>
    <s v="NA"/>
    <s v="NA"/>
    <n v="3"/>
    <n v="0"/>
    <n v="3"/>
    <n v="0"/>
    <n v="0"/>
    <n v="0"/>
    <n v="3"/>
    <m/>
    <m/>
    <m/>
    <m/>
  </r>
  <r>
    <s v="DSCN4352"/>
    <s v="BU0810_1"/>
    <n v="1"/>
    <n v="1"/>
    <s v="BU"/>
    <d v="2019-08-10T00:00:00"/>
    <x v="0"/>
    <s v="Fall"/>
    <d v="1899-12-30T00:05:00"/>
    <s v="Overcast"/>
    <s v="RR/OS"/>
    <s v="Foraging"/>
    <s v="Spruce"/>
    <n v="1"/>
    <s v="Unknown"/>
    <n v="0"/>
    <x v="0"/>
    <x v="0"/>
    <s v="Exterior spruce bark"/>
    <s v="NA"/>
    <s v="NA"/>
    <s v="NA"/>
    <s v="NA"/>
    <s v="NA"/>
    <s v="NA"/>
    <s v="NA"/>
    <s v="NA"/>
    <s v="NA"/>
    <s v="NA"/>
    <s v="NA"/>
    <s v="NA"/>
    <n v="5"/>
    <n v="0"/>
    <n v="0"/>
    <n v="5"/>
    <n v="0"/>
    <n v="0"/>
    <n v="5"/>
    <m/>
    <m/>
    <m/>
    <m/>
  </r>
  <r>
    <s v="DSCN4358"/>
    <s v="BU0810_4"/>
    <n v="4"/>
    <n v="1"/>
    <s v="BU"/>
    <d v="2019-08-10T00:00:00"/>
    <x v="0"/>
    <s v="Fall"/>
    <d v="1899-12-30T00:17:00"/>
    <s v="Overcast"/>
    <s v="RR/OS"/>
    <s v="Foraging"/>
    <s v="Spruce"/>
    <n v="1"/>
    <s v="Unknown"/>
    <n v="0"/>
    <x v="0"/>
    <x v="0"/>
    <s v="Interior spruce bark"/>
    <s v="NA"/>
    <s v="NA"/>
    <s v="NA"/>
    <s v="NA"/>
    <s v="NA"/>
    <s v="NA"/>
    <s v="NA"/>
    <s v="NA"/>
    <s v="NA"/>
    <s v="NA"/>
    <s v="NA"/>
    <s v="NA"/>
    <n v="16"/>
    <n v="0"/>
    <n v="16"/>
    <n v="0"/>
    <n v="0"/>
    <n v="0"/>
    <n v="16"/>
    <m/>
    <m/>
    <m/>
    <m/>
  </r>
  <r>
    <s v="DSCN4321"/>
    <s v="WW0810_2"/>
    <n v="2"/>
    <n v="1"/>
    <s v="Wac West"/>
    <d v="2019-08-10T00:00:00"/>
    <x v="0"/>
    <s v="Fall"/>
    <d v="1899-12-30T00:07:00"/>
    <s v="Overcast"/>
    <s v="Unbanded"/>
    <s v="Foraging"/>
    <s v="NA"/>
    <s v="Unknown"/>
    <n v="0"/>
    <n v="0"/>
    <x v="3"/>
    <x v="2"/>
    <s v="NA"/>
    <s v="NA"/>
    <s v="NA"/>
    <s v="NA"/>
    <s v="NA"/>
    <s v="NA"/>
    <s v="NA"/>
    <s v="NA"/>
    <s v="NA"/>
    <s v="NA"/>
    <s v="NA"/>
    <s v="NA"/>
    <s v="NA"/>
    <n v="0"/>
    <n v="0"/>
    <n v="0"/>
    <n v="0"/>
    <n v="6"/>
    <n v="0"/>
    <n v="6"/>
    <m/>
    <m/>
    <m/>
    <m/>
  </r>
  <r>
    <s v="DSCN4323"/>
    <s v="WW0810_4"/>
    <n v="4"/>
    <n v="1"/>
    <s v="Wac West"/>
    <d v="2019-08-10T00:00:00"/>
    <x v="0"/>
    <s v="Fall"/>
    <d v="1899-12-30T00:15:00"/>
    <s v="Overcast"/>
    <s v="Unbanded"/>
    <s v="Foraging"/>
    <s v="Spruce"/>
    <n v="0"/>
    <n v="0"/>
    <n v="0"/>
    <x v="3"/>
    <x v="2"/>
    <s v="NA"/>
    <s v="NA"/>
    <s v="NA"/>
    <s v="NA"/>
    <s v="NA"/>
    <s v="NA"/>
    <s v="NA"/>
    <s v="NA"/>
    <s v="NA"/>
    <s v="NA"/>
    <s v="NA"/>
    <s v="NA"/>
    <s v="NA"/>
    <n v="0"/>
    <n v="15"/>
    <n v="0"/>
    <n v="15"/>
    <n v="0"/>
    <n v="0"/>
    <n v="15"/>
    <m/>
    <m/>
    <m/>
    <m/>
  </r>
  <r>
    <s v="DSCN4324"/>
    <s v="WW0810_5"/>
    <n v="5"/>
    <n v="1"/>
    <s v="Wac West"/>
    <d v="2019-08-10T00:00:00"/>
    <x v="0"/>
    <s v="Fall"/>
    <d v="1899-12-30T00:25:00"/>
    <s v="Overcast"/>
    <s v="Unbanded"/>
    <s v="Foraging"/>
    <s v="Spruce"/>
    <s v="Unknown"/>
    <n v="0"/>
    <n v="0"/>
    <x v="3"/>
    <x v="2"/>
    <s v="NA"/>
    <s v="NA"/>
    <s v="NA"/>
    <s v="NA"/>
    <s v="NA"/>
    <s v="NA"/>
    <s v="NA"/>
    <s v="NA"/>
    <s v="NA"/>
    <s v="NA"/>
    <s v="NA"/>
    <s v="NA"/>
    <s v="NA"/>
    <n v="0"/>
    <n v="8"/>
    <n v="0"/>
    <n v="8"/>
    <n v="6"/>
    <n v="0"/>
    <n v="14"/>
    <m/>
    <m/>
    <m/>
    <m/>
  </r>
  <r>
    <s v="DSCN4326"/>
    <s v="WW0810_6"/>
    <n v="6"/>
    <n v="1"/>
    <s v="Wac West"/>
    <d v="2019-08-10T00:00:00"/>
    <x v="0"/>
    <s v="Fall"/>
    <d v="1899-12-30T00:10:00"/>
    <s v="Overcast"/>
    <s v="Unbanded"/>
    <s v="Foraging"/>
    <s v="NA"/>
    <s v="Unknown"/>
    <n v="0"/>
    <n v="0"/>
    <x v="3"/>
    <x v="2"/>
    <s v="NA"/>
    <s v="NA"/>
    <s v="NA"/>
    <s v="NA"/>
    <s v="NA"/>
    <s v="NA"/>
    <s v="NA"/>
    <s v="NA"/>
    <s v="NA"/>
    <s v="NA"/>
    <s v="NA"/>
    <s v="NA"/>
    <s v="NA"/>
    <n v="0"/>
    <n v="0"/>
    <n v="0"/>
    <n v="0"/>
    <n v="6"/>
    <n v="0"/>
    <n v="6"/>
    <m/>
    <s v="Some time added from previous (deleted) video"/>
    <m/>
    <m/>
  </r>
  <r>
    <s v="DSCN4343"/>
    <s v="CC0810_3"/>
    <n v="3"/>
    <n v="1"/>
    <s v="Ccamp"/>
    <d v="2019-08-10T00:00:00"/>
    <x v="0"/>
    <s v="Fall"/>
    <d v="1899-12-30T00:23:00"/>
    <s v="Overcast"/>
    <s v="GR/OS"/>
    <s v="Foraging"/>
    <s v="Spruce"/>
    <s v="Unknown"/>
    <s v="Unknown"/>
    <s v="Unknown"/>
    <x v="3"/>
    <x v="2"/>
    <s v="NA"/>
    <s v="NA"/>
    <s v="NA"/>
    <s v="NA"/>
    <s v="NA"/>
    <s v="NA"/>
    <s v="NA"/>
    <s v="NA"/>
    <s v="NA"/>
    <s v="NA"/>
    <s v="NA"/>
    <s v="NA"/>
    <s v="NA"/>
    <n v="23"/>
    <n v="0"/>
    <n v="23"/>
    <n v="0"/>
    <n v="0"/>
    <n v="0"/>
    <n v="23"/>
    <m/>
    <m/>
    <m/>
    <m/>
  </r>
  <r>
    <s v="DSCN4346"/>
    <s v="CC0810_4"/>
    <n v="4"/>
    <n v="1"/>
    <s v="Ccamp"/>
    <d v="2019-08-10T00:00:00"/>
    <x v="0"/>
    <s v="Fall"/>
    <d v="1899-12-30T00:22:00"/>
    <s v="Overcast"/>
    <s v="GR/OS"/>
    <s v="Foraging"/>
    <s v="Spruce"/>
    <s v="Unknown"/>
    <s v="Unknown"/>
    <s v="Unknown"/>
    <x v="3"/>
    <x v="2"/>
    <s v="NA"/>
    <s v="NA"/>
    <s v="NA"/>
    <s v="NA"/>
    <s v="NA"/>
    <s v="NA"/>
    <s v="NA"/>
    <s v="NA"/>
    <s v="NA"/>
    <s v="NA"/>
    <s v="NA"/>
    <s v="NA"/>
    <s v="NA"/>
    <n v="0"/>
    <n v="10"/>
    <n v="0"/>
    <n v="10"/>
    <n v="0"/>
    <n v="0"/>
    <n v="10"/>
    <m/>
    <m/>
    <m/>
    <m/>
  </r>
  <r>
    <s v="DSCN4332"/>
    <s v="WW0810_10"/>
    <n v="10"/>
    <n v="1"/>
    <s v="Wac West"/>
    <d v="2019-08-10T00:00:00"/>
    <x v="0"/>
    <s v="Fall"/>
    <d v="1899-12-30T00:07:00"/>
    <s v="Overcast"/>
    <s v="Unbanded"/>
    <s v="Foraging"/>
    <s v="NA"/>
    <n v="1"/>
    <n v="0"/>
    <n v="0"/>
    <x v="1"/>
    <x v="3"/>
    <s v="Ground"/>
    <s v="NA"/>
    <s v="NA"/>
    <s v="NA"/>
    <s v="NA"/>
    <s v="NA"/>
    <s v="NA"/>
    <s v="NA"/>
    <s v="NA"/>
    <s v="NA"/>
    <s v="NA"/>
    <s v="NA"/>
    <s v="NA"/>
    <n v="0"/>
    <n v="0"/>
    <n v="0"/>
    <n v="0"/>
    <n v="7"/>
    <n v="0"/>
    <n v="7"/>
    <m/>
    <m/>
    <m/>
    <m/>
  </r>
  <r>
    <s v="DSCN4328"/>
    <s v="WW0810_7"/>
    <n v="7"/>
    <n v="1"/>
    <s v="Wac West"/>
    <d v="2019-08-10T00:00:00"/>
    <x v="0"/>
    <s v="Fall"/>
    <d v="1899-12-30T00:19:00"/>
    <s v="Overcast"/>
    <s v="Unbanded"/>
    <s v="Caching"/>
    <s v="Spruce"/>
    <n v="1"/>
    <n v="0"/>
    <n v="1"/>
    <x v="4"/>
    <x v="4"/>
    <s v="Spruce tree"/>
    <s v="Exterior spruce under bark"/>
    <s v="Spruce"/>
    <s v="Exterior"/>
    <s v="Bark"/>
    <m/>
    <n v="47"/>
    <n v="35"/>
    <n v="63.73856"/>
    <n v="148.89789999999999"/>
    <s v="NA"/>
    <s v="NA"/>
    <s v="NA"/>
    <m/>
    <n v="0"/>
    <n v="0"/>
    <n v="0"/>
    <n v="0"/>
    <n v="0"/>
    <n v="0"/>
    <m/>
    <s v="Missed acquisition, but witnessed it in person"/>
    <m/>
    <m/>
  </r>
  <r>
    <s v="DSCN4378"/>
    <s v="M3.50811_9"/>
    <n v="9"/>
    <n v="1"/>
    <s v="Mile 3.5"/>
    <d v="2019-08-11T00:00:00"/>
    <x v="0"/>
    <s v="Fall"/>
    <d v="1899-12-30T01:39:00"/>
    <s v="Mostly sunny"/>
    <s v="OL/OS"/>
    <s v="Foraging and caching"/>
    <s v="Spruce"/>
    <n v="1"/>
    <n v="0"/>
    <n v="1"/>
    <x v="0"/>
    <x v="0"/>
    <s v="Unknown"/>
    <s v="Exterior spruce under bark"/>
    <s v="Spruce"/>
    <s v="Exterior"/>
    <s v="Bark"/>
    <m/>
    <n v="119"/>
    <s v="Unknown"/>
    <n v="63.718780000000002"/>
    <n v="148.97704999999999"/>
    <s v="NA"/>
    <s v="NA"/>
    <s v="NA"/>
    <n v="0"/>
    <n v="0"/>
    <n v="0"/>
    <n v="0"/>
    <n v="0"/>
    <n v="0"/>
    <n v="0"/>
    <m/>
    <m/>
    <m/>
    <m/>
  </r>
  <r>
    <s v="DSCN4378"/>
    <s v="M3.50811_9"/>
    <n v="9"/>
    <n v="2"/>
    <s v="Mile 3.5"/>
    <d v="2019-08-11T00:00:00"/>
    <x v="0"/>
    <s v="Fall"/>
    <d v="1899-12-30T01:39:00"/>
    <s v="Mostly sunny"/>
    <s v="OL/OS"/>
    <s v="Caching"/>
    <s v="Spruce"/>
    <n v="0"/>
    <n v="0"/>
    <n v="1"/>
    <x v="0"/>
    <x v="0"/>
    <s v="Unknown"/>
    <s v="Exterior spruce under bark"/>
    <s v="Spruce"/>
    <s v="Exterior"/>
    <s v="Bark"/>
    <m/>
    <n v="6"/>
    <s v="Unknown"/>
    <n v="63.718780000000002"/>
    <n v="148.97704999999999"/>
    <s v="NA"/>
    <s v="NA"/>
    <s v="NA"/>
    <n v="0"/>
    <n v="0"/>
    <n v="0"/>
    <n v="0"/>
    <n v="0"/>
    <n v="0"/>
    <n v="0"/>
    <m/>
    <m/>
    <m/>
    <m/>
  </r>
  <r>
    <s v="DSCN4378"/>
    <s v="M3.50811_9"/>
    <n v="9"/>
    <n v="3"/>
    <s v="Mile 3.5"/>
    <d v="2019-08-11T00:00:00"/>
    <x v="0"/>
    <s v="Fall"/>
    <d v="1899-12-30T01:39:00"/>
    <s v="Mostly sunny"/>
    <s v="OL/OS"/>
    <s v="Caching"/>
    <s v="Spruce"/>
    <n v="0"/>
    <n v="0"/>
    <n v="1"/>
    <x v="0"/>
    <x v="0"/>
    <s v="Unknown"/>
    <s v="Exterior spruce under bark"/>
    <s v="Spruce"/>
    <s v="Exterior"/>
    <s v="Bark"/>
    <m/>
    <n v="260"/>
    <s v="Unknown"/>
    <n v="63.718780000000002"/>
    <n v="148.97704999999999"/>
    <s v="NA"/>
    <s v="NA"/>
    <s v="NA"/>
    <n v="0"/>
    <n v="0"/>
    <n v="0"/>
    <n v="0"/>
    <n v="0"/>
    <n v="0"/>
    <n v="0"/>
    <m/>
    <m/>
    <m/>
    <m/>
  </r>
  <r>
    <s v="DSCN4387"/>
    <s v="M3.50811_12"/>
    <n v="12"/>
    <n v="2"/>
    <s v="Mile 3.5"/>
    <d v="2019-08-11T00:00:00"/>
    <x v="0"/>
    <s v="Fall"/>
    <d v="1899-12-30T00:37:00"/>
    <s v="Mostly sunny"/>
    <s v="PG/GS"/>
    <s v="Foraging"/>
    <s v="Spruce"/>
    <n v="1"/>
    <s v="Unknown"/>
    <n v="1"/>
    <x v="0"/>
    <x v="0"/>
    <s v="Exterior spruce bark"/>
    <s v="Spruce trunk under bark"/>
    <s v="Spruce"/>
    <s v="Trunk"/>
    <s v="Bark"/>
    <s v="NA"/>
    <n v="80"/>
    <n v="10"/>
    <n v="63.718910000000001"/>
    <n v="148.97681"/>
    <s v="NA"/>
    <s v="NA"/>
    <s v="NA"/>
    <n v="10"/>
    <n v="0"/>
    <n v="0"/>
    <n v="10"/>
    <n v="0"/>
    <n v="0"/>
    <n v="10"/>
    <m/>
    <m/>
    <m/>
    <m/>
  </r>
  <r>
    <s v="DSCN4376"/>
    <s v="M3.50811_7"/>
    <n v="7"/>
    <n v="1"/>
    <s v="Mile 3.5"/>
    <d v="2019-08-11T00:00:00"/>
    <x v="0"/>
    <s v="Fall"/>
    <d v="1899-12-30T00:33:00"/>
    <s v="Mostly sunny"/>
    <s v="OL/OS"/>
    <s v="Foraging"/>
    <s v="Spruce"/>
    <n v="0"/>
    <n v="0"/>
    <n v="1"/>
    <x v="0"/>
    <x v="0"/>
    <s v="Unknown"/>
    <s v="NA"/>
    <s v="Spruce"/>
    <s v="Trunk"/>
    <s v="Bark"/>
    <m/>
    <n v="284"/>
    <s v="Unknown"/>
    <n v="63.718960000000003"/>
    <n v="148.97684000000001"/>
    <s v="NA"/>
    <s v="NA"/>
    <s v="NA"/>
    <n v="0"/>
    <n v="0"/>
    <n v="0"/>
    <n v="0"/>
    <n v="0"/>
    <n v="0"/>
    <n v="0"/>
    <m/>
    <m/>
    <m/>
    <m/>
  </r>
  <r>
    <s v="DSCN4361"/>
    <s v="M4R0811_2"/>
    <n v="2"/>
    <n v="1"/>
    <s v="Mile 4 Roadside"/>
    <d v="2019-08-11T00:00:00"/>
    <x v="0"/>
    <s v="Fall"/>
    <d v="1899-12-30T00:29:00"/>
    <s v="Mostly sunny"/>
    <s v="BY/YS"/>
    <s v="Caching"/>
    <s v="Spruce"/>
    <n v="0"/>
    <n v="0"/>
    <n v="1"/>
    <x v="0"/>
    <x v="0"/>
    <s v="Unknown"/>
    <s v="Spruce trunk under bark"/>
    <s v="Spruce"/>
    <s v="Trunk"/>
    <s v="Bark"/>
    <m/>
    <n v="288"/>
    <s v="Unknown"/>
    <n v="63.721469999999997"/>
    <n v="148.98651000000001"/>
    <s v="NA"/>
    <s v="NA"/>
    <s v="NA"/>
    <n v="0"/>
    <n v="0"/>
    <n v="0"/>
    <n v="0"/>
    <n v="0"/>
    <n v="0"/>
    <n v="0"/>
    <m/>
    <m/>
    <m/>
    <m/>
  </r>
  <r>
    <s v="DSCN4367"/>
    <s v="M3.50811_1"/>
    <n v="1"/>
    <n v="1"/>
    <s v="Mile 3.5"/>
    <d v="2019-08-11T00:00:00"/>
    <x v="0"/>
    <s v="Fall"/>
    <d v="1899-12-30T01:21:00"/>
    <s v="Mostly sunny"/>
    <s v="OL/OS"/>
    <s v="Foraging"/>
    <s v="NA"/>
    <n v="1"/>
    <n v="0"/>
    <n v="0"/>
    <x v="0"/>
    <x v="0"/>
    <s v="Ground"/>
    <s v="NA"/>
    <s v="NA"/>
    <s v="NA"/>
    <s v="NA"/>
    <s v="NA"/>
    <s v="NA"/>
    <s v="NA"/>
    <s v="NA"/>
    <s v="NA"/>
    <s v="NA"/>
    <s v="NA"/>
    <s v="NA"/>
    <n v="0"/>
    <n v="0"/>
    <n v="0"/>
    <n v="0"/>
    <n v="81"/>
    <n v="0"/>
    <n v="81"/>
    <m/>
    <m/>
    <m/>
    <m/>
  </r>
  <r>
    <s v="DSCN4387"/>
    <s v="M3.50811_12"/>
    <n v="12"/>
    <n v="2"/>
    <s v="Mile 3.5"/>
    <d v="2019-08-11T00:00:00"/>
    <x v="0"/>
    <s v="Fall"/>
    <d v="1899-12-30T00:37:00"/>
    <s v="Mostly sunny"/>
    <s v="PG/GS"/>
    <s v="Foraging"/>
    <s v="Spruce"/>
    <n v="1"/>
    <n v="0"/>
    <s v="Unknown"/>
    <x v="0"/>
    <x v="0"/>
    <s v="Exterior spruce bark"/>
    <s v="NA"/>
    <s v="NA"/>
    <s v="NA"/>
    <s v="NA"/>
    <s v="NA"/>
    <s v="NA"/>
    <s v="NA"/>
    <s v="NA"/>
    <s v="NA"/>
    <s v="NA"/>
    <s v="NA"/>
    <s v="NA"/>
    <n v="5"/>
    <n v="0"/>
    <n v="0"/>
    <n v="5"/>
    <n v="0"/>
    <n v="0"/>
    <n v="5"/>
    <m/>
    <m/>
    <m/>
    <m/>
  </r>
  <r>
    <s v="DSCN4389"/>
    <s v="M3.50811_13"/>
    <n v="13"/>
    <n v="1"/>
    <s v="Mile 3.5"/>
    <d v="2019-08-11T00:00:00"/>
    <x v="0"/>
    <s v="Fall"/>
    <d v="1899-12-30T00:26:00"/>
    <s v="Mostly sunny"/>
    <s v="PG/GS"/>
    <s v="Foraging"/>
    <s v="NA"/>
    <n v="1"/>
    <n v="0"/>
    <n v="0"/>
    <x v="0"/>
    <x v="0"/>
    <s v="Ground"/>
    <s v="NA"/>
    <s v="NA"/>
    <s v="NA"/>
    <s v="NA"/>
    <s v="NA"/>
    <s v="NA"/>
    <s v="NA"/>
    <s v="NA"/>
    <s v="NA"/>
    <s v="NA"/>
    <s v="NA"/>
    <s v="NA"/>
    <n v="0"/>
    <n v="0"/>
    <n v="0"/>
    <n v="0"/>
    <n v="1"/>
    <n v="0"/>
    <n v="1"/>
    <m/>
    <m/>
    <m/>
    <m/>
  </r>
  <r>
    <s v="DSCN4370"/>
    <s v="M3.50811_2"/>
    <n v="2"/>
    <n v="1"/>
    <s v="Mile 3.5"/>
    <d v="2019-08-11T00:00:00"/>
    <x v="0"/>
    <s v="Fall"/>
    <d v="1899-12-30T00:30:00"/>
    <s v="Mostly sunny"/>
    <s v="OL/OS"/>
    <s v="Foraging"/>
    <s v="NA"/>
    <s v="Unknown"/>
    <n v="0"/>
    <n v="0"/>
    <x v="3"/>
    <x v="2"/>
    <s v="NA"/>
    <s v="NA"/>
    <s v="NA"/>
    <s v="NA"/>
    <s v="NA"/>
    <s v="NA"/>
    <s v="NA"/>
    <s v="NA"/>
    <s v="NA"/>
    <s v="NA"/>
    <s v="NA"/>
    <s v="NA"/>
    <s v="NA"/>
    <n v="0"/>
    <n v="0"/>
    <n v="0"/>
    <n v="0"/>
    <n v="30"/>
    <n v="0"/>
    <n v="30"/>
    <m/>
    <m/>
    <m/>
    <m/>
  </r>
  <r>
    <s v="DSCN4371"/>
    <s v="M3.50811_3"/>
    <n v="3"/>
    <n v="1"/>
    <s v="Mile 3.5"/>
    <d v="2019-08-11T00:00:00"/>
    <x v="0"/>
    <s v="Fall"/>
    <d v="1899-12-30T00:14:00"/>
    <s v="Mostly sunny"/>
    <s v="OL/OS"/>
    <s v="Foraging"/>
    <s v="NA"/>
    <s v="Unknown"/>
    <n v="0"/>
    <n v="0"/>
    <x v="3"/>
    <x v="2"/>
    <s v="NA"/>
    <s v="NA"/>
    <s v="NA"/>
    <s v="NA"/>
    <s v="NA"/>
    <s v="NA"/>
    <s v="NA"/>
    <s v="NA"/>
    <s v="NA"/>
    <s v="NA"/>
    <s v="NA"/>
    <s v="NA"/>
    <s v="NA"/>
    <n v="0"/>
    <n v="0"/>
    <n v="0"/>
    <n v="0"/>
    <n v="12"/>
    <n v="0"/>
    <n v="12"/>
    <m/>
    <m/>
    <m/>
    <m/>
  </r>
  <r>
    <s v="DSCN4372"/>
    <s v="M3.50811_4"/>
    <n v="4"/>
    <n v="1"/>
    <s v="Mile 3.5"/>
    <d v="2019-08-11T00:00:00"/>
    <x v="0"/>
    <s v="Fall"/>
    <d v="1899-12-30T00:24:00"/>
    <s v="Mostly sunny"/>
    <s v="OL/OS"/>
    <s v="Foraging"/>
    <s v="NA"/>
    <s v="Unknown"/>
    <n v="0"/>
    <n v="0"/>
    <x v="3"/>
    <x v="2"/>
    <s v="NA"/>
    <s v="NA"/>
    <s v="NA"/>
    <s v="NA"/>
    <s v="NA"/>
    <s v="NA"/>
    <s v="NA"/>
    <s v="NA"/>
    <s v="NA"/>
    <s v="NA"/>
    <s v="NA"/>
    <s v="NA"/>
    <s v="NA"/>
    <n v="0"/>
    <n v="0"/>
    <n v="0"/>
    <n v="0"/>
    <n v="22"/>
    <n v="0"/>
    <n v="22"/>
    <m/>
    <m/>
    <m/>
    <m/>
  </r>
  <r>
    <s v="DSCN4377"/>
    <s v="M3.50811_8"/>
    <n v="8"/>
    <n v="1"/>
    <s v="Mile 3.5"/>
    <d v="2019-08-11T00:00:00"/>
    <x v="0"/>
    <s v="Fall"/>
    <d v="1899-12-30T00:25:00"/>
    <s v="Mostly sunny"/>
    <s v="OL/OS"/>
    <s v="Foraging"/>
    <s v="NA"/>
    <s v="Unknown"/>
    <n v="0"/>
    <n v="0"/>
    <x v="3"/>
    <x v="2"/>
    <s v="NA"/>
    <s v="NA"/>
    <s v="NA"/>
    <s v="NA"/>
    <s v="NA"/>
    <s v="NA"/>
    <s v="NA"/>
    <s v="NA"/>
    <s v="NA"/>
    <s v="NA"/>
    <s v="NA"/>
    <s v="NA"/>
    <s v="NA"/>
    <n v="0"/>
    <n v="0"/>
    <n v="0"/>
    <n v="0"/>
    <n v="5"/>
    <n v="0"/>
    <n v="5"/>
    <m/>
    <m/>
    <m/>
    <m/>
  </r>
  <r>
    <s v="DSCN4379"/>
    <s v="M3.50811_10"/>
    <n v="10"/>
    <n v="1"/>
    <s v="Mile 3.5"/>
    <d v="2019-08-11T00:00:00"/>
    <x v="0"/>
    <s v="Fall"/>
    <d v="1899-12-30T01:30:00"/>
    <s v="Mostly sunny"/>
    <s v="OL/OS"/>
    <s v="Foraging"/>
    <s v="NA"/>
    <s v="Unknown"/>
    <n v="0"/>
    <n v="0"/>
    <x v="3"/>
    <x v="2"/>
    <s v="NA"/>
    <s v="NA"/>
    <s v="NA"/>
    <s v="NA"/>
    <s v="NA"/>
    <s v="NA"/>
    <s v="NA"/>
    <s v="NA"/>
    <s v="NA"/>
    <s v="NA"/>
    <s v="NA"/>
    <s v="NA"/>
    <s v="NA"/>
    <n v="0"/>
    <n v="0"/>
    <n v="0"/>
    <n v="0"/>
    <n v="87"/>
    <n v="0"/>
    <n v="87"/>
    <m/>
    <m/>
    <m/>
    <m/>
  </r>
  <r>
    <s v="DSCN4384"/>
    <s v="M3.50811_11"/>
    <n v="11"/>
    <n v="1"/>
    <s v="Mile 3.5"/>
    <d v="2019-08-11T00:00:00"/>
    <x v="0"/>
    <s v="Fall"/>
    <d v="1899-12-30T00:52:00"/>
    <s v="Mostly sunny"/>
    <s v="PG/GS"/>
    <s v="Foraging"/>
    <s v="NA"/>
    <s v="Unknown"/>
    <n v="0"/>
    <n v="0"/>
    <x v="3"/>
    <x v="2"/>
    <s v="NA"/>
    <s v="NA"/>
    <s v="NA"/>
    <s v="NA"/>
    <s v="NA"/>
    <s v="NA"/>
    <s v="NA"/>
    <s v="NA"/>
    <s v="NA"/>
    <s v="NA"/>
    <s v="NA"/>
    <s v="NA"/>
    <s v="NA"/>
    <n v="0"/>
    <n v="0"/>
    <n v="0"/>
    <n v="0"/>
    <n v="12"/>
    <n v="0"/>
    <n v="12"/>
    <m/>
    <m/>
    <m/>
    <m/>
  </r>
  <r>
    <s v="DSCN4363"/>
    <s v="M4R0811_4"/>
    <n v="4"/>
    <n v="1"/>
    <s v="Mile 4 Roadside"/>
    <d v="2019-08-11T00:00:00"/>
    <x v="0"/>
    <s v="Fall"/>
    <d v="1899-12-30T01:17:00"/>
    <s v="Mostly sunny"/>
    <s v="BW/OS"/>
    <s v="Foraging and caching"/>
    <s v="Spruce"/>
    <n v="1"/>
    <n v="0"/>
    <n v="1"/>
    <x v="1"/>
    <x v="5"/>
    <s v="Ground"/>
    <s v="Exterior spruce under bark"/>
    <s v="Spruce"/>
    <s v="Exterior"/>
    <s v="Bark"/>
    <m/>
    <n v="287"/>
    <n v="5"/>
    <n v="63.721490000000003"/>
    <n v="148.98625000000001"/>
    <s v="NA"/>
    <s v="NA"/>
    <s v="NA"/>
    <n v="0"/>
    <n v="0"/>
    <n v="0"/>
    <n v="0"/>
    <n v="11"/>
    <n v="0"/>
    <n v="11"/>
    <m/>
    <m/>
    <m/>
    <m/>
  </r>
  <r>
    <s v="DSCN4362"/>
    <s v="M4R0811_3"/>
    <n v="3"/>
    <n v="2"/>
    <s v="Mile 4 Roadside"/>
    <d v="2019-08-11T00:00:00"/>
    <x v="0"/>
    <s v="Fall"/>
    <d v="1899-12-30T00:38:00"/>
    <s v="Mostly sunny"/>
    <s v="BW/OS"/>
    <s v="Foraging"/>
    <s v="Spruce"/>
    <n v="1"/>
    <n v="0"/>
    <n v="1"/>
    <x v="1"/>
    <x v="5"/>
    <s v="Ground"/>
    <s v="Exterior spruce under bark"/>
    <s v="Spruce"/>
    <s v="Exterior"/>
    <s v="Bark"/>
    <m/>
    <n v="340"/>
    <n v="0"/>
    <n v="63.721499999999999"/>
    <n v="148.98625000000001"/>
    <s v="NA"/>
    <s v="NA"/>
    <s v="NA"/>
    <n v="0"/>
    <n v="0"/>
    <n v="0"/>
    <n v="0"/>
    <n v="12"/>
    <n v="0"/>
    <n v="12"/>
    <m/>
    <m/>
    <m/>
    <m/>
  </r>
  <r>
    <s v="DSCN4363"/>
    <s v="M4R0811_4"/>
    <n v="4"/>
    <n v="2"/>
    <s v="Mile 4 Roadside"/>
    <d v="2019-08-11T00:00:00"/>
    <x v="0"/>
    <s v="Fall"/>
    <d v="1899-12-30T01:17:00"/>
    <s v="Mostly sunny"/>
    <s v="BW/OS"/>
    <s v="Foraging and caching"/>
    <s v="Spruce"/>
    <n v="1"/>
    <n v="0"/>
    <n v="1"/>
    <x v="1"/>
    <x v="5"/>
    <s v="Ground"/>
    <s v="Exterior spruce under bark"/>
    <s v="Spruce"/>
    <s v="Exterior"/>
    <s v="Bark"/>
    <m/>
    <n v="256"/>
    <n v="0"/>
    <n v="63.721499999999999"/>
    <n v="148.98625000000001"/>
    <s v="NA"/>
    <s v="NA"/>
    <s v="NA"/>
    <n v="0"/>
    <n v="0"/>
    <n v="0"/>
    <n v="0"/>
    <n v="10"/>
    <n v="0"/>
    <n v="10"/>
    <m/>
    <m/>
    <m/>
    <m/>
  </r>
  <r>
    <s v="DSCN4362"/>
    <s v="M4R0811_3"/>
    <n v="3"/>
    <n v="1"/>
    <s v="Mile 4 Roadside"/>
    <d v="2019-08-11T00:00:00"/>
    <x v="0"/>
    <s v="Fall"/>
    <d v="1899-12-30T00:38:00"/>
    <s v="Mostly sunny"/>
    <s v="BY/YS"/>
    <s v="Foraging"/>
    <s v="Spruce"/>
    <n v="1"/>
    <n v="0"/>
    <n v="0"/>
    <x v="1"/>
    <x v="5"/>
    <s v="Ground"/>
    <s v="NA"/>
    <s v="NA"/>
    <s v="NA"/>
    <s v="NA"/>
    <s v="NA"/>
    <s v="NA"/>
    <s v="NA"/>
    <s v="NA"/>
    <s v="NA"/>
    <s v="NA"/>
    <s v="NA"/>
    <s v="NA"/>
    <n v="0"/>
    <n v="0"/>
    <n v="0"/>
    <n v="0"/>
    <n v="3"/>
    <n v="0"/>
    <n v="3"/>
    <m/>
    <m/>
    <m/>
    <m/>
  </r>
  <r>
    <s v="DSCN4363"/>
    <s v="M4R0811_4"/>
    <n v="4"/>
    <n v="3"/>
    <s v="Mile 4 Roadside"/>
    <d v="2019-08-11T00:00:00"/>
    <x v="0"/>
    <s v="Fall"/>
    <d v="1899-12-30T01:17:00"/>
    <s v="Mostly sunny"/>
    <s v="BW/OS"/>
    <s v="Foraging and caching"/>
    <s v="Spruce"/>
    <n v="1"/>
    <n v="0"/>
    <n v="0"/>
    <x v="1"/>
    <x v="5"/>
    <s v="Ground"/>
    <s v="NA"/>
    <s v="NA"/>
    <s v="NA"/>
    <s v="NA"/>
    <s v="NA"/>
    <s v="NA"/>
    <s v="NA"/>
    <s v="NA"/>
    <s v="NA"/>
    <s v="NA"/>
    <s v="NA"/>
    <s v="NA"/>
    <n v="0"/>
    <n v="0"/>
    <n v="0"/>
    <n v="0"/>
    <n v="10"/>
    <n v="0"/>
    <n v="10"/>
    <m/>
    <m/>
    <m/>
    <m/>
  </r>
  <r>
    <s v="DSCN4364"/>
    <s v="M4R0811_5"/>
    <n v="5"/>
    <n v="1"/>
    <s v="Mile 4 Roadside"/>
    <d v="2019-08-11T00:00:00"/>
    <x v="0"/>
    <s v="Fall"/>
    <d v="1899-12-30T00:13:00"/>
    <s v="Mostly sunny"/>
    <s v="BW/OS"/>
    <s v="Caching"/>
    <s v="Spruce"/>
    <n v="1"/>
    <n v="0"/>
    <n v="1"/>
    <x v="5"/>
    <x v="6"/>
    <s v="Ground"/>
    <s v="Exterior spruce under bark"/>
    <s v="Spruce"/>
    <s v="Exterior"/>
    <s v="Bark"/>
    <m/>
    <n v="142"/>
    <n v="3"/>
    <n v="63.721490000000003"/>
    <n v="148.98643000000001"/>
    <s v="NA"/>
    <s v="NA"/>
    <s v="NA"/>
    <n v="0"/>
    <n v="0"/>
    <n v="0"/>
    <n v="0"/>
    <n v="0"/>
    <n v="0"/>
    <n v="0"/>
    <m/>
    <s v="Missed acquisition but saw it in person"/>
    <m/>
    <m/>
  </r>
  <r>
    <s v="DSCN4378"/>
    <s v="M3.50811_9"/>
    <n v="9"/>
    <n v="4"/>
    <s v="Mile 3.5"/>
    <d v="2019-08-11T00:00:00"/>
    <x v="0"/>
    <s v="Fall"/>
    <d v="1899-12-30T01:39:00"/>
    <s v="Mostly sunny"/>
    <s v="OL/OS"/>
    <s v="Foraging and caching"/>
    <s v="Spruce"/>
    <n v="1"/>
    <n v="0"/>
    <n v="1"/>
    <x v="6"/>
    <x v="7"/>
    <s v="Ground"/>
    <s v="Exterior spruce under bark"/>
    <s v="Spruce"/>
    <s v="Exterior"/>
    <s v="Bark"/>
    <m/>
    <n v="343"/>
    <n v="11"/>
    <n v="63.718699999999998"/>
    <n v="148.97682"/>
    <s v="NA"/>
    <s v="NA"/>
    <s v="NA"/>
    <n v="0"/>
    <n v="0"/>
    <n v="0"/>
    <n v="0"/>
    <n v="24"/>
    <n v="0"/>
    <n v="24"/>
    <m/>
    <m/>
    <m/>
    <m/>
  </r>
  <r>
    <s v="DSCN4375"/>
    <s v="M3.50811_6"/>
    <n v="6"/>
    <n v="1"/>
    <s v="Mile 3.5"/>
    <d v="2019-08-11T00:00:00"/>
    <x v="0"/>
    <s v="Fall"/>
    <d v="1899-12-30T00:48:00"/>
    <s v="Mostly sunny"/>
    <s v="OL/OS"/>
    <s v="Foraging and caching"/>
    <s v="Spruce"/>
    <n v="1"/>
    <n v="0"/>
    <n v="1"/>
    <x v="6"/>
    <x v="7"/>
    <s v="Ground"/>
    <s v="Spruce trunk under bark"/>
    <s v="Spruce"/>
    <s v="Trunk"/>
    <s v="Bark"/>
    <m/>
    <n v="95"/>
    <n v="9"/>
    <n v="63.718960000000003"/>
    <n v="148.97684000000001"/>
    <s v="NA"/>
    <s v="NA"/>
    <s v="NA"/>
    <n v="0"/>
    <n v="0"/>
    <n v="0"/>
    <n v="0"/>
    <n v="27"/>
    <n v="0"/>
    <n v="27"/>
    <m/>
    <m/>
    <m/>
    <m/>
  </r>
  <r>
    <s v="DSCN4359"/>
    <s v="M4R0811_1"/>
    <n v="1"/>
    <n v="1"/>
    <s v="Mile 4 Roadside"/>
    <d v="2019-08-11T00:00:00"/>
    <x v="0"/>
    <s v="Fall"/>
    <d v="1899-12-30T01:04:00"/>
    <s v="Mostly sunny"/>
    <s v="BY/YS"/>
    <s v="Foraging"/>
    <s v="NA"/>
    <n v="2"/>
    <n v="0"/>
    <n v="0"/>
    <x v="6"/>
    <x v="7"/>
    <s v="Ground"/>
    <s v="NA"/>
    <s v="NA"/>
    <s v="NA"/>
    <s v="NA"/>
    <s v="NA"/>
    <s v="NA"/>
    <s v="NA"/>
    <s v="NA"/>
    <s v="NA"/>
    <s v="NA"/>
    <s v="NA"/>
    <s v="NA"/>
    <n v="0"/>
    <n v="0"/>
    <n v="0"/>
    <n v="0"/>
    <n v="60"/>
    <n v="0"/>
    <n v="60"/>
    <m/>
    <m/>
    <m/>
    <m/>
  </r>
  <r>
    <s v="DSCN4373"/>
    <s v="M3.50811_5"/>
    <n v="5"/>
    <n v="1"/>
    <s v="Mile 3.5"/>
    <d v="2019-08-11T00:00:00"/>
    <x v="0"/>
    <s v="Fall"/>
    <d v="1899-12-30T00:25:00"/>
    <s v="Mostly sunny"/>
    <s v="OL/OS"/>
    <s v="Foraging"/>
    <s v="NA"/>
    <n v="1"/>
    <n v="0"/>
    <n v="0"/>
    <x v="6"/>
    <x v="7"/>
    <s v="Ground"/>
    <s v="NA"/>
    <s v="NA"/>
    <s v="NA"/>
    <s v="NA"/>
    <s v="NA"/>
    <s v="NA"/>
    <s v="NA"/>
    <s v="NA"/>
    <s v="NA"/>
    <s v="NA"/>
    <s v="NA"/>
    <s v="NA"/>
    <n v="0"/>
    <n v="0"/>
    <n v="0"/>
    <n v="0"/>
    <n v="16"/>
    <n v="0"/>
    <n v="16"/>
    <m/>
    <m/>
    <m/>
    <m/>
  </r>
  <r>
    <s v="DSCN4387"/>
    <s v="M3.50811_12"/>
    <n v="12"/>
    <n v="1"/>
    <s v="Mile 3.5"/>
    <d v="2019-08-11T00:00:00"/>
    <x v="0"/>
    <s v="Fall"/>
    <d v="1899-12-30T00:37:00"/>
    <s v="Mostly sunny"/>
    <s v="PG/GS"/>
    <s v="Foraging"/>
    <s v="Spruce"/>
    <n v="1"/>
    <n v="0"/>
    <n v="0"/>
    <x v="6"/>
    <x v="7"/>
    <s v="Ground"/>
    <s v="NA"/>
    <s v="NA"/>
    <s v="NA"/>
    <s v="NA"/>
    <s v="NA"/>
    <s v="NA"/>
    <s v="NA"/>
    <s v="NA"/>
    <s v="NA"/>
    <s v="NA"/>
    <s v="NA"/>
    <s v="NA"/>
    <n v="0"/>
    <n v="0"/>
    <n v="0"/>
    <n v="0"/>
    <n v="0"/>
    <n v="0"/>
    <n v="0"/>
    <m/>
    <s v="Didn't catch acqusition on film"/>
    <m/>
    <m/>
  </r>
  <r>
    <s v="DSCN4394"/>
    <s v="BU0812_4"/>
    <n v="4"/>
    <n v="1"/>
    <s v="BU"/>
    <d v="2019-08-12T00:00:00"/>
    <x v="0"/>
    <s v="Fall"/>
    <d v="1899-12-30T00:13:00"/>
    <s v="Mostly sunny"/>
    <s v="RR/YS"/>
    <s v="Foraging"/>
    <s v="Spruce"/>
    <n v="0"/>
    <n v="0"/>
    <n v="1"/>
    <x v="0"/>
    <x v="0"/>
    <s v="Unknown"/>
    <s v="Spruce trunk on bark"/>
    <s v="Spruce"/>
    <s v="Trunk"/>
    <s v="Bark"/>
    <s v="Did not record-did not recognize in field "/>
    <s v="Did not record-did not recognize in field "/>
    <s v="Unknown"/>
    <s v="Did not record-did not recognize in field "/>
    <s v="Did not record-did not recognize in field "/>
    <s v="NA"/>
    <s v="NA"/>
    <s v="NA"/>
    <n v="0"/>
    <n v="0"/>
    <n v="0"/>
    <n v="0"/>
    <n v="0"/>
    <n v="0"/>
    <n v="0"/>
    <m/>
    <m/>
    <m/>
    <m/>
  </r>
  <r>
    <s v="DSCN4391"/>
    <s v="BU0812_2"/>
    <n v="2"/>
    <n v="1"/>
    <s v="BU"/>
    <d v="2019-08-12T00:00:00"/>
    <x v="0"/>
    <s v="Fall"/>
    <d v="1899-12-30T01:00:00"/>
    <s v="Mostly sunny"/>
    <s v="RR/YS"/>
    <s v="Foraging"/>
    <s v="Spruce"/>
    <n v="1"/>
    <s v="Unknown"/>
    <s v="Unknown"/>
    <x v="0"/>
    <x v="0"/>
    <s v="Exterior spruce bark"/>
    <s v="NA"/>
    <s v="NA"/>
    <s v="NA"/>
    <s v="NA"/>
    <s v="NA"/>
    <s v="NA"/>
    <s v="NA"/>
    <s v="NA"/>
    <s v="NA"/>
    <s v="NA"/>
    <s v="NA"/>
    <s v="NA"/>
    <n v="30"/>
    <n v="0"/>
    <n v="9"/>
    <n v="21"/>
    <n v="5"/>
    <n v="0"/>
    <n v="35"/>
    <m/>
    <m/>
    <m/>
    <m/>
  </r>
  <r>
    <s v="DSCN4391"/>
    <s v="BU0812_2"/>
    <n v="2"/>
    <n v="2"/>
    <s v="BU"/>
    <d v="2019-08-12T00:00:00"/>
    <x v="0"/>
    <s v="Fall"/>
    <d v="1899-12-30T01:00:00"/>
    <s v="Mostly sunny"/>
    <s v="RR/YS"/>
    <s v="Foraging"/>
    <s v="Spruce"/>
    <n v="1"/>
    <s v="Unknown"/>
    <s v="Unknown"/>
    <x v="0"/>
    <x v="0"/>
    <s v="Spruce trunk under bark"/>
    <s v="NA"/>
    <s v="NA"/>
    <s v="NA"/>
    <s v="NA"/>
    <s v="NA"/>
    <s v="NA"/>
    <s v="NA"/>
    <s v="NA"/>
    <s v="NA"/>
    <s v="NA"/>
    <s v="NA"/>
    <s v="NA"/>
    <n v="0"/>
    <n v="0"/>
    <n v="0"/>
    <n v="0"/>
    <m/>
    <n v="0"/>
    <n v="0"/>
    <m/>
    <m/>
    <m/>
    <m/>
  </r>
  <r>
    <s v="DSCN4395"/>
    <s v="BU0812_5"/>
    <n v="5"/>
    <n v="1"/>
    <s v="BU"/>
    <d v="2019-08-12T00:00:00"/>
    <x v="0"/>
    <s v="Fall"/>
    <d v="1899-12-30T00:09:00"/>
    <s v="Mostly sunny"/>
    <s v="RR/YS"/>
    <s v="Food handling"/>
    <s v="NA"/>
    <n v="1"/>
    <n v="0"/>
    <n v="0"/>
    <x v="0"/>
    <x v="8"/>
    <s v="Ground"/>
    <s v="NA"/>
    <s v="NA"/>
    <s v="NA"/>
    <s v="NA"/>
    <s v="NA"/>
    <s v="NA"/>
    <s v="NA"/>
    <s v="NA"/>
    <s v="NA"/>
    <s v="NA"/>
    <s v="NA"/>
    <s v="NA"/>
    <n v="0"/>
    <n v="0"/>
    <n v="0"/>
    <n v="0"/>
    <n v="0"/>
    <n v="0"/>
    <n v="0"/>
    <s v="Probing"/>
    <m/>
    <n v="2"/>
    <m/>
  </r>
  <r>
    <s v="DSCN4400"/>
    <s v="BU0812_6"/>
    <n v="6"/>
    <n v="1"/>
    <s v="BU"/>
    <d v="2019-08-12T00:00:00"/>
    <x v="0"/>
    <s v="Fall"/>
    <d v="1899-12-30T00:20:00"/>
    <s v="Mostly sunny"/>
    <s v="RR/OS"/>
    <s v="Foraging"/>
    <s v="Spruce"/>
    <n v="1"/>
    <s v="Unknown"/>
    <s v="Unknown"/>
    <x v="0"/>
    <x v="0"/>
    <s v="Exterior spruce bark/lichen"/>
    <m/>
    <s v="NA"/>
    <s v="NA"/>
    <s v="NA"/>
    <s v="NA"/>
    <s v="NA"/>
    <s v="NA"/>
    <s v="NA"/>
    <s v="NA"/>
    <s v="NA"/>
    <s v="NA"/>
    <s v="NA"/>
    <n v="0"/>
    <n v="0"/>
    <n v="0"/>
    <n v="0"/>
    <n v="0"/>
    <n v="0"/>
    <n v="0"/>
    <m/>
    <s v="Missed acquisition"/>
    <m/>
    <m/>
  </r>
  <r>
    <s v="DSCN4403"/>
    <s v="BU0812_8"/>
    <n v="8"/>
    <n v="1"/>
    <s v="BU"/>
    <d v="2019-08-12T00:00:00"/>
    <x v="0"/>
    <s v="Fall"/>
    <d v="1899-12-30T00:31:00"/>
    <s v="Mostly sunny"/>
    <s v="RR/OS"/>
    <s v="Foraging"/>
    <s v="Spruce"/>
    <n v="1"/>
    <n v="0"/>
    <n v="0"/>
    <x v="0"/>
    <x v="0"/>
    <s v="Exterior spruce bark/lichen"/>
    <s v="NA"/>
    <s v="NA"/>
    <s v="NA"/>
    <s v="NA"/>
    <s v="NA"/>
    <s v="NA"/>
    <s v="NA"/>
    <s v="NA"/>
    <s v="NA"/>
    <s v="NA"/>
    <s v="NA"/>
    <s v="NA"/>
    <n v="12"/>
    <n v="0"/>
    <n v="0"/>
    <n v="12"/>
    <n v="19"/>
    <n v="0"/>
    <n v="31"/>
    <m/>
    <m/>
    <m/>
    <m/>
  </r>
  <r>
    <s v="DSCN4408"/>
    <s v="BU0812_12"/>
    <n v="12"/>
    <n v="1"/>
    <s v="BU"/>
    <d v="2019-08-12T00:00:00"/>
    <x v="0"/>
    <s v="Fall"/>
    <d v="1899-12-30T00:45:00"/>
    <s v="Mostly sunny"/>
    <s v="RR/OS"/>
    <s v="Foraging"/>
    <s v="NA"/>
    <n v="1"/>
    <n v="0"/>
    <n v="0"/>
    <x v="0"/>
    <x v="2"/>
    <s v="NA"/>
    <s v="NA"/>
    <s v="NA"/>
    <s v="NA"/>
    <s v="NA"/>
    <s v="NA"/>
    <s v="NA"/>
    <s v="NA"/>
    <s v="NA"/>
    <s v="NA"/>
    <s v="NA"/>
    <s v="NA"/>
    <s v="NA"/>
    <n v="0"/>
    <n v="0"/>
    <n v="0"/>
    <n v="0"/>
    <n v="5"/>
    <n v="0"/>
    <n v="5"/>
    <m/>
    <m/>
    <m/>
    <m/>
  </r>
  <r>
    <s v="DSCN4424"/>
    <s v="BU0812_22"/>
    <n v="22"/>
    <n v="1"/>
    <s v="BU"/>
    <d v="2019-08-12T00:00:00"/>
    <x v="0"/>
    <s v="Fall"/>
    <d v="1899-12-30T03:13:00"/>
    <s v="Mostly sunny"/>
    <s v="RR/OS"/>
    <s v="Foraging"/>
    <s v="NA"/>
    <n v="1"/>
    <n v="0"/>
    <n v="0"/>
    <x v="7"/>
    <x v="9"/>
    <s v="Unknown"/>
    <s v="NA"/>
    <s v="NA"/>
    <s v="NA"/>
    <s v="NA"/>
    <s v="NA"/>
    <s v="NA"/>
    <s v="NA"/>
    <s v="NA"/>
    <s v="NA"/>
    <s v="NA"/>
    <s v="NA"/>
    <s v="NA"/>
    <n v="0"/>
    <n v="0"/>
    <n v="0"/>
    <n v="0"/>
    <n v="0"/>
    <n v="0"/>
    <n v="0"/>
    <m/>
    <m/>
    <m/>
    <m/>
  </r>
  <r>
    <s v="DSCN4390"/>
    <s v="BU0812_1"/>
    <n v="1"/>
    <n v="1"/>
    <s v="BU"/>
    <d v="2019-08-12T00:00:00"/>
    <x v="0"/>
    <s v="Fall"/>
    <d v="1899-12-30T00:20:00"/>
    <s v="Mostly sunny"/>
    <s v="RR/YS"/>
    <s v="Foraging"/>
    <s v="NA"/>
    <s v="Unknown"/>
    <n v="0"/>
    <s v="Unknown"/>
    <x v="3"/>
    <x v="2"/>
    <s v="NA"/>
    <s v="NA"/>
    <s v="NA"/>
    <s v="NA"/>
    <s v="NA"/>
    <s v="NA"/>
    <s v="NA"/>
    <s v="NA"/>
    <s v="NA"/>
    <s v="NA"/>
    <s v="NA"/>
    <s v="NA"/>
    <s v="NA"/>
    <n v="0"/>
    <n v="0"/>
    <n v="0"/>
    <n v="0"/>
    <n v="8"/>
    <n v="0"/>
    <n v="8"/>
    <m/>
    <m/>
    <m/>
    <m/>
  </r>
  <r>
    <s v="DSCN4393"/>
    <s v="BU0812_3"/>
    <n v="3"/>
    <n v="1"/>
    <s v="BU"/>
    <d v="2019-08-12T00:00:00"/>
    <x v="0"/>
    <s v="Fall"/>
    <d v="1899-12-30T00:22:00"/>
    <s v="Mostly sunny"/>
    <s v="RR/YS"/>
    <s v="Foraging"/>
    <s v="NA"/>
    <n v="0"/>
    <n v="0"/>
    <n v="0"/>
    <x v="3"/>
    <x v="2"/>
    <s v="NA"/>
    <s v="NA"/>
    <s v="NA"/>
    <s v="NA"/>
    <s v="NA"/>
    <s v="NA"/>
    <s v="NA"/>
    <s v="NA"/>
    <s v="NA"/>
    <s v="NA"/>
    <s v="NA"/>
    <s v="NA"/>
    <s v="NA"/>
    <n v="0"/>
    <n v="0"/>
    <n v="0"/>
    <n v="0"/>
    <n v="22"/>
    <n v="0"/>
    <n v="22"/>
    <m/>
    <m/>
    <m/>
    <m/>
  </r>
  <r>
    <s v="DSCN4402"/>
    <s v="BU0812_7"/>
    <n v="7"/>
    <n v="1"/>
    <s v="BU"/>
    <d v="2019-08-12T00:00:00"/>
    <x v="0"/>
    <s v="Fall"/>
    <d v="1899-12-30T00:15:00"/>
    <s v="Mostly sunny"/>
    <s v="RR/OS"/>
    <s v="Foraging"/>
    <s v="Spruce"/>
    <n v="0"/>
    <n v="0"/>
    <n v="0"/>
    <x v="3"/>
    <x v="2"/>
    <s v="NA"/>
    <s v="NA"/>
    <s v="NA"/>
    <s v="NA"/>
    <s v="NA"/>
    <s v="NA"/>
    <s v="NA"/>
    <s v="NA"/>
    <s v="NA"/>
    <s v="NA"/>
    <s v="NA"/>
    <s v="NA"/>
    <s v="NA"/>
    <n v="0"/>
    <n v="0"/>
    <n v="0"/>
    <n v="0"/>
    <n v="15"/>
    <n v="0"/>
    <n v="15"/>
    <m/>
    <m/>
    <m/>
    <m/>
  </r>
  <r>
    <s v="DSCN4404"/>
    <s v="BU0812_9"/>
    <n v="9"/>
    <n v="1"/>
    <s v="BU"/>
    <d v="2019-08-12T00:00:00"/>
    <x v="0"/>
    <s v="Fall"/>
    <d v="1899-12-30T00:07:00"/>
    <s v="Mostly sunny"/>
    <s v="RR/OS"/>
    <s v="Foraging"/>
    <s v="Spruce"/>
    <n v="0"/>
    <n v="0"/>
    <n v="0"/>
    <x v="3"/>
    <x v="2"/>
    <s v="NA"/>
    <s v="NA"/>
    <s v="NA"/>
    <s v="NA"/>
    <s v="NA"/>
    <s v="NA"/>
    <s v="NA"/>
    <s v="NA"/>
    <s v="NA"/>
    <s v="NA"/>
    <s v="NA"/>
    <s v="NA"/>
    <s v="NA"/>
    <n v="0"/>
    <n v="0"/>
    <n v="0"/>
    <n v="0"/>
    <n v="2"/>
    <n v="0"/>
    <n v="2"/>
    <m/>
    <m/>
    <m/>
    <m/>
  </r>
  <r>
    <s v="DSCN4405"/>
    <s v="BU0812_10"/>
    <n v="10"/>
    <n v="1"/>
    <s v="BU"/>
    <d v="2019-08-12T00:00:00"/>
    <x v="0"/>
    <s v="Fall"/>
    <d v="1899-12-30T00:03:00"/>
    <s v="Mostly sunny"/>
    <s v="RR/OS"/>
    <s v="Foraging"/>
    <s v="Spruce"/>
    <n v="0"/>
    <n v="0"/>
    <n v="0"/>
    <x v="3"/>
    <x v="2"/>
    <s v="NA"/>
    <s v="NA"/>
    <s v="NA"/>
    <s v="NA"/>
    <s v="NA"/>
    <s v="NA"/>
    <s v="NA"/>
    <s v="NA"/>
    <s v="NA"/>
    <s v="NA"/>
    <s v="NA"/>
    <s v="NA"/>
    <s v="NA"/>
    <n v="0"/>
    <n v="0"/>
    <n v="0"/>
    <n v="0"/>
    <n v="2"/>
    <n v="0"/>
    <n v="2"/>
    <m/>
    <m/>
    <m/>
    <m/>
  </r>
  <r>
    <s v="DSCN4406"/>
    <s v="BU0812_11"/>
    <n v="11"/>
    <n v="1"/>
    <s v="BU"/>
    <d v="2019-08-12T00:00:00"/>
    <x v="0"/>
    <s v="Fall"/>
    <d v="1899-12-30T00:18:00"/>
    <s v="Mostly sunny"/>
    <s v="RR/OS"/>
    <s v="Foraging"/>
    <s v="NA"/>
    <n v="0"/>
    <n v="0"/>
    <n v="0"/>
    <x v="3"/>
    <x v="2"/>
    <s v="NA"/>
    <s v="NA"/>
    <s v="NA"/>
    <s v="NA"/>
    <s v="NA"/>
    <s v="NA"/>
    <s v="NA"/>
    <s v="NA"/>
    <s v="NA"/>
    <s v="NA"/>
    <s v="NA"/>
    <s v="NA"/>
    <s v="NA"/>
    <n v="0"/>
    <n v="0"/>
    <n v="0"/>
    <n v="0"/>
    <n v="12"/>
    <n v="0"/>
    <n v="12"/>
    <m/>
    <m/>
    <m/>
    <m/>
  </r>
  <r>
    <s v="DSCN4411"/>
    <s v="BU0812_13"/>
    <n v="13"/>
    <n v="1"/>
    <s v="BU"/>
    <d v="2019-08-12T00:00:00"/>
    <x v="0"/>
    <s v="Fall"/>
    <d v="1899-12-30T00:12:00"/>
    <s v="Mostly sunny"/>
    <s v="RR/YS"/>
    <s v="Foraging"/>
    <s v="Spruce"/>
    <n v="0"/>
    <n v="0"/>
    <n v="0"/>
    <x v="3"/>
    <x v="2"/>
    <s v="NA"/>
    <s v="NA"/>
    <s v="NA"/>
    <s v="NA"/>
    <s v="NA"/>
    <s v="NA"/>
    <s v="NA"/>
    <s v="NA"/>
    <s v="NA"/>
    <s v="NA"/>
    <s v="NA"/>
    <s v="NA"/>
    <s v="NA"/>
    <n v="12"/>
    <n v="0"/>
    <n v="12"/>
    <n v="0"/>
    <n v="0"/>
    <n v="0"/>
    <n v="12"/>
    <m/>
    <m/>
    <m/>
    <m/>
  </r>
  <r>
    <s v="DSCN4413"/>
    <s v="BU0812_15"/>
    <n v="15"/>
    <n v="1"/>
    <s v="BU"/>
    <d v="2019-08-12T00:00:00"/>
    <x v="0"/>
    <s v="Fall"/>
    <d v="1899-12-30T00:13:00"/>
    <s v="Mostly sunny"/>
    <s v="Unbanded"/>
    <s v="Foraging"/>
    <s v="NA"/>
    <n v="0"/>
    <n v="0"/>
    <n v="0"/>
    <x v="3"/>
    <x v="2"/>
    <s v="NA"/>
    <s v="NA"/>
    <s v="NA"/>
    <s v="NA"/>
    <s v="NA"/>
    <s v="NA"/>
    <s v="NA"/>
    <s v="NA"/>
    <s v="NA"/>
    <s v="NA"/>
    <s v="NA"/>
    <s v="NA"/>
    <s v="NA"/>
    <n v="0"/>
    <n v="0"/>
    <n v="0"/>
    <n v="0"/>
    <n v="7"/>
    <n v="0"/>
    <n v="7"/>
    <m/>
    <m/>
    <m/>
    <m/>
  </r>
  <r>
    <s v="DSCN4420"/>
    <s v="BU0812_21"/>
    <n v="21"/>
    <n v="1"/>
    <s v="BU"/>
    <d v="2019-08-12T00:00:00"/>
    <x v="0"/>
    <s v="Fall"/>
    <d v="1899-12-30T01:31:00"/>
    <s v="Mostly sunny"/>
    <s v="RR/OS"/>
    <s v="Foraging"/>
    <s v="NA"/>
    <s v="Unknown"/>
    <n v="0"/>
    <n v="0"/>
    <x v="3"/>
    <x v="2"/>
    <s v="NA"/>
    <s v="NA"/>
    <s v="NA"/>
    <s v="NA"/>
    <s v="NA"/>
    <s v="NA"/>
    <s v="NA"/>
    <s v="NA"/>
    <s v="NA"/>
    <s v="NA"/>
    <s v="NA"/>
    <s v="NA"/>
    <s v="NA"/>
    <n v="0"/>
    <n v="0"/>
    <n v="0"/>
    <n v="0"/>
    <n v="91"/>
    <n v="0"/>
    <n v="91"/>
    <m/>
    <m/>
    <m/>
    <m/>
  </r>
  <r>
    <s v="DSCN4412"/>
    <s v="BU0812_14"/>
    <n v="14"/>
    <n v="1"/>
    <s v="BU"/>
    <d v="2019-08-12T00:00:00"/>
    <x v="0"/>
    <s v="Fall"/>
    <d v="1899-12-30T00:14:00"/>
    <s v="Mostly sunny"/>
    <s v="RR/YS"/>
    <s v="Foraging and caching"/>
    <s v="Spruce"/>
    <n v="1"/>
    <n v="0"/>
    <n v="1"/>
    <x v="1"/>
    <x v="10"/>
    <s v="Ground"/>
    <s v="Exterior spruce foliage"/>
    <s v="Spruce"/>
    <s v="Exterior"/>
    <s v="Foliage"/>
    <m/>
    <n v="54"/>
    <n v="2"/>
    <n v="63.724769999999999"/>
    <n v="148.95863"/>
    <s v="NA"/>
    <s v="NA"/>
    <s v="NA"/>
    <n v="0"/>
    <n v="0"/>
    <n v="0"/>
    <n v="0"/>
    <n v="1"/>
    <n v="0"/>
    <n v="1"/>
    <m/>
    <s v="deployed cameras"/>
    <m/>
    <m/>
  </r>
  <r>
    <s v="DSCN4414"/>
    <s v="BU0812_16"/>
    <n v="16"/>
    <n v="1"/>
    <s v="BU"/>
    <d v="2019-08-12T00:00:00"/>
    <x v="0"/>
    <s v="Fall"/>
    <d v="1899-12-30T00:16:00"/>
    <s v="Mostly sunny"/>
    <s v="Unbanded"/>
    <s v="Foraging"/>
    <s v="NA"/>
    <n v="1"/>
    <n v="0"/>
    <n v="0"/>
    <x v="1"/>
    <x v="3"/>
    <s v="Ground"/>
    <s v="NA"/>
    <s v="NA"/>
    <s v="NA"/>
    <s v="NA"/>
    <s v="NA"/>
    <s v="NA"/>
    <s v="NA"/>
    <s v="NA"/>
    <s v="NA"/>
    <s v="NA"/>
    <s v="NA"/>
    <s v="NA"/>
    <n v="0"/>
    <n v="0"/>
    <n v="0"/>
    <n v="0"/>
    <n v="14"/>
    <n v="0"/>
    <n v="14"/>
    <m/>
    <m/>
    <m/>
    <m/>
  </r>
  <r>
    <s v="DSCN4415"/>
    <s v="BU0812_17"/>
    <n v="17"/>
    <n v="1"/>
    <s v="BU"/>
    <d v="2019-08-12T00:00:00"/>
    <x v="0"/>
    <s v="Fall"/>
    <d v="1899-12-30T00:19:00"/>
    <s v="Mostly sunny"/>
    <s v="Unbanded"/>
    <s v="Foraging"/>
    <s v="NA"/>
    <n v="1"/>
    <n v="0"/>
    <n v="0"/>
    <x v="1"/>
    <x v="3"/>
    <s v="Ground"/>
    <s v="NA"/>
    <s v="NA"/>
    <s v="NA"/>
    <s v="NA"/>
    <s v="NA"/>
    <s v="NA"/>
    <s v="NA"/>
    <s v="NA"/>
    <s v="NA"/>
    <s v="NA"/>
    <s v="NA"/>
    <s v="NA"/>
    <n v="0"/>
    <n v="0"/>
    <n v="0"/>
    <n v="0"/>
    <n v="19"/>
    <n v="0"/>
    <n v="19"/>
    <m/>
    <m/>
    <m/>
    <m/>
  </r>
  <r>
    <s v="DSCN4416"/>
    <s v="BU0812_18"/>
    <n v="18"/>
    <n v="1"/>
    <s v="BU"/>
    <d v="2019-08-12T00:00:00"/>
    <x v="0"/>
    <s v="Fall"/>
    <d v="1899-12-30T00:23:00"/>
    <s v="Mostly sunny"/>
    <s v="Unbanded"/>
    <s v="Foraging"/>
    <s v="NA"/>
    <n v="1"/>
    <n v="0"/>
    <n v="0"/>
    <x v="1"/>
    <x v="11"/>
    <s v="Ground"/>
    <s v="NA"/>
    <s v="NA"/>
    <s v="NA"/>
    <s v="NA"/>
    <s v="NA"/>
    <s v="NA"/>
    <s v="NA"/>
    <s v="NA"/>
    <s v="NA"/>
    <s v="NA"/>
    <s v="NA"/>
    <s v="NA"/>
    <n v="0"/>
    <n v="0"/>
    <n v="0"/>
    <n v="0"/>
    <n v="12"/>
    <n v="0"/>
    <n v="12"/>
    <m/>
    <m/>
    <m/>
    <m/>
  </r>
  <r>
    <s v="DSCN4417"/>
    <s v="BU0812_19"/>
    <n v="19"/>
    <n v="1"/>
    <s v="BU"/>
    <d v="2019-08-12T00:00:00"/>
    <x v="0"/>
    <s v="Fall"/>
    <d v="1899-12-30T00:17:00"/>
    <s v="Mostly sunny"/>
    <s v="Unbanded"/>
    <s v="Foraging"/>
    <s v="NA"/>
    <n v="1"/>
    <n v="0"/>
    <n v="0"/>
    <x v="1"/>
    <x v="10"/>
    <s v="Ground"/>
    <s v="NA"/>
    <s v="NA"/>
    <s v="NA"/>
    <s v="NA"/>
    <s v="NA"/>
    <s v="NA"/>
    <s v="NA"/>
    <s v="NA"/>
    <s v="NA"/>
    <s v="NA"/>
    <s v="NA"/>
    <s v="NA"/>
    <n v="0"/>
    <n v="0"/>
    <n v="0"/>
    <n v="0"/>
    <n v="12"/>
    <n v="0"/>
    <n v="12"/>
    <m/>
    <m/>
    <m/>
    <m/>
  </r>
  <r>
    <s v="DSCN4419"/>
    <s v="BU0812_20"/>
    <n v="20"/>
    <n v="1"/>
    <s v="BU"/>
    <d v="2019-08-12T00:00:00"/>
    <x v="0"/>
    <s v="Fall"/>
    <d v="1899-12-30T00:03:00"/>
    <s v="Mostly sunny"/>
    <s v="RR/OS"/>
    <s v="Foraging"/>
    <s v="NA"/>
    <n v="1"/>
    <n v="0"/>
    <n v="0"/>
    <x v="1"/>
    <x v="10"/>
    <s v="Ground"/>
    <s v="NA"/>
    <s v="NA"/>
    <s v="NA"/>
    <s v="NA"/>
    <s v="NA"/>
    <s v="NA"/>
    <s v="NA"/>
    <s v="NA"/>
    <s v="NA"/>
    <s v="NA"/>
    <s v="NA"/>
    <s v="NA"/>
    <n v="0"/>
    <n v="0"/>
    <n v="0"/>
    <n v="0"/>
    <n v="3"/>
    <n v="0"/>
    <n v="3"/>
    <m/>
    <m/>
    <m/>
    <m/>
  </r>
  <r>
    <s v="DSCN4429"/>
    <s v="M2370813_1"/>
    <n v="1"/>
    <n v="1"/>
    <s v="M237"/>
    <d v="2019-08-13T00:00:00"/>
    <x v="0"/>
    <s v="Fall"/>
    <d v="1899-12-30T00:16:00"/>
    <s v="Overcast, light rain"/>
    <s v="WB/BS"/>
    <s v="Foraging"/>
    <s v="Aspen"/>
    <n v="0"/>
    <n v="0"/>
    <n v="1"/>
    <x v="0"/>
    <x v="0"/>
    <s v="Ground"/>
    <s v="Aspen branch under bark"/>
    <s v="Aspen"/>
    <s v="Exterior"/>
    <s v="Bark"/>
    <m/>
    <n v="237"/>
    <n v="4"/>
    <n v="63.726990000000001"/>
    <n v="148.88686999999999"/>
    <s v="NA"/>
    <s v="NA"/>
    <s v="NA"/>
    <n v="0"/>
    <n v="0"/>
    <n v="0"/>
    <n v="0"/>
    <n v="0"/>
    <n v="0"/>
    <n v="0"/>
    <m/>
    <s v="Missed acquisition"/>
    <m/>
    <m/>
  </r>
  <r>
    <s v="DSCN4433"/>
    <s v="M2370813_5"/>
    <n v="5"/>
    <n v="1"/>
    <s v="M237"/>
    <d v="2019-08-13T00:00:00"/>
    <x v="0"/>
    <s v="Fall"/>
    <d v="1899-12-30T00:35:00"/>
    <s v="Overcast, light rain"/>
    <s v="WB/BS"/>
    <s v="Foraging"/>
    <s v="NA"/>
    <n v="1"/>
    <n v="0"/>
    <n v="0"/>
    <x v="0"/>
    <x v="0"/>
    <s v="Spruce trunk"/>
    <s v="NA"/>
    <s v="NA"/>
    <s v="NA"/>
    <s v="NA"/>
    <s v="NA"/>
    <s v="NA"/>
    <s v="NA"/>
    <s v="NA"/>
    <s v="NA"/>
    <s v="NA"/>
    <s v="NA"/>
    <s v="NA"/>
    <n v="28"/>
    <n v="0"/>
    <n v="28"/>
    <n v="0"/>
    <n v="2"/>
    <n v="0"/>
    <n v="30"/>
    <m/>
    <m/>
    <m/>
    <m/>
  </r>
  <r>
    <s v="DSCN4434"/>
    <s v="M2370813_6"/>
    <n v="6"/>
    <n v="2"/>
    <s v="M237"/>
    <d v="2019-08-13T00:00:00"/>
    <x v="0"/>
    <s v="Fall"/>
    <d v="1899-12-30T01:33:00"/>
    <s v="Overcast, light rain"/>
    <s v="WB/BS"/>
    <s v="Foraging"/>
    <s v="NA"/>
    <n v="1"/>
    <n v="0"/>
    <n v="0"/>
    <x v="0"/>
    <x v="0"/>
    <s v="Shrub branch"/>
    <s v="NA"/>
    <s v="NA"/>
    <s v="NA"/>
    <s v="NA"/>
    <s v="NA"/>
    <s v="NA"/>
    <s v="NA"/>
    <s v="NA"/>
    <s v="NA"/>
    <s v="NA"/>
    <s v="NA"/>
    <s v="NA"/>
    <n v="13"/>
    <n v="0"/>
    <n v="0"/>
    <n v="13"/>
    <n v="11"/>
    <n v="0"/>
    <n v="24"/>
    <m/>
    <m/>
    <m/>
    <m/>
  </r>
  <r>
    <s v="DSCN4434"/>
    <s v="M2370813_6"/>
    <n v="6"/>
    <n v="3"/>
    <s v="M237"/>
    <d v="2019-08-13T00:00:00"/>
    <x v="0"/>
    <s v="Fall"/>
    <d v="1899-12-30T01:33:00"/>
    <s v="Overcast, light rain"/>
    <s v="WB/BS"/>
    <s v="Foraging"/>
    <s v="NA"/>
    <n v="1"/>
    <n v="0"/>
    <n v="0"/>
    <x v="0"/>
    <x v="0"/>
    <s v="Ground"/>
    <s v="NA"/>
    <s v="NA"/>
    <s v="NA"/>
    <s v="NA"/>
    <s v="NA"/>
    <s v="NA"/>
    <s v="NA"/>
    <s v="NA"/>
    <s v="NA"/>
    <s v="NA"/>
    <s v="NA"/>
    <s v="NA"/>
    <n v="0"/>
    <n v="0"/>
    <n v="0"/>
    <n v="0"/>
    <n v="51"/>
    <n v="0"/>
    <n v="51"/>
    <m/>
    <m/>
    <m/>
    <m/>
  </r>
  <r>
    <s v="DSCN4437"/>
    <s v="M2370813_8"/>
    <n v="8"/>
    <n v="1"/>
    <s v="M237"/>
    <d v="2019-08-13T00:00:00"/>
    <x v="0"/>
    <s v="Fall"/>
    <d v="1899-12-30T00:14:00"/>
    <s v="Overcast, light rain"/>
    <s v="WB/BS"/>
    <s v="Foraging"/>
    <s v="NA"/>
    <n v="1"/>
    <n v="0"/>
    <n v="0"/>
    <x v="0"/>
    <x v="0"/>
    <s v="Ground"/>
    <s v="NA"/>
    <s v="NA"/>
    <s v="NA"/>
    <s v="NA"/>
    <s v="NA"/>
    <s v="NA"/>
    <s v="NA"/>
    <s v="NA"/>
    <s v="NA"/>
    <s v="NA"/>
    <s v="NA"/>
    <s v="NA"/>
    <n v="0"/>
    <n v="0"/>
    <n v="0"/>
    <n v="0"/>
    <n v="12"/>
    <n v="0"/>
    <n v="12"/>
    <m/>
    <m/>
    <m/>
    <m/>
  </r>
  <r>
    <s v="DSCN4430"/>
    <s v="M2370813_2"/>
    <n v="2"/>
    <n v="1"/>
    <s v="M237"/>
    <d v="2019-08-13T00:00:00"/>
    <x v="0"/>
    <s v="Fall"/>
    <d v="1899-12-30T00:25:00"/>
    <s v="Overcast, light rain"/>
    <s v="WB/BS"/>
    <s v="Foraging"/>
    <s v="Spruce"/>
    <s v="Unknown"/>
    <s v="Unknown"/>
    <s v="Unknown"/>
    <x v="3"/>
    <x v="2"/>
    <s v="NA"/>
    <s v="NA"/>
    <s v="NA"/>
    <s v="NA"/>
    <s v="NA"/>
    <s v="NA"/>
    <s v="NA"/>
    <s v="NA"/>
    <s v="NA"/>
    <s v="NA"/>
    <s v="NA"/>
    <s v="NA"/>
    <s v="NA"/>
    <n v="0"/>
    <n v="0"/>
    <n v="0"/>
    <n v="0"/>
    <n v="0"/>
    <n v="0"/>
    <n v="0"/>
    <m/>
    <m/>
    <m/>
    <m/>
  </r>
  <r>
    <s v="DSCN4431"/>
    <s v="M2370813_3"/>
    <n v="3"/>
    <n v="1"/>
    <s v="M237"/>
    <d v="2019-08-13T00:00:00"/>
    <x v="0"/>
    <s v="Fall"/>
    <d v="1899-12-30T00:25:00"/>
    <s v="Overcast, light rain"/>
    <s v="WB/BS"/>
    <s v="Foraging"/>
    <s v="NA"/>
    <n v="0"/>
    <n v="0"/>
    <n v="0"/>
    <x v="3"/>
    <x v="2"/>
    <s v="NA"/>
    <s v="NA"/>
    <s v="NA"/>
    <s v="NA"/>
    <s v="NA"/>
    <s v="NA"/>
    <s v="NA"/>
    <s v="NA"/>
    <s v="NA"/>
    <s v="NA"/>
    <s v="NA"/>
    <s v="NA"/>
    <s v="NA"/>
    <n v="0"/>
    <n v="0"/>
    <n v="0"/>
    <n v="0"/>
    <n v="25"/>
    <n v="0"/>
    <n v="25"/>
    <m/>
    <m/>
    <m/>
    <m/>
  </r>
  <r>
    <s v="DSCN4432"/>
    <s v="M2370813_4"/>
    <n v="4"/>
    <n v="1"/>
    <s v="M237"/>
    <d v="2019-08-13T00:00:00"/>
    <x v="0"/>
    <s v="Fall"/>
    <d v="1899-12-30T00:13:00"/>
    <s v="Overcast, light rain"/>
    <s v="WB/BS"/>
    <s v="Foraging"/>
    <s v="NA"/>
    <n v="0"/>
    <n v="0"/>
    <n v="0"/>
    <x v="3"/>
    <x v="2"/>
    <s v="NA"/>
    <s v="NA"/>
    <s v="NA"/>
    <s v="NA"/>
    <s v="NA"/>
    <s v="NA"/>
    <s v="NA"/>
    <s v="NA"/>
    <s v="NA"/>
    <s v="NA"/>
    <s v="NA"/>
    <s v="NA"/>
    <s v="NA"/>
    <n v="0"/>
    <n v="0"/>
    <n v="0"/>
    <n v="0"/>
    <n v="13"/>
    <n v="0"/>
    <n v="13"/>
    <m/>
    <m/>
    <m/>
    <m/>
  </r>
  <r>
    <s v="DSCN4435"/>
    <s v="M2370813_7"/>
    <n v="7"/>
    <n v="1"/>
    <s v="M237"/>
    <d v="2019-08-13T00:00:00"/>
    <x v="0"/>
    <s v="Fall"/>
    <d v="1899-12-30T00:12:00"/>
    <s v="Overcast, light rain"/>
    <s v="WB/BS"/>
    <s v="Foraging"/>
    <s v="NA"/>
    <s v="Unknown"/>
    <n v="0"/>
    <n v="0"/>
    <x v="3"/>
    <x v="2"/>
    <s v="NA"/>
    <s v="NA"/>
    <s v="NA"/>
    <s v="NA"/>
    <s v="NA"/>
    <s v="NA"/>
    <s v="NA"/>
    <s v="NA"/>
    <s v="NA"/>
    <s v="NA"/>
    <s v="NA"/>
    <s v="NA"/>
    <s v="NA"/>
    <n v="0"/>
    <n v="0"/>
    <n v="0"/>
    <n v="0"/>
    <n v="12"/>
    <n v="0"/>
    <n v="12"/>
    <m/>
    <m/>
    <m/>
    <m/>
  </r>
  <r>
    <s v="DSCN4434"/>
    <s v="M2370813_6"/>
    <n v="6"/>
    <n v="1"/>
    <s v="M237"/>
    <d v="2019-08-13T00:00:00"/>
    <x v="0"/>
    <s v="Fall"/>
    <d v="1899-12-30T01:33:00"/>
    <s v="Overcast, light rain"/>
    <s v="WB/BS"/>
    <s v="Foraging"/>
    <s v="NA"/>
    <n v="1"/>
    <n v="0"/>
    <n v="1"/>
    <x v="1"/>
    <x v="3"/>
    <s v="Ground"/>
    <s v="Spruce trunk on bark"/>
    <s v="Spruce"/>
    <s v="Trunk"/>
    <s v="None"/>
    <m/>
    <n v="244"/>
    <n v="2"/>
    <n v="63.725720000000003"/>
    <n v="148.88728"/>
    <s v="NA"/>
    <s v="NA"/>
    <s v="NA"/>
    <n v="0"/>
    <n v="0"/>
    <n v="0"/>
    <n v="0"/>
    <n v="0"/>
    <n v="0"/>
    <n v="0"/>
    <m/>
    <m/>
    <m/>
    <m/>
  </r>
  <r>
    <s v="DSCN4461"/>
    <s v="M3.50815_11"/>
    <n v="11"/>
    <n v="1"/>
    <s v="Mile 3.5"/>
    <d v="2019-08-15T00:00:00"/>
    <x v="0"/>
    <s v="Fall"/>
    <d v="1899-12-30T00:31:00"/>
    <s v="Heavy rain"/>
    <s v="OL/OS"/>
    <s v="Caching"/>
    <s v="Spruce"/>
    <n v="0"/>
    <n v="0"/>
    <n v="1"/>
    <x v="0"/>
    <x v="0"/>
    <s v="Ground"/>
    <s v="Exterior spruce under bark"/>
    <s v="Spruce"/>
    <s v="Exterior"/>
    <s v="Bark"/>
    <m/>
    <n v="321"/>
    <n v="7"/>
    <n v="63.717759999999998"/>
    <n v="148.97272000000001"/>
    <s v="NA"/>
    <s v="NA"/>
    <s v="NA"/>
    <n v="0"/>
    <n v="0"/>
    <n v="0"/>
    <n v="0"/>
    <n v="0"/>
    <n v="0"/>
    <n v="0"/>
    <m/>
    <m/>
    <m/>
    <m/>
  </r>
  <r>
    <s v="DSCN4454"/>
    <s v="M3.50815_7"/>
    <n v="7"/>
    <n v="1"/>
    <s v="Mile 3.5"/>
    <d v="2019-08-15T00:00:00"/>
    <x v="0"/>
    <s v="Fall"/>
    <d v="1899-12-30T00:24:00"/>
    <s v="Heavy rain"/>
    <s v="Unknown"/>
    <s v="Caching"/>
    <s v="Spruce"/>
    <n v="1"/>
    <n v="0"/>
    <n v="1"/>
    <x v="0"/>
    <x v="0"/>
    <s v="Unknown"/>
    <s v="Exterior spruce under bark"/>
    <s v="Spruce"/>
    <s v="Exterior"/>
    <s v="Bark"/>
    <m/>
    <n v="208"/>
    <s v="Unknown"/>
    <n v="63.717779999999998"/>
    <n v="148.97417999999999"/>
    <s v="NA"/>
    <s v="NA"/>
    <s v="NA"/>
    <n v="0"/>
    <n v="0"/>
    <n v="0"/>
    <n v="0"/>
    <n v="0"/>
    <n v="0"/>
    <n v="0"/>
    <m/>
    <m/>
    <m/>
    <m/>
  </r>
  <r>
    <s v="DSCN4454"/>
    <s v="M3.50815_7"/>
    <n v="7"/>
    <n v="2"/>
    <s v="Mile 3.5"/>
    <d v="2019-08-15T00:00:00"/>
    <x v="0"/>
    <s v="Fall"/>
    <d v="1899-12-30T00:24:00"/>
    <s v="Heavy rain"/>
    <s v="Unknown"/>
    <s v="Caching"/>
    <s v="Spruce"/>
    <n v="1"/>
    <n v="0"/>
    <n v="1"/>
    <x v="0"/>
    <x v="0"/>
    <s v="Unknown"/>
    <s v="Exterior spruce under bark"/>
    <s v="Spruce"/>
    <s v="Exterior"/>
    <s v="Bark"/>
    <m/>
    <n v="22"/>
    <s v="Unknown"/>
    <n v="63.717779999999998"/>
    <n v="148.97417999999999"/>
    <s v="NA"/>
    <s v="NA"/>
    <s v="NA"/>
    <n v="0"/>
    <n v="0"/>
    <n v="0"/>
    <n v="0"/>
    <n v="0"/>
    <n v="0"/>
    <n v="0"/>
    <m/>
    <m/>
    <m/>
    <m/>
  </r>
  <r>
    <s v="DSCN4458"/>
    <s v="M3.50815_9"/>
    <n v="9"/>
    <n v="1"/>
    <s v="Mile 3.5"/>
    <d v="2019-08-15T00:00:00"/>
    <x v="0"/>
    <s v="Fall"/>
    <d v="1899-12-30T00:34:00"/>
    <s v="Heavy rain"/>
    <s v="PL/LS"/>
    <s v="Caching"/>
    <s v="Spruce"/>
    <n v="0"/>
    <n v="0"/>
    <n v="1"/>
    <x v="0"/>
    <x v="0"/>
    <s v="Unknown"/>
    <s v="Spruce trunk on bark"/>
    <s v="Spruce"/>
    <s v="Trunk"/>
    <s v="Bark"/>
    <m/>
    <n v="274"/>
    <s v="NA"/>
    <n v="63.717779999999998"/>
    <n v="148.97417999999999"/>
    <s v="NA"/>
    <s v="NA"/>
    <s v="NA"/>
    <n v="0"/>
    <n v="0"/>
    <n v="0"/>
    <n v="0"/>
    <n v="0"/>
    <n v="0"/>
    <n v="0"/>
    <m/>
    <m/>
    <m/>
    <m/>
  </r>
  <r>
    <s v="DSCN4466"/>
    <s v="M3.50815_13"/>
    <n v="13"/>
    <n v="1"/>
    <s v="Mile 3.5"/>
    <d v="2019-08-15T00:00:00"/>
    <x v="0"/>
    <s v="Fall"/>
    <d v="1899-12-30T01:31:00"/>
    <s v="Heavy rain"/>
    <s v="OL/OS"/>
    <s v="Caching"/>
    <s v="Spruce"/>
    <n v="0"/>
    <n v="0"/>
    <n v="1"/>
    <x v="0"/>
    <x v="0"/>
    <s v="Ground"/>
    <s v="Exterior spruce on bark"/>
    <s v="Spruce"/>
    <s v="Exterior"/>
    <s v="None"/>
    <m/>
    <n v="6"/>
    <n v="20"/>
    <n v="63.718119999999999"/>
    <n v="148.97382999999999"/>
    <s v="NA"/>
    <s v="NA"/>
    <s v="NA"/>
    <n v="0"/>
    <n v="0"/>
    <n v="0"/>
    <n v="0"/>
    <n v="0"/>
    <n v="0"/>
    <n v="0"/>
    <m/>
    <m/>
    <m/>
    <m/>
  </r>
  <r>
    <s v="DSCN4466"/>
    <s v="M3.50815_13"/>
    <n v="13"/>
    <n v="1"/>
    <s v="Mile 3.5"/>
    <d v="2019-08-15T00:00:00"/>
    <x v="0"/>
    <s v="Fall"/>
    <d v="1899-12-30T01:31:00"/>
    <s v="Heavy rain"/>
    <s v="OL/OS"/>
    <s v="Caching"/>
    <s v="Spruce"/>
    <n v="0"/>
    <n v="0"/>
    <n v="1"/>
    <x v="0"/>
    <x v="0"/>
    <s v="Ground"/>
    <s v="Interior spruce on bark"/>
    <s v="Spruce"/>
    <s v="Exterior"/>
    <s v="None"/>
    <m/>
    <n v="187"/>
    <n v="20"/>
    <n v="63.718119999999999"/>
    <n v="148.97382999999999"/>
    <s v="NA"/>
    <s v="NA"/>
    <s v="NA"/>
    <n v="0"/>
    <n v="0"/>
    <n v="0"/>
    <n v="0"/>
    <n v="0"/>
    <n v="0"/>
    <n v="0"/>
    <m/>
    <m/>
    <m/>
    <m/>
  </r>
  <r>
    <s v="DSCN4466"/>
    <s v="M3.50815_13"/>
    <n v="13"/>
    <n v="1"/>
    <s v="Mile 3.5"/>
    <d v="2019-08-15T00:00:00"/>
    <x v="0"/>
    <s v="Fall"/>
    <d v="1899-12-30T01:31:00"/>
    <s v="Heavy rain"/>
    <s v="OL/OS"/>
    <s v="Caching"/>
    <s v="Spruce"/>
    <n v="0"/>
    <n v="0"/>
    <n v="1"/>
    <x v="0"/>
    <x v="0"/>
    <s v="Ground"/>
    <s v="Interior spruce on bark"/>
    <s v="Spruce"/>
    <s v="Exterior"/>
    <s v="None"/>
    <m/>
    <n v="222"/>
    <n v="20"/>
    <n v="63.718119999999999"/>
    <n v="148.97382999999999"/>
    <s v="NA"/>
    <s v="NA"/>
    <s v="NA"/>
    <n v="0"/>
    <n v="0"/>
    <n v="0"/>
    <n v="0"/>
    <n v="0"/>
    <n v="0"/>
    <n v="0"/>
    <m/>
    <m/>
    <m/>
    <m/>
  </r>
  <r>
    <s v="DSCN4448"/>
    <s v="M3.50815_4"/>
    <n v="4"/>
    <n v="1"/>
    <s v="Mile 3.5"/>
    <d v="2019-08-15T00:00:00"/>
    <x v="0"/>
    <s v="Fall"/>
    <d v="1899-12-30T00:12:00"/>
    <s v="Heavy rain"/>
    <s v="Unbanded"/>
    <s v="Caching"/>
    <s v="Spruce"/>
    <n v="1"/>
    <n v="0"/>
    <n v="1"/>
    <x v="0"/>
    <x v="0"/>
    <s v="Ground"/>
    <s v="Spruce trunk under bark"/>
    <s v="Spruce"/>
    <s v="Trunk"/>
    <s v="Bark"/>
    <m/>
    <n v="265"/>
    <s v="Unknown"/>
    <n v="63.718510000000002"/>
    <n v="148.97434999999999"/>
    <s v="NA"/>
    <s v="NA"/>
    <s v="NA"/>
    <n v="0"/>
    <n v="0"/>
    <n v="0"/>
    <n v="0"/>
    <n v="0"/>
    <n v="0"/>
    <n v="0"/>
    <m/>
    <m/>
    <m/>
    <m/>
  </r>
  <r>
    <s v="DSCN4447"/>
    <s v="M3.50815_3"/>
    <n v="3"/>
    <n v="1"/>
    <s v="Mile 3.5"/>
    <d v="2019-08-15T00:00:00"/>
    <x v="0"/>
    <s v="Fall"/>
    <d v="1899-12-30T00:55:00"/>
    <s v="Heavy rain"/>
    <s v="Unbanded"/>
    <s v="Caching"/>
    <s v="Spruce"/>
    <n v="1"/>
    <n v="0"/>
    <n v="1"/>
    <x v="0"/>
    <x v="0"/>
    <s v="Unknown"/>
    <s v="Spruce trunk under bark"/>
    <s v="Spruce"/>
    <s v="Trunk"/>
    <s v="Bark"/>
    <m/>
    <n v="243"/>
    <s v="Unknown"/>
    <n v="63.718699999999998"/>
    <n v="148.97443000000001"/>
    <s v="NA"/>
    <s v="NA"/>
    <s v="NA"/>
    <n v="0"/>
    <n v="0"/>
    <n v="0"/>
    <n v="0"/>
    <n v="0"/>
    <n v="0"/>
    <n v="0"/>
    <m/>
    <m/>
    <m/>
    <m/>
  </r>
  <r>
    <s v="DSCN4443"/>
    <s v="M3.50815_1"/>
    <n v="1"/>
    <n v="1"/>
    <s v="Mile 3.5"/>
    <d v="2019-08-15T00:00:00"/>
    <x v="0"/>
    <s v="Fall"/>
    <d v="1899-12-30T00:39:00"/>
    <s v="Heavy rain"/>
    <s v="PW/RS"/>
    <s v="Caching"/>
    <s v="Spruce"/>
    <n v="1"/>
    <m/>
    <n v="1"/>
    <x v="0"/>
    <x v="0"/>
    <s v="Ground"/>
    <s v="Spruce trunk under bark"/>
    <s v="Spruce"/>
    <s v="Trunk"/>
    <s v="Bark"/>
    <m/>
    <n v="288"/>
    <s v="Unknown"/>
    <n v="63.73507"/>
    <n v="148.91918999999999"/>
    <s v="NA"/>
    <s v="NA"/>
    <s v="NA"/>
    <n v="0"/>
    <n v="0"/>
    <n v="0"/>
    <n v="0"/>
    <n v="0"/>
    <n v="0"/>
    <n v="0"/>
    <m/>
    <m/>
    <m/>
    <m/>
  </r>
  <r>
    <s v="DSCN4456"/>
    <s v="M3.50815_8"/>
    <n v="8"/>
    <n v="1"/>
    <s v="Mile 3.5"/>
    <d v="2019-08-15T00:00:00"/>
    <x v="0"/>
    <s v="Fall"/>
    <d v="1899-12-30T00:47:00"/>
    <s v="Heavy rain"/>
    <s v="Unbanded"/>
    <s v="Unknown"/>
    <s v="Spruce"/>
    <n v="1"/>
    <n v="0"/>
    <n v="0"/>
    <x v="0"/>
    <x v="0"/>
    <s v="Unknown"/>
    <s v="NA"/>
    <s v="NA"/>
    <s v="NA"/>
    <s v="NA"/>
    <s v="NA"/>
    <s v="NA"/>
    <s v="NA"/>
    <s v="NA"/>
    <s v="NA"/>
    <s v="NA"/>
    <s v="NA"/>
    <s v="NA"/>
    <n v="0"/>
    <n v="0"/>
    <n v="0"/>
    <n v="0"/>
    <n v="0"/>
    <n v="0"/>
    <n v="0"/>
    <m/>
    <m/>
    <m/>
    <m/>
  </r>
  <r>
    <s v="DSCN4465"/>
    <s v="M3.50815_12"/>
    <n v="12"/>
    <n v="1"/>
    <s v="Mile 3.5"/>
    <d v="2019-08-15T00:00:00"/>
    <x v="0"/>
    <s v="Fall"/>
    <d v="1899-12-30T00:46:00"/>
    <s v="Heavy rain"/>
    <s v="OL/OS"/>
    <s v="Foraging and caching"/>
    <s v="Spruce"/>
    <n v="1"/>
    <n v="0"/>
    <n v="0"/>
    <x v="0"/>
    <x v="0"/>
    <s v="Ground"/>
    <s v="NA"/>
    <s v="NA"/>
    <s v="NA"/>
    <s v="NA"/>
    <s v="NA"/>
    <s v="NA"/>
    <s v="NA"/>
    <s v="NA"/>
    <s v="NA"/>
    <s v="NA"/>
    <s v="NA"/>
    <s v="NA"/>
    <n v="0"/>
    <n v="0"/>
    <n v="0"/>
    <n v="0"/>
    <n v="27"/>
    <n v="0"/>
    <n v="27"/>
    <m/>
    <m/>
    <m/>
    <m/>
  </r>
  <r>
    <s v="DSCN4460"/>
    <s v="M3.50815_10"/>
    <n v="10"/>
    <n v="1"/>
    <s v="Mile 3.5"/>
    <d v="2019-08-15T00:00:00"/>
    <x v="0"/>
    <s v="Fall"/>
    <d v="1899-12-30T00:33:00"/>
    <s v="Heavy rain"/>
    <s v="PY/GS"/>
    <s v="Caching"/>
    <s v="Spruce"/>
    <n v="0"/>
    <n v="0"/>
    <n v="1"/>
    <x v="0"/>
    <x v="0"/>
    <s v="Unknown"/>
    <s v="Exterior spruce under bark"/>
    <s v="Spruce"/>
    <s v="Exterior"/>
    <s v="Bark"/>
    <m/>
    <s v="Unknown"/>
    <s v="Unknown"/>
    <s v="Unknown"/>
    <s v="Unknown"/>
    <s v="NA"/>
    <s v="NA"/>
    <s v="NA"/>
    <n v="0"/>
    <n v="0"/>
    <n v="0"/>
    <n v="0"/>
    <n v="0"/>
    <n v="0"/>
    <n v="0"/>
    <m/>
    <s v="Possibly foraging or looking for places to cache"/>
    <m/>
    <m/>
  </r>
  <r>
    <s v="DSCN5543"/>
    <s v="M3.50815_6"/>
    <n v="6"/>
    <n v="1"/>
    <s v="Mile 3.5"/>
    <d v="2019-08-15T00:00:00"/>
    <x v="0"/>
    <s v="Fall"/>
    <d v="1899-12-30T00:17:00"/>
    <s v="Heavy rain"/>
    <s v="PL/LS"/>
    <s v="Foraging"/>
    <s v="Spruce"/>
    <s v="Unknown"/>
    <n v="0"/>
    <n v="0"/>
    <x v="3"/>
    <x v="2"/>
    <s v="NA"/>
    <s v="NA"/>
    <s v="NA"/>
    <s v="NA"/>
    <s v="NA"/>
    <s v="NA"/>
    <s v="NA"/>
    <s v="NA"/>
    <s v="NA"/>
    <s v="NA"/>
    <s v="NA"/>
    <s v="NA"/>
    <s v="NA"/>
    <n v="0"/>
    <n v="10"/>
    <n v="0"/>
    <n v="10"/>
    <n v="0"/>
    <n v="0"/>
    <n v="10"/>
    <m/>
    <m/>
    <m/>
    <m/>
  </r>
  <r>
    <s v="DSCN4449"/>
    <s v="M3.50815_5"/>
    <n v="5"/>
    <n v="1"/>
    <s v="Mile 3.5"/>
    <d v="2019-08-15T00:00:00"/>
    <x v="0"/>
    <s v="Fall"/>
    <d v="1899-12-30T00:39:00"/>
    <s v="Heavy rain"/>
    <s v="PL/LS"/>
    <s v="Foraging"/>
    <s v="Spruce"/>
    <s v="Unknown"/>
    <n v="0"/>
    <n v="0"/>
    <x v="3"/>
    <x v="0"/>
    <s v="Unknown"/>
    <s v="Unknown"/>
    <s v="Unknown"/>
    <s v="Unknown"/>
    <s v="Unknown"/>
    <s v="Unknown"/>
    <s v="Unknown"/>
    <s v="Unknown"/>
    <s v="Unknown"/>
    <s v="Unknown"/>
    <s v="Unknown"/>
    <s v="Unknown"/>
    <s v="Unknown"/>
    <n v="18"/>
    <n v="0"/>
    <n v="18"/>
    <n v="0"/>
    <n v="0"/>
    <n v="9"/>
    <n v="27"/>
    <m/>
    <m/>
    <m/>
    <m/>
  </r>
  <r>
    <s v="DSCN4446"/>
    <s v="M3.50815_2"/>
    <n v="2"/>
    <n v="1"/>
    <s v="Mile 3.5"/>
    <d v="2019-08-15T00:00:00"/>
    <x v="0"/>
    <s v="Fall"/>
    <d v="1899-12-30T01:05:00"/>
    <s v="Heavy rain"/>
    <s v="PW/RS"/>
    <s v="Foraging"/>
    <s v="NA"/>
    <n v="1"/>
    <n v="0"/>
    <s v="Unknown"/>
    <x v="6"/>
    <x v="7"/>
    <s v="Ground"/>
    <s v="NA"/>
    <s v="NA"/>
    <s v="NA"/>
    <s v="NA"/>
    <s v="NA"/>
    <s v="NA"/>
    <s v="NA"/>
    <s v="NA"/>
    <s v="NA"/>
    <s v="NA"/>
    <s v="NA"/>
    <s v="NA"/>
    <n v="0"/>
    <n v="0"/>
    <n v="0"/>
    <n v="0"/>
    <n v="22"/>
    <n v="0"/>
    <n v="22"/>
    <m/>
    <m/>
    <m/>
    <m/>
  </r>
  <r>
    <s v="DSCN4469"/>
    <s v="BU0816_1"/>
    <n v="1"/>
    <n v="1"/>
    <s v="BU"/>
    <d v="2019-08-16T00:00:00"/>
    <x v="0"/>
    <s v="Fall"/>
    <d v="1899-12-30T00:24:00"/>
    <s v="Heavy rain"/>
    <s v="Unknown"/>
    <s v="Caching"/>
    <s v="Spruce"/>
    <n v="1"/>
    <n v="0"/>
    <n v="1"/>
    <x v="0"/>
    <x v="0"/>
    <s v="Unknown"/>
    <s v="Interior spruce on bark"/>
    <s v="Spruce"/>
    <s v="Interior"/>
    <s v="Unknown"/>
    <m/>
    <n v="169"/>
    <s v="Unknown"/>
    <n v="63.72495"/>
    <n v="148.95622"/>
    <s v="NA"/>
    <s v="NA"/>
    <s v="NA"/>
    <n v="0"/>
    <n v="0"/>
    <n v="0"/>
    <n v="0"/>
    <n v="0"/>
    <n v="0"/>
    <n v="0"/>
    <m/>
    <m/>
    <m/>
    <m/>
  </r>
  <r>
    <s v="DSCN4472"/>
    <s v="BU0816_2"/>
    <n v="2"/>
    <n v="1"/>
    <s v="BU"/>
    <d v="2019-08-16T00:00:00"/>
    <x v="0"/>
    <s v="Fall"/>
    <d v="1899-12-30T01:30:00"/>
    <s v="Heavy rain"/>
    <s v="RR/?S"/>
    <s v="Foraging"/>
    <s v="Spruce"/>
    <n v="2"/>
    <n v="0"/>
    <n v="0"/>
    <x v="0"/>
    <x v="0"/>
    <s v="Interior spruce foliage"/>
    <s v="NA"/>
    <s v="NA"/>
    <s v="NA"/>
    <s v="NA"/>
    <s v="NA"/>
    <s v="NA"/>
    <s v="NA"/>
    <s v="NA"/>
    <s v="NA"/>
    <s v="NA"/>
    <s v="NA"/>
    <s v="NA"/>
    <n v="0"/>
    <n v="90"/>
    <n v="78"/>
    <n v="12"/>
    <n v="0"/>
    <n v="0"/>
    <n v="90"/>
    <m/>
    <m/>
    <m/>
    <m/>
  </r>
  <r>
    <s v="DSCN4475"/>
    <s v="BU0816_4"/>
    <n v="4"/>
    <n v="1"/>
    <s v="BU"/>
    <d v="2019-08-16T00:00:00"/>
    <x v="0"/>
    <s v="Fall"/>
    <d v="1899-12-30T00:38:00"/>
    <s v="Heavy rain"/>
    <s v="GR/PS"/>
    <s v="Foraging"/>
    <s v="NA"/>
    <n v="1"/>
    <n v="0"/>
    <n v="0"/>
    <x v="0"/>
    <x v="0"/>
    <s v="Spruce trunk"/>
    <s v="NA"/>
    <s v="NA"/>
    <s v="NA"/>
    <s v="NA"/>
    <s v="NA"/>
    <s v="NA"/>
    <s v="NA"/>
    <s v="NA"/>
    <s v="NA"/>
    <s v="NA"/>
    <s v="NA"/>
    <s v="NA"/>
    <n v="13"/>
    <n v="0"/>
    <n v="13"/>
    <n v="0"/>
    <n v="25"/>
    <n v="0"/>
    <n v="38"/>
    <m/>
    <m/>
    <m/>
    <m/>
  </r>
  <r>
    <s v="DSCN4474"/>
    <s v="BU0816_3"/>
    <n v="3"/>
    <n v="1"/>
    <s v="BU"/>
    <d v="2019-08-16T00:00:00"/>
    <x v="0"/>
    <s v="Fall"/>
    <d v="1899-12-30T00:27:00"/>
    <s v="Heavy rain"/>
    <s v="GR/PS"/>
    <s v="Foraging"/>
    <s v="NA"/>
    <s v="Unknown"/>
    <n v="0"/>
    <n v="0"/>
    <x v="3"/>
    <x v="2"/>
    <s v="NA"/>
    <s v="NA"/>
    <s v="NA"/>
    <s v="NA"/>
    <s v="NA"/>
    <s v="NA"/>
    <s v="NA"/>
    <s v="NA"/>
    <s v="NA"/>
    <s v="NA"/>
    <s v="NA"/>
    <s v="NA"/>
    <s v="NA"/>
    <n v="0"/>
    <n v="0"/>
    <n v="0"/>
    <n v="0"/>
    <n v="27"/>
    <n v="0"/>
    <n v="27"/>
    <m/>
    <m/>
    <m/>
    <m/>
  </r>
  <r>
    <s v="DSCN4475"/>
    <s v="BU0816_4"/>
    <n v="4"/>
    <n v="1"/>
    <s v="BU"/>
    <d v="2019-08-16T00:00:00"/>
    <x v="0"/>
    <s v="Fall"/>
    <d v="1899-12-30T00:38:00"/>
    <s v="Heavy rain"/>
    <s v="GR/PS"/>
    <s v="Foraging"/>
    <s v="NA"/>
    <n v="1"/>
    <n v="0"/>
    <n v="0"/>
    <x v="6"/>
    <x v="7"/>
    <s v="Ground"/>
    <s v="NA"/>
    <s v="NA"/>
    <s v="NA"/>
    <s v="NA"/>
    <s v="NA"/>
    <s v="NA"/>
    <s v="NA"/>
    <s v="NA"/>
    <s v="NA"/>
    <s v="NA"/>
    <s v="NA"/>
    <s v="NA"/>
    <n v="0"/>
    <n v="0"/>
    <n v="0"/>
    <n v="0"/>
    <n v="25"/>
    <n v="0"/>
    <n v="25"/>
    <m/>
    <m/>
    <m/>
    <m/>
  </r>
  <r>
    <s v="DSCN4488"/>
    <s v="M4R0817_1"/>
    <n v="1"/>
    <n v="1"/>
    <s v="Mile 4 Roadside"/>
    <d v="2019-08-17T00:00:00"/>
    <x v="0"/>
    <s v="Fall"/>
    <d v="1899-12-30T01:02:00"/>
    <s v="Overcast"/>
    <s v="GW/OS"/>
    <s v="Food handling, caching"/>
    <s v="Spruce"/>
    <n v="1"/>
    <n v="0"/>
    <n v="1"/>
    <x v="0"/>
    <x v="0"/>
    <s v="Unknown"/>
    <s v="Spruce trunk under bark"/>
    <s v="Spruce"/>
    <s v="Trunk"/>
    <s v="Bark"/>
    <m/>
    <n v="79"/>
    <s v="Unknown"/>
    <n v="63.719410000000003"/>
    <n v="148.98576"/>
    <s v="NA"/>
    <s v="NA"/>
    <s v="NA"/>
    <n v="0"/>
    <n v="0"/>
    <n v="0"/>
    <n v="0"/>
    <n v="0"/>
    <n v="0"/>
    <n v="0"/>
    <m/>
    <m/>
    <m/>
    <m/>
  </r>
  <r>
    <s v="DSCN4503"/>
    <s v="MC0817_2"/>
    <n v="2"/>
    <n v="1"/>
    <s v="Merc"/>
    <d v="2019-08-17T00:00:00"/>
    <x v="0"/>
    <s v="Fall"/>
    <d v="1899-12-30T00:41:00"/>
    <s v="Overcast"/>
    <s v="Unbanded"/>
    <s v="Foraging and caching"/>
    <s v="Spruce"/>
    <n v="1"/>
    <n v="0"/>
    <n v="1"/>
    <x v="0"/>
    <x v="0"/>
    <s v="Ground"/>
    <s v="Exterior spruce on bark"/>
    <s v="Spruce"/>
    <s v="Exterior"/>
    <s v="Bark"/>
    <n v="0"/>
    <n v="305"/>
    <n v="18"/>
    <n v="63.731560000000002"/>
    <n v="148.9014"/>
    <s v="NA"/>
    <s v="NA"/>
    <s v="NA"/>
    <n v="0"/>
    <n v="0"/>
    <n v="0"/>
    <n v="0"/>
    <n v="0"/>
    <n v="0"/>
    <n v="0"/>
    <m/>
    <m/>
    <m/>
    <m/>
  </r>
  <r>
    <s v="DSCN4500"/>
    <s v="MC0817_1"/>
    <n v="1"/>
    <n v="1"/>
    <s v="Merc"/>
    <d v="2019-08-17T00:00:00"/>
    <x v="0"/>
    <s v="Fall"/>
    <d v="1899-12-30T00:46:00"/>
    <s v="Overcast"/>
    <s v="Unbanded"/>
    <s v="Foraging and caching"/>
    <s v="Spruce"/>
    <n v="1"/>
    <n v="0"/>
    <n v="1"/>
    <x v="0"/>
    <x v="0"/>
    <s v="Ground"/>
    <s v="Interior spruce under bark"/>
    <s v="Spruce"/>
    <s v="Interior"/>
    <s v="Bark/lichen"/>
    <m/>
    <n v="358"/>
    <n v="1"/>
    <n v="63.7318"/>
    <n v="148.90196"/>
    <s v="NA"/>
    <s v="NA"/>
    <s v="NA"/>
    <n v="0"/>
    <n v="0"/>
    <n v="0"/>
    <n v="0"/>
    <n v="4"/>
    <n v="0"/>
    <n v="4"/>
    <m/>
    <m/>
    <m/>
    <m/>
  </r>
  <r>
    <s v="DSCN4500"/>
    <s v="MC0817_1"/>
    <n v="1"/>
    <n v="2"/>
    <s v="Merc"/>
    <d v="2019-08-17T00:00:00"/>
    <x v="0"/>
    <s v="Fall"/>
    <d v="1899-12-30T00:46:00"/>
    <s v="Overcast"/>
    <s v="Unbanded"/>
    <s v="Foraging and caching"/>
    <s v="Spruce"/>
    <n v="1"/>
    <n v="0"/>
    <n v="1"/>
    <x v="0"/>
    <x v="0"/>
    <s v="Exterior foliage"/>
    <s v="Exterior spruce on lichen"/>
    <s v="Spruce"/>
    <s v="Interior"/>
    <s v="Bark/lichen"/>
    <m/>
    <n v="47"/>
    <n v="0"/>
    <n v="63.7318"/>
    <n v="148.90195"/>
    <s v="NA"/>
    <s v="NA"/>
    <s v="NA"/>
    <n v="0"/>
    <n v="0"/>
    <n v="0"/>
    <n v="0"/>
    <n v="4"/>
    <n v="0"/>
    <n v="4"/>
    <m/>
    <m/>
    <m/>
    <m/>
  </r>
  <r>
    <s v="DSCN4485"/>
    <s v="M4S0817_5"/>
    <n v="5"/>
    <n v="1"/>
    <s v="Mile 4 South"/>
    <d v="2019-08-17T00:00:00"/>
    <x v="0"/>
    <s v="Fall"/>
    <d v="1899-12-30T00:15:00"/>
    <s v="Overcast"/>
    <s v="Unknown"/>
    <s v="Foraging"/>
    <s v="NA"/>
    <n v="1"/>
    <n v="0"/>
    <n v="0"/>
    <x v="0"/>
    <x v="0"/>
    <s v="Ground"/>
    <s v="NA"/>
    <s v="NA"/>
    <s v="NA"/>
    <s v="NA"/>
    <s v="NA"/>
    <s v="NA"/>
    <s v="NA"/>
    <s v="NA"/>
    <s v="NA"/>
    <s v="NA"/>
    <s v="NA"/>
    <s v="NA"/>
    <n v="0"/>
    <n v="0"/>
    <n v="0"/>
    <n v="0"/>
    <n v="7"/>
    <n v="0"/>
    <n v="7"/>
    <m/>
    <m/>
    <m/>
    <m/>
  </r>
  <r>
    <s v="DSCN4504"/>
    <s v="MC0817_3"/>
    <n v="3"/>
    <n v="1"/>
    <s v="Merc"/>
    <d v="2019-08-17T00:00:00"/>
    <x v="0"/>
    <s v="Fall"/>
    <d v="1899-12-30T00:26:00"/>
    <s v="Overcast"/>
    <s v="RB/YS"/>
    <s v="Foraging"/>
    <s v="Spruce"/>
    <s v="Unknown"/>
    <n v="0"/>
    <n v="0"/>
    <x v="0"/>
    <x v="0"/>
    <s v="Ground"/>
    <s v="NA"/>
    <s v="NA"/>
    <s v="NA"/>
    <s v="NA"/>
    <s v="NA"/>
    <s v="NA"/>
    <s v="NA"/>
    <s v="NA"/>
    <s v="NA"/>
    <s v="NA"/>
    <s v="NA"/>
    <s v="NA"/>
    <n v="0"/>
    <n v="0"/>
    <n v="0"/>
    <n v="0"/>
    <n v="12"/>
    <n v="0"/>
    <n v="12"/>
    <m/>
    <m/>
    <m/>
    <m/>
  </r>
  <r>
    <s v="DSCN4503"/>
    <s v="MC0817_2"/>
    <n v="2"/>
    <n v="2"/>
    <s v="Merc"/>
    <d v="2019-08-17T00:00:00"/>
    <x v="0"/>
    <s v="Fall"/>
    <d v="1899-12-30T00:41:00"/>
    <s v="Overcast"/>
    <s v="Unbanded"/>
    <s v="Caching"/>
    <s v="Spruce"/>
    <n v="0"/>
    <n v="0"/>
    <n v="1"/>
    <x v="0"/>
    <x v="0"/>
    <s v="Ground"/>
    <s v="Exterior spruce on bark"/>
    <s v="Spruce"/>
    <s v="Exterior"/>
    <s v="Bark"/>
    <n v="0"/>
    <n v="232"/>
    <m/>
    <m/>
    <m/>
    <s v="NA"/>
    <s v="NA"/>
    <s v="NA"/>
    <n v="0"/>
    <n v="0"/>
    <n v="0"/>
    <n v="0"/>
    <n v="0"/>
    <n v="0"/>
    <n v="0"/>
    <m/>
    <m/>
    <m/>
    <m/>
  </r>
  <r>
    <s v="dscn4479"/>
    <s v="M4S0817_2"/>
    <n v="2"/>
    <n v="1"/>
    <s v="Mile 4 South"/>
    <d v="2019-08-17T00:00:00"/>
    <x v="0"/>
    <s v="Fall"/>
    <d v="1899-12-30T00:29:00"/>
    <s v="Overcast"/>
    <s v="GY/GS"/>
    <s v="Foraging"/>
    <s v="Spruce"/>
    <s v="Unknown"/>
    <n v="0"/>
    <s v="Unknown"/>
    <x v="3"/>
    <x v="2"/>
    <s v="NA"/>
    <s v="NA"/>
    <s v="NA"/>
    <s v="NA"/>
    <s v="NA"/>
    <s v="NA"/>
    <s v="NA"/>
    <s v="NA"/>
    <s v="NA"/>
    <s v="NA"/>
    <s v="NA"/>
    <s v="NA"/>
    <s v="NA"/>
    <n v="29"/>
    <n v="0"/>
    <n v="29"/>
    <n v="0"/>
    <n v="0"/>
    <n v="0"/>
    <n v="29"/>
    <m/>
    <m/>
    <m/>
    <m/>
  </r>
  <r>
    <s v="DSCN4481"/>
    <s v="M4S0817_3"/>
    <n v="3"/>
    <n v="1"/>
    <s v="Mile 4 South"/>
    <d v="2019-08-17T00:00:00"/>
    <x v="0"/>
    <s v="Fall"/>
    <d v="1899-12-30T00:51:00"/>
    <s v="Overcast"/>
    <s v="GY/GS"/>
    <s v="Foraging"/>
    <s v="Spruce"/>
    <s v="Unknown"/>
    <n v="0"/>
    <s v="Unknown"/>
    <x v="3"/>
    <x v="2"/>
    <s v="NA"/>
    <s v="NA"/>
    <s v="NA"/>
    <s v="NA"/>
    <s v="NA"/>
    <s v="NA"/>
    <s v="NA"/>
    <s v="NA"/>
    <s v="NA"/>
    <s v="NA"/>
    <s v="NA"/>
    <s v="NA"/>
    <s v="NA"/>
    <n v="0"/>
    <n v="37"/>
    <n v="0"/>
    <n v="37"/>
    <n v="0"/>
    <n v="0"/>
    <n v="37"/>
    <m/>
    <m/>
    <m/>
    <m/>
  </r>
  <r>
    <s v="DSCN4489"/>
    <s v="M4R0817_2"/>
    <n v="2"/>
    <n v="1"/>
    <s v="Mile 4 Roadside"/>
    <d v="2019-08-17T00:00:00"/>
    <x v="0"/>
    <s v="Fall"/>
    <d v="1899-12-30T01:28:00"/>
    <s v="Overcast"/>
    <s v="GW/OS"/>
    <s v="Foraging"/>
    <s v="Spruce"/>
    <n v="0"/>
    <n v="0"/>
    <n v="0"/>
    <x v="3"/>
    <x v="2"/>
    <s v="NA"/>
    <s v="NA"/>
    <s v="NA"/>
    <s v="NA"/>
    <s v="NA"/>
    <s v="NA"/>
    <s v="NA"/>
    <s v="NA"/>
    <s v="NA"/>
    <s v="NA"/>
    <s v="NA"/>
    <s v="NA"/>
    <s v="NA"/>
    <n v="0"/>
    <n v="79"/>
    <n v="0"/>
    <n v="79"/>
    <n v="0"/>
    <n v="0"/>
    <n v="79"/>
    <m/>
    <m/>
    <m/>
    <m/>
  </r>
  <r>
    <s v="DSCN4494"/>
    <s v="M4R0817_5"/>
    <n v="5"/>
    <n v="1"/>
    <s v="Mile 4 Roadside"/>
    <d v="2019-08-17T00:00:00"/>
    <x v="0"/>
    <s v="Fall"/>
    <d v="1899-12-30T00:27:00"/>
    <s v="Overcast"/>
    <s v="BW/OS"/>
    <s v="Foraging and caching"/>
    <s v="Spruce"/>
    <n v="0"/>
    <n v="0"/>
    <n v="1"/>
    <x v="1"/>
    <x v="11"/>
    <s v="Ground"/>
    <s v="Exterior spruce on bark"/>
    <s v="Spruce"/>
    <s v="Exterior"/>
    <s v="bare"/>
    <m/>
    <n v="28"/>
    <n v="2"/>
    <n v="63.721559999999997"/>
    <n v="148.98737"/>
    <s v="NA"/>
    <s v="NA"/>
    <s v="NA"/>
    <n v="0"/>
    <n v="0"/>
    <n v="0"/>
    <n v="0"/>
    <n v="6"/>
    <n v="0"/>
    <n v="6"/>
    <m/>
    <s v="Continuation of food acqusition from previous video, so did not count as additional acqusition, "/>
    <m/>
    <m/>
  </r>
  <r>
    <s v="DSCN4497"/>
    <s v="M4R0817_6"/>
    <n v="6"/>
    <n v="1"/>
    <s v="Mile 4 Roadside"/>
    <d v="2019-08-17T00:00:00"/>
    <x v="0"/>
    <s v="Fall"/>
    <d v="1899-12-30T00:08:00"/>
    <s v="Overcast"/>
    <s v="BW/OS"/>
    <s v="Caching"/>
    <s v="Spruce"/>
    <n v="0"/>
    <n v="0"/>
    <n v="1"/>
    <x v="1"/>
    <x v="11"/>
    <s v="NA"/>
    <s v="Interior spruce foliage"/>
    <s v="Spruce"/>
    <s v="Interior"/>
    <s v="Foliage"/>
    <m/>
    <n v="281"/>
    <n v="2"/>
    <n v="63.721559999999997"/>
    <n v="148.98737"/>
    <s v="NA"/>
    <s v="NA"/>
    <s v="NA"/>
    <n v="0"/>
    <n v="0"/>
    <n v="0"/>
    <n v="0"/>
    <n v="0"/>
    <n v="0"/>
    <n v="0"/>
    <m/>
    <m/>
    <m/>
    <m/>
  </r>
  <r>
    <m/>
    <s v="NO VIDEO"/>
    <m/>
    <m/>
    <s v="Mile 4 Roadside"/>
    <d v="2019-08-17T00:00:00"/>
    <x v="0"/>
    <s v="Fall"/>
    <m/>
    <m/>
    <s v="BW/OS"/>
    <s v="Caching"/>
    <s v="Spruce"/>
    <n v="0"/>
    <n v="0"/>
    <n v="1"/>
    <x v="1"/>
    <x v="11"/>
    <s v="Ground"/>
    <s v="Exterior spruce on bark"/>
    <s v="Spruce"/>
    <s v="Exterior"/>
    <s v="bare"/>
    <m/>
    <n v="148"/>
    <n v="2"/>
    <n v="63.721739999999997"/>
    <n v="148.98727"/>
    <s v="NA"/>
    <s v="NA"/>
    <s v="NA"/>
    <n v="0"/>
    <n v="0"/>
    <n v="0"/>
    <n v="0"/>
    <n v="0"/>
    <n v="0"/>
    <n v="0"/>
    <m/>
    <s v="Not sure why there's no video on this.  We deployed a camera on this cache"/>
    <m/>
    <m/>
  </r>
  <r>
    <s v="DSCN4493"/>
    <s v="M4R0817_4"/>
    <n v="4"/>
    <n v="1"/>
    <s v="Mile 4 Roadside"/>
    <d v="2019-08-17T00:00:00"/>
    <x v="0"/>
    <s v="Fall"/>
    <d v="1899-12-30T00:15:00"/>
    <s v="Overcast"/>
    <s v="BW/OS"/>
    <s v="Foraging"/>
    <s v="NA"/>
    <n v="1"/>
    <n v="0"/>
    <n v="0"/>
    <x v="1"/>
    <x v="11"/>
    <s v="Ground"/>
    <s v="NA"/>
    <s v="NA"/>
    <s v="NA"/>
    <s v="NA"/>
    <s v="NA"/>
    <s v="NA"/>
    <s v="NA"/>
    <s v="NA"/>
    <s v="NA"/>
    <s v="NA"/>
    <s v="NA"/>
    <s v="NA"/>
    <n v="0"/>
    <n v="0"/>
    <n v="0"/>
    <n v="0"/>
    <n v="15"/>
    <n v="0"/>
    <n v="15"/>
    <m/>
    <m/>
    <m/>
    <m/>
  </r>
  <r>
    <s v="DSCN4494"/>
    <s v="M4R0817_5"/>
    <n v="5"/>
    <n v="1"/>
    <s v="Mile 4 Roadside"/>
    <d v="2019-08-17T00:00:00"/>
    <x v="0"/>
    <s v="Fall"/>
    <d v="1899-12-30T00:27:00"/>
    <s v="Overcast"/>
    <s v="BW/OS"/>
    <s v="Foraging"/>
    <s v="Spruce"/>
    <n v="1"/>
    <n v="0"/>
    <n v="0"/>
    <x v="1"/>
    <x v="11"/>
    <s v="Ground"/>
    <s v="NA"/>
    <s v="NA"/>
    <s v="NA"/>
    <s v="NA"/>
    <s v="NA"/>
    <s v="NA"/>
    <s v="NA"/>
    <s v="NA"/>
    <s v="NA"/>
    <s v="NA"/>
    <s v="NA"/>
    <s v="NA"/>
    <n v="0"/>
    <n v="0"/>
    <n v="0"/>
    <n v="0"/>
    <n v="13"/>
    <n v="0"/>
    <n v="13"/>
    <m/>
    <s v="Returns to mushroom after cache in clip 1 "/>
    <m/>
    <m/>
  </r>
  <r>
    <s v="DSCN4498"/>
    <s v="M4R0817_7"/>
    <n v="7"/>
    <n v="1"/>
    <s v="Mile 4 Roadside"/>
    <d v="2019-08-17T00:00:00"/>
    <x v="0"/>
    <s v="Fall"/>
    <d v="1899-12-30T00:41:00"/>
    <s v="Overcast"/>
    <s v="BW/OS"/>
    <s v="Foraging and caching"/>
    <s v="Willow"/>
    <n v="1"/>
    <n v="0"/>
    <n v="1"/>
    <x v="1"/>
    <x v="10"/>
    <s v="Ground"/>
    <s v="Exterior willow branch"/>
    <s v="Willow"/>
    <s v="Exterior"/>
    <s v="bare"/>
    <m/>
    <n v="156"/>
    <n v="4"/>
    <m/>
    <m/>
    <s v="NA"/>
    <s v="NA"/>
    <s v="NA"/>
    <n v="0"/>
    <n v="0"/>
    <n v="0"/>
    <n v="0"/>
    <n v="15"/>
    <n v="0"/>
    <n v="15"/>
    <m/>
    <m/>
    <m/>
    <m/>
  </r>
  <r>
    <s v="DSCN4499"/>
    <s v="M4R0817_8"/>
    <n v="8"/>
    <n v="1"/>
    <s v="Mile 4 Roadside"/>
    <d v="2019-08-17T00:00:00"/>
    <x v="0"/>
    <s v="Fall"/>
    <d v="1899-12-30T00:29:00"/>
    <s v="Overcast"/>
    <s v="BW/OS"/>
    <s v="Foraging"/>
    <s v="NA"/>
    <n v="1"/>
    <n v="0"/>
    <n v="0"/>
    <x v="5"/>
    <x v="12"/>
    <s v="Ground"/>
    <s v="NA"/>
    <s v="NA"/>
    <s v="NA"/>
    <s v="NA"/>
    <s v="NA"/>
    <s v="NA"/>
    <s v="NA"/>
    <s v="NA"/>
    <s v="NA"/>
    <s v="NA"/>
    <s v="NA"/>
    <s v="NA"/>
    <n v="0"/>
    <n v="0"/>
    <n v="0"/>
    <n v="0"/>
    <n v="0"/>
    <n v="0"/>
    <n v="0"/>
    <m/>
    <m/>
    <m/>
    <m/>
  </r>
  <r>
    <s v="DSCN4490"/>
    <s v="M4R0817_3"/>
    <n v="3"/>
    <n v="1"/>
    <s v="Mile 4 Roadside"/>
    <d v="2019-08-17T00:00:00"/>
    <x v="0"/>
    <s v="Fall"/>
    <d v="1899-12-30T01:23:00"/>
    <s v="Overcast"/>
    <s v="Unknown"/>
    <s v="Foraging"/>
    <s v="NA"/>
    <n v="1"/>
    <n v="0"/>
    <n v="0"/>
    <x v="6"/>
    <x v="7"/>
    <s v="NA"/>
    <s v="NA"/>
    <s v="NA"/>
    <s v="NA"/>
    <s v="NA"/>
    <s v="NA"/>
    <s v="NA"/>
    <s v="NA"/>
    <s v="NA"/>
    <s v="NA"/>
    <s v="NA"/>
    <s v="NA"/>
    <s v="NA"/>
    <n v="0"/>
    <n v="0"/>
    <n v="0"/>
    <n v="0"/>
    <n v="56"/>
    <n v="0"/>
    <n v="56"/>
    <m/>
    <m/>
    <m/>
    <m/>
  </r>
  <r>
    <s v="DSCN4483"/>
    <s v="M4S0817_4"/>
    <n v="4"/>
    <n v="1"/>
    <s v="Mile 4 South"/>
    <d v="2019-08-17T00:00:00"/>
    <x v="0"/>
    <s v="Fall"/>
    <d v="1899-12-30T00:56:00"/>
    <s v="Overcast"/>
    <s v="GY/GS"/>
    <s v="Foraging and caching"/>
    <s v="Spruce"/>
    <n v="1"/>
    <n v="0"/>
    <n v="1"/>
    <x v="4"/>
    <x v="13"/>
    <s v="Ground"/>
    <s v="Exterior foliage"/>
    <s v="Spruce"/>
    <s v="Exterior"/>
    <s v="Foliage"/>
    <m/>
    <n v="147"/>
    <n v="17"/>
    <n v="63.719070000000002"/>
    <n v="148.98415"/>
    <s v="NA"/>
    <s v="NA"/>
    <s v="NA"/>
    <n v="0"/>
    <n v="0"/>
    <n v="0"/>
    <n v="0"/>
    <n v="0"/>
    <n v="9"/>
    <n v="9"/>
    <m/>
    <m/>
    <m/>
    <m/>
  </r>
  <r>
    <s v="DSCN4477"/>
    <s v="M4S0817_1"/>
    <n v="1"/>
    <n v="1"/>
    <s v="Mile 4 South"/>
    <d v="2019-08-17T00:00:00"/>
    <x v="0"/>
    <s v="Fall"/>
    <d v="1899-12-30T00:26:00"/>
    <s v="Overcast"/>
    <s v="GY/GS"/>
    <s v="Foraging"/>
    <s v="NA"/>
    <n v="1"/>
    <n v="0"/>
    <n v="0"/>
    <x v="4"/>
    <x v="13"/>
    <s v="Ground"/>
    <s v="NA"/>
    <s v="NA"/>
    <s v="NA"/>
    <s v="NA"/>
    <s v="NA"/>
    <s v="NA"/>
    <s v="NA"/>
    <s v="NA"/>
    <s v="NA"/>
    <s v="NA"/>
    <s v="NA"/>
    <s v="NA"/>
    <n v="0"/>
    <n v="0"/>
    <n v="0"/>
    <n v="0"/>
    <n v="0"/>
    <n v="0"/>
    <n v="0"/>
    <m/>
    <m/>
    <m/>
    <m/>
  </r>
  <r>
    <s v="DSCN4514"/>
    <s v="M3.50820_5"/>
    <n v="5"/>
    <n v="1"/>
    <s v="Mile 3.5"/>
    <d v="2019-08-20T00:00:00"/>
    <x v="0"/>
    <s v="Fall"/>
    <d v="1899-12-30T01:40:00"/>
    <s v="Mostly sunny"/>
    <s v="PG/GS"/>
    <s v="Foraging and caching"/>
    <s v="Spruce"/>
    <n v="1"/>
    <n v="0"/>
    <n v="1"/>
    <x v="0"/>
    <x v="0"/>
    <s v="Ground"/>
    <s v="Exterior spruce under bark"/>
    <s v="Spruce"/>
    <s v="Exterior"/>
    <s v="Bark"/>
    <m/>
    <n v="311"/>
    <n v="3"/>
    <n v="63.719830000000002"/>
    <n v="148.97626"/>
    <s v="NA"/>
    <s v="NA"/>
    <s v="NA"/>
    <n v="0"/>
    <n v="0"/>
    <n v="0"/>
    <n v="0"/>
    <n v="10"/>
    <n v="0"/>
    <n v="10"/>
    <m/>
    <m/>
    <m/>
    <m/>
  </r>
  <r>
    <s v="DSCN4514"/>
    <s v="M3.50820_5"/>
    <n v="5"/>
    <n v="2"/>
    <s v="Mile 3.5"/>
    <d v="2019-08-20T00:00:00"/>
    <x v="0"/>
    <s v="Fall"/>
    <d v="1899-12-30T01:40:00"/>
    <s v="Mostly sunny"/>
    <s v="PG/GS"/>
    <s v="Foraging and caching"/>
    <s v="Spruce"/>
    <n v="0"/>
    <n v="0"/>
    <n v="1"/>
    <x v="0"/>
    <x v="0"/>
    <s v="Ground"/>
    <s v="Exterior spruce under bark"/>
    <s v="Spruce"/>
    <s v="Exterior"/>
    <s v="Bark"/>
    <m/>
    <n v="311"/>
    <n v="3"/>
    <n v="63.719830000000002"/>
    <n v="148.97626"/>
    <s v="NA"/>
    <s v="NA"/>
    <s v="NA"/>
    <n v="0"/>
    <n v="0"/>
    <n v="0"/>
    <n v="0"/>
    <n v="64"/>
    <n v="0"/>
    <n v="64"/>
    <m/>
    <m/>
    <m/>
    <m/>
  </r>
  <r>
    <s v="DSCN4522"/>
    <s v="M3.50820_13"/>
    <n v="13"/>
    <n v="1"/>
    <s v="Mile 3.5"/>
    <d v="2019-08-20T00:00:00"/>
    <x v="0"/>
    <s v="Fall"/>
    <d v="1899-12-30T01:35:00"/>
    <s v="Mostly sunny"/>
    <s v="PG/GS"/>
    <s v="Caching"/>
    <s v="Spruce"/>
    <n v="1"/>
    <n v="0"/>
    <n v="1"/>
    <x v="0"/>
    <x v="0"/>
    <s v="Ground"/>
    <s v="Interior spruce on bark"/>
    <s v="Spruce"/>
    <s v="Interior"/>
    <s v="Unknown"/>
    <m/>
    <n v="323"/>
    <n v="8"/>
    <n v="63.719900000000003"/>
    <n v="148.97828999999999"/>
    <s v="NA"/>
    <s v="NA"/>
    <s v="NA"/>
    <n v="0"/>
    <n v="0"/>
    <n v="0"/>
    <n v="0"/>
    <n v="0"/>
    <n v="0"/>
    <n v="0"/>
    <m/>
    <s v="Caching from foraging event in previous video. "/>
    <m/>
    <m/>
  </r>
  <r>
    <s v="DSCN4533"/>
    <s v="M3.50820_22"/>
    <n v="22"/>
    <n v="1"/>
    <s v="Mile 3.5"/>
    <d v="2019-08-20T00:00:00"/>
    <x v="0"/>
    <s v="Fall"/>
    <m/>
    <s v="Mostly sunny"/>
    <s v="WY/GS"/>
    <s v="Foraging"/>
    <s v="Spruce"/>
    <n v="1"/>
    <n v="0"/>
    <n v="1"/>
    <x v="0"/>
    <x v="0"/>
    <s v="Ground"/>
    <s v="Exterior spruce under bark"/>
    <s v="Spruce"/>
    <s v="Exterior"/>
    <s v="Unknown"/>
    <m/>
    <n v="167"/>
    <n v="4"/>
    <n v="63.719920000000002"/>
    <n v="148.97591"/>
    <s v="NA"/>
    <s v="NA"/>
    <s v="NA"/>
    <n v="0"/>
    <n v="0"/>
    <n v="0"/>
    <n v="0"/>
    <n v="19"/>
    <n v="0"/>
    <n v="19"/>
    <m/>
    <m/>
    <m/>
    <m/>
  </r>
  <r>
    <s v="DSCN4518"/>
    <s v="M3.50820_9"/>
    <n v="9"/>
    <n v="2"/>
    <s v="Mile 3.5"/>
    <d v="2019-08-20T00:00:00"/>
    <x v="0"/>
    <s v="Fall"/>
    <d v="1899-12-30T01:47:00"/>
    <s v="Mostly sunny"/>
    <s v="PG/GS"/>
    <s v="Foraging and caching"/>
    <s v="Spruce"/>
    <n v="1"/>
    <n v="0"/>
    <n v="1"/>
    <x v="0"/>
    <x v="0"/>
    <s v="Ground"/>
    <s v="Exterior spruce under bark"/>
    <s v="Spruce"/>
    <s v="Exterior"/>
    <s v="bare"/>
    <m/>
    <n v="15"/>
    <n v="4"/>
    <n v="63.71998"/>
    <n v="148.97801000000001"/>
    <s v="NA"/>
    <s v="NA"/>
    <s v="NA"/>
    <n v="0"/>
    <n v="0"/>
    <n v="0"/>
    <n v="0"/>
    <n v="28"/>
    <n v="0"/>
    <n v="28"/>
    <m/>
    <m/>
    <m/>
    <m/>
  </r>
  <r>
    <s v="DSCN4516"/>
    <s v="M3.50820_7"/>
    <n v="7"/>
    <n v="1"/>
    <s v="Mile 3.5"/>
    <d v="2019-08-20T00:00:00"/>
    <x v="0"/>
    <s v="Fall"/>
    <d v="1899-12-30T00:10:00"/>
    <s v="Mostly sunny"/>
    <s v="PG/GS"/>
    <s v="Foraging and caching"/>
    <s v="Spruce"/>
    <n v="1"/>
    <n v="0"/>
    <n v="1"/>
    <x v="0"/>
    <x v="0"/>
    <s v="Ground"/>
    <s v="Unknown"/>
    <s v="Spruce"/>
    <s v="Unknown"/>
    <s v="Unknown"/>
    <s v="NA"/>
    <n v="308"/>
    <n v="5"/>
    <n v="63.720039999999997"/>
    <n v="148.97745"/>
    <s v="NA"/>
    <s v="NA"/>
    <s v="NA"/>
    <n v="0"/>
    <n v="0"/>
    <n v="0"/>
    <n v="0"/>
    <n v="2"/>
    <m/>
    <n v="2"/>
    <m/>
    <m/>
    <m/>
    <m/>
  </r>
  <r>
    <s v="DSCN4518"/>
    <s v="M3.50820_9"/>
    <n v="9"/>
    <n v="1"/>
    <s v="Mile 3.5"/>
    <d v="2019-08-20T00:00:00"/>
    <x v="0"/>
    <s v="Fall"/>
    <d v="1899-12-30T01:47:00"/>
    <s v="Mostly sunny"/>
    <s v="PG/GS"/>
    <s v="Caching and foraging"/>
    <s v="Spruce"/>
    <n v="1"/>
    <n v="0"/>
    <n v="1"/>
    <x v="0"/>
    <x v="0"/>
    <s v="Ground"/>
    <s v="Interior spruce foliage"/>
    <s v="Spruce"/>
    <s v="Interior"/>
    <s v="Foliage"/>
    <m/>
    <n v="119"/>
    <n v="3"/>
    <n v="63.720059999999997"/>
    <n v="148.97708"/>
    <s v="NA"/>
    <s v="NA"/>
    <s v="NA"/>
    <n v="0"/>
    <n v="0"/>
    <n v="0"/>
    <n v="0"/>
    <n v="0"/>
    <n v="0"/>
    <n v="0"/>
    <m/>
    <s v="Missed acqusition on film. "/>
    <m/>
    <m/>
  </r>
  <r>
    <s v="DSCN4510"/>
    <s v="M3.50820_2"/>
    <n v="2"/>
    <n v="1"/>
    <s v="Mile 3.5"/>
    <d v="2019-08-20T00:00:00"/>
    <x v="0"/>
    <s v="Fall"/>
    <d v="1899-12-30T00:09:00"/>
    <s v="Mostly sunny"/>
    <s v="PW/RS"/>
    <s v="Food handling"/>
    <s v="NA"/>
    <n v="1"/>
    <n v="0"/>
    <n v="0"/>
    <x v="0"/>
    <x v="0"/>
    <s v="Ground"/>
    <s v="NA"/>
    <s v="NA"/>
    <s v="NA"/>
    <s v="NA"/>
    <s v="NA"/>
    <s v="NA"/>
    <s v="NA"/>
    <s v="NA"/>
    <s v="NA"/>
    <s v="NA"/>
    <s v="NA"/>
    <s v="NA"/>
    <n v="0"/>
    <n v="0"/>
    <n v="0"/>
    <n v="0"/>
    <n v="0"/>
    <n v="0"/>
    <n v="0"/>
    <m/>
    <s v="Came up from gorund with food.  Looked like it was about toc cache but did not. "/>
    <m/>
    <m/>
  </r>
  <r>
    <s v="DSCN4511"/>
    <s v="M3.50820_3"/>
    <n v="3"/>
    <n v="1"/>
    <s v="Mile 3.5"/>
    <d v="2019-08-20T00:00:00"/>
    <x v="0"/>
    <s v="Fall"/>
    <d v="1899-12-30T00:55:00"/>
    <s v="Mostly sunny"/>
    <s v="PW/RS"/>
    <s v="Foraging"/>
    <s v="Spruce"/>
    <n v="1"/>
    <n v="0"/>
    <n v="0"/>
    <x v="0"/>
    <x v="0"/>
    <s v="Spruce trunk under bark"/>
    <s v="NA"/>
    <s v="NA"/>
    <s v="NA"/>
    <s v="NA"/>
    <s v="NA"/>
    <s v="NA"/>
    <s v="NA"/>
    <s v="NA"/>
    <s v="NA"/>
    <s v="NA"/>
    <s v="NA"/>
    <s v="NA"/>
    <n v="13"/>
    <n v="0"/>
    <n v="13"/>
    <n v="0"/>
    <n v="0"/>
    <n v="0"/>
    <n v="13"/>
    <m/>
    <m/>
    <m/>
    <m/>
  </r>
  <r>
    <s v="DSCN4511"/>
    <s v="M3.50820_3"/>
    <n v="3"/>
    <n v="2"/>
    <s v="Mile 3.5"/>
    <d v="2019-08-20T00:00:00"/>
    <x v="0"/>
    <s v="Fall"/>
    <d v="1899-12-30T00:55:00"/>
    <s v="Mostly sunny"/>
    <s v="PW/RS"/>
    <s v="Foraging"/>
    <s v="Spruce"/>
    <n v="1"/>
    <n v="0"/>
    <n v="0"/>
    <x v="0"/>
    <x v="0"/>
    <s v="Ground"/>
    <s v="NA"/>
    <s v="NA"/>
    <s v="NA"/>
    <s v="NA"/>
    <s v="NA"/>
    <s v="NA"/>
    <s v="NA"/>
    <s v="NA"/>
    <s v="NA"/>
    <s v="NA"/>
    <s v="NA"/>
    <s v="NA"/>
    <n v="0"/>
    <n v="0"/>
    <n v="0"/>
    <n v="0"/>
    <n v="7"/>
    <n v="0"/>
    <n v="7"/>
    <m/>
    <m/>
    <m/>
    <m/>
  </r>
  <r>
    <s v="DSCN4532"/>
    <s v="M.350820_21"/>
    <n v="21"/>
    <n v="1"/>
    <s v="Mile 3.5"/>
    <d v="2019-08-20T00:00:00"/>
    <x v="0"/>
    <s v="Fall"/>
    <m/>
    <s v="Mostly sunny"/>
    <s v="WY/GS"/>
    <s v="Foraging"/>
    <s v="NA"/>
    <n v="1"/>
    <n v="0"/>
    <n v="0"/>
    <x v="0"/>
    <x v="0"/>
    <s v="Ground"/>
    <s v="NA"/>
    <s v="NA"/>
    <s v="NA"/>
    <s v="NA"/>
    <s v="NA"/>
    <s v="NA"/>
    <s v="NA"/>
    <s v="NA"/>
    <s v="NA"/>
    <s v="NA"/>
    <s v="NA"/>
    <s v="NA"/>
    <n v="0"/>
    <n v="0"/>
    <n v="0"/>
    <n v="0"/>
    <n v="60"/>
    <n v="0"/>
    <n v="60"/>
    <m/>
    <s v=" "/>
    <m/>
    <m/>
  </r>
  <r>
    <s v="DSCN4518"/>
    <s v="M3.50820_9"/>
    <n v="9"/>
    <n v="2"/>
    <s v="Mile 3.5"/>
    <d v="2019-08-20T00:00:00"/>
    <x v="0"/>
    <s v="Fall"/>
    <d v="1899-12-30T01:47:00"/>
    <s v="Mostly sunny"/>
    <s v="PG/GS"/>
    <s v="Foraging and caching"/>
    <s v="Spruce"/>
    <n v="1"/>
    <n v="0"/>
    <n v="1"/>
    <x v="0"/>
    <x v="0"/>
    <s v="Ground"/>
    <s v="Spruce trunk under bark"/>
    <s v="Spruce"/>
    <s v="Trunk"/>
    <s v="Bark"/>
    <m/>
    <s v="Unknown"/>
    <s v="Unknown"/>
    <s v="Unknown"/>
    <s v="Unknown"/>
    <s v="NA"/>
    <s v="NA"/>
    <s v="NA"/>
    <n v="0"/>
    <n v="0"/>
    <n v="0"/>
    <n v="0"/>
    <n v="23"/>
    <n v="0"/>
    <n v="23"/>
    <m/>
    <s v="Didn't recognize as cache in field"/>
    <m/>
    <m/>
  </r>
  <r>
    <s v="DSCN4526"/>
    <s v="M3.50820_16"/>
    <n v="16"/>
    <n v="1"/>
    <s v="Mile 3.5"/>
    <d v="2019-08-20T00:00:00"/>
    <x v="0"/>
    <s v="Fall"/>
    <d v="1899-12-30T00:33:00"/>
    <m/>
    <s v="PL/LS"/>
    <s v="Foraging and caching"/>
    <s v="Spruce"/>
    <n v="1"/>
    <n v="0"/>
    <n v="1"/>
    <x v="0"/>
    <x v="0"/>
    <s v="Ground"/>
    <s v="Unknown"/>
    <s v="Unknown"/>
    <s v="Unknown"/>
    <s v="Unknown"/>
    <s v="Unknown"/>
    <s v="Unknown"/>
    <s v="Unknown"/>
    <s v="Unknown"/>
    <s v="Unknown"/>
    <s v="NA"/>
    <s v="NA"/>
    <s v="NA"/>
    <n v="0"/>
    <n v="0"/>
    <n v="0"/>
    <n v="0"/>
    <n v="14"/>
    <n v="0"/>
    <n v="14"/>
    <m/>
    <s v="Forgot to mark.  Big day.  "/>
    <m/>
    <m/>
  </r>
  <r>
    <s v="DSCN4508"/>
    <s v="M3.50820_1"/>
    <n v="1"/>
    <n v="1"/>
    <s v="Mile 3.5"/>
    <d v="2019-08-20T00:00:00"/>
    <x v="0"/>
    <s v="Fall"/>
    <d v="1899-12-30T00:19:00"/>
    <s v="Mostly sunny"/>
    <s v="PW/RS"/>
    <s v="Foraging"/>
    <s v="NA"/>
    <n v="0"/>
    <n v="0"/>
    <n v="0"/>
    <x v="3"/>
    <x v="2"/>
    <s v="NA"/>
    <s v="NA"/>
    <s v="NA"/>
    <s v="NA"/>
    <s v="NA"/>
    <s v="NA"/>
    <s v="NA"/>
    <s v="NA"/>
    <s v="NA"/>
    <s v="NA"/>
    <s v="NA"/>
    <s v="NA"/>
    <s v="NA"/>
    <n v="0"/>
    <n v="0"/>
    <n v="0"/>
    <n v="0"/>
    <n v="19"/>
    <n v="0"/>
    <n v="19"/>
    <m/>
    <m/>
    <m/>
    <m/>
  </r>
  <r>
    <s v="DSCN4515"/>
    <s v="M3.50820_6"/>
    <n v="6"/>
    <n v="1"/>
    <s v="Mile 3.5"/>
    <d v="2019-08-20T00:00:00"/>
    <x v="0"/>
    <s v="Fall"/>
    <d v="1899-12-30T00:46:00"/>
    <s v="Mostly sunny"/>
    <s v="PG/GS"/>
    <s v="Foraging"/>
    <s v="NA"/>
    <s v="Unknown"/>
    <n v="0"/>
    <n v="0"/>
    <x v="3"/>
    <x v="2"/>
    <s v="NA"/>
    <s v="NA"/>
    <s v="NA"/>
    <s v="NA"/>
    <s v="NA"/>
    <s v="NA"/>
    <s v="NA"/>
    <s v="NA"/>
    <s v="NA"/>
    <s v="NA"/>
    <s v="NA"/>
    <s v="NA"/>
    <s v="NA"/>
    <n v="0"/>
    <n v="0"/>
    <n v="0"/>
    <n v="0"/>
    <n v="30"/>
    <n v="0"/>
    <n v="30"/>
    <m/>
    <m/>
    <m/>
    <m/>
  </r>
  <r>
    <s v="DSCN4517"/>
    <s v="M3.50820_8"/>
    <n v="8"/>
    <n v="1"/>
    <s v="Mile 3.5"/>
    <d v="2019-08-20T00:00:00"/>
    <x v="0"/>
    <s v="Fall"/>
    <d v="1899-12-30T00:14:00"/>
    <s v="Mostly sunny"/>
    <s v="PG/GS"/>
    <s v="Foraging"/>
    <s v="NA"/>
    <s v="Unknown"/>
    <n v="0"/>
    <n v="0"/>
    <x v="3"/>
    <x v="2"/>
    <s v="NA"/>
    <s v="NA"/>
    <s v="NA"/>
    <s v="NA"/>
    <s v="NA"/>
    <s v="NA"/>
    <s v="NA"/>
    <s v="NA"/>
    <s v="NA"/>
    <s v="NA"/>
    <s v="NA"/>
    <s v="NA"/>
    <s v="NA"/>
    <n v="0"/>
    <n v="0"/>
    <n v="0"/>
    <n v="0"/>
    <n v="10"/>
    <n v="0"/>
    <n v="10"/>
    <m/>
    <m/>
    <m/>
    <m/>
  </r>
  <r>
    <s v="DSCN4519"/>
    <s v="M3.50820_10"/>
    <n v="10"/>
    <n v="1"/>
    <s v="Mile 3.5"/>
    <d v="2019-08-20T00:00:00"/>
    <x v="0"/>
    <s v="Fall"/>
    <d v="1899-12-30T00:49:00"/>
    <s v="Mostly sunny"/>
    <s v="PG/GS"/>
    <s v="Foraging"/>
    <s v="NA"/>
    <n v="0"/>
    <n v="0"/>
    <n v="0"/>
    <x v="3"/>
    <x v="2"/>
    <s v="NA"/>
    <s v="NA"/>
    <s v="NA"/>
    <s v="NA"/>
    <s v="NA"/>
    <s v="NA"/>
    <s v="NA"/>
    <s v="NA"/>
    <s v="NA"/>
    <s v="NA"/>
    <s v="NA"/>
    <s v="NA"/>
    <s v="NA"/>
    <n v="0"/>
    <n v="0"/>
    <n v="0"/>
    <n v="0"/>
    <n v="34"/>
    <n v="0"/>
    <n v="34"/>
    <m/>
    <m/>
    <m/>
    <m/>
  </r>
  <r>
    <s v="DSCN4521"/>
    <s v="M3.50820_12"/>
    <n v="12"/>
    <n v="1"/>
    <s v="Mile 3.5"/>
    <d v="2019-08-20T00:00:00"/>
    <x v="0"/>
    <s v="Fall"/>
    <d v="1899-12-30T00:04:00"/>
    <s v="Mostly sunny"/>
    <s v="PG/GS"/>
    <s v="Foraging"/>
    <s v="NA"/>
    <n v="0"/>
    <n v="0"/>
    <n v="0"/>
    <x v="3"/>
    <x v="2"/>
    <s v="NA"/>
    <s v="NA"/>
    <s v="NA"/>
    <s v="NA"/>
    <s v="NA"/>
    <s v="NA"/>
    <s v="NA"/>
    <s v="NA"/>
    <s v="NA"/>
    <s v="NA"/>
    <s v="NA"/>
    <s v="NA"/>
    <s v="NA"/>
    <n v="0"/>
    <n v="0"/>
    <n v="0"/>
    <n v="0"/>
    <n v="4"/>
    <n v="0"/>
    <n v="4"/>
    <m/>
    <m/>
    <m/>
    <m/>
  </r>
  <r>
    <s v="DSCN4522"/>
    <s v="M3.50820_13"/>
    <n v="13"/>
    <n v="1"/>
    <s v="Mile 3.5"/>
    <d v="2019-08-20T00:00:00"/>
    <x v="0"/>
    <s v="Fall"/>
    <d v="1899-12-30T01:35:00"/>
    <s v="Mostly sunny"/>
    <s v="PG/GS"/>
    <s v="Foraging"/>
    <s v="Spruce"/>
    <s v="Unknown"/>
    <n v="0"/>
    <n v="0"/>
    <x v="3"/>
    <x v="2"/>
    <s v="NA"/>
    <s v="NA"/>
    <s v="NA"/>
    <s v="NA"/>
    <s v="NA"/>
    <s v="NA"/>
    <s v="NA"/>
    <s v="NA"/>
    <s v="NA"/>
    <s v="NA"/>
    <s v="NA"/>
    <s v="NA"/>
    <s v="NA"/>
    <n v="0"/>
    <n v="0"/>
    <n v="0"/>
    <n v="0"/>
    <n v="62"/>
    <n v="0"/>
    <n v="62"/>
    <m/>
    <m/>
    <m/>
    <m/>
  </r>
  <r>
    <s v="DSCN4525"/>
    <s v="M3.50820_15"/>
    <n v="15"/>
    <n v="1"/>
    <s v="Mile 3.5"/>
    <d v="2019-08-20T00:00:00"/>
    <x v="0"/>
    <s v="Fall"/>
    <d v="1899-12-30T00:09:00"/>
    <s v="Mostly sunny"/>
    <s v="PL/LS"/>
    <s v="Foraging"/>
    <s v="NA"/>
    <n v="0"/>
    <n v="0"/>
    <n v="0"/>
    <x v="3"/>
    <x v="2"/>
    <s v="NA"/>
    <s v="NA"/>
    <s v="NA"/>
    <s v="NA"/>
    <s v="NA"/>
    <s v="NA"/>
    <s v="NA"/>
    <s v="NA"/>
    <s v="NA"/>
    <s v="NA"/>
    <s v="NA"/>
    <s v="NA"/>
    <s v="NA"/>
    <n v="0"/>
    <n v="0"/>
    <n v="0"/>
    <n v="0"/>
    <n v="9"/>
    <n v="0"/>
    <n v="9"/>
    <m/>
    <m/>
    <m/>
    <m/>
  </r>
  <r>
    <s v="DSCN4528"/>
    <s v="M3.50820_18"/>
    <n v="18"/>
    <n v="1"/>
    <s v="Mile 3.5"/>
    <d v="2019-08-20T00:00:00"/>
    <x v="0"/>
    <s v="Fall"/>
    <d v="1899-12-30T00:09:00"/>
    <s v="Mostly sunny"/>
    <s v="OR/WS"/>
    <s v="Foraging"/>
    <s v="NA"/>
    <n v="0"/>
    <n v="0"/>
    <n v="0"/>
    <x v="3"/>
    <x v="2"/>
    <s v="NA"/>
    <s v="NA"/>
    <s v="NA"/>
    <s v="NA"/>
    <s v="NA"/>
    <s v="NA"/>
    <s v="NA"/>
    <s v="NA"/>
    <s v="NA"/>
    <s v="NA"/>
    <s v="NA"/>
    <s v="NA"/>
    <s v="NA"/>
    <n v="0"/>
    <n v="0"/>
    <n v="0"/>
    <n v="0"/>
    <n v="9"/>
    <n v="0"/>
    <n v="9"/>
    <m/>
    <m/>
    <m/>
    <m/>
  </r>
  <r>
    <s v="DSCN4527"/>
    <s v="M3.50820_17"/>
    <n v="17"/>
    <n v="2"/>
    <s v="Mile 3.5"/>
    <d v="2019-08-20T00:00:00"/>
    <x v="0"/>
    <s v="Fall"/>
    <d v="1899-12-30T00:52:00"/>
    <s v="Mostly sunny"/>
    <s v="OR/WS"/>
    <s v="Foraging and caching"/>
    <s v="Spruce"/>
    <n v="1"/>
    <n v="0"/>
    <n v="1"/>
    <x v="1"/>
    <x v="3"/>
    <s v="Ground"/>
    <s v="Interior foliage"/>
    <s v="Spruce"/>
    <s v="Interior"/>
    <s v="Foliage"/>
    <m/>
    <n v="41"/>
    <n v="11"/>
    <n v="63.719990000000003"/>
    <n v="148.97823"/>
    <s v="NA"/>
    <s v="NA"/>
    <s v="NA"/>
    <n v="0"/>
    <n v="0"/>
    <n v="0"/>
    <n v="0"/>
    <n v="8"/>
    <n v="0"/>
    <n v="8"/>
    <m/>
    <m/>
    <m/>
    <m/>
  </r>
  <r>
    <s v="DSCN4527"/>
    <s v="M3.50820_17"/>
    <n v="17"/>
    <n v="1"/>
    <s v="Mile 3.5"/>
    <d v="2019-08-20T00:00:00"/>
    <x v="0"/>
    <s v="Fall"/>
    <d v="1899-12-30T00:52:00"/>
    <s v="Mostly sunny"/>
    <s v="OR/WS"/>
    <s v="Foraging and caching"/>
    <s v="Spruce"/>
    <n v="1"/>
    <n v="0"/>
    <n v="1"/>
    <x v="1"/>
    <x v="3"/>
    <s v="Ground"/>
    <s v="Exterior foliage"/>
    <s v="Spruce"/>
    <s v="Exterior"/>
    <s v="Foliage"/>
    <m/>
    <n v="45"/>
    <n v="8"/>
    <n v="63.72"/>
    <n v="148.97820999999999"/>
    <s v="NA"/>
    <s v="NA"/>
    <s v="NA"/>
    <n v="0"/>
    <n v="0"/>
    <n v="0"/>
    <n v="0"/>
    <n v="8"/>
    <n v="0"/>
    <n v="8"/>
    <m/>
    <m/>
    <m/>
    <m/>
  </r>
  <r>
    <s v="DSCN4531"/>
    <s v="M3.50820_20"/>
    <n v="20"/>
    <n v="1"/>
    <s v="Mile 3.5"/>
    <d v="2019-08-20T00:00:00"/>
    <x v="0"/>
    <s v="Fall"/>
    <d v="1899-12-30T00:44:00"/>
    <s v="Mostly sunny"/>
    <s v="WY/GS"/>
    <s v="Foraging and caching"/>
    <s v="Spruce"/>
    <n v="1"/>
    <n v="0"/>
    <n v="1"/>
    <x v="5"/>
    <x v="14"/>
    <s v="Ground"/>
    <s v="Exterior spruce on bark"/>
    <s v="Spruce"/>
    <s v="Exterior"/>
    <s v="None"/>
    <m/>
    <n v="235"/>
    <n v="1"/>
    <n v="63.719729999999998"/>
    <n v="148.97708"/>
    <s v="NA"/>
    <s v="NA"/>
    <s v="NA"/>
    <n v="0"/>
    <n v="0"/>
    <n v="0"/>
    <n v="0"/>
    <n v="35"/>
    <n v="0"/>
    <n v="35"/>
    <m/>
    <s v="Deployed camera on cache"/>
    <m/>
    <m/>
  </r>
  <r>
    <s v="DSCN4535"/>
    <s v="M3.50820_23"/>
    <n v="23"/>
    <n v="1"/>
    <s v="Mile 3.5"/>
    <d v="2019-08-20T00:00:00"/>
    <x v="0"/>
    <s v="Fall"/>
    <d v="1899-12-30T00:29:00"/>
    <s v="Mostly sunny"/>
    <s v="OL/OS"/>
    <s v="Foraging and caching"/>
    <s v="Spruce"/>
    <n v="1"/>
    <n v="0"/>
    <n v="1"/>
    <x v="5"/>
    <x v="14"/>
    <s v="Ground"/>
    <s v="Exterior spruce on bark"/>
    <s v="Spruce"/>
    <s v="Exterior"/>
    <s v="None"/>
    <m/>
    <n v="121"/>
    <n v="3"/>
    <n v="63.719799999999999"/>
    <n v="148.97701000000001"/>
    <s v="NA"/>
    <s v="NA"/>
    <s v="NA"/>
    <n v="0"/>
    <n v="0"/>
    <n v="0"/>
    <n v="0"/>
    <n v="0"/>
    <n v="0"/>
    <n v="0"/>
    <m/>
    <s v="Missed acqusition.  Seen while deploying camera"/>
    <m/>
    <m/>
  </r>
  <r>
    <s v="DSCN4529"/>
    <s v="M3.50820_19"/>
    <n v="19"/>
    <n v="1"/>
    <s v="Mile 3.5"/>
    <d v="2019-08-20T00:00:00"/>
    <x v="0"/>
    <s v="Fall"/>
    <d v="1899-12-30T00:18:00"/>
    <s v="Mostly sunny"/>
    <s v="OR/WS"/>
    <s v="Foraging and caching"/>
    <s v="Spruce"/>
    <n v="1"/>
    <n v="0"/>
    <n v="1"/>
    <x v="5"/>
    <x v="14"/>
    <s v="Ground"/>
    <s v="Interior spruce foliage"/>
    <s v="Spruce"/>
    <s v="Interior"/>
    <s v="Foliage"/>
    <m/>
    <n v="75"/>
    <n v="4"/>
    <n v="63.720140000000001"/>
    <n v="148.97776999999999"/>
    <s v="NA"/>
    <s v="NA"/>
    <s v="NA"/>
    <n v="0"/>
    <n v="0"/>
    <n v="0"/>
    <n v="0"/>
    <n v="2"/>
    <n v="0"/>
    <n v="2"/>
    <m/>
    <m/>
    <m/>
    <m/>
  </r>
  <r>
    <s v="DSCN4512"/>
    <s v="M3.50820_3"/>
    <n v="4"/>
    <n v="1"/>
    <s v="Mile 3.5"/>
    <d v="2019-08-20T00:00:00"/>
    <x v="0"/>
    <s v="Fall"/>
    <d v="1899-12-30T00:48:00"/>
    <s v="Mostly sunny"/>
    <s v="PW/RS"/>
    <s v="Foraging and caching"/>
    <s v="Spruce"/>
    <n v="1"/>
    <n v="0"/>
    <n v="1"/>
    <x v="5"/>
    <x v="15"/>
    <s v="Ground"/>
    <s v="Interior spruce foliage"/>
    <s v="Spruce"/>
    <s v="Interior"/>
    <s v="Foliage"/>
    <m/>
    <n v="103"/>
    <m/>
    <n v="63.720759999999999"/>
    <n v="148.97354000000001"/>
    <s v="NA"/>
    <s v="NA"/>
    <s v="NA"/>
    <n v="0"/>
    <n v="0"/>
    <n v="0"/>
    <n v="0"/>
    <n v="33"/>
    <n v="0"/>
    <n v="33"/>
    <m/>
    <m/>
    <m/>
    <m/>
  </r>
  <r>
    <s v="DSCN4518"/>
    <s v="M3.50820_9"/>
    <n v="9"/>
    <n v="2"/>
    <s v="Mile 3.5"/>
    <d v="2019-08-20T00:00:00"/>
    <x v="0"/>
    <s v="Fall"/>
    <d v="1899-12-30T01:47:00"/>
    <s v="Mostly sunny"/>
    <s v="PG/GS"/>
    <s v="Foraging and food handling"/>
    <s v="Spruce"/>
    <n v="1"/>
    <n v="0"/>
    <n v="0"/>
    <x v="5"/>
    <x v="15"/>
    <s v="Ground"/>
    <s v="NA"/>
    <s v="NA"/>
    <s v="NA"/>
    <s v="NA"/>
    <s v="NA"/>
    <s v="NA"/>
    <s v="NA"/>
    <s v="NA"/>
    <s v="NA"/>
    <s v="NA"/>
    <s v="NA"/>
    <s v="NA"/>
    <n v="0"/>
    <n v="0"/>
    <n v="0"/>
    <n v="0"/>
    <n v="7"/>
    <n v="0"/>
    <n v="7"/>
    <m/>
    <m/>
    <m/>
    <m/>
  </r>
  <r>
    <s v="DSCN4519"/>
    <s v="M3.50820_11"/>
    <n v="11"/>
    <n v="1"/>
    <s v="Mile 3.5"/>
    <d v="2019-08-20T00:00:00"/>
    <x v="0"/>
    <s v="Fall"/>
    <d v="1899-12-30T00:46:00"/>
    <s v="Mostly sunny"/>
    <s v="PG/GS"/>
    <s v="Foraging"/>
    <s v="NA"/>
    <n v="1"/>
    <n v="0"/>
    <n v="0"/>
    <x v="5"/>
    <x v="14"/>
    <s v="Ground"/>
    <s v="NA"/>
    <s v="NA"/>
    <s v="NA"/>
    <s v="NA"/>
    <s v="NA"/>
    <s v="NA"/>
    <s v="NA"/>
    <s v="NA"/>
    <s v="NA"/>
    <s v="NA"/>
    <s v="NA"/>
    <s v="NA"/>
    <n v="0"/>
    <n v="0"/>
    <n v="0"/>
    <n v="0"/>
    <n v="14"/>
    <n v="0"/>
    <n v="14"/>
    <m/>
    <m/>
    <m/>
    <m/>
  </r>
  <r>
    <s v="DSCN4524"/>
    <s v="M3.50820_14"/>
    <n v="14"/>
    <n v="1"/>
    <s v="Mile 3.5"/>
    <d v="2019-08-20T00:00:00"/>
    <x v="0"/>
    <s v="Fall"/>
    <d v="1899-12-30T00:28:00"/>
    <s v="Mostly sunny"/>
    <s v="PG/GS"/>
    <s v="Foraging"/>
    <s v="NA"/>
    <n v="1"/>
    <n v="0"/>
    <n v="0"/>
    <x v="5"/>
    <x v="14"/>
    <s v="Ground"/>
    <s v="NA"/>
    <s v="NA"/>
    <s v="NA"/>
    <s v="NA"/>
    <s v="NA"/>
    <s v="NA"/>
    <s v="NA"/>
    <s v="NA"/>
    <s v="NA"/>
    <s v="NA"/>
    <s v="NA"/>
    <s v="NA"/>
    <n v="0"/>
    <n v="0"/>
    <n v="0"/>
    <n v="0"/>
    <n v="11"/>
    <n v="0"/>
    <n v="11"/>
    <m/>
    <m/>
    <m/>
    <m/>
  </r>
  <r>
    <s v="DSCN4532"/>
    <s v="M.350820_21"/>
    <n v="21"/>
    <n v="2"/>
    <s v="Mile 3.5"/>
    <d v="2019-08-20T00:00:00"/>
    <x v="0"/>
    <s v="Fall"/>
    <m/>
    <s v="Mostly sunny"/>
    <s v="WY/GS"/>
    <s v="Foraging"/>
    <s v="NA"/>
    <n v="1"/>
    <n v="0"/>
    <n v="1"/>
    <x v="6"/>
    <x v="16"/>
    <s v="Ground"/>
    <s v="Exterior spruce on bark"/>
    <s v="Spruce"/>
    <s v="Exterior"/>
    <s v="Unknown"/>
    <s v="NA"/>
    <n v="58"/>
    <s v="Unknown"/>
    <n v="63.719900000000003"/>
    <n v="148.97597999999999"/>
    <s v="NA"/>
    <s v="NA"/>
    <s v="NA"/>
    <n v="0"/>
    <n v="0"/>
    <n v="0"/>
    <n v="0"/>
    <n v="14"/>
    <n v="0"/>
    <n v="14"/>
    <m/>
    <m/>
    <m/>
    <m/>
  </r>
  <r>
    <s v="DSCN4548"/>
    <s v="WW0821_10"/>
    <n v="10"/>
    <n v="1"/>
    <s v="Wac West"/>
    <d v="2019-08-21T00:00:00"/>
    <x v="0"/>
    <s v="Fall"/>
    <d v="1899-12-30T00:40:00"/>
    <s v="Overcast"/>
    <s v="Unbanded"/>
    <s v="Caching"/>
    <s v="Spruce"/>
    <n v="0"/>
    <n v="0"/>
    <n v="1"/>
    <x v="0"/>
    <x v="0"/>
    <s v="Unknown"/>
    <s v="Exterior spruce on bark"/>
    <s v="Spruce"/>
    <s v="Exterior"/>
    <s v="Unknown"/>
    <m/>
    <n v="145"/>
    <s v="Unknown"/>
    <n v="63.738219999999998"/>
    <n v="148.90351999999999"/>
    <s v="NA"/>
    <s v="NA"/>
    <s v="NA"/>
    <n v="0"/>
    <n v="0"/>
    <n v="0"/>
    <n v="0"/>
    <n v="0"/>
    <n v="0"/>
    <n v="0"/>
    <m/>
    <m/>
    <m/>
    <m/>
  </r>
  <r>
    <s v="DSCN4539"/>
    <s v="WW0821_4"/>
    <n v="4"/>
    <n v="1"/>
    <s v="Wac West"/>
    <d v="2019-08-21T00:00:00"/>
    <x v="0"/>
    <s v="Fall"/>
    <m/>
    <s v="Overcast, light rain"/>
    <s v="BP/PS"/>
    <s v="Foraging and caching"/>
    <s v="Spruce"/>
    <n v="1"/>
    <n v="0"/>
    <n v="1"/>
    <x v="0"/>
    <x v="0"/>
    <s v="Ground"/>
    <s v="Interior spruce foliage"/>
    <s v="Spruce"/>
    <s v="Interior"/>
    <s v="Foliage"/>
    <m/>
    <n v="142"/>
    <n v="3"/>
    <n v="63.738419999999998"/>
    <n v="148.90115"/>
    <s v="NA"/>
    <s v="NA"/>
    <s v="NA"/>
    <n v="0"/>
    <n v="0"/>
    <n v="0"/>
    <n v="0"/>
    <n v="20"/>
    <n v="0"/>
    <n v="20"/>
    <m/>
    <m/>
    <m/>
    <m/>
  </r>
  <r>
    <s v="DSCN4546"/>
    <s v="WW0821_9"/>
    <n v="9"/>
    <n v="1"/>
    <s v="Wac West"/>
    <d v="2019-08-21T00:00:00"/>
    <x v="0"/>
    <s v="Fall"/>
    <d v="1899-12-30T00:33:00"/>
    <s v="Overcast"/>
    <s v="Y/OS"/>
    <s v="Caching and foraging"/>
    <s v="Spruce"/>
    <n v="0"/>
    <n v="0"/>
    <n v="1"/>
    <x v="0"/>
    <x v="0"/>
    <s v="Unknown"/>
    <s v="Interior spruce on bark"/>
    <s v="Spruce"/>
    <s v="Interior"/>
    <s v="Unknown"/>
    <m/>
    <n v="212"/>
    <s v="Unknown"/>
    <n v="63.73854"/>
    <n v="148.90338"/>
    <s v="NA"/>
    <s v="NA"/>
    <s v="NA"/>
    <n v="0"/>
    <n v="0"/>
    <n v="0"/>
    <n v="0"/>
    <n v="13"/>
    <n v="0"/>
    <n v="13"/>
    <m/>
    <m/>
    <m/>
    <m/>
  </r>
  <r>
    <s v="DSCN4545"/>
    <s v="WW0821_8"/>
    <n v="8"/>
    <n v="1"/>
    <s v="Wac West"/>
    <d v="2019-08-21T00:00:00"/>
    <x v="0"/>
    <s v="Fall"/>
    <d v="1899-12-30T01:18:00"/>
    <s v="Overcast"/>
    <s v="Y/OS"/>
    <s v="Foraging and caching"/>
    <s v="Spruce"/>
    <n v="1"/>
    <n v="0"/>
    <n v="1"/>
    <x v="0"/>
    <x v="0"/>
    <s v="Ground"/>
    <s v="Exterior spruce on bark"/>
    <s v="Spruce"/>
    <s v="Exterior"/>
    <s v="Unknown"/>
    <m/>
    <n v="202"/>
    <n v="4"/>
    <n v="63.738610000000001"/>
    <n v="148.90358000000001"/>
    <s v="NA"/>
    <s v="NA"/>
    <s v="NA"/>
    <n v="0"/>
    <n v="0"/>
    <n v="0"/>
    <n v="0"/>
    <n v="70"/>
    <n v="0"/>
    <n v="70"/>
    <m/>
    <m/>
    <m/>
    <m/>
  </r>
  <r>
    <s v="DSCN4551"/>
    <s v="WW0821_11"/>
    <n v="11"/>
    <n v="1"/>
    <s v="Wac West"/>
    <d v="2019-08-21T00:00:00"/>
    <x v="0"/>
    <s v="Fall"/>
    <d v="1899-12-30T00:40:00"/>
    <s v="Overcast"/>
    <s v="Unbanded"/>
    <s v="Food handling, caching"/>
    <s v="Spruce"/>
    <n v="1"/>
    <n v="0"/>
    <n v="1"/>
    <x v="0"/>
    <x v="0"/>
    <s v="Unknown"/>
    <s v="Exterior spruce foliage"/>
    <s v="Spruce"/>
    <s v="Exterior"/>
    <s v="Foliage"/>
    <m/>
    <n v="130"/>
    <s v="Unknown"/>
    <n v="63.740549999999999"/>
    <n v="148.89922000000001"/>
    <s v="NA"/>
    <s v="NA"/>
    <s v="NA"/>
    <n v="0"/>
    <n v="0"/>
    <n v="0"/>
    <n v="0"/>
    <n v="0"/>
    <n v="0"/>
    <n v="0"/>
    <m/>
    <m/>
    <m/>
    <m/>
  </r>
  <r>
    <s v="DSCN4536"/>
    <s v="WW0821_1"/>
    <n v="1"/>
    <n v="1"/>
    <s v="Wac West"/>
    <d v="2019-08-21T00:00:00"/>
    <x v="0"/>
    <s v="Fall"/>
    <d v="1899-12-30T00:21:00"/>
    <s v="Overcast, light rain"/>
    <s v="BP/PS"/>
    <s v="Foraging"/>
    <s v="NA"/>
    <s v="Unknown"/>
    <n v="0"/>
    <n v="0"/>
    <x v="3"/>
    <x v="2"/>
    <s v="NA"/>
    <s v="NA"/>
    <s v="NA"/>
    <s v="NA"/>
    <s v="NA"/>
    <s v="NA"/>
    <s v="NA"/>
    <s v="NA"/>
    <s v="NA"/>
    <s v="NA"/>
    <s v="NA"/>
    <s v="NA"/>
    <s v="NA"/>
    <n v="0"/>
    <n v="0"/>
    <n v="0"/>
    <n v="0"/>
    <n v="21"/>
    <n v="0"/>
    <n v="21"/>
    <m/>
    <m/>
    <m/>
    <m/>
  </r>
  <r>
    <s v="DSCN4537"/>
    <s v="WW0821_2"/>
    <n v="2"/>
    <n v="1"/>
    <s v="Wac West"/>
    <d v="2019-08-21T00:00:00"/>
    <x v="0"/>
    <s v="Fall"/>
    <d v="1899-12-30T01:08:00"/>
    <s v="Overcast, light rain"/>
    <s v="BP/PS"/>
    <s v="Foraging"/>
    <s v="Spruce"/>
    <n v="0"/>
    <n v="0"/>
    <s v="Unknown"/>
    <x v="3"/>
    <x v="2"/>
    <s v="NA"/>
    <s v="NA"/>
    <s v="NA"/>
    <s v="NA"/>
    <s v="NA"/>
    <s v="NA"/>
    <s v="NA"/>
    <s v="NA"/>
    <s v="NA"/>
    <s v="NA"/>
    <s v="NA"/>
    <s v="NA"/>
    <s v="NA"/>
    <n v="0"/>
    <n v="0"/>
    <n v="0"/>
    <n v="0"/>
    <n v="68"/>
    <n v="0"/>
    <n v="68"/>
    <m/>
    <m/>
    <m/>
    <m/>
  </r>
  <r>
    <s v="DSCN4538"/>
    <s v="WW0821_3"/>
    <n v="3"/>
    <n v="2"/>
    <s v="Wac West"/>
    <d v="2019-08-21T00:00:00"/>
    <x v="0"/>
    <s v="Fall"/>
    <d v="1899-12-30T02:19:00"/>
    <s v="Overcast, light rain"/>
    <s v="BP/PS"/>
    <s v="Foraging"/>
    <s v="Spruce"/>
    <s v="Unknown"/>
    <n v="0"/>
    <s v="Unknown"/>
    <x v="3"/>
    <x v="2"/>
    <s v="NA"/>
    <s v="NA"/>
    <s v="NA"/>
    <s v="NA"/>
    <s v="NA"/>
    <s v="NA"/>
    <s v="NA"/>
    <s v="NA"/>
    <s v="NA"/>
    <s v="NA"/>
    <s v="NA"/>
    <s v="NA"/>
    <s v="NA"/>
    <n v="0"/>
    <n v="0"/>
    <n v="0"/>
    <n v="0"/>
    <n v="36"/>
    <n v="0"/>
    <n v="36"/>
    <m/>
    <m/>
    <m/>
    <m/>
  </r>
  <r>
    <s v="DSCN4539"/>
    <s v="WW0821_4"/>
    <n v="4"/>
    <n v="2"/>
    <s v="Wac West"/>
    <d v="2019-08-21T00:00:00"/>
    <x v="0"/>
    <s v="Fall"/>
    <m/>
    <s v="Overcast, light rain"/>
    <s v="BP/PS"/>
    <s v="Foraging"/>
    <s v="Spruce"/>
    <s v="Unknown"/>
    <n v="0"/>
    <n v="0"/>
    <x v="3"/>
    <x v="2"/>
    <s v="NA"/>
    <s v="NA"/>
    <s v="NA"/>
    <s v="NA"/>
    <s v="NA"/>
    <s v="NA"/>
    <s v="NA"/>
    <s v="NA"/>
    <s v="NA"/>
    <s v="NA"/>
    <s v="NA"/>
    <s v="NA"/>
    <s v="NA"/>
    <n v="0"/>
    <n v="0"/>
    <n v="0"/>
    <n v="0"/>
    <n v="12"/>
    <n v="0"/>
    <n v="12"/>
    <m/>
    <m/>
    <m/>
    <m/>
  </r>
  <r>
    <s v="DSCN4542"/>
    <s v="WW0821_5"/>
    <n v="5"/>
    <n v="1"/>
    <s v="Wac West"/>
    <d v="2019-08-21T00:00:00"/>
    <x v="0"/>
    <s v="Fall"/>
    <d v="1899-12-30T00:13:00"/>
    <s v="Overcast, light rain"/>
    <s v="Unbanded"/>
    <s v="Foraging"/>
    <s v="NA"/>
    <n v="0"/>
    <n v="0"/>
    <n v="0"/>
    <x v="3"/>
    <x v="2"/>
    <s v="NA"/>
    <s v="NA"/>
    <s v="NA"/>
    <s v="NA"/>
    <s v="NA"/>
    <s v="NA"/>
    <s v="NA"/>
    <s v="NA"/>
    <s v="NA"/>
    <s v="NA"/>
    <s v="NA"/>
    <s v="NA"/>
    <s v="NA"/>
    <n v="0"/>
    <n v="0"/>
    <n v="0"/>
    <n v="0"/>
    <n v="13"/>
    <n v="0"/>
    <n v="13"/>
    <m/>
    <m/>
    <m/>
    <m/>
  </r>
  <r>
    <s v="DSCN4543"/>
    <s v="WW0821_6"/>
    <n v="6"/>
    <n v="1"/>
    <s v="Wac West"/>
    <d v="2019-08-21T00:00:00"/>
    <x v="0"/>
    <s v="Fall"/>
    <d v="1899-12-30T00:12:00"/>
    <s v="Overcast"/>
    <s v="Y/OS"/>
    <s v="Foraging"/>
    <s v="NA"/>
    <n v="0"/>
    <n v="0"/>
    <n v="0"/>
    <x v="3"/>
    <x v="2"/>
    <s v="NA"/>
    <s v="NA"/>
    <s v="NA"/>
    <s v="NA"/>
    <s v="NA"/>
    <s v="NA"/>
    <s v="NA"/>
    <s v="NA"/>
    <s v="NA"/>
    <s v="NA"/>
    <s v="NA"/>
    <s v="NA"/>
    <s v="NA"/>
    <n v="0"/>
    <n v="0"/>
    <n v="0"/>
    <n v="0"/>
    <n v="12"/>
    <n v="0"/>
    <n v="12"/>
    <m/>
    <m/>
    <m/>
    <m/>
  </r>
  <r>
    <s v="DSCN4544"/>
    <s v="WW0821_7"/>
    <n v="7"/>
    <n v="1"/>
    <s v="Wac West"/>
    <d v="2019-08-21T00:00:00"/>
    <x v="0"/>
    <s v="Fall"/>
    <d v="1899-12-30T00:52:00"/>
    <s v="Overcast"/>
    <s v="Y/OS"/>
    <s v="Foraging"/>
    <s v="NA"/>
    <n v="0"/>
    <n v="0"/>
    <n v="0"/>
    <x v="3"/>
    <x v="2"/>
    <s v="NA"/>
    <s v="NA"/>
    <s v="NA"/>
    <s v="NA"/>
    <s v="NA"/>
    <s v="NA"/>
    <s v="NA"/>
    <s v="NA"/>
    <s v="NA"/>
    <s v="NA"/>
    <s v="NA"/>
    <s v="NA"/>
    <s v="NA"/>
    <n v="0"/>
    <n v="0"/>
    <n v="0"/>
    <n v="0"/>
    <n v="49"/>
    <n v="0"/>
    <n v="49"/>
    <m/>
    <m/>
    <m/>
    <m/>
  </r>
  <r>
    <s v="DSCN4554"/>
    <s v="WW0821_12"/>
    <n v="12"/>
    <n v="1"/>
    <s v="Wac West"/>
    <d v="2019-08-21T00:00:00"/>
    <x v="0"/>
    <s v="Fall"/>
    <d v="1899-12-30T00:32:00"/>
    <s v="Overcast"/>
    <s v="Unbanded"/>
    <s v="Caching"/>
    <s v="Spruce"/>
    <n v="1"/>
    <n v="0"/>
    <n v="1"/>
    <x v="1"/>
    <x v="10"/>
    <s v="Ground"/>
    <s v="Exterior spruce foliage"/>
    <s v="Spruce"/>
    <s v="Exterior"/>
    <s v="Foliage"/>
    <m/>
    <n v="226"/>
    <n v="3"/>
    <n v="63.740259999999999"/>
    <n v="148.89783"/>
    <s v="NA"/>
    <s v="NA"/>
    <s v="NA"/>
    <n v="0"/>
    <n v="0"/>
    <n v="0"/>
    <n v="0"/>
    <n v="0"/>
    <n v="0"/>
    <n v="0"/>
    <m/>
    <s v="Missed initial cache on camera but saw in person"/>
    <m/>
    <m/>
  </r>
  <r>
    <s v="DSCN4559"/>
    <s v="WW0821_16"/>
    <n v="16"/>
    <n v="1"/>
    <s v="Wac West"/>
    <d v="2019-08-21T00:00:00"/>
    <x v="0"/>
    <s v="Fall"/>
    <d v="1899-12-30T00:33:00"/>
    <s v="Overcast"/>
    <s v="Unbanded"/>
    <s v="Foraging and caching"/>
    <s v="Spruce"/>
    <n v="1"/>
    <n v="0"/>
    <n v="1"/>
    <x v="1"/>
    <x v="10"/>
    <s v="Ground"/>
    <s v="Exterior spruce on bark"/>
    <s v="Spruce"/>
    <s v="Exterior"/>
    <s v="None"/>
    <m/>
    <n v="232"/>
    <n v="9"/>
    <n v="63.740270000000002"/>
    <n v="148.89796000000001"/>
    <s v="NA"/>
    <s v="NA"/>
    <s v="NA"/>
    <n v="0"/>
    <n v="0"/>
    <n v="0"/>
    <n v="0"/>
    <n v="4"/>
    <n v="0"/>
    <n v="4"/>
    <m/>
    <m/>
    <m/>
    <m/>
  </r>
  <r>
    <s v="DSCN4554"/>
    <s v="WW0821_12"/>
    <n v="12"/>
    <n v="2"/>
    <s v="Wac West"/>
    <d v="2019-08-21T00:00:00"/>
    <x v="0"/>
    <s v="Fall"/>
    <d v="1899-12-30T00:32:00"/>
    <s v="Overcast"/>
    <s v="Unbanded"/>
    <s v="Foraging and caching"/>
    <s v="Spruce"/>
    <n v="1"/>
    <n v="0"/>
    <n v="1"/>
    <x v="1"/>
    <x v="10"/>
    <s v="Ground"/>
    <s v="Exterior spruce foliage"/>
    <s v="Spruce"/>
    <s v="Exterior"/>
    <s v="Foliage"/>
    <m/>
    <n v="192"/>
    <n v="4"/>
    <n v="63.740279999999998"/>
    <n v="148.89796000000001"/>
    <s v="NA"/>
    <s v="NA"/>
    <s v="NA"/>
    <n v="0"/>
    <n v="0"/>
    <n v="0"/>
    <n v="0"/>
    <n v="8"/>
    <n v="0"/>
    <n v="8"/>
    <m/>
    <s v="Missed initial cache on camera but saw in person"/>
    <m/>
    <m/>
  </r>
  <r>
    <s v="DSCN4558"/>
    <s v="WW0821_15"/>
    <n v="15"/>
    <n v="2"/>
    <s v="Wac West"/>
    <d v="2019-08-21T00:00:00"/>
    <x v="0"/>
    <s v="Fall"/>
    <d v="1899-12-30T00:45:00"/>
    <s v="Overcast"/>
    <s v="Unbanded"/>
    <s v="Caching"/>
    <s v="Spruce"/>
    <n v="1"/>
    <n v="0"/>
    <n v="1"/>
    <x v="1"/>
    <x v="10"/>
    <s v="Ground"/>
    <s v="Exterior spruce foliage"/>
    <s v="Spruce"/>
    <s v="Exterior"/>
    <s v="Foliage"/>
    <m/>
    <n v="250"/>
    <n v="4"/>
    <n v="63.740279999999998"/>
    <n v="148.89796000000001"/>
    <s v="NA"/>
    <s v="NA"/>
    <s v="NA"/>
    <n v="0"/>
    <n v="0"/>
    <n v="0"/>
    <n v="0"/>
    <n v="4"/>
    <n v="0"/>
    <n v="4"/>
    <m/>
    <s v="Missed initial acquisition on camera"/>
    <m/>
    <m/>
  </r>
  <r>
    <s v="DSCN4556"/>
    <s v="WW0821_13"/>
    <n v="13"/>
    <n v="1"/>
    <s v="Wac West"/>
    <d v="2019-08-21T00:00:00"/>
    <x v="0"/>
    <s v="Fall"/>
    <d v="1899-12-30T00:39:00"/>
    <s v="Overcast"/>
    <s v="Unbanded"/>
    <s v="Foraging and caching"/>
    <s v="Spruce"/>
    <n v="1"/>
    <n v="0"/>
    <n v="1"/>
    <x v="1"/>
    <x v="10"/>
    <s v="Ground"/>
    <s v="Exterior spruce foliage"/>
    <s v="Spruce"/>
    <s v="Exterior"/>
    <s v="Foliage"/>
    <m/>
    <n v="254"/>
    <n v="9"/>
    <n v="63.740310000000001"/>
    <n v="148.89779999999999"/>
    <s v="NA"/>
    <s v="NA"/>
    <s v="NA"/>
    <n v="0"/>
    <n v="0"/>
    <n v="0"/>
    <n v="0"/>
    <n v="9"/>
    <n v="0"/>
    <n v="9"/>
    <m/>
    <m/>
    <m/>
    <m/>
  </r>
  <r>
    <s v="DSCN4557"/>
    <s v="WW0821_14"/>
    <n v="14"/>
    <n v="2"/>
    <s v="Wac West"/>
    <d v="2019-08-21T00:00:00"/>
    <x v="0"/>
    <s v="Fall"/>
    <d v="1899-12-30T01:01:00"/>
    <s v="Overcast"/>
    <s v="Unbanded"/>
    <s v="Foraging and caching"/>
    <s v="Spruce"/>
    <n v="1"/>
    <n v="0"/>
    <n v="1"/>
    <x v="1"/>
    <x v="10"/>
    <s v="Ground"/>
    <s v="Exterior spruce foliage"/>
    <s v="Spruce"/>
    <s v="Exterior"/>
    <s v="Foliage"/>
    <m/>
    <n v="318"/>
    <n v="6"/>
    <n v="63.740319999999997"/>
    <n v="148.89780999999999"/>
    <s v="NA"/>
    <s v="NA"/>
    <s v="NA"/>
    <n v="0"/>
    <n v="0"/>
    <n v="0"/>
    <n v="0"/>
    <n v="4"/>
    <n v="0"/>
    <n v="4"/>
    <m/>
    <m/>
    <m/>
    <m/>
  </r>
  <r>
    <s v="DSCN4558"/>
    <s v="WW0821_15"/>
    <n v="15"/>
    <n v="1"/>
    <s v="Wac West"/>
    <d v="2019-08-21T00:00:00"/>
    <x v="0"/>
    <s v="Fall"/>
    <d v="1899-12-30T00:45:00"/>
    <s v="Overcast"/>
    <s v="Unbanded"/>
    <s v="Caching"/>
    <s v="Spruce"/>
    <n v="1"/>
    <n v="0"/>
    <n v="1"/>
    <x v="1"/>
    <x v="10"/>
    <s v="Ground"/>
    <s v="Interior spruce foliage"/>
    <s v="Spruce"/>
    <s v="Interior"/>
    <s v="Foliage"/>
    <m/>
    <n v="300"/>
    <n v="4"/>
    <n v="63.740340000000003"/>
    <n v="148.89777000000001"/>
    <s v="NA"/>
    <s v="NA"/>
    <s v="NA"/>
    <n v="0"/>
    <n v="0"/>
    <n v="0"/>
    <n v="0"/>
    <n v="0"/>
    <n v="0"/>
    <n v="0"/>
    <m/>
    <s v="Missed initial acquisition on camera"/>
    <m/>
    <m/>
  </r>
  <r>
    <s v="DSCN4557"/>
    <s v="WW0821_14"/>
    <n v="14"/>
    <n v="3"/>
    <s v="Wac West"/>
    <d v="2019-08-21T00:00:00"/>
    <x v="0"/>
    <s v="Fall"/>
    <d v="1899-12-30T01:01:00"/>
    <s v="Overcast"/>
    <s v="Unbanded"/>
    <s v="Foraging and caching"/>
    <s v="Spruce"/>
    <n v="1"/>
    <n v="0"/>
    <n v="1"/>
    <x v="1"/>
    <x v="10"/>
    <s v="Ground"/>
    <s v="Interior spruce on bark"/>
    <s v="Spruce"/>
    <s v="Interior"/>
    <s v="None"/>
    <m/>
    <n v="254"/>
    <n v="10"/>
    <n v="63.740360000000003"/>
    <n v="148.89764"/>
    <s v="NA"/>
    <s v="NA"/>
    <s v="NA"/>
    <n v="0"/>
    <n v="0"/>
    <n v="0"/>
    <n v="0"/>
    <n v="4"/>
    <n v="0"/>
    <n v="4"/>
    <m/>
    <m/>
    <m/>
    <m/>
  </r>
  <r>
    <s v="DSCN4557"/>
    <s v="WW0821_14"/>
    <n v="14"/>
    <n v="1"/>
    <s v="Wac West"/>
    <d v="2019-08-21T00:00:00"/>
    <x v="0"/>
    <s v="Fall"/>
    <d v="1899-12-30T01:01:00"/>
    <s v="Overcast"/>
    <s v="Unbanded"/>
    <s v="Foraging and caching"/>
    <s v="Spruce"/>
    <n v="1"/>
    <n v="0"/>
    <n v="1"/>
    <x v="1"/>
    <x v="10"/>
    <s v="Ground"/>
    <s v="Exterior spruce foliage"/>
    <s v="Spruce"/>
    <s v="Exterior"/>
    <s v="Foliage"/>
    <m/>
    <n v="112"/>
    <n v="2"/>
    <n v="63.740389999999998"/>
    <n v="148.89777000000001"/>
    <s v="NA"/>
    <s v="NA"/>
    <s v="NA"/>
    <n v="0"/>
    <n v="0"/>
    <n v="0"/>
    <n v="0"/>
    <n v="7"/>
    <n v="0"/>
    <n v="7"/>
    <m/>
    <m/>
    <m/>
    <m/>
  </r>
  <r>
    <s v="DSCN4556"/>
    <s v="WW0821_13"/>
    <n v="13"/>
    <n v="2"/>
    <s v="Wac West"/>
    <d v="2019-08-21T00:00:00"/>
    <x v="0"/>
    <s v="Fall"/>
    <d v="1899-12-30T00:39:00"/>
    <s v="Overcast"/>
    <s v="Unbanded"/>
    <s v="Foraging and caching"/>
    <s v="Spruce"/>
    <n v="1"/>
    <n v="0"/>
    <n v="1"/>
    <x v="1"/>
    <x v="10"/>
    <s v="Ground"/>
    <s v="Interior spruce foliage"/>
    <s v="Spruce"/>
    <s v="Interior"/>
    <s v="Foliage"/>
    <m/>
    <n v="221"/>
    <n v="8"/>
    <n v="63.740409999999997"/>
    <n v="148.89762999999999"/>
    <s v="NA"/>
    <s v="NA"/>
    <s v="NA"/>
    <n v="0"/>
    <n v="0"/>
    <n v="0"/>
    <n v="0"/>
    <n v="5"/>
    <n v="0"/>
    <n v="5"/>
    <m/>
    <m/>
    <m/>
    <m/>
  </r>
  <r>
    <s v="DSCN4538"/>
    <s v="WW0821_3"/>
    <n v="3"/>
    <n v="1"/>
    <s v="Wac West"/>
    <d v="2019-08-21T00:00:00"/>
    <x v="0"/>
    <s v="Fall"/>
    <d v="1899-12-30T02:19:00"/>
    <s v="Overcast, light rain"/>
    <s v="BP/PS"/>
    <s v="Foraging and caching"/>
    <s v="Spruce"/>
    <n v="1"/>
    <n v="0"/>
    <n v="1"/>
    <x v="5"/>
    <x v="12"/>
    <s v="Ground"/>
    <s v="Interior spruce on bark"/>
    <s v="Spruce"/>
    <s v="Interior"/>
    <s v="Unknown"/>
    <m/>
    <n v="47"/>
    <n v="9"/>
    <n v="63.739420000000003"/>
    <n v="148.90110999999999"/>
    <s v="NA"/>
    <s v="NA"/>
    <s v="NA"/>
    <n v="0"/>
    <n v="0"/>
    <n v="0"/>
    <n v="0"/>
    <n v="32"/>
    <n v="0"/>
    <n v="32"/>
    <m/>
    <m/>
    <m/>
    <m/>
  </r>
  <r>
    <s v="DSCN4573"/>
    <s v="M2370822_6"/>
    <n v="6"/>
    <n v="1"/>
    <s v="M237"/>
    <d v="2019-08-22T00:00:00"/>
    <x v="0"/>
    <s v="Fall"/>
    <d v="1899-12-30T01:07:00"/>
    <s v="Overcast"/>
    <s v="WB/BS"/>
    <s v="Food handling, caching"/>
    <s v="Spruce"/>
    <n v="1"/>
    <n v="0"/>
    <n v="1"/>
    <x v="0"/>
    <x v="0"/>
    <s v="Interior spruce foliage"/>
    <s v="Exterior spruce foliage"/>
    <s v="Spruce"/>
    <s v="Exterior"/>
    <s v="Foliage"/>
    <m/>
    <n v="263"/>
    <n v="0"/>
    <n v="63.723080000000003"/>
    <n v="148.88818000000001"/>
    <s v="NA"/>
    <s v="NA"/>
    <s v="NA"/>
    <n v="0"/>
    <n v="0"/>
    <n v="0"/>
    <n v="0"/>
    <n v="0"/>
    <n v="0"/>
    <n v="0"/>
    <m/>
    <m/>
    <m/>
    <m/>
  </r>
  <r>
    <s v="DSCN4573"/>
    <s v="M2370822_6"/>
    <n v="6"/>
    <n v="1"/>
    <s v="M237"/>
    <d v="2019-08-22T00:00:00"/>
    <x v="0"/>
    <s v="Fall"/>
    <d v="1899-12-30T01:07:00"/>
    <s v="Overcast"/>
    <s v="WB/BS"/>
    <s v="Food handling, caching"/>
    <s v="Spruce"/>
    <n v="0"/>
    <n v="0"/>
    <n v="1"/>
    <x v="0"/>
    <x v="0"/>
    <s v="Interior spruce foliage"/>
    <s v="Exterior spruce foliage"/>
    <s v="Spruce"/>
    <s v="Exterior"/>
    <s v="Foliage"/>
    <m/>
    <n v="88"/>
    <n v="4"/>
    <n v="63.723080000000003"/>
    <n v="148.88820000000001"/>
    <s v="NA"/>
    <s v="NA"/>
    <s v="NA"/>
    <n v="0"/>
    <n v="0"/>
    <n v="0"/>
    <n v="0"/>
    <n v="0"/>
    <n v="0"/>
    <n v="0"/>
    <m/>
    <m/>
    <m/>
    <m/>
  </r>
  <r>
    <s v="DSCN4591"/>
    <s v="AQ0822_8"/>
    <n v="8"/>
    <n v="1"/>
    <s v="Air Quality"/>
    <d v="2019-08-22T00:00:00"/>
    <x v="0"/>
    <s v="Fall"/>
    <d v="1899-12-30T00:33:00"/>
    <s v="Overcast"/>
    <s v="Unbanded"/>
    <s v="Caching"/>
    <s v="Spruce"/>
    <n v="0"/>
    <n v="0"/>
    <n v="1"/>
    <x v="0"/>
    <x v="0"/>
    <s v="Unknown"/>
    <s v="Exterior spruce foliage"/>
    <s v="Spruce"/>
    <s v="Exterior"/>
    <s v="Foliage"/>
    <m/>
    <n v="302"/>
    <n v="4"/>
    <n v="63.723129999999998"/>
    <n v="148.96812"/>
    <s v="NA"/>
    <s v="NA"/>
    <s v="NA"/>
    <n v="0"/>
    <n v="0"/>
    <n v="0"/>
    <n v="0"/>
    <n v="0"/>
    <m/>
    <n v="0"/>
    <m/>
    <m/>
    <m/>
    <m/>
  </r>
  <r>
    <s v="DSCN4591"/>
    <s v="AQ0822_8"/>
    <n v="8"/>
    <n v="2"/>
    <s v="Air Quality"/>
    <d v="2019-08-22T00:00:00"/>
    <x v="0"/>
    <s v="Fall"/>
    <d v="1899-12-30T00:33:00"/>
    <s v="Overcast"/>
    <s v="Unbanded"/>
    <s v="Caching"/>
    <s v="Spruce"/>
    <n v="0"/>
    <n v="0"/>
    <n v="1"/>
    <x v="0"/>
    <x v="0"/>
    <s v="Unknown"/>
    <s v="Exterior spruce foliage"/>
    <s v="Spruce"/>
    <s v="Exterior"/>
    <s v="Foliage"/>
    <m/>
    <n v="58"/>
    <n v="4"/>
    <n v="63.723129999999998"/>
    <n v="148.96812"/>
    <s v="NA"/>
    <s v="NA"/>
    <s v="NA"/>
    <n v="0"/>
    <n v="0"/>
    <n v="0"/>
    <n v="0"/>
    <n v="0"/>
    <m/>
    <n v="0"/>
    <m/>
    <s v="had mystery food in a tree, then made two caches in a neighboring tree.  Unclear if food obtrained from tree, or later taken to tree. "/>
    <m/>
    <m/>
  </r>
  <r>
    <s v="DSCN4572"/>
    <s v="M2370822_5"/>
    <n v="5"/>
    <n v="1"/>
    <s v="M237"/>
    <d v="2019-08-22T00:00:00"/>
    <x v="0"/>
    <s v="Fall"/>
    <d v="1899-12-30T00:19:00"/>
    <s v="Overcast"/>
    <s v="WB/BS"/>
    <s v="Caching"/>
    <s v="Spruce"/>
    <n v="0"/>
    <n v="0"/>
    <n v="1"/>
    <x v="0"/>
    <x v="0"/>
    <s v="Unknown"/>
    <s v="Interior spruce foliage"/>
    <s v="Spruce"/>
    <s v="Interior"/>
    <s v="Foliage"/>
    <m/>
    <n v="47"/>
    <s v="Unknown"/>
    <n v="63.725569999999998"/>
    <n v="148.88607999999999"/>
    <s v="NA"/>
    <s v="NA"/>
    <s v="NA"/>
    <n v="0"/>
    <n v="0"/>
    <n v="0"/>
    <n v="0"/>
    <n v="0"/>
    <n v="0"/>
    <n v="0"/>
    <m/>
    <m/>
    <m/>
    <m/>
  </r>
  <r>
    <s v="DSCN4567"/>
    <s v="M2370822_2"/>
    <n v="2"/>
    <n v="1"/>
    <s v="M237"/>
    <d v="2019-08-22T00:00:00"/>
    <x v="0"/>
    <s v="Fall"/>
    <d v="1899-12-30T01:00:00"/>
    <s v="Overcast"/>
    <s v="Unknown"/>
    <s v="Food handling"/>
    <s v="Spruce"/>
    <n v="1"/>
    <n v="0"/>
    <n v="0"/>
    <x v="0"/>
    <x v="0"/>
    <s v="Interior spruce foliage"/>
    <s v="NA"/>
    <s v="NA"/>
    <s v="NA"/>
    <s v="NA"/>
    <s v="NA"/>
    <s v="NA"/>
    <s v="NA"/>
    <s v="NA"/>
    <s v="NA"/>
    <s v="NA"/>
    <s v="NA"/>
    <s v="NA"/>
    <n v="0"/>
    <n v="0"/>
    <n v="0"/>
    <n v="0"/>
    <n v="0"/>
    <n v="0"/>
    <n v="0"/>
    <m/>
    <s v="Probably piece of dried mushroom from previous &quot;temporary&quot; cache.  But can't know for sure.  "/>
    <m/>
    <m/>
  </r>
  <r>
    <s v="DSCN4568"/>
    <s v="M2370822_3"/>
    <n v="3"/>
    <n v="1"/>
    <s v="M237"/>
    <d v="2019-08-22T00:00:00"/>
    <x v="0"/>
    <s v="Fall"/>
    <d v="1899-12-30T00:09:00"/>
    <s v="Overcast"/>
    <s v="WB/BS"/>
    <s v="Foraging"/>
    <s v="NA"/>
    <n v="1"/>
    <n v="0"/>
    <n v="0"/>
    <x v="0"/>
    <x v="0"/>
    <s v="Ground"/>
    <s v="NA"/>
    <s v="NA"/>
    <s v="NA"/>
    <s v="NA"/>
    <s v="NA"/>
    <s v="NA"/>
    <s v="NA"/>
    <s v="NA"/>
    <s v="NA"/>
    <s v="NA"/>
    <s v="NA"/>
    <s v="NA"/>
    <n v="0"/>
    <n v="0"/>
    <n v="0"/>
    <n v="0"/>
    <n v="0"/>
    <n v="0"/>
    <n v="0"/>
    <m/>
    <s v="Missed initial acquisition on film"/>
    <m/>
    <m/>
  </r>
  <r>
    <s v="DSCN4574"/>
    <s v="M2370822_7"/>
    <n v="7"/>
    <n v="1"/>
    <s v="M237"/>
    <d v="2019-08-22T00:00:00"/>
    <x v="0"/>
    <s v="Fall"/>
    <d v="1899-12-30T00:14:00"/>
    <s v="Overcast"/>
    <s v="WB/BS"/>
    <s v="Food handling"/>
    <s v="NA"/>
    <n v="1"/>
    <n v="0"/>
    <n v="0"/>
    <x v="0"/>
    <x v="0"/>
    <s v="Unknown"/>
    <s v="NA"/>
    <s v="NA"/>
    <s v="NA"/>
    <s v="NA"/>
    <s v="NA"/>
    <s v="NA"/>
    <s v="NA"/>
    <s v="NA"/>
    <s v="NA"/>
    <s v="NA"/>
    <s v="NA"/>
    <s v="NA"/>
    <n v="0"/>
    <n v="0"/>
    <n v="0"/>
    <n v="0"/>
    <n v="0"/>
    <n v="0"/>
    <n v="0"/>
    <m/>
    <s v="Missed initial acqusition"/>
    <m/>
    <m/>
  </r>
  <r>
    <s v="DSCN4579"/>
    <s v="AQ0822_1"/>
    <n v="1"/>
    <n v="1"/>
    <s v="Air Quality"/>
    <d v="2019-08-22T00:00:00"/>
    <x v="0"/>
    <s v="Fall"/>
    <d v="1899-12-30T00:28:00"/>
    <s v="Overcast"/>
    <s v="PL/PS"/>
    <s v="Foraging"/>
    <s v="NA"/>
    <s v="Unknown"/>
    <n v="0"/>
    <n v="0"/>
    <x v="3"/>
    <x v="2"/>
    <s v="NA"/>
    <s v="NA"/>
    <s v="NA"/>
    <s v="NA"/>
    <s v="NA"/>
    <s v="NA"/>
    <s v="NA"/>
    <s v="NA"/>
    <s v="NA"/>
    <s v="NA"/>
    <s v="NA"/>
    <s v="NA"/>
    <s v="NA"/>
    <n v="0"/>
    <n v="0"/>
    <n v="0"/>
    <n v="0"/>
    <n v="12"/>
    <n v="0"/>
    <n v="12"/>
    <m/>
    <m/>
    <m/>
    <m/>
  </r>
  <r>
    <s v="DSCN4585"/>
    <s v="AQ0822_6"/>
    <n v="6"/>
    <n v="1"/>
    <s v="Air Quality"/>
    <d v="2019-08-22T00:00:00"/>
    <x v="0"/>
    <s v="Fall"/>
    <d v="1899-12-30T00:50:00"/>
    <s v="Overcast"/>
    <s v="PG/GS"/>
    <s v="Foraging"/>
    <s v="NA"/>
    <s v="Unknown"/>
    <n v="0"/>
    <n v="0"/>
    <x v="3"/>
    <x v="2"/>
    <s v="NA"/>
    <s v="NA"/>
    <s v="NA"/>
    <s v="NA"/>
    <s v="NA"/>
    <s v="NA"/>
    <s v="NA"/>
    <s v="NA"/>
    <s v="NA"/>
    <s v="NA"/>
    <s v="NA"/>
    <s v="NA"/>
    <s v="NA"/>
    <n v="0"/>
    <n v="0"/>
    <n v="0"/>
    <n v="0"/>
    <n v="33"/>
    <n v="0"/>
    <n v="33"/>
    <m/>
    <m/>
    <m/>
    <m/>
  </r>
  <r>
    <s v="DSCN4589"/>
    <s v="AQ0822_7"/>
    <n v="7"/>
    <n v="1"/>
    <s v="Air Quality"/>
    <d v="2019-08-22T00:00:00"/>
    <x v="0"/>
    <s v="Fall"/>
    <d v="1899-12-30T00:43:00"/>
    <s v="Overcast"/>
    <s v="Unbanded"/>
    <s v="Foraging"/>
    <s v="Spruce"/>
    <s v="Unknown"/>
    <n v="0"/>
    <s v="Unknown"/>
    <x v="3"/>
    <x v="2"/>
    <s v="NA"/>
    <s v="NA"/>
    <s v="NA"/>
    <s v="NA"/>
    <s v="NA"/>
    <s v="NA"/>
    <s v="NA"/>
    <s v="NA"/>
    <s v="NA"/>
    <s v="NA"/>
    <s v="NA"/>
    <s v="NA"/>
    <s v="NA"/>
    <n v="0"/>
    <n v="10"/>
    <n v="0"/>
    <n v="10"/>
    <n v="0"/>
    <n v="0"/>
    <n v="10"/>
    <m/>
    <m/>
    <m/>
    <m/>
  </r>
  <r>
    <s v="DSCN4580"/>
    <s v="AQ0822_2"/>
    <n v="2"/>
    <n v="1"/>
    <s v="Air Quality"/>
    <d v="2019-08-22T00:00:00"/>
    <x v="0"/>
    <s v="Fall"/>
    <d v="1899-12-30T00:25:00"/>
    <s v="Overcast"/>
    <s v="PG/PS"/>
    <s v="Foraging and caching"/>
    <s v="Spruce"/>
    <n v="1"/>
    <n v="0"/>
    <n v="1"/>
    <x v="1"/>
    <x v="17"/>
    <s v="Ground"/>
    <s v="Exterior spruce foliage"/>
    <s v="Spruce"/>
    <s v="Exterior"/>
    <s v="Foliage"/>
    <m/>
    <n v="96"/>
    <n v="2"/>
    <n v="63.72128"/>
    <n v="148.96617000000001"/>
    <s v="NA"/>
    <s v="NA"/>
    <s v="NA"/>
    <n v="0"/>
    <n v="0"/>
    <n v="0"/>
    <n v="0"/>
    <n v="0"/>
    <n v="0"/>
    <n v="0"/>
    <m/>
    <s v="Missed initial acquisition "/>
    <m/>
    <m/>
  </r>
  <r>
    <s v="DSCN4581"/>
    <s v="AQ0822_3"/>
    <n v="3"/>
    <n v="1"/>
    <s v="Air Quality"/>
    <d v="2019-08-22T00:00:00"/>
    <x v="0"/>
    <s v="Fall"/>
    <d v="1899-12-30T01:07:00"/>
    <s v="Overcast"/>
    <s v="PG/GS"/>
    <s v="Foraging"/>
    <s v="Spruce"/>
    <n v="1"/>
    <n v="0"/>
    <n v="1"/>
    <x v="1"/>
    <x v="17"/>
    <s v="Ground"/>
    <s v="Exterior spruce on bark"/>
    <s v="Spruce"/>
    <s v="Exterior"/>
    <s v="None"/>
    <m/>
    <n v="260"/>
    <n v="8"/>
    <n v="63.72137"/>
    <n v="148.96625"/>
    <s v="NA"/>
    <s v="NA"/>
    <s v="NA"/>
    <n v="0"/>
    <n v="0"/>
    <n v="0"/>
    <n v="0"/>
    <n v="19"/>
    <n v="0"/>
    <n v="19"/>
    <m/>
    <m/>
    <m/>
    <m/>
  </r>
  <r>
    <s v="DSCN4575"/>
    <s v="M2370822_8"/>
    <n v="8"/>
    <n v="1"/>
    <s v="M237"/>
    <d v="2019-08-22T00:00:00"/>
    <x v="0"/>
    <s v="Fall"/>
    <d v="1899-12-30T00:38:00"/>
    <s v="Overcast"/>
    <s v="Unknown"/>
    <s v="Caching"/>
    <s v="Spruce"/>
    <n v="0"/>
    <n v="0"/>
    <n v="1"/>
    <x v="1"/>
    <x v="3"/>
    <s v="Unknown"/>
    <s v="Interior spruce foliage"/>
    <s v="Spruce"/>
    <s v="Interior"/>
    <s v="Foliage"/>
    <m/>
    <n v="96"/>
    <s v="Unknown"/>
    <n v="63.722659999999998"/>
    <n v="148.88942"/>
    <s v="NA"/>
    <s v="NA"/>
    <s v="NA"/>
    <n v="0"/>
    <n v="0"/>
    <n v="0"/>
    <n v="0"/>
    <n v="0"/>
    <n v="0"/>
    <n v="0"/>
    <m/>
    <m/>
    <m/>
    <m/>
  </r>
  <r>
    <s v="DSCN4575"/>
    <s v="M2370822_8"/>
    <n v="8"/>
    <n v="2"/>
    <s v="M237"/>
    <d v="2019-08-22T00:00:00"/>
    <x v="0"/>
    <s v="Fall"/>
    <d v="1899-12-30T00:38:00"/>
    <s v="Overcast"/>
    <s v="Unknown"/>
    <s v="Caching"/>
    <s v="Spruce"/>
    <n v="1"/>
    <n v="0"/>
    <n v="1"/>
    <x v="1"/>
    <x v="3"/>
    <s v="Ground"/>
    <s v="Interior spruce foliage"/>
    <s v="Spruce"/>
    <s v="Interior"/>
    <s v="Foliage"/>
    <m/>
    <n v="240"/>
    <n v="6"/>
    <n v="63.722819999999999"/>
    <n v="148.88938999999999"/>
    <s v="NA"/>
    <s v="NA"/>
    <s v="NA"/>
    <n v="0"/>
    <n v="0"/>
    <n v="0"/>
    <n v="0"/>
    <n v="6"/>
    <n v="0"/>
    <n v="6"/>
    <m/>
    <m/>
    <m/>
    <m/>
  </r>
  <r>
    <s v="DSCN4594"/>
    <s v="AQ0822_10"/>
    <n v="10"/>
    <n v="1"/>
    <s v="Air Quality"/>
    <d v="2019-08-22T00:00:00"/>
    <x v="0"/>
    <s v="Fall"/>
    <d v="1899-12-30T00:45:00"/>
    <s v="Overcast"/>
    <s v="Unbanded"/>
    <s v="Foraging and caching"/>
    <s v="Spruce"/>
    <n v="1"/>
    <n v="0"/>
    <n v="1"/>
    <x v="1"/>
    <x v="10"/>
    <s v="Tree"/>
    <s v="Exterior spruce foliage"/>
    <s v="Spruce"/>
    <s v="Exterior"/>
    <s v="Foliage"/>
    <m/>
    <n v="339"/>
    <n v="13"/>
    <n v="63.723280000000003"/>
    <n v="148.96852000000001"/>
    <s v="NA"/>
    <s v="NA"/>
    <s v="NA"/>
    <n v="0"/>
    <n v="0"/>
    <n v="0"/>
    <n v="0"/>
    <n v="5"/>
    <n v="0"/>
    <n v="5"/>
    <m/>
    <s v="Eating from   squirrel cache. "/>
    <m/>
    <m/>
  </r>
  <r>
    <s v="DSCN4593"/>
    <s v="AQ0822_9"/>
    <n v="9"/>
    <n v="1"/>
    <s v="Air Quality"/>
    <d v="2019-08-22T00:00:00"/>
    <x v="0"/>
    <s v="Fall"/>
    <d v="1899-12-30T00:31:00"/>
    <s v="Overcast"/>
    <s v="Unbanded"/>
    <s v="Foraging and caching"/>
    <s v="Spruce"/>
    <n v="1"/>
    <n v="0"/>
    <n v="1"/>
    <x v="1"/>
    <x v="10"/>
    <s v="Ground"/>
    <s v="Interior spruce foliage"/>
    <s v="Spruce"/>
    <s v="Interior"/>
    <s v="Foliage"/>
    <m/>
    <n v="57"/>
    <n v="8"/>
    <n v="63.723329999999997"/>
    <n v="148.96884"/>
    <s v="NA"/>
    <s v="NA"/>
    <s v="NA"/>
    <n v="0"/>
    <n v="0"/>
    <n v="0"/>
    <n v="0"/>
    <n v="13"/>
    <n v="0"/>
    <n v="13"/>
    <m/>
    <m/>
    <m/>
    <m/>
  </r>
  <r>
    <s v="DSCN4563"/>
    <s v="M2370822_1"/>
    <n v="1"/>
    <n v="1"/>
    <s v="M237"/>
    <d v="2019-08-22T00:00:00"/>
    <x v="0"/>
    <s v="Fall"/>
    <d v="1899-12-30T00:44:00"/>
    <s v="Overcast"/>
    <s v="WB/BS"/>
    <s v="Caching and food handling "/>
    <s v="Spruce"/>
    <n v="1"/>
    <n v="0"/>
    <n v="1"/>
    <x v="1"/>
    <x v="3"/>
    <s v="Unknown"/>
    <s v="Interior spruce on bark"/>
    <s v="Spruce"/>
    <s v="Interior"/>
    <s v="Unknown"/>
    <m/>
    <n v="249"/>
    <s v="Unknown"/>
    <n v="63.724719999999998"/>
    <n v="148.88774000000001"/>
    <s v="NA"/>
    <s v="NA"/>
    <s v="NA"/>
    <n v="0"/>
    <n v="0"/>
    <n v="0"/>
    <n v="0"/>
    <n v="0"/>
    <n v="0"/>
    <n v="0"/>
    <m/>
    <s v="Has mushroom bit in tree and caching into smaller pieces.  "/>
    <m/>
    <m/>
  </r>
  <r>
    <s v="DSCN4569"/>
    <s v="M2370822_4"/>
    <n v="4"/>
    <n v="1"/>
    <s v="M237"/>
    <d v="2019-08-22T00:00:00"/>
    <x v="0"/>
    <s v="Fall"/>
    <d v="1899-12-30T00:38:00"/>
    <s v="Overcast"/>
    <s v="WB/BS"/>
    <s v="Foraging"/>
    <s v="NA"/>
    <n v="1"/>
    <n v="0"/>
    <n v="0"/>
    <x v="1"/>
    <x v="10"/>
    <s v="Ground"/>
    <s v="NA"/>
    <s v="NA"/>
    <s v="NA"/>
    <s v="NA"/>
    <s v="NA"/>
    <s v="NA"/>
    <s v="NA"/>
    <s v="NA"/>
    <s v="NA"/>
    <s v="NA"/>
    <s v="NA"/>
    <s v="NA"/>
    <n v="0"/>
    <n v="0"/>
    <n v="0"/>
    <n v="0"/>
    <n v="30"/>
    <n v="0"/>
    <n v="30"/>
    <m/>
    <m/>
    <m/>
    <m/>
  </r>
  <r>
    <s v="DSCN4580"/>
    <s v="AQ0822_2"/>
    <n v="2"/>
    <n v="1"/>
    <s v="Air Quality"/>
    <d v="2019-08-22T00:00:00"/>
    <x v="0"/>
    <s v="Fall"/>
    <d v="1899-12-30T00:25:00"/>
    <s v="Overcast"/>
    <s v="PG/PS"/>
    <s v="Foraging and caching"/>
    <s v="Spruce"/>
    <n v="0"/>
    <n v="0"/>
    <n v="0"/>
    <x v="1"/>
    <x v="17"/>
    <s v="Ground"/>
    <s v="NA"/>
    <s v="NA"/>
    <s v="NA"/>
    <s v="NA"/>
    <s v="NA"/>
    <s v="NA"/>
    <s v="NA"/>
    <s v="NA"/>
    <s v="NA"/>
    <s v="NA"/>
    <s v="NA"/>
    <s v="NA"/>
    <n v="0"/>
    <n v="0"/>
    <n v="0"/>
    <n v="0"/>
    <n v="4"/>
    <n v="0"/>
    <n v="4"/>
    <m/>
    <s v="Missed initial acquisition, counted later acqusition in next video.   "/>
    <m/>
    <m/>
  </r>
  <r>
    <s v="DSCN4584"/>
    <s v="AQ0822_5"/>
    <n v="5"/>
    <n v="1"/>
    <s v="Air Quality"/>
    <d v="2019-08-22T00:00:00"/>
    <x v="0"/>
    <s v="Fall"/>
    <d v="1899-12-30T00:24:00"/>
    <s v="Overcast"/>
    <s v="PG/GS"/>
    <s v="Caching"/>
    <s v="Spruce"/>
    <n v="0"/>
    <n v="0"/>
    <n v="1"/>
    <x v="2"/>
    <x v="18"/>
    <s v="Ground"/>
    <s v="Spruce trunk under bark"/>
    <s v="Spruce"/>
    <s v="Trunk"/>
    <s v="Bark"/>
    <m/>
    <n v="337"/>
    <n v="10"/>
    <n v="63.721580000000003"/>
    <n v="148.96747999999999"/>
    <s v="NA"/>
    <s v="NA"/>
    <s v="NA"/>
    <n v="0"/>
    <n v="0"/>
    <n v="0"/>
    <n v="0"/>
    <n v="0"/>
    <n v="0"/>
    <n v="0"/>
    <m/>
    <m/>
    <m/>
    <m/>
  </r>
  <r>
    <s v="DSCN4583"/>
    <s v="AQ0822_4"/>
    <n v="4"/>
    <n v="1"/>
    <s v="Air Quality"/>
    <d v="2019-08-22T00:00:00"/>
    <x v="0"/>
    <s v="Fall"/>
    <d v="1899-12-30T00:30:00"/>
    <s v="Overcast"/>
    <s v="PG/GS"/>
    <s v="Foraging"/>
    <s v="NA"/>
    <n v="1"/>
    <n v="0"/>
    <n v="0"/>
    <x v="2"/>
    <x v="18"/>
    <s v="Ground"/>
    <s v="NA"/>
    <s v="NA"/>
    <s v="NA"/>
    <s v="NA"/>
    <s v="NA"/>
    <s v="NA"/>
    <s v="NA"/>
    <s v="NA"/>
    <s v="NA"/>
    <s v="NA"/>
    <s v="NA"/>
    <s v="NA"/>
    <n v="0"/>
    <n v="0"/>
    <n v="0"/>
    <n v="0"/>
    <n v="20"/>
    <n v="0"/>
    <n v="20"/>
    <m/>
    <m/>
    <m/>
    <m/>
  </r>
  <r>
    <s v="DSCN4603"/>
    <s v="MC0823_4"/>
    <n v="4"/>
    <n v="1"/>
    <s v="Merc"/>
    <d v="2019-08-23T00:00:00"/>
    <x v="0"/>
    <s v="Fall"/>
    <d v="1899-12-30T00:32:00"/>
    <s v="Overcast"/>
    <s v="Unbanded"/>
    <s v="Foraging and caching"/>
    <s v="Spruce"/>
    <n v="1"/>
    <n v="1"/>
    <n v="1"/>
    <x v="0"/>
    <x v="0"/>
    <s v="Spruce trunk"/>
    <s v="Exterior spruce foliage"/>
    <s v="Spruce"/>
    <s v="Exterior"/>
    <s v="Foliage"/>
    <m/>
    <n v="49"/>
    <n v="1"/>
    <n v="63.731850000000001"/>
    <n v="148.89995999999999"/>
    <s v="NA"/>
    <s v="NA"/>
    <s v="NA"/>
    <n v="4"/>
    <n v="0"/>
    <n v="4"/>
    <n v="0"/>
    <n v="0"/>
    <n v="0"/>
    <n v="4"/>
    <m/>
    <m/>
    <m/>
    <m/>
  </r>
  <r>
    <s v="DSCN4600"/>
    <s v="MC0823_2"/>
    <n v="2"/>
    <n v="1"/>
    <s v="Merc"/>
    <d v="2019-08-23T00:00:00"/>
    <x v="0"/>
    <s v="Fall"/>
    <d v="1899-12-30T00:09:00"/>
    <s v="Overcast"/>
    <s v="OW/OS"/>
    <s v="Caching"/>
    <s v="Spruce"/>
    <n v="0"/>
    <n v="0"/>
    <n v="1"/>
    <x v="0"/>
    <x v="0"/>
    <s v="Unknown"/>
    <s v="Exterior aspen bark"/>
    <s v="Aspen"/>
    <s v="Exterior"/>
    <s v="Bark"/>
    <m/>
    <n v="125"/>
    <s v="Unknown"/>
    <n v="63.732019999999999"/>
    <n v="148.90084999999999"/>
    <s v="NA"/>
    <s v="NA"/>
    <s v="NA"/>
    <n v="0"/>
    <n v="0"/>
    <n v="0"/>
    <n v="0"/>
    <n v="0"/>
    <n v="0"/>
    <n v="0"/>
    <m/>
    <m/>
    <m/>
    <m/>
  </r>
  <r>
    <s v="DSCN4595"/>
    <s v="MC0823_1"/>
    <n v="1"/>
    <n v="1"/>
    <s v="Merc"/>
    <d v="2019-08-23T00:00:00"/>
    <x v="0"/>
    <s v="Fall"/>
    <d v="1899-12-30T00:43:00"/>
    <s v="Overcast"/>
    <s v="Unknown"/>
    <s v="Caching"/>
    <s v="Spruce"/>
    <n v="0"/>
    <n v="0"/>
    <n v="1"/>
    <x v="0"/>
    <x v="0"/>
    <s v="Unknown"/>
    <s v="Interior spruce under bark"/>
    <s v="Spruce"/>
    <s v="Interior"/>
    <s v="Bark"/>
    <m/>
    <n v="194"/>
    <s v="Unknown"/>
    <n v="63.732770000000002"/>
    <n v="148.89841000000001"/>
    <s v="NA"/>
    <s v="NA"/>
    <s v="NA"/>
    <n v="0"/>
    <n v="0"/>
    <n v="0"/>
    <n v="0"/>
    <n v="0"/>
    <n v="0"/>
    <n v="0"/>
    <m/>
    <m/>
    <m/>
    <m/>
  </r>
  <r>
    <s v="DSCN4608"/>
    <s v="MC0823_6"/>
    <n v="6"/>
    <n v="1"/>
    <s v="Merc"/>
    <d v="2019-08-23T00:00:00"/>
    <x v="0"/>
    <s v="Fall"/>
    <d v="1899-12-30T00:19:00"/>
    <s v="Overcast"/>
    <s v="Unbanded"/>
    <s v="Foraging"/>
    <s v="Spruce"/>
    <n v="1"/>
    <s v="Unknown"/>
    <n v="0"/>
    <x v="0"/>
    <x v="0"/>
    <s v="Exterior spruce foliage"/>
    <s v="NA"/>
    <s v="NA"/>
    <s v="NA"/>
    <s v="NA"/>
    <s v="NA"/>
    <s v="NA"/>
    <s v="NA"/>
    <s v="NA"/>
    <s v="NA"/>
    <s v="NA"/>
    <s v="NA"/>
    <s v="NA"/>
    <n v="0"/>
    <n v="4"/>
    <n v="0"/>
    <n v="4"/>
    <n v="0"/>
    <n v="0"/>
    <n v="4"/>
    <m/>
    <m/>
    <m/>
    <m/>
  </r>
  <r>
    <s v="DSCN4604"/>
    <s v="MC0823_5"/>
    <n v="5"/>
    <n v="1"/>
    <s v="Merc"/>
    <d v="2019-08-23T00:00:00"/>
    <x v="0"/>
    <s v="Fall"/>
    <d v="1899-12-30T00:16:00"/>
    <s v="Overcast"/>
    <s v="Unbanded"/>
    <s v="Foraging"/>
    <s v="NA"/>
    <n v="1"/>
    <n v="0"/>
    <n v="0"/>
    <x v="7"/>
    <x v="19"/>
    <s v="Ground"/>
    <s v="NA"/>
    <s v="NA"/>
    <s v="NA"/>
    <s v="NA"/>
    <s v="NA"/>
    <s v="NA"/>
    <s v="NA"/>
    <s v="NA"/>
    <s v="NA"/>
    <s v="NA"/>
    <s v="NA"/>
    <s v="NA"/>
    <n v="0"/>
    <n v="0"/>
    <n v="0"/>
    <n v="0"/>
    <n v="16"/>
    <n v="0"/>
    <n v="16"/>
    <m/>
    <m/>
    <m/>
    <m/>
  </r>
  <r>
    <s v="DSCN4601"/>
    <s v="MC0823_3"/>
    <n v="3"/>
    <n v="1"/>
    <s v="Merc"/>
    <d v="2019-08-23T00:00:00"/>
    <x v="0"/>
    <s v="Fall"/>
    <d v="1899-12-30T00:14:00"/>
    <s v="Overcast"/>
    <s v="OW/OS"/>
    <s v="Foraging"/>
    <s v="Spruce"/>
    <n v="0"/>
    <n v="0"/>
    <n v="0"/>
    <x v="3"/>
    <x v="2"/>
    <s v="NA"/>
    <s v="NA"/>
    <s v="NA"/>
    <s v="NA"/>
    <s v="NA"/>
    <s v="NA"/>
    <s v="NA"/>
    <s v="NA"/>
    <s v="NA"/>
    <s v="NA"/>
    <s v="NA"/>
    <s v="NA"/>
    <s v="NA"/>
    <n v="0"/>
    <n v="0"/>
    <n v="0"/>
    <n v="0"/>
    <n v="0"/>
    <n v="14"/>
    <n v="14"/>
    <m/>
    <m/>
    <m/>
    <m/>
  </r>
  <r>
    <s v="DSCN4613"/>
    <s v="BU0824_1"/>
    <n v="1"/>
    <n v="1"/>
    <s v="BU"/>
    <d v="2019-08-24T00:00:00"/>
    <x v="0"/>
    <s v="Fall"/>
    <d v="1899-12-30T00:32:00"/>
    <s v="Partly cloudy"/>
    <s v="RR/OS"/>
    <s v="Foraging and caching"/>
    <s v="Spruce"/>
    <n v="1"/>
    <n v="0"/>
    <n v="1"/>
    <x v="0"/>
    <x v="0"/>
    <s v="Ground"/>
    <s v="Interior spruce on bark"/>
    <s v="Spruce"/>
    <s v="Interior"/>
    <s v="Bark"/>
    <m/>
    <n v="61"/>
    <s v="Unknown"/>
    <n v="63.722810000000003"/>
    <n v="148.95544000000001"/>
    <s v="NA"/>
    <s v="NA"/>
    <s v="NA"/>
    <n v="0"/>
    <n v="0"/>
    <n v="0"/>
    <n v="0"/>
    <n v="10"/>
    <n v="0"/>
    <n v="10"/>
    <m/>
    <m/>
    <m/>
    <m/>
  </r>
  <r>
    <s v="DSCN4614"/>
    <s v="BU0824_2"/>
    <n v="2"/>
    <n v="1"/>
    <s v="BU"/>
    <d v="2019-08-24T00:00:00"/>
    <x v="0"/>
    <s v="Fall"/>
    <d v="1899-12-30T01:05:00"/>
    <s v="Partly cloudy"/>
    <s v="RR/OS"/>
    <s v="Caching"/>
    <s v="Spruce"/>
    <n v="1"/>
    <n v="0"/>
    <n v="1"/>
    <x v="0"/>
    <x v="0"/>
    <s v="Exterior spruce"/>
    <s v="Unknown"/>
    <s v="Spruce"/>
    <s v="Unknown"/>
    <s v="Unknown"/>
    <m/>
    <n v="27"/>
    <s v="Unknown"/>
    <n v="63.722839999999998"/>
    <n v="148.95546999999999"/>
    <s v="NA"/>
    <s v="NA"/>
    <s v="NA"/>
    <n v="0"/>
    <n v="0"/>
    <n v="0"/>
    <n v="0"/>
    <n v="0"/>
    <n v="0"/>
    <n v="0"/>
    <m/>
    <s v="Missed acquisition on camera"/>
    <m/>
    <m/>
  </r>
  <r>
    <s v="DSCN4611"/>
    <s v="M4S0824_1"/>
    <n v="2"/>
    <n v="1"/>
    <s v="Mile 4 Roadside"/>
    <d v="2019-08-24T00:00:00"/>
    <x v="0"/>
    <s v="Fall"/>
    <m/>
    <s v="Overcast"/>
    <s v="O/RS"/>
    <s v="Foraging and caching"/>
    <s v="Spruce"/>
    <n v="1"/>
    <s v="Unknown"/>
    <n v="1"/>
    <x v="0"/>
    <x v="0"/>
    <s v="Exterior spruce bark/lichen"/>
    <s v="Exterior spruce on lichen"/>
    <s v="Spruce"/>
    <s v="Exterior"/>
    <s v="Lichen"/>
    <m/>
    <n v="54"/>
    <n v="1"/>
    <n v="63.725929999999998"/>
    <n v="148.98235"/>
    <s v="NA"/>
    <s v="NA"/>
    <s v="NA"/>
    <n v="11"/>
    <n v="0"/>
    <n v="0"/>
    <n v="11"/>
    <n v="0"/>
    <n v="0"/>
    <n v="11"/>
    <m/>
    <m/>
    <m/>
    <m/>
  </r>
  <r>
    <s v="DSCN4609"/>
    <s v="M4R0824_1"/>
    <n v="1"/>
    <n v="1"/>
    <s v="Mile 4 Roadside"/>
    <d v="2019-08-24T00:00:00"/>
    <x v="0"/>
    <s v="Fall"/>
    <d v="1899-12-30T00:26:00"/>
    <s v="Overcast"/>
    <s v="Unknown"/>
    <s v="Foraging"/>
    <s v="Spruce"/>
    <n v="1"/>
    <n v="0"/>
    <n v="0"/>
    <x v="0"/>
    <x v="0"/>
    <s v="Exterior spruce foliage"/>
    <s v="NA"/>
    <s v="NA"/>
    <s v="NA"/>
    <s v="NA"/>
    <s v="NA"/>
    <s v="NA"/>
    <s v="NA"/>
    <s v="NA"/>
    <s v="NA"/>
    <s v="NA"/>
    <s v="NA"/>
    <s v="NA"/>
    <n v="0"/>
    <n v="14"/>
    <n v="0"/>
    <n v="14"/>
    <n v="0"/>
    <n v="0"/>
    <n v="14"/>
    <m/>
    <m/>
    <m/>
    <m/>
  </r>
  <r>
    <s v="DSCN4614"/>
    <s v="BU0824_2"/>
    <n v="2"/>
    <n v="2"/>
    <s v="BU"/>
    <d v="2019-08-24T00:00:00"/>
    <x v="0"/>
    <s v="Fall"/>
    <d v="1899-12-30T01:05:00"/>
    <s v="Partly cloudy"/>
    <s v="RR/OS"/>
    <s v="Foraging and caching"/>
    <s v="Spruce"/>
    <n v="1"/>
    <n v="0"/>
    <n v="1"/>
    <x v="5"/>
    <x v="15"/>
    <s v="Ground"/>
    <s v="Interior spruce in lichen"/>
    <s v="Spruce"/>
    <s v="Interior"/>
    <s v="Lichen"/>
    <m/>
    <n v="343"/>
    <n v="3"/>
    <n v="63.722969999999997"/>
    <n v="148.95541"/>
    <s v="NA"/>
    <s v="NA"/>
    <s v="NA"/>
    <n v="0"/>
    <n v="0"/>
    <n v="0"/>
    <n v="0"/>
    <n v="13"/>
    <n v="0"/>
    <n v="13"/>
    <m/>
    <m/>
    <m/>
    <m/>
  </r>
  <r>
    <s v="DSCN4614"/>
    <s v="BU0824_2"/>
    <n v="2"/>
    <n v="3"/>
    <s v="BU"/>
    <d v="2019-08-24T00:00:00"/>
    <x v="0"/>
    <s v="Fall"/>
    <d v="1899-12-30T01:05:00"/>
    <s v="Partly cloudy"/>
    <s v="RR/OS"/>
    <s v="Foraging and caching"/>
    <s v="Spruce"/>
    <n v="1"/>
    <n v="0"/>
    <n v="1"/>
    <x v="5"/>
    <x v="15"/>
    <s v="Ground"/>
    <s v="Exterior spruce on bark"/>
    <s v="Spruce"/>
    <s v="Exterior"/>
    <s v="Unknown"/>
    <m/>
    <n v="306"/>
    <n v="5"/>
    <n v="63.722999999999999"/>
    <n v="148.95535000000001"/>
    <s v="NA"/>
    <s v="NA"/>
    <s v="NA"/>
    <n v="0"/>
    <n v="0"/>
    <n v="0"/>
    <n v="0"/>
    <n v="9"/>
    <n v="0"/>
    <n v="9"/>
    <m/>
    <s v="Deployed camera on cache"/>
    <m/>
    <m/>
  </r>
  <r>
    <s v="DSCN4615"/>
    <s v="CC0826_1"/>
    <n v="1"/>
    <n v="1"/>
    <s v="Ccamp"/>
    <d v="2019-08-26T00:00:00"/>
    <x v="0"/>
    <s v="Fall"/>
    <d v="1899-12-30T01:05:00"/>
    <s v="Partly sunny"/>
    <s v="GL/RS"/>
    <s v="Foraging"/>
    <s v="Spruce"/>
    <n v="1"/>
    <n v="0"/>
    <n v="0"/>
    <x v="0"/>
    <x v="0"/>
    <s v="Spruce trunk"/>
    <s v="NA"/>
    <s v="NA"/>
    <s v="NA"/>
    <s v="NA"/>
    <s v="NA"/>
    <s v="NA"/>
    <s v="NA"/>
    <s v="NA"/>
    <s v="NA"/>
    <s v="NA"/>
    <s v="NA"/>
    <s v="NA"/>
    <n v="16"/>
    <n v="0"/>
    <n v="16"/>
    <n v="0"/>
    <n v="51"/>
    <n v="0"/>
    <n v="67"/>
    <m/>
    <m/>
    <m/>
    <m/>
  </r>
  <r>
    <s v="DSCN4619"/>
    <s v="CC0826_2"/>
    <n v="2"/>
    <n v="1"/>
    <s v="Ccamp"/>
    <d v="2019-08-26T00:00:00"/>
    <x v="0"/>
    <s v="Fall"/>
    <d v="1899-12-30T00:20:00"/>
    <s v="Partly sunny"/>
    <s v="GL/RS"/>
    <s v="Foraging"/>
    <s v="NA"/>
    <n v="1"/>
    <n v="0"/>
    <n v="0"/>
    <x v="0"/>
    <x v="0"/>
    <s v="Ground"/>
    <s v="NA"/>
    <s v="NA"/>
    <s v="NA"/>
    <s v="NA"/>
    <s v="NA"/>
    <s v="NA"/>
    <s v="NA"/>
    <s v="NA"/>
    <s v="NA"/>
    <s v="NA"/>
    <s v="NA"/>
    <s v="NA"/>
    <n v="0"/>
    <n v="0"/>
    <n v="0"/>
    <n v="0"/>
    <n v="20"/>
    <n v="0"/>
    <n v="20"/>
    <m/>
    <m/>
    <m/>
    <m/>
  </r>
  <r>
    <s v="DSCN4620"/>
    <s v="CC0826_3"/>
    <n v="3"/>
    <n v="1"/>
    <s v="Ccamp"/>
    <d v="2019-08-26T00:00:00"/>
    <x v="0"/>
    <s v="Fall"/>
    <d v="1899-12-30T01:21:00"/>
    <s v="Partly sunny"/>
    <s v="GL/RS"/>
    <s v="Foraging"/>
    <s v="NA"/>
    <n v="1"/>
    <n v="0"/>
    <n v="0"/>
    <x v="0"/>
    <x v="0"/>
    <s v="Ground"/>
    <s v="NA"/>
    <s v="NA"/>
    <s v="NA"/>
    <s v="NA"/>
    <s v="NA"/>
    <s v="NA"/>
    <s v="NA"/>
    <s v="NA"/>
    <s v="NA"/>
    <s v="NA"/>
    <s v="NA"/>
    <s v="NA"/>
    <n v="0"/>
    <n v="0"/>
    <n v="0"/>
    <n v="0"/>
    <n v="77"/>
    <n v="0"/>
    <n v="77"/>
    <m/>
    <m/>
    <m/>
    <m/>
  </r>
  <r>
    <s v="DSCN4622"/>
    <s v="M2370827_1"/>
    <n v="1"/>
    <n v="1"/>
    <s v="M237"/>
    <d v="2019-08-27T00:00:00"/>
    <x v="0"/>
    <s v="Fall"/>
    <d v="1899-12-30T00:44:00"/>
    <s v="Overcast"/>
    <s v="WB/BS"/>
    <s v="Food handling, caching"/>
    <s v="Spruce"/>
    <n v="1"/>
    <n v="0"/>
    <n v="1"/>
    <x v="0"/>
    <x v="0"/>
    <s v="Unknown"/>
    <s v="Interior spruce on bark"/>
    <s v="Spruce"/>
    <s v="Interior"/>
    <s v="Bark"/>
    <m/>
    <n v="19"/>
    <s v="Unknown"/>
    <n v="63.723489999999998"/>
    <n v="148.88754"/>
    <s v="NA"/>
    <s v="NA"/>
    <s v="NA"/>
    <n v="0"/>
    <n v="0"/>
    <n v="0"/>
    <n v="0"/>
    <n v="0"/>
    <n v="0"/>
    <n v="0"/>
    <m/>
    <s v="Missed initial acquisition "/>
    <m/>
    <m/>
  </r>
  <r>
    <s v="DSCN4623"/>
    <s v="M2370827_2"/>
    <n v="2"/>
    <n v="1"/>
    <s v="M237"/>
    <d v="2019-08-27T00:00:00"/>
    <x v="0"/>
    <s v="Fall"/>
    <d v="1899-12-30T00:25:00"/>
    <s v="Overcast"/>
    <s v="WB/BS"/>
    <s v="Caching"/>
    <s v="Spruce"/>
    <n v="0"/>
    <n v="0"/>
    <n v="1"/>
    <x v="0"/>
    <x v="0"/>
    <s v="Unknown"/>
    <s v="Spruce trunk"/>
    <s v="Spruce"/>
    <s v="Trunk"/>
    <s v="Unknown"/>
    <m/>
    <n v="157"/>
    <m/>
    <n v="63.723489999999998"/>
    <n v="148.88754"/>
    <s v="NA"/>
    <s v="NA"/>
    <s v="NA"/>
    <n v="0"/>
    <n v="0"/>
    <n v="0"/>
    <n v="0"/>
    <n v="0"/>
    <n v="0"/>
    <n v="0"/>
    <m/>
    <m/>
    <m/>
    <m/>
  </r>
  <r>
    <s v="DSCN4623"/>
    <s v="M2370827_2"/>
    <n v="2"/>
    <n v="2"/>
    <s v="M237"/>
    <d v="2019-08-27T00:00:00"/>
    <x v="0"/>
    <s v="Fall"/>
    <d v="1899-12-30T00:25:00"/>
    <s v="Overcast"/>
    <s v="WB/BS"/>
    <s v="Caching"/>
    <s v="Spruce"/>
    <n v="0"/>
    <n v="0"/>
    <n v="1"/>
    <x v="0"/>
    <x v="0"/>
    <s v="Unknown"/>
    <s v="Spruce trunk"/>
    <s v="Spruce"/>
    <s v="Trunk"/>
    <s v="Unknown"/>
    <m/>
    <n v="309"/>
    <m/>
    <n v="63.723489999999998"/>
    <n v="148.88757000000001"/>
    <s v="NA"/>
    <s v="NA"/>
    <s v="NA"/>
    <n v="0"/>
    <n v="0"/>
    <n v="0"/>
    <n v="0"/>
    <n v="0"/>
    <n v="0"/>
    <n v="0"/>
    <m/>
    <s v="Same food as previous video"/>
    <m/>
    <m/>
  </r>
  <r>
    <s v="DSCN4625"/>
    <s v="M2370827_4"/>
    <n v="4"/>
    <n v="1"/>
    <s v="M237"/>
    <d v="2019-08-27T00:00:00"/>
    <x v="0"/>
    <s v="Fall"/>
    <d v="1899-12-30T00:27:00"/>
    <s v="Overcast"/>
    <s v="WB/BS"/>
    <s v="Caching"/>
    <s v="Spruce"/>
    <n v="0"/>
    <n v="0"/>
    <n v="1"/>
    <x v="0"/>
    <x v="0"/>
    <s v="Unknown"/>
    <s v="Spruce trunk"/>
    <s v="Spruce"/>
    <s v="Trunk"/>
    <s v="Unknown"/>
    <m/>
    <n v="70"/>
    <s v="Unknown"/>
    <n v="63.723500000000001"/>
    <n v="148.88756000000001"/>
    <s v="NA"/>
    <s v="NA"/>
    <s v="NA"/>
    <n v="0"/>
    <n v="0"/>
    <n v="0"/>
    <n v="0"/>
    <n v="0"/>
    <n v="0"/>
    <n v="0"/>
    <m/>
    <s v="same food as previous video"/>
    <m/>
    <m/>
  </r>
  <r>
    <s v="DSCN4632"/>
    <s v="M2370827_7"/>
    <n v="7"/>
    <n v="1"/>
    <s v="M237"/>
    <d v="2019-08-27T00:00:00"/>
    <x v="0"/>
    <s v="Fall"/>
    <d v="1899-12-30T00:26:00"/>
    <s v="Overcast"/>
    <s v="WB/BS"/>
    <s v="Caching"/>
    <s v="Spruce"/>
    <n v="0"/>
    <n v="0"/>
    <n v="1"/>
    <x v="0"/>
    <x v="0"/>
    <s v="Unknown"/>
    <s v="Exterior spruce foliage"/>
    <s v="Spruce"/>
    <s v="Exterior"/>
    <s v="Foliage"/>
    <m/>
    <n v="156"/>
    <s v="Unknown"/>
    <n v="63.724739999999997"/>
    <n v="148.89146"/>
    <s v="NA"/>
    <s v="NA"/>
    <s v="NA"/>
    <n v="0"/>
    <n v="0"/>
    <n v="0"/>
    <n v="0"/>
    <n v="0"/>
    <n v="0"/>
    <n v="0"/>
    <m/>
    <m/>
    <m/>
    <m/>
  </r>
  <r>
    <s v="DSCN4632"/>
    <s v="M2370827_7"/>
    <n v="7"/>
    <n v="2"/>
    <s v="M237"/>
    <d v="2019-08-27T00:00:00"/>
    <x v="0"/>
    <s v="Fall"/>
    <d v="1899-12-30T00:26:00"/>
    <s v="Overcast"/>
    <s v="WB/BS"/>
    <s v="Foraging"/>
    <s v="Spruce"/>
    <n v="1"/>
    <s v="Unknown"/>
    <n v="0"/>
    <x v="0"/>
    <x v="0"/>
    <s v="Exterior spruce foliage"/>
    <s v="Exterior spruce foliage"/>
    <s v="NA"/>
    <s v="NA"/>
    <s v="NA"/>
    <s v="NA"/>
    <s v="NA"/>
    <s v="NA"/>
    <s v="NA"/>
    <s v="NA"/>
    <s v="NA"/>
    <s v="NA"/>
    <s v="NA"/>
    <n v="0"/>
    <n v="15"/>
    <n v="0"/>
    <n v="15"/>
    <n v="0"/>
    <n v="0"/>
    <n v="15"/>
    <m/>
    <m/>
    <m/>
    <m/>
  </r>
  <r>
    <s v="DSCN4640"/>
    <s v="M2370827_10"/>
    <n v="10"/>
    <n v="1"/>
    <s v="M237"/>
    <d v="2019-08-27T00:00:00"/>
    <x v="0"/>
    <s v="Fall"/>
    <d v="1899-12-30T01:03:00"/>
    <s v="Overcast"/>
    <s v="WB/BS"/>
    <s v="Foraging and food handling"/>
    <s v="NA"/>
    <n v="1"/>
    <s v="Unknown"/>
    <n v="0"/>
    <x v="0"/>
    <x v="0"/>
    <s v="Interior spruce bark"/>
    <s v="NA"/>
    <s v="NA"/>
    <s v="NA"/>
    <s v="NA"/>
    <s v="NA"/>
    <s v="NA"/>
    <s v="NA"/>
    <s v="NA"/>
    <s v="NA"/>
    <s v="NA"/>
    <s v="NA"/>
    <s v="NA"/>
    <n v="51"/>
    <n v="0"/>
    <n v="51"/>
    <n v="0"/>
    <n v="0"/>
    <n v="0"/>
    <n v="51"/>
    <s v="Probing"/>
    <m/>
    <n v="2"/>
    <m/>
  </r>
  <r>
    <s v="DSCN4624"/>
    <s v="M2370827_3"/>
    <n v="3"/>
    <n v="1"/>
    <s v="M237"/>
    <d v="2019-08-27T00:00:00"/>
    <x v="0"/>
    <s v="Fall"/>
    <d v="1899-12-30T00:11:00"/>
    <s v="Overcast"/>
    <s v="WB/BS"/>
    <s v="Food handling"/>
    <s v="NA"/>
    <n v="0"/>
    <n v="0"/>
    <n v="0"/>
    <x v="3"/>
    <x v="2"/>
    <s v="NA"/>
    <s v="NA"/>
    <s v="NA"/>
    <s v="NA"/>
    <s v="NA"/>
    <s v="NA"/>
    <s v="NA"/>
    <s v="NA"/>
    <s v="NA"/>
    <s v="NA"/>
    <s v="NA"/>
    <s v="NA"/>
    <s v="NA"/>
    <n v="0"/>
    <n v="0"/>
    <n v="0"/>
    <n v="0"/>
    <n v="0"/>
    <n v="0"/>
    <n v="0"/>
    <m/>
    <s v="Same food as previous video"/>
    <m/>
    <m/>
  </r>
  <r>
    <s v="DSCN4634"/>
    <s v="M2370827_8"/>
    <n v="8"/>
    <n v="1"/>
    <s v="M237"/>
    <d v="2019-08-27T00:00:00"/>
    <x v="0"/>
    <s v="Fall"/>
    <d v="1899-12-30T00:17:00"/>
    <s v="Overcast"/>
    <s v="Unbanded"/>
    <s v="Foraging"/>
    <s v="Spruce"/>
    <s v="Unknown"/>
    <s v="Unknown"/>
    <s v="Unknown"/>
    <x v="3"/>
    <x v="2"/>
    <s v="NA"/>
    <s v="NA"/>
    <s v="NA"/>
    <s v="NA"/>
    <s v="NA"/>
    <s v="NA"/>
    <s v="NA"/>
    <s v="NA"/>
    <s v="NA"/>
    <s v="NA"/>
    <s v="NA"/>
    <s v="NA"/>
    <s v="NA"/>
    <n v="0"/>
    <n v="17"/>
    <n v="0"/>
    <n v="17"/>
    <n v="0"/>
    <n v="0"/>
    <n v="17"/>
    <m/>
    <m/>
    <m/>
    <m/>
  </r>
  <r>
    <s v="DSCN4639"/>
    <s v="M2370827_9"/>
    <n v="9"/>
    <n v="1"/>
    <s v="M237"/>
    <d v="2019-08-27T00:00:00"/>
    <x v="0"/>
    <s v="Fall"/>
    <d v="1899-12-30T00:47:00"/>
    <s v="Overcast"/>
    <s v="WB/BS"/>
    <s v="Foraging and caching"/>
    <s v="Spruce"/>
    <n v="1"/>
    <n v="0"/>
    <n v="1"/>
    <x v="1"/>
    <x v="3"/>
    <s v="Ground"/>
    <s v="Exterior spruce on bark"/>
    <s v="Spruce"/>
    <s v="Exterior"/>
    <s v="None"/>
    <m/>
    <n v="341"/>
    <n v="4"/>
    <n v="63.723219999999998"/>
    <n v="148.88901999999999"/>
    <s v="NA"/>
    <s v="NA"/>
    <s v="NA"/>
    <n v="0"/>
    <n v="0"/>
    <n v="0"/>
    <n v="0"/>
    <n v="5"/>
    <n v="0"/>
    <n v="5"/>
    <m/>
    <m/>
    <m/>
    <m/>
  </r>
  <r>
    <s v="DSCN4639"/>
    <s v="M2370827_9"/>
    <n v="9"/>
    <n v="1"/>
    <s v="M237"/>
    <d v="2019-08-27T00:00:00"/>
    <x v="0"/>
    <s v="Fall"/>
    <d v="1899-12-30T00:47:00"/>
    <s v="Overcast"/>
    <s v="WB/BS"/>
    <s v="Foraging and caching"/>
    <s v="Spruce"/>
    <n v="1"/>
    <n v="0"/>
    <n v="1"/>
    <x v="1"/>
    <x v="10"/>
    <s v="Ground"/>
    <s v="Exterior spruce on bark"/>
    <s v="Spruce"/>
    <s v="Exterior"/>
    <s v="None"/>
    <m/>
    <n v="194"/>
    <n v="2"/>
    <n v="63.723239999999997"/>
    <n v="148.88898"/>
    <s v="NA"/>
    <s v="NA"/>
    <s v="NA"/>
    <n v="0"/>
    <n v="0"/>
    <n v="0"/>
    <n v="0"/>
    <n v="20"/>
    <n v="0"/>
    <n v="20"/>
    <m/>
    <m/>
    <m/>
    <m/>
  </r>
  <r>
    <s v="DSCN4630"/>
    <s v="M2370827_6"/>
    <n v="6"/>
    <n v="2"/>
    <s v="M237"/>
    <d v="2019-08-27T00:00:00"/>
    <x v="0"/>
    <s v="Fall"/>
    <d v="1899-12-30T01:11:00"/>
    <s v="Overcast"/>
    <s v="Unknown"/>
    <s v="Foraging"/>
    <s v="Spruce"/>
    <n v="1"/>
    <n v="0"/>
    <n v="1"/>
    <x v="6"/>
    <x v="20"/>
    <s v="Ground"/>
    <s v="Interior spruce under bark"/>
    <s v="Spruce"/>
    <s v="Interior"/>
    <s v="Bark"/>
    <m/>
    <n v="164"/>
    <n v="2"/>
    <n v="63.72401"/>
    <n v="148.88971000000001"/>
    <s v="NA"/>
    <s v="NA"/>
    <s v="NA"/>
    <n v="0"/>
    <n v="0"/>
    <n v="0"/>
    <n v="0"/>
    <n v="14"/>
    <n v="0"/>
    <n v="14"/>
    <m/>
    <m/>
    <m/>
    <m/>
  </r>
  <r>
    <s v="DSCN4630"/>
    <s v="M2370827_6"/>
    <n v="6"/>
    <n v="3"/>
    <s v="M237"/>
    <d v="2019-08-27T00:00:00"/>
    <x v="0"/>
    <s v="Fall"/>
    <d v="1899-12-30T01:11:00"/>
    <s v="Overcast"/>
    <s v="Unknown"/>
    <s v="Foraging"/>
    <s v="Spruce"/>
    <n v="0"/>
    <n v="0"/>
    <n v="1"/>
    <x v="6"/>
    <x v="20"/>
    <s v="Ground"/>
    <s v="Interior spruce under bark"/>
    <s v="Spruce"/>
    <s v="Interior"/>
    <s v="Bark"/>
    <m/>
    <n v="202"/>
    <n v="2"/>
    <n v="63.72401"/>
    <n v="148.88971000000001"/>
    <s v="NA"/>
    <s v="NA"/>
    <s v="NA"/>
    <n v="0"/>
    <n v="0"/>
    <n v="0"/>
    <n v="0"/>
    <n v="0"/>
    <n v="0"/>
    <n v="0"/>
    <m/>
    <m/>
    <m/>
    <m/>
  </r>
  <r>
    <s v="DSCN4630"/>
    <s v="M2370827_6"/>
    <n v="6"/>
    <n v="4"/>
    <s v="M237"/>
    <d v="2019-08-27T00:00:00"/>
    <x v="0"/>
    <s v="Fall"/>
    <d v="1899-12-30T01:11:00"/>
    <s v="Overcast"/>
    <s v="Unknown"/>
    <s v="Foraging"/>
    <s v="Spruce"/>
    <n v="0"/>
    <n v="0"/>
    <n v="1"/>
    <x v="6"/>
    <x v="20"/>
    <s v="Ground"/>
    <s v="Interior spruce under bark"/>
    <s v="Spruce"/>
    <s v="Interior"/>
    <s v="Bark"/>
    <m/>
    <n v="226"/>
    <n v="2"/>
    <n v="63.72401"/>
    <n v="148.88971000000001"/>
    <s v="NA"/>
    <s v="NA"/>
    <s v="NA"/>
    <n v="0"/>
    <n v="0"/>
    <n v="0"/>
    <n v="0"/>
    <n v="0"/>
    <n v="0"/>
    <n v="0"/>
    <m/>
    <m/>
    <m/>
    <m/>
  </r>
  <r>
    <s v="DSCN4629"/>
    <s v="M2370827_5"/>
    <n v="5"/>
    <n v="1"/>
    <s v="M237"/>
    <d v="2019-08-27T00:00:00"/>
    <x v="0"/>
    <s v="Fall"/>
    <d v="1899-12-30T00:17:00"/>
    <s v="Overcast"/>
    <s v="WB/BS"/>
    <s v="Caching"/>
    <s v="Spruce"/>
    <n v="1"/>
    <n v="1"/>
    <n v="1"/>
    <x v="4"/>
    <x v="4"/>
    <s v="Exterior spruce foliage"/>
    <s v="Exterior spruce on bark"/>
    <s v="Spruce"/>
    <s v="Exterior"/>
    <s v="Unknown"/>
    <m/>
    <n v="165"/>
    <n v="1"/>
    <n v="63.723939999999999"/>
    <n v="148.88972000000001"/>
    <s v="NA"/>
    <s v="NA"/>
    <s v="NA"/>
    <n v="0"/>
    <n v="0"/>
    <n v="0"/>
    <n v="0"/>
    <n v="0"/>
    <n v="0"/>
    <n v="0"/>
    <m/>
    <s v="Missed acqusition on film"/>
    <m/>
    <m/>
  </r>
  <r>
    <s v="DSCN4630"/>
    <s v="M2370827_6"/>
    <n v="6"/>
    <n v="1"/>
    <s v="M237"/>
    <d v="2019-08-27T00:00:00"/>
    <x v="0"/>
    <s v="Fall"/>
    <d v="1899-12-30T01:11:00"/>
    <s v="Overcast"/>
    <s v="WB/BS"/>
    <s v="Food handling, caching"/>
    <s v="Spruce"/>
    <n v="0"/>
    <n v="0"/>
    <n v="0"/>
    <x v="4"/>
    <x v="4"/>
    <s v="Exterior spruce"/>
    <s v="NA"/>
    <s v="NA"/>
    <s v="NA"/>
    <s v="NA"/>
    <s v="NA"/>
    <s v="NA"/>
    <s v="NA"/>
    <s v="NA"/>
    <s v="NA"/>
    <s v="NA"/>
    <s v="NA"/>
    <s v="NA"/>
    <n v="0"/>
    <n v="0"/>
    <n v="0"/>
    <n v="0"/>
    <n v="0"/>
    <n v="0"/>
    <n v="0"/>
    <m/>
    <m/>
    <m/>
    <m/>
  </r>
  <r>
    <s v="DSCN4651"/>
    <s v="M4R0828_5"/>
    <n v="5"/>
    <n v="1"/>
    <s v="Mile 4 Roadside"/>
    <d v="2019-08-28T00:00:00"/>
    <x v="0"/>
    <s v="Fall"/>
    <d v="1899-12-30T00:46:00"/>
    <s v="Overcast"/>
    <s v="OB/YS"/>
    <s v="Foraging and caching"/>
    <s v="Spruce"/>
    <n v="1"/>
    <n v="0"/>
    <n v="1"/>
    <x v="0"/>
    <x v="0"/>
    <s v="Ground"/>
    <s v="Interior spruce in lichen"/>
    <s v="Spruce"/>
    <s v="Interior"/>
    <s v="Lichen"/>
    <m/>
    <n v="275"/>
    <n v="13"/>
    <n v="63.720410000000001"/>
    <n v="148.98446999999999"/>
    <s v="NA"/>
    <s v="NA"/>
    <s v="NA"/>
    <n v="0"/>
    <n v="0"/>
    <n v="0"/>
    <n v="0"/>
    <n v="8"/>
    <n v="0"/>
    <n v="8"/>
    <m/>
    <m/>
    <m/>
    <m/>
  </r>
  <r>
    <s v="DSCN4660"/>
    <s v="M4R0828_14"/>
    <n v="14"/>
    <n v="1"/>
    <s v="Mile 4 Roadside"/>
    <d v="2019-08-28T00:00:00"/>
    <x v="0"/>
    <s v="Fall"/>
    <d v="1899-12-30T01:07:00"/>
    <s v="Overcast"/>
    <s v="OG/WS"/>
    <s v="Foraging and caching"/>
    <s v="Spruce"/>
    <n v="1"/>
    <n v="0"/>
    <n v="1"/>
    <x v="0"/>
    <x v="0"/>
    <s v="Ground"/>
    <s v="Interior spruce in lichen"/>
    <s v="Spruce"/>
    <s v="Interior"/>
    <s v="Lichen"/>
    <m/>
    <n v="343"/>
    <n v="2"/>
    <n v="63.720950000000002"/>
    <n v="148.98137"/>
    <s v="NA"/>
    <s v="NA"/>
    <s v="NA"/>
    <n v="0"/>
    <n v="0"/>
    <n v="0"/>
    <n v="0"/>
    <n v="45"/>
    <n v="0"/>
    <n v="45"/>
    <m/>
    <m/>
    <m/>
    <m/>
  </r>
  <r>
    <s v="DSCN4662"/>
    <s v="M4R0828_16"/>
    <n v="16"/>
    <n v="1"/>
    <s v="Mile 4 Roadside"/>
    <d v="2019-08-28T00:00:00"/>
    <x v="0"/>
    <s v="Fall"/>
    <d v="1899-12-30T01:22:00"/>
    <s v="Overcast"/>
    <s v="OG/WS"/>
    <s v="Foraging and caching"/>
    <s v="Spruce"/>
    <n v="1"/>
    <n v="0"/>
    <n v="1"/>
    <x v="0"/>
    <x v="0"/>
    <s v="Ground"/>
    <s v="Exterior spruce on bark"/>
    <s v="Spruce"/>
    <s v="Exterior"/>
    <s v="None"/>
    <m/>
    <n v="135"/>
    <n v="5"/>
    <n v="63.721499999999999"/>
    <n v="148.98240999999999"/>
    <s v="NA"/>
    <s v="NA"/>
    <s v="NA"/>
    <n v="0"/>
    <n v="0"/>
    <n v="0"/>
    <n v="0"/>
    <n v="16"/>
    <n v="0"/>
    <n v="16"/>
    <m/>
    <m/>
    <m/>
    <m/>
  </r>
  <r>
    <s v="DSCN4662"/>
    <s v="M4R0828_16"/>
    <n v="16"/>
    <n v="2"/>
    <s v="Mile 4 Roadside"/>
    <d v="2019-08-28T00:00:00"/>
    <x v="0"/>
    <s v="Fall"/>
    <d v="1899-12-30T01:22:00"/>
    <s v="Overcast"/>
    <s v="BY/YS"/>
    <s v="Foraging and caching"/>
    <s v="Spruce"/>
    <n v="1"/>
    <n v="0"/>
    <n v="1"/>
    <x v="0"/>
    <x v="0"/>
    <s v="Ground"/>
    <s v="Exterior spruce on bark"/>
    <s v="Spruce"/>
    <s v="Exterior"/>
    <s v="None"/>
    <m/>
    <n v="182"/>
    <n v="5"/>
    <n v="63.721499999999999"/>
    <n v="148.98240999999999"/>
    <s v="NA"/>
    <s v="NA"/>
    <s v="NA"/>
    <n v="0"/>
    <n v="0"/>
    <n v="0"/>
    <n v="0"/>
    <n v="0"/>
    <n v="0"/>
    <n v="0"/>
    <m/>
    <s v="Unknown foraging time because I got the birds mixed up"/>
    <m/>
    <m/>
  </r>
  <r>
    <s v="DSCN4655"/>
    <s v="M4R0828_9"/>
    <n v="9"/>
    <n v="1"/>
    <s v="Mile 4 Roadside"/>
    <d v="2019-08-28T00:00:00"/>
    <x v="0"/>
    <s v="Fall"/>
    <d v="1899-12-30T00:25:00"/>
    <s v="Overcast"/>
    <s v="OG/WS"/>
    <s v="Caching"/>
    <s v="Spruce"/>
    <n v="1"/>
    <n v="0"/>
    <n v="1"/>
    <x v="0"/>
    <x v="0"/>
    <s v="Ground"/>
    <s v="Exterior spruce on bark"/>
    <s v="Spruce"/>
    <s v="Exterior"/>
    <s v="Unknown"/>
    <m/>
    <n v="259"/>
    <n v="7"/>
    <n v="63.721550000000001"/>
    <n v="148.98175000000001"/>
    <s v="NA"/>
    <s v="NA"/>
    <s v="NA"/>
    <n v="0"/>
    <n v="0"/>
    <n v="0"/>
    <n v="0"/>
    <n v="0"/>
    <n v="0"/>
    <n v="0"/>
    <m/>
    <s v="Missed initial acquisition on camera "/>
    <m/>
    <m/>
  </r>
  <r>
    <s v="DSCN4645"/>
    <s v="M4R0828_1"/>
    <n v="1"/>
    <n v="1"/>
    <s v="Mile 4 Roadside"/>
    <d v="2019-08-28T00:00:00"/>
    <x v="0"/>
    <s v="Fall"/>
    <d v="1899-12-30T00:49:00"/>
    <s v="Overcast"/>
    <s v="BW/OS"/>
    <s v="Foraging"/>
    <s v="NA"/>
    <n v="1"/>
    <n v="0"/>
    <n v="0"/>
    <x v="0"/>
    <x v="0"/>
    <s v="Ground"/>
    <s v="NA"/>
    <s v="NA"/>
    <s v="NA"/>
    <s v="NA"/>
    <s v="NA"/>
    <s v="NA"/>
    <s v="NA"/>
    <s v="NA"/>
    <s v="NA"/>
    <s v="NA"/>
    <s v="NA"/>
    <s v="NA"/>
    <n v="0"/>
    <n v="0"/>
    <n v="0"/>
    <n v="0"/>
    <n v="42"/>
    <n v="0"/>
    <n v="42"/>
    <m/>
    <m/>
    <m/>
    <m/>
  </r>
  <r>
    <s v="DSCN4652"/>
    <s v="M4R0828_6"/>
    <n v="6"/>
    <n v="1"/>
    <s v="Mile 4 Roadside"/>
    <d v="2019-08-28T00:00:00"/>
    <x v="0"/>
    <s v="Fall"/>
    <d v="1899-12-30T01:39:00"/>
    <s v="Overcast"/>
    <s v="BY/YS"/>
    <s v="Foraging"/>
    <s v="Spruce"/>
    <n v="1"/>
    <n v="0"/>
    <n v="0"/>
    <x v="0"/>
    <x v="0"/>
    <s v="Interior spruce foliage"/>
    <s v="NA"/>
    <s v="NA"/>
    <s v="NA"/>
    <s v="NA"/>
    <s v="NA"/>
    <s v="NA"/>
    <s v="NA"/>
    <s v="NA"/>
    <s v="NA"/>
    <s v="NA"/>
    <s v="NA"/>
    <s v="NA"/>
    <n v="0"/>
    <n v="0"/>
    <n v="0"/>
    <n v="0"/>
    <n v="63"/>
    <n v="0"/>
    <n v="63"/>
    <m/>
    <s v="Recovered something white from tree then ground foraged "/>
    <m/>
    <m/>
  </r>
  <r>
    <s v="DSCN4646"/>
    <s v="M4R0828_2"/>
    <n v="2"/>
    <n v="1"/>
    <s v="Mile 4 Roadside"/>
    <d v="2019-08-28T00:00:00"/>
    <x v="0"/>
    <s v="Fall"/>
    <d v="1899-12-30T00:31:00"/>
    <s v="Overcast"/>
    <s v="BW/OS"/>
    <s v="Foraging"/>
    <s v="NA"/>
    <s v="Unknown"/>
    <n v="0"/>
    <n v="0"/>
    <x v="3"/>
    <x v="2"/>
    <s v="NA"/>
    <s v="NA"/>
    <s v="NA"/>
    <s v="NA"/>
    <s v="NA"/>
    <s v="NA"/>
    <s v="NA"/>
    <s v="NA"/>
    <s v="NA"/>
    <s v="NA"/>
    <s v="NA"/>
    <s v="NA"/>
    <s v="NA"/>
    <n v="0"/>
    <n v="0"/>
    <n v="0"/>
    <n v="0"/>
    <n v="28"/>
    <n v="0"/>
    <n v="28"/>
    <m/>
    <m/>
    <m/>
    <m/>
  </r>
  <r>
    <s v="DSCN4649"/>
    <s v="MR40828_3"/>
    <n v="3"/>
    <n v="1"/>
    <s v="Mile 4 Roadside"/>
    <d v="2019-08-28T00:00:00"/>
    <x v="0"/>
    <s v="Fall"/>
    <d v="1899-12-30T00:17:00"/>
    <s v="Overcast"/>
    <s v="BY/YS"/>
    <s v="Foraging"/>
    <s v="NA"/>
    <s v="Unknown"/>
    <n v="0"/>
    <n v="0"/>
    <x v="3"/>
    <x v="2"/>
    <s v="NA"/>
    <s v="NA"/>
    <s v="NA"/>
    <s v="NA"/>
    <s v="NA"/>
    <s v="NA"/>
    <s v="NA"/>
    <s v="NA"/>
    <s v="NA"/>
    <s v="NA"/>
    <s v="NA"/>
    <s v="NA"/>
    <s v="NA"/>
    <n v="0"/>
    <n v="0"/>
    <n v="0"/>
    <n v="0"/>
    <n v="17"/>
    <n v="0"/>
    <n v="17"/>
    <m/>
    <m/>
    <m/>
    <m/>
  </r>
  <r>
    <s v="DSCN4653"/>
    <s v="M4R0828_7"/>
    <n v="7"/>
    <n v="1"/>
    <s v="Mile 4 Roadside"/>
    <d v="2019-08-28T00:00:00"/>
    <x v="0"/>
    <s v="Fall"/>
    <d v="1899-12-30T00:14:00"/>
    <s v="Overcast"/>
    <s v="OG/WS"/>
    <s v="Foraging"/>
    <s v="Spruce"/>
    <n v="0"/>
    <n v="0"/>
    <n v="0"/>
    <x v="3"/>
    <x v="2"/>
    <s v="NA"/>
    <s v="NA"/>
    <s v="NA"/>
    <s v="NA"/>
    <s v="NA"/>
    <s v="NA"/>
    <s v="NA"/>
    <s v="NA"/>
    <s v="NA"/>
    <s v="NA"/>
    <s v="NA"/>
    <s v="NA"/>
    <s v="NA"/>
    <n v="0"/>
    <n v="0"/>
    <n v="0"/>
    <n v="0"/>
    <n v="14"/>
    <n v="0"/>
    <n v="14"/>
    <m/>
    <m/>
    <m/>
    <m/>
  </r>
  <r>
    <s v="DSCN4654"/>
    <s v="M4R0828_8"/>
    <n v="8"/>
    <n v="1"/>
    <s v="Mile 4 Roadside"/>
    <d v="2019-08-28T00:00:00"/>
    <x v="0"/>
    <s v="Fall"/>
    <d v="1899-12-30T00:07:00"/>
    <s v="Overcast"/>
    <s v="OG/WS"/>
    <s v="Foraging"/>
    <s v="Spruce"/>
    <n v="0"/>
    <n v="0"/>
    <n v="0"/>
    <x v="3"/>
    <x v="2"/>
    <s v="NA"/>
    <s v="NA"/>
    <s v="NA"/>
    <s v="NA"/>
    <s v="NA"/>
    <s v="NA"/>
    <s v="NA"/>
    <s v="NA"/>
    <s v="NA"/>
    <s v="NA"/>
    <s v="NA"/>
    <s v="NA"/>
    <s v="NA"/>
    <n v="0"/>
    <n v="0"/>
    <n v="0"/>
    <n v="0"/>
    <n v="7"/>
    <n v="0"/>
    <n v="7"/>
    <m/>
    <m/>
    <m/>
    <m/>
  </r>
  <r>
    <s v="DSCN4556"/>
    <s v="M4R0828_10"/>
    <n v="10"/>
    <n v="1"/>
    <s v="Mile 4 Roadside"/>
    <d v="2019-08-28T00:00:00"/>
    <x v="0"/>
    <s v="Fall"/>
    <d v="1899-12-30T00:15:00"/>
    <s v="Overcast"/>
    <s v="OG/WS"/>
    <s v="Foraging"/>
    <s v="NA"/>
    <s v="Unknown"/>
    <n v="0"/>
    <n v="0"/>
    <x v="3"/>
    <x v="2"/>
    <s v="NA"/>
    <s v="NA"/>
    <s v="NA"/>
    <s v="NA"/>
    <s v="NA"/>
    <s v="NA"/>
    <s v="NA"/>
    <s v="NA"/>
    <s v="NA"/>
    <s v="NA"/>
    <s v="NA"/>
    <s v="NA"/>
    <s v="NA"/>
    <n v="0"/>
    <n v="0"/>
    <n v="0"/>
    <n v="0"/>
    <n v="15"/>
    <n v="0"/>
    <n v="15"/>
    <m/>
    <m/>
    <m/>
    <m/>
  </r>
  <r>
    <s v="DSCN4657"/>
    <s v="M4R0828_11"/>
    <n v="11"/>
    <n v="1"/>
    <s v="Mile 4 Roadside"/>
    <d v="2019-08-28T00:00:00"/>
    <x v="0"/>
    <s v="Fall"/>
    <d v="1899-12-30T00:56:00"/>
    <s v="Overcast"/>
    <s v="OG/WS"/>
    <s v="Foraging"/>
    <s v="NA"/>
    <s v="Unknown"/>
    <n v="0"/>
    <n v="0"/>
    <x v="3"/>
    <x v="2"/>
    <s v="NA"/>
    <s v="NA"/>
    <s v="NA"/>
    <s v="NA"/>
    <s v="NA"/>
    <s v="NA"/>
    <s v="NA"/>
    <s v="NA"/>
    <s v="NA"/>
    <s v="NA"/>
    <s v="NA"/>
    <s v="NA"/>
    <s v="NA"/>
    <n v="0"/>
    <n v="0"/>
    <n v="0"/>
    <n v="0"/>
    <n v="56"/>
    <n v="0"/>
    <n v="56"/>
    <m/>
    <m/>
    <m/>
    <m/>
  </r>
  <r>
    <s v="DSCN4658"/>
    <s v="M4R0828_12"/>
    <n v="12"/>
    <n v="1"/>
    <s v="Mile 4 Roadside"/>
    <d v="2019-08-28T00:00:00"/>
    <x v="0"/>
    <s v="Fall"/>
    <d v="1899-12-30T00:09:00"/>
    <s v="Overcast"/>
    <s v="OG/WS"/>
    <s v="Foraging"/>
    <s v="NA"/>
    <n v="0"/>
    <n v="0"/>
    <n v="0"/>
    <x v="3"/>
    <x v="2"/>
    <s v="NA"/>
    <s v="NA"/>
    <s v="NA"/>
    <s v="NA"/>
    <s v="NA"/>
    <s v="NA"/>
    <s v="NA"/>
    <s v="NA"/>
    <s v="NA"/>
    <s v="NA"/>
    <s v="NA"/>
    <s v="NA"/>
    <s v="NA"/>
    <n v="0"/>
    <n v="0"/>
    <n v="0"/>
    <n v="0"/>
    <n v="9"/>
    <n v="0"/>
    <n v="9"/>
    <m/>
    <m/>
    <m/>
    <m/>
  </r>
  <r>
    <s v="DSCN4661"/>
    <s v="M4R0828_15"/>
    <n v="15"/>
    <n v="1"/>
    <s v="Mile 4 Roadside"/>
    <d v="2019-08-28T00:00:00"/>
    <x v="0"/>
    <s v="Fall"/>
    <d v="1899-12-30T00:31:00"/>
    <s v="Overcast"/>
    <s v="OG/WS"/>
    <s v="Foraging"/>
    <s v="NA"/>
    <s v="Unknown"/>
    <n v="0"/>
    <n v="0"/>
    <x v="3"/>
    <x v="2"/>
    <s v="NA"/>
    <s v="NA"/>
    <s v="NA"/>
    <s v="NA"/>
    <s v="NA"/>
    <s v="NA"/>
    <s v="NA"/>
    <s v="NA"/>
    <s v="NA"/>
    <s v="NA"/>
    <s v="NA"/>
    <s v="NA"/>
    <s v="NA"/>
    <n v="0"/>
    <n v="0"/>
    <n v="0"/>
    <n v="0"/>
    <n v="31"/>
    <n v="0"/>
    <n v="31"/>
    <m/>
    <m/>
    <m/>
    <m/>
  </r>
  <r>
    <s v="DSCN4662"/>
    <s v="M4R0828_16"/>
    <n v="16"/>
    <n v="3"/>
    <s v="Mile 4 Roadside"/>
    <d v="2019-08-28T00:00:00"/>
    <x v="0"/>
    <s v="Fall"/>
    <d v="1899-12-30T01:22:00"/>
    <s v="Overcast"/>
    <s v="BY/YS"/>
    <s v="Foraging and caching"/>
    <s v="Spruce"/>
    <s v="Unknown"/>
    <n v="0"/>
    <n v="0"/>
    <x v="3"/>
    <x v="2"/>
    <s v="NA"/>
    <s v="NA"/>
    <s v="NA"/>
    <s v="NA"/>
    <s v="NA"/>
    <s v="NA"/>
    <s v="NA"/>
    <s v="NA"/>
    <s v="NA"/>
    <s v="NA"/>
    <s v="NA"/>
    <s v="NA"/>
    <s v="NA"/>
    <n v="0"/>
    <n v="0"/>
    <n v="0"/>
    <n v="0"/>
    <n v="26"/>
    <n v="0"/>
    <n v="26"/>
    <m/>
    <s v="Unknown foraging time because I got the birds mixed up"/>
    <m/>
    <m/>
  </r>
  <r>
    <s v="DSCN4664"/>
    <s v="M4R0828_18"/>
    <n v="18"/>
    <n v="1"/>
    <s v="Mile 4 Roadside"/>
    <d v="2019-08-28T00:00:00"/>
    <x v="0"/>
    <s v="Fall"/>
    <d v="1899-12-30T00:31:00"/>
    <s v="Overcast"/>
    <s v="OG/WS"/>
    <s v="Foraging"/>
    <s v="NA"/>
    <s v="Unknown"/>
    <n v="0"/>
    <n v="0"/>
    <x v="3"/>
    <x v="2"/>
    <s v="NA"/>
    <s v="NA"/>
    <s v="NA"/>
    <s v="NA"/>
    <s v="NA"/>
    <s v="NA"/>
    <s v="NA"/>
    <s v="NA"/>
    <s v="NA"/>
    <s v="NA"/>
    <s v="NA"/>
    <s v="NA"/>
    <s v="NA"/>
    <n v="0"/>
    <n v="0"/>
    <n v="0"/>
    <n v="0"/>
    <n v="31"/>
    <n v="0"/>
    <n v="31"/>
    <m/>
    <m/>
    <m/>
    <m/>
  </r>
  <r>
    <s v="DSCN4665"/>
    <s v="M4R0828_19"/>
    <n v="19"/>
    <n v="1"/>
    <s v="Mile 4 Roadside"/>
    <d v="2019-08-28T00:00:00"/>
    <x v="0"/>
    <s v="Fall"/>
    <d v="1899-12-30T00:13:00"/>
    <s v="Overcast"/>
    <s v="OG/WS"/>
    <s v="Foraging"/>
    <s v="NA"/>
    <n v="0"/>
    <n v="0"/>
    <n v="0"/>
    <x v="3"/>
    <x v="2"/>
    <s v="NA"/>
    <s v="NA"/>
    <s v="NA"/>
    <s v="NA"/>
    <s v="NA"/>
    <s v="NA"/>
    <s v="NA"/>
    <s v="NA"/>
    <s v="NA"/>
    <s v="NA"/>
    <s v="NA"/>
    <s v="NA"/>
    <s v="NA"/>
    <n v="0"/>
    <n v="0"/>
    <n v="0"/>
    <n v="0"/>
    <n v="10"/>
    <n v="0"/>
    <n v="10"/>
    <m/>
    <m/>
    <m/>
    <m/>
  </r>
  <r>
    <s v="DSCN4650"/>
    <s v="M4R0828_4"/>
    <n v="4"/>
    <n v="1"/>
    <s v="Mile 4 Roadside"/>
    <d v="2019-08-28T00:00:00"/>
    <x v="0"/>
    <s v="Fall"/>
    <d v="1899-12-30T00:26:00"/>
    <s v="Overcast"/>
    <s v="BW/OS"/>
    <s v="Caching"/>
    <s v="NA"/>
    <n v="1"/>
    <n v="0"/>
    <n v="1"/>
    <x v="5"/>
    <x v="21"/>
    <s v="Ground"/>
    <s v="Interior spruce in lichen"/>
    <s v="Spruce"/>
    <s v="Interior"/>
    <s v="Lichen"/>
    <m/>
    <n v="291"/>
    <s v="Unknown"/>
    <n v="63.720359999999999"/>
    <n v="148.98394999999999"/>
    <s v="NA"/>
    <s v="NA"/>
    <s v="NA"/>
    <n v="0"/>
    <n v="0"/>
    <n v="0"/>
    <n v="0"/>
    <n v="0"/>
    <n v="0"/>
    <n v="0"/>
    <m/>
    <s v="Missed initial acqusition "/>
    <m/>
    <m/>
  </r>
  <r>
    <s v="DSCN4651"/>
    <s v="M4R0828_5"/>
    <n v="5"/>
    <n v="2"/>
    <s v="Mile 4 Roadside"/>
    <d v="2019-08-28T00:00:00"/>
    <x v="0"/>
    <s v="Fall"/>
    <d v="1899-12-30T00:46:00"/>
    <s v="Overcast"/>
    <s v="BW/OS"/>
    <s v="Foraging and caching"/>
    <s v="Spruce"/>
    <n v="1"/>
    <n v="0"/>
    <n v="1"/>
    <x v="5"/>
    <x v="21"/>
    <s v="Ground"/>
    <s v="Interior spruce in lichen"/>
    <s v="Spruce"/>
    <s v="Interior"/>
    <s v="Lichen"/>
    <m/>
    <n v="249"/>
    <n v="1"/>
    <n v="63.720410000000001"/>
    <n v="148.98446999999999"/>
    <s v="NA"/>
    <s v="NA"/>
    <s v="NA"/>
    <n v="0"/>
    <n v="0"/>
    <n v="0"/>
    <n v="0"/>
    <n v="8"/>
    <n v="0"/>
    <n v="8"/>
    <m/>
    <s v="Camera deployed on this tree"/>
    <m/>
    <m/>
  </r>
  <r>
    <s v="DSCN4651"/>
    <s v="M4R0828_5"/>
    <n v="5"/>
    <n v="3"/>
    <s v="Mile 4 Roadside"/>
    <d v="2019-08-28T00:00:00"/>
    <x v="0"/>
    <s v="Fall"/>
    <d v="1899-12-30T00:46:00"/>
    <s v="Overcast"/>
    <s v="Unknown"/>
    <s v="Foraging and caching"/>
    <s v="Spruce"/>
    <n v="0"/>
    <n v="0"/>
    <n v="1"/>
    <x v="5"/>
    <x v="21"/>
    <s v="Unknown"/>
    <s v="Interior spruce in lichen"/>
    <s v="Spruce"/>
    <s v="Interior"/>
    <s v="Lichen"/>
    <m/>
    <n v="307"/>
    <s v="Unknown"/>
    <n v="63.720410000000001"/>
    <n v="148.98446999999999"/>
    <s v="NA"/>
    <s v="NA"/>
    <s v="NA"/>
    <n v="0"/>
    <n v="0"/>
    <n v="0"/>
    <n v="0"/>
    <n v="0"/>
    <n v="0"/>
    <n v="0"/>
    <m/>
    <s v="Incidental cache discovered with first"/>
    <m/>
    <m/>
  </r>
  <r>
    <s v="DSCN4666"/>
    <s v="M3.50828_1"/>
    <n v="1"/>
    <n v="1"/>
    <s v="Mile 3.5"/>
    <d v="2019-08-28T00:00:00"/>
    <x v="0"/>
    <s v="Fall"/>
    <d v="1899-12-30T00:03:00"/>
    <s v="Partly sunny"/>
    <s v="WR/YS"/>
    <s v="Caching"/>
    <s v="Spruce"/>
    <n v="1"/>
    <n v="0"/>
    <n v="1"/>
    <x v="5"/>
    <x v="21"/>
    <s v="Ground"/>
    <s v="Interior spruce on bark"/>
    <s v="Spruce"/>
    <s v="Interior"/>
    <s v="None"/>
    <m/>
    <n v="162"/>
    <n v="3"/>
    <n v="63.720649999999999"/>
    <n v="148.96965"/>
    <s v="NA"/>
    <s v="NA"/>
    <s v="NA"/>
    <n v="0"/>
    <n v="0"/>
    <n v="0"/>
    <n v="0"/>
    <n v="0"/>
    <n v="0"/>
    <n v="0"/>
    <m/>
    <s v="Missed acqusition on camera.  Then forgot to mark tree.  Fletcher was kind of a messy B.  "/>
    <m/>
    <m/>
  </r>
  <r>
    <s v="DSCN4659"/>
    <s v="M4R0828_13"/>
    <n v="13"/>
    <n v="1"/>
    <s v="Mile 4 Roadside"/>
    <d v="2019-08-28T00:00:00"/>
    <x v="0"/>
    <s v="Fall"/>
    <d v="1899-12-30T00:27:00"/>
    <s v="Overcast"/>
    <s v="OG/WS"/>
    <s v="Foraging and caching"/>
    <s v="Spruce"/>
    <n v="1"/>
    <n v="0"/>
    <n v="1"/>
    <x v="5"/>
    <x v="12"/>
    <s v="Ground"/>
    <s v="Exterior spruce foliage"/>
    <s v="Spruce"/>
    <s v="Exterior"/>
    <s v="Foliage"/>
    <m/>
    <n v="133"/>
    <n v="4"/>
    <n v="63.721130000000002"/>
    <n v="148.98087000000001"/>
    <s v="NA"/>
    <s v="NA"/>
    <s v="NA"/>
    <n v="0"/>
    <n v="0"/>
    <n v="0"/>
    <n v="0"/>
    <n v="13"/>
    <n v="0"/>
    <n v="13"/>
    <m/>
    <m/>
    <m/>
    <m/>
  </r>
  <r>
    <s v="DSCN4663"/>
    <s v="M4R0828_17"/>
    <n v="17"/>
    <n v="1"/>
    <s v="Mile 4 Roadside"/>
    <d v="2019-08-28T00:00:00"/>
    <x v="0"/>
    <s v="Fall"/>
    <d v="1899-12-30T00:17:00"/>
    <s v="Overcast"/>
    <s v="OG/WS"/>
    <s v="Food handling, caching"/>
    <s v="Spruce"/>
    <n v="1"/>
    <n v="0"/>
    <n v="1"/>
    <x v="5"/>
    <x v="12"/>
    <s v="Ground"/>
    <s v="Exterior spruce on bark"/>
    <s v="Spruce"/>
    <s v="Exterior"/>
    <s v="Unknown"/>
    <m/>
    <n v="290"/>
    <n v="11"/>
    <n v="63.721820000000001"/>
    <n v="148.98206999999999"/>
    <s v="NA"/>
    <s v="NA"/>
    <s v="NA"/>
    <n v="0"/>
    <n v="0"/>
    <n v="0"/>
    <n v="0"/>
    <n v="0"/>
    <n v="0"/>
    <n v="0"/>
    <m/>
    <s v="Missed acquisition on film "/>
    <m/>
    <m/>
  </r>
  <r>
    <m/>
    <m/>
    <m/>
    <m/>
    <m/>
    <m/>
    <x v="1"/>
    <s v="Fall"/>
    <m/>
    <m/>
    <m/>
    <m/>
    <m/>
    <m/>
    <m/>
    <m/>
    <x v="8"/>
    <x v="22"/>
    <m/>
    <m/>
    <m/>
    <m/>
    <m/>
    <m/>
    <m/>
    <m/>
    <m/>
    <m/>
    <m/>
    <m/>
    <m/>
    <m/>
    <m/>
    <m/>
    <m/>
    <m/>
    <m/>
    <n v="0"/>
    <m/>
    <m/>
    <m/>
    <m/>
  </r>
  <r>
    <m/>
    <m/>
    <m/>
    <m/>
    <m/>
    <m/>
    <x v="1"/>
    <s v="Fall"/>
    <m/>
    <m/>
    <m/>
    <m/>
    <m/>
    <m/>
    <m/>
    <m/>
    <x v="8"/>
    <x v="22"/>
    <m/>
    <m/>
    <m/>
    <m/>
    <m/>
    <m/>
    <m/>
    <m/>
    <m/>
    <m/>
    <m/>
    <m/>
    <m/>
    <m/>
    <m/>
    <m/>
    <m/>
    <m/>
    <m/>
    <n v="0"/>
    <m/>
    <m/>
    <m/>
    <m/>
  </r>
  <r>
    <m/>
    <m/>
    <m/>
    <m/>
    <m/>
    <m/>
    <x v="1"/>
    <s v="Fall"/>
    <m/>
    <m/>
    <m/>
    <m/>
    <m/>
    <m/>
    <m/>
    <m/>
    <x v="8"/>
    <x v="22"/>
    <m/>
    <m/>
    <m/>
    <m/>
    <m/>
    <m/>
    <m/>
    <m/>
    <m/>
    <m/>
    <m/>
    <m/>
    <m/>
    <m/>
    <m/>
    <m/>
    <m/>
    <m/>
    <m/>
    <n v="0"/>
    <m/>
    <m/>
    <m/>
    <m/>
  </r>
  <r>
    <m/>
    <m/>
    <m/>
    <m/>
    <m/>
    <m/>
    <x v="1"/>
    <s v="Fall"/>
    <m/>
    <m/>
    <m/>
    <m/>
    <m/>
    <m/>
    <m/>
    <m/>
    <x v="8"/>
    <x v="22"/>
    <m/>
    <m/>
    <m/>
    <m/>
    <m/>
    <m/>
    <m/>
    <m/>
    <m/>
    <m/>
    <m/>
    <m/>
    <m/>
    <m/>
    <m/>
    <m/>
    <m/>
    <m/>
    <m/>
    <n v="0"/>
    <m/>
    <m/>
    <m/>
    <m/>
  </r>
  <r>
    <m/>
    <m/>
    <m/>
    <m/>
    <m/>
    <m/>
    <x v="1"/>
    <s v="Fall"/>
    <m/>
    <m/>
    <m/>
    <m/>
    <m/>
    <m/>
    <m/>
    <m/>
    <x v="8"/>
    <x v="22"/>
    <m/>
    <m/>
    <m/>
    <m/>
    <m/>
    <m/>
    <m/>
    <m/>
    <m/>
    <m/>
    <m/>
    <m/>
    <m/>
    <m/>
    <m/>
    <m/>
    <m/>
    <m/>
    <m/>
    <n v="0"/>
    <m/>
    <m/>
    <m/>
    <m/>
  </r>
  <r>
    <m/>
    <m/>
    <m/>
    <m/>
    <m/>
    <m/>
    <x v="1"/>
    <s v="Fall"/>
    <m/>
    <m/>
    <m/>
    <m/>
    <m/>
    <m/>
    <m/>
    <m/>
    <x v="8"/>
    <x v="22"/>
    <m/>
    <m/>
    <m/>
    <m/>
    <m/>
    <m/>
    <m/>
    <m/>
    <m/>
    <m/>
    <m/>
    <m/>
    <m/>
    <m/>
    <m/>
    <m/>
    <m/>
    <m/>
    <m/>
    <n v="0"/>
    <m/>
    <m/>
    <m/>
    <m/>
  </r>
  <r>
    <m/>
    <m/>
    <m/>
    <m/>
    <m/>
    <m/>
    <x v="1"/>
    <s v="Fall"/>
    <m/>
    <m/>
    <m/>
    <m/>
    <m/>
    <m/>
    <m/>
    <m/>
    <x v="8"/>
    <x v="22"/>
    <m/>
    <m/>
    <m/>
    <m/>
    <m/>
    <m/>
    <m/>
    <m/>
    <m/>
    <m/>
    <m/>
    <m/>
    <m/>
    <m/>
    <m/>
    <m/>
    <m/>
    <m/>
    <m/>
    <n v="0"/>
    <m/>
    <m/>
    <m/>
    <m/>
  </r>
  <r>
    <m/>
    <m/>
    <m/>
    <m/>
    <m/>
    <m/>
    <x v="1"/>
    <s v="Fall"/>
    <m/>
    <m/>
    <m/>
    <m/>
    <m/>
    <m/>
    <m/>
    <m/>
    <x v="8"/>
    <x v="22"/>
    <m/>
    <m/>
    <m/>
    <m/>
    <m/>
    <m/>
    <m/>
    <m/>
    <m/>
    <m/>
    <m/>
    <m/>
    <m/>
    <m/>
    <m/>
    <m/>
    <m/>
    <m/>
    <m/>
    <n v="0"/>
    <m/>
    <m/>
    <m/>
    <m/>
  </r>
  <r>
    <m/>
    <m/>
    <m/>
    <m/>
    <m/>
    <m/>
    <x v="1"/>
    <s v="Fall"/>
    <m/>
    <m/>
    <m/>
    <m/>
    <m/>
    <m/>
    <m/>
    <m/>
    <x v="8"/>
    <x v="22"/>
    <m/>
    <m/>
    <m/>
    <m/>
    <m/>
    <m/>
    <m/>
    <m/>
    <m/>
    <m/>
    <m/>
    <m/>
    <m/>
    <m/>
    <m/>
    <m/>
    <m/>
    <m/>
    <m/>
    <n v="0"/>
    <m/>
    <m/>
    <m/>
    <m/>
  </r>
  <r>
    <m/>
    <m/>
    <m/>
    <m/>
    <m/>
    <m/>
    <x v="1"/>
    <s v="Fall"/>
    <m/>
    <m/>
    <m/>
    <m/>
    <m/>
    <m/>
    <m/>
    <m/>
    <x v="8"/>
    <x v="22"/>
    <m/>
    <m/>
    <m/>
    <m/>
    <m/>
    <m/>
    <m/>
    <m/>
    <m/>
    <m/>
    <m/>
    <m/>
    <m/>
    <m/>
    <m/>
    <m/>
    <m/>
    <m/>
    <m/>
    <n v="0"/>
    <m/>
    <m/>
    <m/>
    <m/>
  </r>
  <r>
    <m/>
    <m/>
    <m/>
    <m/>
    <m/>
    <m/>
    <x v="1"/>
    <s v="Fall"/>
    <m/>
    <m/>
    <m/>
    <m/>
    <m/>
    <m/>
    <m/>
    <m/>
    <x v="8"/>
    <x v="22"/>
    <m/>
    <m/>
    <m/>
    <m/>
    <m/>
    <m/>
    <m/>
    <m/>
    <m/>
    <m/>
    <m/>
    <m/>
    <m/>
    <m/>
    <m/>
    <m/>
    <m/>
    <m/>
    <m/>
    <n v="0"/>
    <m/>
    <m/>
    <m/>
    <m/>
  </r>
  <r>
    <m/>
    <m/>
    <m/>
    <m/>
    <m/>
    <m/>
    <x v="1"/>
    <s v="Fall"/>
    <m/>
    <m/>
    <m/>
    <m/>
    <m/>
    <m/>
    <m/>
    <m/>
    <x v="8"/>
    <x v="22"/>
    <m/>
    <m/>
    <m/>
    <m/>
    <m/>
    <m/>
    <m/>
    <m/>
    <m/>
    <m/>
    <m/>
    <m/>
    <m/>
    <m/>
    <m/>
    <m/>
    <m/>
    <m/>
    <m/>
    <n v="0"/>
    <m/>
    <m/>
    <m/>
    <m/>
  </r>
  <r>
    <m/>
    <m/>
    <m/>
    <m/>
    <m/>
    <m/>
    <x v="1"/>
    <s v="Fall"/>
    <m/>
    <m/>
    <m/>
    <m/>
    <m/>
    <m/>
    <m/>
    <m/>
    <x v="8"/>
    <x v="22"/>
    <m/>
    <m/>
    <m/>
    <m/>
    <m/>
    <m/>
    <m/>
    <m/>
    <m/>
    <m/>
    <m/>
    <m/>
    <m/>
    <m/>
    <m/>
    <m/>
    <m/>
    <m/>
    <m/>
    <n v="0"/>
    <m/>
    <m/>
    <m/>
    <m/>
  </r>
  <r>
    <m/>
    <m/>
    <m/>
    <m/>
    <m/>
    <m/>
    <x v="1"/>
    <s v="Fall"/>
    <m/>
    <m/>
    <m/>
    <m/>
    <m/>
    <m/>
    <m/>
    <m/>
    <x v="8"/>
    <x v="22"/>
    <m/>
    <m/>
    <m/>
    <m/>
    <m/>
    <m/>
    <m/>
    <m/>
    <m/>
    <m/>
    <m/>
    <m/>
    <m/>
    <m/>
    <m/>
    <m/>
    <m/>
    <m/>
    <m/>
    <n v="0"/>
    <m/>
    <m/>
    <m/>
    <m/>
  </r>
  <r>
    <m/>
    <m/>
    <m/>
    <m/>
    <m/>
    <m/>
    <x v="1"/>
    <s v="Fall"/>
    <m/>
    <m/>
    <m/>
    <m/>
    <m/>
    <m/>
    <m/>
    <m/>
    <x v="8"/>
    <x v="22"/>
    <m/>
    <m/>
    <m/>
    <m/>
    <m/>
    <m/>
    <m/>
    <m/>
    <m/>
    <m/>
    <m/>
    <m/>
    <m/>
    <m/>
    <m/>
    <m/>
    <m/>
    <m/>
    <m/>
    <n v="0"/>
    <m/>
    <m/>
    <m/>
    <m/>
  </r>
  <r>
    <m/>
    <m/>
    <m/>
    <m/>
    <m/>
    <m/>
    <x v="1"/>
    <m/>
    <m/>
    <m/>
    <m/>
    <m/>
    <m/>
    <m/>
    <m/>
    <m/>
    <x v="8"/>
    <x v="22"/>
    <m/>
    <m/>
    <m/>
    <m/>
    <m/>
    <m/>
    <m/>
    <m/>
    <m/>
    <m/>
    <m/>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89">
  <r>
    <s v="DSCN3537"/>
    <s v="CC0425_13"/>
    <n v="13"/>
    <n v="1"/>
    <s v="CCAMP"/>
    <d v="2019-04-25T00:00:00"/>
    <x v="0"/>
    <m/>
    <d v="1899-12-30T02:49:00"/>
    <s v="Partly cloudy"/>
    <s v="GB/BS"/>
    <s v="Foraging"/>
    <s v="NA"/>
    <s v="unknown"/>
    <n v="0"/>
    <n v="0"/>
    <x v="0"/>
    <x v="0"/>
    <s v="NA"/>
    <s v="NA"/>
    <m/>
    <m/>
    <m/>
    <s v="NA"/>
    <s v="NA"/>
    <s v="NA"/>
    <s v="NA"/>
    <s v="NA"/>
    <s v="NA"/>
    <s v="NA"/>
    <s v="NA"/>
    <n v="0"/>
    <n v="0"/>
    <n v="0"/>
    <n v="0"/>
    <n v="169"/>
    <n v="169"/>
    <s v="Searching"/>
    <m/>
    <m/>
    <m/>
  </r>
  <r>
    <s v="DSCN3600"/>
    <s v="AQ0426_4"/>
    <n v="4"/>
    <n v="1"/>
    <s v="Air Quality"/>
    <d v="2019-04-26T00:00:00"/>
    <x v="0"/>
    <m/>
    <d v="1899-12-30T06:01:00"/>
    <m/>
    <s v="PG/PS"/>
    <s v="Foraging/caching"/>
    <s v="Willow"/>
    <n v="1"/>
    <n v="0"/>
    <n v="1"/>
    <x v="1"/>
    <x v="1"/>
    <s v="Ground"/>
    <s v="Joint of willow branch"/>
    <s v="Willow"/>
    <s v="Exterior"/>
    <s v="On branch"/>
    <s v="NA-just set on branch"/>
    <s v="NA-just set on branch"/>
    <n v="1"/>
    <n v="63.724170000000001"/>
    <n v="148.96494000000001"/>
    <s v="NA"/>
    <s v="NA"/>
    <s v="NA"/>
    <n v="0"/>
    <n v="0"/>
    <n v="0"/>
    <n v="0"/>
    <n v="253"/>
    <n v="253"/>
    <s v="Searching"/>
    <s v="Deployed camera on cache site"/>
    <m/>
    <m/>
  </r>
  <r>
    <s v="DSCN3666"/>
    <s v="M4R0430_15"/>
    <n v="15"/>
    <n v="2"/>
    <s v="M4Roadside"/>
    <d v="2019-04-30T00:00:00"/>
    <x v="0"/>
    <m/>
    <d v="1899-12-30T03:42:00"/>
    <s v="Clear, full sun"/>
    <s v="YO/BS"/>
    <s v="Foraging"/>
    <s v="NA"/>
    <n v="1"/>
    <n v="0"/>
    <n v="1"/>
    <x v="1"/>
    <x v="1"/>
    <s v="Ground"/>
    <s v="Exterior spruce branch"/>
    <s v="Spruce"/>
    <s v="Exterior"/>
    <s v="On branch"/>
    <s v="SW"/>
    <n v="220"/>
    <n v="4"/>
    <n v="63.720669999999998"/>
    <n v="148.98961"/>
    <s v="NA"/>
    <s v="NA"/>
    <s v="NA"/>
    <n v="0"/>
    <n v="0"/>
    <n v="0"/>
    <n v="0"/>
    <n v="168"/>
    <n v="168"/>
    <s v="Searching"/>
    <s v="Low cache, deployed "/>
    <m/>
    <m/>
  </r>
  <r>
    <s v="DSCN3383"/>
    <s v="WW0422_25"/>
    <n v="25"/>
    <n v="1"/>
    <s v="WAC West"/>
    <d v="2019-04-22T00:00:00"/>
    <x v="0"/>
    <m/>
    <d v="1899-12-30T02:34:00"/>
    <s v="Partly cloudy"/>
    <s v="BP/PS"/>
    <s v="Foraging"/>
    <s v="NA"/>
    <n v="3"/>
    <n v="0"/>
    <n v="0"/>
    <x v="2"/>
    <x v="2"/>
    <s v="Ground"/>
    <s v="NA"/>
    <m/>
    <m/>
    <m/>
    <s v="NA"/>
    <s v="NA"/>
    <s v="NA"/>
    <s v="NA"/>
    <s v="NA"/>
    <s v="NA"/>
    <s v="NA"/>
    <s v="NA"/>
    <n v="0"/>
    <n v="0"/>
    <n v="0"/>
    <n v="0"/>
    <n v="154"/>
    <n v="154"/>
    <s v="Searching"/>
    <m/>
    <m/>
    <m/>
  </r>
  <r>
    <s v="DSCN2906"/>
    <s v="MC0404_2"/>
    <n v="2"/>
    <n v="1"/>
    <s v="Mercantile"/>
    <d v="2019-04-04T00:00:00"/>
    <x v="0"/>
    <m/>
    <d v="1899-12-30T02:33:00"/>
    <m/>
    <s v="WO/OS"/>
    <s v="Foraging"/>
    <s v="NA"/>
    <n v="4"/>
    <n v="0"/>
    <n v="0"/>
    <x v="2"/>
    <x v="2"/>
    <s v="Ground"/>
    <s v="NA"/>
    <m/>
    <m/>
    <m/>
    <s v="NA"/>
    <s v="NA"/>
    <s v="NA"/>
    <s v="NA"/>
    <s v="NA"/>
    <s v="NA"/>
    <s v="NA"/>
    <m/>
    <n v="0"/>
    <n v="0"/>
    <n v="0"/>
    <n v="0"/>
    <n v="153"/>
    <n v="153"/>
    <m/>
    <m/>
    <m/>
    <m/>
  </r>
  <r>
    <s v="DSCN2717"/>
    <s v="WW0330_14"/>
    <n v="14"/>
    <n v="1"/>
    <s v="WAC West"/>
    <d v="2019-03-30T00:00:00"/>
    <x v="1"/>
    <m/>
    <d v="1899-12-30T02:48:00"/>
    <m/>
    <s v="BP/PS"/>
    <s v="Foraging"/>
    <s v="NA"/>
    <n v="4"/>
    <n v="0"/>
    <n v="0"/>
    <x v="2"/>
    <x v="2"/>
    <s v="Ground"/>
    <s v="NA"/>
    <m/>
    <m/>
    <m/>
    <s v="NA"/>
    <s v="NA"/>
    <s v="NA"/>
    <s v="NA"/>
    <s v="NA"/>
    <s v="NA"/>
    <s v="NA"/>
    <m/>
    <n v="0"/>
    <n v="0"/>
    <n v="0"/>
    <n v="0"/>
    <n v="150"/>
    <n v="150"/>
    <s v="Searching"/>
    <m/>
    <m/>
    <m/>
  </r>
  <r>
    <s v="DSCN3885"/>
    <s v="MC0506_3"/>
    <n v="3"/>
    <n v="1"/>
    <s v="Mercantile"/>
    <d v="2019-05-06T00:00:00"/>
    <x v="2"/>
    <m/>
    <d v="1899-12-30T02:22:00"/>
    <s v="Mostly cloudy"/>
    <s v="BW/GS"/>
    <s v="Foraging"/>
    <s v="NA"/>
    <n v="3"/>
    <n v="0"/>
    <n v="0"/>
    <x v="2"/>
    <x v="2"/>
    <s v="Ground"/>
    <s v="NA"/>
    <m/>
    <m/>
    <m/>
    <s v="NA"/>
    <s v="NA"/>
    <s v="NA"/>
    <s v="NA"/>
    <s v="NA"/>
    <s v="NA"/>
    <s v="NA"/>
    <s v="NA"/>
    <n v="0"/>
    <n v="0"/>
    <n v="0"/>
    <n v="0"/>
    <n v="144"/>
    <n v="144"/>
    <s v="Searching"/>
    <m/>
    <m/>
    <m/>
  </r>
  <r>
    <s v="DSCN3012"/>
    <s v="M2370409_2"/>
    <n v="2"/>
    <n v="1"/>
    <s v="Mile 237"/>
    <d v="2019-04-09T00:00:00"/>
    <x v="0"/>
    <m/>
    <d v="1899-12-30T01:36:00"/>
    <m/>
    <s v="YP/RS"/>
    <s v="Foraging"/>
    <s v="NA"/>
    <n v="0"/>
    <n v="0"/>
    <n v="0"/>
    <x v="0"/>
    <x v="0"/>
    <s v="NA"/>
    <s v="NA"/>
    <m/>
    <m/>
    <m/>
    <s v="NA"/>
    <s v="NA"/>
    <s v="NA"/>
    <s v="NA"/>
    <s v="NA"/>
    <s v="NA"/>
    <s v="NA"/>
    <m/>
    <n v="108"/>
    <n v="0"/>
    <n v="108"/>
    <n v="0"/>
    <n v="28"/>
    <n v="136"/>
    <s v="Searching"/>
    <m/>
    <m/>
    <m/>
  </r>
  <r>
    <s v="DSCN3375"/>
    <s v="WW0422_18"/>
    <n v="18"/>
    <n v="2"/>
    <s v="WAC West"/>
    <d v="2019-04-22T00:00:00"/>
    <x v="0"/>
    <m/>
    <d v="1899-12-30T02:05:00"/>
    <s v="Partly cloudy"/>
    <s v="BP/PS"/>
    <s v="Foraging"/>
    <s v="NA"/>
    <n v="1"/>
    <n v="0"/>
    <n v="0"/>
    <x v="2"/>
    <x v="2"/>
    <s v="Ground"/>
    <s v="NA"/>
    <m/>
    <m/>
    <m/>
    <s v="NA"/>
    <s v="NA"/>
    <s v="NA"/>
    <s v="NA"/>
    <s v="NA"/>
    <s v="NA"/>
    <s v="NA"/>
    <s v="NA"/>
    <n v="0"/>
    <n v="0"/>
    <n v="0"/>
    <n v="0"/>
    <n v="125"/>
    <n v="125"/>
    <s v="Searching"/>
    <m/>
    <m/>
    <m/>
  </r>
  <r>
    <s v="DSCN3710"/>
    <s v="CC0430_7"/>
    <n v="7"/>
    <n v="1"/>
    <s v="CCAMP"/>
    <d v="2019-04-30T00:00:00"/>
    <x v="0"/>
    <m/>
    <d v="1899-12-30T02:02:00"/>
    <s v="Clear, full sun"/>
    <s v="GB/BS"/>
    <s v="Foraging"/>
    <s v="NA"/>
    <n v="0"/>
    <n v="0"/>
    <n v="0"/>
    <x v="0"/>
    <x v="0"/>
    <s v="NA"/>
    <s v="NA"/>
    <m/>
    <m/>
    <m/>
    <s v="NA"/>
    <s v="NA"/>
    <s v="NA"/>
    <s v="NA"/>
    <s v="NA"/>
    <s v="NA"/>
    <s v="NA"/>
    <s v="NA"/>
    <n v="0"/>
    <n v="0"/>
    <n v="0"/>
    <n v="0"/>
    <n v="122"/>
    <n v="122"/>
    <s v="Searching"/>
    <m/>
    <m/>
    <m/>
  </r>
  <r>
    <s v="DSCN3716"/>
    <s v="CC0430_11"/>
    <n v="11"/>
    <n v="1"/>
    <s v="CCAMP"/>
    <d v="2019-04-30T00:00:00"/>
    <x v="0"/>
    <s v="Spring"/>
    <d v="1899-12-30T02:02:00"/>
    <s v="Clear, full sun"/>
    <s v="GL/RS"/>
    <s v="Foraging"/>
    <s v="NA"/>
    <s v="unknown"/>
    <n v="0"/>
    <n v="0"/>
    <x v="0"/>
    <x v="0"/>
    <s v="NA"/>
    <s v="NA"/>
    <m/>
    <m/>
    <m/>
    <s v="NA"/>
    <s v="NA"/>
    <s v="NA"/>
    <s v="NA"/>
    <s v="NA"/>
    <s v="NA"/>
    <s v="NA"/>
    <s v="NA"/>
    <n v="0"/>
    <n v="0"/>
    <n v="0"/>
    <n v="0"/>
    <n v="122"/>
    <n v="122"/>
    <s v="Searching"/>
    <m/>
    <m/>
    <m/>
  </r>
  <r>
    <s v="DSCN2993"/>
    <s v="WW0405_32"/>
    <n v="32"/>
    <n v="1"/>
    <s v="WAC West"/>
    <d v="2019-04-05T00:00:00"/>
    <x v="0"/>
    <m/>
    <d v="1899-12-30T01:51:00"/>
    <m/>
    <s v="BP/PS"/>
    <s v="Foraging"/>
    <s v="NA"/>
    <n v="1"/>
    <n v="0"/>
    <n v="0"/>
    <x v="2"/>
    <x v="2"/>
    <s v="Ground"/>
    <s v="NA"/>
    <m/>
    <m/>
    <m/>
    <s v="NA"/>
    <s v="NA"/>
    <s v="NA"/>
    <s v="NA"/>
    <s v="NA"/>
    <s v="NA"/>
    <s v="NA"/>
    <m/>
    <n v="0"/>
    <n v="0"/>
    <n v="0"/>
    <n v="0"/>
    <n v="111"/>
    <n v="111"/>
    <s v="Searching"/>
    <m/>
    <m/>
    <m/>
  </r>
  <r>
    <s v="DSCN3368"/>
    <s v="WW0422_11"/>
    <n v="11"/>
    <n v="1"/>
    <s v="WAC West"/>
    <d v="2019-04-22T00:00:00"/>
    <x v="0"/>
    <m/>
    <d v="1899-12-30T02:19:00"/>
    <s v="Partly cloudy"/>
    <s v="BP/PS"/>
    <s v="Foraging"/>
    <s v="NA"/>
    <n v="4"/>
    <n v="0"/>
    <n v="0"/>
    <x v="2"/>
    <x v="2"/>
    <s v="Ground"/>
    <s v="NA"/>
    <m/>
    <m/>
    <m/>
    <s v="NA"/>
    <s v="NA"/>
    <s v="NA"/>
    <s v="NA"/>
    <s v="NA"/>
    <s v="NA"/>
    <s v="NA"/>
    <s v="NA"/>
    <n v="0"/>
    <n v="0"/>
    <n v="0"/>
    <n v="0"/>
    <n v="111"/>
    <n v="111"/>
    <s v="Searching"/>
    <m/>
    <m/>
    <m/>
  </r>
  <r>
    <s v="DSCN3560"/>
    <s v="CC0425_27"/>
    <n v="27"/>
    <n v="1"/>
    <s v="CCAMP"/>
    <d v="2019-04-25T00:00:00"/>
    <x v="0"/>
    <m/>
    <d v="1899-12-30T02:31:00"/>
    <s v="Partly cloudy"/>
    <s v="GB/BS"/>
    <s v="Foraging"/>
    <s v="NA"/>
    <n v="1"/>
    <n v="0"/>
    <n v="0"/>
    <x v="3"/>
    <x v="3"/>
    <s v="Ground"/>
    <s v="NA"/>
    <m/>
    <m/>
    <m/>
    <s v="NA"/>
    <s v="NA"/>
    <s v="NA"/>
    <s v="NA"/>
    <s v="NA"/>
    <s v="NA"/>
    <s v="NA"/>
    <s v="NA"/>
    <n v="0"/>
    <n v="0"/>
    <n v="0"/>
    <n v="0"/>
    <n v="111"/>
    <n v="111"/>
    <s v="Searching"/>
    <m/>
    <m/>
    <m/>
  </r>
  <r>
    <s v="DSCN2515"/>
    <s v="M4R0325_8"/>
    <n v="8"/>
    <n v="1"/>
    <s v="M4Roadside"/>
    <d v="2019-03-25T00:00:00"/>
    <x v="1"/>
    <m/>
    <d v="1899-12-30T02:25:00"/>
    <s v="Overcast"/>
    <s v="YO/BS"/>
    <s v="Foraging"/>
    <s v="NA"/>
    <n v="1"/>
    <n v="0"/>
    <n v="0"/>
    <x v="1"/>
    <x v="4"/>
    <s v="Ground"/>
    <s v="NA"/>
    <m/>
    <m/>
    <m/>
    <s v="NA"/>
    <s v="NA"/>
    <s v="NA"/>
    <s v="NA"/>
    <s v="NA"/>
    <m/>
    <m/>
    <m/>
    <n v="0"/>
    <n v="0"/>
    <n v="0"/>
    <n v="0"/>
    <n v="109"/>
    <n v="109"/>
    <s v="Searching"/>
    <s v="Checked possible cache tree but did not see anything. "/>
    <m/>
    <m/>
  </r>
  <r>
    <s v="DSCN3363"/>
    <s v="WW0422_8"/>
    <n v="8"/>
    <n v="1"/>
    <s v="WAC West"/>
    <d v="2019-04-22T00:00:00"/>
    <x v="0"/>
    <m/>
    <d v="1899-12-30T01:39:00"/>
    <s v="Partly cloudy"/>
    <s v="BP/PS"/>
    <s v="Foraging"/>
    <s v="NA"/>
    <n v="1"/>
    <n v="0"/>
    <n v="0"/>
    <x v="2"/>
    <x v="2"/>
    <s v="Ground"/>
    <s v="NA"/>
    <m/>
    <m/>
    <m/>
    <s v="NA"/>
    <s v="NA"/>
    <s v="NA"/>
    <s v="NA"/>
    <s v="NA"/>
    <s v="NA"/>
    <s v="NA"/>
    <s v="NA"/>
    <n v="0"/>
    <n v="0"/>
    <n v="0"/>
    <n v="0"/>
    <n v="99"/>
    <n v="99"/>
    <s v="Searching"/>
    <m/>
    <m/>
    <m/>
  </r>
  <r>
    <s v="DSCN3842"/>
    <s v="CC0503_22"/>
    <n v="22"/>
    <n v="1"/>
    <s v="CCAMP"/>
    <d v="2019-05-03T00:00:00"/>
    <x v="2"/>
    <s v="Spring"/>
    <d v="1899-12-30T01:39:00"/>
    <s v="Overcast, light snow"/>
    <s v="GL/RS"/>
    <s v="Foraging"/>
    <s v="NA"/>
    <s v="unknown"/>
    <n v="0"/>
    <n v="0"/>
    <x v="0"/>
    <x v="0"/>
    <s v="NA"/>
    <s v="NA"/>
    <m/>
    <m/>
    <m/>
    <s v="NA"/>
    <s v="NA"/>
    <s v="NA"/>
    <s v="NA"/>
    <s v="NA"/>
    <s v="NA"/>
    <s v="NA"/>
    <s v="NA"/>
    <n v="0"/>
    <n v="0"/>
    <n v="0"/>
    <n v="0"/>
    <n v="99"/>
    <n v="99"/>
    <s v="Searching"/>
    <m/>
    <m/>
    <m/>
  </r>
  <r>
    <s v="DSCN3452"/>
    <s v="SQ0422_10"/>
    <n v="10"/>
    <n v="1"/>
    <s v="Sasquatch"/>
    <d v="2019-04-22T00:00:00"/>
    <x v="0"/>
    <m/>
    <d v="1899-12-30T01:38:00"/>
    <s v="Partly cloudy"/>
    <s v="G/BS"/>
    <s v="Foraging"/>
    <s v="NA"/>
    <s v="unknown"/>
    <n v="0"/>
    <n v="0"/>
    <x v="0"/>
    <x v="0"/>
    <s v="NA"/>
    <s v="NA"/>
    <m/>
    <m/>
    <m/>
    <s v="NA"/>
    <s v="NA"/>
    <s v="NA"/>
    <s v="NA"/>
    <s v="NA"/>
    <s v="NA"/>
    <s v="NA"/>
    <s v="NA"/>
    <n v="0"/>
    <n v="0"/>
    <n v="0"/>
    <n v="0"/>
    <n v="98"/>
    <n v="98"/>
    <s v="Searching"/>
    <m/>
    <m/>
    <m/>
  </r>
  <r>
    <s v="DSCN3545"/>
    <s v="CC0425_16"/>
    <n v="16"/>
    <n v="1"/>
    <s v="CCAMP"/>
    <d v="2019-04-25T00:00:00"/>
    <x v="0"/>
    <m/>
    <d v="1899-12-30T01:36:00"/>
    <s v="Partly cloudy"/>
    <s v="GB/BS"/>
    <s v="Foraging"/>
    <s v="NA"/>
    <s v="unknown"/>
    <n v="0"/>
    <n v="0"/>
    <x v="0"/>
    <x v="0"/>
    <s v="NA"/>
    <s v="NA"/>
    <m/>
    <m/>
    <m/>
    <s v="NA"/>
    <s v="NA"/>
    <s v="NA"/>
    <s v="NA"/>
    <s v="NA"/>
    <s v="NA"/>
    <s v="NA"/>
    <s v="NA"/>
    <n v="0"/>
    <n v="0"/>
    <n v="0"/>
    <n v="0"/>
    <n v="96"/>
    <n v="96"/>
    <s v="Searching"/>
    <m/>
    <m/>
    <m/>
  </r>
  <r>
    <s v="DSCN3529"/>
    <s v="CC0425_5"/>
    <n v="5"/>
    <n v="1"/>
    <s v="CCAMP"/>
    <d v="2019-04-25T00:00:00"/>
    <x v="0"/>
    <m/>
    <d v="1899-12-30T01:36:00"/>
    <s v="Partly cloudy"/>
    <s v="GB/BS"/>
    <s v="Foraging"/>
    <s v="NA"/>
    <s v="unknown"/>
    <n v="0"/>
    <n v="0"/>
    <x v="0"/>
    <x v="0"/>
    <s v="NA"/>
    <s v="NA"/>
    <m/>
    <m/>
    <m/>
    <s v="NA"/>
    <s v="NA"/>
    <s v="NA"/>
    <s v="NA"/>
    <s v="NA"/>
    <s v="NA"/>
    <s v="NA"/>
    <s v="NA"/>
    <n v="0"/>
    <n v="0"/>
    <n v="0"/>
    <n v="0"/>
    <n v="96"/>
    <n v="96"/>
    <s v="Searching"/>
    <m/>
    <m/>
    <m/>
  </r>
  <r>
    <s v="DSCN3232"/>
    <s v="M4R0417_14"/>
    <n v="14"/>
    <n v="1"/>
    <s v="M4Roadside"/>
    <d v="2019-04-17T00:00:00"/>
    <x v="0"/>
    <m/>
    <d v="1899-12-30T01:34:00"/>
    <s v="Overcast, light snow"/>
    <s v="YO/BS"/>
    <s v="Foraging"/>
    <s v="Spruce"/>
    <s v="unknown"/>
    <s v="unknown"/>
    <n v="0"/>
    <x v="0"/>
    <x v="0"/>
    <s v="NA"/>
    <s v="NA"/>
    <m/>
    <m/>
    <m/>
    <s v="NA"/>
    <s v="NA"/>
    <s v="NA"/>
    <s v="NA"/>
    <s v="NA"/>
    <s v="NA"/>
    <s v="NA"/>
    <m/>
    <n v="77"/>
    <n v="0"/>
    <n v="77"/>
    <n v="0"/>
    <n v="17"/>
    <n v="94"/>
    <s v="Searching"/>
    <m/>
    <m/>
    <m/>
  </r>
  <r>
    <s v="DSCN3834"/>
    <s v="CC0503_14"/>
    <n v="14"/>
    <n v="2"/>
    <s v="CCAMP"/>
    <d v="2019-05-03T00:00:00"/>
    <x v="2"/>
    <m/>
    <d v="1899-12-30T01:43:00"/>
    <s v="Overcast, light snow"/>
    <s v="GB/BS"/>
    <s v="Foraging"/>
    <s v="NA"/>
    <n v="1"/>
    <n v="0"/>
    <n v="0"/>
    <x v="2"/>
    <x v="2"/>
    <s v="Ground"/>
    <s v="NA"/>
    <m/>
    <m/>
    <m/>
    <s v="NA"/>
    <s v="NA"/>
    <s v="NA"/>
    <s v="NA"/>
    <s v="NA"/>
    <s v="NA"/>
    <s v="NA"/>
    <s v="NA"/>
    <n v="0"/>
    <n v="0"/>
    <n v="0"/>
    <n v="0"/>
    <n v="92"/>
    <n v="92"/>
    <s v="Searching"/>
    <m/>
    <m/>
    <m/>
  </r>
  <r>
    <s v="DSCN3557"/>
    <s v="CC0425_25"/>
    <n v="25"/>
    <n v="1"/>
    <s v="CCAMP"/>
    <d v="2019-04-25T00:00:00"/>
    <x v="0"/>
    <m/>
    <d v="1899-12-30T01:32:00"/>
    <s v="Partly cloudy"/>
    <s v="GB/BS"/>
    <s v="Foraging"/>
    <s v="NA"/>
    <n v="1"/>
    <n v="1"/>
    <n v="0"/>
    <x v="2"/>
    <x v="5"/>
    <s v="Exterior bare spruce branch"/>
    <s v="NA"/>
    <m/>
    <m/>
    <m/>
    <s v="NA"/>
    <s v="NA"/>
    <s v="NA"/>
    <s v="NA"/>
    <s v="NA"/>
    <n v="63.724789999999999"/>
    <n v="148.94768999999999"/>
    <s v="NA"/>
    <n v="2"/>
    <n v="0"/>
    <n v="0"/>
    <n v="2"/>
    <n v="88"/>
    <n v="90"/>
    <s v="Searching/probing"/>
    <m/>
    <n v="1"/>
    <n v="0"/>
  </r>
  <r>
    <s v="DSCN3532"/>
    <s v="CC0425_8"/>
    <n v="8"/>
    <n v="1"/>
    <s v="CCAMP"/>
    <d v="2019-04-25T00:00:00"/>
    <x v="0"/>
    <m/>
    <d v="1899-12-30T01:28:00"/>
    <s v="Partly cloudy"/>
    <s v="GB/BS"/>
    <s v="Foraging"/>
    <s v="NA"/>
    <s v="unknown"/>
    <n v="0"/>
    <n v="0"/>
    <x v="0"/>
    <x v="0"/>
    <s v="NA"/>
    <s v="NA"/>
    <m/>
    <m/>
    <m/>
    <s v="NA"/>
    <s v="NA"/>
    <s v="NA"/>
    <s v="NA"/>
    <s v="NA"/>
    <s v="NA"/>
    <s v="NA"/>
    <s v="NA"/>
    <n v="0"/>
    <n v="0"/>
    <n v="0"/>
    <n v="0"/>
    <n v="88"/>
    <n v="88"/>
    <s v="Searching"/>
    <m/>
    <m/>
    <m/>
  </r>
  <r>
    <s v="DSCN2861"/>
    <s v="BU0403_1"/>
    <n v="1"/>
    <n v="1"/>
    <s v="B&amp;U"/>
    <d v="2019-04-03T00:00:00"/>
    <x v="0"/>
    <m/>
    <d v="1899-12-30T02:20:00"/>
    <m/>
    <s v="GR/PS"/>
    <s v="Foraging"/>
    <s v="NA"/>
    <n v="2"/>
    <n v="0"/>
    <n v="0"/>
    <x v="2"/>
    <x v="2"/>
    <s v="Ground"/>
    <s v="NA"/>
    <m/>
    <m/>
    <m/>
    <s v="NA"/>
    <s v="NA"/>
    <s v="NA"/>
    <s v="NA"/>
    <s v="NA"/>
    <s v="NA"/>
    <s v="NA"/>
    <m/>
    <n v="0"/>
    <n v="0"/>
    <n v="0"/>
    <n v="0"/>
    <n v="87"/>
    <n v="87"/>
    <s v="Searching"/>
    <m/>
    <m/>
    <m/>
  </r>
  <r>
    <s v="DSCN3376"/>
    <s v="WW0422_19"/>
    <n v="19"/>
    <n v="1"/>
    <s v="WAC West"/>
    <d v="2019-04-22T00:00:00"/>
    <x v="0"/>
    <m/>
    <d v="1899-12-30T01:27:00"/>
    <s v="Partly cloudy"/>
    <s v="BP/PS"/>
    <s v="Foraging"/>
    <s v="NA"/>
    <n v="1"/>
    <n v="0"/>
    <n v="0"/>
    <x v="2"/>
    <x v="2"/>
    <s v="Ground"/>
    <s v="NA"/>
    <m/>
    <m/>
    <m/>
    <s v="NA"/>
    <s v="NA"/>
    <s v="NA"/>
    <s v="NA"/>
    <s v="NA"/>
    <s v="NA"/>
    <s v="NA"/>
    <s v="NA"/>
    <n v="0"/>
    <n v="0"/>
    <n v="0"/>
    <n v="0"/>
    <n v="87"/>
    <n v="87"/>
    <s v="Searching"/>
    <m/>
    <m/>
    <m/>
  </r>
  <r>
    <s v="DSCN3534"/>
    <s v="CC0425_10"/>
    <n v="10"/>
    <n v="1"/>
    <s v="CCAMP"/>
    <d v="2019-04-25T00:00:00"/>
    <x v="0"/>
    <m/>
    <d v="1899-12-30T01:27:00"/>
    <s v="Partly cloudy"/>
    <s v="GB/BS"/>
    <s v="Foraging"/>
    <s v="NA"/>
    <s v="unknown"/>
    <n v="0"/>
    <n v="0"/>
    <x v="0"/>
    <x v="0"/>
    <s v="NA"/>
    <s v="NA"/>
    <m/>
    <m/>
    <m/>
    <s v="NA"/>
    <s v="NA"/>
    <s v="NA"/>
    <s v="NA"/>
    <s v="NA"/>
    <s v="NA"/>
    <s v="NA"/>
    <s v="NA"/>
    <n v="0"/>
    <n v="0"/>
    <n v="0"/>
    <n v="0"/>
    <n v="87"/>
    <n v="87"/>
    <s v="Searching"/>
    <m/>
    <m/>
    <m/>
  </r>
  <r>
    <s v="DSCN3653"/>
    <s v="M4R0430_11"/>
    <n v="11"/>
    <n v="1"/>
    <s v="M4Roadside"/>
    <d v="2019-04-30T00:00:00"/>
    <x v="0"/>
    <m/>
    <d v="1899-12-30T01:37:00"/>
    <s v="Clear, full sun"/>
    <s v="OB/YS"/>
    <s v="Foraging"/>
    <s v="NA"/>
    <n v="1"/>
    <n v="0"/>
    <n v="1"/>
    <x v="3"/>
    <x v="6"/>
    <s v="Ground"/>
    <s v="Exterior spruce branch under witch hair"/>
    <s v="Spruce"/>
    <s v="Exterior"/>
    <s v="Under witchhair"/>
    <s v="SW"/>
    <n v="220"/>
    <n v="10.9"/>
    <n v="63.719990000000003"/>
    <n v="148.98865000000001"/>
    <s v="NA"/>
    <s v="NA"/>
    <s v="NA"/>
    <n v="0"/>
    <n v="0"/>
    <n v="0"/>
    <n v="0"/>
    <n v="85"/>
    <n v="85"/>
    <s v="Searching"/>
    <m/>
    <m/>
    <m/>
  </r>
  <r>
    <s v="DSCN2987"/>
    <s v="WW0405_27"/>
    <n v="27"/>
    <n v="2"/>
    <s v="WAC West"/>
    <d v="2019-04-05T00:00:00"/>
    <x v="0"/>
    <m/>
    <d v="1899-12-30T01:38:00"/>
    <m/>
    <s v="BP/PS"/>
    <s v="Foraging"/>
    <s v="Spruce"/>
    <s v="unknown"/>
    <n v="0"/>
    <n v="0"/>
    <x v="0"/>
    <x v="0"/>
    <s v="NA"/>
    <s v="NA"/>
    <m/>
    <m/>
    <m/>
    <s v="NA"/>
    <s v="NA"/>
    <s v="NA"/>
    <s v="NA"/>
    <s v="NA"/>
    <s v="NA"/>
    <s v="NA"/>
    <m/>
    <n v="0"/>
    <n v="0"/>
    <n v="0"/>
    <n v="0"/>
    <n v="85"/>
    <n v="85"/>
    <s v="Searching"/>
    <m/>
    <m/>
    <m/>
  </r>
  <r>
    <s v="DSCN2600"/>
    <s v="M4R0327_5"/>
    <n v="5"/>
    <n v="2"/>
    <s v="M4Roadside"/>
    <d v="2019-03-27T00:00:00"/>
    <x v="1"/>
    <m/>
    <d v="1899-12-30T01:38:00"/>
    <s v="Overcast"/>
    <s v="YO/BS"/>
    <s v="Foraging"/>
    <s v="NA"/>
    <n v="3"/>
    <n v="0"/>
    <n v="0"/>
    <x v="2"/>
    <x v="2"/>
    <s v="Ground"/>
    <s v="NA"/>
    <m/>
    <m/>
    <m/>
    <s v="NA"/>
    <s v="NA"/>
    <s v="NA"/>
    <s v="NA"/>
    <s v="NA"/>
    <s v="NA"/>
    <s v="NA"/>
    <m/>
    <n v="0"/>
    <n v="0"/>
    <n v="0"/>
    <n v="0"/>
    <n v="84"/>
    <n v="84"/>
    <s v="Searching"/>
    <m/>
    <m/>
    <m/>
  </r>
  <r>
    <s v="DSCN3564"/>
    <s v="CC0425_30"/>
    <n v="30"/>
    <n v="1"/>
    <s v="CCAMP"/>
    <d v="2019-04-25T00:00:00"/>
    <x v="0"/>
    <m/>
    <d v="1899-12-30T01:24:00"/>
    <s v="Partly cloudy"/>
    <s v="GB/BS"/>
    <s v="Foraging"/>
    <s v="NA"/>
    <s v="unknown"/>
    <n v="0"/>
    <n v="0"/>
    <x v="0"/>
    <x v="0"/>
    <s v="NA"/>
    <s v="NA"/>
    <m/>
    <m/>
    <m/>
    <s v="NA"/>
    <s v="NA"/>
    <s v="NA"/>
    <s v="NA"/>
    <s v="NA"/>
    <s v="NA"/>
    <s v="NA"/>
    <s v="NA"/>
    <n v="0"/>
    <n v="0"/>
    <n v="0"/>
    <n v="0"/>
    <n v="84"/>
    <n v="84"/>
    <s v="Searching"/>
    <m/>
    <m/>
    <m/>
  </r>
  <r>
    <s v="DSCN3600"/>
    <s v="AQ0426_4"/>
    <n v="4"/>
    <n v="2"/>
    <s v="Air Quality"/>
    <d v="2019-04-26T00:00:00"/>
    <x v="0"/>
    <m/>
    <d v="1899-12-30T06:01:00"/>
    <m/>
    <s v="PG/PS"/>
    <s v="Foraging"/>
    <s v="NA"/>
    <n v="1"/>
    <n v="0"/>
    <n v="0"/>
    <x v="2"/>
    <x v="2"/>
    <s v="Ground"/>
    <s v="NA"/>
    <m/>
    <m/>
    <m/>
    <s v="NA"/>
    <s v="NA"/>
    <s v="NA"/>
    <s v="NA"/>
    <s v="NA"/>
    <s v="NA"/>
    <s v="NA"/>
    <s v="NA"/>
    <n v="0"/>
    <n v="0"/>
    <n v="0"/>
    <n v="0"/>
    <n v="82"/>
    <n v="82"/>
    <m/>
    <m/>
    <m/>
    <m/>
  </r>
  <r>
    <s v="DSCN3936"/>
    <s v="M2370508_6"/>
    <n v="6"/>
    <n v="1"/>
    <s v="Mile 237"/>
    <d v="2019-05-08T00:00:00"/>
    <x v="2"/>
    <m/>
    <d v="1899-12-30T01:22:00"/>
    <s v="Overcast"/>
    <s v="YP/RS"/>
    <s v="Foraging"/>
    <s v="NA"/>
    <n v="1"/>
    <s v="unknown"/>
    <n v="0"/>
    <x v="2"/>
    <x v="2"/>
    <s v="Exterior spruce branch Under bark"/>
    <s v="NA"/>
    <m/>
    <m/>
    <m/>
    <s v="NA"/>
    <s v="NA"/>
    <s v="NA"/>
    <s v="NA"/>
    <s v="NA"/>
    <s v="NA"/>
    <s v="NA"/>
    <s v="NA"/>
    <n v="72"/>
    <n v="0"/>
    <n v="48"/>
    <n v="24"/>
    <n v="10"/>
    <n v="82"/>
    <s v="Searching/probing"/>
    <m/>
    <m/>
    <m/>
  </r>
  <r>
    <s v="DSCN2971"/>
    <s v="WW0405_16"/>
    <n v="16"/>
    <n v="1"/>
    <s v="WAC West"/>
    <d v="2019-04-05T00:00:00"/>
    <x v="0"/>
    <m/>
    <d v="1899-12-30T02:06:00"/>
    <m/>
    <s v="BP/PS"/>
    <s v="Caching"/>
    <s v="Spruce"/>
    <n v="0"/>
    <n v="0"/>
    <n v="1"/>
    <x v="1"/>
    <x v="7"/>
    <s v="NA"/>
    <s v="Exterior spruce branch under witch hair"/>
    <s v="Spruce"/>
    <s v="Exterior"/>
    <s v="Under witchhair"/>
    <m/>
    <n v="60"/>
    <n v="15"/>
    <n v="63.738950000000003"/>
    <n v="148.89493999999999"/>
    <s v="NA"/>
    <s v="NA"/>
    <m/>
    <n v="0"/>
    <n v="0"/>
    <n v="0"/>
    <n v="0"/>
    <n v="81"/>
    <n v="81"/>
    <s v="Searching"/>
    <m/>
    <m/>
    <m/>
  </r>
  <r>
    <s v="DSCN3382"/>
    <s v="WW0422_24"/>
    <n v="24"/>
    <n v="1"/>
    <s v="WAC West"/>
    <d v="2019-04-22T00:00:00"/>
    <x v="0"/>
    <m/>
    <d v="1899-12-30T01:21:00"/>
    <s v="Partly cloudy"/>
    <s v="BP/PS"/>
    <s v="Foraging"/>
    <s v="NA"/>
    <s v="unknown"/>
    <n v="0"/>
    <n v="0"/>
    <x v="0"/>
    <x v="0"/>
    <s v="NA"/>
    <s v="NA"/>
    <m/>
    <m/>
    <m/>
    <s v="NA"/>
    <s v="NA"/>
    <s v="NA"/>
    <s v="NA"/>
    <s v="NA"/>
    <s v="NA"/>
    <s v="NA"/>
    <s v="NA"/>
    <n v="0"/>
    <n v="0"/>
    <n v="0"/>
    <n v="0"/>
    <n v="81"/>
    <n v="81"/>
    <s v="Searching"/>
    <m/>
    <m/>
    <m/>
  </r>
  <r>
    <s v="DSCN3547"/>
    <s v="CC0425_18"/>
    <n v="18"/>
    <n v="1"/>
    <s v="CCAMP"/>
    <d v="2019-04-25T00:00:00"/>
    <x v="0"/>
    <m/>
    <d v="1899-12-30T01:52:00"/>
    <s v="Partly cloudy"/>
    <s v="GB/BS"/>
    <s v="Foraging"/>
    <s v="NA"/>
    <s v="unknown"/>
    <n v="0"/>
    <n v="0"/>
    <x v="0"/>
    <x v="0"/>
    <s v="NA"/>
    <s v="NA"/>
    <m/>
    <m/>
    <m/>
    <s v="NA"/>
    <s v="NA"/>
    <s v="NA"/>
    <s v="NA"/>
    <s v="NA"/>
    <s v="NA"/>
    <s v="NA"/>
    <s v="NA"/>
    <n v="0"/>
    <n v="0"/>
    <n v="0"/>
    <n v="0"/>
    <n v="80"/>
    <n v="80"/>
    <s v="Searching"/>
    <m/>
    <m/>
    <m/>
  </r>
  <r>
    <s v="DSCN3014"/>
    <s v="M2370409_3"/>
    <n v="3"/>
    <n v="1"/>
    <s v="Mile 237"/>
    <d v="2019-04-09T00:00:00"/>
    <x v="0"/>
    <m/>
    <d v="1899-12-30T01:19:00"/>
    <m/>
    <s v="YP/RS"/>
    <s v="Foraging"/>
    <s v="NA"/>
    <s v="unknown"/>
    <n v="0"/>
    <n v="0"/>
    <x v="0"/>
    <x v="0"/>
    <s v="NA"/>
    <s v="NA"/>
    <m/>
    <m/>
    <m/>
    <s v="NA"/>
    <s v="NA"/>
    <s v="NA"/>
    <s v="NA"/>
    <s v="NA"/>
    <s v="NA"/>
    <s v="NA"/>
    <m/>
    <n v="0"/>
    <n v="0"/>
    <n v="0"/>
    <n v="0"/>
    <n v="79"/>
    <n v="79"/>
    <s v="Searching"/>
    <m/>
    <m/>
    <m/>
  </r>
  <r>
    <s v="DSCN2584"/>
    <s v="BU0327_5"/>
    <n v="5"/>
    <n v="2"/>
    <s v="B&amp;U"/>
    <d v="2019-03-27T00:00:00"/>
    <x v="1"/>
    <m/>
    <d v="1899-12-30T01:34:00"/>
    <s v="Overcast"/>
    <s v="GR/PS"/>
    <s v="Foraging"/>
    <s v="Spruce"/>
    <n v="2"/>
    <n v="1"/>
    <n v="0"/>
    <x v="3"/>
    <x v="8"/>
    <s v="Ground"/>
    <s v="NA"/>
    <m/>
    <m/>
    <m/>
    <s v="NA"/>
    <s v="NA"/>
    <s v="NA"/>
    <s v="NA"/>
    <s v="NA"/>
    <s v="NA"/>
    <s v="NA"/>
    <m/>
    <n v="0"/>
    <n v="0"/>
    <n v="0"/>
    <n v="0"/>
    <n v="78"/>
    <n v="78"/>
    <s v="Searching"/>
    <s v="Berries aquired during two different foraging attempts"/>
    <m/>
    <m/>
  </r>
  <r>
    <s v="DSCN3050"/>
    <s v="UNK0411_5"/>
    <n v="5"/>
    <n v="1"/>
    <s v="Unknown"/>
    <d v="2019-04-11T00:00:00"/>
    <x v="0"/>
    <m/>
    <d v="1899-12-30T01:43:00"/>
    <m/>
    <s v="unbanded"/>
    <s v="Foraging"/>
    <s v="Spruce"/>
    <n v="2"/>
    <s v="unknown"/>
    <n v="0"/>
    <x v="2"/>
    <x v="2"/>
    <s v="Interior spruce under bark"/>
    <s v="NA"/>
    <m/>
    <m/>
    <m/>
    <s v="NA"/>
    <s v="NA"/>
    <s v="NA"/>
    <s v="NA"/>
    <s v="NA"/>
    <s v="NA"/>
    <s v="NA"/>
    <m/>
    <n v="78"/>
    <n v="0"/>
    <n v="78"/>
    <n v="0"/>
    <n v="0"/>
    <n v="78"/>
    <s v="Searching"/>
    <m/>
    <m/>
    <m/>
  </r>
  <r>
    <s v="DSCN3492"/>
    <s v="MC0424_10"/>
    <n v="10"/>
    <n v="1"/>
    <s v="Mercantile"/>
    <d v="2019-04-24T00:00:00"/>
    <x v="0"/>
    <m/>
    <d v="1899-12-30T01:31:00"/>
    <s v="Partly cloudy"/>
    <s v="BW/GS"/>
    <s v="Foraging"/>
    <s v="NA"/>
    <n v="3"/>
    <n v="0"/>
    <n v="0"/>
    <x v="2"/>
    <x v="2"/>
    <s v="Ground"/>
    <s v="NA"/>
    <m/>
    <m/>
    <m/>
    <s v="NA"/>
    <s v="NA"/>
    <s v="NA"/>
    <s v="NA"/>
    <s v="NA"/>
    <s v="NA"/>
    <s v="NA"/>
    <s v="NA"/>
    <n v="0"/>
    <n v="0"/>
    <n v="0"/>
    <n v="0"/>
    <n v="78"/>
    <n v="78"/>
    <s v="Searching"/>
    <m/>
    <m/>
    <m/>
  </r>
  <r>
    <s v="DSCN2709"/>
    <s v="WW0330_7"/>
    <n v="7"/>
    <n v="1"/>
    <s v="WAC West"/>
    <d v="2019-03-30T00:00:00"/>
    <x v="1"/>
    <m/>
    <d v="1899-12-30T02:43:00"/>
    <m/>
    <s v="BP/PS"/>
    <s v="Foraging"/>
    <s v="NA"/>
    <n v="2"/>
    <n v="0"/>
    <n v="0"/>
    <x v="2"/>
    <x v="2"/>
    <s v="Ground"/>
    <s v="NA"/>
    <m/>
    <m/>
    <m/>
    <s v="NA"/>
    <s v="NA"/>
    <s v="NA"/>
    <s v="NA"/>
    <s v="NA"/>
    <s v="NA"/>
    <s v="NA"/>
    <m/>
    <n v="0"/>
    <n v="0"/>
    <n v="0"/>
    <n v="0"/>
    <n v="77"/>
    <n v="77"/>
    <s v="Searching"/>
    <m/>
    <m/>
    <m/>
  </r>
  <r>
    <s v="DSCN3522"/>
    <s v="MC0424_29"/>
    <n v="29"/>
    <n v="2"/>
    <s v="Mercantile"/>
    <d v="2019-04-24T00:00:00"/>
    <x v="0"/>
    <m/>
    <d v="1899-12-30T01:42:00"/>
    <s v="Partly cloudy"/>
    <s v="BW/GS"/>
    <s v="Foraging"/>
    <s v="NA"/>
    <n v="2"/>
    <n v="0"/>
    <n v="0"/>
    <x v="2"/>
    <x v="2"/>
    <s v="Ground"/>
    <s v="NA"/>
    <m/>
    <m/>
    <m/>
    <s v="NA"/>
    <s v="NA"/>
    <s v="NA"/>
    <s v="NA"/>
    <s v="NA"/>
    <s v="NA"/>
    <s v="NA"/>
    <s v="NA"/>
    <n v="0"/>
    <n v="0"/>
    <n v="0"/>
    <n v="0"/>
    <n v="77"/>
    <n v="77"/>
    <s v="Searching"/>
    <m/>
    <m/>
    <m/>
  </r>
  <r>
    <s v="DSCN2849"/>
    <s v="M2370403_15"/>
    <n v="15"/>
    <n v="1"/>
    <s v="Mile 237"/>
    <d v="2019-04-03T00:00:00"/>
    <x v="0"/>
    <m/>
    <d v="1899-12-30T01:28:00"/>
    <m/>
    <s v="YP/RS"/>
    <s v="Foraging"/>
    <s v="Spruce"/>
    <n v="1"/>
    <n v="1"/>
    <n v="0"/>
    <x v="2"/>
    <x v="2"/>
    <s v="Interior bare spruce branch on witch hair"/>
    <m/>
    <m/>
    <m/>
    <m/>
    <s v="NA"/>
    <s v="NA"/>
    <s v="NA"/>
    <s v="NA"/>
    <s v="NA"/>
    <n v="63.72354"/>
    <n v="148.88695000000001"/>
    <m/>
    <n v="75"/>
    <n v="0"/>
    <n v="75"/>
    <n v="0"/>
    <n v="0"/>
    <n v="75"/>
    <s v="Searching/probing"/>
    <s v="Maybe insect?  Or plant bud?"/>
    <n v="8"/>
    <n v="0"/>
  </r>
  <r>
    <s v="DSCN2849"/>
    <s v="M2370403_15"/>
    <n v="15"/>
    <n v="1"/>
    <s v="Mile 237"/>
    <d v="2019-04-03T00:00:00"/>
    <x v="0"/>
    <m/>
    <d v="1899-12-30T01:28:00"/>
    <m/>
    <s v="YP/RS"/>
    <s v="Foraging"/>
    <s v="Spruce"/>
    <n v="1"/>
    <n v="1"/>
    <n v="0"/>
    <x v="2"/>
    <x v="2"/>
    <s v="Under bark of spruce trunk"/>
    <s v="NA"/>
    <m/>
    <m/>
    <m/>
    <s v="NA"/>
    <s v="NA"/>
    <s v="NA"/>
    <s v="NA"/>
    <s v="NA"/>
    <n v="63.72354"/>
    <n v="148.88695000000001"/>
    <m/>
    <n v="75"/>
    <n v="0"/>
    <n v="75"/>
    <n v="0"/>
    <n v="0"/>
    <n v="75"/>
    <s v="Searching/probing"/>
    <s v="Recovers at least three items from the first cache. Maybe dried berries? Tough to say."/>
    <n v="8"/>
    <n v="0"/>
  </r>
  <r>
    <s v="DSCN3359"/>
    <s v="WW0422_6"/>
    <n v="6"/>
    <n v="1"/>
    <s v="WAC West"/>
    <d v="2019-04-22T00:00:00"/>
    <x v="0"/>
    <m/>
    <d v="1899-12-30T01:14:00"/>
    <s v="Partly cloudy"/>
    <s v="BP/PS"/>
    <s v="Foraging"/>
    <s v="NA"/>
    <n v="1"/>
    <n v="0"/>
    <n v="0"/>
    <x v="2"/>
    <x v="2"/>
    <s v="Ground"/>
    <s v="NA"/>
    <m/>
    <m/>
    <m/>
    <s v="NA"/>
    <s v="NA"/>
    <s v="NA"/>
    <s v="NA"/>
    <s v="NA"/>
    <s v="NA"/>
    <s v="NA"/>
    <s v="NA"/>
    <n v="0"/>
    <n v="0"/>
    <n v="0"/>
    <n v="0"/>
    <n v="74"/>
    <n v="74"/>
    <s v="Searching"/>
    <m/>
    <m/>
    <m/>
  </r>
  <r>
    <s v="DSCN3225"/>
    <s v="M4R0417_8"/>
    <n v="8"/>
    <n v="1"/>
    <s v="M4Roadside"/>
    <d v="2019-04-17T00:00:00"/>
    <x v="0"/>
    <m/>
    <d v="1899-12-30T01:24:00"/>
    <s v="Overcast, light snow"/>
    <s v="YO/BS"/>
    <s v="Foraging"/>
    <s v="NA"/>
    <n v="1"/>
    <s v="unknown"/>
    <n v="0"/>
    <x v="2"/>
    <x v="2"/>
    <s v="Spruce trunk under bark"/>
    <s v="NA"/>
    <m/>
    <m/>
    <m/>
    <s v="NA"/>
    <s v="NA"/>
    <s v="NA"/>
    <s v="NA"/>
    <s v="NA"/>
    <s v="NA"/>
    <s v="NA"/>
    <m/>
    <n v="56"/>
    <n v="0"/>
    <n v="56"/>
    <n v="0"/>
    <n v="17"/>
    <n v="73"/>
    <m/>
    <m/>
    <n v="9"/>
    <n v="0"/>
  </r>
  <r>
    <s v="DSCN3381"/>
    <s v="WW0422_23"/>
    <n v="23"/>
    <n v="1"/>
    <s v="WAC West"/>
    <d v="2019-04-22T00:00:00"/>
    <x v="0"/>
    <m/>
    <d v="1899-12-30T01:13:00"/>
    <s v="Partly cloudy"/>
    <s v="BP/PS"/>
    <s v="Foraging"/>
    <s v="NA"/>
    <n v="1"/>
    <n v="0"/>
    <n v="0"/>
    <x v="2"/>
    <x v="2"/>
    <s v="Ground"/>
    <s v="NA"/>
    <m/>
    <m/>
    <m/>
    <s v="NA"/>
    <s v="NA"/>
    <s v="NA"/>
    <s v="NA"/>
    <s v="NA"/>
    <s v="NA"/>
    <s v="NA"/>
    <s v="NA"/>
    <n v="0"/>
    <n v="0"/>
    <n v="0"/>
    <n v="0"/>
    <n v="73"/>
    <n v="73"/>
    <s v="Searching"/>
    <s v="Missed acquisition"/>
    <m/>
    <m/>
  </r>
  <r>
    <s v="DSCN3779"/>
    <s v="BU0502_2"/>
    <n v="2"/>
    <n v="1"/>
    <s v="B&amp;U"/>
    <d v="2019-05-02T00:00:00"/>
    <x v="2"/>
    <m/>
    <d v="1899-12-30T01:48:00"/>
    <s v="Mostly cloudy"/>
    <s v="GR/PS"/>
    <s v="Foraging"/>
    <s v="NA"/>
    <s v="unknown"/>
    <n v="0"/>
    <n v="0"/>
    <x v="0"/>
    <x v="0"/>
    <s v="NA"/>
    <s v="NA"/>
    <m/>
    <m/>
    <m/>
    <s v="NA"/>
    <s v="NA"/>
    <s v="NA"/>
    <s v="NA"/>
    <s v="NA"/>
    <s v="NA"/>
    <s v="NA"/>
    <s v="NA"/>
    <n v="0"/>
    <n v="0"/>
    <n v="0"/>
    <n v="0"/>
    <n v="73"/>
    <n v="73"/>
    <s v="Searching"/>
    <m/>
    <m/>
    <m/>
  </r>
  <r>
    <s v="DSCN3148"/>
    <s v="M2370415_15"/>
    <n v="15"/>
    <n v="1"/>
    <s v="Mile 237"/>
    <d v="2019-04-15T00:00:00"/>
    <x v="0"/>
    <m/>
    <d v="1899-12-30T01:53:00"/>
    <s v="Partly cloudy"/>
    <s v="YP/RS"/>
    <s v="Foraging"/>
    <s v="NA"/>
    <s v="unknown"/>
    <n v="0"/>
    <n v="0"/>
    <x v="0"/>
    <x v="0"/>
    <s v="NA"/>
    <s v="NA"/>
    <m/>
    <m/>
    <m/>
    <s v="NA"/>
    <s v="NA"/>
    <s v="NA"/>
    <s v="NA"/>
    <s v="NA"/>
    <s v="NA"/>
    <s v="NA"/>
    <m/>
    <n v="0"/>
    <n v="0"/>
    <n v="0"/>
    <n v="0"/>
    <n v="71"/>
    <n v="71"/>
    <s v="Searching"/>
    <m/>
    <m/>
    <m/>
  </r>
  <r>
    <s v="DSCN2861"/>
    <s v="WW0405_8"/>
    <n v="8"/>
    <n v="1"/>
    <s v="WAC West"/>
    <d v="2019-04-05T00:00:00"/>
    <x v="0"/>
    <m/>
    <d v="1899-12-30T01:10:00"/>
    <m/>
    <s v="BP/PS"/>
    <s v="Foraging"/>
    <s v="NA"/>
    <n v="0"/>
    <n v="0"/>
    <n v="0"/>
    <x v="0"/>
    <x v="0"/>
    <s v="NA"/>
    <s v="NA"/>
    <m/>
    <m/>
    <m/>
    <s v="NA"/>
    <s v="NA"/>
    <s v="NA"/>
    <s v="NA"/>
    <s v="NA"/>
    <s v="NA"/>
    <s v="NA"/>
    <m/>
    <n v="0"/>
    <n v="0"/>
    <n v="0"/>
    <n v="0"/>
    <n v="70"/>
    <n v="70"/>
    <s v="Searching"/>
    <m/>
    <m/>
    <m/>
  </r>
  <r>
    <s v="DSCN3896"/>
    <s v="MC0506_9"/>
    <n v="9"/>
    <n v="1"/>
    <s v="Mercantile"/>
    <d v="2019-05-06T00:00:00"/>
    <x v="2"/>
    <m/>
    <d v="1899-12-30T01:21:00"/>
    <s v="Mostly cloudy"/>
    <s v="BW/GS"/>
    <s v="Foraging"/>
    <s v="NA"/>
    <n v="1"/>
    <n v="0"/>
    <n v="0"/>
    <x v="3"/>
    <x v="9"/>
    <s v="Ground"/>
    <s v="NA"/>
    <m/>
    <m/>
    <m/>
    <s v="NA"/>
    <s v="NA"/>
    <s v="NA"/>
    <s v="NA"/>
    <s v="NA"/>
    <s v="NA"/>
    <s v="NA"/>
    <s v="NA"/>
    <n v="0"/>
    <n v="0"/>
    <n v="0"/>
    <n v="0"/>
    <n v="70"/>
    <n v="70"/>
    <s v="Searching"/>
    <m/>
    <m/>
    <m/>
  </r>
  <r>
    <s v="DSCN3379"/>
    <s v="WW0422_21"/>
    <n v="21"/>
    <n v="1"/>
    <s v="WAC West"/>
    <d v="2019-04-22T00:00:00"/>
    <x v="0"/>
    <m/>
    <d v="1899-12-30T01:09:00"/>
    <s v="Partly cloudy"/>
    <s v="BP/PS"/>
    <s v="Foraging"/>
    <s v="NA"/>
    <n v="2"/>
    <n v="0"/>
    <n v="0"/>
    <x v="2"/>
    <x v="2"/>
    <s v="Ground"/>
    <s v="NA"/>
    <m/>
    <m/>
    <m/>
    <s v="NA"/>
    <s v="NA"/>
    <s v="NA"/>
    <s v="NA"/>
    <s v="NA"/>
    <s v="NA"/>
    <s v="NA"/>
    <s v="NA"/>
    <n v="0"/>
    <n v="0"/>
    <n v="0"/>
    <n v="0"/>
    <n v="69"/>
    <n v="69"/>
    <s v="Searching"/>
    <s v="Missed first food acquisition. "/>
    <m/>
    <m/>
  </r>
  <r>
    <s v="DSCN3384"/>
    <s v="WW0422_26"/>
    <n v="26"/>
    <n v="1"/>
    <s v="WAC West"/>
    <d v="2019-04-22T00:00:00"/>
    <x v="0"/>
    <m/>
    <d v="1899-12-30T01:12:00"/>
    <s v="Partly cloudy"/>
    <s v="BP/PS"/>
    <s v="Foraging"/>
    <s v="NA"/>
    <n v="2"/>
    <n v="0"/>
    <n v="0"/>
    <x v="2"/>
    <x v="2"/>
    <s v="Ground"/>
    <s v="NA"/>
    <m/>
    <m/>
    <m/>
    <s v="NA"/>
    <s v="NA"/>
    <s v="NA"/>
    <s v="NA"/>
    <s v="NA"/>
    <s v="NA"/>
    <s v="NA"/>
    <s v="NA"/>
    <n v="0"/>
    <n v="0"/>
    <n v="0"/>
    <n v="0"/>
    <n v="68"/>
    <n v="68"/>
    <s v="Searching"/>
    <m/>
    <m/>
    <m/>
  </r>
  <r>
    <s v="DSCN2718"/>
    <s v="WW0330_15"/>
    <n v="15"/>
    <n v="1"/>
    <s v="WAC West"/>
    <d v="2019-03-30T00:00:00"/>
    <x v="1"/>
    <m/>
    <d v="1899-12-30T01:06:00"/>
    <m/>
    <s v="BP/PS"/>
    <s v="Foraging"/>
    <s v="NA"/>
    <n v="3"/>
    <n v="0"/>
    <n v="0"/>
    <x v="2"/>
    <x v="10"/>
    <s v="Ground"/>
    <s v="NA"/>
    <m/>
    <m/>
    <m/>
    <s v="NA"/>
    <s v="NA"/>
    <s v="NA"/>
    <s v="NA"/>
    <s v="NA"/>
    <s v="NA"/>
    <s v="NA"/>
    <m/>
    <n v="0"/>
    <n v="0"/>
    <n v="0"/>
    <n v="0"/>
    <n v="66"/>
    <n v="66"/>
    <s v="Searching"/>
    <m/>
    <m/>
    <m/>
  </r>
  <r>
    <s v="DSCN3138"/>
    <s v="M2370415_8"/>
    <n v="8"/>
    <n v="1"/>
    <s v="Mile 237"/>
    <d v="2019-04-15T00:00:00"/>
    <x v="0"/>
    <m/>
    <d v="1899-12-30T01:06:00"/>
    <s v="Partly cloudy"/>
    <s v="YP/RS"/>
    <s v="Food handling"/>
    <s v="NA"/>
    <n v="0"/>
    <n v="0"/>
    <n v="0"/>
    <x v="4"/>
    <x v="11"/>
    <s v="NA"/>
    <s v="NA"/>
    <m/>
    <m/>
    <m/>
    <s v="NA"/>
    <s v="NA"/>
    <s v="NA"/>
    <s v="NA"/>
    <s v="NA"/>
    <s v="NA"/>
    <s v="NA"/>
    <m/>
    <n v="0"/>
    <n v="0"/>
    <n v="0"/>
    <n v="0"/>
    <n v="66"/>
    <n v="66"/>
    <m/>
    <s v="Same acquisition trip as previous video so does not count as acquisition.  "/>
    <m/>
    <m/>
  </r>
  <r>
    <s v="DSCN3451"/>
    <s v="SQ0422_9"/>
    <n v="9"/>
    <n v="1"/>
    <s v="Sasquatch"/>
    <d v="2019-04-22T00:00:00"/>
    <x v="0"/>
    <m/>
    <d v="1899-12-30T01:06:00"/>
    <s v="Partly cloudy"/>
    <s v="G/BS"/>
    <s v="Foraging"/>
    <s v="NA"/>
    <n v="1"/>
    <n v="0"/>
    <n v="0"/>
    <x v="2"/>
    <x v="2"/>
    <s v="Ground"/>
    <s v="NA"/>
    <m/>
    <m/>
    <m/>
    <s v="NA"/>
    <s v="NA"/>
    <s v="NA"/>
    <s v="NA"/>
    <s v="NA"/>
    <s v="NA"/>
    <s v="NA"/>
    <s v="NA"/>
    <n v="0"/>
    <n v="0"/>
    <n v="0"/>
    <n v="0"/>
    <n v="66"/>
    <n v="66"/>
    <s v="Searching"/>
    <m/>
    <m/>
    <m/>
  </r>
  <r>
    <s v="DSCN3886"/>
    <s v="MC0506_4"/>
    <n v="4"/>
    <n v="1"/>
    <s v="Mercantile"/>
    <d v="2019-05-06T00:00:00"/>
    <x v="2"/>
    <m/>
    <d v="1899-12-30T01:08:00"/>
    <s v="Mostly cloudy"/>
    <s v="BW/GS"/>
    <s v="Foraging"/>
    <s v="NA"/>
    <n v="1"/>
    <n v="0"/>
    <n v="0"/>
    <x v="2"/>
    <x v="2"/>
    <s v="Ground"/>
    <s v="NA"/>
    <m/>
    <m/>
    <m/>
    <s v="NA"/>
    <s v="NA"/>
    <s v="NA"/>
    <s v="NA"/>
    <s v="NA"/>
    <s v="NA"/>
    <s v="NA"/>
    <s v="NA"/>
    <n v="0"/>
    <n v="0"/>
    <n v="0"/>
    <n v="0"/>
    <n v="66"/>
    <n v="66"/>
    <s v="Searching"/>
    <m/>
    <m/>
    <m/>
  </r>
  <r>
    <s v="DSCN3204"/>
    <s v="CC0416_4"/>
    <n v="4"/>
    <n v="1"/>
    <s v="CCAMP"/>
    <d v="2019-04-16T00:00:00"/>
    <x v="0"/>
    <m/>
    <d v="1899-12-30T01:06:00"/>
    <s v="Mostly cloudy"/>
    <s v="GB/BS"/>
    <s v="Foraging"/>
    <s v="NA"/>
    <s v="unknown"/>
    <n v="0"/>
    <n v="0"/>
    <x v="0"/>
    <x v="0"/>
    <s v="NA"/>
    <s v="NA"/>
    <m/>
    <m/>
    <m/>
    <s v="NA"/>
    <s v="NA"/>
    <s v="NA"/>
    <s v="NA"/>
    <s v="NA"/>
    <s v="NA"/>
    <s v="NA"/>
    <m/>
    <n v="0"/>
    <n v="0"/>
    <n v="0"/>
    <n v="0"/>
    <n v="66"/>
    <n v="66"/>
    <s v="Searching"/>
    <m/>
    <m/>
    <m/>
  </r>
  <r>
    <s v="DSCN3027"/>
    <s v="M4R0409_4"/>
    <n v="4"/>
    <n v="1"/>
    <s v="M4Roadside"/>
    <d v="2019-04-09T00:00:00"/>
    <x v="0"/>
    <m/>
    <d v="1899-12-30T01:23:00"/>
    <m/>
    <s v="OB/YS"/>
    <s v="Caching/foraging"/>
    <s v="Willow"/>
    <n v="0"/>
    <n v="0"/>
    <n v="1"/>
    <x v="1"/>
    <x v="12"/>
    <s v="Ground"/>
    <s v="Top of willow branch"/>
    <s v="Willow"/>
    <s v="Exterior"/>
    <s v="On branch"/>
    <s v="NA-top of branch"/>
    <s v="NA-top of branch"/>
    <s v="TBD"/>
    <n v="63.71922"/>
    <n v="148.98706000000001"/>
    <s v="NA"/>
    <s v="NA"/>
    <m/>
    <n v="0"/>
    <n v="0"/>
    <n v="0"/>
    <n v="0"/>
    <n v="65"/>
    <n v="65"/>
    <m/>
    <s v="Cached two caterpillars and a spider on the same branch. One caterpiller was saw it aquire but the other two items we did not.  Counted as additional aquisitions  Put Camera out on this cache. Again, we thought originally that YO/BS grabbed the black caterpillar but now we aren't sure.  Maybe they switched off camera.  So we don't have a distance for the black caterpillar.  "/>
    <m/>
    <m/>
  </r>
  <r>
    <s v="DSCN3620"/>
    <s v="WW0428_1"/>
    <n v="1"/>
    <n v="1"/>
    <s v="WAC West"/>
    <d v="2019-04-28T00:00:00"/>
    <x v="0"/>
    <m/>
    <d v="1899-12-30T02:10:00"/>
    <s v="Clear, full sun"/>
    <s v="BP/PS"/>
    <s v="Foraging"/>
    <s v="NA"/>
    <n v="8"/>
    <n v="0"/>
    <n v="0"/>
    <x v="2"/>
    <x v="10"/>
    <s v="Ground"/>
    <s v="NA"/>
    <m/>
    <m/>
    <m/>
    <s v="NA"/>
    <s v="NA"/>
    <s v="NA"/>
    <s v="NA"/>
    <s v="NA"/>
    <s v="NA"/>
    <s v="NA"/>
    <s v="NA"/>
    <n v="0"/>
    <n v="0"/>
    <n v="0"/>
    <n v="0"/>
    <n v="65"/>
    <n v="65"/>
    <s v="Searching"/>
    <s v="Bird snatched all of them.  VERY LIKELY all bugs"/>
    <m/>
    <m/>
  </r>
  <r>
    <s v="DSCN3620"/>
    <s v="WW0428_1"/>
    <n v="1"/>
    <n v="1"/>
    <s v="WAC West"/>
    <d v="2019-04-28T00:00:00"/>
    <x v="0"/>
    <m/>
    <d v="1899-12-30T02:10:00"/>
    <s v="Clear, full sun"/>
    <s v="BP/PS"/>
    <s v="Foraging"/>
    <s v="NA"/>
    <n v="3"/>
    <n v="0"/>
    <n v="0"/>
    <x v="1"/>
    <x v="13"/>
    <s v="Ground"/>
    <s v="NA"/>
    <m/>
    <m/>
    <m/>
    <s v="NA"/>
    <s v="NA"/>
    <s v="NA"/>
    <s v="NA"/>
    <s v="NA"/>
    <s v="NA"/>
    <s v="NA"/>
    <s v="NA"/>
    <n v="0"/>
    <n v="0"/>
    <n v="0"/>
    <n v="0"/>
    <n v="65"/>
    <n v="65"/>
    <s v="Searching"/>
    <s v="3 obvious bugs when watched in slowmo"/>
    <m/>
    <m/>
  </r>
  <r>
    <s v="DSCN2972"/>
    <s v="WW0405_17"/>
    <n v="17"/>
    <n v="1"/>
    <s v="WAC West"/>
    <d v="2019-04-05T00:00:00"/>
    <x v="0"/>
    <m/>
    <d v="1899-12-30T01:04:00"/>
    <m/>
    <s v="BP/PS"/>
    <s v="Foraging"/>
    <s v="NA"/>
    <n v="0"/>
    <n v="0"/>
    <n v="0"/>
    <x v="0"/>
    <x v="0"/>
    <s v="NA"/>
    <s v="NA"/>
    <m/>
    <m/>
    <m/>
    <s v="NA"/>
    <s v="NA"/>
    <s v="NA"/>
    <s v="NA"/>
    <s v="NA"/>
    <s v="NA"/>
    <s v="NA"/>
    <m/>
    <n v="0"/>
    <n v="0"/>
    <n v="0"/>
    <n v="0"/>
    <n v="64"/>
    <n v="64"/>
    <s v="Searching"/>
    <m/>
    <m/>
    <m/>
  </r>
  <r>
    <s v="DSCN3324"/>
    <s v="BU0418_1"/>
    <n v="1"/>
    <n v="2"/>
    <s v="B&amp;U"/>
    <d v="2019-04-18T00:00:00"/>
    <x v="0"/>
    <m/>
    <d v="1899-12-30T01:51:00"/>
    <s v="Light snow"/>
    <s v="GR/PS"/>
    <s v="Foraging"/>
    <s v="Spruce"/>
    <n v="1"/>
    <s v="unknown"/>
    <n v="0"/>
    <x v="2"/>
    <x v="2"/>
    <s v="Exterior bare spruce branch"/>
    <s v="NA"/>
    <m/>
    <m/>
    <m/>
    <s v="NA"/>
    <s v="NA"/>
    <s v="NA"/>
    <s v="NA"/>
    <s v="NA"/>
    <s v="NA"/>
    <s v="NA"/>
    <s v="NA"/>
    <n v="41"/>
    <n v="0"/>
    <n v="0"/>
    <n v="41"/>
    <n v="23"/>
    <n v="64"/>
    <s v="Searching/probing"/>
    <m/>
    <n v="1"/>
    <n v="0"/>
  </r>
  <r>
    <s v="DSCN3550"/>
    <s v="CC0425_21"/>
    <n v="21"/>
    <n v="1"/>
    <s v="CCAMP"/>
    <d v="2019-04-25T00:00:00"/>
    <x v="0"/>
    <m/>
    <d v="1899-12-30T01:04:00"/>
    <s v="Partly cloudy"/>
    <s v="GB/BS"/>
    <s v="Foraging"/>
    <s v="NA"/>
    <s v="unknown"/>
    <n v="0"/>
    <n v="0"/>
    <x v="0"/>
    <x v="0"/>
    <s v="NA"/>
    <s v="NA"/>
    <m/>
    <m/>
    <m/>
    <s v="NA"/>
    <s v="NA"/>
    <s v="NA"/>
    <s v="NA"/>
    <s v="NA"/>
    <s v="NA"/>
    <s v="NA"/>
    <s v="NA"/>
    <n v="0"/>
    <n v="0"/>
    <n v="0"/>
    <n v="0"/>
    <n v="64"/>
    <n v="64"/>
    <s v="Searching"/>
    <m/>
    <m/>
    <m/>
  </r>
  <r>
    <s v="DSCN3913"/>
    <s v="BU0508_5"/>
    <n v="5"/>
    <n v="1"/>
    <s v="B&amp;U"/>
    <d v="2019-05-08T00:00:00"/>
    <x v="2"/>
    <m/>
    <d v="1899-12-30T01:04:00"/>
    <s v="Overcast, light rain"/>
    <s v="WP/BS"/>
    <s v="Foraging"/>
    <s v="NA"/>
    <s v="unknown"/>
    <n v="0"/>
    <n v="0"/>
    <x v="0"/>
    <x v="0"/>
    <s v="NA"/>
    <s v="NA"/>
    <m/>
    <m/>
    <m/>
    <s v="NA"/>
    <s v="NA"/>
    <s v="NA"/>
    <s v="NA"/>
    <s v="NA"/>
    <s v="NA"/>
    <s v="NA"/>
    <s v="NA"/>
    <n v="0"/>
    <n v="0"/>
    <n v="0"/>
    <n v="0"/>
    <n v="64"/>
    <n v="64"/>
    <s v="Searching"/>
    <m/>
    <m/>
    <m/>
  </r>
  <r>
    <s v="DSCN3354"/>
    <s v="WW0422_3"/>
    <n v="3"/>
    <n v="1"/>
    <s v="WAC West"/>
    <d v="2019-04-22T00:00:00"/>
    <x v="0"/>
    <m/>
    <d v="1899-12-30T01:03:00"/>
    <s v="Partly cloudy"/>
    <s v="BP/PS"/>
    <s v="Foraging"/>
    <s v="NA"/>
    <n v="0"/>
    <n v="0"/>
    <n v="0"/>
    <x v="0"/>
    <x v="0"/>
    <s v="NA"/>
    <s v="NA"/>
    <m/>
    <m/>
    <m/>
    <s v="NA"/>
    <s v="NA"/>
    <s v="NA"/>
    <s v="NA"/>
    <s v="NA"/>
    <s v="NA"/>
    <s v="NA"/>
    <s v="NA"/>
    <n v="0"/>
    <n v="0"/>
    <n v="0"/>
    <n v="0"/>
    <n v="63"/>
    <n v="63"/>
    <s v="Searching"/>
    <m/>
    <m/>
    <m/>
  </r>
  <r>
    <s v="DSCN3245"/>
    <s v="AQ0417_6"/>
    <n v="6"/>
    <n v="2"/>
    <s v="Air Quality"/>
    <d v="2019-04-17T00:00:00"/>
    <x v="0"/>
    <m/>
    <d v="1899-12-30T01:50:00"/>
    <s v="Overcast, light snow"/>
    <s v="PG/PS"/>
    <s v="Foraging"/>
    <s v="Spruce"/>
    <n v="1"/>
    <n v="0"/>
    <n v="0"/>
    <x v="3"/>
    <x v="14"/>
    <s v="Ground"/>
    <s v="NA"/>
    <m/>
    <m/>
    <m/>
    <s v="NA"/>
    <s v="NA"/>
    <s v="NA"/>
    <s v="NA"/>
    <s v="NA"/>
    <s v="NA"/>
    <s v="NA"/>
    <s v="NA"/>
    <n v="38"/>
    <n v="0"/>
    <n v="38"/>
    <n v="0"/>
    <n v="24"/>
    <n v="62"/>
    <s v="Searching"/>
    <m/>
    <m/>
    <m/>
  </r>
  <r>
    <s v="DSCN3516"/>
    <s v="MC0424_23"/>
    <n v="23"/>
    <n v="1"/>
    <s v="Mercantile"/>
    <d v="2019-04-24T00:00:00"/>
    <x v="0"/>
    <m/>
    <d v="1899-12-30T01:02:00"/>
    <s v="Partly cloudy"/>
    <s v="BW/GS"/>
    <s v="Foraging"/>
    <s v="NA"/>
    <n v="1"/>
    <n v="0"/>
    <n v="0"/>
    <x v="2"/>
    <x v="2"/>
    <s v="Ground"/>
    <s v="NA"/>
    <m/>
    <m/>
    <m/>
    <s v="NA"/>
    <s v="NA"/>
    <s v="NA"/>
    <s v="NA"/>
    <s v="NA"/>
    <s v="NA"/>
    <s v="NA"/>
    <s v="NA"/>
    <n v="0"/>
    <n v="0"/>
    <n v="0"/>
    <n v="0"/>
    <n v="62"/>
    <n v="62"/>
    <s v="Searching"/>
    <m/>
    <m/>
    <m/>
  </r>
  <r>
    <s v="DSCN2702"/>
    <s v="WW0330_2"/>
    <n v="2"/>
    <n v="1"/>
    <s v="WAC West"/>
    <d v="2019-03-30T00:00:00"/>
    <x v="1"/>
    <m/>
    <d v="1899-12-30T01:02:00"/>
    <m/>
    <s v="BP/PS"/>
    <s v="Foraging"/>
    <s v="NA"/>
    <s v="unknown"/>
    <n v="0"/>
    <n v="0"/>
    <x v="0"/>
    <x v="0"/>
    <s v="NA"/>
    <s v="NA"/>
    <m/>
    <m/>
    <m/>
    <s v="NA"/>
    <s v="NA"/>
    <s v="NA"/>
    <s v="NA"/>
    <s v="NA"/>
    <s v="NA"/>
    <s v="NA"/>
    <m/>
    <n v="0"/>
    <n v="0"/>
    <n v="0"/>
    <n v="0"/>
    <n v="62"/>
    <n v="62"/>
    <s v="Searching"/>
    <m/>
    <m/>
    <m/>
  </r>
  <r>
    <s v="DSCN3011"/>
    <s v="M2370409_1"/>
    <n v="1"/>
    <n v="1"/>
    <s v="Mile 237"/>
    <d v="2019-04-09T00:00:00"/>
    <x v="0"/>
    <m/>
    <d v="1899-12-30T01:12:00"/>
    <s v="Partly cloudy"/>
    <s v="YP/RS"/>
    <s v="Foraging"/>
    <s v="NA"/>
    <s v="unknown"/>
    <n v="0"/>
    <n v="0"/>
    <x v="0"/>
    <x v="0"/>
    <s v="NA"/>
    <s v="NA"/>
    <m/>
    <m/>
    <m/>
    <s v="NA"/>
    <s v="NA"/>
    <s v="NA"/>
    <s v="NA"/>
    <s v="NA"/>
    <s v="NA"/>
    <s v="NA"/>
    <m/>
    <n v="0"/>
    <n v="0"/>
    <n v="0"/>
    <n v="0"/>
    <n v="62"/>
    <n v="62"/>
    <s v="Searching"/>
    <m/>
    <m/>
    <m/>
  </r>
  <r>
    <s v="DSCN3574"/>
    <s v="CC0425_38"/>
    <n v="38"/>
    <n v="1"/>
    <s v="CCAMP"/>
    <d v="2019-04-25T00:00:00"/>
    <x v="0"/>
    <m/>
    <d v="1899-12-30T01:04:00"/>
    <s v="Partly cloudy"/>
    <s v="GB/BS"/>
    <s v="Foraging"/>
    <s v="NA"/>
    <s v="unknown"/>
    <n v="0"/>
    <n v="0"/>
    <x v="0"/>
    <x v="0"/>
    <s v="NA"/>
    <s v="NA"/>
    <m/>
    <m/>
    <m/>
    <s v="NA"/>
    <s v="NA"/>
    <s v="NA"/>
    <s v="NA"/>
    <s v="NA"/>
    <s v="NA"/>
    <s v="NA"/>
    <s v="NA"/>
    <n v="0"/>
    <n v="0"/>
    <n v="0"/>
    <n v="0"/>
    <n v="62"/>
    <n v="62"/>
    <s v="Searching"/>
    <m/>
    <m/>
    <m/>
  </r>
  <r>
    <s v="DSCN3501"/>
    <s v="MC0424_14"/>
    <n v="14"/>
    <n v="1"/>
    <s v="Mercantile"/>
    <d v="2019-04-24T00:00:00"/>
    <x v="0"/>
    <m/>
    <d v="1899-12-30T01:10:00"/>
    <s v="Partly cloudy"/>
    <s v="WO/OS"/>
    <s v="Foraging"/>
    <s v="NA"/>
    <n v="1"/>
    <n v="0"/>
    <n v="0"/>
    <x v="2"/>
    <x v="2"/>
    <s v="Ground"/>
    <s v="NA"/>
    <m/>
    <m/>
    <m/>
    <s v="NA"/>
    <s v="NA"/>
    <s v="NA"/>
    <s v="NA"/>
    <s v="NA"/>
    <s v="NA"/>
    <s v="NA"/>
    <s v="NA"/>
    <n v="0"/>
    <n v="0"/>
    <n v="0"/>
    <n v="0"/>
    <n v="61"/>
    <n v="61"/>
    <s v="Searching"/>
    <m/>
    <m/>
    <m/>
  </r>
  <r>
    <s v="DSCN3231"/>
    <s v="M4R0417_13"/>
    <n v="13"/>
    <n v="1"/>
    <s v="M4Roadside"/>
    <d v="2019-04-17T00:00:00"/>
    <x v="0"/>
    <m/>
    <d v="1899-12-30T01:09:00"/>
    <s v="Overcast, light snow"/>
    <s v="YO/BS"/>
    <s v="Foraging"/>
    <s v="Spruce"/>
    <s v="unknown"/>
    <s v="unknown"/>
    <n v="0"/>
    <x v="0"/>
    <x v="0"/>
    <s v="NA"/>
    <s v="NA"/>
    <m/>
    <m/>
    <m/>
    <s v="NA"/>
    <s v="NA"/>
    <s v="NA"/>
    <s v="NA"/>
    <s v="NA"/>
    <s v="NA"/>
    <s v="NA"/>
    <m/>
    <n v="46"/>
    <n v="15"/>
    <n v="46"/>
    <n v="15"/>
    <n v="0"/>
    <n v="61"/>
    <m/>
    <m/>
    <m/>
    <m/>
  </r>
  <r>
    <s v="DSCN3664"/>
    <s v="M4R0430_14"/>
    <n v="14"/>
    <n v="1"/>
    <s v="M4Roadside"/>
    <d v="2019-04-30T00:00:00"/>
    <x v="0"/>
    <m/>
    <d v="1899-12-30T01:01:00"/>
    <s v="Clear, full sun"/>
    <s v="YO/BS"/>
    <s v="Foraging"/>
    <s v="NA"/>
    <s v="unknown"/>
    <n v="0"/>
    <n v="0"/>
    <x v="0"/>
    <x v="0"/>
    <s v="NA"/>
    <s v="NA"/>
    <m/>
    <m/>
    <m/>
    <s v="NA"/>
    <s v="NA"/>
    <s v="NA"/>
    <s v="NA"/>
    <s v="NA"/>
    <s v="NA"/>
    <s v="NA"/>
    <s v="NA"/>
    <n v="0"/>
    <n v="0"/>
    <n v="0"/>
    <n v="0"/>
    <n v="61"/>
    <n v="61"/>
    <s v="Searching"/>
    <m/>
    <m/>
    <m/>
  </r>
  <r>
    <s v="DSCN2712"/>
    <s v="WW0330_9"/>
    <n v="9"/>
    <n v="1"/>
    <s v="WAC West"/>
    <d v="2019-03-30T00:00:00"/>
    <x v="1"/>
    <m/>
    <d v="1899-12-30T01:00:00"/>
    <m/>
    <s v="BP/PS"/>
    <s v="Foraging"/>
    <s v="NA"/>
    <n v="4"/>
    <n v="0"/>
    <n v="0"/>
    <x v="2"/>
    <x v="2"/>
    <s v="Ground"/>
    <s v="NA"/>
    <m/>
    <m/>
    <m/>
    <s v="NA"/>
    <s v="NA"/>
    <s v="NA"/>
    <s v="NA"/>
    <s v="NA"/>
    <s v="NA"/>
    <s v="NA"/>
    <m/>
    <n v="0"/>
    <n v="0"/>
    <n v="0"/>
    <n v="0"/>
    <n v="60"/>
    <n v="60"/>
    <s v="Searching"/>
    <m/>
    <m/>
    <m/>
  </r>
  <r>
    <s v="DSCN3105"/>
    <s v="BU0415_2"/>
    <n v="2"/>
    <n v="2"/>
    <s v="B&amp;U"/>
    <d v="2019-04-15T00:00:00"/>
    <x v="0"/>
    <m/>
    <d v="1899-12-30T01:38:00"/>
    <s v="Partly cloudy"/>
    <s v="GR/PS"/>
    <s v="Foraging"/>
    <s v="NA"/>
    <n v="1"/>
    <n v="0"/>
    <n v="0"/>
    <x v="2"/>
    <x v="2"/>
    <s v="Ground"/>
    <s v="NA"/>
    <m/>
    <m/>
    <m/>
    <s v="NA"/>
    <s v="NA"/>
    <s v="NA"/>
    <s v="NA"/>
    <s v="NA"/>
    <s v="NA"/>
    <s v="NA"/>
    <m/>
    <n v="0"/>
    <n v="0"/>
    <n v="0"/>
    <n v="0"/>
    <n v="60"/>
    <n v="60"/>
    <m/>
    <m/>
    <m/>
    <m/>
  </r>
  <r>
    <s v="DSCN3424"/>
    <s v="CC0422_22"/>
    <n v="22"/>
    <n v="1"/>
    <s v="CCAMP"/>
    <d v="2019-04-22T00:00:00"/>
    <x v="0"/>
    <s v="Spring"/>
    <d v="1899-12-30T01:37:00"/>
    <s v="Partly cloudy"/>
    <s v="GL/RS"/>
    <s v="Foraging"/>
    <s v="NA"/>
    <n v="1"/>
    <n v="0"/>
    <n v="0"/>
    <x v="2"/>
    <x v="10"/>
    <s v="Ground"/>
    <s v="NA"/>
    <m/>
    <m/>
    <m/>
    <s v="NA"/>
    <s v="NA"/>
    <s v="NA"/>
    <s v="NA"/>
    <s v="NA"/>
    <s v="NA"/>
    <s v="NA"/>
    <s v="NA"/>
    <n v="0"/>
    <n v="0"/>
    <n v="0"/>
    <n v="0"/>
    <n v="60"/>
    <n v="60"/>
    <s v="Searching"/>
    <m/>
    <m/>
    <m/>
  </r>
  <r>
    <s v="DSCN2740"/>
    <s v="BU0401_3"/>
    <n v="3"/>
    <n v="1"/>
    <s v="BU"/>
    <d v="2019-04-01T00:00:00"/>
    <x v="0"/>
    <m/>
    <d v="1899-12-30T01:00:00"/>
    <m/>
    <s v="GR/PS"/>
    <s v="Foraging"/>
    <s v="NA"/>
    <s v="unknown"/>
    <n v="0"/>
    <n v="0"/>
    <x v="0"/>
    <x v="0"/>
    <s v="NA"/>
    <s v="NA"/>
    <m/>
    <m/>
    <m/>
    <s v="NA"/>
    <s v="NA"/>
    <s v="NA"/>
    <s v="NA"/>
    <s v="NA"/>
    <s v="NA"/>
    <s v="NA"/>
    <m/>
    <n v="0"/>
    <n v="0"/>
    <n v="0"/>
    <n v="0"/>
    <n v="60"/>
    <n v="60"/>
    <s v="Searching"/>
    <m/>
    <m/>
    <m/>
  </r>
  <r>
    <s v="DSCN3236"/>
    <s v="M4R0417_18"/>
    <n v="18"/>
    <n v="1"/>
    <s v="M4Roadside"/>
    <d v="2019-04-17T00:00:00"/>
    <x v="0"/>
    <m/>
    <d v="1899-12-30T01:15:00"/>
    <s v="Overcast, light snow"/>
    <s v="YO/BS"/>
    <s v="Foraging"/>
    <s v="Spruce"/>
    <n v="1"/>
    <n v="0"/>
    <n v="0"/>
    <x v="1"/>
    <x v="13"/>
    <s v="Exterior spruce foliage"/>
    <s v="NA"/>
    <m/>
    <m/>
    <m/>
    <s v="NA"/>
    <s v="NA"/>
    <s v="NA"/>
    <s v="NA"/>
    <s v="NA"/>
    <s v="NA"/>
    <s v="NA"/>
    <s v="NA"/>
    <n v="56"/>
    <n v="2"/>
    <n v="56"/>
    <n v="2"/>
    <n v="0"/>
    <n v="58"/>
    <s v="Searching/gleaning"/>
    <m/>
    <n v="2"/>
    <n v="1"/>
  </r>
  <r>
    <s v="DSCN3241"/>
    <s v="AQ0417_3"/>
    <n v="3"/>
    <n v="2"/>
    <s v="Air Quality"/>
    <d v="2019-04-17T00:00:00"/>
    <x v="0"/>
    <m/>
    <d v="1899-12-30T01:09:00"/>
    <s v="Overcast, light snow"/>
    <s v="PG/PS"/>
    <s v="Foraging"/>
    <s v="NA"/>
    <n v="1"/>
    <n v="0"/>
    <n v="0"/>
    <x v="3"/>
    <x v="8"/>
    <s v="Ground"/>
    <s v="NA"/>
    <m/>
    <m/>
    <m/>
    <s v="NA"/>
    <s v="NA"/>
    <s v="NA"/>
    <s v="NA"/>
    <s v="NA"/>
    <s v="NA"/>
    <s v="NA"/>
    <s v="NA"/>
    <n v="0"/>
    <n v="0"/>
    <n v="0"/>
    <n v="0"/>
    <n v="58"/>
    <n v="58"/>
    <m/>
    <m/>
    <m/>
    <m/>
  </r>
  <r>
    <s v="DSCN3567"/>
    <s v="CC0425_32"/>
    <n v="32"/>
    <n v="1"/>
    <s v="CCAMP"/>
    <d v="2019-04-25T00:00:00"/>
    <x v="0"/>
    <m/>
    <d v="1899-12-30T00:58:00"/>
    <s v="Partly cloudy"/>
    <s v="GB/BS"/>
    <s v="Foraging"/>
    <s v="NA"/>
    <n v="0"/>
    <n v="0"/>
    <n v="0"/>
    <x v="0"/>
    <x v="0"/>
    <s v="NA"/>
    <s v="NA"/>
    <m/>
    <m/>
    <m/>
    <s v="NA"/>
    <s v="NA"/>
    <s v="NA"/>
    <s v="NA"/>
    <s v="NA"/>
    <s v="NA"/>
    <s v="NA"/>
    <s v="NA"/>
    <n v="0"/>
    <n v="0"/>
    <n v="0"/>
    <n v="0"/>
    <n v="58"/>
    <n v="58"/>
    <s v="Searching"/>
    <m/>
    <m/>
    <m/>
  </r>
  <r>
    <s v="DSCN3647"/>
    <s v="M4R0430_8"/>
    <n v="8"/>
    <n v="1"/>
    <s v="M4Roadside"/>
    <d v="2019-04-30T00:00:00"/>
    <x v="0"/>
    <m/>
    <d v="1899-12-30T01:01:00"/>
    <s v="Clear, full sun"/>
    <s v="YO/BS"/>
    <s v="Foraging"/>
    <s v="NA"/>
    <n v="0"/>
    <n v="0"/>
    <n v="0"/>
    <x v="0"/>
    <x v="0"/>
    <s v="NA"/>
    <s v="NA"/>
    <m/>
    <m/>
    <m/>
    <s v="NA"/>
    <s v="NA"/>
    <s v="NA"/>
    <s v="NA"/>
    <s v="NA"/>
    <s v="NA"/>
    <s v="NA"/>
    <s v="NA"/>
    <n v="0"/>
    <n v="0"/>
    <n v="0"/>
    <n v="0"/>
    <n v="58"/>
    <n v="58"/>
    <s v="Searching"/>
    <m/>
    <m/>
    <m/>
  </r>
  <r>
    <s v="DSCN3837"/>
    <s v="CC0503_17"/>
    <n v="17"/>
    <n v="1"/>
    <s v="CCAMP"/>
    <d v="2019-05-06T00:00:00"/>
    <x v="2"/>
    <m/>
    <d v="1899-12-30T00:58:00"/>
    <s v="Overcast, light snow"/>
    <s v="GB/BS"/>
    <s v="Foraging"/>
    <s v="NA"/>
    <n v="0"/>
    <n v="0"/>
    <n v="0"/>
    <x v="0"/>
    <x v="0"/>
    <s v="NA"/>
    <s v="NA"/>
    <m/>
    <m/>
    <m/>
    <s v="NA"/>
    <s v="NA"/>
    <s v="NA"/>
    <s v="NA"/>
    <s v="NA"/>
    <s v="NA"/>
    <s v="NA"/>
    <s v="NA"/>
    <n v="0"/>
    <n v="0"/>
    <n v="0"/>
    <n v="0"/>
    <n v="58"/>
    <n v="58"/>
    <s v="Searching"/>
    <m/>
    <m/>
    <m/>
  </r>
  <r>
    <s v="DSCN3638"/>
    <s v="M4R0430_2"/>
    <n v="2"/>
    <n v="1"/>
    <s v="M4Roadside"/>
    <d v="2019-04-30T00:00:00"/>
    <x v="0"/>
    <m/>
    <d v="1899-12-30T00:58:00"/>
    <s v="Clear, full sun"/>
    <s v="YO/BS"/>
    <s v="Foraging"/>
    <s v="NA"/>
    <s v="unknown"/>
    <n v="0"/>
    <n v="0"/>
    <x v="0"/>
    <x v="0"/>
    <s v="NA"/>
    <s v="NA"/>
    <m/>
    <m/>
    <m/>
    <s v="NA"/>
    <s v="NA"/>
    <s v="NA"/>
    <s v="NA"/>
    <s v="NA"/>
    <s v="NA"/>
    <s v="NA"/>
    <s v="NA"/>
    <n v="0"/>
    <n v="0"/>
    <n v="0"/>
    <n v="0"/>
    <n v="58"/>
    <n v="58"/>
    <s v="Searching"/>
    <m/>
    <m/>
    <m/>
  </r>
  <r>
    <s v="DSCN2988"/>
    <s v="WW0405_28"/>
    <n v="28"/>
    <n v="1"/>
    <s v="WAC West"/>
    <d v="2019-04-05T00:00:00"/>
    <x v="0"/>
    <m/>
    <d v="1899-12-30T00:57:00"/>
    <m/>
    <s v="BP/PS"/>
    <s v="Foraging"/>
    <s v="NA"/>
    <n v="0"/>
    <n v="0"/>
    <n v="0"/>
    <x v="0"/>
    <x v="0"/>
    <s v="NA"/>
    <s v="NA"/>
    <m/>
    <m/>
    <m/>
    <s v="NA"/>
    <s v="NA"/>
    <s v="NA"/>
    <s v="NA"/>
    <s v="NA"/>
    <s v="NA"/>
    <s v="NA"/>
    <m/>
    <n v="0"/>
    <n v="0"/>
    <n v="0"/>
    <n v="0"/>
    <n v="57"/>
    <n v="57"/>
    <m/>
    <m/>
    <m/>
    <m/>
  </r>
  <r>
    <s v="DSCN3156"/>
    <s v="M2370415_20"/>
    <n v="20"/>
    <n v="1"/>
    <s v="Mile 237"/>
    <d v="2019-04-15T00:00:00"/>
    <x v="0"/>
    <m/>
    <d v="1899-12-30T01:24:00"/>
    <s v="Partly cloudy"/>
    <s v="YP/RS"/>
    <s v="Foraging"/>
    <s v="NA"/>
    <n v="0"/>
    <n v="0"/>
    <n v="0"/>
    <x v="0"/>
    <x v="0"/>
    <s v="NA"/>
    <s v="NA"/>
    <m/>
    <m/>
    <m/>
    <s v="NA"/>
    <s v="NA"/>
    <s v="NA"/>
    <s v="NA"/>
    <s v="NA"/>
    <s v="NA"/>
    <s v="NA"/>
    <m/>
    <n v="0"/>
    <n v="0"/>
    <n v="0"/>
    <n v="0"/>
    <n v="57"/>
    <n v="57"/>
    <s v="Searching"/>
    <m/>
    <m/>
    <m/>
  </r>
  <r>
    <s v="DSCN3481"/>
    <s v="MC0424_4"/>
    <n v="4"/>
    <n v="1"/>
    <s v="Mercantile"/>
    <d v="2019-04-24T00:00:00"/>
    <x v="0"/>
    <m/>
    <d v="1899-12-30T01:12:00"/>
    <s v="Partly cloudy"/>
    <s v="WO/OS"/>
    <s v="Foraging"/>
    <s v="NA"/>
    <n v="0"/>
    <n v="0"/>
    <n v="0"/>
    <x v="0"/>
    <x v="0"/>
    <s v="NA"/>
    <s v="NA"/>
    <m/>
    <m/>
    <m/>
    <s v="NA"/>
    <s v="NA"/>
    <s v="NA"/>
    <s v="NA"/>
    <s v="NA"/>
    <s v="NA"/>
    <s v="NA"/>
    <s v="NA"/>
    <n v="0"/>
    <n v="0"/>
    <n v="0"/>
    <n v="0"/>
    <n v="56"/>
    <n v="56"/>
    <s v="Searching"/>
    <m/>
    <m/>
    <m/>
  </r>
  <r>
    <s v="DSCN3562"/>
    <s v="CC0425_28"/>
    <n v="28"/>
    <n v="1"/>
    <s v="CCAMP"/>
    <d v="2019-04-25T00:00:00"/>
    <x v="0"/>
    <m/>
    <d v="1899-12-30T00:56:00"/>
    <s v="Partly cloudy"/>
    <s v="GB/BS"/>
    <s v="Foraging"/>
    <s v="NA"/>
    <n v="0"/>
    <n v="0"/>
    <n v="0"/>
    <x v="0"/>
    <x v="0"/>
    <s v="NA"/>
    <s v="NA"/>
    <m/>
    <m/>
    <m/>
    <s v="NA"/>
    <s v="NA"/>
    <s v="NA"/>
    <s v="NA"/>
    <s v="NA"/>
    <s v="NA"/>
    <s v="NA"/>
    <s v="NA"/>
    <n v="0"/>
    <n v="0"/>
    <n v="0"/>
    <n v="0"/>
    <n v="56"/>
    <n v="56"/>
    <s v="Searching"/>
    <m/>
    <m/>
    <m/>
  </r>
  <r>
    <s v="DSCN2609"/>
    <s v="M4R0327_11"/>
    <n v="11"/>
    <n v="1"/>
    <s v="M4Roadside"/>
    <d v="2019-03-27T00:00:00"/>
    <x v="1"/>
    <m/>
    <d v="1899-12-30T00:55:00"/>
    <s v="Overcast"/>
    <s v="YO/BS"/>
    <s v="Foraging"/>
    <s v="NA"/>
    <n v="1"/>
    <n v="0"/>
    <n v="0"/>
    <x v="2"/>
    <x v="2"/>
    <s v="Ground"/>
    <s v="NA"/>
    <m/>
    <m/>
    <m/>
    <s v="NA"/>
    <s v="NA"/>
    <s v="NA"/>
    <s v="NA"/>
    <s v="NA"/>
    <s v="NA"/>
    <s v="NA"/>
    <m/>
    <n v="0"/>
    <n v="0"/>
    <n v="0"/>
    <n v="0"/>
    <n v="55"/>
    <n v="55"/>
    <s v="Searching"/>
    <m/>
    <m/>
    <m/>
  </r>
  <r>
    <s v="DSCN2556"/>
    <s v="M2370326_10"/>
    <n v="10"/>
    <n v="1"/>
    <s v="Mile 237"/>
    <d v="2019-03-26T00:00:00"/>
    <x v="1"/>
    <m/>
    <d v="1899-12-30T00:55:00"/>
    <s v="Mostly sunny"/>
    <s v="YP/RS"/>
    <s v="Foraging"/>
    <s v="NA"/>
    <s v="unknown"/>
    <n v="0"/>
    <n v="0"/>
    <x v="0"/>
    <x v="0"/>
    <s v="NA"/>
    <s v="NA"/>
    <m/>
    <m/>
    <m/>
    <s v="NA"/>
    <s v="NA"/>
    <s v="NA"/>
    <s v="NA"/>
    <s v="NA"/>
    <m/>
    <m/>
    <m/>
    <n v="0"/>
    <n v="0"/>
    <n v="0"/>
    <n v="0"/>
    <n v="55"/>
    <n v="55"/>
    <s v="Searching"/>
    <m/>
    <m/>
    <m/>
  </r>
  <r>
    <s v="DSCN2947"/>
    <s v="WW0405_1"/>
    <n v="1"/>
    <n v="1"/>
    <s v="WAC West"/>
    <d v="2019-04-05T00:00:00"/>
    <x v="0"/>
    <m/>
    <d v="1899-12-30T00:55:00"/>
    <m/>
    <s v="BP/PS"/>
    <s v="Foraging"/>
    <s v="NA"/>
    <s v="unknown"/>
    <n v="0"/>
    <n v="0"/>
    <x v="0"/>
    <x v="0"/>
    <s v="NA"/>
    <s v="NA"/>
    <m/>
    <m/>
    <m/>
    <s v="NA"/>
    <s v="NA"/>
    <s v="NA"/>
    <s v="NA"/>
    <s v="NA"/>
    <s v="NA"/>
    <s v="NA"/>
    <m/>
    <n v="0"/>
    <n v="0"/>
    <n v="0"/>
    <n v="0"/>
    <n v="55"/>
    <n v="55"/>
    <s v="Searching"/>
    <m/>
    <m/>
    <m/>
  </r>
  <r>
    <s v="DSCN2511"/>
    <s v="M4R0325_5"/>
    <n v="5"/>
    <n v="1"/>
    <s v="M4Roadside"/>
    <d v="2019-03-25T00:00:00"/>
    <x v="1"/>
    <m/>
    <d v="1899-12-30T01:00:00"/>
    <s v="Overcast"/>
    <s v="OB/YS"/>
    <s v="Foraging"/>
    <s v="NA"/>
    <n v="1"/>
    <n v="0"/>
    <n v="0"/>
    <x v="3"/>
    <x v="8"/>
    <s v="Ground"/>
    <s v="NA"/>
    <m/>
    <m/>
    <m/>
    <s v="NA"/>
    <s v="NA"/>
    <s v="NA"/>
    <s v="NA"/>
    <s v="NA"/>
    <m/>
    <m/>
    <m/>
    <n v="0"/>
    <n v="0"/>
    <n v="0"/>
    <n v="0"/>
    <n v="54"/>
    <n v="54"/>
    <s v="Searching"/>
    <m/>
    <m/>
    <m/>
  </r>
  <r>
    <s v="DSCN3026"/>
    <s v="M4R0409_3"/>
    <n v="3"/>
    <n v="1"/>
    <s v="M4Roadside"/>
    <d v="2019-04-09T00:00:00"/>
    <x v="0"/>
    <m/>
    <d v="1899-12-30T00:54:00"/>
    <m/>
    <s v="OB/YS"/>
    <s v="Foraging"/>
    <s v="NA"/>
    <n v="1"/>
    <n v="0"/>
    <n v="0"/>
    <x v="1"/>
    <x v="4"/>
    <s v="Ground"/>
    <s v="NA"/>
    <m/>
    <m/>
    <m/>
    <s v="NA"/>
    <s v="NA"/>
    <s v="NA"/>
    <s v="NA"/>
    <s v="NA"/>
    <s v="NA"/>
    <s v="NA"/>
    <m/>
    <n v="0"/>
    <n v="0"/>
    <n v="0"/>
    <n v="0"/>
    <n v="54"/>
    <n v="54"/>
    <m/>
    <m/>
    <m/>
    <m/>
  </r>
  <r>
    <s v="DSCN3666"/>
    <s v="M4R0430_15"/>
    <n v="15"/>
    <n v="1"/>
    <s v="M4Roadside"/>
    <d v="2019-04-30T00:00:00"/>
    <x v="0"/>
    <m/>
    <d v="1899-12-30T03:42:00"/>
    <s v="Clear, full sun"/>
    <s v="YO/BS"/>
    <s v="Foraging"/>
    <s v="NA"/>
    <n v="1"/>
    <n v="0"/>
    <n v="0"/>
    <x v="2"/>
    <x v="2"/>
    <s v="Ground"/>
    <s v="NA"/>
    <m/>
    <m/>
    <m/>
    <s v="NA"/>
    <s v="NA"/>
    <s v="NA"/>
    <s v="NA"/>
    <s v="NA"/>
    <s v="NA"/>
    <s v="NA"/>
    <s v="NA"/>
    <n v="0"/>
    <n v="0"/>
    <n v="0"/>
    <n v="0"/>
    <n v="54"/>
    <n v="54"/>
    <m/>
    <m/>
    <m/>
    <m/>
  </r>
  <r>
    <s v="DSCN3817"/>
    <s v="CC0503_5"/>
    <n v="5"/>
    <n v="1"/>
    <s v="CCAMP"/>
    <d v="2019-05-03T00:00:00"/>
    <x v="2"/>
    <s v="Spring"/>
    <d v="1899-12-30T00:54:00"/>
    <s v="Overcast, light snow"/>
    <s v="GL/RS"/>
    <s v="Foraging"/>
    <s v="NA"/>
    <n v="1"/>
    <n v="0"/>
    <n v="0"/>
    <x v="2"/>
    <x v="2"/>
    <s v="Ground"/>
    <s v="NA"/>
    <m/>
    <m/>
    <m/>
    <s v="NA"/>
    <s v="NA"/>
    <s v="NA"/>
    <s v="NA"/>
    <s v="NA"/>
    <s v="NA"/>
    <s v="NA"/>
    <s v="NA"/>
    <n v="0"/>
    <n v="0"/>
    <n v="0"/>
    <n v="0"/>
    <n v="54"/>
    <n v="54"/>
    <s v="Searching"/>
    <m/>
    <m/>
    <m/>
  </r>
  <r>
    <s v="DSCN3839"/>
    <s v="CC0503_19"/>
    <n v="19"/>
    <n v="1"/>
    <s v="CCAMP"/>
    <d v="2019-05-03T00:00:00"/>
    <x v="2"/>
    <m/>
    <d v="1899-12-30T01:01:00"/>
    <s v="Overcast, light snow"/>
    <s v="GB/BS"/>
    <s v="Foraging"/>
    <s v="NA"/>
    <n v="1"/>
    <n v="0"/>
    <n v="0"/>
    <x v="2"/>
    <x v="2"/>
    <s v="Ground"/>
    <s v="NA"/>
    <m/>
    <m/>
    <m/>
    <s v="NA"/>
    <s v="NA"/>
    <s v="NA"/>
    <s v="NA"/>
    <s v="NA"/>
    <s v="NA"/>
    <s v="NA"/>
    <s v="NA"/>
    <n v="0"/>
    <n v="0"/>
    <n v="0"/>
    <n v="0"/>
    <n v="54"/>
    <n v="54"/>
    <s v="Searching"/>
    <m/>
    <m/>
    <m/>
  </r>
  <r>
    <s v="DSCN3861"/>
    <s v="BU0505_3"/>
    <n v="3"/>
    <n v="1"/>
    <s v="B&amp;U"/>
    <d v="2019-05-05T00:00:00"/>
    <x v="2"/>
    <m/>
    <d v="1899-12-30T00:58:00"/>
    <s v="Mostly cloudy"/>
    <s v="GR/PS"/>
    <s v="Foraging"/>
    <s v="NA"/>
    <n v="1"/>
    <n v="0"/>
    <n v="0"/>
    <x v="2"/>
    <x v="2"/>
    <s v="Ground"/>
    <s v="NA"/>
    <m/>
    <m/>
    <m/>
    <s v="NA"/>
    <s v="NA"/>
    <s v="NA"/>
    <s v="NA"/>
    <s v="NA"/>
    <s v="NA"/>
    <s v="NA"/>
    <s v="NA"/>
    <n v="0"/>
    <n v="0"/>
    <n v="0"/>
    <n v="0"/>
    <n v="54"/>
    <n v="54"/>
    <s v="Searching"/>
    <s v="We could not find a cache"/>
    <m/>
    <m/>
  </r>
  <r>
    <s v="DSCN3901"/>
    <s v="MC0506_12"/>
    <n v="12"/>
    <n v="1"/>
    <s v="Mercantile"/>
    <d v="2019-05-06T00:00:00"/>
    <x v="2"/>
    <m/>
    <d v="1899-12-30T00:54:00"/>
    <s v="Mostly cloudy"/>
    <s v="WO/OS"/>
    <s v="Foraging"/>
    <s v="NA"/>
    <n v="1"/>
    <n v="0"/>
    <n v="0"/>
    <x v="1"/>
    <x v="7"/>
    <s v="NA"/>
    <s v="NA"/>
    <m/>
    <m/>
    <m/>
    <s v="NA"/>
    <s v="NA"/>
    <s v="NA"/>
    <s v="NA"/>
    <s v="NA"/>
    <s v="NA"/>
    <s v="NA"/>
    <s v="NA"/>
    <n v="0"/>
    <n v="0"/>
    <n v="0"/>
    <n v="0"/>
    <n v="54"/>
    <n v="54"/>
    <s v="Searching"/>
    <m/>
    <m/>
    <m/>
  </r>
  <r>
    <s v="DSCN3782"/>
    <s v="BU0502_3"/>
    <n v="3"/>
    <n v="1"/>
    <s v="B&amp;U"/>
    <d v="2019-05-02T00:00:00"/>
    <x v="2"/>
    <m/>
    <d v="1899-12-30T00:56:00"/>
    <s v="Mostly cloudy"/>
    <s v="WP/BS"/>
    <s v="Foraging/caching"/>
    <s v="Spruce"/>
    <s v="unknown"/>
    <n v="0"/>
    <n v="1"/>
    <x v="2"/>
    <x v="2"/>
    <s v="unknown"/>
    <s v="interior bare spruce"/>
    <s v="Spruce"/>
    <s v="Interior"/>
    <s v="On branch"/>
    <s v="NE"/>
    <n v="32"/>
    <s v="Unknown"/>
    <n v="63.72598"/>
    <n v="148.96046000000001"/>
    <s v="NA"/>
    <s v="NA"/>
    <s v="NA"/>
    <n v="0"/>
    <n v="0"/>
    <n v="0"/>
    <n v="0"/>
    <n v="54"/>
    <n v="54"/>
    <s v="Searching"/>
    <s v="Deployed camera. Insect suspended from witch hair on underside of twig"/>
    <m/>
    <m/>
  </r>
  <r>
    <s v="DSCN2686"/>
    <s v="M2370330_11"/>
    <n v="11"/>
    <n v="1"/>
    <s v="Mile 237"/>
    <d v="2019-03-30T00:00:00"/>
    <x v="1"/>
    <m/>
    <d v="1899-12-30T00:55:00"/>
    <m/>
    <s v="YP/RS"/>
    <s v="Foraging"/>
    <s v="NA"/>
    <n v="1"/>
    <n v="0"/>
    <n v="0"/>
    <x v="2"/>
    <x v="2"/>
    <s v="Ground"/>
    <s v="NA"/>
    <m/>
    <m/>
    <m/>
    <s v="NA"/>
    <s v="NA"/>
    <s v="NA"/>
    <s v="NA"/>
    <s v="NA"/>
    <s v="NA"/>
    <s v="NA"/>
    <m/>
    <n v="0"/>
    <n v="0"/>
    <n v="0"/>
    <n v="0"/>
    <n v="53"/>
    <n v="53"/>
    <s v="Searching"/>
    <m/>
    <m/>
    <m/>
  </r>
  <r>
    <s v="DSCN3365"/>
    <s v="WW0422_10"/>
    <n v="10"/>
    <n v="1"/>
    <s v="WAC West"/>
    <d v="2019-04-22T00:00:00"/>
    <x v="0"/>
    <m/>
    <d v="1899-12-30T00:56:00"/>
    <s v="Partly cloudy"/>
    <s v="BP/PS"/>
    <s v="Foraging"/>
    <s v="NA"/>
    <n v="0"/>
    <n v="0"/>
    <n v="0"/>
    <x v="0"/>
    <x v="0"/>
    <s v="NA"/>
    <s v="NA"/>
    <m/>
    <m/>
    <m/>
    <s v="NA"/>
    <s v="NA"/>
    <s v="NA"/>
    <s v="NA"/>
    <s v="NA"/>
    <s v="NA"/>
    <s v="NA"/>
    <s v="NA"/>
    <n v="0"/>
    <n v="0"/>
    <n v="0"/>
    <n v="0"/>
    <n v="53"/>
    <n v="53"/>
    <s v="Searching"/>
    <m/>
    <m/>
    <m/>
  </r>
  <r>
    <s v="DSCN3533"/>
    <s v="CC0425_9"/>
    <n v="9"/>
    <n v="1"/>
    <s v="CCAMP"/>
    <d v="2019-04-25T00:00:00"/>
    <x v="0"/>
    <m/>
    <d v="1899-12-30T00:53:00"/>
    <s v="Partly cloudy"/>
    <s v="GB/BS"/>
    <s v="Foraging"/>
    <s v="NA"/>
    <n v="1"/>
    <n v="0"/>
    <n v="0"/>
    <x v="2"/>
    <x v="2"/>
    <s v="Spruce trunk"/>
    <s v="NA"/>
    <m/>
    <m/>
    <m/>
    <s v="NA"/>
    <s v="NA"/>
    <s v="NA"/>
    <s v="NA"/>
    <s v="NA"/>
    <s v="NA"/>
    <s v="NA"/>
    <s v="NA"/>
    <n v="2"/>
    <n v="0"/>
    <n v="2"/>
    <n v="0"/>
    <n v="51"/>
    <n v="53"/>
    <s v="Searching"/>
    <m/>
    <m/>
    <m/>
  </r>
  <r>
    <s v="DSCN2517"/>
    <s v="M4R0325_10"/>
    <n v="10"/>
    <n v="1"/>
    <s v="M4Roadside"/>
    <d v="2019-03-25T00:00:00"/>
    <x v="1"/>
    <m/>
    <d v="1899-12-30T00:54:00"/>
    <s v="Mostly sunny"/>
    <s v="YO/BS"/>
    <s v="Foraging"/>
    <s v="NA"/>
    <n v="0"/>
    <n v="0"/>
    <n v="0"/>
    <x v="0"/>
    <x v="0"/>
    <s v="NA"/>
    <s v="NA"/>
    <m/>
    <m/>
    <m/>
    <s v="NA"/>
    <s v="NA"/>
    <s v="NA"/>
    <s v="NA"/>
    <s v="NA"/>
    <m/>
    <m/>
    <m/>
    <n v="0"/>
    <n v="0"/>
    <n v="0"/>
    <n v="0"/>
    <n v="52"/>
    <n v="52"/>
    <s v="Searching"/>
    <m/>
    <m/>
    <m/>
  </r>
  <r>
    <s v="DSCN3420"/>
    <s v="CC0422_20"/>
    <n v="20"/>
    <n v="1"/>
    <s v="CCAMP"/>
    <d v="2019-04-22T00:00:00"/>
    <x v="0"/>
    <s v="Spring"/>
    <d v="1899-12-30T01:02:00"/>
    <s v="Partly cloudy"/>
    <s v="GL/RS"/>
    <s v="Foraging"/>
    <s v="NA"/>
    <n v="3"/>
    <n v="0"/>
    <n v="0"/>
    <x v="2"/>
    <x v="10"/>
    <s v="Ground"/>
    <s v="NA"/>
    <m/>
    <m/>
    <m/>
    <s v="NA"/>
    <s v="NA"/>
    <s v="NA"/>
    <s v="NA"/>
    <s v="NA"/>
    <s v="NA"/>
    <s v="NA"/>
    <s v="NA"/>
    <n v="0"/>
    <n v="0"/>
    <n v="0"/>
    <n v="0"/>
    <n v="52"/>
    <n v="52"/>
    <s v="Searching"/>
    <m/>
    <m/>
    <m/>
  </r>
  <r>
    <s v="DSCN2755"/>
    <s v="BU0401_14"/>
    <n v="14"/>
    <n v="2"/>
    <s v="BU"/>
    <d v="2019-04-01T00:00:00"/>
    <x v="0"/>
    <m/>
    <d v="1899-12-30T02:12:00"/>
    <m/>
    <s v="GR/PS"/>
    <s v="Foraging/caching"/>
    <s v="Spruce"/>
    <n v="1"/>
    <n v="0"/>
    <n v="0"/>
    <x v="3"/>
    <x v="8"/>
    <s v="Ground"/>
    <s v="NA"/>
    <m/>
    <m/>
    <m/>
    <s v="NA"/>
    <s v="NA"/>
    <s v="NA"/>
    <s v="NA"/>
    <s v="NA"/>
    <s v="NA"/>
    <s v="NA"/>
    <m/>
    <n v="0"/>
    <n v="0"/>
    <n v="0"/>
    <n v="0"/>
    <n v="51"/>
    <n v="51"/>
    <s v="Searching"/>
    <m/>
    <m/>
    <m/>
  </r>
  <r>
    <s v="DSCN3369"/>
    <s v="WW0422_12"/>
    <n v="12"/>
    <n v="1"/>
    <s v="WAC West"/>
    <d v="2019-04-22T00:00:00"/>
    <x v="0"/>
    <m/>
    <d v="1899-12-30T00:51:00"/>
    <s v="Partly cloudy"/>
    <s v="BP/PS"/>
    <s v="Foraging"/>
    <s v="NA"/>
    <n v="1"/>
    <n v="0"/>
    <n v="0"/>
    <x v="2"/>
    <x v="2"/>
    <s v="Ground"/>
    <s v="NA"/>
    <m/>
    <m/>
    <m/>
    <s v="NA"/>
    <s v="NA"/>
    <s v="NA"/>
    <s v="NA"/>
    <s v="NA"/>
    <s v="NA"/>
    <s v="NA"/>
    <s v="NA"/>
    <n v="0"/>
    <n v="0"/>
    <n v="0"/>
    <n v="0"/>
    <n v="51"/>
    <n v="51"/>
    <s v="Searching"/>
    <m/>
    <m/>
    <m/>
  </r>
  <r>
    <s v="DSCN3373"/>
    <s v="WW0422_16"/>
    <n v="16"/>
    <n v="1"/>
    <s v="WAC West"/>
    <d v="2019-04-22T00:00:00"/>
    <x v="0"/>
    <m/>
    <d v="1899-12-30T00:51:00"/>
    <s v="Partly cloudy"/>
    <s v="BP/PS"/>
    <s v="Foraging"/>
    <s v="NA"/>
    <n v="2"/>
    <n v="0"/>
    <n v="0"/>
    <x v="2"/>
    <x v="2"/>
    <s v="NA"/>
    <s v="NA"/>
    <m/>
    <m/>
    <m/>
    <s v="NA"/>
    <s v="NA"/>
    <s v="NA"/>
    <s v="NA"/>
    <s v="NA"/>
    <s v="NA"/>
    <s v="NA"/>
    <s v="NA"/>
    <n v="0"/>
    <n v="0"/>
    <n v="0"/>
    <n v="0"/>
    <n v="51"/>
    <n v="51"/>
    <s v="Searching"/>
    <m/>
    <m/>
    <m/>
  </r>
  <r>
    <s v="DSCN3408"/>
    <s v="CC0422_11"/>
    <n v="11"/>
    <n v="1"/>
    <s v="CCAMP"/>
    <d v="2019-04-22T00:00:00"/>
    <x v="0"/>
    <s v="Spring"/>
    <d v="1899-12-30T00:56:00"/>
    <s v="Partly cloudy"/>
    <s v="GL/RS"/>
    <s v="Foraging"/>
    <s v="NA"/>
    <s v="unknown"/>
    <n v="0"/>
    <n v="0"/>
    <x v="0"/>
    <x v="0"/>
    <s v="NA"/>
    <s v="NA"/>
    <m/>
    <m/>
    <m/>
    <s v="NA"/>
    <s v="NA"/>
    <s v="NA"/>
    <s v="NA"/>
    <s v="NA"/>
    <s v="NA"/>
    <s v="NA"/>
    <s v="NA"/>
    <n v="0"/>
    <n v="0"/>
    <n v="0"/>
    <n v="0"/>
    <n v="51"/>
    <n v="51"/>
    <s v="Searching"/>
    <m/>
    <m/>
    <m/>
  </r>
  <r>
    <s v="DSCN2553"/>
    <s v="M2370326_7"/>
    <n v="7"/>
    <n v="1"/>
    <s v="Mile 237"/>
    <d v="2019-03-26T00:00:00"/>
    <x v="1"/>
    <m/>
    <d v="1899-12-30T00:50:00"/>
    <s v="Mostly sunny"/>
    <s v="YP/RS"/>
    <s v="Foraging"/>
    <s v="NA"/>
    <n v="1"/>
    <n v="0"/>
    <n v="0"/>
    <x v="2"/>
    <x v="2"/>
    <s v="Ground"/>
    <s v="NA"/>
    <m/>
    <m/>
    <m/>
    <s v="NA"/>
    <s v="NA"/>
    <s v="NA"/>
    <s v="NA"/>
    <s v="NA"/>
    <m/>
    <m/>
    <m/>
    <n v="0"/>
    <n v="0"/>
    <n v="0"/>
    <n v="0"/>
    <n v="50"/>
    <n v="50"/>
    <s v="Searching"/>
    <m/>
    <m/>
    <m/>
  </r>
  <r>
    <s v="DSCN3715"/>
    <s v="CC0430_10"/>
    <n v="10"/>
    <n v="1"/>
    <s v="CCAMP"/>
    <d v="2019-04-30T00:00:00"/>
    <x v="0"/>
    <s v="Spring"/>
    <d v="1899-12-30T00:50:00"/>
    <s v="Clear, full sun"/>
    <s v="GL/RS"/>
    <s v="Foraging"/>
    <s v="NA"/>
    <n v="2"/>
    <n v="0"/>
    <n v="0"/>
    <x v="2"/>
    <x v="2"/>
    <s v="Ground"/>
    <s v="NA"/>
    <m/>
    <m/>
    <m/>
    <s v="NA"/>
    <s v="NA"/>
    <s v="NA"/>
    <s v="NA"/>
    <s v="NA"/>
    <s v="NA"/>
    <s v="NA"/>
    <s v="NA"/>
    <n v="0"/>
    <n v="0"/>
    <n v="0"/>
    <n v="0"/>
    <n v="50"/>
    <n v="50"/>
    <s v="Searching"/>
    <m/>
    <m/>
    <m/>
  </r>
  <r>
    <s v="DSCN3371"/>
    <s v="WW0422_14"/>
    <n v="14"/>
    <n v="1"/>
    <s v="WAC West"/>
    <d v="2019-04-22T00:00:00"/>
    <x v="0"/>
    <m/>
    <d v="1899-12-30T00:50:00"/>
    <s v="Partly cloudy"/>
    <s v="BP/PS"/>
    <s v="Foraging"/>
    <s v="NA"/>
    <s v="unknown"/>
    <n v="0"/>
    <n v="0"/>
    <x v="0"/>
    <x v="0"/>
    <s v="NA"/>
    <s v="NA"/>
    <m/>
    <m/>
    <m/>
    <s v="NA"/>
    <s v="NA"/>
    <s v="NA"/>
    <s v="NA"/>
    <s v="NA"/>
    <s v="NA"/>
    <s v="NA"/>
    <s v="NA"/>
    <n v="0"/>
    <n v="0"/>
    <n v="0"/>
    <n v="0"/>
    <n v="50"/>
    <n v="50"/>
    <s v="Searching"/>
    <m/>
    <m/>
    <m/>
  </r>
  <r>
    <s v="DSCN3857"/>
    <s v="BU0505_1"/>
    <n v="1"/>
    <n v="1"/>
    <s v="B&amp;U"/>
    <d v="2019-05-05T00:00:00"/>
    <x v="2"/>
    <m/>
    <d v="1899-12-30T00:49:00"/>
    <s v="Mostly cloudy"/>
    <s v="WP/BS"/>
    <s v="Foraging"/>
    <s v="NA"/>
    <s v="unknown"/>
    <n v="0"/>
    <n v="0"/>
    <x v="0"/>
    <x v="0"/>
    <s v="NA"/>
    <s v="NA"/>
    <m/>
    <m/>
    <m/>
    <s v="NA"/>
    <s v="NA"/>
    <s v="NA"/>
    <s v="NA"/>
    <s v="NA"/>
    <s v="NA"/>
    <s v="NA"/>
    <s v="NA"/>
    <n v="0"/>
    <n v="0"/>
    <n v="0"/>
    <n v="0"/>
    <n v="49"/>
    <n v="49"/>
    <s v="Searching"/>
    <m/>
    <m/>
    <m/>
  </r>
  <r>
    <s v="DSCN2990"/>
    <s v="WW0405_30"/>
    <n v="30"/>
    <n v="1"/>
    <s v="WAC West"/>
    <d v="2019-04-05T00:00:00"/>
    <x v="0"/>
    <m/>
    <d v="1899-12-30T00:48:00"/>
    <m/>
    <s v="BP/PS"/>
    <s v="Foraging"/>
    <s v="NA"/>
    <n v="1"/>
    <n v="0"/>
    <n v="0"/>
    <x v="2"/>
    <x v="2"/>
    <s v="Ground"/>
    <s v="NA"/>
    <m/>
    <m/>
    <m/>
    <s v="NA"/>
    <s v="NA"/>
    <s v="NA"/>
    <s v="NA"/>
    <s v="NA"/>
    <s v="NA"/>
    <s v="NA"/>
    <m/>
    <n v="0"/>
    <n v="0"/>
    <n v="0"/>
    <n v="0"/>
    <n v="48"/>
    <n v="48"/>
    <m/>
    <m/>
    <m/>
    <m/>
  </r>
  <r>
    <s v="DSCN3129"/>
    <s v="M2370415_3"/>
    <n v="3"/>
    <n v="1"/>
    <s v="Mile 237"/>
    <d v="2019-04-15T00:00:00"/>
    <x v="0"/>
    <m/>
    <d v="1899-12-30T01:30:00"/>
    <s v="Partly cloudy"/>
    <s v="YP/RS"/>
    <s v="Foraging"/>
    <s v="Spruce"/>
    <n v="1"/>
    <s v="unknown"/>
    <n v="0"/>
    <x v="2"/>
    <x v="2"/>
    <s v="Spruce trunk under bark"/>
    <s v="NA"/>
    <m/>
    <m/>
    <m/>
    <s v="NA"/>
    <s v="NA"/>
    <s v="NA"/>
    <s v="NA"/>
    <s v="NA"/>
    <s v="NA"/>
    <s v="NA"/>
    <m/>
    <n v="48"/>
    <n v="0"/>
    <n v="48"/>
    <n v="0"/>
    <n v="0"/>
    <n v="48"/>
    <s v="Searching/probing"/>
    <m/>
    <n v="10"/>
    <n v="0"/>
  </r>
  <r>
    <s v="DSCN3205"/>
    <s v="CC0416_5"/>
    <n v="5"/>
    <n v="1"/>
    <s v="CCAMP"/>
    <d v="2019-04-16T00:00:00"/>
    <x v="0"/>
    <m/>
    <d v="1899-12-30T00:48:00"/>
    <s v="Mostly cloudy"/>
    <s v="GB/BS"/>
    <s v="Foraging"/>
    <s v="NA"/>
    <n v="1"/>
    <n v="0"/>
    <n v="0"/>
    <x v="2"/>
    <x v="2"/>
    <s v="Ground"/>
    <s v="NA"/>
    <m/>
    <m/>
    <m/>
    <s v="NA"/>
    <s v="NA"/>
    <s v="NA"/>
    <s v="NA"/>
    <s v="NA"/>
    <s v="NA"/>
    <s v="NA"/>
    <m/>
    <n v="0"/>
    <n v="0"/>
    <n v="0"/>
    <n v="0"/>
    <n v="48"/>
    <n v="48"/>
    <s v="Searching"/>
    <m/>
    <m/>
    <m/>
  </r>
  <r>
    <s v="DSCN3570"/>
    <s v="CC0425_35"/>
    <n v="35"/>
    <n v="1"/>
    <s v="CCAMP"/>
    <d v="2019-04-25T00:00:00"/>
    <x v="0"/>
    <m/>
    <d v="1899-12-30T00:49:00"/>
    <s v="Partly cloudy"/>
    <s v="GB/BS"/>
    <s v="Foraging"/>
    <s v="NA"/>
    <s v="unknown"/>
    <n v="0"/>
    <n v="0"/>
    <x v="0"/>
    <x v="0"/>
    <s v="NA"/>
    <s v="NA"/>
    <m/>
    <m/>
    <m/>
    <s v="NA"/>
    <s v="NA"/>
    <s v="NA"/>
    <s v="NA"/>
    <s v="NA"/>
    <s v="NA"/>
    <s v="NA"/>
    <s v="NA"/>
    <n v="0"/>
    <n v="0"/>
    <n v="0"/>
    <n v="0"/>
    <n v="48"/>
    <n v="48"/>
    <s v="Searching"/>
    <m/>
    <m/>
    <m/>
  </r>
  <r>
    <s v="DSCN2992"/>
    <s v="WW0405_31"/>
    <n v="31"/>
    <n v="1"/>
    <s v="WAC West"/>
    <d v="2019-04-05T00:00:00"/>
    <x v="0"/>
    <m/>
    <d v="1899-12-30T00:47:00"/>
    <m/>
    <s v="BP/PS"/>
    <s v="Foraging"/>
    <s v="NA"/>
    <n v="0"/>
    <n v="0"/>
    <n v="0"/>
    <x v="0"/>
    <x v="0"/>
    <s v="NA"/>
    <s v="NA"/>
    <m/>
    <m/>
    <m/>
    <s v="NA"/>
    <s v="NA"/>
    <s v="NA"/>
    <s v="NA"/>
    <s v="NA"/>
    <s v="NA"/>
    <s v="NA"/>
    <m/>
    <n v="0"/>
    <n v="0"/>
    <n v="0"/>
    <n v="0"/>
    <n v="47"/>
    <n v="47"/>
    <m/>
    <m/>
    <m/>
    <m/>
  </r>
  <r>
    <s v="DSCN3207"/>
    <s v="CC0416_6"/>
    <n v="7"/>
    <n v="2"/>
    <s v="CCAMP"/>
    <d v="2019-04-16T00:00:00"/>
    <x v="0"/>
    <m/>
    <d v="1899-12-30T00:52:00"/>
    <s v="Mostly cloudy"/>
    <s v="GB/BS"/>
    <s v="Foraging"/>
    <s v="NA"/>
    <n v="1"/>
    <n v="0"/>
    <n v="0"/>
    <x v="1"/>
    <x v="4"/>
    <s v="Ground"/>
    <s v="NA"/>
    <m/>
    <m/>
    <m/>
    <s v="NA"/>
    <s v="NA"/>
    <s v="NA"/>
    <s v="NA"/>
    <s v="NA"/>
    <s v="NA"/>
    <s v="NA"/>
    <m/>
    <n v="0"/>
    <n v="0"/>
    <n v="0"/>
    <n v="0"/>
    <n v="47"/>
    <n v="47"/>
    <s v="Searching"/>
    <m/>
    <m/>
    <m/>
  </r>
  <r>
    <s v="DSCN3406"/>
    <s v="CC0422_10"/>
    <n v="10"/>
    <n v="1"/>
    <s v="CCAMP"/>
    <d v="2019-04-22T00:00:00"/>
    <x v="0"/>
    <s v="Spring"/>
    <d v="1899-12-30T00:47:00"/>
    <s v="Partly cloudy"/>
    <s v="GL/RS"/>
    <s v="Foraging"/>
    <s v="NA"/>
    <n v="2"/>
    <n v="0"/>
    <n v="0"/>
    <x v="2"/>
    <x v="2"/>
    <s v="Ground"/>
    <s v="NA"/>
    <m/>
    <m/>
    <m/>
    <s v="NA"/>
    <s v="NA"/>
    <s v="NA"/>
    <s v="NA"/>
    <s v="NA"/>
    <s v="NA"/>
    <s v="NA"/>
    <s v="NA"/>
    <n v="0"/>
    <n v="0"/>
    <n v="0"/>
    <n v="0"/>
    <n v="47"/>
    <n v="47"/>
    <s v="Searching"/>
    <m/>
    <m/>
    <m/>
  </r>
  <r>
    <s v="DSCN3151"/>
    <s v="M2370415_16"/>
    <n v="16"/>
    <n v="1"/>
    <s v="Mile 237"/>
    <d v="2019-04-15T00:00:00"/>
    <x v="0"/>
    <m/>
    <d v="1899-12-30T00:47:00"/>
    <s v="Partly cloudy"/>
    <s v="YP/RS"/>
    <s v="Foraging"/>
    <s v="NA"/>
    <s v="unknown"/>
    <n v="0"/>
    <n v="0"/>
    <x v="0"/>
    <x v="0"/>
    <s v="NA"/>
    <s v="NA"/>
    <m/>
    <m/>
    <m/>
    <s v="NA"/>
    <s v="NA"/>
    <s v="NA"/>
    <s v="NA"/>
    <s v="NA"/>
    <s v="NA"/>
    <s v="NA"/>
    <m/>
    <n v="0"/>
    <n v="0"/>
    <n v="0"/>
    <n v="0"/>
    <n v="47"/>
    <n v="47"/>
    <s v="Searching"/>
    <m/>
    <m/>
    <m/>
  </r>
  <r>
    <s v="DSCN3514"/>
    <s v="MC0424_21"/>
    <n v="21"/>
    <n v="1"/>
    <s v="Mercantile"/>
    <d v="2019-04-24T00:00:00"/>
    <x v="0"/>
    <m/>
    <d v="1899-12-30T00:47:00"/>
    <s v="Partly cloudy"/>
    <s v="BW/GS"/>
    <s v="Foraging"/>
    <s v="NA"/>
    <s v="unknown"/>
    <n v="0"/>
    <n v="0"/>
    <x v="0"/>
    <x v="0"/>
    <s v="NA"/>
    <s v="NA"/>
    <m/>
    <m/>
    <m/>
    <s v="NA"/>
    <s v="NA"/>
    <s v="NA"/>
    <s v="NA"/>
    <s v="NA"/>
    <s v="NA"/>
    <s v="NA"/>
    <s v="NA"/>
    <n v="0"/>
    <n v="0"/>
    <n v="0"/>
    <n v="0"/>
    <n v="47"/>
    <n v="47"/>
    <s v="Searching"/>
    <m/>
    <m/>
    <m/>
  </r>
  <r>
    <s v="DSCN3106"/>
    <s v="BU0415_3"/>
    <n v="3"/>
    <n v="1"/>
    <s v="B&amp;U"/>
    <d v="2019-04-15T00:00:00"/>
    <x v="0"/>
    <m/>
    <d v="1899-12-30T00:46:00"/>
    <s v="Partly cloudy"/>
    <s v="GR/PS"/>
    <s v="Foraging"/>
    <s v="NA"/>
    <n v="2"/>
    <n v="0"/>
    <n v="0"/>
    <x v="2"/>
    <x v="2"/>
    <s v="Ground"/>
    <s v="NA"/>
    <m/>
    <m/>
    <m/>
    <s v="NA"/>
    <s v="NA"/>
    <s v="NA"/>
    <s v="NA"/>
    <s v="NA"/>
    <s v="NA"/>
    <s v="NA"/>
    <m/>
    <n v="0"/>
    <n v="0"/>
    <n v="0"/>
    <n v="0"/>
    <n v="46"/>
    <n v="46"/>
    <s v="Searching"/>
    <s v="Not postive about food acquisitions, but seems like he got at least 2, maybe even three based on post foraging behavior"/>
    <m/>
    <m/>
  </r>
  <r>
    <s v="DSCN3454"/>
    <s v="BU0424_1"/>
    <n v="1"/>
    <n v="2"/>
    <s v="B&amp;U"/>
    <d v="2019-04-24T00:00:00"/>
    <x v="0"/>
    <m/>
    <d v="1899-12-30T01:26:00"/>
    <s v="Partly cloudy"/>
    <s v="GR/PS"/>
    <s v="Foraging"/>
    <s v="NA"/>
    <n v="1"/>
    <n v="0"/>
    <n v="0"/>
    <x v="2"/>
    <x v="2"/>
    <s v="Ground"/>
    <s v="NA"/>
    <m/>
    <m/>
    <m/>
    <s v="NA"/>
    <s v="NA"/>
    <s v="NA"/>
    <s v="NA"/>
    <s v="NA"/>
    <s v="NA"/>
    <s v="NA"/>
    <s v="NA"/>
    <n v="0"/>
    <n v="0"/>
    <n v="0"/>
    <n v="0"/>
    <n v="46"/>
    <n v="46"/>
    <s v="Searching"/>
    <m/>
    <m/>
    <m/>
  </r>
  <r>
    <s v="DSCN3606"/>
    <s v="MC0426_1"/>
    <n v="1"/>
    <n v="1"/>
    <s v="Air Quality"/>
    <d v="2019-04-26T00:00:00"/>
    <x v="0"/>
    <m/>
    <d v="1899-12-30T00:52:00"/>
    <m/>
    <s v="WO/OS"/>
    <s v="Foraging"/>
    <s v="Spruce"/>
    <s v="unknown"/>
    <s v="unknown"/>
    <n v="0"/>
    <x v="0"/>
    <x v="0"/>
    <s v="NA"/>
    <s v="NA"/>
    <m/>
    <m/>
    <m/>
    <s v="NA"/>
    <s v="NA"/>
    <s v="NA"/>
    <s v="NA"/>
    <s v="NA"/>
    <s v="NA"/>
    <s v="NA"/>
    <s v="NA"/>
    <n v="46"/>
    <n v="0"/>
    <n v="46"/>
    <n v="0"/>
    <n v="0"/>
    <n v="46"/>
    <s v="Searching"/>
    <m/>
    <m/>
    <m/>
  </r>
  <r>
    <s v="DSCN3871"/>
    <s v="CC0506_3"/>
    <n v="3"/>
    <n v="1"/>
    <s v="CCAMP"/>
    <d v="2019-05-06T00:00:00"/>
    <x v="2"/>
    <m/>
    <d v="1899-12-30T01:15:00"/>
    <s v="Mostly cloudy"/>
    <s v="GB/BS"/>
    <s v="Foraging"/>
    <s v="NA"/>
    <n v="0"/>
    <n v="0"/>
    <n v="0"/>
    <x v="0"/>
    <x v="0"/>
    <s v="NA"/>
    <s v="NA"/>
    <m/>
    <m/>
    <m/>
    <s v="NA"/>
    <s v="NA"/>
    <s v="NA"/>
    <s v="NA"/>
    <s v="NA"/>
    <s v="NA"/>
    <s v="NA"/>
    <s v="NA"/>
    <n v="0"/>
    <n v="0"/>
    <n v="0"/>
    <n v="0"/>
    <n v="45"/>
    <n v="45"/>
    <s v="Searching"/>
    <m/>
    <m/>
    <m/>
  </r>
  <r>
    <s v="DSCN3909"/>
    <s v="BU0508_3"/>
    <n v="3"/>
    <n v="1"/>
    <s v="B&amp;U"/>
    <d v="2019-05-08T00:00:00"/>
    <x v="2"/>
    <m/>
    <d v="1899-12-30T00:45:00"/>
    <s v="Overcast, light rain"/>
    <s v="WP/BS"/>
    <s v="Foraging"/>
    <s v="NA"/>
    <n v="1"/>
    <n v="0"/>
    <n v="0"/>
    <x v="2"/>
    <x v="2"/>
    <s v="Ground"/>
    <s v="NA"/>
    <m/>
    <m/>
    <m/>
    <s v="NA"/>
    <s v="NA"/>
    <s v="NA"/>
    <s v="NA"/>
    <s v="NA"/>
    <s v="NA"/>
    <s v="NA"/>
    <s v="NA"/>
    <n v="0"/>
    <n v="0"/>
    <n v="0"/>
    <n v="0"/>
    <n v="45"/>
    <n v="45"/>
    <s v="Searching"/>
    <m/>
    <m/>
    <m/>
  </r>
  <r>
    <s v="DSCN3929"/>
    <s v="M2370508_1"/>
    <n v="1"/>
    <n v="1"/>
    <s v="Mile 237"/>
    <d v="2019-05-08T00:00:00"/>
    <x v="2"/>
    <m/>
    <d v="1899-12-30T00:45:00"/>
    <s v="Overcast"/>
    <s v="GB/PS"/>
    <s v="Foraging"/>
    <s v="NA"/>
    <n v="0"/>
    <n v="0"/>
    <n v="0"/>
    <x v="0"/>
    <x v="0"/>
    <s v="NA"/>
    <s v="NA"/>
    <m/>
    <m/>
    <m/>
    <s v="NA"/>
    <s v="NA"/>
    <s v="NA"/>
    <s v="NA"/>
    <s v="NA"/>
    <s v="NA"/>
    <s v="NA"/>
    <s v="NA"/>
    <n v="0"/>
    <n v="0"/>
    <n v="0"/>
    <n v="0"/>
    <n v="45"/>
    <n v="45"/>
    <s v="Searching"/>
    <m/>
    <m/>
    <m/>
  </r>
  <r>
    <s v="DSCN3546"/>
    <s v="CC0425_17"/>
    <n v="17"/>
    <n v="1"/>
    <s v="CCAMP"/>
    <d v="2019-04-25T00:00:00"/>
    <x v="0"/>
    <m/>
    <d v="1899-12-30T01:03:00"/>
    <s v="Partly cloudy"/>
    <s v="GB/BS"/>
    <s v="Foraging"/>
    <s v="NA"/>
    <s v="unknown"/>
    <n v="0"/>
    <n v="0"/>
    <x v="0"/>
    <x v="0"/>
    <s v="NA"/>
    <s v="NA"/>
    <m/>
    <m/>
    <m/>
    <s v="NA"/>
    <s v="NA"/>
    <s v="NA"/>
    <s v="NA"/>
    <s v="NA"/>
    <s v="NA"/>
    <s v="NA"/>
    <s v="NA"/>
    <n v="0"/>
    <n v="0"/>
    <n v="0"/>
    <n v="0"/>
    <n v="45"/>
    <n v="45"/>
    <s v="Searching"/>
    <m/>
    <m/>
    <m/>
  </r>
  <r>
    <s v="DSCN3755"/>
    <s v="MC0502_1"/>
    <n v="1"/>
    <n v="1"/>
    <s v="Mercantile"/>
    <d v="2019-05-02T00:00:00"/>
    <x v="2"/>
    <m/>
    <d v="1899-12-30T00:45:00"/>
    <s v="Mostly cloudy"/>
    <s v="BW/GS"/>
    <s v="Foraging"/>
    <s v="NA"/>
    <s v="unknown"/>
    <n v="0"/>
    <n v="0"/>
    <x v="0"/>
    <x v="0"/>
    <s v="NA"/>
    <s v="NA"/>
    <m/>
    <m/>
    <m/>
    <s v="NA"/>
    <s v="NA"/>
    <s v="NA"/>
    <s v="NA"/>
    <s v="NA"/>
    <s v="NA"/>
    <s v="NA"/>
    <s v="NA"/>
    <n v="0"/>
    <n v="0"/>
    <n v="0"/>
    <n v="0"/>
    <n v="45"/>
    <n v="45"/>
    <s v="Searching"/>
    <m/>
    <m/>
    <m/>
  </r>
  <r>
    <s v="DSCN3154"/>
    <s v="M2370415_18"/>
    <n v="18"/>
    <n v="1"/>
    <s v="Mile 237"/>
    <d v="2019-04-15T00:00:00"/>
    <x v="0"/>
    <m/>
    <d v="1899-12-30T00:44:00"/>
    <s v="Partly cloudy"/>
    <s v="YP/RS"/>
    <s v="Foraging"/>
    <s v="NA"/>
    <n v="1"/>
    <n v="0"/>
    <n v="0"/>
    <x v="1"/>
    <x v="4"/>
    <s v="Ground"/>
    <s v="NA"/>
    <m/>
    <m/>
    <m/>
    <s v="NA"/>
    <s v="NA"/>
    <s v="NA"/>
    <s v="NA"/>
    <s v="NA"/>
    <s v="NA"/>
    <s v="NA"/>
    <m/>
    <n v="0"/>
    <n v="0"/>
    <n v="0"/>
    <n v="0"/>
    <n v="44"/>
    <n v="44"/>
    <s v="Searching"/>
    <m/>
    <m/>
    <m/>
  </r>
  <r>
    <s v="DSCN3410"/>
    <s v="CC0422_13"/>
    <n v="13"/>
    <n v="1"/>
    <s v="CCAMP"/>
    <d v="2019-04-22T00:00:00"/>
    <x v="0"/>
    <s v="Spring"/>
    <d v="1899-12-30T00:57:00"/>
    <s v="Partly cloudy"/>
    <s v="GL/RS"/>
    <s v="Foraging"/>
    <s v="NA"/>
    <n v="2"/>
    <n v="0"/>
    <n v="0"/>
    <x v="2"/>
    <x v="2"/>
    <s v="Ground"/>
    <s v="NA"/>
    <m/>
    <m/>
    <m/>
    <s v="NA"/>
    <s v="NA"/>
    <s v="NA"/>
    <s v="NA"/>
    <s v="NA"/>
    <s v="NA"/>
    <s v="NA"/>
    <s v="NA"/>
    <n v="0"/>
    <n v="0"/>
    <n v="0"/>
    <n v="0"/>
    <n v="44"/>
    <n v="44"/>
    <s v="Searching"/>
    <m/>
    <m/>
    <m/>
  </r>
  <r>
    <s v="DSCN3858"/>
    <s v="BU0505_2"/>
    <n v="2"/>
    <n v="1"/>
    <s v="B&amp;U"/>
    <d v="2019-05-05T00:00:00"/>
    <x v="2"/>
    <m/>
    <d v="1899-12-30T00:48:00"/>
    <s v="Mostly cloudy"/>
    <s v="WP/BS"/>
    <s v="Foraging/caching"/>
    <s v="NA"/>
    <s v="unknown"/>
    <n v="0"/>
    <n v="1"/>
    <x v="1"/>
    <x v="1"/>
    <s v="unknown"/>
    <s v="Interior spruce branch in witch hair"/>
    <s v="Spruce"/>
    <s v="Interior"/>
    <s v="Under witchhair"/>
    <s v="N"/>
    <n v="355"/>
    <s v="Unknown"/>
    <n v="63.72616"/>
    <n v="148.96205"/>
    <s v="NA"/>
    <s v="NA"/>
    <s v="NA"/>
    <n v="0"/>
    <n v="0"/>
    <n v="0"/>
    <n v="0"/>
    <n v="44"/>
    <n v="44"/>
    <s v="Searching"/>
    <m/>
    <m/>
    <m/>
  </r>
  <r>
    <s v="DSCN3538"/>
    <s v="CC0425_14"/>
    <n v="14"/>
    <n v="1"/>
    <s v="CCAMP"/>
    <d v="2019-04-25T00:00:00"/>
    <x v="0"/>
    <m/>
    <d v="1899-12-30T00:44:00"/>
    <s v="Partly cloudy"/>
    <s v="GB/BS"/>
    <s v="Foraging"/>
    <s v="NA"/>
    <s v="unknown"/>
    <n v="0"/>
    <n v="0"/>
    <x v="0"/>
    <x v="0"/>
    <s v="NA"/>
    <s v="NA"/>
    <m/>
    <m/>
    <m/>
    <s v="NA"/>
    <s v="NA"/>
    <s v="NA"/>
    <s v="NA"/>
    <s v="NA"/>
    <s v="NA"/>
    <s v="NA"/>
    <s v="NA"/>
    <n v="0"/>
    <n v="0"/>
    <n v="0"/>
    <n v="0"/>
    <n v="44"/>
    <n v="44"/>
    <s v="Searching"/>
    <m/>
    <m/>
    <m/>
  </r>
  <r>
    <s v="DSCN2862"/>
    <s v="BU0403_2"/>
    <n v="2"/>
    <n v="1"/>
    <s v="B&amp;U"/>
    <d v="2019-04-03T00:00:00"/>
    <x v="0"/>
    <m/>
    <d v="1899-12-30T00:45:00"/>
    <m/>
    <s v="GR/PS"/>
    <s v="Foraging"/>
    <s v="NA"/>
    <s v="unknown"/>
    <n v="0"/>
    <n v="0"/>
    <x v="0"/>
    <x v="0"/>
    <s v="NA"/>
    <s v="NA"/>
    <m/>
    <m/>
    <m/>
    <s v="NA"/>
    <s v="NA"/>
    <s v="NA"/>
    <s v="NA"/>
    <s v="NA"/>
    <s v="NA"/>
    <s v="NA"/>
    <m/>
    <n v="0"/>
    <n v="0"/>
    <n v="0"/>
    <n v="0"/>
    <n v="43"/>
    <n v="43"/>
    <s v="Searching"/>
    <m/>
    <m/>
    <m/>
  </r>
  <r>
    <s v="DSCN3784"/>
    <s v="BU0502_5"/>
    <n v="5"/>
    <n v="1"/>
    <s v="B&amp;U"/>
    <d v="2019-05-02T00:00:00"/>
    <x v="2"/>
    <m/>
    <d v="1899-12-30T00:43:00"/>
    <s v="Mostly cloudy"/>
    <s v="WP/BS"/>
    <s v="Foraging"/>
    <s v="NA"/>
    <s v="unknown"/>
    <n v="0"/>
    <n v="0"/>
    <x v="0"/>
    <x v="0"/>
    <s v="NA"/>
    <s v="NA"/>
    <m/>
    <m/>
    <m/>
    <s v="NA"/>
    <s v="NA"/>
    <s v="NA"/>
    <s v="NA"/>
    <s v="NA"/>
    <s v="NA"/>
    <s v="NA"/>
    <s v="NA"/>
    <n v="0"/>
    <n v="0"/>
    <n v="0"/>
    <n v="0"/>
    <n v="43"/>
    <n v="43"/>
    <s v="Searching"/>
    <m/>
    <m/>
    <m/>
  </r>
  <r>
    <s v="DSCN3467"/>
    <s v="BU0424_9"/>
    <n v="9"/>
    <n v="1"/>
    <s v="B&amp;U"/>
    <d v="2019-04-24T00:00:00"/>
    <x v="0"/>
    <m/>
    <d v="1899-12-30T00:55:00"/>
    <s v="Partly cloudy"/>
    <s v="GR/PS"/>
    <s v="Foraging"/>
    <s v="NA"/>
    <n v="1"/>
    <n v="0"/>
    <n v="0"/>
    <x v="2"/>
    <x v="2"/>
    <s v="Ground"/>
    <s v="NA"/>
    <m/>
    <m/>
    <m/>
    <s v="NA"/>
    <s v="NA"/>
    <s v="NA"/>
    <s v="NA"/>
    <s v="NA"/>
    <s v="NA"/>
    <s v="NA"/>
    <s v="NA"/>
    <n v="0"/>
    <n v="0"/>
    <n v="0"/>
    <n v="0"/>
    <n v="42"/>
    <n v="42"/>
    <m/>
    <m/>
    <m/>
    <m/>
  </r>
  <r>
    <s v="DSCN3559"/>
    <s v="CC0425_26"/>
    <n v="26"/>
    <n v="1"/>
    <s v="CCAMP"/>
    <d v="2019-04-25T00:00:00"/>
    <x v="0"/>
    <m/>
    <d v="1899-12-30T01:54:00"/>
    <s v="Partly cloudy"/>
    <s v="GB/BS"/>
    <s v="Food handling/Foraging"/>
    <s v="Spruce"/>
    <n v="0"/>
    <n v="0"/>
    <n v="0"/>
    <x v="0"/>
    <x v="0"/>
    <s v="NA"/>
    <s v="NA"/>
    <m/>
    <m/>
    <m/>
    <s v="NA"/>
    <s v="NA"/>
    <s v="NA"/>
    <s v="NA"/>
    <s v="NA"/>
    <s v="NA"/>
    <s v="NA"/>
    <s v="NA"/>
    <n v="19"/>
    <n v="0"/>
    <n v="19"/>
    <n v="0"/>
    <n v="23"/>
    <n v="42"/>
    <s v="Searching"/>
    <m/>
    <m/>
    <m/>
  </r>
  <r>
    <s v="DSCN3553"/>
    <s v="CC0425_22"/>
    <n v="22"/>
    <n v="1"/>
    <s v="CCAMP"/>
    <d v="2019-04-25T00:00:00"/>
    <x v="0"/>
    <s v="Spring"/>
    <d v="1899-12-30T00:42:00"/>
    <s v="Partly cloudy"/>
    <s v="GL/RS"/>
    <s v="Foraging"/>
    <s v="NA"/>
    <s v="unknown"/>
    <n v="0"/>
    <n v="0"/>
    <x v="0"/>
    <x v="0"/>
    <s v="NA"/>
    <s v="NA"/>
    <m/>
    <m/>
    <m/>
    <s v="NA"/>
    <s v="NA"/>
    <s v="NA"/>
    <s v="NA"/>
    <s v="NA"/>
    <s v="NA"/>
    <s v="NA"/>
    <s v="NA"/>
    <n v="0"/>
    <n v="0"/>
    <n v="0"/>
    <n v="0"/>
    <n v="42"/>
    <n v="42"/>
    <s v="Searching"/>
    <m/>
    <m/>
    <m/>
  </r>
  <r>
    <s v="DSCN2845"/>
    <s v="M2370403_11"/>
    <n v="11"/>
    <n v="1"/>
    <s v="Mile 237"/>
    <d v="2019-04-03T00:00:00"/>
    <x v="0"/>
    <m/>
    <d v="1899-12-30T01:48:00"/>
    <m/>
    <s v="YP/RS"/>
    <s v="Foraging"/>
    <s v="Spruce"/>
    <n v="1"/>
    <s v="unknown"/>
    <n v="0"/>
    <x v="2"/>
    <x v="2"/>
    <s v="Exterior spruce branch Under bark"/>
    <s v="NA"/>
    <m/>
    <m/>
    <m/>
    <s v="NA"/>
    <s v="NA"/>
    <s v="NA"/>
    <s v="NA"/>
    <s v="NA"/>
    <s v="NA"/>
    <s v="NA"/>
    <m/>
    <n v="13"/>
    <n v="28"/>
    <n v="13"/>
    <n v="28"/>
    <n v="0"/>
    <n v="41"/>
    <s v="Searching/probing"/>
    <s v="By editing the video and lightening up the brightness I could see that it did not make a chase but rather aquired food.  "/>
    <n v="2"/>
    <n v="0"/>
  </r>
  <r>
    <s v="DSCN2982"/>
    <s v="WW0405_25"/>
    <n v="25"/>
    <n v="1"/>
    <s v="WAC West"/>
    <d v="2019-04-05T00:00:00"/>
    <x v="0"/>
    <m/>
    <d v="1899-12-30T00:41:00"/>
    <m/>
    <s v="BP/PS"/>
    <s v="Foraging"/>
    <s v="NA"/>
    <n v="0"/>
    <n v="0"/>
    <n v="0"/>
    <x v="0"/>
    <x v="0"/>
    <s v="NA"/>
    <s v="NA"/>
    <m/>
    <m/>
    <m/>
    <s v="NA"/>
    <s v="NA"/>
    <s v="NA"/>
    <s v="NA"/>
    <s v="NA"/>
    <s v="NA"/>
    <s v="NA"/>
    <m/>
    <n v="0"/>
    <n v="0"/>
    <n v="0"/>
    <n v="0"/>
    <n v="41"/>
    <n v="41"/>
    <s v="Searching"/>
    <m/>
    <m/>
    <m/>
  </r>
  <r>
    <s v="DSCN2986"/>
    <s v="WW0405_26"/>
    <n v="26"/>
    <n v="1"/>
    <s v="WAC West"/>
    <d v="2019-04-05T00:00:00"/>
    <x v="0"/>
    <m/>
    <d v="1899-12-30T00:41:00"/>
    <m/>
    <s v="BP/PS"/>
    <s v="Foraging"/>
    <s v="NA"/>
    <n v="0"/>
    <n v="0"/>
    <n v="0"/>
    <x v="0"/>
    <x v="0"/>
    <s v="NA"/>
    <s v="NA"/>
    <m/>
    <m/>
    <m/>
    <s v="NA"/>
    <s v="NA"/>
    <s v="NA"/>
    <s v="NA"/>
    <s v="NA"/>
    <s v="NA"/>
    <s v="NA"/>
    <m/>
    <n v="0"/>
    <n v="0"/>
    <n v="0"/>
    <n v="0"/>
    <n v="41"/>
    <n v="41"/>
    <s v="Searching"/>
    <m/>
    <m/>
    <m/>
  </r>
  <r>
    <s v="DSCN3108"/>
    <s v="BU0415_4"/>
    <n v="4"/>
    <n v="1"/>
    <s v="B&amp;U"/>
    <d v="2019-04-15T00:00:00"/>
    <x v="0"/>
    <m/>
    <d v="1899-12-30T00:41:00"/>
    <s v="Partly cloudy"/>
    <s v="GR/PS"/>
    <s v="Foraging"/>
    <s v="NA"/>
    <n v="1"/>
    <n v="0"/>
    <n v="0"/>
    <x v="2"/>
    <x v="2"/>
    <s v="Ground"/>
    <s v="NA"/>
    <m/>
    <m/>
    <m/>
    <s v="NA"/>
    <s v="NA"/>
    <s v="NA"/>
    <s v="NA"/>
    <s v="NA"/>
    <s v="NA"/>
    <s v="NA"/>
    <m/>
    <n v="0"/>
    <n v="0"/>
    <n v="0"/>
    <n v="0"/>
    <n v="41"/>
    <n v="41"/>
    <s v="Searching"/>
    <m/>
    <m/>
    <m/>
  </r>
  <r>
    <s v="DSCN3235"/>
    <s v="M4R0417_17"/>
    <n v="17"/>
    <n v="1"/>
    <s v="M4Roadside"/>
    <d v="2019-04-17T00:00:00"/>
    <x v="0"/>
    <m/>
    <d v="1899-12-30T00:41:00"/>
    <s v="Overcast, light snow"/>
    <s v="YO/BS"/>
    <s v="Foraging"/>
    <s v="Spruce"/>
    <n v="2"/>
    <n v="1"/>
    <n v="0"/>
    <x v="2"/>
    <x v="2"/>
    <s v="Spruce trunk under bark"/>
    <s v="NA"/>
    <m/>
    <m/>
    <m/>
    <s v="NA"/>
    <s v="NA"/>
    <s v="NA"/>
    <s v="NA"/>
    <s v="NA"/>
    <n v="63.720469999999999"/>
    <n v="148.98471000000001"/>
    <s v="M4R100518CT3"/>
    <n v="41"/>
    <n v="0"/>
    <n v="41"/>
    <n v="0"/>
    <n v="0"/>
    <n v="41"/>
    <s v="Searching/probing/ Bark chpping"/>
    <s v="Repeatedly removes bark and then inserts it into palce it's trying to probe???"/>
    <n v="10"/>
    <n v="0"/>
  </r>
  <r>
    <s v="DSCN3364"/>
    <s v="WW0422_9"/>
    <n v="9"/>
    <n v="1"/>
    <s v="WAC West"/>
    <d v="2019-04-22T00:00:00"/>
    <x v="0"/>
    <m/>
    <d v="1899-12-30T00:44:00"/>
    <s v="Partly cloudy"/>
    <s v="BP/PS"/>
    <s v="Foraging"/>
    <s v="NA"/>
    <n v="1"/>
    <n v="0"/>
    <n v="0"/>
    <x v="2"/>
    <x v="2"/>
    <s v="Ground"/>
    <s v="NA"/>
    <m/>
    <m/>
    <m/>
    <s v="NA"/>
    <s v="NA"/>
    <s v="NA"/>
    <s v="NA"/>
    <s v="NA"/>
    <s v="NA"/>
    <s v="NA"/>
    <s v="NA"/>
    <n v="0"/>
    <n v="0"/>
    <n v="0"/>
    <n v="0"/>
    <n v="41"/>
    <n v="41"/>
    <s v="Searching"/>
    <s v="Missed acquisition"/>
    <m/>
    <m/>
  </r>
  <r>
    <s v="DSCN3202"/>
    <s v="CC0416_3"/>
    <n v="3"/>
    <n v="1"/>
    <s v="CCAMP"/>
    <d v="2019-04-16T00:00:00"/>
    <x v="0"/>
    <m/>
    <d v="1899-12-30T01:00:00"/>
    <s v="Mostly cloudy"/>
    <s v="GB/BS"/>
    <s v="Foraging"/>
    <s v="NA"/>
    <s v="unknown"/>
    <n v="0"/>
    <n v="0"/>
    <x v="0"/>
    <x v="0"/>
    <s v="NA"/>
    <s v="NA"/>
    <m/>
    <m/>
    <m/>
    <s v="NA"/>
    <s v="NA"/>
    <s v="NA"/>
    <s v="NA"/>
    <s v="NA"/>
    <s v="NA"/>
    <s v="NA"/>
    <m/>
    <n v="0"/>
    <n v="0"/>
    <n v="0"/>
    <n v="0"/>
    <n v="41"/>
    <n v="41"/>
    <s v="Searching"/>
    <m/>
    <m/>
    <m/>
  </r>
  <r>
    <s v="DSCN3412"/>
    <s v="CC0422_15"/>
    <n v="15"/>
    <n v="1"/>
    <s v="CCAMP"/>
    <d v="2019-04-22T00:00:00"/>
    <x v="0"/>
    <s v="Spring"/>
    <d v="1899-12-30T01:05:00"/>
    <s v="Partly cloudy"/>
    <s v="GL/RS"/>
    <s v="Foraging"/>
    <s v="NA"/>
    <s v="unknown"/>
    <n v="0"/>
    <n v="0"/>
    <x v="0"/>
    <x v="0"/>
    <s v="NA"/>
    <s v="NA"/>
    <m/>
    <m/>
    <m/>
    <s v="NA"/>
    <s v="NA"/>
    <s v="NA"/>
    <s v="NA"/>
    <s v="NA"/>
    <s v="NA"/>
    <s v="NA"/>
    <s v="NA"/>
    <n v="0"/>
    <n v="0"/>
    <n v="0"/>
    <n v="0"/>
    <n v="41"/>
    <n v="41"/>
    <s v="Searching"/>
    <m/>
    <m/>
    <m/>
  </r>
  <r>
    <s v="DSCN3517"/>
    <s v="MC0424_24"/>
    <n v="24"/>
    <n v="1"/>
    <s v="Mercantile"/>
    <d v="2019-04-24T00:00:00"/>
    <x v="0"/>
    <m/>
    <d v="1899-12-30T00:41:00"/>
    <s v="Partly cloudy"/>
    <s v="BW/GS"/>
    <s v="Foraging"/>
    <s v="NA"/>
    <s v="unknown"/>
    <n v="0"/>
    <n v="0"/>
    <x v="0"/>
    <x v="0"/>
    <s v="NA"/>
    <s v="NA"/>
    <m/>
    <m/>
    <m/>
    <s v="NA"/>
    <s v="NA"/>
    <s v="NA"/>
    <s v="NA"/>
    <s v="NA"/>
    <s v="NA"/>
    <s v="NA"/>
    <s v="NA"/>
    <n v="0"/>
    <n v="0"/>
    <n v="0"/>
    <n v="0"/>
    <n v="41"/>
    <n v="41"/>
    <s v="Searching"/>
    <m/>
    <m/>
    <m/>
  </r>
  <r>
    <s v="DSCN2554"/>
    <s v="M2370326_8"/>
    <n v="8"/>
    <n v="1"/>
    <s v="Mile 237"/>
    <d v="2019-03-26T00:00:00"/>
    <x v="1"/>
    <m/>
    <d v="1899-12-30T00:40:00"/>
    <s v="Mostly sunny"/>
    <s v="YP/RS"/>
    <s v="Foraging"/>
    <s v="NA"/>
    <n v="1"/>
    <n v="0"/>
    <n v="0"/>
    <x v="1"/>
    <x v="15"/>
    <s v="Ground"/>
    <s v="NA"/>
    <m/>
    <m/>
    <m/>
    <s v="NA"/>
    <s v="NA"/>
    <s v="NA"/>
    <s v="NA"/>
    <s v="NA"/>
    <m/>
    <m/>
    <m/>
    <n v="0"/>
    <n v="0"/>
    <n v="0"/>
    <n v="0"/>
    <n v="40"/>
    <n v="40"/>
    <s v="Searching"/>
    <m/>
    <m/>
    <m/>
  </r>
  <r>
    <s v="DSCN2960"/>
    <s v="WW0405_7"/>
    <n v="7"/>
    <n v="1"/>
    <s v="WAC West"/>
    <d v="2019-04-05T00:00:00"/>
    <x v="0"/>
    <m/>
    <d v="1899-12-30T00:40:00"/>
    <m/>
    <s v="BP/PS"/>
    <s v="Foraging"/>
    <s v="Spruce"/>
    <n v="0"/>
    <n v="0"/>
    <n v="0"/>
    <x v="0"/>
    <x v="0"/>
    <s v="NA"/>
    <s v="NA"/>
    <m/>
    <m/>
    <m/>
    <s v="NA"/>
    <s v="NA"/>
    <s v="NA"/>
    <s v="NA"/>
    <s v="NA"/>
    <s v="NA"/>
    <s v="NA"/>
    <m/>
    <n v="0"/>
    <n v="0"/>
    <n v="0"/>
    <n v="0"/>
    <n v="40"/>
    <n v="40"/>
    <s v="Searching"/>
    <m/>
    <m/>
    <m/>
  </r>
  <r>
    <s v="DSCN3137"/>
    <s v="M2370415_7"/>
    <n v="7"/>
    <n v="1"/>
    <s v="Mile 237"/>
    <d v="2019-04-15T00:00:00"/>
    <x v="0"/>
    <m/>
    <d v="1899-12-30T00:40:00"/>
    <s v="Partly cloudy"/>
    <s v="YP/RS"/>
    <s v="Foraging"/>
    <s v="NA"/>
    <n v="1"/>
    <n v="0"/>
    <n v="0"/>
    <x v="4"/>
    <x v="11"/>
    <s v="Ground"/>
    <s v="NA"/>
    <m/>
    <m/>
    <m/>
    <s v="NA"/>
    <s v="NA"/>
    <s v="NA"/>
    <s v="NA"/>
    <s v="NA"/>
    <s v="NA"/>
    <s v="NA"/>
    <m/>
    <n v="0"/>
    <n v="0"/>
    <n v="0"/>
    <n v="0"/>
    <n v="40"/>
    <n v="40"/>
    <m/>
    <s v="Looked from a tree and then went to carcass. "/>
    <m/>
    <m/>
  </r>
  <r>
    <s v="DSCN3821"/>
    <s v="CC0503_7"/>
    <n v="7"/>
    <n v="1"/>
    <s v="CCAMP"/>
    <d v="2019-05-03T00:00:00"/>
    <x v="2"/>
    <m/>
    <d v="1899-12-30T00:40:00"/>
    <s v="Overcast, light snow"/>
    <s v="GB/BS"/>
    <s v="Foraging"/>
    <s v="NA"/>
    <n v="0"/>
    <n v="0"/>
    <n v="0"/>
    <x v="0"/>
    <x v="0"/>
    <s v="NA"/>
    <s v="NA"/>
    <m/>
    <m/>
    <m/>
    <s v="NA"/>
    <s v="NA"/>
    <s v="NA"/>
    <s v="NA"/>
    <s v="NA"/>
    <s v="NA"/>
    <s v="NA"/>
    <s v="NA"/>
    <n v="0"/>
    <n v="0"/>
    <n v="0"/>
    <n v="0"/>
    <n v="40"/>
    <n v="40"/>
    <s v="Searching"/>
    <m/>
    <m/>
    <m/>
  </r>
  <r>
    <s v="DSCN3783"/>
    <s v="BU0502_4"/>
    <n v="4"/>
    <n v="1"/>
    <s v="B&amp;U"/>
    <d v="2019-05-02T00:00:00"/>
    <x v="2"/>
    <m/>
    <d v="1899-12-30T00:40:00"/>
    <s v="Mostly cloudy"/>
    <s v="WP/BS"/>
    <s v="Foraging"/>
    <s v="NA"/>
    <s v="unknown"/>
    <n v="0"/>
    <n v="0"/>
    <x v="0"/>
    <x v="0"/>
    <s v="NA"/>
    <s v="NA"/>
    <m/>
    <m/>
    <m/>
    <s v="NA"/>
    <s v="NA"/>
    <s v="NA"/>
    <s v="NA"/>
    <s v="NA"/>
    <s v="NA"/>
    <s v="NA"/>
    <s v="NA"/>
    <n v="0"/>
    <n v="0"/>
    <n v="0"/>
    <n v="0"/>
    <n v="40"/>
    <n v="40"/>
    <s v="Searching"/>
    <m/>
    <m/>
    <m/>
  </r>
  <r>
    <s v="DSCN3324"/>
    <s v="BU0418_1"/>
    <n v="1"/>
    <n v="1"/>
    <s v="B&amp;U"/>
    <d v="2019-04-18T00:00:00"/>
    <x v="0"/>
    <m/>
    <d v="1899-12-30T01:51:00"/>
    <s v="Light snow"/>
    <s v="GR/PS"/>
    <s v="Foraging"/>
    <s v="NA"/>
    <n v="1"/>
    <n v="0"/>
    <n v="0"/>
    <x v="2"/>
    <x v="2"/>
    <s v="Ground"/>
    <s v="NA"/>
    <m/>
    <m/>
    <m/>
    <s v="NA"/>
    <s v="NA"/>
    <s v="NA"/>
    <s v="NA"/>
    <s v="NA"/>
    <s v="NA"/>
    <s v="NA"/>
    <s v="NA"/>
    <n v="0"/>
    <n v="0"/>
    <n v="0"/>
    <n v="0"/>
    <n v="39"/>
    <n v="39"/>
    <s v="Searching"/>
    <m/>
    <m/>
    <m/>
  </r>
  <r>
    <s v="DSCN2550"/>
    <s v="M2370326_6"/>
    <n v="6"/>
    <n v="1"/>
    <s v="Mile 237"/>
    <d v="2019-03-26T00:00:00"/>
    <x v="1"/>
    <m/>
    <d v="1899-12-30T00:47:00"/>
    <s v="Mostly sunny"/>
    <s v="YP/RS"/>
    <s v="Foraging"/>
    <s v="NA"/>
    <s v="unknown"/>
    <n v="0"/>
    <n v="0"/>
    <x v="0"/>
    <x v="0"/>
    <s v="NA"/>
    <s v="NA"/>
    <m/>
    <m/>
    <m/>
    <s v="NA"/>
    <s v="NA"/>
    <s v="NA"/>
    <s v="NA"/>
    <s v="NA"/>
    <m/>
    <m/>
    <m/>
    <n v="0"/>
    <n v="0"/>
    <n v="0"/>
    <n v="0"/>
    <n v="39"/>
    <n v="39"/>
    <s v="Searching"/>
    <m/>
    <m/>
    <m/>
  </r>
  <r>
    <s v="DSCN2699"/>
    <s v="M2370330_21"/>
    <n v="21"/>
    <n v="1"/>
    <s v="Mile 237"/>
    <d v="2019-03-30T00:00:00"/>
    <x v="1"/>
    <m/>
    <d v="1899-12-30T00:39:00"/>
    <m/>
    <s v="YP/RS"/>
    <s v="Foraging"/>
    <s v="NA"/>
    <s v="unknown"/>
    <n v="0"/>
    <n v="0"/>
    <x v="0"/>
    <x v="0"/>
    <s v="NA"/>
    <s v="NA"/>
    <m/>
    <m/>
    <m/>
    <s v="NA"/>
    <s v="NA"/>
    <s v="NA"/>
    <s v="NA"/>
    <s v="NA"/>
    <s v="NA"/>
    <s v="NA"/>
    <m/>
    <n v="0"/>
    <n v="0"/>
    <n v="0"/>
    <n v="0"/>
    <n v="39"/>
    <n v="39"/>
    <s v="Searching"/>
    <m/>
    <m/>
    <m/>
  </r>
  <r>
    <s v="DSCN2387"/>
    <s v="TAI0320_5"/>
    <n v="5"/>
    <n v="1"/>
    <s v="Taiga"/>
    <d v="2019-03-20T00:00:00"/>
    <x v="1"/>
    <m/>
    <d v="1899-12-30T00:38:00"/>
    <s v="Partly cloudy"/>
    <s v="WR/OS"/>
    <s v="Foraging"/>
    <s v="NA"/>
    <n v="5"/>
    <n v="0"/>
    <n v="0"/>
    <x v="2"/>
    <x v="2"/>
    <s v="Ground"/>
    <s v="NA"/>
    <m/>
    <m/>
    <m/>
    <s v="NA"/>
    <s v="NA"/>
    <s v="NA"/>
    <s v="NA"/>
    <s v="NA"/>
    <m/>
    <m/>
    <m/>
    <n v="0"/>
    <n v="0"/>
    <n v="0"/>
    <n v="0"/>
    <n v="38"/>
    <n v="38"/>
    <s v="Searching"/>
    <m/>
    <n v="0"/>
    <n v="0"/>
  </r>
  <r>
    <s v="DSCN2700"/>
    <s v="M2370330_22"/>
    <n v="22"/>
    <n v="1"/>
    <s v="Mile 237"/>
    <d v="2019-03-30T00:00:00"/>
    <x v="1"/>
    <m/>
    <d v="1899-12-30T00:40:00"/>
    <m/>
    <s v="YP/RS"/>
    <s v="Foraging"/>
    <s v="NA"/>
    <n v="2"/>
    <n v="0"/>
    <n v="0"/>
    <x v="2"/>
    <x v="10"/>
    <s v="Ground"/>
    <s v="NA"/>
    <m/>
    <m/>
    <m/>
    <s v="NA"/>
    <s v="NA"/>
    <s v="NA"/>
    <s v="NA"/>
    <s v="NA"/>
    <s v="NA"/>
    <s v="NA"/>
    <m/>
    <n v="0"/>
    <n v="0"/>
    <n v="0"/>
    <n v="0"/>
    <n v="38"/>
    <n v="38"/>
    <s v="Searching"/>
    <m/>
    <m/>
    <m/>
  </r>
  <r>
    <s v="DSCN2804"/>
    <s v="CC0402_2"/>
    <n v="2"/>
    <n v="1"/>
    <s v="CCAMP"/>
    <d v="2019-04-02T00:00:00"/>
    <x v="0"/>
    <m/>
    <d v="1899-12-30T00:40:00"/>
    <m/>
    <s v="GB/BS"/>
    <s v="Foraging"/>
    <s v="NA"/>
    <n v="1"/>
    <n v="0"/>
    <n v="0"/>
    <x v="2"/>
    <x v="2"/>
    <s v="Ground"/>
    <s v="NA"/>
    <m/>
    <m/>
    <m/>
    <s v="NA"/>
    <s v="NA"/>
    <s v="NA"/>
    <s v="NA"/>
    <s v="NA"/>
    <s v="NA"/>
    <s v="NA"/>
    <m/>
    <n v="0"/>
    <n v="0"/>
    <n v="0"/>
    <n v="0"/>
    <n v="38"/>
    <n v="38"/>
    <s v="Searching"/>
    <m/>
    <m/>
    <m/>
  </r>
  <r>
    <s v="DSCN2839"/>
    <s v="M2370403_8"/>
    <n v="8"/>
    <n v="1"/>
    <s v="Mile 237"/>
    <d v="2019-04-03T00:00:00"/>
    <x v="0"/>
    <m/>
    <d v="1899-12-30T01:04:00"/>
    <m/>
    <s v="YP/RS"/>
    <s v="Foraging"/>
    <s v="Spruce"/>
    <n v="2"/>
    <n v="1"/>
    <n v="0"/>
    <x v="2"/>
    <x v="2"/>
    <s v="Exterior bare spruce branch"/>
    <s v="NA"/>
    <m/>
    <m/>
    <m/>
    <s v="NA"/>
    <s v="NA"/>
    <s v="NA"/>
    <s v="NA"/>
    <s v="NA"/>
    <n v="63.723619999999997"/>
    <n v="148.88756000000001"/>
    <m/>
    <n v="38"/>
    <n v="0"/>
    <n v="0"/>
    <n v="38"/>
    <n v="0"/>
    <n v="38"/>
    <s v="Searching/probing"/>
    <m/>
    <n v="2"/>
    <n v="0"/>
  </r>
  <r>
    <s v="DSCN2834"/>
    <s v="M2370403_3"/>
    <n v="3"/>
    <n v="1"/>
    <s v="Mile 237"/>
    <d v="2019-04-03T00:00:00"/>
    <x v="0"/>
    <m/>
    <d v="1899-12-30T00:38:00"/>
    <m/>
    <s v="YP/RS"/>
    <s v="Foraging"/>
    <s v="Spruce"/>
    <n v="0"/>
    <n v="0"/>
    <n v="0"/>
    <x v="0"/>
    <x v="0"/>
    <s v="NA"/>
    <s v="NA"/>
    <m/>
    <m/>
    <m/>
    <s v="NA"/>
    <s v="NA"/>
    <s v="NA"/>
    <s v="NA"/>
    <s v="NA"/>
    <s v="NA"/>
    <s v="NA"/>
    <m/>
    <n v="38"/>
    <n v="0"/>
    <n v="17"/>
    <n v="21"/>
    <n v="0"/>
    <n v="38"/>
    <s v="Searching"/>
    <m/>
    <m/>
    <m/>
  </r>
  <r>
    <s v="DSCN3114"/>
    <s v="BU0415_6"/>
    <n v="6"/>
    <n v="2"/>
    <s v="B&amp;U"/>
    <d v="2019-04-15T00:00:00"/>
    <x v="0"/>
    <m/>
    <d v="1899-12-30T00:38:00"/>
    <s v="Partly cloudy"/>
    <s v="GR/PS"/>
    <s v="Foraging"/>
    <s v="NA"/>
    <n v="1"/>
    <n v="0"/>
    <n v="0"/>
    <x v="2"/>
    <x v="2"/>
    <s v="Ground"/>
    <s v="NA"/>
    <m/>
    <m/>
    <m/>
    <s v="NA"/>
    <s v="NA"/>
    <s v="NA"/>
    <s v="NA"/>
    <s v="NA"/>
    <s v="NA"/>
    <s v="NA"/>
    <m/>
    <n v="0"/>
    <n v="0"/>
    <n v="0"/>
    <n v="0"/>
    <n v="38"/>
    <n v="38"/>
    <s v="Searching"/>
    <m/>
    <m/>
    <m/>
  </r>
  <r>
    <s v="DSCN3159"/>
    <s v="MC0416_2"/>
    <n v="2"/>
    <n v="1"/>
    <s v="Mercantile"/>
    <d v="2019-04-16T00:00:00"/>
    <x v="0"/>
    <m/>
    <d v="1899-12-30T00:38:00"/>
    <s v="Mostly cloudy"/>
    <s v="WO/OS"/>
    <s v="Foraging"/>
    <s v="Spruce"/>
    <n v="0"/>
    <n v="0"/>
    <n v="0"/>
    <x v="0"/>
    <x v="0"/>
    <s v="NA"/>
    <s v="NA"/>
    <m/>
    <m/>
    <m/>
    <s v="NA"/>
    <s v="NA"/>
    <s v="NA"/>
    <s v="NA"/>
    <s v="NA"/>
    <s v="NA"/>
    <s v="NA"/>
    <m/>
    <n v="26"/>
    <n v="12"/>
    <n v="26"/>
    <n v="12"/>
    <n v="0"/>
    <n v="38"/>
    <s v="Searching"/>
    <m/>
    <m/>
    <m/>
  </r>
  <r>
    <s v="DSCN3571"/>
    <s v="CC0425_36"/>
    <n v="36"/>
    <n v="1"/>
    <s v="CCAMP"/>
    <d v="2019-04-25T00:00:00"/>
    <x v="0"/>
    <m/>
    <d v="1899-12-30T00:39:00"/>
    <s v="Partly cloudy"/>
    <s v="GB/BS"/>
    <s v="Foraging"/>
    <s v="Willow"/>
    <n v="1"/>
    <s v="unknown"/>
    <n v="0"/>
    <x v="2"/>
    <x v="2"/>
    <s v="Willow branch"/>
    <s v="NA"/>
    <m/>
    <m/>
    <m/>
    <s v="NA"/>
    <s v="NA"/>
    <s v="NA"/>
    <s v="NA"/>
    <s v="NA"/>
    <s v="NA"/>
    <s v="NA"/>
    <s v="NA"/>
    <n v="3"/>
    <n v="0"/>
    <n v="0"/>
    <n v="3"/>
    <n v="35"/>
    <n v="38"/>
    <s v="Searching/gleaning"/>
    <m/>
    <n v="0"/>
    <n v="1"/>
  </r>
  <r>
    <s v="DSCN3602"/>
    <s v="AQ0426_6"/>
    <n v="6"/>
    <n v="3"/>
    <s v="Air Quality"/>
    <d v="2019-04-26T00:00:00"/>
    <x v="0"/>
    <m/>
    <d v="1899-12-30T02:07:00"/>
    <m/>
    <s v="PG/PS"/>
    <s v="Foraging"/>
    <s v="NA"/>
    <n v="1"/>
    <n v="0"/>
    <n v="0"/>
    <x v="1"/>
    <x v="1"/>
    <s v="Ground"/>
    <s v="NA"/>
    <m/>
    <m/>
    <m/>
    <s v="NA"/>
    <s v="NA"/>
    <s v="NA"/>
    <s v="NA"/>
    <s v="NA"/>
    <s v="NA"/>
    <s v="NA"/>
    <s v="NA"/>
    <n v="0"/>
    <n v="0"/>
    <n v="0"/>
    <n v="0"/>
    <n v="38"/>
    <n v="38"/>
    <s v="Searching"/>
    <s v="Got caterpiller as soon as camera was shut off. "/>
    <m/>
    <m/>
  </r>
  <r>
    <s v="DSCN2607"/>
    <s v="M4R0327_10"/>
    <n v="10"/>
    <n v="1"/>
    <s v="M4Roadside"/>
    <d v="2019-03-27T00:00:00"/>
    <x v="1"/>
    <m/>
    <d v="1899-12-30T00:38:00"/>
    <s v="Overcast"/>
    <s v="YO/BS"/>
    <s v="Foraging"/>
    <s v="NA"/>
    <s v="unknown"/>
    <n v="0"/>
    <n v="0"/>
    <x v="0"/>
    <x v="0"/>
    <s v="NA"/>
    <s v="NA"/>
    <m/>
    <m/>
    <m/>
    <s v="NA"/>
    <s v="NA"/>
    <s v="NA"/>
    <s v="NA"/>
    <s v="NA"/>
    <s v="NA"/>
    <s v="NA"/>
    <m/>
    <n v="0"/>
    <n v="0"/>
    <n v="0"/>
    <n v="0"/>
    <n v="38"/>
    <n v="38"/>
    <s v="Searching"/>
    <m/>
    <m/>
    <m/>
  </r>
  <r>
    <s v="DSCN2912"/>
    <s v="MC0404_6"/>
    <n v="6"/>
    <n v="1"/>
    <s v="Mercantile"/>
    <d v="2019-04-04T00:00:00"/>
    <x v="0"/>
    <m/>
    <d v="1899-12-30T00:43:00"/>
    <m/>
    <s v="WO/OS"/>
    <s v="Foraging"/>
    <s v="NA"/>
    <s v="unknown"/>
    <n v="0"/>
    <n v="0"/>
    <x v="0"/>
    <x v="0"/>
    <s v="NA"/>
    <s v="NA"/>
    <m/>
    <m/>
    <m/>
    <s v="NA"/>
    <s v="NA"/>
    <s v="NA"/>
    <s v="NA"/>
    <s v="NA"/>
    <s v="NA"/>
    <s v="NA"/>
    <m/>
    <n v="0"/>
    <n v="0"/>
    <n v="0"/>
    <n v="0"/>
    <n v="38"/>
    <n v="38"/>
    <s v="Searching"/>
    <m/>
    <m/>
    <m/>
  </r>
  <r>
    <s v="DSCN3209"/>
    <s v="M4R0417_1"/>
    <n v="1"/>
    <n v="1"/>
    <s v="M4Roadside"/>
    <d v="2019-04-17T00:00:00"/>
    <x v="0"/>
    <m/>
    <d v="1899-12-30T00:48:00"/>
    <s v="Overcast, light snow"/>
    <s v="YO/BS"/>
    <s v="Foraging"/>
    <s v="Spruce"/>
    <s v="unknown"/>
    <s v="unknown"/>
    <n v="0"/>
    <x v="0"/>
    <x v="0"/>
    <s v="NA"/>
    <s v="NA"/>
    <m/>
    <m/>
    <m/>
    <s v="NA"/>
    <s v="NA"/>
    <s v="NA"/>
    <s v="NA"/>
    <s v="NA"/>
    <s v="NA"/>
    <s v="NA"/>
    <m/>
    <n v="14"/>
    <n v="24"/>
    <n v="14"/>
    <n v="24"/>
    <n v="0"/>
    <n v="38"/>
    <s v="Probing"/>
    <m/>
    <n v="8"/>
    <n v="0"/>
  </r>
  <r>
    <s v="DSCN3453"/>
    <s v="SQ0422_11"/>
    <n v="11"/>
    <n v="1"/>
    <s v="Sasquatch"/>
    <d v="2019-04-22T00:00:00"/>
    <x v="0"/>
    <m/>
    <d v="1899-12-30T00:38:00"/>
    <s v="Partly cloudy"/>
    <s v="G/BS"/>
    <s v="Foraging"/>
    <s v="NA"/>
    <s v="unknown"/>
    <n v="0"/>
    <n v="0"/>
    <x v="0"/>
    <x v="0"/>
    <s v="NA"/>
    <s v="NA"/>
    <m/>
    <m/>
    <m/>
    <s v="NA"/>
    <s v="NA"/>
    <s v="NA"/>
    <s v="NA"/>
    <s v="NA"/>
    <s v="NA"/>
    <s v="NA"/>
    <s v="NA"/>
    <n v="0"/>
    <n v="0"/>
    <n v="0"/>
    <n v="0"/>
    <n v="38"/>
    <n v="38"/>
    <s v="Searching"/>
    <m/>
    <m/>
    <m/>
  </r>
  <r>
    <s v="DSCN3864"/>
    <s v="BU0505_6"/>
    <n v="6"/>
    <n v="1"/>
    <s v="B&amp;U"/>
    <d v="2019-05-05T00:00:00"/>
    <x v="2"/>
    <m/>
    <d v="1899-12-30T00:38:00"/>
    <s v="Mostly cloudy"/>
    <s v="GR/PS"/>
    <s v="Foraging"/>
    <s v="NA"/>
    <s v="unknown"/>
    <n v="0"/>
    <n v="0"/>
    <x v="0"/>
    <x v="0"/>
    <s v="NA"/>
    <s v="NA"/>
    <m/>
    <m/>
    <m/>
    <s v="NA"/>
    <s v="NA"/>
    <s v="NA"/>
    <s v="NA"/>
    <s v="NA"/>
    <s v="NA"/>
    <s v="NA"/>
    <s v="NA"/>
    <n v="0"/>
    <n v="0"/>
    <n v="0"/>
    <n v="0"/>
    <n v="38"/>
    <n v="38"/>
    <s v="Searching"/>
    <m/>
    <m/>
    <m/>
  </r>
  <r>
    <s v="DSCN2558"/>
    <s v="M2370326_12"/>
    <n v="12"/>
    <n v="1"/>
    <s v="Mile 237"/>
    <d v="2019-03-26T00:00:00"/>
    <x v="1"/>
    <m/>
    <d v="1899-12-30T00:49:00"/>
    <s v="Mostly sunny"/>
    <s v="YP/RS"/>
    <s v="Foraging"/>
    <s v="NA"/>
    <n v="0"/>
    <n v="0"/>
    <n v="0"/>
    <x v="0"/>
    <x v="0"/>
    <s v="NA"/>
    <s v="NA"/>
    <m/>
    <m/>
    <m/>
    <s v="NA"/>
    <s v="NA"/>
    <s v="NA"/>
    <s v="NA"/>
    <s v="NA"/>
    <m/>
    <m/>
    <m/>
    <n v="0"/>
    <n v="0"/>
    <n v="0"/>
    <n v="0"/>
    <n v="37"/>
    <n v="37"/>
    <s v="Searching"/>
    <m/>
    <m/>
    <m/>
  </r>
  <r>
    <s v="DSCN3358"/>
    <s v="WW0422_5"/>
    <n v="5"/>
    <n v="1"/>
    <s v="WAC West"/>
    <d v="2019-04-22T00:00:00"/>
    <x v="0"/>
    <m/>
    <d v="1899-12-30T00:37:00"/>
    <s v="Partly cloudy"/>
    <s v="BP/PS"/>
    <s v="Foraging"/>
    <s v="NA"/>
    <n v="1"/>
    <n v="0"/>
    <n v="0"/>
    <x v="2"/>
    <x v="2"/>
    <s v="Ground"/>
    <s v="NA"/>
    <m/>
    <m/>
    <m/>
    <s v="NA"/>
    <s v="NA"/>
    <s v="NA"/>
    <s v="NA"/>
    <s v="NA"/>
    <s v="NA"/>
    <s v="NA"/>
    <s v="NA"/>
    <n v="0"/>
    <n v="0"/>
    <n v="0"/>
    <n v="0"/>
    <n v="37"/>
    <n v="37"/>
    <s v="Searching"/>
    <s v="Missed acquisition"/>
    <m/>
    <m/>
  </r>
  <r>
    <s v="DSCN2536"/>
    <s v="M2370326_1"/>
    <n v="1"/>
    <n v="1"/>
    <s v="Mile 237"/>
    <d v="2019-03-26T00:00:00"/>
    <x v="1"/>
    <m/>
    <d v="1899-12-30T01:15:00"/>
    <s v="Mostly sunny"/>
    <s v="YP/RS"/>
    <s v="Foraging"/>
    <s v="NA"/>
    <s v="unknown"/>
    <n v="0"/>
    <n v="0"/>
    <x v="0"/>
    <x v="0"/>
    <s v="NA"/>
    <s v="NA"/>
    <m/>
    <m/>
    <m/>
    <s v="NA"/>
    <s v="NA"/>
    <s v="NA"/>
    <s v="NA"/>
    <s v="NA"/>
    <m/>
    <m/>
    <m/>
    <n v="0"/>
    <n v="0"/>
    <n v="0"/>
    <n v="0"/>
    <n v="37"/>
    <n v="37"/>
    <s v="Searching"/>
    <m/>
    <m/>
    <m/>
  </r>
  <r>
    <s v="DSCN2989"/>
    <s v="WW0405_29"/>
    <n v="29"/>
    <n v="1"/>
    <s v="WAC West"/>
    <d v="2019-04-05T00:00:00"/>
    <x v="0"/>
    <m/>
    <d v="1899-12-30T00:36:00"/>
    <m/>
    <s v="BP/PS"/>
    <s v="Foraging"/>
    <s v="NA"/>
    <n v="1"/>
    <n v="0"/>
    <n v="0"/>
    <x v="2"/>
    <x v="2"/>
    <s v="Ground"/>
    <s v="NA"/>
    <m/>
    <m/>
    <m/>
    <s v="NA"/>
    <s v="NA"/>
    <s v="NA"/>
    <s v="NA"/>
    <s v="NA"/>
    <s v="NA"/>
    <s v="NA"/>
    <m/>
    <n v="0"/>
    <n v="0"/>
    <n v="0"/>
    <n v="0"/>
    <n v="36"/>
    <n v="36"/>
    <s v="Searching"/>
    <m/>
    <m/>
    <m/>
  </r>
  <r>
    <s v="DSCN3016"/>
    <s v="M2370409_5"/>
    <n v="5"/>
    <n v="1"/>
    <s v="Mile 237"/>
    <d v="2019-04-09T00:00:00"/>
    <x v="0"/>
    <m/>
    <d v="1899-12-30T00:39:00"/>
    <m/>
    <s v="YP/RS"/>
    <s v="Foraging"/>
    <s v="NA"/>
    <n v="0"/>
    <n v="0"/>
    <n v="0"/>
    <x v="0"/>
    <x v="0"/>
    <s v="NA"/>
    <s v="NA"/>
    <m/>
    <m/>
    <m/>
    <s v="NA"/>
    <s v="NA"/>
    <s v="NA"/>
    <s v="NA"/>
    <s v="NA"/>
    <s v="NA"/>
    <s v="NA"/>
    <m/>
    <n v="0"/>
    <n v="0"/>
    <n v="0"/>
    <n v="0"/>
    <n v="36"/>
    <n v="36"/>
    <s v="Searching"/>
    <m/>
    <m/>
    <m/>
  </r>
  <r>
    <s v="DSCN3048"/>
    <s v="UNK0411_3"/>
    <n v="3"/>
    <n v="1"/>
    <s v="Unknown"/>
    <d v="2019-04-11T00:00:00"/>
    <x v="0"/>
    <m/>
    <d v="1899-12-30T00:36:00"/>
    <m/>
    <s v="unbanded"/>
    <s v="Foraging"/>
    <s v="Spruce"/>
    <n v="1"/>
    <n v="0"/>
    <n v="0"/>
    <x v="2"/>
    <x v="16"/>
    <s v="Exterior spruce foliage"/>
    <s v="NA"/>
    <m/>
    <m/>
    <m/>
    <s v="NA"/>
    <s v="NA"/>
    <s v="NA"/>
    <s v="NA"/>
    <s v="NA"/>
    <s v="NA"/>
    <s v="NA"/>
    <m/>
    <n v="22"/>
    <n v="14"/>
    <n v="22"/>
    <n v="14"/>
    <n v="0"/>
    <n v="36"/>
    <m/>
    <m/>
    <m/>
    <m/>
  </r>
  <r>
    <s v="DSCN3047"/>
    <s v="UNK0411_2"/>
    <n v="2"/>
    <n v="1"/>
    <s v="Unknown"/>
    <d v="2019-04-11T00:00:00"/>
    <x v="0"/>
    <m/>
    <d v="1899-12-30T01:48:00"/>
    <m/>
    <s v="unbanded"/>
    <s v="Foraging"/>
    <s v="Spruce"/>
    <n v="0"/>
    <n v="0"/>
    <n v="0"/>
    <x v="0"/>
    <x v="0"/>
    <s v="NA"/>
    <s v="NA"/>
    <m/>
    <m/>
    <m/>
    <s v="NA"/>
    <s v="NA"/>
    <s v="NA"/>
    <s v="NA"/>
    <s v="NA"/>
    <s v="NA"/>
    <s v="NA"/>
    <m/>
    <n v="26"/>
    <n v="10"/>
    <n v="0"/>
    <n v="36"/>
    <n v="0"/>
    <n v="36"/>
    <s v="Searching"/>
    <m/>
    <m/>
    <m/>
  </r>
  <r>
    <s v="DSCN3397"/>
    <s v="CC0422_5"/>
    <n v="5"/>
    <n v="1"/>
    <s v="CCAMP"/>
    <d v="2019-04-22T00:00:00"/>
    <x v="0"/>
    <s v="Spring"/>
    <d v="1899-12-30T00:36:00"/>
    <s v="Partly cloudy"/>
    <s v="GL/RS"/>
    <s v="Foraging"/>
    <s v="NA"/>
    <n v="2"/>
    <n v="0"/>
    <n v="0"/>
    <x v="2"/>
    <x v="2"/>
    <s v="Ground"/>
    <s v="NA"/>
    <m/>
    <m/>
    <m/>
    <s v="NA"/>
    <s v="NA"/>
    <s v="NA"/>
    <s v="NA"/>
    <s v="NA"/>
    <s v="NA"/>
    <s v="NA"/>
    <s v="NA"/>
    <n v="0"/>
    <n v="0"/>
    <n v="0"/>
    <n v="0"/>
    <n v="36"/>
    <n v="36"/>
    <s v="Searching"/>
    <m/>
    <m/>
    <m/>
  </r>
  <r>
    <s v="DSCN3502"/>
    <s v="MC0424_15"/>
    <n v="15"/>
    <n v="1"/>
    <s v="Mercantile"/>
    <d v="2019-04-24T00:00:00"/>
    <x v="0"/>
    <m/>
    <d v="1899-12-30T00:36:00"/>
    <s v="Partly cloudy"/>
    <s v="WO/OS"/>
    <s v="Foraging"/>
    <s v="NA"/>
    <n v="1"/>
    <n v="0"/>
    <n v="0"/>
    <x v="2"/>
    <x v="2"/>
    <s v="Ground"/>
    <s v="NA"/>
    <m/>
    <m/>
    <m/>
    <s v="NA"/>
    <s v="NA"/>
    <s v="NA"/>
    <s v="NA"/>
    <s v="NA"/>
    <s v="NA"/>
    <s v="NA"/>
    <s v="NA"/>
    <n v="0"/>
    <n v="0"/>
    <n v="0"/>
    <n v="0"/>
    <n v="36"/>
    <n v="36"/>
    <s v="Searching"/>
    <m/>
    <m/>
    <m/>
  </r>
  <r>
    <s v="DSCN3563"/>
    <s v="CC0425_29"/>
    <n v="29"/>
    <n v="1"/>
    <s v="CCAMP"/>
    <d v="2019-04-25T00:00:00"/>
    <x v="0"/>
    <m/>
    <d v="1899-12-30T00:36:00"/>
    <s v="Partly cloudy"/>
    <s v="GB/BS"/>
    <s v="Foraging"/>
    <s v="NA"/>
    <n v="1"/>
    <n v="0"/>
    <n v="0"/>
    <x v="2"/>
    <x v="2"/>
    <s v="Ground"/>
    <s v="NA"/>
    <m/>
    <m/>
    <m/>
    <s v="NA"/>
    <s v="NA"/>
    <s v="NA"/>
    <s v="NA"/>
    <s v="NA"/>
    <s v="NA"/>
    <s v="NA"/>
    <s v="NA"/>
    <n v="0"/>
    <n v="0"/>
    <n v="0"/>
    <n v="0"/>
    <n v="36"/>
    <n v="36"/>
    <s v="Searching"/>
    <m/>
    <m/>
    <m/>
  </r>
  <r>
    <s v="DSCN3810"/>
    <s v="CC0503_1"/>
    <n v="1"/>
    <n v="1"/>
    <s v="CCAMP"/>
    <d v="2019-05-07T00:00:00"/>
    <x v="2"/>
    <m/>
    <d v="1899-12-30T00:36:00"/>
    <s v="Overcast, light snow"/>
    <s v="GB/BS"/>
    <s v="Foraging"/>
    <s v="NA"/>
    <n v="1"/>
    <n v="0"/>
    <n v="0"/>
    <x v="2"/>
    <x v="2"/>
    <s v="Ground"/>
    <s v="NA"/>
    <m/>
    <m/>
    <m/>
    <s v="NA"/>
    <s v="NA"/>
    <s v="NA"/>
    <s v="NA"/>
    <s v="NA"/>
    <s v="NA"/>
    <s v="NA"/>
    <s v="NA"/>
    <n v="0"/>
    <n v="0"/>
    <n v="0"/>
    <n v="0"/>
    <n v="36"/>
    <n v="36"/>
    <s v="Searching"/>
    <m/>
    <m/>
    <m/>
  </r>
  <r>
    <s v="DSCN2688"/>
    <s v="M2370330_13"/>
    <n v="13"/>
    <n v="1"/>
    <s v="Mile 237"/>
    <d v="2019-03-30T00:00:00"/>
    <x v="1"/>
    <m/>
    <d v="1899-12-30T00:35:00"/>
    <m/>
    <s v="YP/RS"/>
    <s v="Foraging"/>
    <s v="NA"/>
    <n v="0"/>
    <n v="0"/>
    <n v="0"/>
    <x v="0"/>
    <x v="0"/>
    <s v="NA"/>
    <s v="NA"/>
    <m/>
    <m/>
    <m/>
    <s v="NA"/>
    <s v="NA"/>
    <s v="NA"/>
    <s v="NA"/>
    <s v="NA"/>
    <s v="NA"/>
    <s v="NA"/>
    <m/>
    <n v="0"/>
    <n v="0"/>
    <n v="0"/>
    <n v="0"/>
    <n v="35"/>
    <n v="35"/>
    <s v="Searching"/>
    <m/>
    <m/>
    <m/>
  </r>
  <r>
    <s v="DSCN3300"/>
    <s v="MC0418_6"/>
    <n v="6"/>
    <n v="1"/>
    <s v="Mercantile"/>
    <d v="2019-04-18T00:00:00"/>
    <x v="0"/>
    <m/>
    <d v="1899-12-30T00:35:00"/>
    <s v="Overcast"/>
    <s v="BW/GS"/>
    <s v="Foraging"/>
    <s v="Aspen"/>
    <n v="2"/>
    <s v="unknown"/>
    <n v="0"/>
    <x v="2"/>
    <x v="2"/>
    <s v="Aspen trunk under bark"/>
    <s v="NA"/>
    <m/>
    <m/>
    <m/>
    <s v="NA"/>
    <s v="NA"/>
    <s v="NA"/>
    <s v="NA"/>
    <s v="NA"/>
    <s v="NA"/>
    <s v="NA"/>
    <s v="NA"/>
    <n v="0"/>
    <n v="0"/>
    <n v="0"/>
    <n v="0"/>
    <n v="35"/>
    <n v="35"/>
    <s v="Searching/probing"/>
    <m/>
    <n v="9"/>
    <n v="0"/>
  </r>
  <r>
    <s v="DSCN3325"/>
    <s v="BU0418_2"/>
    <n v="2"/>
    <n v="2"/>
    <s v="B&amp;U"/>
    <d v="2019-04-18T00:00:00"/>
    <x v="0"/>
    <m/>
    <d v="1899-12-30T01:01:00"/>
    <s v="Light snow"/>
    <s v="GR/PS"/>
    <s v="Foraging"/>
    <s v="Spruce"/>
    <n v="1"/>
    <n v="0"/>
    <n v="0"/>
    <x v="1"/>
    <x v="4"/>
    <s v="Spruce trunk"/>
    <s v="NA"/>
    <m/>
    <m/>
    <m/>
    <s v="NA"/>
    <s v="NA"/>
    <s v="NA"/>
    <s v="NA"/>
    <s v="NA"/>
    <s v="NA"/>
    <s v="NA"/>
    <s v="NA"/>
    <n v="35"/>
    <n v="0"/>
    <n v="0"/>
    <n v="35"/>
    <n v="0"/>
    <n v="35"/>
    <s v="Searching/gleaning"/>
    <m/>
    <n v="0"/>
    <n v="1"/>
  </r>
  <r>
    <s v="DSCN3418"/>
    <s v="CC0422_18"/>
    <n v="18"/>
    <n v="1"/>
    <s v="CCAMP"/>
    <d v="2019-04-22T00:00:00"/>
    <x v="0"/>
    <m/>
    <d v="1899-12-30T00:35:00"/>
    <s v="Partly cloudy"/>
    <s v="GB/BS"/>
    <s v="Foraging"/>
    <s v="NA"/>
    <n v="1"/>
    <n v="0"/>
    <n v="0"/>
    <x v="1"/>
    <x v="7"/>
    <s v="Ground"/>
    <s v="NA"/>
    <m/>
    <m/>
    <m/>
    <s v="NA"/>
    <s v="NA"/>
    <s v="NA"/>
    <s v="NA"/>
    <s v="NA"/>
    <s v="NA"/>
    <s v="NA"/>
    <s v="NA"/>
    <n v="0"/>
    <n v="0"/>
    <n v="0"/>
    <n v="0"/>
    <n v="35"/>
    <n v="35"/>
    <s v="Searching"/>
    <m/>
    <m/>
    <m/>
  </r>
  <r>
    <s v="DSCN3493"/>
    <s v="MC0424_11"/>
    <n v="11"/>
    <n v="1"/>
    <s v="Mercantile"/>
    <d v="2019-04-24T00:00:00"/>
    <x v="0"/>
    <m/>
    <d v="1899-12-30T00:37:00"/>
    <s v="Partly cloudy"/>
    <s v="BW/GS"/>
    <s v="Foraging"/>
    <s v="NA"/>
    <n v="1"/>
    <n v="0"/>
    <n v="0"/>
    <x v="2"/>
    <x v="2"/>
    <s v="Ground"/>
    <s v="NA"/>
    <m/>
    <m/>
    <m/>
    <s v="NA"/>
    <s v="NA"/>
    <s v="NA"/>
    <s v="NA"/>
    <s v="NA"/>
    <s v="NA"/>
    <s v="NA"/>
    <s v="NA"/>
    <n v="0"/>
    <n v="0"/>
    <n v="0"/>
    <n v="0"/>
    <n v="35"/>
    <n v="35"/>
    <s v="Searching"/>
    <m/>
    <m/>
    <m/>
  </r>
  <r>
    <s v="DSCN3548"/>
    <s v="CC0425_19"/>
    <n v="19"/>
    <n v="1"/>
    <s v="CCAMP"/>
    <d v="2019-04-25T00:00:00"/>
    <x v="0"/>
    <m/>
    <d v="1899-12-30T00:35:00"/>
    <s v="Partly cloudy"/>
    <s v="GB/BS"/>
    <s v="Foraging"/>
    <s v="NA"/>
    <n v="1"/>
    <n v="0"/>
    <n v="0"/>
    <x v="2"/>
    <x v="2"/>
    <s v="NA"/>
    <s v="NA"/>
    <m/>
    <m/>
    <m/>
    <s v="NA"/>
    <s v="NA"/>
    <s v="NA"/>
    <s v="NA"/>
    <s v="NA"/>
    <s v="NA"/>
    <s v="NA"/>
    <s v="NA"/>
    <n v="0"/>
    <n v="0"/>
    <n v="0"/>
    <n v="0"/>
    <n v="35"/>
    <n v="35"/>
    <s v="Searching"/>
    <m/>
    <m/>
    <m/>
  </r>
  <r>
    <s v="DSCN2501"/>
    <s v="CC0325_7"/>
    <n v="7"/>
    <n v="1"/>
    <s v="CCAMP"/>
    <d v="2019-03-25T00:00:00"/>
    <x v="1"/>
    <m/>
    <d v="1899-12-30T00:42:00"/>
    <s v="Overcast"/>
    <s v="GB/BS"/>
    <s v="Foraging"/>
    <s v="NA"/>
    <s v="unknown"/>
    <s v="unknown"/>
    <s v="Unknown"/>
    <x v="0"/>
    <x v="0"/>
    <s v="NA"/>
    <s v="NA"/>
    <m/>
    <m/>
    <m/>
    <s v="NA"/>
    <s v="NA"/>
    <s v="NA"/>
    <s v="NA"/>
    <s v="NA"/>
    <m/>
    <m/>
    <m/>
    <n v="35"/>
    <n v="0"/>
    <n v="35"/>
    <n v="0"/>
    <n v="0"/>
    <n v="35"/>
    <s v="Searching"/>
    <m/>
    <m/>
    <m/>
  </r>
  <r>
    <s v="DSCN3506"/>
    <s v="MC0424_17"/>
    <n v="17"/>
    <n v="1"/>
    <s v="Mercantile"/>
    <d v="2019-04-24T00:00:00"/>
    <x v="0"/>
    <m/>
    <d v="1899-12-30T00:39:00"/>
    <s v="Partly cloudy"/>
    <s v="BW/GS"/>
    <s v="Foraging"/>
    <s v="NA"/>
    <s v="unknown"/>
    <n v="0"/>
    <n v="0"/>
    <x v="0"/>
    <x v="0"/>
    <s v="NA"/>
    <s v="NA"/>
    <m/>
    <m/>
    <m/>
    <s v="NA"/>
    <s v="NA"/>
    <s v="NA"/>
    <s v="NA"/>
    <s v="NA"/>
    <s v="NA"/>
    <s v="NA"/>
    <s v="NA"/>
    <n v="0"/>
    <n v="0"/>
    <n v="0"/>
    <n v="0"/>
    <n v="35"/>
    <n v="35"/>
    <s v="Searching"/>
    <m/>
    <m/>
    <m/>
  </r>
  <r>
    <s v="DSCN2380"/>
    <s v="TAI0320_1"/>
    <n v="1"/>
    <n v="1"/>
    <s v="Taiga"/>
    <d v="2019-03-20T00:00:00"/>
    <x v="1"/>
    <m/>
    <d v="1899-12-30T00:57:00"/>
    <s v="Partly cloudy"/>
    <s v="WR/OS"/>
    <s v="Foraging"/>
    <s v="NA"/>
    <n v="3"/>
    <n v="0"/>
    <n v="0"/>
    <x v="2"/>
    <x v="2"/>
    <s v="Ground"/>
    <s v="NA"/>
    <m/>
    <m/>
    <m/>
    <s v="NA"/>
    <s v="NA"/>
    <s v="NA"/>
    <s v="NA"/>
    <s v="NA"/>
    <m/>
    <m/>
    <m/>
    <n v="0"/>
    <n v="0"/>
    <n v="0"/>
    <n v="0"/>
    <n v="34"/>
    <n v="34"/>
    <s v="Searching"/>
    <s v="Did not count last acquisition since it might have been provided bread.  "/>
    <n v="0"/>
    <n v="0"/>
  </r>
  <r>
    <s v="DSCN2506"/>
    <s v="M4R0325_2"/>
    <n v="2"/>
    <n v="1"/>
    <s v="M4Roadside"/>
    <d v="2019-03-25T00:00:00"/>
    <x v="1"/>
    <m/>
    <d v="1899-12-30T01:49:00"/>
    <s v="Overcast"/>
    <s v="YO/BS"/>
    <s v="Foraging"/>
    <s v="Spruce"/>
    <n v="0"/>
    <n v="0"/>
    <n v="0"/>
    <x v="0"/>
    <x v="0"/>
    <s v="NA"/>
    <s v="NA"/>
    <m/>
    <m/>
    <m/>
    <s v="NA"/>
    <s v="NA"/>
    <s v="NA"/>
    <s v="NA"/>
    <s v="NA"/>
    <m/>
    <m/>
    <m/>
    <n v="15"/>
    <n v="0"/>
    <n v="11"/>
    <n v="4"/>
    <n v="19"/>
    <n v="34"/>
    <s v="Searching/probing"/>
    <m/>
    <n v="1"/>
    <n v="0"/>
  </r>
  <r>
    <s v="DSCN2563"/>
    <s v="WW0326_3"/>
    <n v="3"/>
    <n v="1"/>
    <s v="WAC West"/>
    <d v="2019-03-26T00:00:00"/>
    <x v="1"/>
    <m/>
    <d v="1899-12-30T00:56:00"/>
    <s v="Partly Sunny"/>
    <s v="BP/PS"/>
    <s v="Foraging/caching"/>
    <s v="Spruce"/>
    <n v="1"/>
    <n v="0"/>
    <n v="1"/>
    <x v="3"/>
    <x v="17"/>
    <s v="Ground"/>
    <s v="Exterior spruce branch under witch hair"/>
    <s v="Spruce"/>
    <s v="Exterior"/>
    <s v="Under witchhair"/>
    <s v="N"/>
    <n v="335"/>
    <n v="3"/>
    <n v="63.73948"/>
    <n v="148.89815999999999"/>
    <m/>
    <m/>
    <m/>
    <n v="0"/>
    <n v="0"/>
    <n v="0"/>
    <n v="0"/>
    <n v="34"/>
    <n v="34"/>
    <m/>
    <s v="Food acquisition=3 berries but presumable only cached one. "/>
    <m/>
    <m/>
  </r>
  <r>
    <s v="DSCN2575"/>
    <s v="AQ0326_2"/>
    <n v="2"/>
    <n v="1"/>
    <s v="Air Quality"/>
    <d v="2019-03-26T00:00:00"/>
    <x v="1"/>
    <m/>
    <d v="1899-12-30T00:34:00"/>
    <s v="Mostly overcast"/>
    <s v="PG/PS"/>
    <s v="Foraging"/>
    <s v="NA"/>
    <n v="0"/>
    <n v="0"/>
    <n v="0"/>
    <x v="0"/>
    <x v="0"/>
    <s v="NA"/>
    <s v="NA"/>
    <m/>
    <m/>
    <m/>
    <s v="NA"/>
    <s v="NA"/>
    <s v="NA"/>
    <s v="NA"/>
    <s v="NA"/>
    <m/>
    <m/>
    <m/>
    <n v="0"/>
    <n v="0"/>
    <n v="0"/>
    <n v="0"/>
    <n v="34"/>
    <n v="34"/>
    <s v="Searching"/>
    <m/>
    <m/>
    <m/>
  </r>
  <r>
    <s v="DSCN2981"/>
    <s v="WW0405_24"/>
    <n v="24"/>
    <n v="1"/>
    <s v="WAC West"/>
    <d v="2019-04-05T00:00:00"/>
    <x v="0"/>
    <m/>
    <d v="1899-12-30T00:34:00"/>
    <m/>
    <s v="BP/PS"/>
    <s v="Foraging"/>
    <s v="NA"/>
    <n v="0"/>
    <n v="0"/>
    <n v="0"/>
    <x v="0"/>
    <x v="0"/>
    <s v="NA"/>
    <s v="NA"/>
    <m/>
    <m/>
    <m/>
    <s v="NA"/>
    <s v="NA"/>
    <s v="NA"/>
    <s v="NA"/>
    <s v="NA"/>
    <s v="NA"/>
    <s v="NA"/>
    <m/>
    <n v="0"/>
    <n v="0"/>
    <n v="0"/>
    <n v="0"/>
    <n v="34"/>
    <n v="34"/>
    <s v="Searching"/>
    <m/>
    <m/>
    <m/>
  </r>
  <r>
    <s v="DSCN3233"/>
    <s v="M4R0417_15"/>
    <n v="15"/>
    <n v="1"/>
    <s v="M4Roadside"/>
    <d v="2019-04-17T00:00:00"/>
    <x v="0"/>
    <m/>
    <d v="1899-12-30T00:46:00"/>
    <s v="Overcast, light snow"/>
    <s v="YO/BS"/>
    <s v="Foraging"/>
    <s v="Spruce"/>
    <n v="0"/>
    <n v="0"/>
    <n v="0"/>
    <x v="0"/>
    <x v="0"/>
    <s v="NA"/>
    <s v="NA"/>
    <m/>
    <m/>
    <m/>
    <s v="NA"/>
    <s v="NA"/>
    <s v="NA"/>
    <s v="NA"/>
    <s v="NA"/>
    <s v="NA"/>
    <s v="NA"/>
    <m/>
    <n v="13"/>
    <n v="0"/>
    <n v="11"/>
    <n v="2"/>
    <n v="21"/>
    <n v="34"/>
    <s v="Searching/probing"/>
    <m/>
    <n v="2"/>
    <m/>
  </r>
  <r>
    <s v="DSCN3709"/>
    <s v="CC0430_6"/>
    <n v="6"/>
    <n v="1"/>
    <s v="CCAMP"/>
    <d v="2019-04-30T00:00:00"/>
    <x v="0"/>
    <m/>
    <d v="1899-12-30T00:34:00"/>
    <s v="Clear, full sun"/>
    <s v="GB/BS"/>
    <s v="Foraging"/>
    <s v="NA"/>
    <n v="0"/>
    <n v="0"/>
    <n v="0"/>
    <x v="0"/>
    <x v="0"/>
    <s v="NA"/>
    <s v="NA"/>
    <m/>
    <m/>
    <m/>
    <s v="NA"/>
    <s v="NA"/>
    <s v="NA"/>
    <s v="NA"/>
    <s v="NA"/>
    <s v="NA"/>
    <s v="NA"/>
    <s v="NA"/>
    <n v="0"/>
    <n v="0"/>
    <n v="0"/>
    <n v="0"/>
    <n v="34"/>
    <n v="34"/>
    <s v="Searching"/>
    <m/>
    <m/>
    <m/>
  </r>
  <r>
    <s v="DSCN2389"/>
    <s v="TAI0320_7"/>
    <n v="7"/>
    <n v="1"/>
    <s v="Taiga"/>
    <d v="2019-03-20T00:00:00"/>
    <x v="1"/>
    <m/>
    <d v="1899-12-30T00:34:00"/>
    <s v="Partly cloudy"/>
    <s v="OO/BS"/>
    <s v="Foraging"/>
    <s v="NA"/>
    <s v="unknown"/>
    <n v="0"/>
    <n v="0"/>
    <x v="0"/>
    <x v="0"/>
    <s v="NA"/>
    <s v="NA"/>
    <m/>
    <m/>
    <m/>
    <s v="NA"/>
    <s v="NA"/>
    <s v="NA"/>
    <s v="NA"/>
    <s v="NA"/>
    <m/>
    <m/>
    <m/>
    <n v="0"/>
    <n v="0"/>
    <n v="0"/>
    <n v="0"/>
    <n v="34"/>
    <n v="34"/>
    <s v="Searching"/>
    <s v="Pecks several times but no confirmed food.  Seems to spit something out at one point. "/>
    <n v="0"/>
    <n v="0"/>
  </r>
  <r>
    <s v="DSCN2703"/>
    <s v="WW0330_3"/>
    <n v="3"/>
    <n v="1"/>
    <s v="WAC West"/>
    <d v="2019-03-30T00:00:00"/>
    <x v="1"/>
    <m/>
    <d v="1899-12-30T00:40:00"/>
    <m/>
    <s v="BP/PS"/>
    <s v="Foraging"/>
    <s v="NA"/>
    <s v="unknown"/>
    <n v="0"/>
    <n v="0"/>
    <x v="0"/>
    <x v="0"/>
    <s v="NA"/>
    <s v="NA"/>
    <m/>
    <m/>
    <m/>
    <s v="NA"/>
    <s v="NA"/>
    <s v="NA"/>
    <s v="NA"/>
    <s v="NA"/>
    <s v="NA"/>
    <s v="NA"/>
    <m/>
    <n v="0"/>
    <n v="0"/>
    <n v="0"/>
    <n v="0"/>
    <n v="34"/>
    <n v="34"/>
    <s v="Searching"/>
    <m/>
    <m/>
    <m/>
  </r>
  <r>
    <s v="DSCN3831"/>
    <s v="CC0503_12"/>
    <n v="12"/>
    <n v="1"/>
    <s v="CCAMP"/>
    <d v="2019-05-03T00:00:00"/>
    <x v="2"/>
    <m/>
    <d v="1899-12-30T00:34:00"/>
    <s v="Overcast, light snow"/>
    <s v="GB/BS"/>
    <s v="Foraging"/>
    <s v="NA"/>
    <s v="unknown"/>
    <n v="0"/>
    <n v="0"/>
    <x v="0"/>
    <x v="0"/>
    <s v="NA"/>
    <s v="NA"/>
    <m/>
    <m/>
    <m/>
    <s v="NA"/>
    <s v="NA"/>
    <s v="NA"/>
    <s v="NA"/>
    <s v="NA"/>
    <s v="NA"/>
    <s v="NA"/>
    <s v="NA"/>
    <n v="0"/>
    <n v="0"/>
    <n v="0"/>
    <n v="0"/>
    <n v="34"/>
    <n v="34"/>
    <s v="Searching"/>
    <m/>
    <m/>
    <m/>
  </r>
  <r>
    <s v="DSCN3862"/>
    <s v="BU0505_4"/>
    <n v="4"/>
    <n v="1"/>
    <s v="B&amp;U"/>
    <d v="2019-05-05T00:00:00"/>
    <x v="2"/>
    <m/>
    <d v="1899-12-30T00:34:00"/>
    <s v="Mostly cloudy"/>
    <s v="GR/PS"/>
    <s v="Foraging"/>
    <s v="NA"/>
    <s v="unknown"/>
    <n v="0"/>
    <n v="0"/>
    <x v="0"/>
    <x v="0"/>
    <s v="NA"/>
    <s v="NA"/>
    <m/>
    <m/>
    <m/>
    <s v="NA"/>
    <s v="NA"/>
    <s v="NA"/>
    <s v="NA"/>
    <s v="NA"/>
    <s v="NA"/>
    <s v="NA"/>
    <s v="NA"/>
    <n v="0"/>
    <n v="0"/>
    <n v="0"/>
    <n v="0"/>
    <n v="34"/>
    <n v="34"/>
    <s v="Searching"/>
    <m/>
    <m/>
    <m/>
  </r>
  <r>
    <s v="DSCN2833"/>
    <s v="M2370403_2"/>
    <n v="2"/>
    <n v="1"/>
    <s v="Mile 237"/>
    <d v="2019-04-03T00:00:00"/>
    <x v="0"/>
    <m/>
    <d v="1899-12-30T00:33:00"/>
    <m/>
    <s v="YP/RS"/>
    <s v="Foraging"/>
    <s v="Spruce"/>
    <n v="0"/>
    <n v="0"/>
    <n v="0"/>
    <x v="0"/>
    <x v="0"/>
    <s v="NA"/>
    <s v="NA"/>
    <m/>
    <m/>
    <m/>
    <s v="NA"/>
    <s v="NA"/>
    <s v="NA"/>
    <s v="NA"/>
    <s v="NA"/>
    <s v="NA"/>
    <s v="NA"/>
    <m/>
    <n v="33"/>
    <n v="0"/>
    <n v="0"/>
    <n v="33"/>
    <n v="0"/>
    <n v="33"/>
    <s v="Searching"/>
    <m/>
    <m/>
    <m/>
  </r>
  <r>
    <s v="DSCN3158"/>
    <s v="MC0416_1"/>
    <n v="1"/>
    <n v="1"/>
    <s v="Mercantile"/>
    <d v="2019-04-16T00:00:00"/>
    <x v="0"/>
    <m/>
    <d v="1899-12-30T01:08:00"/>
    <s v="Mostly cloudy"/>
    <s v="WO/OS"/>
    <s v="Foraging"/>
    <s v="Spruce"/>
    <n v="1"/>
    <n v="0"/>
    <n v="1"/>
    <x v="3"/>
    <x v="18"/>
    <s v="Ground"/>
    <s v="Exterior spruce foliage"/>
    <s v="Spruce"/>
    <s v="Exterior"/>
    <s v="Foliage"/>
    <s v="E"/>
    <n v="70"/>
    <n v="1"/>
    <n v="63.735900000000001"/>
    <n v="148.89832000000001"/>
    <s v="NA"/>
    <s v="NA"/>
    <m/>
    <n v="0"/>
    <n v="0"/>
    <n v="0"/>
    <n v="0"/>
    <n v="33"/>
    <n v="33"/>
    <s v="Searching"/>
    <s v="Initially I thought ut had grabbed a caterpiller but wasn't confident enough to mark. "/>
    <m/>
    <m/>
  </r>
  <r>
    <s v="DSCN3873"/>
    <s v="MC0506_1"/>
    <n v="1"/>
    <n v="1"/>
    <s v="Mercantile"/>
    <d v="2019-05-06T00:00:00"/>
    <x v="2"/>
    <m/>
    <d v="1899-12-30T00:43:00"/>
    <s v="Mostly cloudy"/>
    <s v="BW/GS"/>
    <s v="Foraging"/>
    <s v="Spruce"/>
    <n v="1"/>
    <s v="unknown"/>
    <n v="0"/>
    <x v="2"/>
    <x v="2"/>
    <s v="Spruce trunk under bark"/>
    <s v="NA"/>
    <m/>
    <m/>
    <m/>
    <s v="NA"/>
    <s v="NA"/>
    <s v="NA"/>
    <s v="NA"/>
    <s v="NA"/>
    <s v="NA"/>
    <s v="NA"/>
    <s v="NA"/>
    <n v="0"/>
    <n v="0"/>
    <n v="0"/>
    <n v="0"/>
    <n v="33"/>
    <n v="33"/>
    <s v="Searching"/>
    <m/>
    <m/>
    <m/>
  </r>
  <r>
    <s v="DSCN3109"/>
    <s v="BU0415_5"/>
    <n v="5"/>
    <n v="1"/>
    <s v="B&amp;U"/>
    <d v="2019-04-15T00:00:00"/>
    <x v="0"/>
    <m/>
    <d v="1899-12-30T00:33:00"/>
    <s v="Partly cloudy"/>
    <s v="GR/PS"/>
    <s v="Foraging"/>
    <s v="NA"/>
    <s v="unknown"/>
    <n v="0"/>
    <n v="0"/>
    <x v="0"/>
    <x v="0"/>
    <s v="NA"/>
    <s v="NA"/>
    <m/>
    <m/>
    <m/>
    <s v="NA"/>
    <s v="NA"/>
    <s v="NA"/>
    <s v="NA"/>
    <s v="NA"/>
    <s v="NA"/>
    <s v="NA"/>
    <m/>
    <n v="0"/>
    <n v="0"/>
    <n v="0"/>
    <n v="0"/>
    <n v="33"/>
    <n v="33"/>
    <s v="Searching"/>
    <m/>
    <m/>
    <m/>
  </r>
  <r>
    <s v="DSCN3400"/>
    <s v="CC0422_7"/>
    <n v="7"/>
    <n v="1"/>
    <s v="CCAMP"/>
    <d v="2019-04-22T00:00:00"/>
    <x v="0"/>
    <s v="Spring"/>
    <d v="1899-12-30T00:34:00"/>
    <s v="Partly cloudy"/>
    <s v="GL/RS"/>
    <s v="Foraging"/>
    <s v="Spruce"/>
    <s v="unknown"/>
    <s v="unknown"/>
    <n v="0"/>
    <x v="0"/>
    <x v="0"/>
    <s v="NA"/>
    <s v="NA"/>
    <m/>
    <m/>
    <m/>
    <s v="NA"/>
    <s v="NA"/>
    <s v="NA"/>
    <s v="NA"/>
    <s v="NA"/>
    <s v="NA"/>
    <s v="NA"/>
    <s v="NA"/>
    <n v="33"/>
    <n v="0"/>
    <n v="0"/>
    <n v="33"/>
    <n v="0"/>
    <n v="33"/>
    <s v="Searching/probing"/>
    <s v="Looks like cache based on recovery location and appearance when in bill. "/>
    <n v="2"/>
    <n v="0"/>
  </r>
  <r>
    <s v="DSCN3569"/>
    <s v="CC0425_34"/>
    <n v="34"/>
    <n v="1"/>
    <s v="CCAMP"/>
    <d v="2019-04-25T00:00:00"/>
    <x v="0"/>
    <m/>
    <d v="1899-12-30T00:33:00"/>
    <s v="Partly cloudy"/>
    <s v="GB/BS"/>
    <s v="Foraging"/>
    <s v="NA"/>
    <s v="unknown"/>
    <n v="0"/>
    <n v="0"/>
    <x v="0"/>
    <x v="0"/>
    <s v="NA"/>
    <s v="NA"/>
    <m/>
    <m/>
    <m/>
    <s v="NA"/>
    <s v="NA"/>
    <s v="NA"/>
    <s v="NA"/>
    <s v="NA"/>
    <s v="NA"/>
    <s v="NA"/>
    <s v="NA"/>
    <n v="0"/>
    <n v="0"/>
    <n v="0"/>
    <n v="0"/>
    <n v="33"/>
    <n v="33"/>
    <s v="Searching"/>
    <m/>
    <m/>
    <m/>
  </r>
  <r>
    <s v="DSCN2706"/>
    <s v="WW0330_4"/>
    <n v="4"/>
    <n v="1"/>
    <s v="WAC West"/>
    <d v="2019-03-30T00:00:00"/>
    <x v="1"/>
    <m/>
    <d v="1899-12-30T00:32:00"/>
    <m/>
    <s v="BP/PS"/>
    <s v="Foraging"/>
    <s v="NA"/>
    <n v="1"/>
    <n v="0"/>
    <n v="0"/>
    <x v="3"/>
    <x v="8"/>
    <s v="Ground"/>
    <s v="NA"/>
    <m/>
    <m/>
    <m/>
    <s v="NA"/>
    <s v="NA"/>
    <s v="NA"/>
    <s v="NA"/>
    <s v="NA"/>
    <s v="NA"/>
    <s v="NA"/>
    <m/>
    <n v="0"/>
    <n v="0"/>
    <n v="0"/>
    <n v="0"/>
    <n v="32"/>
    <n v="32"/>
    <s v="Searching"/>
    <m/>
    <m/>
    <m/>
  </r>
  <r>
    <s v="DSCN3033"/>
    <s v="M3R0409_8"/>
    <n v="8"/>
    <n v="1"/>
    <s v="M4Roadside"/>
    <d v="2019-04-09T00:00:00"/>
    <x v="0"/>
    <m/>
    <d v="1899-12-30T00:32:00"/>
    <m/>
    <s v="OB/YS"/>
    <s v="Foraging"/>
    <s v="NA"/>
    <n v="0"/>
    <n v="0"/>
    <n v="0"/>
    <x v="0"/>
    <x v="0"/>
    <s v="NA"/>
    <s v="NA"/>
    <m/>
    <m/>
    <m/>
    <s v="NA"/>
    <s v="NA"/>
    <s v="NA"/>
    <s v="NA"/>
    <s v="NA"/>
    <s v="NA"/>
    <s v="NA"/>
    <m/>
    <n v="0"/>
    <n v="0"/>
    <n v="0"/>
    <n v="0"/>
    <n v="32"/>
    <n v="32"/>
    <s v="Searching"/>
    <m/>
    <m/>
    <m/>
  </r>
  <r>
    <s v="DSCN3031"/>
    <s v="M4R0409_6"/>
    <n v="6"/>
    <n v="1"/>
    <s v="M4Roadside"/>
    <d v="2019-04-09T00:00:00"/>
    <x v="0"/>
    <m/>
    <d v="1899-12-30T00:32:00"/>
    <m/>
    <s v="OB/YS"/>
    <s v="Foraging"/>
    <s v="NA"/>
    <n v="0"/>
    <n v="0"/>
    <n v="0"/>
    <x v="0"/>
    <x v="0"/>
    <s v="NA"/>
    <s v="NA"/>
    <m/>
    <m/>
    <m/>
    <s v="NA"/>
    <s v="NA"/>
    <s v="NA"/>
    <s v="NA"/>
    <s v="NA"/>
    <s v="NA"/>
    <s v="NA"/>
    <m/>
    <n v="0"/>
    <n v="0"/>
    <n v="0"/>
    <n v="0"/>
    <n v="32"/>
    <n v="32"/>
    <s v="Searching"/>
    <m/>
    <m/>
    <m/>
  </r>
  <r>
    <s v="DSCN3601"/>
    <s v="AQ0426_5"/>
    <n v="5"/>
    <n v="1"/>
    <s v="Air Quality"/>
    <d v="2019-04-26T00:00:00"/>
    <x v="0"/>
    <m/>
    <d v="1899-12-30T00:32:00"/>
    <m/>
    <s v="PG/PS"/>
    <s v="Foraging"/>
    <s v="NA"/>
    <n v="2"/>
    <n v="0"/>
    <n v="0"/>
    <x v="2"/>
    <x v="10"/>
    <s v="Ground"/>
    <s v="NA"/>
    <m/>
    <m/>
    <m/>
    <s v="NA"/>
    <s v="NA"/>
    <s v="NA"/>
    <s v="NA"/>
    <s v="NA"/>
    <s v="NA"/>
    <s v="NA"/>
    <s v="NA"/>
    <n v="0"/>
    <n v="0"/>
    <n v="0"/>
    <n v="0"/>
    <n v="32"/>
    <n v="32"/>
    <s v="Searching"/>
    <m/>
    <m/>
    <m/>
  </r>
  <r>
    <s v="DSCN2606"/>
    <s v="M4R0327_9"/>
    <n v="9"/>
    <n v="1"/>
    <s v="M4Roadside"/>
    <d v="2019-03-27T00:00:00"/>
    <x v="1"/>
    <m/>
    <d v="1899-12-30T00:34:00"/>
    <s v="Overcast"/>
    <s v="YO/BS"/>
    <s v="Foraging"/>
    <s v="NA"/>
    <s v="unknown"/>
    <n v="0"/>
    <n v="0"/>
    <x v="0"/>
    <x v="0"/>
    <s v="NA"/>
    <s v="NA"/>
    <m/>
    <m/>
    <m/>
    <s v="NA"/>
    <s v="NA"/>
    <s v="NA"/>
    <s v="NA"/>
    <s v="NA"/>
    <s v="NA"/>
    <s v="NA"/>
    <m/>
    <n v="0"/>
    <n v="0"/>
    <n v="0"/>
    <n v="0"/>
    <n v="32"/>
    <n v="32"/>
    <s v="Searching"/>
    <m/>
    <m/>
    <m/>
  </r>
  <r>
    <s v="DSCN2435"/>
    <s v="BL0322_2"/>
    <n v="2"/>
    <n v="1"/>
    <s v="Boulder"/>
    <d v="2019-03-22T00:00:00"/>
    <x v="1"/>
    <m/>
    <d v="1899-12-30T01:09:00"/>
    <s v="Partly cloudy"/>
    <s v="unbanded"/>
    <s v="Foraging"/>
    <s v="Shrubs"/>
    <n v="0"/>
    <n v="0"/>
    <n v="0"/>
    <x v="0"/>
    <x v="0"/>
    <s v="NA"/>
    <s v="NA"/>
    <m/>
    <m/>
    <m/>
    <s v="NA"/>
    <s v="NA"/>
    <s v="NA"/>
    <s v="NA"/>
    <s v="NA"/>
    <m/>
    <m/>
    <m/>
    <n v="10"/>
    <n v="0"/>
    <n v="10"/>
    <n v="0"/>
    <n v="21"/>
    <n v="31"/>
    <s v="Picking"/>
    <s v="Plucked a dried blueberry but then spit it up.  It did not secure it to the branch nor did it look like typical cache behavior.  So I did not score it as a cache.  "/>
    <m/>
    <m/>
  </r>
  <r>
    <s v="DSCN2905"/>
    <s v="MC0404_1"/>
    <n v="1"/>
    <n v="1"/>
    <s v="Mercantile"/>
    <d v="2019-04-04T00:00:00"/>
    <x v="0"/>
    <m/>
    <d v="1899-12-30T00:31:00"/>
    <m/>
    <s v="WO/OS"/>
    <s v="Foraging"/>
    <s v="NA"/>
    <n v="0"/>
    <n v="0"/>
    <n v="0"/>
    <x v="0"/>
    <x v="0"/>
    <s v="NA"/>
    <s v="NA"/>
    <m/>
    <m/>
    <m/>
    <s v="NA"/>
    <s v="NA"/>
    <s v="NA"/>
    <s v="NA"/>
    <s v="NA"/>
    <s v="NA"/>
    <s v="NA"/>
    <m/>
    <n v="0"/>
    <n v="0"/>
    <n v="0"/>
    <n v="0"/>
    <n v="31"/>
    <n v="31"/>
    <s v="Searching"/>
    <m/>
    <m/>
    <m/>
  </r>
  <r>
    <s v="DSCN3141"/>
    <s v="M2370415_9"/>
    <n v="9"/>
    <n v="1"/>
    <s v="Mile 237"/>
    <d v="2019-04-15T00:00:00"/>
    <x v="0"/>
    <m/>
    <d v="1899-12-30T00:31:00"/>
    <s v="Partly cloudy"/>
    <s v="YP/RS"/>
    <s v="Foraging"/>
    <s v="Spruce"/>
    <n v="2"/>
    <s v="unknown"/>
    <n v="0"/>
    <x v="2"/>
    <x v="2"/>
    <s v="Exterior spruce branch Under bark"/>
    <s v="NA"/>
    <m/>
    <m/>
    <m/>
    <s v="NA"/>
    <s v="NA"/>
    <s v="NA"/>
    <s v="NA"/>
    <s v="NA"/>
    <s v="NA"/>
    <s v="NA"/>
    <m/>
    <n v="31"/>
    <n v="0"/>
    <n v="0"/>
    <n v="31"/>
    <n v="0"/>
    <n v="31"/>
    <s v="Searching"/>
    <m/>
    <m/>
    <m/>
  </r>
  <r>
    <s v="DSCN3396"/>
    <s v="CC0422_4"/>
    <n v="4"/>
    <n v="2"/>
    <s v="CCAMP"/>
    <d v="2019-04-22T00:00:00"/>
    <x v="0"/>
    <s v="Spring"/>
    <d v="1899-12-30T01:03:00"/>
    <s v="Partly cloudy"/>
    <s v="GL/RS"/>
    <s v="Foraging"/>
    <s v="NA"/>
    <n v="1"/>
    <n v="0"/>
    <n v="0"/>
    <x v="2"/>
    <x v="2"/>
    <s v="Ground"/>
    <s v="NA"/>
    <m/>
    <m/>
    <m/>
    <s v="NA"/>
    <s v="NA"/>
    <s v="NA"/>
    <s v="NA"/>
    <s v="NA"/>
    <s v="NA"/>
    <s v="NA"/>
    <s v="NA"/>
    <n v="0"/>
    <n v="0"/>
    <n v="0"/>
    <n v="0"/>
    <n v="31"/>
    <n v="31"/>
    <s v="Searching"/>
    <m/>
    <m/>
    <m/>
  </r>
  <r>
    <s v="DSCN3372"/>
    <s v="WW0422_15"/>
    <n v="15"/>
    <n v="1"/>
    <s v="WAC West"/>
    <d v="2019-04-22T00:00:00"/>
    <x v="0"/>
    <m/>
    <d v="1899-12-30T00:31:00"/>
    <s v="Partly cloudy"/>
    <s v="BP/PS"/>
    <s v="Foraging"/>
    <s v="NA"/>
    <n v="0"/>
    <n v="0"/>
    <n v="0"/>
    <x v="0"/>
    <x v="0"/>
    <s v="NA"/>
    <s v="NA"/>
    <m/>
    <m/>
    <m/>
    <s v="NA"/>
    <s v="NA"/>
    <s v="NA"/>
    <s v="NA"/>
    <s v="NA"/>
    <s v="NA"/>
    <s v="NA"/>
    <s v="NA"/>
    <n v="0"/>
    <n v="0"/>
    <n v="0"/>
    <n v="0"/>
    <n v="31"/>
    <n v="31"/>
    <s v="Searching"/>
    <m/>
    <m/>
    <m/>
  </r>
  <r>
    <s v="DSCN3484"/>
    <s v="MC0424_6"/>
    <n v="6"/>
    <n v="1"/>
    <s v="Mercantile"/>
    <d v="2019-04-24T00:00:00"/>
    <x v="0"/>
    <m/>
    <d v="1899-12-30T00:31:00"/>
    <s v="Partly cloudy"/>
    <s v="WO/OS"/>
    <s v="Foraging"/>
    <s v="NA"/>
    <n v="1"/>
    <n v="0"/>
    <n v="0"/>
    <x v="2"/>
    <x v="2"/>
    <s v="Ground"/>
    <s v="NA"/>
    <m/>
    <m/>
    <m/>
    <s v="NA"/>
    <s v="NA"/>
    <s v="NA"/>
    <s v="NA"/>
    <s v="NA"/>
    <s v="NA"/>
    <s v="NA"/>
    <s v="NA"/>
    <n v="0"/>
    <n v="0"/>
    <n v="0"/>
    <n v="0"/>
    <n v="31"/>
    <n v="31"/>
    <s v="Searching"/>
    <m/>
    <m/>
    <m/>
  </r>
  <r>
    <s v="DSCN3575"/>
    <s v="CC0425_39"/>
    <n v="39"/>
    <n v="1"/>
    <s v="CCAMP"/>
    <d v="2019-04-25T00:00:00"/>
    <x v="0"/>
    <s v="Spring"/>
    <d v="1899-12-30T00:32:00"/>
    <s v="Partly cloudy"/>
    <s v="GL/RS"/>
    <s v="Foraging"/>
    <s v="NA"/>
    <n v="0"/>
    <n v="0"/>
    <n v="0"/>
    <x v="0"/>
    <x v="0"/>
    <s v="NA"/>
    <s v="NA"/>
    <m/>
    <m/>
    <m/>
    <s v="NA"/>
    <s v="NA"/>
    <s v="NA"/>
    <s v="NA"/>
    <s v="NA"/>
    <s v="NA"/>
    <s v="NA"/>
    <s v="NA"/>
    <n v="0"/>
    <n v="0"/>
    <n v="0"/>
    <n v="0"/>
    <n v="31"/>
    <n v="31"/>
    <s v="Searching"/>
    <m/>
    <m/>
    <m/>
  </r>
  <r>
    <s v="DSCN3531"/>
    <s v="CC0425_7"/>
    <n v="7"/>
    <n v="1"/>
    <s v="CCAMP"/>
    <d v="2019-04-25T00:00:00"/>
    <x v="0"/>
    <m/>
    <d v="1899-12-30T00:41:00"/>
    <s v="Partly cloudy"/>
    <s v="GB/BS"/>
    <s v="Foraging"/>
    <s v="NA"/>
    <n v="0"/>
    <n v="0"/>
    <n v="0"/>
    <x v="0"/>
    <x v="0"/>
    <s v="NA"/>
    <s v="NA"/>
    <m/>
    <m/>
    <m/>
    <s v="NA"/>
    <s v="NA"/>
    <s v="NA"/>
    <s v="NA"/>
    <s v="NA"/>
    <s v="NA"/>
    <s v="NA"/>
    <s v="NA"/>
    <n v="0"/>
    <n v="0"/>
    <n v="0"/>
    <n v="0"/>
    <n v="31"/>
    <n v="31"/>
    <s v="Searching"/>
    <m/>
    <m/>
    <m/>
  </r>
  <r>
    <s v="DSCN3621"/>
    <s v="WW0428_2"/>
    <n v="2"/>
    <n v="1"/>
    <s v="WAC West"/>
    <d v="2019-04-28T00:00:00"/>
    <x v="0"/>
    <m/>
    <d v="1899-12-30T00:36:00"/>
    <s v="Clear, full sun"/>
    <s v="BP/PS"/>
    <s v="Foraging"/>
    <s v="NA"/>
    <n v="2"/>
    <n v="0"/>
    <n v="0"/>
    <x v="3"/>
    <x v="8"/>
    <s v="Ground"/>
    <s v="NA"/>
    <m/>
    <m/>
    <m/>
    <s v="NA"/>
    <s v="NA"/>
    <s v="NA"/>
    <s v="NA"/>
    <s v="NA"/>
    <s v="NA"/>
    <s v="NA"/>
    <s v="NA"/>
    <n v="0"/>
    <n v="0"/>
    <n v="0"/>
    <n v="0"/>
    <n v="31"/>
    <n v="31"/>
    <s v="Searching"/>
    <s v="First berry caught off screen."/>
    <m/>
    <m/>
  </r>
  <r>
    <s v="DSCN3757"/>
    <s v="MC0502_3"/>
    <n v="3"/>
    <n v="1"/>
    <s v="Mercantile"/>
    <d v="2019-05-02T00:00:00"/>
    <x v="2"/>
    <m/>
    <d v="1899-12-30T00:31:00"/>
    <s v="Mostly cloudy"/>
    <s v="BW/GS"/>
    <s v="Foraging"/>
    <s v="NA"/>
    <n v="1"/>
    <n v="0"/>
    <n v="0"/>
    <x v="2"/>
    <x v="2"/>
    <s v="NA"/>
    <s v="NA"/>
    <m/>
    <m/>
    <m/>
    <s v="NA"/>
    <s v="NA"/>
    <s v="NA"/>
    <s v="NA"/>
    <s v="NA"/>
    <s v="NA"/>
    <s v="NA"/>
    <s v="NA"/>
    <n v="0"/>
    <n v="0"/>
    <n v="0"/>
    <n v="0"/>
    <n v="31"/>
    <n v="31"/>
    <s v="Searching"/>
    <m/>
    <m/>
    <m/>
  </r>
  <r>
    <s v="DSCN3841"/>
    <s v="CC0503_21"/>
    <n v="21"/>
    <n v="1"/>
    <s v="CCAMP"/>
    <d v="2019-05-03T00:00:00"/>
    <x v="2"/>
    <s v="Spring"/>
    <d v="1899-12-30T00:31:00"/>
    <s v="Overcast, light snow"/>
    <s v="GL/RS"/>
    <s v="Foraging"/>
    <s v="NA"/>
    <n v="1"/>
    <n v="0"/>
    <n v="0"/>
    <x v="2"/>
    <x v="2"/>
    <s v="Ground"/>
    <s v="NA"/>
    <m/>
    <m/>
    <m/>
    <s v="NA"/>
    <s v="NA"/>
    <s v="NA"/>
    <s v="NA"/>
    <s v="NA"/>
    <s v="NA"/>
    <s v="NA"/>
    <s v="NA"/>
    <n v="0"/>
    <n v="0"/>
    <n v="0"/>
    <n v="0"/>
    <n v="31"/>
    <n v="31"/>
    <s v="Searching"/>
    <m/>
    <m/>
    <m/>
  </r>
  <r>
    <s v="DSCN3889"/>
    <s v="MC0506_6"/>
    <n v="6"/>
    <n v="1"/>
    <s v="Mercantile"/>
    <d v="2019-05-06T00:00:00"/>
    <x v="2"/>
    <m/>
    <d v="1899-12-30T01:47:00"/>
    <s v="Mostly cloudy"/>
    <s v="BW/GS"/>
    <s v="Foraging"/>
    <s v="NA"/>
    <n v="0"/>
    <n v="0"/>
    <n v="0"/>
    <x v="2"/>
    <x v="2"/>
    <s v="unknown"/>
    <s v="unknown"/>
    <m/>
    <m/>
    <m/>
    <s v="unknown"/>
    <s v="unknown"/>
    <s v="Unknown"/>
    <s v="unknown"/>
    <s v="unknown"/>
    <s v="unknown"/>
    <s v="unknown"/>
    <s v="unknown"/>
    <n v="0"/>
    <n v="0"/>
    <n v="0"/>
    <n v="0"/>
    <n v="31"/>
    <n v="31"/>
    <s v="Searching"/>
    <m/>
    <m/>
    <m/>
  </r>
  <r>
    <s v="DSCN2447"/>
    <s v="BL0322_6"/>
    <n v="6"/>
    <n v="1"/>
    <s v="Boulder"/>
    <d v="2019-03-22T00:00:00"/>
    <x v="1"/>
    <m/>
    <d v="1899-12-30T00:31:00"/>
    <s v="Partly cloudy"/>
    <s v="unbanded"/>
    <s v="Foraging"/>
    <s v="NA"/>
    <s v="unknown"/>
    <n v="0"/>
    <n v="0"/>
    <x v="0"/>
    <x v="0"/>
    <s v="NA"/>
    <s v="NA"/>
    <m/>
    <m/>
    <m/>
    <s v="NA"/>
    <s v="NA"/>
    <s v="NA"/>
    <s v="NA"/>
    <s v="NA"/>
    <m/>
    <m/>
    <m/>
    <n v="0"/>
    <n v="0"/>
    <n v="0"/>
    <n v="0"/>
    <n v="31"/>
    <n v="31"/>
    <s v="Searching"/>
    <s v="Scanning ground from tree branches"/>
    <m/>
    <m/>
  </r>
  <r>
    <s v="DSCN3525"/>
    <s v="CC0425_1"/>
    <n v="1"/>
    <n v="1"/>
    <s v="CCAMP"/>
    <d v="2019-04-25T00:00:00"/>
    <x v="0"/>
    <m/>
    <d v="1899-12-30T00:31:00"/>
    <s v="Partly cloudy"/>
    <s v="GB/BS"/>
    <s v="Foraging"/>
    <s v="NA"/>
    <s v="unknown"/>
    <n v="0"/>
    <n v="0"/>
    <x v="0"/>
    <x v="0"/>
    <s v="NA"/>
    <s v="NA"/>
    <m/>
    <m/>
    <m/>
    <s v="NA"/>
    <s v="NA"/>
    <s v="NA"/>
    <s v="NA"/>
    <s v="NA"/>
    <s v="NA"/>
    <s v="NA"/>
    <s v="NA"/>
    <n v="0"/>
    <n v="0"/>
    <n v="0"/>
    <n v="0"/>
    <n v="31"/>
    <n v="31"/>
    <s v="Searching"/>
    <m/>
    <m/>
    <m/>
  </r>
  <r>
    <s v="DSCN2621"/>
    <s v="MC0327_3"/>
    <n v="3"/>
    <n v="1"/>
    <s v="M4Roadside"/>
    <d v="2019-03-27T00:00:00"/>
    <x v="1"/>
    <m/>
    <d v="1899-12-30T00:31:00"/>
    <m/>
    <s v="WO/OS"/>
    <s v="Foraging"/>
    <s v="NA"/>
    <n v="0"/>
    <n v="0"/>
    <n v="0"/>
    <x v="0"/>
    <x v="0"/>
    <s v="NA"/>
    <s v="NA"/>
    <m/>
    <m/>
    <m/>
    <s v="NA"/>
    <s v="NA"/>
    <s v="NA"/>
    <s v="NA"/>
    <s v="NA"/>
    <s v="NA"/>
    <s v="NA"/>
    <m/>
    <n v="0"/>
    <n v="0"/>
    <n v="0"/>
    <n v="0"/>
    <n v="30"/>
    <n v="30"/>
    <s v="Searching"/>
    <m/>
    <m/>
    <m/>
  </r>
  <r>
    <s v="DSCN2696"/>
    <s v="M2370330_18"/>
    <n v="18"/>
    <n v="1"/>
    <s v="Mile 237"/>
    <d v="2019-03-30T00:00:00"/>
    <x v="1"/>
    <m/>
    <d v="1899-12-30T00:46:00"/>
    <m/>
    <s v="YP/RS"/>
    <s v="Foraging"/>
    <s v="NA"/>
    <n v="1"/>
    <n v="0"/>
    <n v="0"/>
    <x v="2"/>
    <x v="2"/>
    <s v="Ground"/>
    <s v="NA"/>
    <m/>
    <m/>
    <m/>
    <s v="NA"/>
    <s v="NA"/>
    <s v="NA"/>
    <s v="NA"/>
    <s v="NA"/>
    <s v="NA"/>
    <s v="NA"/>
    <m/>
    <n v="0"/>
    <n v="0"/>
    <n v="0"/>
    <n v="0"/>
    <n v="30"/>
    <n v="30"/>
    <s v="Searching"/>
    <m/>
    <m/>
    <m/>
  </r>
  <r>
    <s v="DSCN2844"/>
    <s v="M2370403_10"/>
    <n v="10"/>
    <n v="1"/>
    <s v="Mile 237"/>
    <d v="2019-04-03T00:00:00"/>
    <x v="0"/>
    <m/>
    <d v="1899-12-30T01:04:00"/>
    <m/>
    <s v="YP/RS"/>
    <s v="Foraging"/>
    <s v="Spruc, Aspen"/>
    <n v="1"/>
    <s v="unknown"/>
    <n v="0"/>
    <x v="2"/>
    <x v="2"/>
    <s v="Exterior aspen branch"/>
    <s v="NA"/>
    <m/>
    <m/>
    <m/>
    <s v="NA"/>
    <s v="NA"/>
    <s v="NA"/>
    <s v="NA"/>
    <s v="NA"/>
    <s v="NA"/>
    <s v="NA"/>
    <m/>
    <n v="30"/>
    <n v="0"/>
    <n v="0"/>
    <n v="30"/>
    <n v="0"/>
    <n v="30"/>
    <s v="Searching"/>
    <m/>
    <m/>
    <m/>
  </r>
  <r>
    <s v="DSCN2965"/>
    <s v="WW0405_12"/>
    <n v="12"/>
    <n v="1"/>
    <s v="WAC West"/>
    <d v="2019-04-05T00:00:00"/>
    <x v="0"/>
    <m/>
    <d v="1899-12-30T01:01:00"/>
    <m/>
    <s v="BP/PS"/>
    <s v="Foraging"/>
    <s v="Spruce"/>
    <n v="1"/>
    <n v="1"/>
    <n v="0"/>
    <x v="2"/>
    <x v="2"/>
    <s v="Spruce trunk under bark"/>
    <s v="NA"/>
    <m/>
    <m/>
    <m/>
    <s v="NA"/>
    <s v="NA"/>
    <s v="NA"/>
    <s v="NA"/>
    <s v="NA"/>
    <n v="63.738799999999998"/>
    <n v="148.89569"/>
    <m/>
    <n v="0"/>
    <n v="0"/>
    <n v="0"/>
    <n v="0"/>
    <n v="30"/>
    <n v="30"/>
    <s v="Searching"/>
    <s v="Missed the intial tree foraing.  Not sure if she aquired anything on the gorund. "/>
    <m/>
    <m/>
  </r>
  <r>
    <s v="DSCN3449"/>
    <s v="SQ0422_7"/>
    <n v="7"/>
    <n v="1"/>
    <s v="Sasquatch"/>
    <d v="2019-04-22T00:00:00"/>
    <x v="0"/>
    <m/>
    <d v="1899-12-30T00:30:00"/>
    <s v="Partly cloudy"/>
    <s v="G/BS"/>
    <s v="Foraging"/>
    <s v="NA"/>
    <n v="1"/>
    <n v="0"/>
    <n v="0"/>
    <x v="2"/>
    <x v="2"/>
    <s v="Ground"/>
    <s v="NA"/>
    <m/>
    <m/>
    <m/>
    <s v="NA"/>
    <s v="NA"/>
    <s v="NA"/>
    <s v="NA"/>
    <s v="NA"/>
    <s v="NA"/>
    <s v="NA"/>
    <s v="NA"/>
    <n v="0"/>
    <n v="0"/>
    <n v="0"/>
    <n v="0"/>
    <n v="30"/>
    <n v="30"/>
    <s v="Searching"/>
    <m/>
    <m/>
    <m/>
  </r>
  <r>
    <s v="DSCN3396"/>
    <s v="CC0422_4"/>
    <n v="4"/>
    <n v="1"/>
    <s v="CCAMP"/>
    <d v="2019-04-22T00:00:00"/>
    <x v="0"/>
    <s v="Spring"/>
    <d v="1899-12-30T01:03:00"/>
    <s v="Partly cloudy"/>
    <s v="GL/RS"/>
    <s v="Foraging"/>
    <s v="NA"/>
    <n v="1"/>
    <n v="0"/>
    <n v="0"/>
    <x v="1"/>
    <x v="1"/>
    <s v="Ground"/>
    <s v="NA"/>
    <m/>
    <m/>
    <m/>
    <s v="NA"/>
    <s v="NA"/>
    <s v="NA"/>
    <s v="NA"/>
    <s v="NA"/>
    <s v="NA"/>
    <s v="NA"/>
    <s v="NA"/>
    <n v="0"/>
    <n v="0"/>
    <n v="0"/>
    <n v="0"/>
    <n v="30"/>
    <n v="30"/>
    <s v="Searching"/>
    <m/>
    <m/>
    <m/>
  </r>
  <r>
    <s v="DSCN3565"/>
    <s v="CC0424_31"/>
    <n v="31"/>
    <n v="1"/>
    <s v="CCAMP"/>
    <d v="2019-04-25T00:00:00"/>
    <x v="0"/>
    <m/>
    <d v="1899-12-30T00:30:00"/>
    <s v="Partly cloudy"/>
    <s v="GB/BS"/>
    <s v="Foraging"/>
    <s v="NA"/>
    <n v="1"/>
    <n v="0"/>
    <n v="0"/>
    <x v="2"/>
    <x v="2"/>
    <s v="Ground"/>
    <s v="NA"/>
    <m/>
    <m/>
    <m/>
    <s v="NA"/>
    <s v="NA"/>
    <s v="NA"/>
    <s v="NA"/>
    <s v="NA"/>
    <s v="NA"/>
    <s v="NA"/>
    <s v="NA"/>
    <n v="0"/>
    <n v="0"/>
    <n v="0"/>
    <n v="0"/>
    <n v="30"/>
    <n v="30"/>
    <s v="Searching"/>
    <m/>
    <m/>
    <m/>
  </r>
  <r>
    <s v="DSCN3680"/>
    <s v="M4R0430_21"/>
    <n v="21"/>
    <n v="1"/>
    <s v="M4Roadside"/>
    <d v="2019-04-30T00:00:00"/>
    <x v="0"/>
    <m/>
    <d v="1899-12-30T00:48:00"/>
    <s v="Clear, full sun"/>
    <s v="WG/OS"/>
    <s v="Foraging"/>
    <s v="NA"/>
    <n v="0"/>
    <n v="0"/>
    <n v="0"/>
    <x v="0"/>
    <x v="0"/>
    <s v="NA"/>
    <s v="NA"/>
    <m/>
    <m/>
    <m/>
    <s v="NA"/>
    <s v="NA"/>
    <s v="NA"/>
    <s v="NA"/>
    <s v="NA"/>
    <s v="NA"/>
    <s v="NA"/>
    <s v="NA"/>
    <n v="0"/>
    <n v="0"/>
    <n v="0"/>
    <n v="0"/>
    <n v="30"/>
    <n v="30"/>
    <s v="Searching"/>
    <m/>
    <m/>
    <m/>
  </r>
  <r>
    <s v="DSCN2736"/>
    <s v="BU0401_1"/>
    <n v="1"/>
    <n v="1"/>
    <s v="BU"/>
    <d v="2019-04-01T00:00:00"/>
    <x v="0"/>
    <m/>
    <d v="1899-12-30T00:30:00"/>
    <m/>
    <s v="GR/PS"/>
    <s v="Foraging"/>
    <s v="NA"/>
    <s v="unknown"/>
    <n v="0"/>
    <n v="0"/>
    <x v="0"/>
    <x v="0"/>
    <s v="NA"/>
    <s v="NA"/>
    <m/>
    <m/>
    <m/>
    <s v="NA"/>
    <s v="NA"/>
    <s v="NA"/>
    <s v="NA"/>
    <s v="NA"/>
    <s v="NA"/>
    <s v="NA"/>
    <m/>
    <n v="0"/>
    <n v="0"/>
    <n v="0"/>
    <n v="0"/>
    <n v="30"/>
    <n v="30"/>
    <s v="Searching"/>
    <m/>
    <m/>
    <m/>
  </r>
  <r>
    <s v="DSCN3015"/>
    <s v="M2370409_4"/>
    <n v="4"/>
    <n v="1"/>
    <s v="Mile 237"/>
    <d v="2019-04-09T00:00:00"/>
    <x v="0"/>
    <m/>
    <d v="1899-12-30T00:30:00"/>
    <m/>
    <s v="YP/RS"/>
    <s v="Foraging"/>
    <s v="NA"/>
    <s v="unknown"/>
    <n v="0"/>
    <n v="0"/>
    <x v="0"/>
    <x v="0"/>
    <s v="NA"/>
    <s v="NA"/>
    <m/>
    <m/>
    <m/>
    <s v="NA"/>
    <s v="NA"/>
    <s v="NA"/>
    <s v="NA"/>
    <s v="NA"/>
    <s v="NA"/>
    <s v="NA"/>
    <m/>
    <n v="0"/>
    <n v="0"/>
    <n v="0"/>
    <n v="0"/>
    <n v="30"/>
    <n v="30"/>
    <s v="Searching"/>
    <m/>
    <m/>
    <m/>
  </r>
  <r>
    <s v="DSCN3520"/>
    <s v="MC0424_27"/>
    <n v="27"/>
    <n v="1"/>
    <s v="Mercantile"/>
    <d v="2019-04-24T00:00:00"/>
    <x v="0"/>
    <m/>
    <d v="1899-12-30T00:30:00"/>
    <s v="Partly cloudy"/>
    <s v="WO/OS"/>
    <s v="Foraging"/>
    <s v="Spruce"/>
    <s v="unknown"/>
    <s v="unknown"/>
    <n v="0"/>
    <x v="0"/>
    <x v="0"/>
    <s v="NA"/>
    <s v="NA"/>
    <m/>
    <m/>
    <m/>
    <s v="NA"/>
    <s v="NA"/>
    <s v="NA"/>
    <s v="NA"/>
    <s v="NA"/>
    <s v="NA"/>
    <s v="NA"/>
    <s v="NA"/>
    <n v="30"/>
    <n v="0"/>
    <n v="30"/>
    <n v="0"/>
    <n v="0"/>
    <n v="30"/>
    <s v="Probing"/>
    <s v="Unknown number of probes, could not see on camera. "/>
    <m/>
    <m/>
  </r>
  <r>
    <s v="DSCN2543"/>
    <s v="M2370326_5"/>
    <n v="5"/>
    <n v="2"/>
    <s v="Mile 237"/>
    <d v="2019-03-26T00:00:00"/>
    <x v="1"/>
    <m/>
    <d v="1899-12-30T01:06:00"/>
    <s v="Mostly sunny"/>
    <s v="YP/RS"/>
    <s v="Foraging"/>
    <s v="Spruce"/>
    <n v="1"/>
    <n v="0"/>
    <n v="0"/>
    <x v="2"/>
    <x v="2"/>
    <s v="Ground"/>
    <s v="NA"/>
    <m/>
    <m/>
    <m/>
    <s v="NA"/>
    <s v="NA"/>
    <s v="NA"/>
    <s v="NA"/>
    <s v="NA"/>
    <m/>
    <m/>
    <m/>
    <n v="0"/>
    <n v="0"/>
    <n v="0"/>
    <n v="0"/>
    <n v="29"/>
    <n v="29"/>
    <s v="Searching"/>
    <m/>
    <m/>
    <m/>
  </r>
  <r>
    <s v="DSCN2701"/>
    <s v="WW0330_1"/>
    <n v="1"/>
    <n v="1"/>
    <s v="WAC West"/>
    <d v="2019-03-30T00:00:00"/>
    <x v="1"/>
    <m/>
    <d v="1899-12-30T00:29:00"/>
    <m/>
    <s v="BP/PS"/>
    <s v="Foraging"/>
    <s v="NA"/>
    <n v="1"/>
    <n v="0"/>
    <n v="0"/>
    <x v="2"/>
    <x v="2"/>
    <s v="Ground"/>
    <s v="NA"/>
    <m/>
    <m/>
    <m/>
    <s v="NA"/>
    <s v="NA"/>
    <s v="NA"/>
    <s v="NA"/>
    <s v="NA"/>
    <s v="NA"/>
    <s v="NA"/>
    <m/>
    <n v="0"/>
    <n v="0"/>
    <n v="0"/>
    <n v="0"/>
    <n v="29"/>
    <n v="29"/>
    <s v="Searching"/>
    <m/>
    <m/>
    <m/>
  </r>
  <r>
    <s v="DSCN3147"/>
    <s v="M2370415_14"/>
    <n v="14"/>
    <n v="1"/>
    <s v="Mile 237"/>
    <d v="2019-04-15T00:00:00"/>
    <x v="0"/>
    <m/>
    <d v="1899-12-30T02:11:00"/>
    <s v="Partly cloudy"/>
    <s v="YP/RS"/>
    <s v="Foraging"/>
    <s v="NA"/>
    <n v="1"/>
    <n v="0"/>
    <n v="0"/>
    <x v="2"/>
    <x v="2"/>
    <s v="Ground"/>
    <s v="NA"/>
    <m/>
    <m/>
    <m/>
    <s v="NA"/>
    <s v="NA"/>
    <s v="NA"/>
    <s v="NA"/>
    <s v="NA"/>
    <s v="NA"/>
    <s v="NA"/>
    <m/>
    <n v="0"/>
    <n v="0"/>
    <n v="0"/>
    <n v="0"/>
    <n v="29"/>
    <n v="29"/>
    <s v="Searching"/>
    <m/>
    <m/>
    <m/>
  </r>
  <r>
    <s v="DSCN3465"/>
    <s v="BU0424_7"/>
    <n v="7"/>
    <n v="1"/>
    <s v="B&amp;U"/>
    <d v="2019-04-24T00:00:00"/>
    <x v="0"/>
    <m/>
    <d v="1899-12-30T00:29:00"/>
    <s v="Partly cloudy"/>
    <s v="GR/PS"/>
    <s v="Foraging"/>
    <s v="NA"/>
    <n v="0"/>
    <n v="0"/>
    <n v="0"/>
    <x v="0"/>
    <x v="0"/>
    <s v="NA"/>
    <s v="NA"/>
    <m/>
    <m/>
    <m/>
    <s v="NA"/>
    <s v="NA"/>
    <s v="NA"/>
    <s v="NA"/>
    <s v="NA"/>
    <s v="NA"/>
    <s v="NA"/>
    <s v="NA"/>
    <n v="0"/>
    <n v="0"/>
    <n v="0"/>
    <n v="0"/>
    <n v="29"/>
    <n v="29"/>
    <s v="Searching"/>
    <m/>
    <m/>
    <m/>
  </r>
  <r>
    <s v="DSCN3711"/>
    <s v="CC0430_8"/>
    <n v="8"/>
    <n v="1"/>
    <s v="CCAMP"/>
    <d v="2019-04-30T00:00:00"/>
    <x v="0"/>
    <s v="Spring"/>
    <d v="1899-12-30T00:29:00"/>
    <s v="Clear, full sun"/>
    <s v="GL/RS"/>
    <s v="Foraging"/>
    <s v="Spruce"/>
    <n v="1"/>
    <n v="0"/>
    <n v="0"/>
    <x v="2"/>
    <x v="2"/>
    <s v="Exterior bare spruce branch"/>
    <s v="NA"/>
    <m/>
    <m/>
    <m/>
    <s v="NA"/>
    <s v="NA"/>
    <s v="NA"/>
    <s v="NA"/>
    <s v="NA"/>
    <s v="NA"/>
    <s v="NA"/>
    <s v="NA"/>
    <n v="15"/>
    <n v="14"/>
    <n v="0"/>
    <n v="29"/>
    <n v="0"/>
    <n v="29"/>
    <s v="Searching"/>
    <m/>
    <m/>
    <m/>
  </r>
  <r>
    <s v="DSCN3640"/>
    <s v="M4R0430_3"/>
    <n v="3"/>
    <n v="1"/>
    <s v="M4Roadside"/>
    <d v="2019-04-30T00:00:00"/>
    <x v="0"/>
    <m/>
    <d v="1899-12-30T00:29:00"/>
    <s v="Clear, full sun"/>
    <s v="YO/BS"/>
    <s v="Foraging"/>
    <s v="NA"/>
    <n v="0"/>
    <n v="0"/>
    <n v="0"/>
    <x v="0"/>
    <x v="0"/>
    <s v="NA"/>
    <s v="NA"/>
    <m/>
    <m/>
    <m/>
    <s v="NA"/>
    <s v="NA"/>
    <s v="NA"/>
    <s v="NA"/>
    <s v="NA"/>
    <s v="NA"/>
    <s v="NA"/>
    <s v="NA"/>
    <n v="0"/>
    <n v="0"/>
    <n v="0"/>
    <n v="0"/>
    <n v="29"/>
    <n v="29"/>
    <s v="Searching"/>
    <m/>
    <m/>
    <m/>
  </r>
  <r>
    <s v="DSCN3646"/>
    <s v="M4R0430_7"/>
    <n v="7"/>
    <n v="1"/>
    <s v="M4Roadside"/>
    <d v="2019-04-30T00:00:00"/>
    <x v="0"/>
    <m/>
    <d v="1899-12-30T00:29:00"/>
    <s v="Clear, full sun"/>
    <s v="YO/BS"/>
    <s v="Foraging"/>
    <s v="NA"/>
    <n v="0"/>
    <n v="0"/>
    <n v="0"/>
    <x v="0"/>
    <x v="0"/>
    <s v="NA"/>
    <s v="NA"/>
    <m/>
    <m/>
    <m/>
    <s v="NA"/>
    <s v="NA"/>
    <s v="NA"/>
    <s v="NA"/>
    <s v="NA"/>
    <s v="NA"/>
    <s v="NA"/>
    <s v="NA"/>
    <n v="0"/>
    <n v="0"/>
    <n v="0"/>
    <n v="0"/>
    <n v="29"/>
    <n v="29"/>
    <s v="Searching"/>
    <m/>
    <m/>
    <m/>
  </r>
  <r>
    <s v="DSCN3852"/>
    <s v="WW0503_1"/>
    <n v="1"/>
    <n v="1"/>
    <s v="WAC West"/>
    <d v="2019-05-03T00:00:00"/>
    <x v="2"/>
    <m/>
    <d v="1899-12-30T00:29:00"/>
    <s v="Mostly cloudy"/>
    <s v="BP/PS"/>
    <s v="Foraging"/>
    <s v="NA"/>
    <n v="1"/>
    <n v="0"/>
    <n v="0"/>
    <x v="2"/>
    <x v="2"/>
    <s v="Ground"/>
    <s v="NA"/>
    <m/>
    <m/>
    <m/>
    <s v="NA"/>
    <s v="NA"/>
    <s v="NA"/>
    <s v="NA"/>
    <s v="NA"/>
    <s v="NA"/>
    <s v="NA"/>
    <s v="NA"/>
    <n v="0"/>
    <n v="0"/>
    <n v="0"/>
    <n v="0"/>
    <n v="29"/>
    <n v="29"/>
    <s v="Searching"/>
    <m/>
    <m/>
    <m/>
  </r>
  <r>
    <s v="DSCN3933"/>
    <s v="M2370508_3"/>
    <n v="3"/>
    <n v="1"/>
    <s v="Mile 237"/>
    <d v="2019-05-08T00:00:00"/>
    <x v="2"/>
    <m/>
    <d v="1899-12-30T00:31:00"/>
    <s v="Overcast"/>
    <s v="YP/RS"/>
    <s v="Foraging"/>
    <s v="NA"/>
    <n v="4"/>
    <n v="0"/>
    <n v="0"/>
    <x v="2"/>
    <x v="2"/>
    <s v="Ground"/>
    <s v="NA"/>
    <m/>
    <m/>
    <m/>
    <s v="NA"/>
    <s v="NA"/>
    <s v="NA"/>
    <s v="NA"/>
    <s v="NA"/>
    <s v="NA"/>
    <s v="NA"/>
    <s v="NA"/>
    <n v="0"/>
    <n v="0"/>
    <n v="0"/>
    <n v="0"/>
    <n v="29"/>
    <n v="29"/>
    <s v="Searching"/>
    <m/>
    <m/>
    <m/>
  </r>
  <r>
    <s v="DSCN2518"/>
    <s v="M4R0325_11"/>
    <n v="11"/>
    <n v="1"/>
    <s v="M4Roadside"/>
    <d v="2019-03-25T00:00:00"/>
    <x v="1"/>
    <m/>
    <d v="1899-12-30T00:29:00"/>
    <s v="Mostly sunny"/>
    <s v="YO/BS"/>
    <s v="Foraging"/>
    <s v="NA"/>
    <s v="unknown"/>
    <n v="0"/>
    <n v="0"/>
    <x v="0"/>
    <x v="0"/>
    <s v="NA"/>
    <s v="NA"/>
    <m/>
    <m/>
    <m/>
    <s v="NA"/>
    <s v="NA"/>
    <s v="NA"/>
    <s v="NA"/>
    <s v="NA"/>
    <m/>
    <m/>
    <m/>
    <n v="0"/>
    <n v="0"/>
    <n v="0"/>
    <n v="0"/>
    <n v="29"/>
    <n v="29"/>
    <s v="Searching"/>
    <m/>
    <m/>
    <m/>
  </r>
  <r>
    <s v="DSCN2749"/>
    <s v="BU0401_10"/>
    <n v="10"/>
    <n v="1"/>
    <s v="BU"/>
    <d v="2019-04-01T00:00:00"/>
    <x v="0"/>
    <m/>
    <d v="1899-12-30T00:37:00"/>
    <m/>
    <s v="GR/PS"/>
    <s v="Foraging"/>
    <s v="NA"/>
    <s v="unknown"/>
    <n v="0"/>
    <n v="0"/>
    <x v="0"/>
    <x v="0"/>
    <s v="NA"/>
    <s v="NA"/>
    <m/>
    <m/>
    <m/>
    <s v="NA"/>
    <s v="NA"/>
    <s v="NA"/>
    <s v="NA"/>
    <s v="NA"/>
    <s v="NA"/>
    <s v="NA"/>
    <m/>
    <n v="0"/>
    <n v="0"/>
    <n v="0"/>
    <n v="0"/>
    <n v="29"/>
    <n v="29"/>
    <s v="Searching"/>
    <m/>
    <m/>
    <m/>
  </r>
  <r>
    <s v="DSCN3884"/>
    <s v="MC0506_2"/>
    <n v="2"/>
    <n v="1"/>
    <s v="Mercantile"/>
    <d v="2019-05-06T00:00:00"/>
    <x v="2"/>
    <m/>
    <d v="1899-12-30T00:29:00"/>
    <s v="Mostly cloudy"/>
    <s v="BW/GS"/>
    <s v="Foraging"/>
    <s v="NA"/>
    <s v="unknown"/>
    <n v="0"/>
    <n v="0"/>
    <x v="0"/>
    <x v="0"/>
    <s v="NA"/>
    <s v="NA"/>
    <m/>
    <m/>
    <m/>
    <s v="NA"/>
    <s v="NA"/>
    <s v="NA"/>
    <s v="NA"/>
    <s v="NA"/>
    <s v="NA"/>
    <s v="NA"/>
    <s v="NA"/>
    <n v="0"/>
    <n v="0"/>
    <n v="0"/>
    <n v="0"/>
    <n v="29"/>
    <n v="29"/>
    <s v="Searching"/>
    <m/>
    <m/>
    <m/>
  </r>
  <r>
    <s v="DSCN2410"/>
    <s v="TAI0320_21"/>
    <n v="21"/>
    <n v="1"/>
    <s v="Taiga"/>
    <d v="2019-03-20T00:00:00"/>
    <x v="1"/>
    <m/>
    <m/>
    <s v="Partly cloudy"/>
    <s v="OO/BS"/>
    <s v="Foraging"/>
    <s v="Spruce"/>
    <n v="1"/>
    <s v="unknown"/>
    <n v="0"/>
    <x v="2"/>
    <x v="2"/>
    <s v="Exterior spruce bare branch under bark"/>
    <s v="NA"/>
    <m/>
    <m/>
    <m/>
    <s v="NA"/>
    <s v="NA"/>
    <s v="NA"/>
    <s v="NA"/>
    <s v="NA"/>
    <m/>
    <m/>
    <m/>
    <n v="28"/>
    <n v="0"/>
    <n v="16"/>
    <n v="12"/>
    <n v="0"/>
    <n v="28"/>
    <s v="Searching/ GLEAING"/>
    <m/>
    <n v="0"/>
    <n v="4"/>
  </r>
  <r>
    <s v="DSCN2392"/>
    <s v="TAI0320_9"/>
    <n v="9"/>
    <n v="1"/>
    <s v="Taiga"/>
    <d v="2019-03-20T00:00:00"/>
    <x v="1"/>
    <m/>
    <d v="1899-12-30T00:28:00"/>
    <s v="Partly cloudy"/>
    <s v="OO/BS"/>
    <s v="Foraging"/>
    <s v="NA"/>
    <n v="2"/>
    <n v="0"/>
    <n v="0"/>
    <x v="2"/>
    <x v="2"/>
    <s v="Ground"/>
    <n v="0"/>
    <m/>
    <m/>
    <m/>
    <n v="0"/>
    <s v="NA"/>
    <s v="NA"/>
    <s v="NA"/>
    <s v="NA"/>
    <m/>
    <m/>
    <m/>
    <n v="0"/>
    <n v="0"/>
    <n v="0"/>
    <n v="0"/>
    <d v="1900-01-27T00:00:00"/>
    <n v="28"/>
    <s v="Searching"/>
    <s v="Searching ground from tree. "/>
    <n v="0"/>
    <n v="0"/>
  </r>
  <r>
    <s v="DSCN2529"/>
    <s v="M4R0325_17"/>
    <n v="17"/>
    <n v="1"/>
    <s v="M4Roadside"/>
    <d v="2019-03-25T00:00:00"/>
    <x v="1"/>
    <m/>
    <d v="1899-12-30T00:28:00"/>
    <s v="Mostly sunny"/>
    <s v="YO/BS"/>
    <s v="Foraging"/>
    <s v="NA"/>
    <n v="0"/>
    <n v="0"/>
    <n v="0"/>
    <x v="0"/>
    <x v="0"/>
    <s v="NA"/>
    <s v="NA"/>
    <m/>
    <m/>
    <m/>
    <s v="NA"/>
    <s v="NA"/>
    <s v="NA"/>
    <s v="NA"/>
    <s v="NA"/>
    <m/>
    <m/>
    <m/>
    <n v="0"/>
    <n v="0"/>
    <n v="0"/>
    <n v="0"/>
    <n v="28"/>
    <n v="28"/>
    <s v="Searching"/>
    <m/>
    <m/>
    <m/>
  </r>
  <r>
    <s v="DSCN2742"/>
    <s v="BU0401_5"/>
    <n v="5"/>
    <n v="1"/>
    <s v="BU"/>
    <d v="2019-04-01T00:00:00"/>
    <x v="0"/>
    <m/>
    <d v="1899-12-30T00:32:00"/>
    <m/>
    <s v="GR/PS"/>
    <s v="Foraging"/>
    <s v="NA"/>
    <n v="0"/>
    <n v="0"/>
    <n v="0"/>
    <x v="0"/>
    <x v="0"/>
    <s v="NA"/>
    <s v="NA"/>
    <m/>
    <m/>
    <m/>
    <s v="NA"/>
    <s v="NA"/>
    <s v="NA"/>
    <s v="NA"/>
    <s v="NA"/>
    <s v="NA"/>
    <s v="NA"/>
    <m/>
    <n v="0"/>
    <n v="0"/>
    <n v="0"/>
    <n v="0"/>
    <n v="28"/>
    <n v="28"/>
    <m/>
    <m/>
    <m/>
    <m/>
  </r>
  <r>
    <s v="DSCN2742"/>
    <s v="BU0401_6"/>
    <n v="6"/>
    <n v="1"/>
    <s v="BU"/>
    <d v="2019-04-01T00:00:00"/>
    <x v="0"/>
    <m/>
    <d v="1899-12-30T00:31:00"/>
    <m/>
    <s v="GR/PS"/>
    <s v="Foraging"/>
    <s v="NA"/>
    <n v="0"/>
    <n v="0"/>
    <n v="0"/>
    <x v="0"/>
    <x v="0"/>
    <s v="NA"/>
    <s v="NA"/>
    <m/>
    <m/>
    <m/>
    <s v="NA"/>
    <s v="NA"/>
    <s v="NA"/>
    <s v="NA"/>
    <s v="NA"/>
    <s v="NA"/>
    <s v="NA"/>
    <m/>
    <n v="0"/>
    <n v="0"/>
    <n v="0"/>
    <n v="0"/>
    <n v="28"/>
    <n v="28"/>
    <m/>
    <m/>
    <m/>
    <m/>
  </r>
  <r>
    <s v="DSCN3409"/>
    <s v="CC0422_12"/>
    <n v="12"/>
    <n v="1"/>
    <s v="CCAMP"/>
    <d v="2019-04-22T00:00:00"/>
    <x v="0"/>
    <s v="Spring"/>
    <d v="1899-12-30T00:28:00"/>
    <s v="Partly cloudy"/>
    <s v="GL/RS"/>
    <s v="Foraging"/>
    <s v="Spruce"/>
    <n v="1"/>
    <n v="1"/>
    <n v="0"/>
    <x v="2"/>
    <x v="2"/>
    <s v="Spruce trunk under bark"/>
    <s v="NA"/>
    <m/>
    <m/>
    <m/>
    <s v="NA"/>
    <s v="NA"/>
    <s v="NA"/>
    <s v="NA"/>
    <s v="NA"/>
    <n v="63.722259999999999"/>
    <n v="148.94954000000001"/>
    <s v="NA"/>
    <n v="13"/>
    <n v="0"/>
    <n v="13"/>
    <n v="0"/>
    <n v="15"/>
    <n v="28"/>
    <s v="Probing"/>
    <m/>
    <n v="7"/>
    <n v="0"/>
  </r>
  <r>
    <s v="DSCN3368"/>
    <s v="WW0422_11"/>
    <n v="11"/>
    <n v="2"/>
    <s v="WAC West"/>
    <d v="2019-04-22T00:00:00"/>
    <x v="0"/>
    <m/>
    <d v="1899-12-30T02:19:00"/>
    <s v="Partly cloudy"/>
    <s v="BP/PS"/>
    <s v="Foraging"/>
    <s v="NA"/>
    <n v="1"/>
    <n v="0"/>
    <n v="0"/>
    <x v="1"/>
    <x v="13"/>
    <s v="Ground"/>
    <s v="NA"/>
    <m/>
    <m/>
    <m/>
    <s v="NA"/>
    <s v="NA"/>
    <s v="NA"/>
    <s v="NA"/>
    <s v="NA"/>
    <s v="NA"/>
    <s v="NA"/>
    <s v="NA"/>
    <n v="0"/>
    <n v="0"/>
    <n v="0"/>
    <n v="0"/>
    <n v="28"/>
    <n v="28"/>
    <s v="Searching"/>
    <s v="Insect evident in slowed video.  Can see legs/antenna "/>
    <m/>
    <m/>
  </r>
  <r>
    <s v="DSCN2595"/>
    <s v="M4R0327_2"/>
    <n v="2"/>
    <n v="1"/>
    <s v="M4Roadside"/>
    <d v="2019-03-27T00:00:00"/>
    <x v="1"/>
    <m/>
    <d v="1899-12-30T00:28:00"/>
    <s v="Overcast"/>
    <s v="OB/YS"/>
    <s v="Foraging"/>
    <s v="NA"/>
    <s v="unknown"/>
    <n v="0"/>
    <n v="0"/>
    <x v="0"/>
    <x v="0"/>
    <s v="NA"/>
    <s v="NA"/>
    <m/>
    <m/>
    <m/>
    <s v="NA"/>
    <s v="NA"/>
    <s v="NA"/>
    <s v="NA"/>
    <s v="NA"/>
    <s v="NA"/>
    <s v="NA"/>
    <m/>
    <n v="0"/>
    <n v="0"/>
    <n v="0"/>
    <n v="0"/>
    <n v="28"/>
    <n v="28"/>
    <s v="Searching"/>
    <m/>
    <m/>
    <m/>
  </r>
  <r>
    <s v="DSCN2958"/>
    <s v="WW0405_6"/>
    <n v="6"/>
    <n v="1"/>
    <s v="WAC West"/>
    <d v="2019-04-05T00:00:00"/>
    <x v="0"/>
    <m/>
    <d v="1899-12-30T00:44:00"/>
    <m/>
    <s v="BP/PS"/>
    <s v="Foraging"/>
    <s v="Spruce"/>
    <s v="unknown"/>
    <n v="0"/>
    <n v="0"/>
    <x v="0"/>
    <x v="0"/>
    <s v="NA"/>
    <s v="NA"/>
    <m/>
    <m/>
    <m/>
    <s v="NA"/>
    <s v="NA"/>
    <s v="NA"/>
    <s v="NA"/>
    <s v="NA"/>
    <s v="NA"/>
    <s v="NA"/>
    <m/>
    <n v="28"/>
    <n v="0"/>
    <n v="0"/>
    <n v="28"/>
    <n v="0"/>
    <n v="28"/>
    <s v="Searching/probing"/>
    <m/>
    <n v="1"/>
    <n v="0"/>
  </r>
  <r>
    <s v="DSCN3518"/>
    <s v="MC0424_25"/>
    <n v="25"/>
    <n v="1"/>
    <s v="Mercantile"/>
    <d v="2019-04-24T00:00:00"/>
    <x v="0"/>
    <m/>
    <d v="1899-12-30T00:32:00"/>
    <s v="Partly cloudy"/>
    <s v="BW/GS"/>
    <s v="Foraging"/>
    <s v="NA"/>
    <s v="unknown"/>
    <n v="0"/>
    <n v="0"/>
    <x v="0"/>
    <x v="0"/>
    <s v="NA"/>
    <s v="NA"/>
    <m/>
    <m/>
    <m/>
    <s v="NA"/>
    <s v="NA"/>
    <s v="NA"/>
    <s v="NA"/>
    <s v="NA"/>
    <s v="NA"/>
    <s v="NA"/>
    <s v="NA"/>
    <n v="0"/>
    <n v="0"/>
    <n v="0"/>
    <n v="0"/>
    <n v="28"/>
    <n v="28"/>
    <s v="Searching"/>
    <m/>
    <m/>
    <m/>
  </r>
  <r>
    <s v="DSCN2707"/>
    <s v="WW0330_6"/>
    <n v="6"/>
    <n v="1"/>
    <s v="WAC West"/>
    <d v="2019-03-30T00:00:00"/>
    <x v="1"/>
    <m/>
    <d v="1899-12-30T00:27:00"/>
    <m/>
    <s v="BP/PS"/>
    <s v="Foraging"/>
    <s v="NA"/>
    <n v="0"/>
    <n v="0"/>
    <n v="0"/>
    <x v="0"/>
    <x v="0"/>
    <s v="NA"/>
    <s v="NA"/>
    <m/>
    <m/>
    <m/>
    <s v="NA"/>
    <s v="NA"/>
    <s v="NA"/>
    <s v="NA"/>
    <s v="NA"/>
    <s v="NA"/>
    <s v="NA"/>
    <m/>
    <n v="0"/>
    <n v="0"/>
    <n v="0"/>
    <n v="0"/>
    <n v="27"/>
    <n v="27"/>
    <s v="Searching"/>
    <m/>
    <m/>
    <m/>
  </r>
  <r>
    <s v="DSCN3374"/>
    <s v="WW0422_17"/>
    <n v="17"/>
    <n v="1"/>
    <s v="WAC West"/>
    <d v="2019-04-22T00:00:00"/>
    <x v="0"/>
    <m/>
    <d v="1899-12-30T00:36:00"/>
    <s v="Partly cloudy"/>
    <s v="BP/PS"/>
    <s v="Foraging"/>
    <s v="NA"/>
    <n v="1"/>
    <n v="0"/>
    <n v="0"/>
    <x v="2"/>
    <x v="2"/>
    <s v="Ground"/>
    <s v="NA"/>
    <m/>
    <m/>
    <m/>
    <s v="NA"/>
    <s v="NA"/>
    <s v="NA"/>
    <s v="NA"/>
    <s v="NA"/>
    <s v="NA"/>
    <s v="NA"/>
    <s v="NA"/>
    <n v="0"/>
    <n v="0"/>
    <n v="0"/>
    <n v="0"/>
    <n v="27"/>
    <n v="27"/>
    <s v="Searching"/>
    <m/>
    <m/>
    <m/>
  </r>
  <r>
    <s v="DSCN2415"/>
    <s v="TAI0320_23"/>
    <n v="23"/>
    <n v="1"/>
    <s v="Taiga"/>
    <d v="2019-03-20T00:00:00"/>
    <x v="1"/>
    <m/>
    <d v="1899-12-30T00:27:00"/>
    <s v="Partly cloudy"/>
    <s v="OO/BS"/>
    <s v="Foraging"/>
    <s v="NA"/>
    <s v="unknown"/>
    <n v="0"/>
    <n v="0"/>
    <x v="0"/>
    <x v="0"/>
    <s v="NA"/>
    <s v="NA"/>
    <m/>
    <m/>
    <m/>
    <s v="NA"/>
    <s v="NA"/>
    <s v="NA"/>
    <s v="NA"/>
    <s v="NA"/>
    <m/>
    <m/>
    <m/>
    <n v="0"/>
    <n v="0"/>
    <n v="0"/>
    <n v="0"/>
    <n v="27"/>
    <n v="27"/>
    <s v="Searching"/>
    <m/>
    <m/>
    <m/>
  </r>
  <r>
    <s v="DSCN2567"/>
    <s v="WW0326_4"/>
    <n v="4"/>
    <n v="1"/>
    <s v="WAC West"/>
    <d v="2019-03-26T00:00:00"/>
    <x v="1"/>
    <m/>
    <d v="1899-12-30T00:34:00"/>
    <s v="Partly Sunny"/>
    <s v="BP/PS"/>
    <s v="Foraging"/>
    <s v="NA"/>
    <s v="unknown"/>
    <n v="0"/>
    <n v="0"/>
    <x v="0"/>
    <x v="0"/>
    <s v="NA"/>
    <s v="NA"/>
    <m/>
    <m/>
    <m/>
    <s v="NA"/>
    <s v="NA"/>
    <s v="NA"/>
    <s v="NA"/>
    <s v="NA"/>
    <m/>
    <m/>
    <m/>
    <n v="0"/>
    <n v="0"/>
    <n v="0"/>
    <n v="0"/>
    <n v="27"/>
    <n v="27"/>
    <s v="Searching"/>
    <m/>
    <m/>
    <m/>
  </r>
  <r>
    <s v="DSCN2980"/>
    <s v="WW0405_23"/>
    <n v="23"/>
    <n v="1"/>
    <s v="WAC West"/>
    <d v="2019-04-05T00:00:00"/>
    <x v="0"/>
    <m/>
    <d v="1899-12-30T00:27:00"/>
    <m/>
    <s v="BP/PS"/>
    <s v="Foraging"/>
    <s v="NA"/>
    <s v="unknown"/>
    <n v="0"/>
    <n v="0"/>
    <x v="0"/>
    <x v="0"/>
    <s v="NA"/>
    <s v="NA"/>
    <m/>
    <m/>
    <m/>
    <s v="NA"/>
    <s v="NA"/>
    <s v="NA"/>
    <s v="NA"/>
    <s v="NA"/>
    <s v="NA"/>
    <s v="NA"/>
    <m/>
    <n v="0"/>
    <n v="0"/>
    <n v="0"/>
    <n v="0"/>
    <n v="27"/>
    <n v="27"/>
    <s v="Searching"/>
    <m/>
    <m/>
    <m/>
  </r>
  <r>
    <s v="DSCN3507"/>
    <s v="MC0424_18"/>
    <n v="18"/>
    <n v="1"/>
    <s v="Mercantile"/>
    <d v="2019-04-24T00:00:00"/>
    <x v="0"/>
    <m/>
    <d v="1899-12-30T00:27:00"/>
    <s v="Partly cloudy"/>
    <s v="BW/GS"/>
    <s v="Foraging"/>
    <s v="NA"/>
    <s v="unknown"/>
    <n v="0"/>
    <n v="0"/>
    <x v="0"/>
    <x v="0"/>
    <s v="NA"/>
    <s v="NA"/>
    <m/>
    <m/>
    <m/>
    <s v="NA"/>
    <s v="NA"/>
    <s v="NA"/>
    <s v="NA"/>
    <s v="NA"/>
    <s v="NA"/>
    <s v="NA"/>
    <s v="NA"/>
    <n v="0"/>
    <n v="0"/>
    <n v="0"/>
    <n v="0"/>
    <n v="27"/>
    <n v="27"/>
    <s v="Searching"/>
    <m/>
    <m/>
    <m/>
  </r>
  <r>
    <s v="DSCN3555"/>
    <s v="CC0425_24"/>
    <n v="24"/>
    <n v="1"/>
    <s v="CCAMP"/>
    <d v="2019-04-25T00:00:00"/>
    <x v="0"/>
    <m/>
    <d v="1899-12-30T00:27:00"/>
    <s v="Partly cloudy"/>
    <s v="GB/BS"/>
    <s v="Foraging"/>
    <s v="NA"/>
    <s v="unknown"/>
    <n v="0"/>
    <n v="0"/>
    <x v="0"/>
    <x v="0"/>
    <s v="NA"/>
    <s v="NA"/>
    <m/>
    <m/>
    <m/>
    <s v="NA"/>
    <s v="NA"/>
    <s v="NA"/>
    <s v="NA"/>
    <s v="NA"/>
    <s v="NA"/>
    <s v="NA"/>
    <s v="NA"/>
    <n v="0"/>
    <n v="0"/>
    <n v="0"/>
    <n v="0"/>
    <n v="27"/>
    <n v="27"/>
    <s v="Searching"/>
    <m/>
    <m/>
    <m/>
  </r>
  <r>
    <s v="DSCN3906"/>
    <s v="BU0508_1"/>
    <n v="1"/>
    <n v="1"/>
    <s v="B&amp;U"/>
    <d v="2019-05-08T00:00:00"/>
    <x v="2"/>
    <m/>
    <d v="1899-12-30T00:27:00"/>
    <s v="Overcast, light rain"/>
    <s v="WP/BS"/>
    <s v="Foraging"/>
    <s v="NA"/>
    <s v="unknown"/>
    <n v="0"/>
    <n v="0"/>
    <x v="0"/>
    <x v="0"/>
    <s v="NA"/>
    <s v="NA"/>
    <m/>
    <m/>
    <m/>
    <s v="NA"/>
    <s v="NA"/>
    <s v="NA"/>
    <s v="NA"/>
    <s v="NA"/>
    <s v="NA"/>
    <s v="NA"/>
    <s v="NA"/>
    <n v="0"/>
    <n v="0"/>
    <n v="0"/>
    <n v="0"/>
    <n v="27"/>
    <n v="27"/>
    <s v="Searching"/>
    <m/>
    <m/>
    <m/>
  </r>
  <r>
    <s v="DSCN2583"/>
    <s v="BU0327_4"/>
    <n v="4"/>
    <n v="1"/>
    <s v="B&amp;U"/>
    <d v="2019-03-27T00:00:00"/>
    <x v="1"/>
    <m/>
    <d v="1899-12-30T00:26:00"/>
    <s v="Overcast"/>
    <s v="GR/PS"/>
    <s v="Foraging"/>
    <s v="NA"/>
    <n v="1"/>
    <n v="0"/>
    <n v="0"/>
    <x v="3"/>
    <x v="8"/>
    <s v="Ground"/>
    <s v="NA"/>
    <m/>
    <m/>
    <m/>
    <s v="NA"/>
    <s v="NA"/>
    <s v="NA"/>
    <s v="NA"/>
    <s v="NA"/>
    <s v="NA"/>
    <s v="NA"/>
    <m/>
    <n v="0"/>
    <n v="0"/>
    <n v="0"/>
    <n v="0"/>
    <n v="26"/>
    <n v="26"/>
    <s v="Searching"/>
    <m/>
    <m/>
    <m/>
  </r>
  <r>
    <s v="DSCN2612"/>
    <s v="MC0327_2"/>
    <n v="2"/>
    <n v="1"/>
    <s v="M4Roadside"/>
    <d v="2019-03-27T00:00:00"/>
    <x v="1"/>
    <m/>
    <d v="1899-12-30T00:26:00"/>
    <m/>
    <s v="WO/OS"/>
    <s v="Foraging"/>
    <s v="Spruce"/>
    <n v="0"/>
    <n v="0"/>
    <n v="0"/>
    <x v="0"/>
    <x v="0"/>
    <s v="NA"/>
    <s v="NA"/>
    <m/>
    <m/>
    <m/>
    <s v="NA"/>
    <s v="NA"/>
    <s v="NA"/>
    <s v="NA"/>
    <s v="NA"/>
    <s v="NA"/>
    <s v="NA"/>
    <m/>
    <n v="0"/>
    <n v="26"/>
    <n v="0"/>
    <n v="26"/>
    <n v="0"/>
    <n v="26"/>
    <s v="Searching"/>
    <m/>
    <m/>
    <m/>
  </r>
  <r>
    <s v="DSCN3243"/>
    <s v="AQ0417_5"/>
    <n v="5"/>
    <n v="1"/>
    <s v="Air Quality"/>
    <d v="2019-04-17T00:00:00"/>
    <x v="0"/>
    <m/>
    <d v="1899-12-30T00:29:00"/>
    <s v="Overcast, light snow"/>
    <s v="PG/PS"/>
    <s v="Foraging"/>
    <s v="Spruce"/>
    <n v="0"/>
    <n v="0"/>
    <n v="0"/>
    <x v="0"/>
    <x v="0"/>
    <s v="NA"/>
    <s v="NA"/>
    <m/>
    <m/>
    <m/>
    <s v="NA"/>
    <s v="NA"/>
    <s v="NA"/>
    <s v="NA"/>
    <s v="NA"/>
    <s v="NA"/>
    <s v="NA"/>
    <s v="NA"/>
    <n v="26"/>
    <n v="0"/>
    <n v="0"/>
    <n v="26"/>
    <n v="0"/>
    <n v="26"/>
    <s v="Searching"/>
    <m/>
    <m/>
    <m/>
  </r>
  <r>
    <s v="DSCN3325"/>
    <s v="BU0418_2"/>
    <n v="2"/>
    <n v="1"/>
    <s v="B&amp;U"/>
    <d v="2019-04-18T00:00:00"/>
    <x v="0"/>
    <m/>
    <d v="1899-12-30T01:01:00"/>
    <s v="Light snow"/>
    <s v="GR/PS"/>
    <s v="Foraging"/>
    <s v="NA"/>
    <n v="1"/>
    <n v="0"/>
    <s v="Unknown"/>
    <x v="3"/>
    <x v="6"/>
    <s v="Ground"/>
    <s v="NA"/>
    <m/>
    <m/>
    <m/>
    <s v="NA"/>
    <s v="NA"/>
    <s v="NA"/>
    <s v="NA"/>
    <s v="NA"/>
    <s v="NA"/>
    <s v="NA"/>
    <s v="NA"/>
    <n v="0"/>
    <n v="0"/>
    <n v="0"/>
    <n v="0"/>
    <n v="26"/>
    <n v="26"/>
    <s v="Searching"/>
    <m/>
    <m/>
    <m/>
  </r>
  <r>
    <s v="DSCN3393"/>
    <s v="CC0422_2"/>
    <n v="2"/>
    <n v="1"/>
    <s v="CCAMP"/>
    <d v="2019-04-22T00:00:00"/>
    <x v="0"/>
    <m/>
    <d v="1899-12-30T00:26:00"/>
    <s v="Partly cloudy"/>
    <s v="GB/BS"/>
    <s v="Foraging"/>
    <s v="NA"/>
    <n v="1"/>
    <n v="0"/>
    <n v="0"/>
    <x v="1"/>
    <x v="7"/>
    <s v="Ground"/>
    <s v="NA"/>
    <m/>
    <m/>
    <m/>
    <s v="NA"/>
    <s v="NA"/>
    <s v="NA"/>
    <s v="NA"/>
    <s v="NA"/>
    <s v="NA"/>
    <s v="NA"/>
    <s v="NA"/>
    <n v="0"/>
    <n v="0"/>
    <n v="0"/>
    <n v="0"/>
    <n v="26"/>
    <n v="26"/>
    <s v="Searching"/>
    <m/>
    <m/>
    <m/>
  </r>
  <r>
    <s v="DSCN3362"/>
    <s v="WW0422_7"/>
    <n v="7"/>
    <n v="1"/>
    <s v="WAC West"/>
    <d v="2019-04-22T00:00:00"/>
    <x v="0"/>
    <m/>
    <d v="1899-12-30T00:26:00"/>
    <s v="Partly cloudy"/>
    <s v="BP/PS"/>
    <s v="Foraging"/>
    <s v="NA"/>
    <n v="1"/>
    <n v="0"/>
    <n v="0"/>
    <x v="1"/>
    <x v="1"/>
    <s v="Ground"/>
    <s v="NA"/>
    <m/>
    <m/>
    <m/>
    <s v="NA"/>
    <s v="NA"/>
    <s v="NA"/>
    <s v="NA"/>
    <s v="NA"/>
    <s v="NA"/>
    <s v="NA"/>
    <s v="NA"/>
    <n v="0"/>
    <n v="0"/>
    <n v="0"/>
    <n v="0"/>
    <n v="26"/>
    <n v="26"/>
    <s v="Searching"/>
    <m/>
    <m/>
    <m/>
  </r>
  <r>
    <s v="DSCN3380"/>
    <s v="WW0422_22"/>
    <n v="22"/>
    <n v="1"/>
    <s v="WAC West"/>
    <d v="2019-04-22T00:00:00"/>
    <x v="0"/>
    <m/>
    <d v="1899-12-30T00:26:00"/>
    <s v="Partly cloudy"/>
    <s v="BP/PS"/>
    <s v="Foraging"/>
    <s v="NA"/>
    <n v="0"/>
    <n v="0"/>
    <n v="0"/>
    <x v="0"/>
    <x v="0"/>
    <s v="NA"/>
    <s v="NA"/>
    <m/>
    <m/>
    <m/>
    <s v="NA"/>
    <s v="NA"/>
    <s v="NA"/>
    <s v="NA"/>
    <s v="NA"/>
    <s v="NA"/>
    <s v="NA"/>
    <s v="NA"/>
    <n v="0"/>
    <n v="0"/>
    <n v="0"/>
    <n v="0"/>
    <n v="26"/>
    <n v="26"/>
    <s v="Searching"/>
    <m/>
    <m/>
    <m/>
  </r>
  <r>
    <s v="DSCN3596"/>
    <s v="AQ0426_3"/>
    <n v="3"/>
    <n v="1"/>
    <s v="Air Quality"/>
    <d v="2019-04-26T00:00:00"/>
    <x v="0"/>
    <m/>
    <d v="1899-12-30T00:32:00"/>
    <m/>
    <s v="PG/PS"/>
    <s v="Foraging"/>
    <s v="Spruce"/>
    <n v="1"/>
    <n v="1"/>
    <n v="0"/>
    <x v="2"/>
    <x v="2"/>
    <s v="Exterior spruce branch inder bark"/>
    <s v="NA"/>
    <m/>
    <m/>
    <m/>
    <s v="NA"/>
    <s v="NA"/>
    <s v="NA"/>
    <s v="NA"/>
    <s v="NA"/>
    <n v="63.725070000000002"/>
    <n v="148.96459999999999"/>
    <s v="NA"/>
    <n v="26"/>
    <n v="0"/>
    <n v="0"/>
    <n v="26"/>
    <n v="0"/>
    <n v="26"/>
    <s v="Searching"/>
    <s v="Recovered cache and ate snow. "/>
    <n v="1"/>
    <n v="0"/>
  </r>
  <r>
    <s v="DSCN3671"/>
    <s v="M4R0430_17"/>
    <n v="17"/>
    <n v="1"/>
    <s v="M4Roadside"/>
    <d v="2019-04-30T00:00:00"/>
    <x v="0"/>
    <m/>
    <d v="1899-12-30T00:26:00"/>
    <s v="Clear, full sun"/>
    <s v="YO/BS"/>
    <s v="Foraging"/>
    <s v="NA"/>
    <n v="1"/>
    <n v="0"/>
    <n v="0"/>
    <x v="2"/>
    <x v="2"/>
    <s v="Ground"/>
    <s v="NA"/>
    <m/>
    <m/>
    <m/>
    <s v="NA"/>
    <s v="NA"/>
    <s v="NA"/>
    <s v="NA"/>
    <s v="NA"/>
    <s v="NA"/>
    <s v="NA"/>
    <s v="NA"/>
    <n v="0"/>
    <n v="0"/>
    <n v="0"/>
    <n v="0"/>
    <n v="26"/>
    <n v="26"/>
    <s v="Searching"/>
    <m/>
    <m/>
    <m/>
  </r>
  <r>
    <s v="DSCN2516"/>
    <s v="M4R0325_9"/>
    <n v="9"/>
    <n v="1"/>
    <s v="M4Roadside"/>
    <d v="2019-03-25T00:00:00"/>
    <x v="1"/>
    <m/>
    <d v="1899-12-30T00:26:00"/>
    <s v="Overcast"/>
    <s v="YO/BS"/>
    <s v="Foraging"/>
    <s v="NA"/>
    <s v="unknown"/>
    <n v="0"/>
    <n v="0"/>
    <x v="0"/>
    <x v="0"/>
    <s v="NA"/>
    <s v="NA"/>
    <m/>
    <m/>
    <m/>
    <s v="NA"/>
    <s v="NA"/>
    <s v="NA"/>
    <s v="NA"/>
    <s v="NA"/>
    <m/>
    <m/>
    <m/>
    <n v="0"/>
    <n v="0"/>
    <n v="0"/>
    <n v="0"/>
    <n v="26"/>
    <n v="26"/>
    <s v="Searching"/>
    <m/>
    <m/>
    <m/>
  </r>
  <r>
    <s v="DSCN3035"/>
    <s v="M4R0409_10"/>
    <n v="10"/>
    <n v="1"/>
    <s v="M4Roadside"/>
    <d v="2019-04-09T00:00:00"/>
    <x v="0"/>
    <m/>
    <d v="1899-12-30T00:26:00"/>
    <m/>
    <s v="OB/YS"/>
    <s v="Foraging"/>
    <s v="NA"/>
    <s v="unknown"/>
    <n v="0"/>
    <n v="0"/>
    <x v="0"/>
    <x v="0"/>
    <s v="NA"/>
    <s v="NA"/>
    <m/>
    <m/>
    <m/>
    <s v="NA"/>
    <s v="NA"/>
    <s v="NA"/>
    <s v="NA"/>
    <s v="NA"/>
    <s v="NA"/>
    <s v="NA"/>
    <m/>
    <n v="0"/>
    <n v="0"/>
    <n v="0"/>
    <n v="0"/>
    <n v="26"/>
    <n v="26"/>
    <s v="Searching"/>
    <m/>
    <m/>
    <m/>
  </r>
  <r>
    <s v="DSCN3049"/>
    <s v="UNK0411_4"/>
    <n v="4"/>
    <n v="1"/>
    <s v="Unknown"/>
    <d v="2019-04-11T00:00:00"/>
    <x v="0"/>
    <m/>
    <d v="1899-12-30T00:26:00"/>
    <m/>
    <s v="unbanded"/>
    <s v="Foraging"/>
    <s v="Spruce"/>
    <s v="unknown"/>
    <s v="unknown"/>
    <n v="0"/>
    <x v="0"/>
    <x v="0"/>
    <s v="NA"/>
    <s v="NA"/>
    <m/>
    <m/>
    <m/>
    <s v="NA"/>
    <s v="NA"/>
    <s v="NA"/>
    <s v="NA"/>
    <s v="NA"/>
    <s v="NA"/>
    <s v="NA"/>
    <m/>
    <n v="0"/>
    <n v="26"/>
    <n v="0"/>
    <n v="26"/>
    <n v="0"/>
    <n v="26"/>
    <s v="Searching"/>
    <m/>
    <m/>
    <m/>
  </r>
  <r>
    <s v="DSCN3210"/>
    <s v="M4R0417_2"/>
    <n v="2"/>
    <n v="1"/>
    <s v="M4Roadside"/>
    <d v="2019-04-17T00:00:00"/>
    <x v="0"/>
    <m/>
    <d v="1899-12-30T00:37:00"/>
    <s v="Overcast, light snow"/>
    <s v="YO/BS"/>
    <s v="Foraging"/>
    <s v="Spruce"/>
    <s v="unknown"/>
    <s v="unknown"/>
    <n v="0"/>
    <x v="0"/>
    <x v="0"/>
    <s v="NA"/>
    <s v="NA"/>
    <m/>
    <m/>
    <m/>
    <s v="NA"/>
    <s v="NA"/>
    <s v="NA"/>
    <s v="NA"/>
    <s v="NA"/>
    <s v="NA"/>
    <s v="NA"/>
    <m/>
    <n v="26"/>
    <n v="0"/>
    <n v="26"/>
    <n v="0"/>
    <n v="0"/>
    <n v="26"/>
    <s v="Probing"/>
    <m/>
    <n v="4"/>
    <n v="0"/>
  </r>
  <r>
    <s v="DSCN3284"/>
    <s v="MC0418_3"/>
    <n v="3"/>
    <n v="1"/>
    <s v="Mercantile"/>
    <d v="2019-04-18T00:00:00"/>
    <x v="0"/>
    <m/>
    <d v="1899-12-30T00:26:00"/>
    <s v="Overcast"/>
    <s v="BW/GS"/>
    <s v="Foraging"/>
    <s v="Spruce"/>
    <s v="unknown"/>
    <s v="unknown"/>
    <n v="0"/>
    <x v="0"/>
    <x v="0"/>
    <s v="NA"/>
    <s v="NA"/>
    <m/>
    <m/>
    <m/>
    <s v="NA"/>
    <s v="NA"/>
    <s v="NA"/>
    <s v="NA"/>
    <s v="NA"/>
    <s v="NA"/>
    <s v="NA"/>
    <s v="NA"/>
    <n v="26"/>
    <n v="0"/>
    <n v="26"/>
    <n v="0"/>
    <n v="0"/>
    <n v="26"/>
    <s v="Probing"/>
    <m/>
    <n v="1"/>
    <n v="0"/>
  </r>
  <r>
    <s v="DSCN3530"/>
    <s v="CC0425_6"/>
    <n v="6"/>
    <n v="1"/>
    <s v="CCAMP"/>
    <d v="2019-04-25T00:00:00"/>
    <x v="0"/>
    <m/>
    <d v="1899-12-30T00:26:00"/>
    <s v="Partly cloudy"/>
    <s v="GB/BS"/>
    <s v="Foraging"/>
    <s v="NA"/>
    <s v="unknown"/>
    <n v="0"/>
    <n v="0"/>
    <x v="0"/>
    <x v="0"/>
    <s v="NA"/>
    <s v="NA"/>
    <m/>
    <m/>
    <m/>
    <s v="NA"/>
    <s v="NA"/>
    <s v="NA"/>
    <s v="NA"/>
    <s v="NA"/>
    <s v="NA"/>
    <s v="NA"/>
    <s v="NA"/>
    <n v="0"/>
    <n v="0"/>
    <n v="0"/>
    <n v="0"/>
    <n v="26"/>
    <n v="26"/>
    <s v="Searching"/>
    <m/>
    <m/>
    <m/>
  </r>
  <r>
    <s v="DSCN2395"/>
    <s v="TAI0320_12"/>
    <n v="12"/>
    <n v="1"/>
    <s v="Taiga"/>
    <d v="2019-03-20T00:00:00"/>
    <x v="1"/>
    <m/>
    <d v="1899-12-30T00:25:00"/>
    <s v="Partly cloudy"/>
    <s v="OO/BS"/>
    <s v="Foraging"/>
    <s v="NA"/>
    <n v="0"/>
    <n v="0"/>
    <n v="0"/>
    <x v="0"/>
    <x v="0"/>
    <s v="NA"/>
    <s v="NA"/>
    <m/>
    <m/>
    <m/>
    <s v="NA"/>
    <s v="NA"/>
    <s v="NA"/>
    <s v="NA"/>
    <s v="NA"/>
    <m/>
    <m/>
    <m/>
    <n v="0"/>
    <n v="0"/>
    <n v="0"/>
    <n v="0"/>
    <n v="25"/>
    <n v="25"/>
    <s v="Searching"/>
    <m/>
    <n v="0"/>
    <n v="0"/>
  </r>
  <r>
    <s v="DSCN2601"/>
    <s v="M4R0237_6"/>
    <n v="6"/>
    <n v="1"/>
    <s v="M4Roadside"/>
    <d v="2019-03-27T00:00:00"/>
    <x v="1"/>
    <m/>
    <d v="1899-12-30T01:02:00"/>
    <s v="Overcast"/>
    <s v="YO/BS"/>
    <s v="Food handling/Foraging"/>
    <s v="Spruce"/>
    <n v="1"/>
    <s v="unknown"/>
    <n v="0"/>
    <x v="2"/>
    <x v="2"/>
    <s v="unknown"/>
    <s v="NA"/>
    <m/>
    <m/>
    <m/>
    <s v="NA"/>
    <s v="NA"/>
    <s v="NA"/>
    <s v="NA"/>
    <s v="NA"/>
    <s v="NA"/>
    <s v="NA"/>
    <m/>
    <n v="0"/>
    <n v="0"/>
    <n v="0"/>
    <n v="0"/>
    <n v="25"/>
    <n v="25"/>
    <s v="Searching"/>
    <m/>
    <m/>
    <m/>
  </r>
  <r>
    <s v="DSCN2674"/>
    <s v="M2370330_5"/>
    <n v="5"/>
    <n v="2"/>
    <s v="Mile 237"/>
    <d v="2019-03-30T00:00:00"/>
    <x v="1"/>
    <m/>
    <d v="1899-12-30T00:31:00"/>
    <m/>
    <s v="YP/RS"/>
    <s v="Foraging"/>
    <s v="Spruce"/>
    <n v="1"/>
    <n v="0"/>
    <n v="0"/>
    <x v="5"/>
    <x v="19"/>
    <s v="Exterior spruce foliage"/>
    <s v="NA"/>
    <m/>
    <m/>
    <m/>
    <s v="NA"/>
    <s v="NA"/>
    <s v="NA"/>
    <s v="NA"/>
    <s v="NA"/>
    <s v="NA"/>
    <s v="NA"/>
    <m/>
    <n v="0"/>
    <n v="25"/>
    <n v="0"/>
    <n v="25"/>
    <n v="0"/>
    <n v="25"/>
    <s v="Searching"/>
    <s v="Grabbed cone and seemed to hammer at it. "/>
    <m/>
    <m/>
  </r>
  <r>
    <s v="DSCN2819"/>
    <s v="M2370403_1"/>
    <n v="1"/>
    <n v="1"/>
    <s v="Mile 237"/>
    <d v="2019-04-03T00:00:00"/>
    <x v="0"/>
    <m/>
    <d v="1899-12-30T00:54:00"/>
    <m/>
    <s v="YP/RS"/>
    <s v="Food handling/Foraging"/>
    <s v="Spruce"/>
    <n v="1"/>
    <s v="unknown"/>
    <n v="0"/>
    <x v="2"/>
    <x v="2"/>
    <s v="Exterior bare spruce branch"/>
    <s v="NA"/>
    <m/>
    <m/>
    <m/>
    <s v="NA"/>
    <s v="NA"/>
    <s v="NA"/>
    <s v="NA"/>
    <s v="NA"/>
    <s v="NA"/>
    <s v="NA"/>
    <m/>
    <n v="25"/>
    <n v="0"/>
    <n v="0"/>
    <n v="25"/>
    <n v="0"/>
    <n v="25"/>
    <s v="Searching"/>
    <m/>
    <m/>
    <m/>
  </r>
  <r>
    <s v="DSCN3230"/>
    <s v="M4R0417_12"/>
    <n v="12"/>
    <n v="1"/>
    <s v="M4Roadside"/>
    <d v="2019-04-17T00:00:00"/>
    <x v="0"/>
    <m/>
    <d v="1899-12-30T01:51:00"/>
    <s v="Overcast, light snow"/>
    <s v="YO/BS"/>
    <s v="Food handling/Foraging"/>
    <s v="Spruce"/>
    <n v="0"/>
    <n v="0"/>
    <n v="0"/>
    <x v="1"/>
    <x v="7"/>
    <s v="NA"/>
    <s v="NA"/>
    <m/>
    <m/>
    <m/>
    <s v="NA"/>
    <s v="NA"/>
    <s v="NA"/>
    <s v="NA"/>
    <s v="NA"/>
    <s v="NA"/>
    <s v="NA"/>
    <m/>
    <n v="25"/>
    <n v="0"/>
    <n v="25"/>
    <n v="0"/>
    <n v="0"/>
    <n v="25"/>
    <m/>
    <s v="Could have been looking for a place to cache"/>
    <m/>
    <m/>
  </r>
  <r>
    <s v="DSCN3341"/>
    <s v="M4R0419_4"/>
    <n v="4"/>
    <n v="1"/>
    <s v="M4Roadside"/>
    <d v="2019-04-19T00:00:00"/>
    <x v="0"/>
    <m/>
    <d v="1899-12-30T00:29:00"/>
    <s v="Partly cloudy"/>
    <s v="YO/BS"/>
    <s v="Foraging"/>
    <s v="Spruce"/>
    <n v="1"/>
    <s v="unknown"/>
    <n v="0"/>
    <x v="2"/>
    <x v="2"/>
    <s v="Interior spruce foliage "/>
    <m/>
    <m/>
    <m/>
    <m/>
    <s v="NA"/>
    <s v="NA"/>
    <s v="NA"/>
    <s v="NA"/>
    <s v="NA"/>
    <s v="NA"/>
    <s v="NA"/>
    <s v="NA"/>
    <n v="0"/>
    <n v="25"/>
    <n v="25"/>
    <n v="0"/>
    <n v="0"/>
    <n v="25"/>
    <s v="Searching"/>
    <m/>
    <m/>
    <m/>
  </r>
  <r>
    <s v="DSCN3375"/>
    <s v="WW0422_18"/>
    <n v="18"/>
    <n v="1"/>
    <s v="WAC West"/>
    <d v="2019-04-22T00:00:00"/>
    <x v="0"/>
    <m/>
    <d v="1899-12-30T02:05:00"/>
    <s v="Partly cloudy"/>
    <s v="BP/PS"/>
    <s v="Foraging"/>
    <s v="NA"/>
    <n v="1"/>
    <n v="0"/>
    <n v="0"/>
    <x v="1"/>
    <x v="1"/>
    <s v="Exterior aspen branch"/>
    <s v="NA"/>
    <m/>
    <m/>
    <m/>
    <s v="NA"/>
    <s v="NA"/>
    <s v="NA"/>
    <s v="NA"/>
    <s v="NA"/>
    <s v="NA"/>
    <s v="NA"/>
    <s v="NA"/>
    <n v="0"/>
    <n v="0"/>
    <n v="0"/>
    <n v="0"/>
    <n v="25"/>
    <n v="25"/>
    <s v="Searching"/>
    <m/>
    <m/>
    <m/>
  </r>
  <r>
    <s v="DSCN3853"/>
    <s v="WW0503_2"/>
    <n v="2"/>
    <n v="1"/>
    <s v="WAC West"/>
    <d v="2019-05-03T00:00:00"/>
    <x v="2"/>
    <m/>
    <d v="1899-12-30T00:27:00"/>
    <s v="Mostly cloudy"/>
    <s v="BP/PS"/>
    <s v="Foraging"/>
    <s v="NA"/>
    <n v="2"/>
    <n v="0"/>
    <n v="0"/>
    <x v="2"/>
    <x v="2"/>
    <s v="Ground"/>
    <s v="NA"/>
    <m/>
    <m/>
    <m/>
    <s v="NA"/>
    <s v="NA"/>
    <s v="NA"/>
    <s v="NA"/>
    <s v="NA"/>
    <s v="NA"/>
    <s v="NA"/>
    <s v="NA"/>
    <n v="0"/>
    <n v="0"/>
    <n v="0"/>
    <n v="0"/>
    <n v="25"/>
    <n v="25"/>
    <s v="Searching"/>
    <m/>
    <m/>
    <m/>
  </r>
  <r>
    <s v="DSCN3935"/>
    <s v="M2370508_5"/>
    <n v="5"/>
    <n v="1"/>
    <s v="Mile 237"/>
    <d v="2019-05-08T00:00:00"/>
    <x v="2"/>
    <m/>
    <d v="1899-12-30T00:24:00"/>
    <s v="Overcast"/>
    <s v="YP/RS"/>
    <s v="Foraging"/>
    <s v="NA"/>
    <n v="1"/>
    <n v="0"/>
    <n v="0"/>
    <x v="2"/>
    <x v="2"/>
    <s v="Ground"/>
    <s v="NA"/>
    <m/>
    <m/>
    <m/>
    <s v="NA"/>
    <s v="NA"/>
    <s v="NA"/>
    <s v="NA"/>
    <s v="NA"/>
    <s v="NA"/>
    <s v="NA"/>
    <s v="NA"/>
    <n v="0"/>
    <n v="0"/>
    <n v="0"/>
    <n v="0"/>
    <n v="25"/>
    <n v="25"/>
    <m/>
    <s v="We didn't count the other two acquisitions as food because we suspected he was drinking. "/>
    <m/>
    <m/>
  </r>
  <r>
    <s v="DSCN2596"/>
    <s v="M4R0327_3"/>
    <n v="3"/>
    <n v="1"/>
    <s v="M4Roadside"/>
    <d v="2019-03-27T00:00:00"/>
    <x v="1"/>
    <m/>
    <d v="1899-12-30T00:25:00"/>
    <s v="Overcast"/>
    <s v="OB/YS"/>
    <s v="Foraging"/>
    <s v="NA"/>
    <s v="unknown"/>
    <n v="0"/>
    <n v="0"/>
    <x v="0"/>
    <x v="0"/>
    <s v="NA"/>
    <s v="NA"/>
    <m/>
    <m/>
    <m/>
    <s v="NA"/>
    <s v="NA"/>
    <s v="NA"/>
    <s v="NA"/>
    <s v="NA"/>
    <s v="NA"/>
    <s v="NA"/>
    <m/>
    <n v="0"/>
    <n v="0"/>
    <n v="0"/>
    <n v="0"/>
    <n v="25"/>
    <n v="25"/>
    <s v="Searching"/>
    <m/>
    <m/>
    <m/>
  </r>
  <r>
    <s v="DSCN3353"/>
    <s v="WW0422_2"/>
    <n v="2"/>
    <n v="1"/>
    <s v="WAC West"/>
    <d v="2019-04-22T00:00:00"/>
    <x v="0"/>
    <m/>
    <d v="1899-12-30T00:38:00"/>
    <s v="Partly cloudy"/>
    <s v="BP/PS"/>
    <s v="Foraging"/>
    <s v="NA"/>
    <s v="unknown"/>
    <n v="0"/>
    <n v="0"/>
    <x v="0"/>
    <x v="0"/>
    <s v="NA"/>
    <s v="NA"/>
    <m/>
    <m/>
    <m/>
    <s v="NA"/>
    <s v="NA"/>
    <s v="NA"/>
    <s v="NA"/>
    <s v="NA"/>
    <s v="NA"/>
    <s v="NA"/>
    <s v="NA"/>
    <n v="0"/>
    <n v="0"/>
    <n v="0"/>
    <n v="0"/>
    <n v="25"/>
    <n v="25"/>
    <s v="Searching"/>
    <s v="Goes to ground but not sure if acquires anything"/>
    <n v="0"/>
    <n v="0"/>
  </r>
  <r>
    <s v="DSCN3470"/>
    <s v="BU0424_11"/>
    <n v="11"/>
    <n v="1"/>
    <s v="B&amp;U"/>
    <d v="2019-04-24T00:00:00"/>
    <x v="0"/>
    <m/>
    <d v="1899-12-30T00:28:00"/>
    <s v="Partly cloudy"/>
    <s v="GR/PS"/>
    <s v="Foraging"/>
    <s v="Spruce"/>
    <s v="unknown"/>
    <s v="unknown"/>
    <n v="0"/>
    <x v="0"/>
    <x v="0"/>
    <s v="NA"/>
    <s v="NA"/>
    <m/>
    <m/>
    <m/>
    <s v="NA"/>
    <s v="NA"/>
    <s v="NA"/>
    <s v="NA"/>
    <s v="NA"/>
    <s v="NA"/>
    <s v="NA"/>
    <s v="NA"/>
    <n v="25"/>
    <n v="0"/>
    <n v="16"/>
    <n v="9"/>
    <n v="0"/>
    <n v="25"/>
    <s v="Searching"/>
    <m/>
    <m/>
    <m/>
  </r>
  <r>
    <s v="DSCN3458"/>
    <s v="BU0424_3"/>
    <n v="3"/>
    <n v="1"/>
    <s v="B&amp;U"/>
    <d v="2019-04-24T00:00:00"/>
    <x v="0"/>
    <m/>
    <d v="1899-12-30T00:25:00"/>
    <s v="Partly cloudy"/>
    <s v="GR/PS"/>
    <s v="Foraging"/>
    <s v="NA"/>
    <s v="unknown"/>
    <n v="0"/>
    <n v="0"/>
    <x v="0"/>
    <x v="0"/>
    <s v="NA"/>
    <s v="NA"/>
    <m/>
    <m/>
    <m/>
    <s v="NA"/>
    <s v="NA"/>
    <s v="NA"/>
    <s v="NA"/>
    <s v="NA"/>
    <s v="NA"/>
    <s v="NA"/>
    <s v="NA"/>
    <n v="0"/>
    <n v="0"/>
    <n v="0"/>
    <n v="0"/>
    <n v="25"/>
    <n v="25"/>
    <m/>
    <m/>
    <m/>
    <m/>
  </r>
  <r>
    <s v="DSCN3672"/>
    <s v="M4R0430_18"/>
    <n v="18"/>
    <n v="1"/>
    <s v="M4Roadside"/>
    <d v="2019-04-30T00:00:00"/>
    <x v="0"/>
    <m/>
    <d v="1899-12-30T00:25:00"/>
    <s v="Clear, full sun"/>
    <s v="YO/BS"/>
    <s v="Foraging"/>
    <s v="NA"/>
    <s v="unknown"/>
    <n v="0"/>
    <n v="0"/>
    <x v="0"/>
    <x v="0"/>
    <s v="NA"/>
    <s v="NA"/>
    <m/>
    <m/>
    <m/>
    <s v="NA"/>
    <s v="NA"/>
    <s v="NA"/>
    <s v="NA"/>
    <s v="NA"/>
    <s v="NA"/>
    <s v="NA"/>
    <s v="NA"/>
    <n v="0"/>
    <n v="0"/>
    <n v="0"/>
    <n v="0"/>
    <n v="25"/>
    <n v="25"/>
    <s v="Searching"/>
    <m/>
    <m/>
    <m/>
  </r>
  <r>
    <s v="DSCN2519"/>
    <s v="M4R0325_12"/>
    <n v="12"/>
    <n v="1"/>
    <s v="M4Roadside"/>
    <d v="2019-03-25T00:00:00"/>
    <x v="1"/>
    <m/>
    <d v="1899-12-30T00:24:00"/>
    <s v="Mostly sunny"/>
    <s v="YO/BS"/>
    <s v="Foraging"/>
    <s v="NA"/>
    <n v="1"/>
    <n v="0"/>
    <n v="0"/>
    <x v="3"/>
    <x v="8"/>
    <s v="Ground"/>
    <s v="NA"/>
    <m/>
    <m/>
    <m/>
    <s v="NA"/>
    <s v="NA"/>
    <s v="NA"/>
    <s v="NA"/>
    <s v="NA"/>
    <m/>
    <m/>
    <m/>
    <n v="0"/>
    <n v="0"/>
    <n v="0"/>
    <n v="0"/>
    <n v="24"/>
    <n v="24"/>
    <s v="Searching"/>
    <m/>
    <m/>
    <m/>
  </r>
  <r>
    <s v="DSCN2741"/>
    <s v="BU0401_4"/>
    <n v="4"/>
    <n v="1"/>
    <s v="BU"/>
    <d v="2019-04-01T00:00:00"/>
    <x v="0"/>
    <m/>
    <d v="1899-12-30T00:40:00"/>
    <m/>
    <s v="GR/PS"/>
    <s v="Foraging"/>
    <s v="NA"/>
    <n v="0"/>
    <n v="0"/>
    <n v="0"/>
    <x v="0"/>
    <x v="0"/>
    <s v="NA"/>
    <s v="NA"/>
    <m/>
    <m/>
    <m/>
    <s v="NA"/>
    <s v="NA"/>
    <s v="NA"/>
    <s v="NA"/>
    <s v="NA"/>
    <s v="NA"/>
    <s v="NA"/>
    <m/>
    <n v="0"/>
    <n v="0"/>
    <n v="0"/>
    <n v="0"/>
    <n v="24"/>
    <n v="24"/>
    <s v="Searching"/>
    <m/>
    <m/>
    <m/>
  </r>
  <r>
    <s v="DSCN2909"/>
    <s v="MC0404_4"/>
    <n v="4"/>
    <n v="1"/>
    <s v="Mercantile"/>
    <d v="2019-04-04T00:00:00"/>
    <x v="0"/>
    <m/>
    <d v="1899-12-30T00:24:00"/>
    <m/>
    <s v="WO/OS"/>
    <s v="Foraging"/>
    <s v="NA"/>
    <n v="0"/>
    <n v="0"/>
    <n v="0"/>
    <x v="0"/>
    <x v="0"/>
    <s v="NA"/>
    <s v="NA"/>
    <m/>
    <m/>
    <m/>
    <s v="NA"/>
    <s v="NA"/>
    <s v="NA"/>
    <s v="NA"/>
    <s v="NA"/>
    <s v="NA"/>
    <s v="NA"/>
    <m/>
    <n v="0"/>
    <n v="0"/>
    <n v="0"/>
    <n v="0"/>
    <n v="24"/>
    <n v="24"/>
    <s v="Searching"/>
    <m/>
    <m/>
    <m/>
  </r>
  <r>
    <s v="DSCN3299"/>
    <s v="MC0418_5"/>
    <n v="5"/>
    <n v="2"/>
    <s v="Mercantile"/>
    <d v="2019-04-18T00:00:00"/>
    <x v="0"/>
    <m/>
    <d v="1899-12-30T00:58:00"/>
    <s v="Overcast"/>
    <s v="BW/GS"/>
    <s v="Foraging"/>
    <s v="NA"/>
    <n v="1"/>
    <n v="0"/>
    <n v="0"/>
    <x v="2"/>
    <x v="2"/>
    <s v="Ground"/>
    <s v="NA"/>
    <m/>
    <m/>
    <m/>
    <s v="NA"/>
    <s v="NA"/>
    <s v="NA"/>
    <s v="NA"/>
    <s v="NA"/>
    <s v="NA"/>
    <s v="NA"/>
    <s v="NA"/>
    <n v="0"/>
    <n v="0"/>
    <n v="0"/>
    <n v="0"/>
    <n v="24"/>
    <n v="24"/>
    <s v="Searching"/>
    <s v="Eating unknown items, could have been snow.  "/>
    <m/>
    <m/>
  </r>
  <r>
    <s v="DSCN3299"/>
    <s v="MC0418_5"/>
    <n v="5"/>
    <n v="1"/>
    <s v="Mercantile"/>
    <d v="2019-04-18T00:00:00"/>
    <x v="0"/>
    <m/>
    <d v="1899-12-30T00:58:00"/>
    <s v="Overcast"/>
    <s v="BW/GS"/>
    <s v="Foraging"/>
    <s v="NA"/>
    <n v="1"/>
    <n v="0"/>
    <n v="0"/>
    <x v="3"/>
    <x v="20"/>
    <s v="Ground"/>
    <s v="NA"/>
    <m/>
    <m/>
    <m/>
    <s v="NA"/>
    <s v="NA"/>
    <s v="NA"/>
    <s v="NA"/>
    <s v="NA"/>
    <s v="NA"/>
    <s v="NA"/>
    <s v="NA"/>
    <n v="0"/>
    <n v="0"/>
    <n v="0"/>
    <n v="0"/>
    <n v="24"/>
    <n v="24"/>
    <s v="Searching"/>
    <m/>
    <m/>
    <m/>
  </r>
  <r>
    <s v="DSCN3321"/>
    <s v="MC0418_10"/>
    <n v="10"/>
    <n v="1"/>
    <s v="Mercantile"/>
    <d v="2019-04-18T00:00:00"/>
    <x v="0"/>
    <m/>
    <d v="1899-12-30T00:33:00"/>
    <s v="Overcast"/>
    <s v="BW/GS"/>
    <s v="Foraging"/>
    <s v="NA"/>
    <n v="0"/>
    <n v="0"/>
    <n v="0"/>
    <x v="0"/>
    <x v="0"/>
    <s v="NA"/>
    <s v="NA"/>
    <m/>
    <m/>
    <m/>
    <s v="NA"/>
    <s v="NA"/>
    <s v="NA"/>
    <s v="NA"/>
    <s v="NA"/>
    <s v="NA"/>
    <s v="NA"/>
    <s v="NA"/>
    <n v="0"/>
    <n v="0"/>
    <n v="0"/>
    <n v="0"/>
    <n v="24"/>
    <n v="24"/>
    <s v="Searching"/>
    <m/>
    <m/>
    <m/>
  </r>
  <r>
    <s v="DSCN3445"/>
    <s v="SQ0422_4"/>
    <n v="4"/>
    <n v="1"/>
    <s v="Sasquatch"/>
    <d v="2019-04-22T00:00:00"/>
    <x v="0"/>
    <m/>
    <d v="1899-12-30T00:28:00"/>
    <s v="Partly cloudy"/>
    <s v="G/BS"/>
    <s v="Foraging"/>
    <s v="NA"/>
    <n v="1"/>
    <n v="0"/>
    <n v="0"/>
    <x v="2"/>
    <x v="2"/>
    <s v="Ground"/>
    <s v="NA"/>
    <m/>
    <m/>
    <m/>
    <s v="NA"/>
    <s v="NA"/>
    <s v="NA"/>
    <s v="NA"/>
    <s v="NA"/>
    <s v="NA"/>
    <s v="NA"/>
    <s v="NA"/>
    <n v="0"/>
    <n v="0"/>
    <n v="0"/>
    <n v="0"/>
    <n v="24"/>
    <n v="24"/>
    <s v="Searching"/>
    <m/>
    <m/>
    <m/>
  </r>
  <r>
    <s v="DSCN3463"/>
    <s v="BU0424_5"/>
    <n v="5"/>
    <n v="1"/>
    <s v="B&amp;U"/>
    <d v="2019-04-24T00:00:00"/>
    <x v="0"/>
    <m/>
    <d v="1899-12-30T00:24:00"/>
    <s v="Partly cloudy"/>
    <s v="WP/BS"/>
    <s v="Foraging"/>
    <s v="NA"/>
    <n v="1"/>
    <n v="0"/>
    <n v="0"/>
    <x v="2"/>
    <x v="2"/>
    <s v="NA"/>
    <s v="NA"/>
    <m/>
    <m/>
    <m/>
    <s v="NA"/>
    <s v="NA"/>
    <s v="NA"/>
    <s v="NA"/>
    <s v="NA"/>
    <s v="NA"/>
    <s v="NA"/>
    <s v="NA"/>
    <n v="0"/>
    <n v="0"/>
    <n v="0"/>
    <n v="0"/>
    <n v="24"/>
    <n v="24"/>
    <s v="Searching"/>
    <m/>
    <m/>
    <m/>
  </r>
  <r>
    <s v="DSCN3642"/>
    <s v="M4R0430_5"/>
    <n v="5"/>
    <n v="1"/>
    <s v="M4Roadside"/>
    <d v="2019-04-30T00:00:00"/>
    <x v="0"/>
    <m/>
    <d v="1899-12-30T01:12:00"/>
    <s v="Clear, full sun"/>
    <s v="YO/BS"/>
    <s v="Foraging"/>
    <s v="NA"/>
    <n v="2"/>
    <n v="0"/>
    <n v="0"/>
    <x v="2"/>
    <x v="2"/>
    <s v="Ground"/>
    <s v="NA"/>
    <m/>
    <m/>
    <m/>
    <s v="NA"/>
    <s v="NA"/>
    <s v="NA"/>
    <s v="NA"/>
    <s v="NA"/>
    <s v="NA"/>
    <s v="NA"/>
    <s v="NA"/>
    <n v="0"/>
    <n v="0"/>
    <n v="0"/>
    <n v="0"/>
    <n v="24"/>
    <n v="24"/>
    <s v="Searching"/>
    <m/>
    <m/>
    <m/>
  </r>
  <r>
    <s v="DSCN3642"/>
    <s v="M4R0430_5"/>
    <n v="5"/>
    <n v="2"/>
    <s v="M4Roadside"/>
    <d v="2019-04-30T00:00:00"/>
    <x v="0"/>
    <m/>
    <d v="1899-12-30T01:12:00"/>
    <s v="Clear, full sun"/>
    <s v="YO/BS"/>
    <s v="Foraging"/>
    <s v="NA"/>
    <n v="1"/>
    <n v="0"/>
    <n v="0"/>
    <x v="3"/>
    <x v="8"/>
    <s v="Ground"/>
    <s v="NA"/>
    <m/>
    <m/>
    <m/>
    <s v="NA"/>
    <s v="NA"/>
    <s v="NA"/>
    <s v="NA"/>
    <s v="NA"/>
    <s v="NA"/>
    <s v="NA"/>
    <s v="NA"/>
    <n v="0"/>
    <n v="0"/>
    <n v="0"/>
    <n v="0"/>
    <n v="24"/>
    <n v="24"/>
    <s v="Searching"/>
    <m/>
    <m/>
    <m/>
  </r>
  <r>
    <s v="DSCN3869"/>
    <s v="CC0506_1"/>
    <n v="1"/>
    <n v="1"/>
    <s v="CCAMP"/>
    <d v="2019-05-06T00:00:00"/>
    <x v="2"/>
    <s v="Spring"/>
    <d v="1899-12-30T00:24:00"/>
    <s v="Mostly cloudy"/>
    <s v="GL/RS"/>
    <s v="Foraging"/>
    <s v="NA"/>
    <n v="0"/>
    <n v="0"/>
    <n v="0"/>
    <x v="0"/>
    <x v="0"/>
    <s v="NA"/>
    <s v="NA"/>
    <m/>
    <m/>
    <m/>
    <s v="NA"/>
    <s v="NA"/>
    <s v="NA"/>
    <s v="NA"/>
    <s v="NA"/>
    <s v="NA"/>
    <s v="NA"/>
    <s v="NA"/>
    <n v="0"/>
    <n v="0"/>
    <n v="0"/>
    <n v="0"/>
    <n v="24"/>
    <n v="24"/>
    <s v="Searching"/>
    <m/>
    <m/>
    <m/>
  </r>
  <r>
    <s v="DSCN2406"/>
    <s v="TAI0320_19"/>
    <n v="19"/>
    <n v="1"/>
    <s v="Taiga"/>
    <d v="2019-03-20T00:00:00"/>
    <x v="1"/>
    <m/>
    <d v="1899-12-30T00:24:00"/>
    <s v="Partly cloudy"/>
    <s v="WR/OS"/>
    <s v="Foraging"/>
    <s v="NA"/>
    <s v="unknown"/>
    <n v="0"/>
    <n v="0"/>
    <x v="0"/>
    <x v="0"/>
    <s v="NA"/>
    <s v="NA"/>
    <m/>
    <m/>
    <m/>
    <s v="NA"/>
    <s v="NA"/>
    <s v="NA"/>
    <s v="NA"/>
    <s v="NA"/>
    <m/>
    <m/>
    <m/>
    <n v="0"/>
    <n v="0"/>
    <n v="0"/>
    <n v="0"/>
    <n v="24"/>
    <n v="24"/>
    <s v="Searching"/>
    <m/>
    <m/>
    <m/>
  </r>
  <r>
    <s v="DSCN3450"/>
    <s v="SQ0422_8"/>
    <n v="8"/>
    <n v="1"/>
    <s v="Sasquatch"/>
    <d v="2019-04-22T00:00:00"/>
    <x v="0"/>
    <m/>
    <d v="1899-12-30T00:24:00"/>
    <s v="Partly cloudy"/>
    <s v="G/BS"/>
    <s v="Foraging"/>
    <s v="NA"/>
    <s v="unknown"/>
    <n v="0"/>
    <n v="0"/>
    <x v="0"/>
    <x v="0"/>
    <s v="NA"/>
    <s v="NA"/>
    <m/>
    <m/>
    <m/>
    <s v="NA"/>
    <s v="NA"/>
    <s v="NA"/>
    <s v="NA"/>
    <s v="NA"/>
    <s v="NA"/>
    <s v="NA"/>
    <s v="NA"/>
    <n v="0"/>
    <n v="0"/>
    <n v="0"/>
    <n v="0"/>
    <n v="24"/>
    <n v="24"/>
    <s v="Searching"/>
    <m/>
    <m/>
    <m/>
  </r>
  <r>
    <s v="DSCN3526"/>
    <s v="CC0425_2"/>
    <n v="2"/>
    <n v="1"/>
    <s v="CCAMP"/>
    <d v="2019-04-25T00:00:00"/>
    <x v="0"/>
    <m/>
    <d v="1899-12-30T00:24:00"/>
    <s v="Partly cloudy"/>
    <s v="GB/BS"/>
    <s v="Foraging"/>
    <s v="NA"/>
    <s v="unknown"/>
    <n v="0"/>
    <n v="0"/>
    <x v="0"/>
    <x v="0"/>
    <s v="NA"/>
    <s v="NA"/>
    <m/>
    <m/>
    <m/>
    <s v="NA"/>
    <s v="NA"/>
    <s v="NA"/>
    <s v="NA"/>
    <s v="NA"/>
    <s v="NA"/>
    <s v="NA"/>
    <s v="NA"/>
    <n v="0"/>
    <n v="0"/>
    <n v="0"/>
    <n v="0"/>
    <n v="24"/>
    <n v="24"/>
    <s v="Searching"/>
    <m/>
    <m/>
    <m/>
  </r>
  <r>
    <s v="DSCN3554"/>
    <s v="CC0425_23"/>
    <n v="23"/>
    <n v="1"/>
    <s v="CCAMP"/>
    <d v="2019-04-25T00:00:00"/>
    <x v="0"/>
    <s v="Spring"/>
    <d v="1899-12-30T00:24:00"/>
    <s v="Partly cloudy"/>
    <s v="GL/RS"/>
    <s v="Foraging"/>
    <s v="NA"/>
    <s v="unknown"/>
    <n v="0"/>
    <n v="0"/>
    <x v="0"/>
    <x v="0"/>
    <s v="NA"/>
    <s v="NA"/>
    <m/>
    <m/>
    <m/>
    <s v="NA"/>
    <s v="NA"/>
    <s v="NA"/>
    <s v="NA"/>
    <s v="NA"/>
    <s v="NA"/>
    <s v="NA"/>
    <s v="NA"/>
    <n v="0"/>
    <n v="0"/>
    <n v="0"/>
    <n v="0"/>
    <n v="24"/>
    <n v="24"/>
    <s v="Searching"/>
    <m/>
    <m/>
    <m/>
  </r>
  <r>
    <s v="DSCN2388"/>
    <s v="TAI0320_6"/>
    <n v="6"/>
    <n v="1"/>
    <s v="Taiga"/>
    <d v="2019-03-20T00:00:00"/>
    <x v="1"/>
    <m/>
    <d v="1899-12-30T00:23:00"/>
    <s v="Partly cloudy"/>
    <s v="OO/BS"/>
    <s v="Foraging"/>
    <s v="NA"/>
    <n v="3"/>
    <n v="0"/>
    <n v="0"/>
    <x v="2"/>
    <x v="2"/>
    <s v="Ground"/>
    <s v="NA"/>
    <m/>
    <m/>
    <m/>
    <s v="NA"/>
    <s v="NA"/>
    <s v="NA"/>
    <s v="NA"/>
    <s v="NA"/>
    <m/>
    <m/>
    <m/>
    <n v="0"/>
    <n v="0"/>
    <n v="0"/>
    <n v="0"/>
    <n v="23"/>
    <n v="23"/>
    <s v="Searching"/>
    <m/>
    <n v="0"/>
    <n v="0"/>
  </r>
  <r>
    <s v="DSCN2611"/>
    <s v="MC0327_1"/>
    <n v="1"/>
    <n v="1"/>
    <s v="M4Roadside"/>
    <d v="2019-03-27T00:00:00"/>
    <x v="1"/>
    <m/>
    <d v="1899-12-30T00:41:00"/>
    <s v="Partly cloudy"/>
    <s v="WO/OS"/>
    <s v="Foraging"/>
    <s v="Spruce"/>
    <n v="0"/>
    <n v="0"/>
    <n v="0"/>
    <x v="0"/>
    <x v="0"/>
    <s v="NA"/>
    <s v="NA"/>
    <m/>
    <m/>
    <m/>
    <s v="NA"/>
    <s v="NA"/>
    <s v="NA"/>
    <s v="NA"/>
    <s v="NA"/>
    <s v="NA"/>
    <s v="NA"/>
    <m/>
    <n v="23"/>
    <n v="0"/>
    <n v="23"/>
    <n v="0"/>
    <n v="0"/>
    <n v="23"/>
    <s v="Searching"/>
    <m/>
    <m/>
    <m/>
  </r>
  <r>
    <s v="DSCN2851"/>
    <s v="M2370403_17"/>
    <n v="17"/>
    <n v="1"/>
    <s v="Mile 237"/>
    <d v="2019-04-03T00:00:00"/>
    <x v="0"/>
    <m/>
    <d v="1899-12-30T00:23:00"/>
    <m/>
    <s v="YP/RS"/>
    <s v="Foraging"/>
    <s v="Spruce"/>
    <n v="0"/>
    <n v="0"/>
    <n v="0"/>
    <x v="0"/>
    <x v="0"/>
    <s v="NA"/>
    <s v="NA"/>
    <m/>
    <m/>
    <m/>
    <s v="NA"/>
    <s v="NA"/>
    <s v="NA"/>
    <s v="NA"/>
    <s v="NA"/>
    <s v="NA"/>
    <s v="NA"/>
    <m/>
    <n v="23"/>
    <n v="0"/>
    <n v="23"/>
    <n v="0"/>
    <n v="0"/>
    <n v="23"/>
    <s v="Searching"/>
    <m/>
    <m/>
    <m/>
  </r>
  <r>
    <s v="DSCN2953"/>
    <s v="WW0405_5"/>
    <n v="5"/>
    <n v="2"/>
    <s v="WAC West"/>
    <d v="2019-04-05T00:00:00"/>
    <x v="0"/>
    <m/>
    <d v="1899-12-30T02:23:00"/>
    <m/>
    <s v="BP/PS"/>
    <s v="Foraging"/>
    <s v="Spruce"/>
    <n v="1"/>
    <n v="1"/>
    <n v="0"/>
    <x v="3"/>
    <x v="8"/>
    <s v="Spruce trunk under bark"/>
    <m/>
    <m/>
    <m/>
    <m/>
    <s v="NA"/>
    <s v="NA"/>
    <s v="NA"/>
    <s v="NA"/>
    <s v="NA"/>
    <n v="63.738619999999997"/>
    <n v="148.89836"/>
    <m/>
    <n v="23"/>
    <n v="0"/>
    <n v="23"/>
    <n v="0"/>
    <n v="0"/>
    <n v="23"/>
    <m/>
    <m/>
    <m/>
    <m/>
  </r>
  <r>
    <s v="DSCN3486"/>
    <s v="MC0424_7"/>
    <n v="7"/>
    <n v="1"/>
    <s v="Mercantile"/>
    <d v="2019-04-24T00:00:00"/>
    <x v="0"/>
    <m/>
    <d v="1899-12-30T00:26:00"/>
    <s v="Partly cloudy"/>
    <s v="BW/GS"/>
    <s v="Foraging"/>
    <s v="NA"/>
    <n v="1"/>
    <n v="0"/>
    <n v="0"/>
    <x v="2"/>
    <x v="2"/>
    <s v="Ground"/>
    <s v="NA"/>
    <m/>
    <m/>
    <m/>
    <s v="NA"/>
    <s v="NA"/>
    <s v="NA"/>
    <s v="NA"/>
    <s v="NA"/>
    <s v="NA"/>
    <s v="NA"/>
    <s v="NA"/>
    <n v="0"/>
    <n v="0"/>
    <n v="0"/>
    <n v="0"/>
    <n v="23"/>
    <n v="23"/>
    <s v="Searching"/>
    <m/>
    <m/>
    <m/>
  </r>
  <r>
    <s v="DSCN3712"/>
    <s v="CC0430_9"/>
    <n v="9"/>
    <n v="1"/>
    <s v="CCAMP"/>
    <d v="2019-04-30T00:00:00"/>
    <x v="0"/>
    <s v="Spring"/>
    <d v="1899-12-30T00:25:00"/>
    <s v="Clear, full sun"/>
    <s v="GL/RS"/>
    <s v="Foraging"/>
    <s v="NA"/>
    <n v="1"/>
    <n v="0"/>
    <n v="0"/>
    <x v="2"/>
    <x v="2"/>
    <s v="Ground"/>
    <s v="NA"/>
    <m/>
    <m/>
    <m/>
    <s v="NA"/>
    <s v="NA"/>
    <s v="NA"/>
    <s v="NA"/>
    <s v="NA"/>
    <s v="NA"/>
    <s v="NA"/>
    <s v="NA"/>
    <n v="0"/>
    <n v="0"/>
    <n v="0"/>
    <n v="0"/>
    <n v="23"/>
    <n v="23"/>
    <s v="Searching"/>
    <m/>
    <m/>
    <m/>
  </r>
  <r>
    <s v="DSCN3836"/>
    <s v="CC0503_16"/>
    <n v="16"/>
    <n v="1"/>
    <s v="CCAMP"/>
    <d v="2019-05-03T00:00:00"/>
    <x v="2"/>
    <m/>
    <d v="1899-12-30T00:38:00"/>
    <s v="Overcast, light snow"/>
    <s v="GB/BS"/>
    <s v="Foraging/caching"/>
    <s v="Spruce"/>
    <n v="1"/>
    <n v="0"/>
    <n v="1"/>
    <x v="1"/>
    <x v="1"/>
    <s v="Ground"/>
    <s v="Interior spruce foliage"/>
    <s v="Spruce"/>
    <s v="Interior"/>
    <s v="Foliage"/>
    <s v="S"/>
    <n v="165"/>
    <n v="5"/>
    <n v="63.722900000000003"/>
    <n v="148.94708"/>
    <m/>
    <s v="NA"/>
    <s v="NA"/>
    <n v="0"/>
    <n v="0"/>
    <n v="0"/>
    <n v="0"/>
    <n v="23"/>
    <n v="23"/>
    <s v="Searching"/>
    <m/>
    <m/>
    <m/>
  </r>
  <r>
    <s v="DSCN2427"/>
    <s v="TAI0320_27"/>
    <n v="27"/>
    <n v="1"/>
    <s v="Taiga"/>
    <d v="2019-03-20T00:00:00"/>
    <x v="1"/>
    <m/>
    <d v="1899-12-30T00:23:00"/>
    <s v="Partly cloudy"/>
    <s v="OO/BS"/>
    <s v="Foraging"/>
    <s v="NA"/>
    <s v="unknown"/>
    <n v="0"/>
    <n v="0"/>
    <x v="0"/>
    <x v="2"/>
    <s v="NA"/>
    <s v="NA"/>
    <m/>
    <m/>
    <m/>
    <s v="NA"/>
    <s v="NA"/>
    <s v="NA"/>
    <s v="NA"/>
    <s v="NA"/>
    <m/>
    <m/>
    <m/>
    <n v="0"/>
    <n v="0"/>
    <n v="0"/>
    <n v="0"/>
    <n v="23"/>
    <n v="23"/>
    <s v="Searching"/>
    <m/>
    <m/>
    <m/>
  </r>
  <r>
    <s v="DSCN3206"/>
    <s v="CC0416_6"/>
    <n v="6"/>
    <n v="1"/>
    <s v="CCAMP"/>
    <d v="2019-04-16T00:00:00"/>
    <x v="0"/>
    <m/>
    <d v="1899-12-30T00:24:00"/>
    <s v="Mostly cloudy"/>
    <s v="GB/BS"/>
    <s v="Foraging"/>
    <s v="NA"/>
    <s v="unknown"/>
    <n v="0"/>
    <n v="0"/>
    <x v="0"/>
    <x v="0"/>
    <s v="NA"/>
    <s v="NA"/>
    <m/>
    <m/>
    <m/>
    <s v="NA"/>
    <s v="NA"/>
    <s v="NA"/>
    <s v="NA"/>
    <s v="NA"/>
    <s v="NA"/>
    <s v="NA"/>
    <m/>
    <n v="0"/>
    <n v="0"/>
    <n v="0"/>
    <n v="0"/>
    <n v="23"/>
    <n v="23"/>
    <s v="Searching"/>
    <m/>
    <m/>
    <m/>
  </r>
  <r>
    <s v="DSCN3339"/>
    <s v="M4R0419_2"/>
    <n v="2"/>
    <n v="1"/>
    <s v="M4Roadside"/>
    <d v="2019-04-19T00:00:00"/>
    <x v="0"/>
    <m/>
    <d v="1899-12-30T00:22:00"/>
    <s v="Partly cloudy"/>
    <s v="YO/BS"/>
    <s v="Foraging"/>
    <s v="Alder"/>
    <n v="0"/>
    <n v="0"/>
    <n v="0"/>
    <x v="0"/>
    <x v="0"/>
    <s v="NA"/>
    <s v="NA"/>
    <m/>
    <m/>
    <m/>
    <s v="NA"/>
    <s v="NA"/>
    <s v="NA"/>
    <s v="NA"/>
    <s v="NA"/>
    <s v="NA"/>
    <s v="NA"/>
    <s v="NA"/>
    <n v="22"/>
    <n v="0"/>
    <n v="0"/>
    <n v="22"/>
    <n v="0"/>
    <n v="22"/>
    <s v="Searching/probing"/>
    <m/>
    <n v="2"/>
    <n v="0"/>
  </r>
  <r>
    <s v="DSCN3705"/>
    <s v="CC0430_2"/>
    <n v="2"/>
    <n v="1"/>
    <s v="CCAMP"/>
    <d v="2019-04-30T00:00:00"/>
    <x v="0"/>
    <s v="Spring"/>
    <d v="1899-12-30T00:22:00"/>
    <s v="Clear, full sun"/>
    <s v="GL/RS"/>
    <s v="Foraging"/>
    <s v="NA"/>
    <n v="1"/>
    <n v="0"/>
    <n v="0"/>
    <x v="3"/>
    <x v="9"/>
    <s v="Ground"/>
    <s v="NA"/>
    <m/>
    <m/>
    <m/>
    <s v="NA"/>
    <s v="NA"/>
    <s v="NA"/>
    <s v="NA"/>
    <s v="NA"/>
    <s v="NA"/>
    <s v="NA"/>
    <s v="NA"/>
    <n v="0"/>
    <n v="0"/>
    <n v="0"/>
    <n v="0"/>
    <n v="22"/>
    <n v="22"/>
    <s v="Searching"/>
    <m/>
    <m/>
    <m/>
  </r>
  <r>
    <s v="DSCN3930"/>
    <s v="M2370508_2"/>
    <n v="2"/>
    <n v="1"/>
    <s v="Mile 237"/>
    <d v="2019-05-08T00:00:00"/>
    <x v="2"/>
    <m/>
    <d v="1899-12-30T00:22:00"/>
    <s v="Overcast"/>
    <s v="GB/PS"/>
    <s v="Foraging"/>
    <s v="NA"/>
    <n v="5"/>
    <n v="0"/>
    <n v="0"/>
    <x v="2"/>
    <x v="10"/>
    <s v="Ground"/>
    <s v="NA"/>
    <m/>
    <m/>
    <m/>
    <s v="NA"/>
    <s v="NA"/>
    <s v="NA"/>
    <s v="NA"/>
    <s v="NA"/>
    <s v="NA"/>
    <s v="NA"/>
    <s v="NA"/>
    <n v="0"/>
    <n v="0"/>
    <n v="0"/>
    <n v="0"/>
    <n v="22"/>
    <n v="22"/>
    <s v="Searching"/>
    <m/>
    <m/>
    <m/>
  </r>
  <r>
    <s v="DSCN2404"/>
    <s v="TAI0320_17"/>
    <n v="17"/>
    <n v="1"/>
    <s v="Taiga"/>
    <d v="2019-03-20T00:00:00"/>
    <x v="1"/>
    <m/>
    <d v="1899-12-30T00:30:00"/>
    <s v="Partly cloudy"/>
    <s v="WR/OS"/>
    <s v="Foraging"/>
    <s v="NA"/>
    <s v="unknown"/>
    <n v="0"/>
    <n v="0"/>
    <x v="0"/>
    <x v="0"/>
    <s v="NA"/>
    <s v="NA"/>
    <m/>
    <m/>
    <m/>
    <s v="NA"/>
    <s v="NA"/>
    <s v="NA"/>
    <s v="NA"/>
    <s v="NA"/>
    <m/>
    <m/>
    <m/>
    <n v="0"/>
    <n v="0"/>
    <n v="0"/>
    <n v="0"/>
    <n v="22"/>
    <n v="22"/>
    <s v="Searching"/>
    <m/>
    <n v="0"/>
    <n v="0"/>
  </r>
  <r>
    <s v="DSCN3535"/>
    <s v="CC0425_11"/>
    <n v="11"/>
    <n v="1"/>
    <s v="CCAMP"/>
    <d v="2019-04-25T00:00:00"/>
    <x v="0"/>
    <m/>
    <d v="1899-12-30T00:22:00"/>
    <s v="Partly cloudy"/>
    <s v="GB/BS"/>
    <s v="Foraging"/>
    <s v="NA"/>
    <s v="unknown"/>
    <n v="0"/>
    <n v="0"/>
    <x v="0"/>
    <x v="0"/>
    <s v="NA"/>
    <s v="NA"/>
    <m/>
    <m/>
    <m/>
    <s v="NA"/>
    <s v="NA"/>
    <s v="NA"/>
    <s v="NA"/>
    <s v="NA"/>
    <s v="NA"/>
    <s v="NA"/>
    <s v="NA"/>
    <n v="0"/>
    <n v="0"/>
    <n v="0"/>
    <n v="0"/>
    <n v="22"/>
    <n v="22"/>
    <s v="Searching"/>
    <m/>
    <m/>
    <m/>
  </r>
  <r>
    <s v="DSCN2508"/>
    <s v="M4R0325_4"/>
    <n v="4"/>
    <n v="1"/>
    <s v="M4Roadside"/>
    <d v="2019-03-25T00:00:00"/>
    <x v="1"/>
    <m/>
    <d v="1899-12-30T01:20:00"/>
    <s v="Overcast"/>
    <s v="YO/BS"/>
    <s v="Foraging"/>
    <s v="Spruce"/>
    <n v="0"/>
    <n v="0"/>
    <n v="0"/>
    <x v="0"/>
    <x v="0"/>
    <s v="NA"/>
    <s v="NA"/>
    <m/>
    <m/>
    <m/>
    <s v="NA"/>
    <s v="NA"/>
    <s v="NA"/>
    <s v="NA"/>
    <s v="NA"/>
    <m/>
    <m/>
    <m/>
    <n v="21"/>
    <n v="0"/>
    <n v="21"/>
    <n v="0"/>
    <n v="0"/>
    <n v="21"/>
    <s v="Searching/probing"/>
    <s v="Searching in M4R1005_CT3"/>
    <n v="2"/>
    <n v="0"/>
  </r>
  <r>
    <s v="DSCN2713"/>
    <s v="WW0330_10"/>
    <n v="10"/>
    <n v="1"/>
    <s v="WAC West"/>
    <d v="2019-03-30T00:00:00"/>
    <x v="1"/>
    <m/>
    <d v="1899-12-30T00:21:00"/>
    <m/>
    <s v="BP/PS"/>
    <s v="Foraging"/>
    <s v="NA"/>
    <n v="2"/>
    <n v="0"/>
    <n v="0"/>
    <x v="2"/>
    <x v="2"/>
    <s v="Ground"/>
    <s v="NA"/>
    <m/>
    <m/>
    <m/>
    <s v="NA"/>
    <s v="NA"/>
    <s v="NA"/>
    <s v="NA"/>
    <s v="NA"/>
    <s v="NA"/>
    <s v="NA"/>
    <m/>
    <n v="0"/>
    <n v="0"/>
    <n v="0"/>
    <n v="0"/>
    <n v="21"/>
    <n v="21"/>
    <s v="Searching"/>
    <m/>
    <m/>
    <m/>
  </r>
  <r>
    <s v="DSCN2854"/>
    <s v="M2370403_20"/>
    <n v="20"/>
    <n v="1"/>
    <s v="Mile 237"/>
    <d v="2019-04-03T00:00:00"/>
    <x v="0"/>
    <m/>
    <d v="1899-12-30T00:22:00"/>
    <m/>
    <s v="YP/RS"/>
    <s v="Foraging"/>
    <s v="Spruce"/>
    <n v="0"/>
    <n v="0"/>
    <n v="0"/>
    <x v="0"/>
    <x v="0"/>
    <s v="NA"/>
    <s v="NA"/>
    <m/>
    <m/>
    <m/>
    <s v="NA"/>
    <s v="NA"/>
    <s v="NA"/>
    <s v="NA"/>
    <s v="NA"/>
    <s v="NA"/>
    <s v="NA"/>
    <m/>
    <n v="21"/>
    <n v="0"/>
    <n v="0"/>
    <n v="21"/>
    <n v="0"/>
    <n v="21"/>
    <s v="Searching"/>
    <m/>
    <m/>
    <m/>
  </r>
  <r>
    <m/>
    <s v="M2370415_10"/>
    <n v="10"/>
    <n v="1"/>
    <s v="Mile 237"/>
    <d v="2019-04-15T00:00:00"/>
    <x v="0"/>
    <m/>
    <d v="1899-12-30T01:00:00"/>
    <s v="Partly cloudy"/>
    <s v="YP/RS"/>
    <s v="Foraging"/>
    <s v="NA"/>
    <n v="1"/>
    <n v="0"/>
    <n v="0"/>
    <x v="2"/>
    <x v="2"/>
    <s v="Ground"/>
    <s v="NA"/>
    <m/>
    <m/>
    <m/>
    <s v="NA"/>
    <s v="NA"/>
    <s v="NA"/>
    <s v="NA"/>
    <s v="NA"/>
    <s v="NA"/>
    <s v="NA"/>
    <m/>
    <n v="0"/>
    <n v="0"/>
    <n v="0"/>
    <n v="0"/>
    <n v="21"/>
    <n v="21"/>
    <s v="Searching"/>
    <m/>
    <m/>
    <m/>
  </r>
  <r>
    <s v="DSCN3161"/>
    <s v="MC0416_4"/>
    <n v="4"/>
    <n v="1"/>
    <s v="Mercantile"/>
    <d v="2019-04-16T00:00:00"/>
    <x v="0"/>
    <m/>
    <d v="1899-12-30T00:37:00"/>
    <s v="Mostly cloudy"/>
    <s v="BW/GS"/>
    <s v="Foraging"/>
    <s v="Spruce"/>
    <n v="0"/>
    <n v="0"/>
    <n v="0"/>
    <x v="0"/>
    <x v="0"/>
    <s v="NA"/>
    <s v="NA"/>
    <m/>
    <m/>
    <m/>
    <s v="NA"/>
    <s v="NA"/>
    <s v="NA"/>
    <s v="NA"/>
    <s v="NA"/>
    <s v="NA"/>
    <s v="NA"/>
    <m/>
    <n v="0"/>
    <n v="21"/>
    <n v="0"/>
    <n v="21"/>
    <n v="0"/>
    <n v="21"/>
    <s v="Searching"/>
    <m/>
    <m/>
    <m/>
  </r>
  <r>
    <s v="DSCN3385"/>
    <s v="WW0422_27"/>
    <n v="27"/>
    <n v="1"/>
    <s v="WAC West"/>
    <d v="2019-04-22T00:00:00"/>
    <x v="0"/>
    <m/>
    <d v="1899-12-30T01:07:00"/>
    <s v="Partly cloudy"/>
    <s v="BP/PS"/>
    <s v="Foraging"/>
    <s v="NA"/>
    <n v="1"/>
    <n v="0"/>
    <n v="0"/>
    <x v="2"/>
    <x v="2"/>
    <s v="Ground"/>
    <s v="NA"/>
    <m/>
    <m/>
    <m/>
    <s v="NA"/>
    <s v="NA"/>
    <s v="NA"/>
    <s v="NA"/>
    <s v="NA"/>
    <s v="NA"/>
    <s v="NA"/>
    <s v="NA"/>
    <n v="0"/>
    <n v="0"/>
    <n v="0"/>
    <n v="0"/>
    <n v="21"/>
    <n v="21"/>
    <s v="Searching"/>
    <m/>
    <m/>
    <m/>
  </r>
  <r>
    <s v="DSCN3527"/>
    <s v="CC0425_3"/>
    <n v="3"/>
    <n v="1"/>
    <s v="CCAMP"/>
    <d v="2019-04-25T00:00:00"/>
    <x v="0"/>
    <m/>
    <d v="1899-12-30T00:22:00"/>
    <s v="Partly cloudy"/>
    <s v="GB/BS"/>
    <s v="Foraging"/>
    <s v="NA"/>
    <n v="0"/>
    <n v="0"/>
    <n v="0"/>
    <x v="0"/>
    <x v="0"/>
    <s v="NA"/>
    <s v="NA"/>
    <m/>
    <m/>
    <m/>
    <s v="NA"/>
    <s v="NA"/>
    <s v="NA"/>
    <s v="NA"/>
    <s v="NA"/>
    <s v="NA"/>
    <s v="NA"/>
    <s v="NA"/>
    <n v="0"/>
    <n v="0"/>
    <n v="0"/>
    <n v="0"/>
    <n v="21"/>
    <n v="21"/>
    <s v="Searching"/>
    <m/>
    <m/>
    <m/>
  </r>
  <r>
    <s v="DSCN3641"/>
    <s v="M4R0430_4"/>
    <n v="4"/>
    <n v="1"/>
    <s v="M4Roadside"/>
    <d v="2019-04-30T00:00:00"/>
    <x v="0"/>
    <m/>
    <d v="1899-12-30T00:21:00"/>
    <s v="Clear, full sun"/>
    <s v="YO/BS"/>
    <s v="Foraging"/>
    <s v="NA"/>
    <n v="0"/>
    <n v="0"/>
    <n v="0"/>
    <x v="0"/>
    <x v="0"/>
    <s v="NA"/>
    <s v="NA"/>
    <m/>
    <m/>
    <m/>
    <s v="NA"/>
    <s v="NA"/>
    <s v="NA"/>
    <s v="NA"/>
    <s v="NA"/>
    <s v="NA"/>
    <s v="NA"/>
    <s v="NA"/>
    <n v="0"/>
    <n v="0"/>
    <n v="0"/>
    <n v="0"/>
    <n v="21"/>
    <n v="21"/>
    <s v="Searching"/>
    <m/>
    <m/>
    <m/>
  </r>
  <r>
    <s v="DSCN2753"/>
    <s v="BU0401_13"/>
    <n v="13"/>
    <n v="1"/>
    <s v="BU"/>
    <d v="2019-04-01T00:00:00"/>
    <x v="0"/>
    <m/>
    <d v="1899-12-30T00:21:00"/>
    <m/>
    <s v="GR/PS"/>
    <s v="Foraging"/>
    <s v="NA"/>
    <s v="unknown"/>
    <n v="0"/>
    <n v="0"/>
    <x v="0"/>
    <x v="0"/>
    <s v="NA"/>
    <s v="NA"/>
    <m/>
    <m/>
    <m/>
    <s v="NA"/>
    <s v="NA"/>
    <s v="NA"/>
    <s v="NA"/>
    <s v="NA"/>
    <s v="NA"/>
    <s v="NA"/>
    <m/>
    <n v="0"/>
    <n v="0"/>
    <n v="0"/>
    <n v="0"/>
    <n v="21"/>
    <n v="21"/>
    <s v="Searching"/>
    <m/>
    <m/>
    <m/>
  </r>
  <r>
    <s v="DSCN2853"/>
    <s v="M2370403_19"/>
    <n v="19"/>
    <n v="1"/>
    <s v="Mile 237"/>
    <d v="2019-04-03T00:00:00"/>
    <x v="0"/>
    <m/>
    <d v="1899-12-30T00:26:00"/>
    <m/>
    <s v="YP/RS"/>
    <s v="Foraging"/>
    <s v="Spruce"/>
    <s v="unknown"/>
    <s v="unknown"/>
    <n v="0"/>
    <x v="0"/>
    <x v="0"/>
    <s v="NA"/>
    <s v="NA"/>
    <m/>
    <m/>
    <m/>
    <s v="NA"/>
    <s v="NA"/>
    <s v="NA"/>
    <s v="NA"/>
    <s v="NA"/>
    <s v="NA"/>
    <s v="NA"/>
    <m/>
    <n v="21"/>
    <n v="0"/>
    <n v="0"/>
    <n v="21"/>
    <n v="0"/>
    <n v="21"/>
    <s v="Searching"/>
    <m/>
    <m/>
    <m/>
  </r>
  <r>
    <s v="DSCN3136"/>
    <s v="M2370415_6"/>
    <n v="6"/>
    <n v="1"/>
    <s v="Mile 237"/>
    <d v="2019-04-15T00:00:00"/>
    <x v="0"/>
    <m/>
    <d v="1899-12-30T00:31:00"/>
    <s v="Partly cloudy"/>
    <s v="YP/RS"/>
    <s v="Foraging"/>
    <s v="NA"/>
    <s v="unknown"/>
    <n v="0"/>
    <n v="0"/>
    <x v="0"/>
    <x v="0"/>
    <s v="NA"/>
    <s v="NA"/>
    <m/>
    <m/>
    <m/>
    <s v="NA"/>
    <s v="NA"/>
    <s v="NA"/>
    <s v="NA"/>
    <s v="NA"/>
    <s v="NA"/>
    <s v="NA"/>
    <m/>
    <n v="0"/>
    <n v="0"/>
    <n v="0"/>
    <n v="0"/>
    <n v="21"/>
    <n v="21"/>
    <s v="Searching"/>
    <m/>
    <m/>
    <m/>
  </r>
  <r>
    <s v="DSCN3528"/>
    <s v="CC0425_4"/>
    <n v="4"/>
    <n v="1"/>
    <s v="CCAMP"/>
    <d v="2019-04-25T00:00:00"/>
    <x v="0"/>
    <m/>
    <d v="1899-12-30T00:23:00"/>
    <s v="Partly cloudy"/>
    <s v="GB/BS"/>
    <s v="Foraging"/>
    <s v="NA"/>
    <s v="unknown"/>
    <n v="0"/>
    <n v="0"/>
    <x v="0"/>
    <x v="0"/>
    <s v="NA"/>
    <s v="NA"/>
    <m/>
    <m/>
    <m/>
    <s v="NA"/>
    <s v="NA"/>
    <s v="NA"/>
    <s v="NA"/>
    <s v="NA"/>
    <s v="NA"/>
    <s v="NA"/>
    <s v="NA"/>
    <n v="0"/>
    <n v="0"/>
    <n v="0"/>
    <n v="0"/>
    <n v="21"/>
    <n v="21"/>
    <s v="Searching"/>
    <m/>
    <m/>
    <m/>
  </r>
  <r>
    <s v="DSCN2424"/>
    <s v="TAI0320_26"/>
    <n v="26"/>
    <n v="1"/>
    <s v="Taiga"/>
    <d v="2019-03-20T00:00:00"/>
    <x v="1"/>
    <m/>
    <d v="1899-12-30T00:29:00"/>
    <s v="Partly cloudy"/>
    <s v="OO/BS"/>
    <s v="Foraging"/>
    <s v="NA"/>
    <n v="1"/>
    <n v="0"/>
    <n v="0"/>
    <x v="2"/>
    <x v="2"/>
    <s v="Ground"/>
    <s v="NA"/>
    <m/>
    <m/>
    <m/>
    <s v="NA"/>
    <s v="NA"/>
    <s v="NA"/>
    <s v="NA"/>
    <s v="NA"/>
    <m/>
    <m/>
    <m/>
    <n v="0"/>
    <n v="0"/>
    <n v="0"/>
    <n v="0"/>
    <n v="20"/>
    <n v="20"/>
    <s v="Searching"/>
    <m/>
    <m/>
    <m/>
  </r>
  <r>
    <s v="DSCN2465"/>
    <s v="BL0322_14"/>
    <n v="14"/>
    <n v="1"/>
    <s v="Boulder"/>
    <d v="2019-03-22T00:00:00"/>
    <x v="1"/>
    <m/>
    <d v="1899-12-30T00:20:00"/>
    <s v="Partly cloudy"/>
    <s v="unbanded"/>
    <s v="Foraging"/>
    <s v="NA"/>
    <n v="1"/>
    <n v="0"/>
    <n v="0"/>
    <x v="2"/>
    <x v="2"/>
    <s v="Ground"/>
    <s v="NA"/>
    <m/>
    <m/>
    <m/>
    <s v="NA"/>
    <s v="NA"/>
    <s v="NA"/>
    <s v="NA"/>
    <s v="NA"/>
    <m/>
    <m/>
    <m/>
    <n v="0"/>
    <n v="0"/>
    <n v="0"/>
    <n v="0"/>
    <n v="20"/>
    <n v="20"/>
    <s v="Searching"/>
    <m/>
    <m/>
    <m/>
  </r>
  <r>
    <s v="DSCN2446"/>
    <s v="BL0322_5"/>
    <n v="5"/>
    <n v="1"/>
    <s v="Boulder"/>
    <d v="2019-03-22T00:00:00"/>
    <x v="1"/>
    <m/>
    <d v="1899-12-30T00:20:00"/>
    <s v="Partly cloudy"/>
    <s v="unbanded"/>
    <s v="Foraging"/>
    <s v="NA"/>
    <n v="3"/>
    <n v="0"/>
    <n v="0"/>
    <x v="2"/>
    <x v="2"/>
    <s v="Ground"/>
    <s v="NA"/>
    <m/>
    <m/>
    <m/>
    <s v="NA"/>
    <s v="NA"/>
    <s v="NA"/>
    <s v="NA"/>
    <s v="NA"/>
    <m/>
    <m/>
    <m/>
    <n v="0"/>
    <n v="0"/>
    <n v="0"/>
    <n v="0"/>
    <n v="20"/>
    <n v="20"/>
    <s v="Searching"/>
    <m/>
    <m/>
    <m/>
  </r>
  <r>
    <s v="DSCN2562"/>
    <s v="WW0326_2"/>
    <n v="2"/>
    <n v="1"/>
    <s v="WAC West"/>
    <d v="2019-03-26T00:00:00"/>
    <x v="1"/>
    <m/>
    <d v="1899-12-30T00:53:00"/>
    <s v="Partly Sunny"/>
    <s v="BP/PS"/>
    <s v="Foraging"/>
    <s v="NA"/>
    <n v="1"/>
    <n v="0"/>
    <n v="0"/>
    <x v="2"/>
    <x v="2"/>
    <s v="Ground"/>
    <s v="NA"/>
    <m/>
    <m/>
    <m/>
    <s v="NA"/>
    <s v="NA"/>
    <s v="NA"/>
    <s v="NA"/>
    <s v="NA"/>
    <m/>
    <m/>
    <m/>
    <n v="0"/>
    <n v="0"/>
    <n v="0"/>
    <n v="0"/>
    <n v="20"/>
    <n v="20"/>
    <s v="Searching"/>
    <m/>
    <m/>
    <m/>
  </r>
  <r>
    <s v="DSCN2711"/>
    <s v="WW0330_8"/>
    <n v="8"/>
    <n v="1"/>
    <s v="WAC West"/>
    <d v="2019-03-30T00:00:00"/>
    <x v="1"/>
    <m/>
    <d v="1899-12-30T00:20:00"/>
    <m/>
    <s v="BP/PS"/>
    <s v="Foraging"/>
    <s v="NA"/>
    <n v="0"/>
    <n v="0"/>
    <n v="0"/>
    <x v="0"/>
    <x v="0"/>
    <s v="NA"/>
    <s v="NA"/>
    <m/>
    <m/>
    <m/>
    <s v="NA"/>
    <s v="NA"/>
    <s v="NA"/>
    <s v="NA"/>
    <s v="NA"/>
    <s v="NA"/>
    <s v="NA"/>
    <m/>
    <n v="0"/>
    <n v="0"/>
    <n v="0"/>
    <n v="0"/>
    <n v="20"/>
    <n v="20"/>
    <s v="Searching"/>
    <m/>
    <m/>
    <m/>
  </r>
  <r>
    <s v="DSCN3391"/>
    <s v="CC0422_1"/>
    <n v="1"/>
    <n v="1"/>
    <s v="CCAMP"/>
    <d v="2019-04-22T00:00:00"/>
    <x v="0"/>
    <m/>
    <d v="1899-12-30T00:14:00"/>
    <s v="Partly cloudy"/>
    <s v="GB/BS"/>
    <s v="Foraging"/>
    <s v="NA"/>
    <n v="1"/>
    <n v="0"/>
    <n v="0"/>
    <x v="2"/>
    <x v="2"/>
    <s v="Ground"/>
    <s v="NA"/>
    <m/>
    <m/>
    <m/>
    <s v="NA"/>
    <s v="NA"/>
    <s v="NA"/>
    <s v="NA"/>
    <s v="NA"/>
    <s v="NA"/>
    <s v="NA"/>
    <s v="NA"/>
    <n v="0"/>
    <n v="0"/>
    <n v="0"/>
    <n v="0"/>
    <n v="20"/>
    <n v="20"/>
    <s v="Searching"/>
    <m/>
    <m/>
    <m/>
  </r>
  <r>
    <s v="DSCN3479"/>
    <s v="MC0424_3"/>
    <n v="3"/>
    <n v="1"/>
    <s v="Mercantile"/>
    <d v="2019-04-24T00:00:00"/>
    <x v="0"/>
    <m/>
    <d v="1899-12-30T00:27:00"/>
    <s v="Partly cloudy"/>
    <s v="BW/GS"/>
    <s v="Foraging"/>
    <s v="NA"/>
    <n v="1"/>
    <s v="unknown"/>
    <n v="0"/>
    <x v="2"/>
    <x v="2"/>
    <s v="Spruce"/>
    <s v="NA"/>
    <m/>
    <m/>
    <m/>
    <s v="NA"/>
    <s v="NA"/>
    <s v="NA"/>
    <s v="NA"/>
    <s v="NA"/>
    <s v="NA"/>
    <s v="NA"/>
    <s v="NA"/>
    <n v="20"/>
    <n v="0"/>
    <n v="20"/>
    <n v="0"/>
    <n v="0"/>
    <n v="20"/>
    <s v="Searching"/>
    <m/>
    <m/>
    <m/>
  </r>
  <r>
    <s v="DSCN3482"/>
    <s v="MC0424_5"/>
    <n v="5"/>
    <n v="1"/>
    <s v="Mercantile"/>
    <d v="2019-04-24T00:00:00"/>
    <x v="0"/>
    <m/>
    <d v="1899-12-30T01:47:00"/>
    <s v="Partly cloudy"/>
    <s v="WO/OS"/>
    <s v="Foraging"/>
    <s v="NA"/>
    <n v="0"/>
    <n v="0"/>
    <n v="0"/>
    <x v="0"/>
    <x v="0"/>
    <s v="NA"/>
    <s v="NA"/>
    <m/>
    <m/>
    <m/>
    <s v="NA"/>
    <s v="NA"/>
    <s v="NA"/>
    <s v="NA"/>
    <s v="NA"/>
    <s v="NA"/>
    <s v="NA"/>
    <s v="NA"/>
    <n v="20"/>
    <n v="0"/>
    <n v="10"/>
    <n v="10"/>
    <n v="0"/>
    <n v="20"/>
    <s v="Searching"/>
    <s v="Looked in old nest. "/>
    <m/>
    <m/>
  </r>
  <r>
    <s v="DSCN3491"/>
    <s v="MC0424_9"/>
    <n v="9"/>
    <n v="1"/>
    <s v="Mercantile"/>
    <d v="2019-04-24T00:00:00"/>
    <x v="0"/>
    <m/>
    <d v="1899-12-30T00:20:00"/>
    <s v="Partly cloudy"/>
    <s v="BW/GS"/>
    <s v="Foraging"/>
    <s v="NA"/>
    <n v="0"/>
    <n v="0"/>
    <n v="0"/>
    <x v="0"/>
    <x v="0"/>
    <s v="NA"/>
    <s v="NA"/>
    <m/>
    <m/>
    <m/>
    <s v="NA"/>
    <s v="NA"/>
    <s v="NA"/>
    <s v="NA"/>
    <s v="NA"/>
    <s v="NA"/>
    <s v="NA"/>
    <s v="NA"/>
    <n v="0"/>
    <n v="0"/>
    <n v="0"/>
    <n v="0"/>
    <n v="20"/>
    <n v="20"/>
    <m/>
    <m/>
    <m/>
    <m/>
  </r>
  <r>
    <s v="DSCN3560"/>
    <s v="CC0425_27"/>
    <n v="27"/>
    <n v="1"/>
    <s v="CCAMP"/>
    <d v="2019-04-25T00:00:00"/>
    <x v="0"/>
    <m/>
    <d v="1899-12-30T02:31:00"/>
    <s v="Partly cloudy"/>
    <s v="GB/BS"/>
    <s v="Foraging"/>
    <s v="NA"/>
    <n v="1"/>
    <n v="0"/>
    <n v="0"/>
    <x v="2"/>
    <x v="2"/>
    <s v="Ground"/>
    <s v="NA"/>
    <m/>
    <m/>
    <m/>
    <s v="NA"/>
    <s v="NA"/>
    <s v="NA"/>
    <s v="NA"/>
    <s v="NA"/>
    <s v="NA"/>
    <s v="NA"/>
    <s v="NA"/>
    <n v="0"/>
    <n v="0"/>
    <n v="0"/>
    <n v="0"/>
    <n v="20"/>
    <n v="20"/>
    <s v="Searching"/>
    <m/>
    <m/>
    <m/>
  </r>
  <r>
    <s v="DSCN3819"/>
    <s v="CC0503_6"/>
    <n v="6"/>
    <n v="1"/>
    <s v="CCAMP"/>
    <d v="2019-05-03T00:00:00"/>
    <x v="2"/>
    <m/>
    <d v="1899-12-30T00:47:00"/>
    <s v="Overcast, light snow"/>
    <s v="GB/BS"/>
    <s v="Foraging"/>
    <s v="NA"/>
    <n v="1"/>
    <n v="0"/>
    <n v="0"/>
    <x v="1"/>
    <x v="1"/>
    <s v="Ground"/>
    <s v="NA"/>
    <m/>
    <m/>
    <m/>
    <s v="NA"/>
    <s v="NA"/>
    <s v="NA"/>
    <s v="NA"/>
    <s v="NA"/>
    <s v="NA"/>
    <s v="NA"/>
    <s v="NA"/>
    <n v="0"/>
    <n v="0"/>
    <n v="0"/>
    <n v="0"/>
    <n v="20"/>
    <n v="20"/>
    <s v="Searching"/>
    <m/>
    <m/>
    <m/>
  </r>
  <r>
    <s v="DSCN3811"/>
    <s v="CC0503_2"/>
    <n v="2"/>
    <n v="1"/>
    <s v="CCAMP"/>
    <d v="2019-05-08T00:00:00"/>
    <x v="2"/>
    <m/>
    <d v="1899-12-30T00:20:00"/>
    <s v="Overcast, light snow"/>
    <s v="GB/BS"/>
    <s v="Foraging"/>
    <s v="NA"/>
    <n v="1"/>
    <n v="0"/>
    <n v="0"/>
    <x v="2"/>
    <x v="2"/>
    <s v="Ground"/>
    <s v="NA"/>
    <m/>
    <m/>
    <m/>
    <s v="NA"/>
    <s v="NA"/>
    <s v="NA"/>
    <s v="NA"/>
    <s v="NA"/>
    <s v="NA"/>
    <s v="NA"/>
    <s v="NA"/>
    <n v="0"/>
    <n v="0"/>
    <n v="0"/>
    <n v="0"/>
    <n v="20"/>
    <n v="20"/>
    <s v="Searching"/>
    <m/>
    <m/>
    <m/>
  </r>
  <r>
    <s v="DSCN2626"/>
    <s v="UK0328_3"/>
    <n v="3"/>
    <n v="1"/>
    <s v="Unknown"/>
    <d v="2019-03-28T00:00:00"/>
    <x v="1"/>
    <m/>
    <d v="1899-12-30T00:45:00"/>
    <m/>
    <s v="OW/BS"/>
    <s v="Foraging"/>
    <s v="Spruce"/>
    <s v="unknown"/>
    <s v="unknown"/>
    <s v="Unknown"/>
    <x v="0"/>
    <x v="0"/>
    <s v="NA"/>
    <s v="NA"/>
    <m/>
    <m/>
    <m/>
    <s v="NA"/>
    <s v="NA"/>
    <s v="NA"/>
    <s v="NA"/>
    <s v="NA"/>
    <s v="NA"/>
    <s v="NA"/>
    <m/>
    <n v="20"/>
    <n v="0"/>
    <n v="20"/>
    <n v="0"/>
    <n v="0"/>
    <n v="20"/>
    <s v="Searching/probing"/>
    <m/>
    <n v="3"/>
    <n v="0"/>
  </r>
  <r>
    <s v="DSCN2687"/>
    <s v="M2370330_12"/>
    <n v="12"/>
    <n v="1"/>
    <s v="Mile 237"/>
    <d v="2019-03-30T00:00:00"/>
    <x v="1"/>
    <m/>
    <d v="1899-12-30T00:20:00"/>
    <m/>
    <s v="YP/RS"/>
    <s v="Foraging"/>
    <s v="NA"/>
    <s v="unknown"/>
    <n v="0"/>
    <n v="0"/>
    <x v="0"/>
    <x v="0"/>
    <s v="NA"/>
    <s v="NA"/>
    <m/>
    <m/>
    <m/>
    <s v="NA"/>
    <s v="NA"/>
    <s v="NA"/>
    <s v="NA"/>
    <s v="NA"/>
    <s v="NA"/>
    <s v="NA"/>
    <m/>
    <n v="0"/>
    <n v="0"/>
    <n v="0"/>
    <n v="0"/>
    <n v="20"/>
    <n v="20"/>
    <s v="Searching"/>
    <m/>
    <m/>
    <m/>
  </r>
  <r>
    <s v="DSCN3220"/>
    <s v="M4R0417_4"/>
    <n v="4"/>
    <n v="1"/>
    <s v="M4Roadside"/>
    <d v="2019-04-17T00:00:00"/>
    <x v="0"/>
    <m/>
    <d v="1899-12-30T00:20:00"/>
    <s v="Overcast, light snow"/>
    <s v="YO/BS"/>
    <s v="Foraging"/>
    <s v="NA"/>
    <s v="unknown"/>
    <n v="0"/>
    <n v="0"/>
    <x v="0"/>
    <x v="0"/>
    <s v="NA"/>
    <s v="NA"/>
    <m/>
    <m/>
    <m/>
    <s v="NA"/>
    <s v="NA"/>
    <s v="NA"/>
    <s v="NA"/>
    <s v="NA"/>
    <s v="NA"/>
    <s v="NA"/>
    <m/>
    <n v="0"/>
    <n v="0"/>
    <n v="0"/>
    <n v="0"/>
    <n v="20"/>
    <n v="20"/>
    <m/>
    <m/>
    <m/>
    <m/>
  </r>
  <r>
    <s v="dscn3437"/>
    <s v="SQ0422_1"/>
    <n v="1"/>
    <n v="1"/>
    <s v="Sasquatch"/>
    <d v="2019-04-22T00:00:00"/>
    <x v="0"/>
    <m/>
    <d v="1899-12-30T00:20:00"/>
    <s v="Partly cloudy"/>
    <s v="G/BS"/>
    <s v="Foraging"/>
    <s v="NA"/>
    <s v="unknown"/>
    <n v="0"/>
    <n v="0"/>
    <x v="0"/>
    <x v="0"/>
    <s v="NA"/>
    <s v="NA"/>
    <m/>
    <m/>
    <m/>
    <s v="NA"/>
    <s v="NA"/>
    <s v="NA"/>
    <s v="NA"/>
    <s v="NA"/>
    <s v="NA"/>
    <s v="NA"/>
    <s v="NA"/>
    <n v="0"/>
    <n v="0"/>
    <n v="0"/>
    <n v="0"/>
    <n v="20"/>
    <n v="20"/>
    <s v="Searching"/>
    <m/>
    <m/>
    <m/>
  </r>
  <r>
    <s v="DSCN3476"/>
    <s v="BU0424_13"/>
    <n v="13"/>
    <n v="1"/>
    <s v="B&amp;U"/>
    <d v="2019-04-24T00:00:00"/>
    <x v="0"/>
    <m/>
    <d v="1899-12-30T00:25:00"/>
    <s v="Partly cloudy"/>
    <s v="WP/BS"/>
    <s v="Foraging"/>
    <s v="NA"/>
    <s v="unknown"/>
    <n v="0"/>
    <n v="0"/>
    <x v="0"/>
    <x v="0"/>
    <s v="NA"/>
    <s v="NA"/>
    <m/>
    <m/>
    <m/>
    <s v="NA"/>
    <s v="NA"/>
    <s v="NA"/>
    <s v="NA"/>
    <s v="NA"/>
    <s v="NA"/>
    <s v="NA"/>
    <s v="NA"/>
    <n v="0"/>
    <n v="0"/>
    <n v="0"/>
    <n v="0"/>
    <n v="20"/>
    <n v="20"/>
    <s v="Searching"/>
    <m/>
    <m/>
    <m/>
  </r>
  <r>
    <s v="DSCN3824"/>
    <s v="CC0503_8"/>
    <n v="8"/>
    <n v="1"/>
    <s v="CCAMP"/>
    <d v="2019-05-03T00:00:00"/>
    <x v="2"/>
    <s v="Spring"/>
    <d v="1899-12-30T00:48:00"/>
    <s v="Overcast, light snow"/>
    <s v="GL/RS"/>
    <s v="Foraging"/>
    <s v="NA"/>
    <s v="unknown"/>
    <n v="0"/>
    <n v="0"/>
    <x v="0"/>
    <x v="0"/>
    <s v="NA"/>
    <s v="NA"/>
    <m/>
    <m/>
    <m/>
    <s v="NA"/>
    <s v="NA"/>
    <s v="NA"/>
    <s v="NA"/>
    <s v="NA"/>
    <s v="NA"/>
    <s v="NA"/>
    <s v="NA"/>
    <n v="0"/>
    <n v="0"/>
    <n v="0"/>
    <n v="0"/>
    <n v="20"/>
    <n v="20"/>
    <s v="Searching"/>
    <m/>
    <m/>
    <m/>
  </r>
  <r>
    <s v="DSCN2598"/>
    <s v="M4R0327_4"/>
    <n v="4"/>
    <n v="1"/>
    <s v="M4Roadside"/>
    <d v="2019-03-27T00:00:00"/>
    <x v="1"/>
    <m/>
    <d v="1899-12-30T00:19:00"/>
    <s v="Overcast"/>
    <s v="YO/BS"/>
    <s v="Foraging"/>
    <s v="NA"/>
    <n v="0"/>
    <n v="0"/>
    <n v="0"/>
    <x v="0"/>
    <x v="0"/>
    <s v="NA"/>
    <s v="NA"/>
    <m/>
    <m/>
    <m/>
    <s v="NA"/>
    <s v="NA"/>
    <s v="NA"/>
    <s v="NA"/>
    <s v="NA"/>
    <s v="NA"/>
    <s v="NA"/>
    <m/>
    <n v="0"/>
    <n v="0"/>
    <n v="0"/>
    <n v="0"/>
    <n v="19"/>
    <n v="19"/>
    <s v="Searching"/>
    <s v="Appears to collect something but then drops it. "/>
    <m/>
    <m/>
  </r>
  <r>
    <s v="DSCN2707"/>
    <s v="WW0330_5"/>
    <n v="5"/>
    <n v="1"/>
    <s v="WAC West"/>
    <d v="2019-03-30T00:00:00"/>
    <x v="1"/>
    <m/>
    <d v="1899-12-30T00:19:00"/>
    <m/>
    <s v="BP/PS"/>
    <s v="Foraging"/>
    <s v="NA"/>
    <n v="1"/>
    <n v="0"/>
    <n v="0"/>
    <x v="2"/>
    <x v="2"/>
    <s v="Ground"/>
    <s v="NA"/>
    <m/>
    <m/>
    <m/>
    <s v="NA"/>
    <s v="NA"/>
    <s v="NA"/>
    <s v="NA"/>
    <s v="NA"/>
    <s v="NA"/>
    <s v="NA"/>
    <m/>
    <n v="0"/>
    <n v="0"/>
    <n v="0"/>
    <n v="0"/>
    <n v="19"/>
    <n v="19"/>
    <s v="Searching"/>
    <m/>
    <m/>
    <m/>
  </r>
  <r>
    <s v="DSCN2671"/>
    <s v="M2370330_2"/>
    <n v="2"/>
    <n v="1"/>
    <s v="Mile 237"/>
    <d v="2019-03-30T00:00:00"/>
    <x v="1"/>
    <m/>
    <d v="1899-12-30T00:28:00"/>
    <m/>
    <s v="YP/RS"/>
    <s v="Foraging"/>
    <s v="Spruce"/>
    <n v="1"/>
    <s v="unknown"/>
    <n v="0"/>
    <x v="2"/>
    <x v="2"/>
    <s v="Spruce trunk"/>
    <s v="NA"/>
    <m/>
    <m/>
    <m/>
    <s v="NA"/>
    <s v="NA"/>
    <s v="NA"/>
    <s v="NA"/>
    <s v="NA"/>
    <s v="NA"/>
    <s v="NA"/>
    <m/>
    <n v="19"/>
    <n v="0"/>
    <n v="19"/>
    <n v="0"/>
    <n v="0"/>
    <n v="19"/>
    <s v="Searching"/>
    <m/>
    <m/>
    <m/>
  </r>
  <r>
    <s v="DSCN2974"/>
    <s v="WW0405_19"/>
    <n v="19"/>
    <n v="1"/>
    <s v="WAC West"/>
    <d v="2019-04-05T00:00:00"/>
    <x v="0"/>
    <m/>
    <d v="1899-12-30T00:19:00"/>
    <m/>
    <s v="BP/PS"/>
    <s v="Food handling"/>
    <s v="NA"/>
    <n v="0"/>
    <n v="0"/>
    <n v="0"/>
    <x v="1"/>
    <x v="7"/>
    <s v="NA"/>
    <s v="NA"/>
    <m/>
    <m/>
    <m/>
    <s v="NA"/>
    <s v="NA"/>
    <s v="NA"/>
    <s v="NA"/>
    <s v="NA"/>
    <s v="NA"/>
    <s v="NA"/>
    <m/>
    <n v="0"/>
    <n v="0"/>
    <n v="0"/>
    <n v="0"/>
    <n v="0"/>
    <n v="0"/>
    <m/>
    <m/>
    <m/>
    <m/>
  </r>
  <r>
    <s v="DSCN2975"/>
    <s v="WW0405_20"/>
    <n v="20"/>
    <n v="1"/>
    <s v="WAC West"/>
    <d v="2019-04-05T00:00:00"/>
    <x v="0"/>
    <m/>
    <d v="1899-12-30T00:39:00"/>
    <m/>
    <s v="BP/PS"/>
    <s v="Food handling"/>
    <s v="NA"/>
    <n v="0"/>
    <n v="0"/>
    <n v="0"/>
    <x v="1"/>
    <x v="7"/>
    <s v="NA"/>
    <s v="NA"/>
    <m/>
    <m/>
    <m/>
    <s v="NA"/>
    <s v="NA"/>
    <s v="NA"/>
    <s v="NA"/>
    <s v="NA"/>
    <s v="NA"/>
    <s v="NA"/>
    <m/>
    <n v="0"/>
    <n v="0"/>
    <n v="0"/>
    <n v="0"/>
    <n v="0"/>
    <n v="0"/>
    <m/>
    <m/>
    <m/>
    <m/>
  </r>
  <r>
    <s v="DSCN3756"/>
    <s v="MC0502_2"/>
    <n v="2"/>
    <n v="1"/>
    <s v="Mercantile"/>
    <d v="2019-05-02T00:00:00"/>
    <x v="2"/>
    <m/>
    <d v="1899-12-30T00:55:00"/>
    <s v="Mostly cloudy"/>
    <s v="BW/GS"/>
    <s v="Foraging"/>
    <s v="NA"/>
    <s v="unknown"/>
    <n v="0"/>
    <n v="0"/>
    <x v="0"/>
    <x v="0"/>
    <s v="NA"/>
    <s v="NA"/>
    <m/>
    <m/>
    <m/>
    <s v="NA"/>
    <s v="NA"/>
    <s v="NA"/>
    <s v="NA"/>
    <s v="NA"/>
    <s v="NA"/>
    <s v="NA"/>
    <s v="NA"/>
    <n v="0"/>
    <n v="0"/>
    <n v="0"/>
    <n v="0"/>
    <n v="19"/>
    <n v="19"/>
    <s v="Searching"/>
    <m/>
    <m/>
    <m/>
  </r>
  <r>
    <s v="DSCN2462"/>
    <s v="BL0322_12"/>
    <n v="12"/>
    <n v="1"/>
    <s v="Boulder"/>
    <d v="2019-03-22T00:00:00"/>
    <x v="1"/>
    <m/>
    <d v="1899-12-30T00:18:00"/>
    <s v="Partly cloudy"/>
    <s v="unbanded"/>
    <s v="Foraging"/>
    <s v="NA"/>
    <n v="1"/>
    <n v="0"/>
    <n v="0"/>
    <x v="3"/>
    <x v="3"/>
    <s v="Ground"/>
    <s v="NA"/>
    <m/>
    <m/>
    <m/>
    <s v="NA"/>
    <s v="NA"/>
    <s v="NA"/>
    <s v="NA"/>
    <s v="NA"/>
    <m/>
    <m/>
    <m/>
    <n v="0"/>
    <n v="0"/>
    <n v="0"/>
    <n v="0"/>
    <n v="18"/>
    <n v="18"/>
    <s v="Searching"/>
    <m/>
    <m/>
    <m/>
  </r>
  <r>
    <s v="DSCN2497"/>
    <s v="CC0325_5"/>
    <n v="5"/>
    <n v="1"/>
    <s v="CCAMP"/>
    <d v="2019-03-25T00:00:00"/>
    <x v="1"/>
    <m/>
    <d v="1899-12-30T00:30:00"/>
    <s v="Overcast"/>
    <s v="GB/BS"/>
    <s v="Foraging"/>
    <s v="NA"/>
    <n v="2"/>
    <n v="0"/>
    <n v="0"/>
    <x v="3"/>
    <x v="8"/>
    <s v="Ground"/>
    <s v="NA"/>
    <m/>
    <m/>
    <m/>
    <s v="NA"/>
    <s v="NA"/>
    <s v="NA"/>
    <s v="NA"/>
    <s v="NA"/>
    <m/>
    <m/>
    <m/>
    <n v="0"/>
    <n v="0"/>
    <n v="0"/>
    <n v="0"/>
    <n v="18"/>
    <n v="18"/>
    <s v="Searching"/>
    <s v="Missed initial acquisition"/>
    <m/>
    <m/>
  </r>
  <r>
    <s v="DSCN2555"/>
    <s v="M2370326_9"/>
    <n v="9"/>
    <n v="1"/>
    <s v="Mile 237"/>
    <d v="2019-03-26T00:00:00"/>
    <x v="1"/>
    <m/>
    <d v="1899-12-30T00:23:00"/>
    <s v="Mostly sunny"/>
    <s v="YP/RS"/>
    <s v="Foraging"/>
    <s v="NA"/>
    <n v="0"/>
    <n v="0"/>
    <n v="0"/>
    <x v="0"/>
    <x v="0"/>
    <s v="NA"/>
    <s v="NA"/>
    <m/>
    <m/>
    <m/>
    <s v="NA"/>
    <s v="NA"/>
    <s v="NA"/>
    <s v="NA"/>
    <s v="NA"/>
    <m/>
    <m/>
    <m/>
    <n v="0"/>
    <n v="0"/>
    <n v="0"/>
    <n v="0"/>
    <n v="18"/>
    <n v="18"/>
    <s v="Searching"/>
    <m/>
    <m/>
    <m/>
  </r>
  <r>
    <s v="DSCN2838"/>
    <s v="M2370403_7"/>
    <n v="7"/>
    <n v="1"/>
    <s v="Mile 237"/>
    <d v="2019-04-03T00:00:00"/>
    <x v="0"/>
    <m/>
    <d v="1899-12-30T00:18:00"/>
    <m/>
    <s v="YP/RS"/>
    <s v="Foraging"/>
    <s v="Spruce"/>
    <n v="0"/>
    <n v="0"/>
    <n v="0"/>
    <x v="0"/>
    <x v="0"/>
    <s v="NA"/>
    <s v="NA"/>
    <m/>
    <m/>
    <m/>
    <s v="NA"/>
    <s v="NA"/>
    <s v="NA"/>
    <s v="NA"/>
    <s v="NA"/>
    <s v="NA"/>
    <s v="NA"/>
    <m/>
    <n v="18"/>
    <n v="0"/>
    <n v="18"/>
    <n v="0"/>
    <n v="0"/>
    <n v="18"/>
    <s v="Searching"/>
    <m/>
    <m/>
    <m/>
  </r>
  <r>
    <s v="DSCN3223"/>
    <s v="M4R0417_6"/>
    <n v="6"/>
    <n v="1"/>
    <s v="M4Roadside"/>
    <d v="2019-04-17T00:00:00"/>
    <x v="0"/>
    <m/>
    <d v="1899-12-30T00:18:00"/>
    <s v="Overcast, light snow"/>
    <s v="YO/BS"/>
    <s v="Foraging"/>
    <s v="NA"/>
    <n v="0"/>
    <n v="0"/>
    <n v="0"/>
    <x v="0"/>
    <x v="0"/>
    <s v="NA"/>
    <s v="NA"/>
    <m/>
    <m/>
    <m/>
    <s v="NA"/>
    <s v="NA"/>
    <s v="NA"/>
    <s v="NA"/>
    <s v="NA"/>
    <s v="NA"/>
    <s v="NA"/>
    <m/>
    <n v="0"/>
    <n v="0"/>
    <n v="0"/>
    <n v="0"/>
    <n v="18"/>
    <n v="18"/>
    <m/>
    <m/>
    <m/>
    <m/>
  </r>
  <r>
    <s v="DSCN3412"/>
    <s v="CC0422_15"/>
    <n v="15"/>
    <n v="2"/>
    <s v="CCAMP"/>
    <d v="2019-04-22T00:00:00"/>
    <x v="0"/>
    <s v="Spring"/>
    <d v="1899-12-30T01:05:00"/>
    <s v="Partly cloudy"/>
    <s v="GL/RS"/>
    <s v="Foraging"/>
    <s v="Spruce"/>
    <n v="1"/>
    <n v="1"/>
    <n v="0"/>
    <x v="2"/>
    <x v="2"/>
    <s v="Exterior spruce branch Under bark"/>
    <s v="NA"/>
    <m/>
    <m/>
    <m/>
    <s v="NA"/>
    <s v="NA"/>
    <s v="NA"/>
    <s v="NA"/>
    <s v="NA"/>
    <n v="63.722279999999998"/>
    <n v="148.94917000000001"/>
    <s v="NA"/>
    <n v="18"/>
    <n v="0"/>
    <n v="0"/>
    <n v="18"/>
    <n v="0"/>
    <n v="18"/>
    <s v="Probing"/>
    <m/>
    <n v="4"/>
    <n v="0"/>
  </r>
  <r>
    <s v="DSCN3568"/>
    <s v="CC0425_33"/>
    <n v="33"/>
    <n v="1"/>
    <s v="CCAMP"/>
    <d v="2019-04-25T00:00:00"/>
    <x v="0"/>
    <m/>
    <d v="1899-12-30T00:18:00"/>
    <s v="Partly cloudy"/>
    <s v="GB/BS"/>
    <s v="Foraging"/>
    <s v="NA"/>
    <n v="0"/>
    <n v="0"/>
    <n v="0"/>
    <x v="0"/>
    <x v="0"/>
    <s v="NA"/>
    <s v="NA"/>
    <m/>
    <m/>
    <m/>
    <s v="NA"/>
    <s v="NA"/>
    <s v="NA"/>
    <s v="NA"/>
    <s v="NA"/>
    <s v="NA"/>
    <s v="NA"/>
    <s v="NA"/>
    <n v="0"/>
    <n v="0"/>
    <n v="0"/>
    <n v="0"/>
    <n v="18"/>
    <n v="18"/>
    <s v="Searching"/>
    <m/>
    <m/>
    <m/>
  </r>
  <r>
    <s v="DSCN3651"/>
    <s v="M4R0430_9"/>
    <n v="9"/>
    <n v="1"/>
    <s v="M4Roadside"/>
    <d v="2019-04-30T00:00:00"/>
    <x v="0"/>
    <m/>
    <d v="1899-12-30T01:36:00"/>
    <s v="Clear, full sun"/>
    <s v="OB/YS"/>
    <s v="Foraging"/>
    <s v="Spruce"/>
    <n v="1"/>
    <n v="1"/>
    <n v="0"/>
    <x v="2"/>
    <x v="2"/>
    <s v="Exterior spruce branch under witchhair"/>
    <s v="NA"/>
    <m/>
    <m/>
    <m/>
    <s v="NA"/>
    <s v="NA"/>
    <s v="NA"/>
    <s v="NA"/>
    <s v="NA"/>
    <n v="63.720140000000001"/>
    <n v="148.98885999999999"/>
    <s v="NA"/>
    <n v="18"/>
    <n v="0"/>
    <n v="0"/>
    <n v="18"/>
    <n v="0"/>
    <n v="18"/>
    <s v="Probing"/>
    <s v="Recovered a cache in the tree next to YO/BS's cache tree so used same waypoint, but it wasn't the exact same tree. "/>
    <n v="1"/>
    <n v="0"/>
  </r>
  <r>
    <s v="DSCN3307"/>
    <s v="MC0418_8"/>
    <n v="8"/>
    <n v="1"/>
    <s v="Mercantile"/>
    <d v="2019-04-18T00:00:00"/>
    <x v="0"/>
    <m/>
    <d v="1899-12-30T00:31:00"/>
    <s v="Overcast"/>
    <s v="BW/GS"/>
    <s v="Foraging"/>
    <s v="NA"/>
    <s v="unknown"/>
    <n v="0"/>
    <n v="0"/>
    <x v="0"/>
    <x v="0"/>
    <s v="NA"/>
    <s v="NA"/>
    <m/>
    <m/>
    <m/>
    <s v="NA"/>
    <s v="NA"/>
    <s v="NA"/>
    <s v="NA"/>
    <s v="NA"/>
    <s v="NA"/>
    <s v="NA"/>
    <s v="NA"/>
    <n v="0"/>
    <n v="0"/>
    <n v="0"/>
    <n v="0"/>
    <n v="18"/>
    <n v="18"/>
    <s v="Searching"/>
    <m/>
    <m/>
    <m/>
  </r>
  <r>
    <s v="DSCN3447"/>
    <s v="SQ0422_5"/>
    <n v="5"/>
    <n v="3"/>
    <s v="Sasquatch"/>
    <d v="2019-04-22T00:00:00"/>
    <x v="0"/>
    <m/>
    <d v="1899-12-30T00:32:00"/>
    <s v="Partly cloudy"/>
    <s v="G/BS"/>
    <s v="Foraging"/>
    <s v="NA"/>
    <s v="unknown"/>
    <n v="0"/>
    <n v="0"/>
    <x v="0"/>
    <x v="0"/>
    <s v="NA"/>
    <s v="NA"/>
    <m/>
    <m/>
    <m/>
    <s v="NA"/>
    <s v="NA"/>
    <s v="NA"/>
    <s v="NA"/>
    <s v="NA"/>
    <s v="NA"/>
    <s v="NA"/>
    <s v="NA"/>
    <n v="0"/>
    <n v="0"/>
    <n v="0"/>
    <n v="0"/>
    <n v="18"/>
    <n v="18"/>
    <s v="Searching"/>
    <s v="once it drops to the ground it looks like it has another buggy thing, but maybe same thing from before? "/>
    <m/>
    <m/>
  </r>
  <r>
    <s v="DSCN3863"/>
    <s v="BU0505_5"/>
    <n v="5"/>
    <n v="1"/>
    <s v="B&amp;U"/>
    <d v="2019-05-05T00:00:00"/>
    <x v="2"/>
    <m/>
    <d v="1899-12-30T00:18:00"/>
    <s v="Mostly cloudy"/>
    <s v="GR/PS"/>
    <s v="Foraging"/>
    <s v="NA"/>
    <s v="unknown"/>
    <n v="0"/>
    <n v="0"/>
    <x v="0"/>
    <x v="0"/>
    <s v="NA"/>
    <s v="NA"/>
    <m/>
    <m/>
    <m/>
    <s v="NA"/>
    <s v="NA"/>
    <s v="NA"/>
    <s v="NA"/>
    <s v="NA"/>
    <s v="NA"/>
    <s v="NA"/>
    <s v="NA"/>
    <n v="0"/>
    <n v="0"/>
    <n v="0"/>
    <n v="0"/>
    <n v="18"/>
    <n v="18"/>
    <s v="Searching"/>
    <m/>
    <m/>
    <m/>
  </r>
  <r>
    <s v="DSCN2396"/>
    <s v="TAI0320_13"/>
    <n v="13"/>
    <n v="1"/>
    <s v="Taiga"/>
    <d v="2019-03-20T00:00:00"/>
    <x v="1"/>
    <m/>
    <d v="1899-12-30T00:26:00"/>
    <s v="Partly cloudy"/>
    <s v="OO/BS"/>
    <s v="Foraging"/>
    <s v="Spruce"/>
    <n v="1"/>
    <s v="unknown"/>
    <s v="NA"/>
    <x v="2"/>
    <x v="2"/>
    <s v="Under bark of spruce trunk"/>
    <s v="NA"/>
    <m/>
    <m/>
    <m/>
    <s v="NA"/>
    <s v="NA"/>
    <s v="NA"/>
    <s v="NA"/>
    <s v="NA"/>
    <m/>
    <m/>
    <m/>
    <n v="17"/>
    <n v="0"/>
    <n v="17"/>
    <n v="0"/>
    <n v="0"/>
    <n v="17"/>
    <s v="Searching/probing"/>
    <m/>
    <n v="2"/>
    <n v="0"/>
  </r>
  <r>
    <s v="DSCN2394"/>
    <s v="TAI0320_11"/>
    <n v="11"/>
    <n v="1"/>
    <s v="Taiga"/>
    <d v="2019-03-20T00:00:00"/>
    <x v="1"/>
    <m/>
    <d v="1899-12-30T00:52:00"/>
    <s v="Partly cloudy"/>
    <s v="OO/BS"/>
    <s v="Foraging"/>
    <s v="Spruce"/>
    <n v="1"/>
    <s v="unknown"/>
    <n v="0"/>
    <x v="2"/>
    <x v="2"/>
    <s v="Exterior foliage"/>
    <s v="NA"/>
    <m/>
    <m/>
    <m/>
    <s v="NA"/>
    <s v="NA"/>
    <s v="NA"/>
    <s v="NA"/>
    <s v="NA"/>
    <m/>
    <m/>
    <m/>
    <n v="17"/>
    <m/>
    <n v="17"/>
    <n v="0"/>
    <n v="0"/>
    <n v="17"/>
    <s v="Searching"/>
    <m/>
    <n v="0"/>
    <n v="0"/>
  </r>
  <r>
    <s v="DSCN2471"/>
    <s v="TAI0322_1"/>
    <n v="1"/>
    <n v="1"/>
    <s v="Taiga"/>
    <d v="2019-03-22T00:00:00"/>
    <x v="1"/>
    <m/>
    <d v="1899-12-30T02:09:00"/>
    <s v="Partly cloudy"/>
    <s v="OO/BS"/>
    <s v="Foraging"/>
    <s v="NA"/>
    <n v="1"/>
    <n v="0"/>
    <n v="0"/>
    <x v="2"/>
    <x v="2"/>
    <s v="Ground"/>
    <s v="NA"/>
    <m/>
    <m/>
    <m/>
    <s v="NA"/>
    <s v="NA"/>
    <s v="NA"/>
    <s v="NA"/>
    <s v="NA"/>
    <m/>
    <m/>
    <m/>
    <n v="0"/>
    <n v="0"/>
    <n v="0"/>
    <n v="0"/>
    <n v="17"/>
    <n v="17"/>
    <s v="Searching"/>
    <m/>
    <m/>
    <m/>
  </r>
  <r>
    <s v="DSCN2527"/>
    <s v="M4R0325_16"/>
    <n v="16"/>
    <n v="1"/>
    <s v="M4Roadside"/>
    <d v="2019-03-25T00:00:00"/>
    <x v="1"/>
    <m/>
    <d v="1899-12-30T00:18:00"/>
    <s v="Mostly sunny"/>
    <s v="YO/BS"/>
    <s v="Foraging"/>
    <s v="NA"/>
    <n v="0"/>
    <n v="0"/>
    <n v="0"/>
    <x v="0"/>
    <x v="0"/>
    <s v="NA"/>
    <s v="NA"/>
    <m/>
    <m/>
    <m/>
    <s v="NA"/>
    <s v="NA"/>
    <s v="NA"/>
    <s v="NA"/>
    <s v="NA"/>
    <m/>
    <m/>
    <m/>
    <n v="0"/>
    <n v="0"/>
    <n v="0"/>
    <n v="0"/>
    <n v="17"/>
    <n v="17"/>
    <s v="Searching"/>
    <m/>
    <m/>
    <m/>
  </r>
  <r>
    <s v="DSCN2685"/>
    <s v="M2370330_17"/>
    <n v="17"/>
    <n v="1"/>
    <s v="Mile 237"/>
    <d v="2019-03-30T00:00:00"/>
    <x v="1"/>
    <m/>
    <d v="1899-12-30T00:20:00"/>
    <m/>
    <s v="YP/RS"/>
    <s v="Foraging"/>
    <s v="NA"/>
    <n v="1"/>
    <n v="0"/>
    <n v="0"/>
    <x v="2"/>
    <x v="2"/>
    <s v="Ground"/>
    <s v="NA"/>
    <m/>
    <m/>
    <m/>
    <s v="NA"/>
    <s v="NA"/>
    <s v="NA"/>
    <s v="NA"/>
    <s v="NA"/>
    <s v="NA"/>
    <s v="NA"/>
    <m/>
    <n v="0"/>
    <n v="0"/>
    <n v="0"/>
    <n v="0"/>
    <n v="17"/>
    <n v="17"/>
    <s v="Searching"/>
    <m/>
    <m/>
    <m/>
  </r>
  <r>
    <s v="DSCN2751"/>
    <s v="BU0401_11"/>
    <n v="11"/>
    <n v="1"/>
    <s v="BU"/>
    <d v="2019-04-01T00:00:00"/>
    <x v="0"/>
    <m/>
    <d v="1899-12-30T00:19:00"/>
    <m/>
    <s v="GR/PS"/>
    <s v="Foraging"/>
    <s v="NA"/>
    <n v="0"/>
    <n v="0"/>
    <n v="0"/>
    <x v="0"/>
    <x v="0"/>
    <s v="NA"/>
    <s v="NA"/>
    <m/>
    <m/>
    <m/>
    <s v="NA"/>
    <s v="NA"/>
    <s v="NA"/>
    <s v="NA"/>
    <s v="NA"/>
    <s v="NA"/>
    <s v="NA"/>
    <m/>
    <n v="0"/>
    <n v="0"/>
    <n v="0"/>
    <n v="0"/>
    <n v="17"/>
    <n v="17"/>
    <s v="Searching"/>
    <m/>
    <m/>
    <m/>
  </r>
  <r>
    <s v="DSCN2973"/>
    <s v="WW0405_18"/>
    <n v="18"/>
    <n v="1"/>
    <s v="WAC West"/>
    <d v="2019-04-05T00:00:00"/>
    <x v="0"/>
    <m/>
    <d v="1899-12-30T00:17:00"/>
    <m/>
    <s v="BP/PS"/>
    <s v="Foraging"/>
    <s v="NA"/>
    <n v="1"/>
    <n v="0"/>
    <n v="0"/>
    <x v="1"/>
    <x v="21"/>
    <s v="Ground"/>
    <s v="NA"/>
    <m/>
    <m/>
    <m/>
    <s v="NA"/>
    <s v="NA"/>
    <s v="NA"/>
    <s v="NA"/>
    <s v="NA"/>
    <s v="NA"/>
    <s v="NA"/>
    <m/>
    <n v="0"/>
    <n v="0"/>
    <n v="0"/>
    <n v="0"/>
    <n v="17"/>
    <n v="17"/>
    <s v="Searching"/>
    <m/>
    <m/>
    <m/>
  </r>
  <r>
    <s v="DSCN3046"/>
    <s v="UNK0411_1"/>
    <n v="1"/>
    <n v="1"/>
    <s v="Unknown"/>
    <d v="2019-04-11T00:00:00"/>
    <x v="0"/>
    <m/>
    <d v="1899-12-30T00:30:00"/>
    <m/>
    <s v="unbanded"/>
    <s v="Foraging"/>
    <s v="Spruce"/>
    <n v="1"/>
    <s v="unknown"/>
    <n v="0"/>
    <x v="2"/>
    <x v="22"/>
    <s v="Interior spruce foliage "/>
    <s v="NA"/>
    <m/>
    <m/>
    <m/>
    <s v="NA"/>
    <s v="NA"/>
    <s v="NA"/>
    <s v="NA"/>
    <s v="NA"/>
    <s v="NA"/>
    <s v="NA"/>
    <m/>
    <n v="6"/>
    <n v="11"/>
    <n v="11"/>
    <n v="6"/>
    <n v="0"/>
    <n v="17"/>
    <s v="Searching"/>
    <m/>
    <m/>
    <m/>
  </r>
  <r>
    <s v="DSCN3342"/>
    <s v="SQ0422_2"/>
    <n v="2"/>
    <n v="1"/>
    <s v="Sasquatch"/>
    <d v="2019-04-22T00:00:00"/>
    <x v="0"/>
    <m/>
    <d v="1899-12-30T00:27:00"/>
    <s v="Partly cloudy"/>
    <s v="G/BS"/>
    <s v="Foraging"/>
    <s v="NA"/>
    <n v="1"/>
    <n v="0"/>
    <n v="0"/>
    <x v="1"/>
    <x v="4"/>
    <s v="Ground"/>
    <s v="NA"/>
    <m/>
    <m/>
    <m/>
    <s v="NA"/>
    <s v="NA"/>
    <s v="NA"/>
    <s v="NA"/>
    <s v="NA"/>
    <s v="NA"/>
    <s v="NA"/>
    <s v="NA"/>
    <n v="0"/>
    <n v="0"/>
    <n v="0"/>
    <n v="0"/>
    <n v="17"/>
    <n v="17"/>
    <s v="Searching"/>
    <m/>
    <m/>
    <m/>
  </r>
  <r>
    <s v="DSCN3356"/>
    <s v="WW0422_4"/>
    <n v="4"/>
    <n v="1"/>
    <s v="WAC West"/>
    <d v="2019-04-22T00:00:00"/>
    <x v="0"/>
    <m/>
    <d v="1899-12-30T00:17:00"/>
    <s v="Partly cloudy"/>
    <s v="BP/PS"/>
    <s v="Foraging"/>
    <s v="NA"/>
    <n v="0"/>
    <n v="0"/>
    <n v="0"/>
    <x v="0"/>
    <x v="0"/>
    <s v="NA"/>
    <s v="NA"/>
    <m/>
    <m/>
    <m/>
    <s v="NA"/>
    <s v="NA"/>
    <s v="NA"/>
    <s v="NA"/>
    <s v="NA"/>
    <s v="NA"/>
    <s v="NA"/>
    <s v="NA"/>
    <n v="0"/>
    <n v="0"/>
    <n v="0"/>
    <n v="0"/>
    <n v="17"/>
    <n v="17"/>
    <m/>
    <m/>
    <m/>
    <m/>
  </r>
  <r>
    <s v="DSCN3454"/>
    <s v="BU0424_1"/>
    <n v="1"/>
    <n v="1"/>
    <s v="B&amp;U"/>
    <d v="2019-04-24T00:00:00"/>
    <x v="0"/>
    <m/>
    <d v="1899-12-30T01:26:00"/>
    <s v="Partly cloudy"/>
    <s v="GR/PS"/>
    <s v="Foraging"/>
    <s v="NA"/>
    <n v="1"/>
    <n v="0"/>
    <n v="0"/>
    <x v="3"/>
    <x v="8"/>
    <s v="Ground"/>
    <s v="NA"/>
    <m/>
    <m/>
    <m/>
    <s v="NA"/>
    <s v="NA"/>
    <s v="NA"/>
    <s v="NA"/>
    <s v="NA"/>
    <s v="NA"/>
    <s v="NA"/>
    <s v="NA"/>
    <n v="0"/>
    <n v="0"/>
    <n v="0"/>
    <n v="0"/>
    <n v="17"/>
    <n v="17"/>
    <s v="Searching"/>
    <m/>
    <m/>
    <m/>
  </r>
  <r>
    <s v="DSCN3840"/>
    <s v="CC0503_20"/>
    <n v="20"/>
    <n v="1"/>
    <s v="CCAMP"/>
    <d v="2019-05-03T00:00:00"/>
    <x v="2"/>
    <s v="Spring"/>
    <d v="1899-12-30T00:17:00"/>
    <s v="Overcast, light snow"/>
    <s v="GL/RS"/>
    <s v="Foraging"/>
    <s v="NA"/>
    <n v="1"/>
    <n v="0"/>
    <n v="0"/>
    <x v="2"/>
    <x v="2"/>
    <s v="Ground"/>
    <s v="NA"/>
    <m/>
    <m/>
    <m/>
    <s v="NA"/>
    <s v="NA"/>
    <s v="NA"/>
    <s v="NA"/>
    <s v="NA"/>
    <s v="NA"/>
    <s v="NA"/>
    <s v="NA"/>
    <n v="0"/>
    <n v="0"/>
    <n v="0"/>
    <n v="0"/>
    <n v="17"/>
    <n v="17"/>
    <s v="Searching"/>
    <m/>
    <m/>
    <m/>
  </r>
  <r>
    <s v="DSCN2604"/>
    <s v="M4R0327_8"/>
    <n v="8"/>
    <n v="1"/>
    <s v="M4Roadside"/>
    <d v="2019-03-27T00:00:00"/>
    <x v="1"/>
    <m/>
    <d v="1899-12-30T00:17:00"/>
    <s v="Overcast"/>
    <s v="YO/BS"/>
    <s v="Foraging"/>
    <s v="NA"/>
    <s v="unknown"/>
    <n v="0"/>
    <n v="0"/>
    <x v="0"/>
    <x v="0"/>
    <s v="NA"/>
    <s v="NA"/>
    <m/>
    <m/>
    <m/>
    <s v="NA"/>
    <s v="NA"/>
    <s v="NA"/>
    <s v="NA"/>
    <s v="NA"/>
    <s v="NA"/>
    <s v="NA"/>
    <m/>
    <n v="0"/>
    <n v="0"/>
    <n v="0"/>
    <n v="0"/>
    <n v="17"/>
    <n v="17"/>
    <s v="Searching"/>
    <m/>
    <m/>
    <m/>
  </r>
  <r>
    <s v="DSCN3411"/>
    <s v="CC0422_14"/>
    <n v="14"/>
    <n v="1"/>
    <s v="CCAMP"/>
    <d v="2019-04-22T00:00:00"/>
    <x v="0"/>
    <s v="Spring"/>
    <d v="1899-12-30T00:19:00"/>
    <s v="Partly cloudy"/>
    <s v="GL/RS"/>
    <s v="Foraging"/>
    <s v="NA"/>
    <s v="unknown"/>
    <n v="0"/>
    <n v="0"/>
    <x v="0"/>
    <x v="0"/>
    <s v="NA"/>
    <s v="NA"/>
    <m/>
    <m/>
    <m/>
    <s v="NA"/>
    <s v="NA"/>
    <s v="NA"/>
    <s v="NA"/>
    <s v="NA"/>
    <s v="NA"/>
    <s v="NA"/>
    <s v="NA"/>
    <n v="0"/>
    <n v="0"/>
    <n v="0"/>
    <n v="0"/>
    <n v="17"/>
    <n v="17"/>
    <s v="Searching"/>
    <m/>
    <m/>
    <m/>
  </r>
  <r>
    <s v="DSCN2807"/>
    <s v="CC0402_3"/>
    <n v="3"/>
    <n v="1"/>
    <s v="CCAMP"/>
    <d v="2019-04-02T00:00:00"/>
    <x v="0"/>
    <m/>
    <d v="1899-12-30T00:16:00"/>
    <m/>
    <s v="GB/BS"/>
    <s v="Foraging"/>
    <s v="NA"/>
    <n v="0"/>
    <n v="0"/>
    <n v="0"/>
    <x v="0"/>
    <x v="0"/>
    <s v="NA"/>
    <s v="NA"/>
    <m/>
    <m/>
    <m/>
    <s v="NA"/>
    <s v="NA"/>
    <s v="NA"/>
    <s v="NA"/>
    <s v="NA"/>
    <s v="NA"/>
    <s v="NA"/>
    <m/>
    <n v="0"/>
    <n v="0"/>
    <n v="0"/>
    <n v="0"/>
    <n v="16"/>
    <n v="16"/>
    <s v="Searching"/>
    <m/>
    <m/>
    <m/>
  </r>
  <r>
    <s v="DSCN3199"/>
    <s v="CC0416_2"/>
    <n v="2"/>
    <n v="1"/>
    <s v="CCAMP"/>
    <d v="2019-04-16T00:00:00"/>
    <x v="0"/>
    <m/>
    <d v="1899-12-30T00:20:00"/>
    <s v="Mostly cloudy"/>
    <s v="GB/BS"/>
    <s v="Foraging"/>
    <s v="Spruce"/>
    <n v="0"/>
    <n v="0"/>
    <n v="0"/>
    <x v="0"/>
    <x v="0"/>
    <s v="NA"/>
    <s v="NA"/>
    <m/>
    <m/>
    <m/>
    <s v="NA"/>
    <s v="NA"/>
    <s v="NA"/>
    <s v="NA"/>
    <s v="NA"/>
    <s v="NA"/>
    <s v="NA"/>
    <m/>
    <n v="11"/>
    <n v="0"/>
    <n v="11"/>
    <n v="0"/>
    <n v="5"/>
    <n v="16"/>
    <s v="Searching"/>
    <s v="In slowmo you can see that it is not caching, but rather chasing an insect.  The bug gets away "/>
    <m/>
    <m/>
  </r>
  <r>
    <s v="DSCN3160"/>
    <s v="MC0416_3"/>
    <n v="3"/>
    <n v="1"/>
    <s v="Mercantile"/>
    <d v="2019-04-16T00:00:00"/>
    <x v="0"/>
    <m/>
    <d v="1899-12-30T00:26:00"/>
    <s v="Mostly cloudy"/>
    <s v="BW/GS"/>
    <s v="Foraging"/>
    <s v="Spruce"/>
    <n v="0"/>
    <n v="0"/>
    <n v="0"/>
    <x v="0"/>
    <x v="0"/>
    <s v="NA"/>
    <s v="NA"/>
    <m/>
    <m/>
    <m/>
    <s v="NA"/>
    <s v="NA"/>
    <s v="NA"/>
    <s v="NA"/>
    <s v="NA"/>
    <s v="NA"/>
    <s v="NA"/>
    <m/>
    <n v="0"/>
    <n v="16"/>
    <n v="0"/>
    <n v="16"/>
    <n v="0"/>
    <n v="16"/>
    <s v="Searching"/>
    <m/>
    <m/>
    <m/>
  </r>
  <r>
    <s v="DSCN3234"/>
    <s v="M4R0417_16"/>
    <n v="16"/>
    <n v="1"/>
    <s v="M4Roadside"/>
    <d v="2019-04-17T00:00:00"/>
    <x v="0"/>
    <m/>
    <d v="1899-12-30T00:16:00"/>
    <s v="Overcast, light snow"/>
    <s v="YO/BS"/>
    <s v="Foraging"/>
    <s v="Spruce"/>
    <n v="1"/>
    <s v="unknown"/>
    <n v="0"/>
    <x v="2"/>
    <x v="2"/>
    <s v="Spruce trunk under bark"/>
    <s v="NA"/>
    <m/>
    <m/>
    <m/>
    <s v="NA"/>
    <s v="NA"/>
    <s v="NA"/>
    <s v="NA"/>
    <s v="NA"/>
    <s v="NA"/>
    <s v="NA"/>
    <m/>
    <n v="8"/>
    <n v="0"/>
    <n v="8"/>
    <n v="0"/>
    <n v="8"/>
    <n v="16"/>
    <s v="Searching/probing"/>
    <m/>
    <n v="1"/>
    <n v="0"/>
  </r>
  <r>
    <s v="DSCN3378"/>
    <s v="WW0422_20"/>
    <n v="20"/>
    <n v="1"/>
    <s v="WAC West"/>
    <d v="2019-04-22T00:00:00"/>
    <x v="0"/>
    <m/>
    <d v="1899-12-30T00:16:00"/>
    <s v="Partly cloudy"/>
    <s v="BP/PS"/>
    <s v="Foraging"/>
    <s v="NA"/>
    <n v="0"/>
    <n v="0"/>
    <n v="0"/>
    <x v="0"/>
    <x v="0"/>
    <s v="NA"/>
    <s v="NA"/>
    <m/>
    <m/>
    <m/>
    <s v="NA"/>
    <s v="NA"/>
    <s v="NA"/>
    <s v="NA"/>
    <s v="NA"/>
    <s v="NA"/>
    <s v="NA"/>
    <s v="NA"/>
    <n v="0"/>
    <n v="0"/>
    <n v="0"/>
    <n v="0"/>
    <n v="16"/>
    <n v="16"/>
    <s v="Searching"/>
    <m/>
    <m/>
    <m/>
  </r>
  <r>
    <s v="DSCN3457"/>
    <s v="BU0424_2"/>
    <n v="2"/>
    <n v="1"/>
    <s v="B&amp;U"/>
    <d v="2019-04-24T00:00:00"/>
    <x v="0"/>
    <m/>
    <d v="1899-12-30T00:16:00"/>
    <s v="Partly cloudy"/>
    <s v="GR/PS"/>
    <s v="Foraging"/>
    <s v="NA"/>
    <n v="0"/>
    <n v="0"/>
    <n v="0"/>
    <x v="0"/>
    <x v="0"/>
    <s v="NA"/>
    <s v="NA"/>
    <m/>
    <m/>
    <m/>
    <s v="NA"/>
    <s v="NA"/>
    <s v="NA"/>
    <s v="NA"/>
    <s v="NA"/>
    <s v="NA"/>
    <s v="NA"/>
    <s v="NA"/>
    <n v="0"/>
    <n v="0"/>
    <n v="0"/>
    <n v="0"/>
    <n v="16"/>
    <n v="16"/>
    <s v="Searching"/>
    <m/>
    <m/>
    <m/>
  </r>
  <r>
    <s v="DSCN3723"/>
    <s v="CC0430_14"/>
    <n v="14"/>
    <n v="1"/>
    <s v="CCAMP"/>
    <d v="2019-04-30T00:00:00"/>
    <x v="0"/>
    <s v="Spring"/>
    <d v="1899-12-30T00:28:00"/>
    <s v="Clear, full sun"/>
    <s v="GL/RS"/>
    <s v="Foraging"/>
    <s v="Spruce"/>
    <n v="1"/>
    <s v="unknown"/>
    <n v="0"/>
    <x v="2"/>
    <x v="2"/>
    <s v="Exterior spruce foliage"/>
    <s v="NA"/>
    <m/>
    <m/>
    <m/>
    <s v="NA"/>
    <s v="NA"/>
    <s v="NA"/>
    <s v="NA"/>
    <s v="NA"/>
    <s v="NA"/>
    <s v="NA"/>
    <s v="NA"/>
    <n v="0"/>
    <n v="16"/>
    <n v="0"/>
    <n v="16"/>
    <n v="0"/>
    <n v="16"/>
    <s v="Probing"/>
    <m/>
    <n v="1"/>
    <m/>
  </r>
  <r>
    <s v="DSCN3838"/>
    <s v="CC0503_18"/>
    <n v="18"/>
    <n v="1"/>
    <s v="CCAMP"/>
    <d v="2019-05-03T00:00:00"/>
    <x v="2"/>
    <m/>
    <d v="1899-12-30T00:16:00"/>
    <s v="Overcast, light snow"/>
    <s v="GB/BS"/>
    <s v="Foraging"/>
    <s v="NA"/>
    <n v="1"/>
    <n v="0"/>
    <n v="0"/>
    <x v="1"/>
    <x v="1"/>
    <s v="Ground"/>
    <s v="NA"/>
    <m/>
    <m/>
    <m/>
    <s v="NA"/>
    <s v="NA"/>
    <s v="NA"/>
    <s v="NA"/>
    <s v="NA"/>
    <s v="NA"/>
    <s v="NA"/>
    <s v="NA"/>
    <n v="0"/>
    <n v="0"/>
    <n v="0"/>
    <n v="0"/>
    <n v="16"/>
    <n v="16"/>
    <s v="Searching"/>
    <m/>
    <m/>
    <m/>
  </r>
  <r>
    <s v="DSCN2458"/>
    <s v="BL0322_8"/>
    <n v="8"/>
    <n v="1"/>
    <s v="Boulder"/>
    <d v="2019-03-22T00:00:00"/>
    <x v="1"/>
    <m/>
    <d v="1899-12-30T00:16:00"/>
    <s v="Partly cloudy"/>
    <s v="unbanded"/>
    <s v="Foraging"/>
    <s v="NA"/>
    <s v="unknown"/>
    <n v="0"/>
    <n v="0"/>
    <x v="0"/>
    <x v="0"/>
    <s v="NA"/>
    <s v="NA"/>
    <m/>
    <m/>
    <m/>
    <s v="NA"/>
    <s v="NA"/>
    <s v="NA"/>
    <s v="NA"/>
    <s v="NA"/>
    <m/>
    <m/>
    <m/>
    <n v="0"/>
    <n v="0"/>
    <n v="0"/>
    <n v="0"/>
    <n v="16"/>
    <n v="16"/>
    <s v="Searching"/>
    <m/>
    <m/>
    <m/>
  </r>
  <r>
    <s v="DSCN2459"/>
    <s v="BL0322_9"/>
    <n v="9"/>
    <n v="1"/>
    <s v="Boulder"/>
    <d v="2019-03-22T00:00:00"/>
    <x v="1"/>
    <m/>
    <d v="1899-12-30T00:16:00"/>
    <s v="Partly cloudy"/>
    <s v="unbanded"/>
    <s v="Foraging"/>
    <s v="NA"/>
    <s v="unknown"/>
    <n v="0"/>
    <n v="0"/>
    <x v="0"/>
    <x v="0"/>
    <s v="NA"/>
    <s v="NA"/>
    <m/>
    <m/>
    <m/>
    <s v="NA"/>
    <s v="NA"/>
    <s v="NA"/>
    <s v="NA"/>
    <s v="NA"/>
    <m/>
    <m/>
    <m/>
    <n v="0"/>
    <n v="0"/>
    <n v="0"/>
    <n v="0"/>
    <n v="16"/>
    <n v="16"/>
    <s v="Searching"/>
    <m/>
    <m/>
    <m/>
  </r>
  <r>
    <s v="DSCN2698"/>
    <s v="M2370330_20"/>
    <n v="20"/>
    <n v="1"/>
    <s v="Mile 237"/>
    <d v="2019-03-30T00:00:00"/>
    <x v="1"/>
    <m/>
    <d v="1899-12-30T00:17:00"/>
    <m/>
    <s v="YP/RS"/>
    <s v="Foraging"/>
    <s v="NA"/>
    <s v="unknown"/>
    <n v="0"/>
    <n v="0"/>
    <x v="0"/>
    <x v="0"/>
    <s v="NA"/>
    <s v="NA"/>
    <m/>
    <m/>
    <m/>
    <s v="NA"/>
    <s v="NA"/>
    <s v="NA"/>
    <s v="NA"/>
    <s v="NA"/>
    <s v="NA"/>
    <s v="NA"/>
    <m/>
    <n v="0"/>
    <n v="0"/>
    <n v="0"/>
    <n v="0"/>
    <n v="16"/>
    <n v="16"/>
    <s v="Searching"/>
    <m/>
    <m/>
    <m/>
  </r>
  <r>
    <s v="DSCN2767"/>
    <s v="MC0401_3"/>
    <n v="3"/>
    <n v="1"/>
    <s v="M4West"/>
    <d v="2019-04-01T00:00:00"/>
    <x v="0"/>
    <m/>
    <d v="1899-12-30T00:16:00"/>
    <m/>
    <s v="WO/OS"/>
    <s v="Foraging"/>
    <s v="NA"/>
    <s v="unknown"/>
    <n v="0"/>
    <n v="0"/>
    <x v="0"/>
    <x v="0"/>
    <s v="NA"/>
    <s v="NA"/>
    <m/>
    <m/>
    <m/>
    <s v="NA"/>
    <s v="NA"/>
    <s v="NA"/>
    <s v="NA"/>
    <s v="NA"/>
    <s v="NA"/>
    <s v="NA"/>
    <m/>
    <n v="0"/>
    <n v="0"/>
    <n v="0"/>
    <n v="0"/>
    <n v="16"/>
    <n v="16"/>
    <s v="Searching"/>
    <m/>
    <m/>
    <m/>
  </r>
  <r>
    <s v="DSCN3519"/>
    <s v="MC0424_26"/>
    <n v="26"/>
    <n v="1"/>
    <s v="Mercantile"/>
    <d v="2019-04-24T00:00:00"/>
    <x v="0"/>
    <m/>
    <d v="1899-12-30T00:16:00"/>
    <s v="Partly cloudy"/>
    <s v="WO/OS"/>
    <s v="Foraging"/>
    <s v="NA"/>
    <s v="unknown"/>
    <n v="0"/>
    <n v="0"/>
    <x v="0"/>
    <x v="0"/>
    <s v="NA"/>
    <s v="NA"/>
    <m/>
    <m/>
    <m/>
    <s v="NA"/>
    <s v="NA"/>
    <s v="NA"/>
    <s v="NA"/>
    <s v="NA"/>
    <s v="NA"/>
    <s v="NA"/>
    <s v="NA"/>
    <n v="0"/>
    <n v="0"/>
    <n v="0"/>
    <n v="0"/>
    <n v="16"/>
    <n v="16"/>
    <s v="Searching"/>
    <m/>
    <m/>
    <m/>
  </r>
  <r>
    <s v="DSCN3727"/>
    <s v="CC0430_16"/>
    <n v="16"/>
    <n v="1"/>
    <s v="CCAMP"/>
    <d v="2019-04-30T00:00:00"/>
    <x v="0"/>
    <s v="Spring"/>
    <d v="1899-12-30T00:16:00"/>
    <s v="Clear, full sun"/>
    <s v="GL/RS"/>
    <s v="Foraging"/>
    <s v="Aspen"/>
    <s v="unknown"/>
    <s v="unknown"/>
    <n v="0"/>
    <x v="0"/>
    <x v="0"/>
    <s v="NA"/>
    <s v="NA"/>
    <m/>
    <m/>
    <m/>
    <s v="NA"/>
    <s v="NA"/>
    <s v="NA"/>
    <s v="NA"/>
    <s v="NA"/>
    <n v="63.724490000000003"/>
    <n v="148.95013"/>
    <s v="CC092618_CT1"/>
    <n v="16"/>
    <n v="0"/>
    <n v="0"/>
    <n v="16"/>
    <n v="0"/>
    <n v="16"/>
    <s v="Probing"/>
    <m/>
    <n v="1"/>
    <m/>
  </r>
  <r>
    <s v="DSCN2393"/>
    <s v="TAI0320_10"/>
    <n v="10"/>
    <n v="1"/>
    <s v="Taiga"/>
    <d v="2019-03-20T00:00:00"/>
    <x v="1"/>
    <m/>
    <d v="1899-12-30T00:20:00"/>
    <s v="Partly cloudy"/>
    <s v="OO/BS"/>
    <s v="Foraging"/>
    <s v="Spruce"/>
    <n v="1"/>
    <s v="unknown"/>
    <n v="0"/>
    <x v="2"/>
    <x v="2"/>
    <s v="Bark of Spruce"/>
    <s v="NA"/>
    <m/>
    <m/>
    <m/>
    <s v="NA"/>
    <s v="NA"/>
    <s v="NA"/>
    <s v="NA"/>
    <s v="NA"/>
    <m/>
    <m/>
    <m/>
    <d v="1900-01-14T00:00:00"/>
    <n v="0"/>
    <n v="15"/>
    <n v="0"/>
    <n v="0"/>
    <n v="15"/>
    <s v="Searching"/>
    <m/>
    <n v="0"/>
    <n v="1"/>
  </r>
  <r>
    <s v="DSCN2557"/>
    <s v="M2370326_11"/>
    <n v="11"/>
    <n v="1"/>
    <s v="Mile 237"/>
    <d v="2019-03-26T00:00:00"/>
    <x v="1"/>
    <m/>
    <d v="1899-12-30T00:15:00"/>
    <s v="Mostly sunny"/>
    <s v="YP/RS"/>
    <s v="Foraging"/>
    <s v="NA"/>
    <n v="0"/>
    <n v="0"/>
    <n v="0"/>
    <x v="0"/>
    <x v="0"/>
    <s v="NA"/>
    <s v="NA"/>
    <m/>
    <m/>
    <m/>
    <s v="NA"/>
    <s v="NA"/>
    <s v="NA"/>
    <s v="NA"/>
    <s v="NA"/>
    <m/>
    <m/>
    <m/>
    <n v="0"/>
    <n v="0"/>
    <n v="0"/>
    <n v="0"/>
    <n v="15"/>
    <n v="15"/>
    <s v="Searching"/>
    <m/>
    <m/>
    <m/>
  </r>
  <r>
    <s v="DSCN2581"/>
    <s v="BU0327_2"/>
    <n v="2"/>
    <n v="1"/>
    <s v="B&amp;U"/>
    <d v="2019-03-27T00:00:00"/>
    <x v="1"/>
    <m/>
    <d v="1899-12-30T00:18:00"/>
    <s v="Overcast"/>
    <s v="GR/PS"/>
    <s v="Foraging"/>
    <s v="Spruce"/>
    <n v="0"/>
    <n v="0"/>
    <n v="0"/>
    <x v="0"/>
    <x v="0"/>
    <s v="NA"/>
    <s v="NA"/>
    <m/>
    <m/>
    <m/>
    <s v="NA"/>
    <s v="NA"/>
    <s v="NA"/>
    <s v="NA"/>
    <s v="NA"/>
    <s v="NA"/>
    <s v="NA"/>
    <m/>
    <n v="0"/>
    <n v="15"/>
    <n v="0"/>
    <n v="15"/>
    <n v="0"/>
    <n v="15"/>
    <s v="Searching"/>
    <m/>
    <m/>
    <m/>
  </r>
  <r>
    <s v="DSCN2683"/>
    <s v="M2370330_10"/>
    <n v="10"/>
    <n v="1"/>
    <s v="Mile 237"/>
    <d v="2019-03-30T00:00:00"/>
    <x v="1"/>
    <m/>
    <d v="1899-12-30T00:22:00"/>
    <m/>
    <s v="YP/RS"/>
    <s v="Foraging"/>
    <s v="Aspen"/>
    <n v="0"/>
    <n v="0"/>
    <n v="0"/>
    <x v="0"/>
    <x v="0"/>
    <s v="NA"/>
    <s v="NA"/>
    <m/>
    <m/>
    <m/>
    <s v="NA"/>
    <s v="NA"/>
    <s v="NA"/>
    <s v="NA"/>
    <s v="NA"/>
    <s v="NA"/>
    <s v="NA"/>
    <m/>
    <n v="15"/>
    <n v="0"/>
    <n v="0"/>
    <n v="15"/>
    <n v="0"/>
    <n v="15"/>
    <s v="Searching"/>
    <m/>
    <m/>
    <m/>
  </r>
  <r>
    <s v="DSCN2764"/>
    <s v="MC0401_1"/>
    <n v="1"/>
    <n v="1"/>
    <s v="M4West"/>
    <d v="2019-04-01T00:00:00"/>
    <x v="0"/>
    <m/>
    <d v="1899-12-30T00:33:00"/>
    <m/>
    <s v="WO/OS"/>
    <s v="Foraging"/>
    <s v="NA"/>
    <n v="1"/>
    <n v="0"/>
    <n v="0"/>
    <x v="2"/>
    <x v="23"/>
    <s v="Ground"/>
    <s v="NA"/>
    <m/>
    <m/>
    <m/>
    <s v="NA"/>
    <s v="NA"/>
    <s v="NA"/>
    <s v="NA"/>
    <s v="NA"/>
    <s v="NA"/>
    <s v="NA"/>
    <m/>
    <n v="0"/>
    <n v="0"/>
    <n v="0"/>
    <n v="0"/>
    <n v="15"/>
    <n v="15"/>
    <s v="Searching"/>
    <m/>
    <m/>
    <m/>
  </r>
  <r>
    <s v="DSCN2994"/>
    <s v="WW0405_33"/>
    <n v="33"/>
    <n v="1"/>
    <s v="WAC West"/>
    <d v="2019-04-05T00:00:00"/>
    <x v="0"/>
    <m/>
    <d v="1899-12-30T00:15:00"/>
    <m/>
    <s v="BP/PS"/>
    <s v="Foraging"/>
    <s v="NA"/>
    <n v="1"/>
    <n v="0"/>
    <n v="0"/>
    <x v="1"/>
    <x v="7"/>
    <s v="Ground"/>
    <s v="NA"/>
    <m/>
    <m/>
    <m/>
    <s v="NA"/>
    <s v="NA"/>
    <s v="NA"/>
    <s v="NA"/>
    <s v="NA"/>
    <s v="NA"/>
    <s v="NA"/>
    <m/>
    <n v="0"/>
    <n v="0"/>
    <n v="0"/>
    <n v="0"/>
    <n v="15"/>
    <n v="15"/>
    <s v="Searching"/>
    <m/>
    <m/>
    <m/>
  </r>
  <r>
    <s v="DSCN3018"/>
    <s v="M2370409_6"/>
    <n v="6"/>
    <n v="1"/>
    <s v="Mile 237"/>
    <d v="2019-04-09T00:00:00"/>
    <x v="0"/>
    <m/>
    <d v="1899-12-30T00:37:00"/>
    <m/>
    <s v="YP/RS"/>
    <s v="Foraging"/>
    <s v="NA"/>
    <n v="1"/>
    <n v="0"/>
    <n v="0"/>
    <x v="2"/>
    <x v="2"/>
    <s v="NA"/>
    <s v="NA"/>
    <m/>
    <m/>
    <m/>
    <s v="NA"/>
    <s v="NA"/>
    <s v="NA"/>
    <s v="NA"/>
    <s v="NA"/>
    <s v="NA"/>
    <s v="NA"/>
    <m/>
    <n v="0"/>
    <n v="0"/>
    <n v="0"/>
    <n v="0"/>
    <n v="15"/>
    <n v="15"/>
    <m/>
    <m/>
    <m/>
    <m/>
  </r>
  <r>
    <s v="DSCN3401"/>
    <s v="CC0422_8"/>
    <n v="8"/>
    <n v="1"/>
    <s v="CCAMP"/>
    <d v="2019-04-22T00:00:00"/>
    <x v="0"/>
    <s v="Spring"/>
    <d v="1899-12-30T00:15:00"/>
    <s v="Partly cloudy"/>
    <s v="GL/RS"/>
    <s v="Foraging"/>
    <s v="NA"/>
    <n v="1"/>
    <n v="0"/>
    <n v="0"/>
    <x v="2"/>
    <x v="2"/>
    <s v="Ground"/>
    <s v="NA"/>
    <m/>
    <m/>
    <m/>
    <s v="NA"/>
    <s v="NA"/>
    <s v="NA"/>
    <s v="NA"/>
    <s v="NA"/>
    <s v="NA"/>
    <s v="NA"/>
    <s v="NA"/>
    <n v="0"/>
    <n v="0"/>
    <n v="0"/>
    <n v="0"/>
    <n v="15"/>
    <n v="15"/>
    <s v="Searching"/>
    <m/>
    <m/>
    <m/>
  </r>
  <r>
    <s v="DSCN3415"/>
    <s v="CC0422_16"/>
    <n v="16"/>
    <n v="1"/>
    <s v="CCAMP"/>
    <d v="2019-04-22T00:00:00"/>
    <x v="0"/>
    <m/>
    <d v="1899-12-30T00:15:00"/>
    <s v="Partly cloudy"/>
    <s v="GB/BS"/>
    <s v="Foraging"/>
    <s v="NA"/>
    <n v="1"/>
    <n v="0"/>
    <n v="0"/>
    <x v="1"/>
    <x v="7"/>
    <s v="Ground"/>
    <s v="NA"/>
    <m/>
    <m/>
    <m/>
    <s v="NA"/>
    <s v="NA"/>
    <s v="NA"/>
    <s v="NA"/>
    <s v="NA"/>
    <s v="NA"/>
    <s v="NA"/>
    <s v="NA"/>
    <n v="0"/>
    <n v="0"/>
    <n v="0"/>
    <n v="0"/>
    <n v="15"/>
    <n v="15"/>
    <s v="Searching"/>
    <m/>
    <m/>
    <m/>
  </r>
  <r>
    <s v="DSCN3707"/>
    <s v="CC0430_4"/>
    <n v="4"/>
    <n v="1"/>
    <s v="CCAMP"/>
    <d v="2019-04-30T00:00:00"/>
    <x v="0"/>
    <s v="Spring"/>
    <d v="1899-12-30T00:27:00"/>
    <s v="Clear, full sun"/>
    <s v="GL/RS"/>
    <s v="Foraging"/>
    <s v="Spruce"/>
    <n v="1"/>
    <n v="1"/>
    <n v="0"/>
    <x v="2"/>
    <x v="2"/>
    <s v="Spruce trunk under bark"/>
    <s v="NA"/>
    <m/>
    <m/>
    <m/>
    <s v="NA"/>
    <s v="NA"/>
    <s v="NA"/>
    <s v="NA"/>
    <s v="NA"/>
    <n v="63.722760000000001"/>
    <n v="148.95087000000001"/>
    <s v="RC_1031_CT1"/>
    <n v="15"/>
    <n v="0"/>
    <n v="15"/>
    <n v="0"/>
    <n v="0"/>
    <n v="15"/>
    <s v="Searching"/>
    <s v="Cache recovery does NOT match previous year's cache location in this tree. "/>
    <m/>
    <m/>
  </r>
  <r>
    <s v="DSCN3833"/>
    <s v="CC0503_13"/>
    <n v="13"/>
    <n v="1"/>
    <s v="CCAMP"/>
    <d v="2019-05-04T00:00:00"/>
    <x v="2"/>
    <m/>
    <d v="1899-12-30T00:15:00"/>
    <s v="Overcast, light snow"/>
    <s v="GB/BS"/>
    <s v="Foraging"/>
    <s v=" NA"/>
    <n v="0"/>
    <n v="0"/>
    <n v="0"/>
    <x v="0"/>
    <x v="0"/>
    <s v="NA"/>
    <s v="NA"/>
    <m/>
    <m/>
    <m/>
    <s v="NA"/>
    <s v="NA"/>
    <s v="NA"/>
    <s v="NA"/>
    <s v="NA"/>
    <s v="NA"/>
    <s v="NA"/>
    <s v="NA"/>
    <n v="0"/>
    <n v="0"/>
    <n v="0"/>
    <n v="0"/>
    <n v="15"/>
    <n v="15"/>
    <s v="Searching"/>
    <m/>
    <m/>
    <m/>
  </r>
  <r>
    <s v="DSCN2533"/>
    <s v="M4R0325_19"/>
    <n v="19"/>
    <n v="1"/>
    <s v="M4Roadside"/>
    <d v="2019-03-25T00:00:00"/>
    <x v="1"/>
    <m/>
    <d v="1899-12-30T00:15:00"/>
    <s v="Mostly sunny"/>
    <s v="OB/YS"/>
    <s v="Foraging"/>
    <s v="Alder"/>
    <s v="unknown"/>
    <s v="unknown"/>
    <s v="Unknown"/>
    <x v="0"/>
    <x v="0"/>
    <s v="NA"/>
    <s v="NA"/>
    <m/>
    <m/>
    <m/>
    <s v="NA"/>
    <s v="NA"/>
    <s v="NA"/>
    <s v="NA"/>
    <s v="NA"/>
    <m/>
    <m/>
    <m/>
    <n v="15"/>
    <n v="0"/>
    <n v="15"/>
    <n v="0"/>
    <n v="0"/>
    <n v="15"/>
    <s v="Searching"/>
    <m/>
    <m/>
    <m/>
  </r>
  <r>
    <s v="DSCN2752"/>
    <s v="BU0401_12"/>
    <n v="12"/>
    <n v="1"/>
    <s v="BU"/>
    <d v="2019-04-01T00:00:00"/>
    <x v="0"/>
    <m/>
    <d v="1899-12-30T00:19:00"/>
    <m/>
    <s v="GR/PS"/>
    <s v="Foraging"/>
    <s v="NA"/>
    <s v="unknown"/>
    <n v="0"/>
    <n v="0"/>
    <x v="0"/>
    <x v="0"/>
    <s v="NA"/>
    <s v="NA"/>
    <m/>
    <m/>
    <m/>
    <s v="NA"/>
    <s v="NA"/>
    <s v="NA"/>
    <s v="NA"/>
    <s v="NA"/>
    <s v="NA"/>
    <s v="NA"/>
    <m/>
    <n v="0"/>
    <n v="0"/>
    <n v="0"/>
    <n v="0"/>
    <n v="15"/>
    <n v="15"/>
    <s v="Searching"/>
    <m/>
    <m/>
    <m/>
  </r>
  <r>
    <s v="DSCN2848"/>
    <s v="M2370403_14"/>
    <n v="14"/>
    <n v="1"/>
    <s v="Mile 237"/>
    <d v="2019-04-03T00:00:00"/>
    <x v="0"/>
    <m/>
    <d v="1899-12-30T00:15:00"/>
    <m/>
    <s v="YP/RS"/>
    <s v="Foraging"/>
    <s v="Spruce"/>
    <s v="unknown"/>
    <s v="unknown"/>
    <n v="0"/>
    <x v="0"/>
    <x v="0"/>
    <s v="NA"/>
    <s v="NA"/>
    <m/>
    <m/>
    <m/>
    <s v="NA"/>
    <s v="NA"/>
    <s v="NA"/>
    <s v="NA"/>
    <s v="NA"/>
    <s v="NA"/>
    <s v="NA"/>
    <m/>
    <n v="15"/>
    <n v="0"/>
    <n v="0"/>
    <n v="15"/>
    <n v="0"/>
    <n v="15"/>
    <s v="Searching/probing"/>
    <m/>
    <n v="2"/>
    <n v="0"/>
  </r>
  <r>
    <s v="DSCN2963"/>
    <s v="WW0405_10"/>
    <n v="10"/>
    <n v="1"/>
    <s v="WAC West"/>
    <d v="2019-04-05T00:00:00"/>
    <x v="0"/>
    <m/>
    <d v="1899-12-30T00:15:00"/>
    <m/>
    <s v="BP/PS"/>
    <s v="Foraging"/>
    <s v="NA"/>
    <s v="unknown"/>
    <n v="0"/>
    <n v="0"/>
    <x v="0"/>
    <x v="0"/>
    <s v="NA"/>
    <s v="NA"/>
    <m/>
    <m/>
    <m/>
    <s v="NA"/>
    <s v="NA"/>
    <s v="NA"/>
    <s v="NA"/>
    <s v="NA"/>
    <s v="NA"/>
    <s v="NA"/>
    <m/>
    <n v="0"/>
    <n v="0"/>
    <n v="0"/>
    <n v="0"/>
    <n v="15"/>
    <n v="15"/>
    <s v="Searching"/>
    <m/>
    <m/>
    <m/>
  </r>
  <r>
    <s v="DSCN3340"/>
    <s v="M4R0419_3"/>
    <n v="3"/>
    <n v="1"/>
    <s v="M4Roadside"/>
    <d v="2019-04-19T00:00:00"/>
    <x v="0"/>
    <m/>
    <d v="1899-12-30T00:15:00"/>
    <s v="Partly cloudy"/>
    <s v="YO/BS"/>
    <s v="Foraging"/>
    <s v="Spruce"/>
    <s v="unknown"/>
    <s v="unknown"/>
    <n v="0"/>
    <x v="0"/>
    <x v="0"/>
    <s v="NA"/>
    <s v="NA"/>
    <m/>
    <m/>
    <m/>
    <s v="NA"/>
    <s v="NA"/>
    <s v="NA"/>
    <s v="NA"/>
    <s v="NA"/>
    <s v="NA"/>
    <s v="NA"/>
    <s v="NA"/>
    <n v="0"/>
    <n v="15"/>
    <n v="15"/>
    <n v="0"/>
    <n v="0"/>
    <n v="15"/>
    <s v="Searching"/>
    <m/>
    <m/>
    <m/>
  </r>
  <r>
    <s v="DSCN3652"/>
    <s v="M4R0430_10"/>
    <n v="10"/>
    <n v="1"/>
    <s v="M4Roadside"/>
    <d v="2019-04-30T00:00:00"/>
    <x v="0"/>
    <m/>
    <d v="1899-12-30T00:53:00"/>
    <s v="Clear, full sun"/>
    <s v="OB/YS"/>
    <s v="Foraging"/>
    <s v="NA"/>
    <s v="unknown"/>
    <n v="0"/>
    <n v="0"/>
    <x v="0"/>
    <x v="0"/>
    <s v="NA"/>
    <s v="NA"/>
    <m/>
    <m/>
    <m/>
    <s v="NA"/>
    <s v="NA"/>
    <s v="NA"/>
    <s v="NA"/>
    <s v="NA"/>
    <s v="NA"/>
    <s v="NA"/>
    <s v="NA"/>
    <n v="0"/>
    <n v="0"/>
    <n v="0"/>
    <n v="0"/>
    <n v="15"/>
    <n v="15"/>
    <s v="Searching"/>
    <m/>
    <m/>
    <m/>
  </r>
  <r>
    <s v="DSCN3828"/>
    <s v="CC0503_11"/>
    <n v="11"/>
    <n v="1"/>
    <s v="CCAMP"/>
    <d v="2019-05-03T00:00:00"/>
    <x v="2"/>
    <m/>
    <d v="1899-12-30T00:15:00"/>
    <s v="Overcast, light snow"/>
    <s v="GB/BS"/>
    <s v="Foraging"/>
    <s v="NA"/>
    <s v="unknown"/>
    <n v="0"/>
    <n v="0"/>
    <x v="0"/>
    <x v="0"/>
    <s v="NA"/>
    <s v="NA"/>
    <m/>
    <m/>
    <m/>
    <s v="NA"/>
    <s v="NA"/>
    <s v="NA"/>
    <s v="NA"/>
    <s v="NA"/>
    <s v="NA"/>
    <s v="NA"/>
    <s v="NA"/>
    <n v="0"/>
    <n v="0"/>
    <n v="0"/>
    <n v="0"/>
    <n v="15"/>
    <n v="15"/>
    <s v="Searching"/>
    <m/>
    <m/>
    <m/>
  </r>
  <r>
    <s v="DSCN3900"/>
    <s v="MC0506_11"/>
    <n v="11"/>
    <n v="1"/>
    <s v="Mercantile"/>
    <d v="2019-05-06T00:00:00"/>
    <x v="2"/>
    <m/>
    <d v="1899-12-30T00:15:00"/>
    <s v="Mostly cloudy"/>
    <s v="WO/OS"/>
    <s v="Foraging"/>
    <s v="NA"/>
    <s v="unknown"/>
    <n v="0"/>
    <n v="0"/>
    <x v="0"/>
    <x v="0"/>
    <s v="NA"/>
    <s v="NA"/>
    <m/>
    <m/>
    <m/>
    <s v="NA"/>
    <s v="NA"/>
    <s v="NA"/>
    <s v="NA"/>
    <s v="NA"/>
    <s v="NA"/>
    <s v="NA"/>
    <s v="NA"/>
    <n v="0"/>
    <n v="0"/>
    <n v="0"/>
    <n v="0"/>
    <n v="15"/>
    <n v="15"/>
    <s v="Searching"/>
    <m/>
    <m/>
    <m/>
  </r>
  <r>
    <s v="DSCN2443"/>
    <s v="BL0322_3"/>
    <n v="3"/>
    <n v="1"/>
    <s v="Boulder"/>
    <d v="2019-03-22T00:00:00"/>
    <x v="1"/>
    <m/>
    <d v="1899-12-30T00:14:00"/>
    <s v="Partly cloudy"/>
    <s v="unbanded"/>
    <s v="Foraging"/>
    <s v="NA"/>
    <n v="1"/>
    <n v="0"/>
    <n v="0"/>
    <x v="2"/>
    <x v="2"/>
    <s v="Ground"/>
    <s v="NA"/>
    <m/>
    <m/>
    <m/>
    <s v="NA"/>
    <s v="NA"/>
    <s v="NA"/>
    <s v="NA"/>
    <s v="NA"/>
    <m/>
    <m/>
    <m/>
    <n v="0"/>
    <n v="0"/>
    <n v="0"/>
    <n v="0"/>
    <n v="14"/>
    <n v="14"/>
    <m/>
    <s v="Missed acquisition"/>
    <m/>
    <m/>
  </r>
  <r>
    <s v="DSCN2464"/>
    <s v="BL0322_13"/>
    <n v="13"/>
    <n v="1"/>
    <s v="Boulder"/>
    <d v="2019-03-22T00:00:00"/>
    <x v="1"/>
    <m/>
    <d v="1899-12-30T00:14:00"/>
    <s v="Partly cloudy"/>
    <s v="unbanded"/>
    <s v="Foraging"/>
    <s v="NA"/>
    <n v="1"/>
    <n v="0"/>
    <n v="0"/>
    <x v="3"/>
    <x v="3"/>
    <s v="Ground"/>
    <s v="NA"/>
    <m/>
    <m/>
    <m/>
    <s v="NA"/>
    <s v="NA"/>
    <s v="NA"/>
    <s v="NA"/>
    <s v="NA"/>
    <m/>
    <m/>
    <m/>
    <n v="0"/>
    <n v="0"/>
    <n v="0"/>
    <n v="0"/>
    <n v="14"/>
    <n v="14"/>
    <s v="Searching"/>
    <m/>
    <m/>
    <m/>
  </r>
  <r>
    <s v="DSCN2484"/>
    <s v="MC0325_2"/>
    <n v="2"/>
    <n v="2"/>
    <s v="Mercantile"/>
    <d v="2019-03-25T00:00:00"/>
    <x v="1"/>
    <m/>
    <d v="1899-12-30T01:37:00"/>
    <s v="Overcast"/>
    <s v="WO/OS"/>
    <s v="Foraging"/>
    <s v="Spruce"/>
    <n v="1"/>
    <n v="0"/>
    <n v="0"/>
    <x v="6"/>
    <x v="24"/>
    <s v="Exterior bare spruce branch"/>
    <s v="NA"/>
    <m/>
    <m/>
    <m/>
    <s v="NA"/>
    <s v="NA"/>
    <s v="NA"/>
    <s v="NA"/>
    <s v="NA"/>
    <m/>
    <m/>
    <m/>
    <n v="14"/>
    <n v="0"/>
    <n v="0"/>
    <n v="14"/>
    <n v="0"/>
    <n v="14"/>
    <s v="Searching"/>
    <s v="Grabbed squirrel cache and moved it to a new tree.  Did not take GPS since it did not appear to cache it itself. "/>
    <m/>
    <m/>
  </r>
  <r>
    <s v="DSCN3447"/>
    <s v="SQ0422_5"/>
    <n v="5"/>
    <n v="2"/>
    <s v="Sasquatch"/>
    <d v="2019-04-22T00:00:00"/>
    <x v="0"/>
    <m/>
    <d v="1899-12-30T00:32:00"/>
    <s v="Partly cloudy"/>
    <s v="G/BS"/>
    <s v="Foraging"/>
    <s v="Alder"/>
    <n v="1"/>
    <n v="0"/>
    <n v="0"/>
    <x v="2"/>
    <x v="10"/>
    <s v="Alder leaf"/>
    <s v="NA"/>
    <m/>
    <m/>
    <m/>
    <s v="NA"/>
    <s v="NA"/>
    <s v="NA"/>
    <s v="NA"/>
    <s v="NA"/>
    <s v="NA"/>
    <s v="NA"/>
    <s v="NA"/>
    <n v="0"/>
    <n v="7"/>
    <n v="0"/>
    <n v="7"/>
    <n v="7"/>
    <n v="14"/>
    <s v="Searching"/>
    <m/>
    <m/>
    <m/>
  </r>
  <r>
    <s v="DSCN3223"/>
    <s v="CC0422_21"/>
    <n v="21"/>
    <n v="1"/>
    <s v="CCAMP"/>
    <d v="2019-04-22T00:00:00"/>
    <x v="0"/>
    <m/>
    <d v="1899-12-30T00:14:00"/>
    <s v="Partly cloudy"/>
    <s v="GB/BS"/>
    <s v="Foraging"/>
    <s v="NA"/>
    <n v="1"/>
    <n v="0"/>
    <n v="0"/>
    <x v="2"/>
    <x v="2"/>
    <s v="Ground"/>
    <s v="NA"/>
    <m/>
    <m/>
    <m/>
    <s v="NA"/>
    <s v="NA"/>
    <s v="NA"/>
    <s v="NA"/>
    <s v="NA"/>
    <s v="NA"/>
    <s v="NA"/>
    <s v="NA"/>
    <n v="0"/>
    <n v="0"/>
    <n v="0"/>
    <n v="0"/>
    <n v="14"/>
    <n v="14"/>
    <s v="Searching"/>
    <m/>
    <m/>
    <m/>
  </r>
  <r>
    <s v="DSCN3370"/>
    <s v="WW0422_13"/>
    <n v="13"/>
    <n v="2"/>
    <s v="WAC West"/>
    <d v="2019-04-22T00:00:00"/>
    <x v="0"/>
    <m/>
    <d v="1899-12-30T00:20:00"/>
    <s v="Partly cloudy"/>
    <s v="BP/PS"/>
    <s v="Foraging"/>
    <s v="NA"/>
    <n v="1"/>
    <n v="0"/>
    <n v="0"/>
    <x v="1"/>
    <x v="1"/>
    <s v="Ground"/>
    <s v="NA"/>
    <m/>
    <m/>
    <m/>
    <s v="NA"/>
    <s v="NA"/>
    <s v="NA"/>
    <s v="NA"/>
    <s v="NA"/>
    <s v="NA"/>
    <s v="NA"/>
    <s v="NA"/>
    <n v="0"/>
    <n v="0"/>
    <n v="0"/>
    <n v="0"/>
    <n v="14"/>
    <n v="14"/>
    <s v="Searching"/>
    <m/>
    <m/>
    <m/>
  </r>
  <r>
    <s v="DSCN2507"/>
    <s v="M4R0325_3"/>
    <n v="3"/>
    <n v="1"/>
    <s v="M4Roadside"/>
    <d v="2019-03-25T00:00:00"/>
    <x v="1"/>
    <m/>
    <d v="1899-12-30T00:55:00"/>
    <s v="Overcast"/>
    <s v="YO/BS"/>
    <s v="Foraging"/>
    <s v="Spruce"/>
    <s v="unknown"/>
    <s v="unknown"/>
    <n v="0"/>
    <x v="0"/>
    <x v="0"/>
    <s v="NA"/>
    <s v="NA"/>
    <m/>
    <m/>
    <m/>
    <s v="NA"/>
    <s v="NA"/>
    <s v="NA"/>
    <s v="NA"/>
    <s v="NA"/>
    <m/>
    <m/>
    <m/>
    <n v="14"/>
    <n v="0"/>
    <n v="14"/>
    <n v="0"/>
    <n v="0"/>
    <n v="14"/>
    <s v="Searching"/>
    <m/>
    <n v="0"/>
    <n v="0"/>
  </r>
  <r>
    <s v="DSCN3521"/>
    <s v="MC0424_28"/>
    <n v="28"/>
    <n v="1"/>
    <s v="Mercantile"/>
    <d v="2019-04-24T00:00:00"/>
    <x v="0"/>
    <m/>
    <d v="1899-12-30T00:17:00"/>
    <s v="Partly cloudy"/>
    <s v="WO/OS"/>
    <s v="Foraging"/>
    <s v="Spruce"/>
    <s v="unknown"/>
    <n v="0"/>
    <n v="0"/>
    <x v="0"/>
    <x v="0"/>
    <s v="NA"/>
    <s v="NA"/>
    <m/>
    <m/>
    <m/>
    <s v="NA"/>
    <s v="NA"/>
    <s v="NA"/>
    <s v="NA"/>
    <s v="NA"/>
    <s v="NA"/>
    <s v="NA"/>
    <s v="NA"/>
    <n v="14"/>
    <n v="0"/>
    <n v="14"/>
    <n v="0"/>
    <n v="0"/>
    <n v="14"/>
    <s v="Searching"/>
    <m/>
    <m/>
    <m/>
  </r>
  <r>
    <s v="DSCN3668"/>
    <s v="M4R0430_16"/>
    <n v="16"/>
    <n v="1"/>
    <s v="M4Roadside"/>
    <d v="2019-04-30T00:00:00"/>
    <x v="0"/>
    <m/>
    <d v="1899-12-30T00:14:00"/>
    <s v="Clear, full sun"/>
    <s v="YO/BS"/>
    <s v="Foraging"/>
    <s v="Spruce"/>
    <s v="unknown"/>
    <n v="0"/>
    <n v="0"/>
    <x v="0"/>
    <x v="0"/>
    <s v="NA"/>
    <s v="NA"/>
    <m/>
    <m/>
    <m/>
    <s v="NA"/>
    <s v="NA"/>
    <s v="NA"/>
    <s v="NA"/>
    <s v="NA"/>
    <s v="NA"/>
    <s v="NA"/>
    <s v="NA"/>
    <n v="0"/>
    <n v="14"/>
    <n v="0"/>
    <n v="14"/>
    <n v="0"/>
    <n v="14"/>
    <s v="Fly catching"/>
    <s v="I realized later that what he was doing was flycatching. "/>
    <m/>
    <m/>
  </r>
  <r>
    <s v="DSCN2413"/>
    <s v="TAI0320_22"/>
    <n v="22"/>
    <n v="1"/>
    <s v="Taiga"/>
    <d v="2019-03-20T00:00:00"/>
    <x v="1"/>
    <m/>
    <d v="1899-12-30T00:13:00"/>
    <s v="Partly cloudy"/>
    <s v="OO/BS"/>
    <s v="Foraging"/>
    <s v="NA"/>
    <n v="1"/>
    <n v="0"/>
    <n v="0"/>
    <x v="2"/>
    <x v="2"/>
    <s v="Ground"/>
    <s v="NA"/>
    <m/>
    <m/>
    <m/>
    <s v="NA"/>
    <s v="NA"/>
    <s v="NA"/>
    <s v="NA"/>
    <s v="NA"/>
    <m/>
    <m/>
    <m/>
    <n v="0"/>
    <n v="0"/>
    <n v="0"/>
    <n v="0"/>
    <n v="13"/>
    <n v="13"/>
    <s v="Searching"/>
    <m/>
    <m/>
    <m/>
  </r>
  <r>
    <s v="DSCN2524"/>
    <s v="M4R0325_14"/>
    <n v="14"/>
    <n v="1"/>
    <s v="M4Roadside"/>
    <d v="2019-03-25T00:00:00"/>
    <x v="1"/>
    <m/>
    <d v="1899-12-30T00:43:00"/>
    <s v="Mostly sunny"/>
    <s v="YO/BS"/>
    <s v="Foraging"/>
    <s v="NA"/>
    <n v="1"/>
    <n v="0"/>
    <n v="0"/>
    <x v="2"/>
    <x v="2"/>
    <s v="Ground"/>
    <s v="NA"/>
    <m/>
    <m/>
    <m/>
    <s v="NA"/>
    <s v="NA"/>
    <s v="NA"/>
    <s v="NA"/>
    <s v="NA"/>
    <m/>
    <m/>
    <m/>
    <n v="0"/>
    <n v="0"/>
    <n v="0"/>
    <n v="0"/>
    <n v="13"/>
    <n v="13"/>
    <s v="Searching"/>
    <s v="Acquisition not recorded"/>
    <m/>
    <m/>
  </r>
  <r>
    <s v="DSCN2505"/>
    <s v="M4R0325_1"/>
    <n v="1"/>
    <n v="1"/>
    <s v="M4Roadside"/>
    <d v="2019-03-25T00:00:00"/>
    <x v="1"/>
    <m/>
    <d v="1899-12-30T00:45:00"/>
    <s v="Overcast"/>
    <s v="YO/BS"/>
    <s v="Foraging"/>
    <s v="Spruce"/>
    <n v="0"/>
    <n v="0"/>
    <n v="0"/>
    <x v="0"/>
    <x v="0"/>
    <s v="NA"/>
    <s v="NA"/>
    <m/>
    <m/>
    <m/>
    <s v="NA"/>
    <s v="NA"/>
    <s v="NA"/>
    <s v="NA"/>
    <s v="NA"/>
    <m/>
    <m/>
    <m/>
    <n v="13"/>
    <n v="0"/>
    <n v="0"/>
    <n v="13"/>
    <n v="0"/>
    <n v="13"/>
    <s v="Searching/probing"/>
    <m/>
    <n v="1"/>
    <n v="0"/>
  </r>
  <r>
    <s v="DSCN2584"/>
    <s v="BU0327_5"/>
    <n v="5"/>
    <n v="1"/>
    <s v="B&amp;U"/>
    <d v="2019-03-27T00:00:00"/>
    <x v="1"/>
    <m/>
    <d v="1899-12-30T01:34:00"/>
    <s v="Overcast"/>
    <s v="GR/PS"/>
    <s v="Foraging"/>
    <s v="Spruce"/>
    <n v="1"/>
    <n v="1"/>
    <n v="0"/>
    <x v="2"/>
    <x v="2"/>
    <s v="Interior spruce branch under bark"/>
    <s v="NA"/>
    <m/>
    <m/>
    <m/>
    <s v="NA"/>
    <s v="NA"/>
    <s v="NA"/>
    <s v="NA"/>
    <s v="NA"/>
    <n v="63.726010000000002"/>
    <n v="148.96159"/>
    <m/>
    <n v="13"/>
    <n v="0"/>
    <n v="13"/>
    <n v="0"/>
    <n v="0"/>
    <n v="13"/>
    <s v="Searching"/>
    <m/>
    <m/>
    <m/>
  </r>
  <r>
    <s v="DSCN2758"/>
    <s v="BU0401_15"/>
    <n v="15"/>
    <n v="1"/>
    <s v="BU"/>
    <d v="2019-04-01T00:00:00"/>
    <x v="0"/>
    <m/>
    <d v="1899-12-30T00:13:00"/>
    <m/>
    <s v="GR/PS"/>
    <s v="Foraging"/>
    <s v="NA"/>
    <n v="1"/>
    <n v="0"/>
    <n v="0"/>
    <x v="1"/>
    <x v="7"/>
    <s v="Ground"/>
    <s v="NA"/>
    <m/>
    <m/>
    <m/>
    <s v="NA"/>
    <s v="NA"/>
    <s v="NA"/>
    <s v="NA"/>
    <s v="NA"/>
    <s v="NA"/>
    <s v="NA"/>
    <m/>
    <n v="0"/>
    <n v="0"/>
    <n v="0"/>
    <n v="0"/>
    <n v="13"/>
    <n v="13"/>
    <m/>
    <s v="Bird flushed after camera went off, and had the big caterpillar you see in the next clip.  Counting it as acquisition here so it matches foraging time. "/>
    <m/>
    <m/>
  </r>
  <r>
    <s v="DSCN2852"/>
    <s v="M2370403_18"/>
    <n v="18"/>
    <n v="1"/>
    <s v="Mile 237"/>
    <d v="2019-04-03T00:00:00"/>
    <x v="0"/>
    <m/>
    <d v="1899-12-30T00:16:00"/>
    <m/>
    <s v="YP/RS"/>
    <s v="Foraging"/>
    <s v="Spruce"/>
    <n v="1"/>
    <n v="1"/>
    <n v="0"/>
    <x v="2"/>
    <x v="2"/>
    <s v="Exterior spruce branch stuck to witch hair"/>
    <s v="NA"/>
    <m/>
    <m/>
    <m/>
    <s v="NA"/>
    <s v="NA"/>
    <s v="NA"/>
    <s v="NA"/>
    <s v="NA"/>
    <s v="DID NOT COLLECT"/>
    <s v="DID NOT COLLECT"/>
    <m/>
    <n v="13"/>
    <n v="0"/>
    <n v="0"/>
    <n v="13"/>
    <n v="0"/>
    <n v="13"/>
    <s v="Searching"/>
    <m/>
    <m/>
    <m/>
  </r>
  <r>
    <s v="DSCN2835"/>
    <s v="M2370403_4"/>
    <n v="4"/>
    <n v="1"/>
    <s v="Mile 237"/>
    <d v="2019-04-03T00:00:00"/>
    <x v="0"/>
    <m/>
    <d v="1899-12-30T00:37:00"/>
    <m/>
    <s v="YP/RS"/>
    <s v="Foraging"/>
    <s v="Spruce"/>
    <n v="1"/>
    <s v="unknown"/>
    <n v="0"/>
    <x v="2"/>
    <x v="2"/>
    <s v="Interior spruce branch bare bark"/>
    <s v="NA"/>
    <m/>
    <m/>
    <m/>
    <s v="NA"/>
    <s v="NA"/>
    <s v="NA"/>
    <s v="NA"/>
    <s v="NA"/>
    <s v="NA"/>
    <s v="NA"/>
    <m/>
    <n v="13"/>
    <n v="0"/>
    <n v="0"/>
    <n v="13"/>
    <n v="0"/>
    <n v="13"/>
    <s v="Searching"/>
    <m/>
    <m/>
    <m/>
  </r>
  <r>
    <s v="DSCN2837"/>
    <s v="M2370403_6"/>
    <n v="6"/>
    <n v="1"/>
    <s v="Mile 237"/>
    <d v="2019-04-03T00:00:00"/>
    <x v="0"/>
    <m/>
    <d v="1899-12-30T00:38:00"/>
    <m/>
    <s v="YP/RS"/>
    <s v="Foraging"/>
    <s v="Spruce"/>
    <n v="1"/>
    <s v="unknown"/>
    <n v="0"/>
    <x v="2"/>
    <x v="2"/>
    <s v="uknown"/>
    <s v="NA"/>
    <m/>
    <m/>
    <m/>
    <s v="NA"/>
    <s v="NA"/>
    <s v="NA"/>
    <s v="NA"/>
    <s v="NA"/>
    <s v="NA"/>
    <s v="NA"/>
    <m/>
    <n v="13"/>
    <n v="0"/>
    <n v="0"/>
    <n v="13"/>
    <n v="0"/>
    <n v="13"/>
    <s v="Searching"/>
    <m/>
    <m/>
    <m/>
  </r>
  <r>
    <s v="DSCN3477"/>
    <s v="MC0424_1"/>
    <n v="1"/>
    <n v="1"/>
    <s v="Mercantile"/>
    <d v="2019-04-24T00:00:00"/>
    <x v="0"/>
    <m/>
    <d v="1899-12-30T00:13:00"/>
    <s v="Partly cloudy"/>
    <s v="BW/GS"/>
    <s v="Foraging"/>
    <s v="Spruce"/>
    <n v="1"/>
    <n v="1"/>
    <n v="0"/>
    <x v="2"/>
    <x v="2"/>
    <s v="Spruce trunk under bark"/>
    <s v="NA"/>
    <m/>
    <m/>
    <m/>
    <s v="NA"/>
    <s v="NA"/>
    <s v="NA"/>
    <s v="NA"/>
    <s v="NA"/>
    <n v="63.735790000000001"/>
    <n v="148.89839000000001"/>
    <s v="NA"/>
    <n v="13"/>
    <n v="0"/>
    <n v="13"/>
    <n v="0"/>
    <n v="0"/>
    <n v="13"/>
    <s v="Searching"/>
    <m/>
    <m/>
    <m/>
  </r>
  <r>
    <s v="DSCN3870"/>
    <s v="CC0506_2"/>
    <n v="2"/>
    <n v="1"/>
    <s v="CCAMP"/>
    <d v="2019-05-06T00:00:00"/>
    <x v="2"/>
    <m/>
    <d v="1899-12-30T00:13:00"/>
    <s v="Mostly cloudy"/>
    <s v="GB/BS"/>
    <s v="Foraging"/>
    <s v="NA"/>
    <n v="1"/>
    <n v="0"/>
    <n v="0"/>
    <x v="1"/>
    <x v="1"/>
    <s v="Ground"/>
    <s v="NA"/>
    <m/>
    <m/>
    <m/>
    <s v="NA"/>
    <s v="NA"/>
    <s v="NA"/>
    <s v="NA"/>
    <s v="NA"/>
    <s v="NA"/>
    <s v="NA"/>
    <s v="NA"/>
    <n v="0"/>
    <n v="0"/>
    <n v="0"/>
    <n v="0"/>
    <n v="13"/>
    <n v="13"/>
    <s v="Searching"/>
    <m/>
    <m/>
    <m/>
  </r>
  <r>
    <s v="DSCN2672"/>
    <s v="M2370330_3"/>
    <n v="3"/>
    <n v="1"/>
    <s v="Mile 237"/>
    <d v="2019-03-30T00:00:00"/>
    <x v="1"/>
    <m/>
    <d v="1899-12-30T00:13:00"/>
    <m/>
    <s v="YP/RS"/>
    <s v="Foraging"/>
    <s v="Spruce"/>
    <s v="unknown"/>
    <s v="unknown"/>
    <s v="Unknown"/>
    <x v="0"/>
    <x v="0"/>
    <s v="NA"/>
    <s v="NA"/>
    <m/>
    <m/>
    <m/>
    <s v="NA"/>
    <s v="NA"/>
    <s v="NA"/>
    <s v="NA"/>
    <s v="NA"/>
    <s v="NA"/>
    <s v="NA"/>
    <m/>
    <n v="0"/>
    <n v="13"/>
    <n v="0"/>
    <n v="13"/>
    <n v="0"/>
    <n v="13"/>
    <s v="Searching"/>
    <m/>
    <m/>
    <m/>
  </r>
  <r>
    <s v="DSCN3308"/>
    <s v="MC0418_9"/>
    <n v="9"/>
    <n v="1"/>
    <s v="Mercantile"/>
    <d v="2019-04-18T00:00:00"/>
    <x v="0"/>
    <m/>
    <d v="1899-12-30T00:17:00"/>
    <s v="Overcast"/>
    <s v="BW/GS"/>
    <s v="Foraging"/>
    <s v="NA"/>
    <s v="unknown"/>
    <n v="0"/>
    <n v="0"/>
    <x v="0"/>
    <x v="0"/>
    <s v="NA"/>
    <s v="NA"/>
    <m/>
    <m/>
    <m/>
    <s v="NA"/>
    <s v="NA"/>
    <s v="NA"/>
    <s v="NA"/>
    <s v="NA"/>
    <s v="NA"/>
    <s v="NA"/>
    <s v="NA"/>
    <n v="0"/>
    <n v="0"/>
    <n v="0"/>
    <n v="0"/>
    <n v="13"/>
    <n v="13"/>
    <s v="Searching"/>
    <m/>
    <m/>
    <m/>
  </r>
  <r>
    <s v="DSCN3912"/>
    <s v="BU0508_4"/>
    <n v="4"/>
    <n v="1"/>
    <s v="B&amp;U"/>
    <d v="2019-05-08T00:00:00"/>
    <x v="2"/>
    <m/>
    <d v="1899-12-30T00:13:00"/>
    <s v="Overcast, light rain"/>
    <s v="WP/BS"/>
    <s v="Foraging"/>
    <s v="NA"/>
    <s v="unknown"/>
    <n v="0"/>
    <n v="0"/>
    <x v="0"/>
    <x v="0"/>
    <s v="NA"/>
    <s v="NA"/>
    <m/>
    <m/>
    <m/>
    <s v="NA"/>
    <s v="NA"/>
    <s v="NA"/>
    <s v="NA"/>
    <s v="NA"/>
    <s v="NA"/>
    <s v="NA"/>
    <s v="NA"/>
    <n v="0"/>
    <n v="0"/>
    <n v="0"/>
    <n v="0"/>
    <n v="13"/>
    <n v="13"/>
    <s v="Searching"/>
    <m/>
    <m/>
    <m/>
  </r>
  <r>
    <s v="DSCN2408"/>
    <s v="TAI0320_20"/>
    <n v="20"/>
    <n v="1"/>
    <s v="Taiga"/>
    <d v="2019-03-20T00:00:00"/>
    <x v="1"/>
    <m/>
    <d v="1899-12-30T00:38:00"/>
    <s v="Partly cloudy"/>
    <s v="WR/OS"/>
    <s v="Foraging"/>
    <s v="NA"/>
    <n v="1"/>
    <n v="0"/>
    <n v="0"/>
    <x v="2"/>
    <x v="2"/>
    <s v="Ground"/>
    <s v="NA"/>
    <m/>
    <m/>
    <m/>
    <s v="NA"/>
    <s v="MA"/>
    <s v="NA"/>
    <s v="NA"/>
    <s v="NA"/>
    <m/>
    <m/>
    <m/>
    <n v="0"/>
    <n v="0"/>
    <n v="0"/>
    <n v="0"/>
    <n v="12"/>
    <n v="12"/>
    <s v="Searching"/>
    <m/>
    <n v="0"/>
    <n v="0"/>
  </r>
  <r>
    <s v="DSCN3259"/>
    <s v="AQ0417_7"/>
    <n v="7"/>
    <n v="1"/>
    <s v="Air Quality"/>
    <d v="2019-04-17T00:00:00"/>
    <x v="0"/>
    <m/>
    <d v="1899-12-30T00:18:00"/>
    <s v="Overcast, light snow"/>
    <s v="PG/PS"/>
    <s v="Foraging"/>
    <s v="Spruce"/>
    <n v="1"/>
    <s v="unknown"/>
    <n v="0"/>
    <x v="2"/>
    <x v="2"/>
    <s v="Exterior bare spruce branch"/>
    <s v="NA"/>
    <m/>
    <m/>
    <m/>
    <s v="NA"/>
    <s v="NA"/>
    <s v="NA"/>
    <s v="NA"/>
    <s v="NA"/>
    <s v="NA"/>
    <s v="NA"/>
    <s v="NA"/>
    <n v="12"/>
    <n v="0"/>
    <n v="0"/>
    <n v="12"/>
    <n v="0"/>
    <n v="12"/>
    <s v="Searching"/>
    <m/>
    <m/>
    <m/>
  </r>
  <r>
    <s v="DSCN3259"/>
    <s v="AQ0417_8"/>
    <n v="8"/>
    <n v="1"/>
    <s v="Air Quality"/>
    <d v="2019-04-17T00:00:00"/>
    <x v="0"/>
    <m/>
    <d v="1899-12-30T00:15:00"/>
    <s v="Overcast, light snow"/>
    <s v="PG/PS"/>
    <s v="Foraging"/>
    <s v="Spruce"/>
    <n v="1"/>
    <s v="unknown"/>
    <n v="0"/>
    <x v="2"/>
    <x v="2"/>
    <s v="Exterior spruce branch Under bark"/>
    <s v="NA"/>
    <m/>
    <m/>
    <m/>
    <s v="NA"/>
    <s v="NA"/>
    <s v="NA"/>
    <s v="NA"/>
    <s v="NA"/>
    <s v="NA"/>
    <s v="NA"/>
    <s v="NA"/>
    <n v="12"/>
    <n v="0"/>
    <n v="0"/>
    <n v="12"/>
    <n v="0"/>
    <n v="12"/>
    <s v="Probing"/>
    <m/>
    <n v="7"/>
    <n v="0"/>
  </r>
  <r>
    <s v="DSCN3303"/>
    <s v="MC0418_7"/>
    <n v="7"/>
    <n v="1"/>
    <s v="Mercantile"/>
    <d v="2019-04-18T00:00:00"/>
    <x v="0"/>
    <m/>
    <d v="1899-12-30T00:12:00"/>
    <s v="Overcast"/>
    <s v="BW/GS"/>
    <s v="Foraging"/>
    <s v="NA"/>
    <n v="1"/>
    <n v="0"/>
    <n v="0"/>
    <x v="2"/>
    <x v="2"/>
    <s v="Ground"/>
    <s v="NA"/>
    <m/>
    <m/>
    <m/>
    <s v="NA"/>
    <s v="NA"/>
    <s v="NA"/>
    <s v="NA"/>
    <s v="NA"/>
    <s v="NA"/>
    <s v="NA"/>
    <s v="NA"/>
    <n v="0"/>
    <n v="0"/>
    <n v="0"/>
    <n v="0"/>
    <n v="12"/>
    <n v="12"/>
    <s v="Searching"/>
    <m/>
    <m/>
    <m/>
  </r>
  <r>
    <s v="DSCN3475"/>
    <s v="BU0424_12"/>
    <n v="12"/>
    <n v="1"/>
    <s v="B&amp;U"/>
    <d v="2019-04-24T00:00:00"/>
    <x v="0"/>
    <m/>
    <d v="1899-12-30T00:12:00"/>
    <s v="Partly cloudy"/>
    <s v="WP/BS"/>
    <s v="Foraging"/>
    <s v="Spruce"/>
    <n v="1"/>
    <s v="unknown"/>
    <n v="0"/>
    <x v="2"/>
    <x v="2"/>
    <s v="Interior bare spruce branch"/>
    <s v="NA"/>
    <m/>
    <m/>
    <m/>
    <s v="NA"/>
    <s v="NA"/>
    <s v="NA"/>
    <s v="NA"/>
    <s v="NA"/>
    <s v="NA"/>
    <s v="NA"/>
    <s v="NA"/>
    <n v="12"/>
    <n v="0"/>
    <n v="12"/>
    <n v="0"/>
    <n v="0"/>
    <n v="12"/>
    <s v="Searching/probing"/>
    <m/>
    <n v="2"/>
    <n v="0"/>
  </r>
  <r>
    <s v="DSCN3706"/>
    <s v="CC0430_3"/>
    <n v="3"/>
    <n v="1"/>
    <s v="CCAMP"/>
    <d v="2019-04-30T00:00:00"/>
    <x v="0"/>
    <s v="Spring"/>
    <d v="1899-12-30T00:13:00"/>
    <s v="Clear, full sun"/>
    <s v="GL/RS"/>
    <s v="Foraging"/>
    <s v="NA"/>
    <n v="0"/>
    <n v="0"/>
    <n v="0"/>
    <x v="0"/>
    <x v="0"/>
    <s v="NA"/>
    <s v="NA"/>
    <m/>
    <m/>
    <m/>
    <s v="NA"/>
    <s v="NA"/>
    <s v="NA"/>
    <s v="NA"/>
    <s v="NA"/>
    <s v="NA"/>
    <s v="NA"/>
    <s v="NA"/>
    <n v="0"/>
    <n v="0"/>
    <n v="0"/>
    <n v="0"/>
    <n v="12"/>
    <n v="12"/>
    <s v="Searching"/>
    <m/>
    <m/>
    <m/>
  </r>
  <r>
    <s v="DSCN3887"/>
    <s v="MC0506_5"/>
    <n v="5"/>
    <n v="1"/>
    <s v="Mercantile"/>
    <d v="2019-05-06T00:00:00"/>
    <x v="2"/>
    <m/>
    <d v="1899-12-30T00:12:00"/>
    <s v="Mostly cloudy"/>
    <s v="BW/GS"/>
    <s v="Foraging"/>
    <s v="NA"/>
    <n v="1"/>
    <n v="0"/>
    <n v="0"/>
    <x v="2"/>
    <x v="2"/>
    <s v="Ground"/>
    <s v="NA"/>
    <m/>
    <m/>
    <m/>
    <s v="NA"/>
    <s v="NA"/>
    <s v="NA"/>
    <s v="NA"/>
    <s v="NA"/>
    <s v="NA"/>
    <s v="NA"/>
    <s v="NA"/>
    <n v="0"/>
    <n v="0"/>
    <n v="0"/>
    <n v="0"/>
    <n v="12"/>
    <n v="12"/>
    <s v="Searching"/>
    <m/>
    <m/>
    <m/>
  </r>
  <r>
    <s v="DSCN3895"/>
    <s v="MC0506_8"/>
    <n v="8"/>
    <n v="1"/>
    <s v="Mercantile"/>
    <d v="2019-05-06T00:00:00"/>
    <x v="2"/>
    <m/>
    <d v="1899-12-30T00:28:00"/>
    <s v="Mostly cloudy"/>
    <s v="BW/GS"/>
    <s v="Foraging"/>
    <s v="NA"/>
    <n v="0"/>
    <n v="0"/>
    <n v="0"/>
    <x v="0"/>
    <x v="0"/>
    <s v="NA"/>
    <s v="NA"/>
    <m/>
    <m/>
    <m/>
    <s v="NA"/>
    <s v="NA"/>
    <s v="NA"/>
    <s v="NA"/>
    <s v="NA"/>
    <s v="NA"/>
    <s v="NA"/>
    <s v="NA"/>
    <n v="0"/>
    <n v="0"/>
    <n v="0"/>
    <n v="0"/>
    <n v="12"/>
    <n v="12"/>
    <s v="Searching"/>
    <m/>
    <m/>
    <m/>
  </r>
  <r>
    <s v="DSCN2526"/>
    <s v="M4R0325_15"/>
    <n v="15"/>
    <n v="1"/>
    <s v="M4Roadside"/>
    <d v="2019-03-25T00:00:00"/>
    <x v="1"/>
    <m/>
    <d v="1899-12-30T00:13:00"/>
    <s v="Mostly sunny"/>
    <s v="YO/BS"/>
    <s v="Foraging"/>
    <s v="NA"/>
    <s v="unknown"/>
    <n v="0"/>
    <n v="0"/>
    <x v="0"/>
    <x v="0"/>
    <s v="NA"/>
    <s v="NA"/>
    <m/>
    <m/>
    <m/>
    <s v="NA"/>
    <s v="NA"/>
    <s v="NA"/>
    <s v="NA"/>
    <s v="NA"/>
    <m/>
    <m/>
    <m/>
    <n v="0"/>
    <n v="0"/>
    <n v="0"/>
    <n v="0"/>
    <n v="12"/>
    <n v="12"/>
    <s v="Searching"/>
    <m/>
    <m/>
    <m/>
  </r>
  <r>
    <s v="DSCN2603"/>
    <s v="M4R0327_7"/>
    <n v="7"/>
    <n v="1"/>
    <s v="M4Roadside"/>
    <d v="2019-03-27T00:00:00"/>
    <x v="1"/>
    <m/>
    <d v="1899-12-30T00:24:00"/>
    <s v="Overcast"/>
    <s v="unknown"/>
    <s v="Foraging"/>
    <s v="NA"/>
    <s v="unknown"/>
    <n v="0"/>
    <n v="0"/>
    <x v="0"/>
    <x v="0"/>
    <s v="NA"/>
    <s v="NA"/>
    <m/>
    <m/>
    <m/>
    <s v="NA"/>
    <s v="NA"/>
    <s v="NA"/>
    <s v="NA"/>
    <s v="NA"/>
    <s v="NA"/>
    <s v="NA"/>
    <m/>
    <n v="0"/>
    <n v="0"/>
    <n v="0"/>
    <n v="0"/>
    <n v="12"/>
    <n v="12"/>
    <s v="Searching"/>
    <m/>
    <m/>
    <m/>
  </r>
  <r>
    <s v="DSCN2738"/>
    <s v="BU0401_2"/>
    <n v="2"/>
    <n v="1"/>
    <s v="BU"/>
    <d v="2019-04-01T00:00:00"/>
    <x v="0"/>
    <m/>
    <d v="1899-12-30T00:12:00"/>
    <m/>
    <s v="GR/PS"/>
    <s v="Foraging"/>
    <s v="NA"/>
    <s v="unknown"/>
    <n v="0"/>
    <n v="0"/>
    <x v="0"/>
    <x v="0"/>
    <s v="NA"/>
    <s v="NA"/>
    <m/>
    <m/>
    <m/>
    <s v="NA"/>
    <s v="NA"/>
    <s v="NA"/>
    <s v="NA"/>
    <s v="NA"/>
    <s v="NA"/>
    <s v="NA"/>
    <m/>
    <n v="0"/>
    <n v="0"/>
    <n v="0"/>
    <n v="0"/>
    <n v="12"/>
    <n v="12"/>
    <s v="Searching"/>
    <m/>
    <m/>
    <m/>
  </r>
  <r>
    <s v="DSCN2847"/>
    <s v="M2370403_13"/>
    <n v="13"/>
    <n v="1"/>
    <s v="Mile 237"/>
    <d v="2019-04-03T00:00:00"/>
    <x v="0"/>
    <m/>
    <d v="1899-12-30T00:17:00"/>
    <m/>
    <s v="YP/RS"/>
    <s v="Foraging"/>
    <s v="Spruce"/>
    <s v="unknown"/>
    <s v="unknown"/>
    <n v="0"/>
    <x v="0"/>
    <x v="0"/>
    <s v="NA"/>
    <s v="NA"/>
    <m/>
    <m/>
    <m/>
    <s v="NA"/>
    <s v="NA"/>
    <s v="NA"/>
    <s v="NA"/>
    <s v="NA"/>
    <s v="NA"/>
    <s v="NA"/>
    <m/>
    <n v="12"/>
    <n v="0"/>
    <n v="0"/>
    <n v="12"/>
    <n v="0"/>
    <n v="12"/>
    <s v="Searching"/>
    <m/>
    <m/>
    <m/>
  </r>
  <r>
    <s v="DSCN3637"/>
    <s v="M4R0430_1"/>
    <n v="1"/>
    <n v="1"/>
    <s v="M4Roadside"/>
    <d v="2019-04-30T00:00:00"/>
    <x v="0"/>
    <m/>
    <d v="1899-12-30T00:12:00"/>
    <s v="Clear, full sun"/>
    <s v="YO/BS"/>
    <s v="Foraging"/>
    <s v="NA"/>
    <s v="unknown"/>
    <n v="0"/>
    <n v="0"/>
    <x v="0"/>
    <x v="0"/>
    <s v="NA"/>
    <s v="NA"/>
    <m/>
    <m/>
    <m/>
    <s v="NA"/>
    <s v="NA"/>
    <s v="NA"/>
    <s v="NA"/>
    <s v="NA"/>
    <s v="NA"/>
    <s v="NA"/>
    <s v="NA"/>
    <n v="0"/>
    <n v="0"/>
    <n v="0"/>
    <n v="0"/>
    <n v="12"/>
    <n v="12"/>
    <s v="Searching"/>
    <m/>
    <m/>
    <m/>
  </r>
  <r>
    <s v="DSCN2434"/>
    <s v="BL0322_1"/>
    <n v="1"/>
    <n v="1"/>
    <s v="Boulder"/>
    <d v="2019-03-22T00:00:00"/>
    <x v="1"/>
    <m/>
    <d v="1899-12-30T00:28:00"/>
    <s v="Partly cloudy"/>
    <s v="unbanded"/>
    <s v="Foraging"/>
    <s v="NA"/>
    <n v="0"/>
    <n v="0"/>
    <n v="0"/>
    <x v="0"/>
    <x v="0"/>
    <s v="NA"/>
    <s v="NA"/>
    <m/>
    <m/>
    <m/>
    <s v="NA"/>
    <s v="NA"/>
    <s v="NA"/>
    <s v="NA"/>
    <s v="NA"/>
    <m/>
    <m/>
    <m/>
    <n v="0"/>
    <n v="0"/>
    <n v="0"/>
    <n v="0"/>
    <n v="11"/>
    <n v="11"/>
    <s v="Picking"/>
    <m/>
    <m/>
    <m/>
  </r>
  <r>
    <s v="DSCN2484"/>
    <s v="MC0325_2"/>
    <n v="2"/>
    <n v="1"/>
    <s v="Mercantile"/>
    <d v="2019-03-25T00:00:00"/>
    <x v="1"/>
    <m/>
    <d v="1899-12-30T01:37:00"/>
    <s v="Overcast"/>
    <s v="WO/OS"/>
    <s v="Foraging"/>
    <s v="NA"/>
    <n v="1"/>
    <n v="0"/>
    <n v="0"/>
    <x v="3"/>
    <x v="25"/>
    <s v="Ground"/>
    <s v="NA"/>
    <m/>
    <m/>
    <m/>
    <s v="NA"/>
    <s v="NA"/>
    <s v="NA"/>
    <s v="NA"/>
    <s v="NA"/>
    <m/>
    <m/>
    <m/>
    <n v="0"/>
    <n v="0"/>
    <n v="0"/>
    <n v="0"/>
    <n v="11"/>
    <n v="11"/>
    <s v="Searching"/>
    <m/>
    <m/>
    <m/>
  </r>
  <r>
    <s v="DSCN2500"/>
    <s v="CC0325_6"/>
    <n v="6"/>
    <n v="1"/>
    <s v="CCAMP"/>
    <d v="2019-03-25T00:00:00"/>
    <x v="1"/>
    <m/>
    <d v="1899-12-30T00:24:00"/>
    <s v="Overcast"/>
    <s v="GB/BS"/>
    <s v="Foraging"/>
    <s v="NA"/>
    <n v="0"/>
    <n v="0"/>
    <n v="0"/>
    <x v="0"/>
    <x v="0"/>
    <s v="NA"/>
    <s v="NA"/>
    <m/>
    <m/>
    <m/>
    <s v="NA"/>
    <s v="NA"/>
    <s v="NA"/>
    <s v="NA"/>
    <s v="NA"/>
    <m/>
    <m/>
    <m/>
    <n v="0"/>
    <n v="0"/>
    <n v="0"/>
    <n v="0"/>
    <n v="11"/>
    <n v="11"/>
    <s v="Searching"/>
    <m/>
    <m/>
    <m/>
  </r>
  <r>
    <s v="DSCN2714"/>
    <s v="WW0330_11"/>
    <n v="11"/>
    <n v="1"/>
    <s v="WAC West"/>
    <d v="2019-03-30T00:00:00"/>
    <x v="1"/>
    <m/>
    <d v="1899-12-30T00:11:00"/>
    <m/>
    <s v="BP/PS"/>
    <s v="Foraging"/>
    <s v="NA"/>
    <n v="1"/>
    <n v="0"/>
    <n v="0"/>
    <x v="1"/>
    <x v="7"/>
    <s v="Ground"/>
    <s v="NA"/>
    <m/>
    <m/>
    <m/>
    <s v="NA"/>
    <s v="NA"/>
    <s v="NA"/>
    <s v="NA"/>
    <s v="NA"/>
    <s v="NA"/>
    <s v="NA"/>
    <m/>
    <n v="0"/>
    <n v="0"/>
    <n v="0"/>
    <n v="0"/>
    <n v="11"/>
    <n v="11"/>
    <s v="Searching"/>
    <m/>
    <m/>
    <m/>
  </r>
  <r>
    <s v="DSCN2846"/>
    <s v="M2370403_12"/>
    <n v="12"/>
    <n v="1"/>
    <s v="Mile 237"/>
    <d v="2019-04-03T00:00:00"/>
    <x v="0"/>
    <m/>
    <d v="1899-12-30T00:13:00"/>
    <m/>
    <s v="YP/RS"/>
    <s v="Foraging"/>
    <s v="Spruce"/>
    <n v="0"/>
    <n v="0"/>
    <n v="0"/>
    <x v="0"/>
    <x v="0"/>
    <s v="NA"/>
    <s v="NA"/>
    <m/>
    <m/>
    <m/>
    <s v="NA"/>
    <s v="NA"/>
    <s v="NA"/>
    <s v="NA"/>
    <s v="NA"/>
    <s v="NA"/>
    <s v="NA"/>
    <m/>
    <n v="11"/>
    <n v="0"/>
    <n v="5"/>
    <n v="6"/>
    <n v="0"/>
    <n v="11"/>
    <s v="Searching"/>
    <m/>
    <m/>
    <m/>
  </r>
  <r>
    <s v="DSCN2987"/>
    <s v="WW0405_27"/>
    <n v="27"/>
    <n v="1"/>
    <s v="WAC West"/>
    <d v="2019-04-05T00:00:00"/>
    <x v="0"/>
    <m/>
    <d v="1899-12-30T01:38:00"/>
    <m/>
    <s v="BP/PS"/>
    <s v="Foraging"/>
    <s v="Spruce"/>
    <n v="1"/>
    <s v="unknown"/>
    <n v="0"/>
    <x v="2"/>
    <x v="2"/>
    <s v="Spruce trunk under bark"/>
    <m/>
    <m/>
    <m/>
    <m/>
    <m/>
    <m/>
    <m/>
    <m/>
    <m/>
    <m/>
    <m/>
    <m/>
    <n v="11"/>
    <n v="0"/>
    <n v="11"/>
    <n v="0"/>
    <m/>
    <n v="11"/>
    <m/>
    <m/>
    <m/>
    <m/>
  </r>
  <r>
    <s v="DSCN3029"/>
    <s v="M4R0409_5"/>
    <n v="5"/>
    <n v="1"/>
    <s v="M4Roadside"/>
    <d v="2019-04-09T00:00:00"/>
    <x v="0"/>
    <m/>
    <d v="1899-12-30T00:11:00"/>
    <m/>
    <s v="OB/YS"/>
    <s v="Foraging"/>
    <s v="NA"/>
    <n v="0"/>
    <n v="0"/>
    <n v="0"/>
    <x v="0"/>
    <x v="0"/>
    <s v="NA"/>
    <s v="NA"/>
    <m/>
    <m/>
    <m/>
    <s v="NA"/>
    <s v="NA"/>
    <s v="NA"/>
    <s v="NA"/>
    <s v="NA"/>
    <s v="NA"/>
    <s v="NA"/>
    <m/>
    <n v="0"/>
    <n v="0"/>
    <n v="0"/>
    <n v="0"/>
    <n v="11"/>
    <n v="11"/>
    <s v="Searching"/>
    <m/>
    <m/>
    <m/>
  </r>
  <r>
    <s v="DSCN3241"/>
    <s v="AQ0417_3"/>
    <n v="3"/>
    <n v="3"/>
    <s v="Air Quality"/>
    <d v="2019-04-17T00:00:00"/>
    <x v="0"/>
    <m/>
    <d v="1899-12-30T01:09:00"/>
    <s v="Overcast, light snow"/>
    <s v="PG/PS"/>
    <s v="Foraging"/>
    <s v="Spruce"/>
    <n v="1"/>
    <s v="unknown"/>
    <n v="0"/>
    <x v="2"/>
    <x v="2"/>
    <s v="Exterior spruce branch Under bark"/>
    <s v="NA"/>
    <m/>
    <m/>
    <m/>
    <s v="NA"/>
    <s v="NA"/>
    <s v="NA"/>
    <s v="NA"/>
    <s v="NA"/>
    <s v="NA"/>
    <s v="NA"/>
    <s v="NA"/>
    <n v="11"/>
    <n v="0"/>
    <n v="0"/>
    <n v="11"/>
    <n v="0"/>
    <n v="11"/>
    <s v="Probing"/>
    <m/>
    <n v="1"/>
    <n v="0"/>
  </r>
  <r>
    <s v="DSCN3280"/>
    <s v="MC0418_2"/>
    <n v="2"/>
    <n v="1"/>
    <s v="Mercantile"/>
    <d v="2019-04-18T00:00:00"/>
    <x v="0"/>
    <m/>
    <d v="1899-12-30T00:11:00"/>
    <s v="Overcast"/>
    <s v="BW/GS"/>
    <s v="Foraging"/>
    <s v="NA"/>
    <n v="1"/>
    <n v="0"/>
    <n v="0"/>
    <x v="2"/>
    <x v="2"/>
    <s v="Ground"/>
    <s v="NA"/>
    <m/>
    <m/>
    <m/>
    <s v="NA"/>
    <s v="NA"/>
    <s v="NA"/>
    <s v="NA"/>
    <s v="NA"/>
    <s v="NA"/>
    <s v="NA"/>
    <s v="NA"/>
    <n v="0"/>
    <n v="0"/>
    <n v="0"/>
    <n v="0"/>
    <n v="11"/>
    <n v="11"/>
    <s v="Searching"/>
    <m/>
    <m/>
    <m/>
  </r>
  <r>
    <s v="DSCN3337"/>
    <s v="M4R0419_1"/>
    <n v="1"/>
    <n v="1"/>
    <s v="M4Roadside"/>
    <d v="2019-04-19T00:00:00"/>
    <x v="0"/>
    <m/>
    <d v="1899-12-30T00:11:00"/>
    <s v="Partly cloudy"/>
    <s v="OB/YS"/>
    <s v="Foraging"/>
    <s v="Alder"/>
    <n v="0"/>
    <n v="0"/>
    <n v="0"/>
    <x v="0"/>
    <x v="0"/>
    <s v="NA"/>
    <s v="NA"/>
    <m/>
    <m/>
    <m/>
    <s v="NA"/>
    <s v="NA"/>
    <s v="NA"/>
    <s v="NA"/>
    <s v="NA"/>
    <s v="NA"/>
    <s v="NA"/>
    <s v="NA"/>
    <n v="11"/>
    <n v="0"/>
    <n v="0"/>
    <n v="11"/>
    <n v="0"/>
    <n v="11"/>
    <s v="Searching/probing"/>
    <s v="No probling on tape but had seen some earlier"/>
    <n v="0"/>
    <n v="0"/>
  </r>
  <r>
    <s v="DSCN3512"/>
    <s v="MC0424_20"/>
    <n v="20"/>
    <n v="1"/>
    <s v="Mercantile"/>
    <d v="2019-04-24T00:00:00"/>
    <x v="0"/>
    <m/>
    <d v="1899-12-30T00:32:00"/>
    <s v="Partly cloudy"/>
    <s v="BW/GS"/>
    <s v="Foraging"/>
    <s v="NA"/>
    <n v="0"/>
    <n v="0"/>
    <n v="0"/>
    <x v="0"/>
    <x v="0"/>
    <s v="NA"/>
    <s v="NA"/>
    <m/>
    <m/>
    <m/>
    <s v="NA"/>
    <s v="NA"/>
    <s v="NA"/>
    <s v="NA"/>
    <s v="NA"/>
    <s v="NA"/>
    <s v="NA"/>
    <s v="NA"/>
    <n v="0"/>
    <n v="0"/>
    <n v="0"/>
    <n v="0"/>
    <n v="11"/>
    <n v="11"/>
    <s v="Searching"/>
    <m/>
    <m/>
    <m/>
  </r>
  <r>
    <s v="DSCN3536"/>
    <s v="CC0425_12"/>
    <n v="12"/>
    <n v="1"/>
    <s v="CCAMP"/>
    <d v="2019-04-25T00:00:00"/>
    <x v="0"/>
    <m/>
    <d v="1899-12-30T00:11:00"/>
    <s v="Partly cloudy"/>
    <s v="GB/BS"/>
    <s v="Foraging"/>
    <s v="NA"/>
    <n v="0"/>
    <n v="0"/>
    <n v="0"/>
    <x v="0"/>
    <x v="0"/>
    <s v="NA"/>
    <s v="NA"/>
    <m/>
    <m/>
    <m/>
    <s v="NA"/>
    <s v="NA"/>
    <s v="NA"/>
    <s v="NA"/>
    <s v="NA"/>
    <s v="NA"/>
    <s v="NA"/>
    <s v="NA"/>
    <n v="0"/>
    <n v="0"/>
    <n v="0"/>
    <n v="0"/>
    <n v="11"/>
    <n v="11"/>
    <s v="Searching"/>
    <m/>
    <m/>
    <m/>
  </r>
  <r>
    <s v="DSCN3594"/>
    <s v="AQ0426_2"/>
    <n v="2"/>
    <n v="1"/>
    <s v="Air Quality"/>
    <d v="2019-04-26T00:00:00"/>
    <x v="0"/>
    <m/>
    <d v="1899-12-30T00:11:00"/>
    <m/>
    <s v="PG/PS"/>
    <s v="Foraging"/>
    <s v="Spruce"/>
    <n v="1"/>
    <s v="unknown"/>
    <n v="0"/>
    <x v="2"/>
    <x v="2"/>
    <s v="Exterior spruce branch inder bark"/>
    <s v="NA"/>
    <m/>
    <m/>
    <m/>
    <s v="NA"/>
    <s v="NA"/>
    <s v="NA"/>
    <s v="NA"/>
    <s v="NA"/>
    <s v="NA"/>
    <s v="NA"/>
    <s v="NA"/>
    <n v="11"/>
    <n v="0"/>
    <n v="0"/>
    <n v="11"/>
    <n v="0"/>
    <n v="11"/>
    <m/>
    <s v="Probing"/>
    <m/>
    <m/>
  </r>
  <r>
    <s v="DSCN3834"/>
    <s v="CC0503_14"/>
    <n v="14"/>
    <n v="1"/>
    <s v="CCAMP"/>
    <d v="2019-05-03T00:00:00"/>
    <x v="2"/>
    <m/>
    <d v="1899-12-30T01:43:00"/>
    <s v="Overcast, light snow"/>
    <s v="GB/BS"/>
    <s v="Foraging"/>
    <s v="NA"/>
    <n v="1"/>
    <n v="0"/>
    <n v="0"/>
    <x v="1"/>
    <x v="1"/>
    <s v="Ground"/>
    <s v="NA"/>
    <m/>
    <m/>
    <m/>
    <s v="NA"/>
    <s v="NA"/>
    <s v="NA"/>
    <s v="NA"/>
    <s v="NA"/>
    <s v="NA"/>
    <s v="NA"/>
    <s v="NA"/>
    <n v="0"/>
    <n v="0"/>
    <n v="0"/>
    <n v="0"/>
    <n v="11"/>
    <n v="11"/>
    <s v="Searching"/>
    <m/>
    <m/>
    <m/>
  </r>
  <r>
    <s v="DSCN3907"/>
    <s v="BU0508_2"/>
    <n v="2"/>
    <n v="1"/>
    <s v="B&amp;U"/>
    <d v="2019-05-08T00:00:00"/>
    <x v="2"/>
    <m/>
    <d v="1899-12-30T00:11:00"/>
    <s v="Overcast, light rain"/>
    <s v="WP/BS"/>
    <s v="Foraging"/>
    <s v="NA"/>
    <n v="0"/>
    <n v="0"/>
    <n v="0"/>
    <x v="0"/>
    <x v="0"/>
    <s v="NA"/>
    <s v="NA"/>
    <m/>
    <m/>
    <m/>
    <s v="NA"/>
    <s v="NA"/>
    <s v="NA"/>
    <s v="NA"/>
    <s v="NA"/>
    <s v="NA"/>
    <s v="NA"/>
    <s v="NA"/>
    <n v="0"/>
    <n v="0"/>
    <n v="0"/>
    <m/>
    <n v="11"/>
    <n v="11"/>
    <s v="Searching"/>
    <m/>
    <m/>
    <m/>
  </r>
  <r>
    <s v="DSCN2964"/>
    <s v="WW0405_11"/>
    <n v="11"/>
    <n v="1"/>
    <s v="WAC West"/>
    <d v="2019-04-05T00:00:00"/>
    <x v="0"/>
    <m/>
    <d v="1899-12-30T00:11:00"/>
    <m/>
    <s v="BP/PS"/>
    <s v="Foraging"/>
    <s v="NA"/>
    <s v="unknown"/>
    <n v="0"/>
    <n v="0"/>
    <x v="0"/>
    <x v="0"/>
    <s v="NA"/>
    <s v="NA"/>
    <m/>
    <m/>
    <m/>
    <s v="NA"/>
    <s v="NA"/>
    <s v="NA"/>
    <s v="NA"/>
    <s v="NA"/>
    <s v="NA"/>
    <s v="NA"/>
    <m/>
    <n v="0"/>
    <n v="0"/>
    <n v="0"/>
    <n v="0"/>
    <n v="11"/>
    <n v="11"/>
    <s v="Searching"/>
    <m/>
    <m/>
    <m/>
  </r>
  <r>
    <s v="DSCN3826"/>
    <s v="CC0503_10"/>
    <n v="10"/>
    <n v="1"/>
    <s v="CCAMP"/>
    <d v="2019-05-03T00:00:00"/>
    <x v="2"/>
    <m/>
    <d v="1899-12-30T00:11:00"/>
    <s v="Overcast, light snow"/>
    <s v="GB/BS"/>
    <s v="Foraging"/>
    <s v="NA"/>
    <s v="unknown"/>
    <n v="0"/>
    <n v="0"/>
    <x v="0"/>
    <x v="0"/>
    <s v="NA"/>
    <s v="NA"/>
    <m/>
    <m/>
    <m/>
    <s v="NA"/>
    <s v="NA"/>
    <s v="NA"/>
    <s v="NA"/>
    <s v="NA"/>
    <s v="NA"/>
    <s v="NA"/>
    <s v="NA"/>
    <n v="0"/>
    <n v="0"/>
    <n v="0"/>
    <n v="0"/>
    <n v="11"/>
    <n v="11"/>
    <s v="Searching"/>
    <m/>
    <m/>
    <m/>
  </r>
  <r>
    <s v="DSCN2433"/>
    <s v="HS0321_1"/>
    <n v="1"/>
    <n v="1"/>
    <s v="Horse Shoe"/>
    <d v="2019-03-21T00:00:00"/>
    <x v="1"/>
    <m/>
    <d v="1899-12-30T00:30:00"/>
    <s v="Partly cloudy"/>
    <s v="YL/OS"/>
    <s v="Food handling/Foraging"/>
    <s v="Spruce"/>
    <n v="1"/>
    <s v="unknown"/>
    <n v="0"/>
    <x v="2"/>
    <x v="2"/>
    <s v="uknown"/>
    <s v="NA"/>
    <m/>
    <m/>
    <m/>
    <s v="NA"/>
    <s v="NA"/>
    <s v="NA"/>
    <s v="NA"/>
    <s v="NA"/>
    <m/>
    <m/>
    <m/>
    <n v="10"/>
    <n v="0"/>
    <n v="0"/>
    <n v="10"/>
    <n v="0"/>
    <n v="10"/>
    <s v="Picking"/>
    <s v="Missed acquisition. Picking at fallen stum/branch.  Not really interior or exterior"/>
    <m/>
    <m/>
  </r>
  <r>
    <s v="DSCN2495"/>
    <s v="CC0325_3"/>
    <n v="3"/>
    <n v="1"/>
    <s v="CCAMP"/>
    <d v="2019-03-25T00:00:00"/>
    <x v="1"/>
    <m/>
    <d v="1899-12-30T00:37:00"/>
    <s v="Overcast"/>
    <s v="GB/BS"/>
    <s v="Foraging"/>
    <s v="Spruce"/>
    <n v="0"/>
    <n v="0"/>
    <n v="0"/>
    <x v="0"/>
    <x v="0"/>
    <s v="NA"/>
    <s v="NA"/>
    <m/>
    <m/>
    <m/>
    <s v="NA"/>
    <s v="NA"/>
    <s v="NA"/>
    <s v="NA"/>
    <s v="NA"/>
    <m/>
    <m/>
    <m/>
    <n v="10"/>
    <n v="0"/>
    <n v="0"/>
    <n v="10"/>
    <n v="0"/>
    <n v="10"/>
    <s v="Searching"/>
    <s v="Suspected foraging"/>
    <m/>
    <m/>
  </r>
  <r>
    <s v="DSCN2622"/>
    <s v="MC0327_4"/>
    <n v="4"/>
    <n v="1"/>
    <s v="M4Roadside"/>
    <d v="2019-03-27T00:00:00"/>
    <x v="1"/>
    <m/>
    <d v="1899-12-30T00:22:00"/>
    <m/>
    <s v="WO/OS"/>
    <s v="Foraging"/>
    <s v="NA"/>
    <n v="0"/>
    <n v="0"/>
    <n v="0"/>
    <x v="0"/>
    <x v="0"/>
    <s v="NA"/>
    <s v="NA"/>
    <m/>
    <m/>
    <m/>
    <s v="NA"/>
    <s v="NA"/>
    <s v="NA"/>
    <s v="NA"/>
    <s v="NA"/>
    <s v="NA"/>
    <s v="NA"/>
    <m/>
    <n v="0"/>
    <n v="0"/>
    <n v="0"/>
    <n v="0"/>
    <n v="10"/>
    <n v="10"/>
    <s v="Searching"/>
    <m/>
    <m/>
    <m/>
  </r>
  <r>
    <s v="DSCN2624"/>
    <s v="UK0328_1"/>
    <n v="1"/>
    <n v="1"/>
    <s v="Unknown"/>
    <d v="2019-03-28T00:00:00"/>
    <x v="1"/>
    <m/>
    <d v="1899-12-30T01:28:00"/>
    <s v="Overcast"/>
    <s v="OW/BS"/>
    <s v="Foraging"/>
    <s v="Spruce"/>
    <n v="1"/>
    <s v="unknown"/>
    <n v="0"/>
    <x v="2"/>
    <x v="2"/>
    <s v="Spruce trunk under bark"/>
    <s v="NA"/>
    <m/>
    <m/>
    <m/>
    <s v="NA"/>
    <s v="NA"/>
    <s v="NA"/>
    <s v="NA"/>
    <s v="NA"/>
    <s v="NA"/>
    <s v="NA"/>
    <m/>
    <n v="10"/>
    <n v="0"/>
    <n v="10"/>
    <n v="0"/>
    <n v="0"/>
    <n v="10"/>
    <s v="Searching/probing"/>
    <m/>
    <n v="2"/>
    <n v="0"/>
  </r>
  <r>
    <s v="DSCN2719"/>
    <s v="WW0330_16"/>
    <n v="16"/>
    <n v="1"/>
    <s v="WAC West"/>
    <d v="2019-03-30T00:00:00"/>
    <x v="1"/>
    <m/>
    <d v="1899-12-30T00:18:00"/>
    <m/>
    <s v="BP/PS"/>
    <s v="Foraging"/>
    <s v="NA"/>
    <n v="1"/>
    <n v="0"/>
    <n v="0"/>
    <x v="1"/>
    <x v="1"/>
    <s v="Ground"/>
    <s v="NA"/>
    <m/>
    <m/>
    <m/>
    <s v="NA"/>
    <s v="NA"/>
    <s v="NA"/>
    <s v="NA"/>
    <s v="NA"/>
    <s v="NA"/>
    <s v="NA"/>
    <m/>
    <n v="0"/>
    <n v="0"/>
    <n v="0"/>
    <n v="0"/>
    <n v="10"/>
    <n v="10"/>
    <s v="Searching"/>
    <m/>
    <m/>
    <m/>
  </r>
  <r>
    <s v="DSCN2673"/>
    <s v="M2370330_4"/>
    <n v="4"/>
    <n v="1"/>
    <s v="Mile 237"/>
    <d v="2019-03-30T00:00:00"/>
    <x v="1"/>
    <m/>
    <d v="1899-12-30T00:23:00"/>
    <m/>
    <s v="YP/RS"/>
    <s v="Foraging"/>
    <s v="Spruce"/>
    <n v="0"/>
    <n v="0"/>
    <n v="0"/>
    <x v="0"/>
    <x v="0"/>
    <s v="NA"/>
    <s v="NA"/>
    <m/>
    <m/>
    <m/>
    <s v="NA"/>
    <s v="NA"/>
    <s v="NA"/>
    <s v="NA"/>
    <s v="NA"/>
    <s v="NA"/>
    <s v="NA"/>
    <m/>
    <n v="0"/>
    <n v="10"/>
    <n v="0"/>
    <n v="10"/>
    <n v="0"/>
    <n v="10"/>
    <m/>
    <m/>
    <m/>
    <m/>
  </r>
  <r>
    <s v="DSCN2730"/>
    <s v="M4W0401_2"/>
    <n v="2"/>
    <n v="1"/>
    <s v="M4West"/>
    <d v="2019-04-01T00:00:00"/>
    <x v="0"/>
    <m/>
    <d v="1899-12-30T00:29:00"/>
    <m/>
    <s v="BR/RS"/>
    <s v="Foraging"/>
    <s v="Spruce"/>
    <n v="0"/>
    <n v="0"/>
    <n v="0"/>
    <x v="0"/>
    <x v="0"/>
    <s v="NA"/>
    <s v="NA"/>
    <m/>
    <m/>
    <m/>
    <s v="NA"/>
    <s v="NA"/>
    <s v="NA"/>
    <s v="NA"/>
    <s v="NA"/>
    <s v="NA"/>
    <s v="NA"/>
    <m/>
    <n v="10"/>
    <n v="0"/>
    <n v="10"/>
    <n v="0"/>
    <n v="0"/>
    <n v="10"/>
    <m/>
    <m/>
    <m/>
    <m/>
  </r>
  <r>
    <s v="DSCN3125"/>
    <s v="M2370415_1"/>
    <n v="1"/>
    <n v="1"/>
    <s v="Mile 237"/>
    <d v="2019-04-15T00:00:00"/>
    <x v="0"/>
    <m/>
    <d v="1899-12-30T00:19:00"/>
    <s v="Partly cloudy"/>
    <s v="YP/RS"/>
    <s v="Foraging"/>
    <s v="NA"/>
    <n v="1"/>
    <n v="0"/>
    <n v="0"/>
    <x v="2"/>
    <x v="2"/>
    <s v="Ground"/>
    <s v="NA"/>
    <m/>
    <m/>
    <m/>
    <s v="NA"/>
    <s v="NA"/>
    <s v="NA"/>
    <s v="NA"/>
    <s v="NA"/>
    <s v="NA"/>
    <s v="NA"/>
    <m/>
    <n v="0"/>
    <n v="0"/>
    <n v="0"/>
    <n v="0"/>
    <n v="10"/>
    <n v="10"/>
    <s v="Searching"/>
    <m/>
    <m/>
    <m/>
  </r>
  <r>
    <s v="DSCN3104"/>
    <s v="BU0415_1"/>
    <n v="1"/>
    <n v="1"/>
    <s v="B&amp;U"/>
    <d v="2019-04-15T00:00:00"/>
    <x v="0"/>
    <m/>
    <d v="1899-12-30T00:48:00"/>
    <s v="Partly cloudy"/>
    <s v="GR/PS"/>
    <s v="Foraging"/>
    <s v="Spruce"/>
    <n v="1"/>
    <n v="1"/>
    <n v="0"/>
    <x v="4"/>
    <x v="26"/>
    <s v="Exterior spruce foliage"/>
    <s v="NA"/>
    <m/>
    <m/>
    <m/>
    <s v="NA"/>
    <s v="NA"/>
    <s v="NA"/>
    <s v="NA"/>
    <s v="NA"/>
    <n v="63.724440000000001"/>
    <n v="148.95590000000001"/>
    <m/>
    <n v="0"/>
    <n v="0"/>
    <n v="0"/>
    <n v="0"/>
    <n v="10"/>
    <n v="10"/>
    <s v="Searching"/>
    <s v="Perched in a tree and just pulled this out without looking for it.  "/>
    <m/>
    <m/>
  </r>
  <r>
    <s v="DSCN3224"/>
    <s v="M4R0417_7"/>
    <n v="7"/>
    <n v="1"/>
    <s v="M4Roadside"/>
    <d v="2019-04-17T00:00:00"/>
    <x v="0"/>
    <m/>
    <d v="1899-12-30T00:34:00"/>
    <s v="Overcast, light snow"/>
    <s v="OB/YS"/>
    <s v="Foraging"/>
    <s v="NA"/>
    <n v="1"/>
    <n v="0"/>
    <n v="0"/>
    <x v="2"/>
    <x v="2"/>
    <s v="Ground"/>
    <s v="NA"/>
    <m/>
    <m/>
    <m/>
    <s v="NA"/>
    <s v="NA"/>
    <s v="NA"/>
    <s v="NA"/>
    <s v="NA"/>
    <s v="NA"/>
    <s v="NA"/>
    <m/>
    <n v="0"/>
    <n v="0"/>
    <n v="0"/>
    <n v="0"/>
    <n v="10"/>
    <n v="10"/>
    <s v="Searching"/>
    <m/>
    <m/>
    <m/>
  </r>
  <r>
    <s v="DSCN3277"/>
    <s v="MC0418_1"/>
    <n v="1"/>
    <n v="2"/>
    <s v="Mercantile"/>
    <d v="2019-04-18T00:00:00"/>
    <x v="0"/>
    <m/>
    <d v="1899-12-30T02:20:00"/>
    <s v="Overcast"/>
    <s v="WO/OS"/>
    <s v="Foraging"/>
    <s v="Spruce"/>
    <n v="1"/>
    <n v="1"/>
    <n v="1"/>
    <x v="2"/>
    <x v="27"/>
    <s v="Interior spruce foliage "/>
    <s v="Exterior spruce foliage"/>
    <s v="Spruce"/>
    <s v="Exterior"/>
    <s v="Foliage"/>
    <s v="E"/>
    <n v="70"/>
    <s v="TBD"/>
    <n v="63.735770000000002"/>
    <n v="148.89865"/>
    <n v="63.735770000000002"/>
    <n v="148.89854"/>
    <s v="NA"/>
    <n v="0"/>
    <n v="10"/>
    <n v="10"/>
    <n v="0"/>
    <n v="0"/>
    <n v="10"/>
    <s v="Searching"/>
    <s v="Had just finished caching berries and then in the same tree as the CT in the previous clip, it recovered this presumed cache and then recached it in a nearby tree. "/>
    <m/>
    <m/>
  </r>
  <r>
    <s v="DSCN3277"/>
    <s v="MC0418_1"/>
    <n v="1"/>
    <n v="3"/>
    <s v="Mercantile"/>
    <d v="2019-04-18T00:00:00"/>
    <x v="0"/>
    <m/>
    <d v="1899-12-30T02:20:00"/>
    <s v="Overcast"/>
    <s v="WO/OS"/>
    <s v="Foraging"/>
    <s v="Spruce"/>
    <n v="1"/>
    <n v="1"/>
    <n v="0"/>
    <x v="2"/>
    <x v="27"/>
    <s v="Interior spruce foliage "/>
    <s v="NA"/>
    <m/>
    <m/>
    <m/>
    <s v="NA"/>
    <s v="NA"/>
    <s v="NA"/>
    <s v="NA"/>
    <s v="NA"/>
    <n v="63.735770000000002"/>
    <n v="148.89865"/>
    <s v="NA"/>
    <n v="0"/>
    <n v="0"/>
    <n v="0"/>
    <n v="0"/>
    <n v="10"/>
    <n v="10"/>
    <s v="Searching"/>
    <s v="Had just finished caching weird thing from the previous clip and then in the same tree found what looked like another piece of it and proceeded to leave with it. "/>
    <m/>
    <m/>
  </r>
  <r>
    <s v="DSCN3277"/>
    <s v="MC0418_1"/>
    <n v="1"/>
    <n v="1"/>
    <s v="Mercantile"/>
    <d v="2019-04-18T00:00:00"/>
    <x v="0"/>
    <m/>
    <d v="1899-12-30T02:20:00"/>
    <s v="Overcast"/>
    <s v="WO/OS"/>
    <s v="Foraging"/>
    <s v="NA"/>
    <n v="1"/>
    <m/>
    <n v="1"/>
    <x v="3"/>
    <x v="28"/>
    <s v="Ground"/>
    <s v="Exterior spruce foliage"/>
    <s v="Spruce"/>
    <s v="Exterior"/>
    <s v="Foliage"/>
    <s v="SE"/>
    <n v="120"/>
    <n v="2"/>
    <n v="63.735770000000002"/>
    <n v="148.89854"/>
    <s v="NA"/>
    <s v="NA"/>
    <s v="NA"/>
    <n v="0"/>
    <n v="0"/>
    <n v="0"/>
    <n v="0"/>
    <n v="10"/>
    <n v="10"/>
    <m/>
    <m/>
    <m/>
    <m/>
  </r>
  <r>
    <s v="DSCN3419"/>
    <s v="CC0422_19"/>
    <n v="19"/>
    <n v="1"/>
    <s v="CCAMP"/>
    <d v="2019-04-22T00:00:00"/>
    <x v="0"/>
    <s v="Spring"/>
    <d v="1899-12-30T00:26:00"/>
    <s v="Partly cloudy"/>
    <s v="GL/RS"/>
    <s v="Foraging"/>
    <s v="Spruce"/>
    <n v="1"/>
    <s v="unknown"/>
    <n v="0"/>
    <x v="2"/>
    <x v="2"/>
    <s v="Exterior spruce branch under witchhair"/>
    <s v="NA"/>
    <m/>
    <m/>
    <m/>
    <s v="NA"/>
    <s v="NA"/>
    <s v="NA"/>
    <s v="NA"/>
    <s v="NA"/>
    <s v="NA"/>
    <s v="NA"/>
    <s v="NA"/>
    <n v="10"/>
    <n v="0"/>
    <n v="0"/>
    <n v="10"/>
    <n v="0"/>
    <n v="10"/>
    <s v="Probing"/>
    <m/>
    <n v="3"/>
    <n v="0"/>
  </r>
  <r>
    <s v="DSCN3489"/>
    <s v="MC0424_8"/>
    <n v="8"/>
    <n v="1"/>
    <s v="Mercantile"/>
    <d v="2019-04-24T00:00:00"/>
    <x v="0"/>
    <m/>
    <d v="1899-12-30T00:20:00"/>
    <s v="Partly cloudy"/>
    <s v="BW/GS"/>
    <s v="Foraging"/>
    <s v="Aspen"/>
    <n v="1"/>
    <s v="unknown"/>
    <n v="0"/>
    <x v="2"/>
    <x v="2"/>
    <s v="Under bark of aspen trunk"/>
    <s v="NA"/>
    <m/>
    <m/>
    <m/>
    <s v="NA"/>
    <s v="NA"/>
    <s v="NA"/>
    <s v="NA"/>
    <s v="NA"/>
    <s v="NA"/>
    <s v="NA"/>
    <s v="NA"/>
    <n v="7"/>
    <n v="0"/>
    <n v="7"/>
    <n v="0"/>
    <n v="3"/>
    <n v="10"/>
    <s v="Probing"/>
    <m/>
    <n v="4"/>
    <n v="0"/>
  </r>
  <r>
    <s v="DSCN3467"/>
    <s v="BU0424_9"/>
    <n v="9"/>
    <n v="2"/>
    <s v="B&amp;U"/>
    <d v="2019-04-24T00:00:00"/>
    <x v="0"/>
    <m/>
    <d v="1899-12-30T00:55:00"/>
    <s v="Partly cloudy"/>
    <s v="GR/PS"/>
    <s v="Foraging"/>
    <s v="NA"/>
    <n v="1"/>
    <n v="0"/>
    <n v="0"/>
    <x v="3"/>
    <x v="8"/>
    <s v="Ground"/>
    <s v="NA"/>
    <m/>
    <m/>
    <m/>
    <s v="NA"/>
    <s v="NA"/>
    <s v="NA"/>
    <s v="NA"/>
    <s v="NA"/>
    <s v="NA"/>
    <s v="NA"/>
    <s v="NA"/>
    <n v="0"/>
    <n v="0"/>
    <n v="0"/>
    <n v="0"/>
    <n v="10"/>
    <n v="10"/>
    <s v="Searching"/>
    <m/>
    <m/>
    <m/>
  </r>
  <r>
    <s v="DSCN3469"/>
    <s v="BU0424_10"/>
    <n v="10"/>
    <n v="1"/>
    <s v="B&amp;U"/>
    <d v="2019-04-24T00:00:00"/>
    <x v="0"/>
    <m/>
    <d v="1899-12-30T00:10:00"/>
    <s v="Partly cloudy"/>
    <s v="GR/PS"/>
    <s v="Foraging"/>
    <s v="Spruce"/>
    <n v="0"/>
    <n v="0"/>
    <n v="0"/>
    <x v="0"/>
    <x v="0"/>
    <s v="NA"/>
    <s v="NA"/>
    <m/>
    <m/>
    <m/>
    <s v="NA"/>
    <s v="NA"/>
    <s v="NA"/>
    <s v="NA"/>
    <s v="NA"/>
    <s v="NA"/>
    <s v="NA"/>
    <s v="NA"/>
    <n v="7"/>
    <n v="0"/>
    <n v="3"/>
    <n v="4"/>
    <n v="3"/>
    <n v="10"/>
    <s v="Searching"/>
    <m/>
    <m/>
    <m/>
  </r>
  <r>
    <s v="DSCN3785"/>
    <s v="BU0502_6"/>
    <n v="6"/>
    <n v="1"/>
    <s v="B&amp;U"/>
    <d v="2019-05-02T00:00:00"/>
    <x v="2"/>
    <m/>
    <d v="1899-12-30T00:15:00"/>
    <s v="Mostly cloudy"/>
    <s v="WP/BS"/>
    <s v="Foraging"/>
    <s v="Spruce"/>
    <n v="1"/>
    <n v="0"/>
    <n v="0"/>
    <x v="1"/>
    <x v="13"/>
    <s v="Exterior spruce"/>
    <s v="NA"/>
    <m/>
    <m/>
    <m/>
    <s v="NA"/>
    <s v="NA"/>
    <s v="NA"/>
    <s v="NA"/>
    <s v="NA"/>
    <s v="NA"/>
    <s v="NA"/>
    <s v="NA"/>
    <n v="0"/>
    <n v="5"/>
    <n v="0"/>
    <n v="5"/>
    <n v="5"/>
    <n v="10"/>
    <s v="Fly catching/Searching"/>
    <s v="Wacthed her leap up and grab something so assuming it was an insect based on her behavior.  "/>
    <m/>
    <m/>
  </r>
  <r>
    <s v="DSCN2765"/>
    <s v="MC0401_2"/>
    <n v="2"/>
    <n v="1"/>
    <s v="M4West"/>
    <d v="2019-04-01T00:00:00"/>
    <x v="0"/>
    <m/>
    <d v="1899-12-30T00:12:00"/>
    <m/>
    <s v="WO/OS"/>
    <s v="Foraging"/>
    <s v="NA"/>
    <s v="unknown"/>
    <n v="0"/>
    <n v="0"/>
    <x v="0"/>
    <x v="0"/>
    <s v="NA"/>
    <s v="NA"/>
    <m/>
    <m/>
    <m/>
    <s v="NA"/>
    <s v="NA"/>
    <s v="NA"/>
    <s v="NA"/>
    <s v="NA"/>
    <s v="NA"/>
    <s v="NA"/>
    <m/>
    <n v="0"/>
    <n v="0"/>
    <n v="0"/>
    <n v="0"/>
    <n v="10"/>
    <n v="10"/>
    <s v="Searching"/>
    <m/>
    <m/>
    <m/>
  </r>
  <r>
    <s v="DSCN3145"/>
    <s v="M2370415_12"/>
    <n v="12"/>
    <n v="1"/>
    <s v="Mile 237"/>
    <d v="2019-04-15T00:00:00"/>
    <x v="0"/>
    <m/>
    <d v="1899-12-30T00:29:00"/>
    <s v="Partly cloudy"/>
    <s v="YP/RS"/>
    <s v="Foraging"/>
    <s v="NA"/>
    <s v="unknown"/>
    <n v="0"/>
    <n v="0"/>
    <x v="0"/>
    <x v="0"/>
    <s v="NA"/>
    <s v="NA"/>
    <m/>
    <m/>
    <m/>
    <s v="NA"/>
    <s v="NA"/>
    <s v="NA"/>
    <s v="NA"/>
    <s v="NA"/>
    <s v="NA"/>
    <s v="NA"/>
    <m/>
    <n v="0"/>
    <n v="0"/>
    <n v="0"/>
    <n v="0"/>
    <n v="10"/>
    <n v="10"/>
    <s v="Searching"/>
    <m/>
    <m/>
    <m/>
  </r>
  <r>
    <s v="DSCN2382"/>
    <s v="TAI0320_2"/>
    <n v="2"/>
    <n v="1"/>
    <s v="Taiga"/>
    <d v="2019-03-20T00:00:00"/>
    <x v="1"/>
    <m/>
    <d v="1899-12-30T00:11:00"/>
    <s v="Partly cloudy"/>
    <s v="WR/OS"/>
    <s v="Foraging"/>
    <s v="NA"/>
    <n v="1"/>
    <n v="0"/>
    <n v="0"/>
    <x v="2"/>
    <x v="2"/>
    <s v="Ground"/>
    <s v="NA"/>
    <m/>
    <m/>
    <m/>
    <s v="NA"/>
    <s v="NA"/>
    <s v="NA"/>
    <s v="NA"/>
    <s v="NA"/>
    <m/>
    <m/>
    <m/>
    <n v="0"/>
    <n v="0"/>
    <n v="0"/>
    <n v="0"/>
    <n v="9"/>
    <n v="9"/>
    <s v="Searching"/>
    <m/>
    <n v="0"/>
    <n v="0"/>
  </r>
  <r>
    <s v="DSCN2405"/>
    <s v="TAI0320_18"/>
    <n v="18"/>
    <n v="1"/>
    <s v="Taiga"/>
    <d v="2019-03-20T00:00:00"/>
    <x v="1"/>
    <m/>
    <d v="1899-12-30T00:28:00"/>
    <s v="Partly cloudy"/>
    <s v="WR/OS"/>
    <s v="Foraging"/>
    <s v="NA"/>
    <n v="0"/>
    <n v="0"/>
    <n v="0"/>
    <x v="0"/>
    <x v="0"/>
    <s v="NA"/>
    <s v="NA"/>
    <m/>
    <m/>
    <m/>
    <s v="NA"/>
    <s v="NA"/>
    <s v="NA"/>
    <s v="NA"/>
    <s v="NA"/>
    <m/>
    <m/>
    <m/>
    <n v="0"/>
    <n v="0"/>
    <n v="0"/>
    <n v="0"/>
    <n v="9"/>
    <n v="9"/>
    <s v="Searching"/>
    <m/>
    <n v="0"/>
    <n v="0"/>
  </r>
  <r>
    <s v="DSCN2444"/>
    <s v="BL0322_4"/>
    <n v="4"/>
    <n v="1"/>
    <s v="Boulder"/>
    <d v="2019-03-22T00:00:00"/>
    <x v="1"/>
    <m/>
    <d v="1899-12-30T00:09:00"/>
    <s v="Partly cloudy"/>
    <s v="PG/BS"/>
    <s v="Foraging"/>
    <s v="NA"/>
    <n v="1"/>
    <n v="0"/>
    <n v="0"/>
    <x v="2"/>
    <x v="2"/>
    <s v="Ground"/>
    <s v="NA"/>
    <m/>
    <m/>
    <m/>
    <s v="NA"/>
    <s v="NA"/>
    <s v="NA"/>
    <s v="NA"/>
    <s v="NA"/>
    <m/>
    <m/>
    <m/>
    <n v="0"/>
    <n v="0"/>
    <n v="0"/>
    <n v="0"/>
    <n v="9"/>
    <n v="9"/>
    <s v="Searching"/>
    <m/>
    <m/>
    <m/>
  </r>
  <r>
    <s v="DSCN2477"/>
    <s v="MC0325_1"/>
    <n v="1"/>
    <n v="1"/>
    <s v="Mercantile"/>
    <d v="2019-03-25T00:00:00"/>
    <x v="1"/>
    <m/>
    <d v="1899-12-30T00:09:00"/>
    <s v="Overcast"/>
    <s v="WO/OS"/>
    <s v="Foraging"/>
    <s v="NA"/>
    <n v="0"/>
    <n v="0"/>
    <n v="0"/>
    <x v="0"/>
    <x v="0"/>
    <s v="NA"/>
    <s v="NA"/>
    <m/>
    <m/>
    <m/>
    <s v="NA"/>
    <s v="NA"/>
    <s v="NA"/>
    <s v="NA"/>
    <s v="NA"/>
    <m/>
    <m/>
    <m/>
    <n v="0"/>
    <n v="0"/>
    <n v="0"/>
    <n v="0"/>
    <n v="9"/>
    <n v="9"/>
    <s v="Searching"/>
    <m/>
    <m/>
    <m/>
  </r>
  <r>
    <s v="DSCN2490"/>
    <s v="CC0325_2"/>
    <n v="2"/>
    <n v="1"/>
    <s v="CCAMP"/>
    <d v="2019-03-25T00:00:00"/>
    <x v="1"/>
    <m/>
    <d v="1899-12-30T01:05:00"/>
    <s v="Overcast"/>
    <s v="GB/BS"/>
    <s v="Foraging"/>
    <s v="NA"/>
    <n v="1"/>
    <n v="0"/>
    <n v="0"/>
    <x v="3"/>
    <x v="29"/>
    <s v="Ground"/>
    <s v="NA"/>
    <m/>
    <m/>
    <m/>
    <s v="NA"/>
    <s v="NA"/>
    <s v="NA"/>
    <s v="NA"/>
    <s v="NA"/>
    <m/>
    <m/>
    <m/>
    <n v="0"/>
    <n v="0"/>
    <n v="0"/>
    <n v="0"/>
    <n v="9"/>
    <n v="9"/>
    <s v="Searching"/>
    <m/>
    <m/>
    <m/>
  </r>
  <r>
    <s v="DSCN3126"/>
    <s v="M2370415_13"/>
    <n v="13"/>
    <n v="1"/>
    <s v="Mile 237"/>
    <d v="2019-04-15T00:00:00"/>
    <x v="0"/>
    <m/>
    <d v="1899-12-30T00:09:00"/>
    <s v="Partly cloudy"/>
    <s v="YP/RS"/>
    <s v="Foraging"/>
    <s v="NA"/>
    <n v="0"/>
    <n v="0"/>
    <n v="0"/>
    <x v="0"/>
    <x v="0"/>
    <s v="NA"/>
    <s v="NA"/>
    <m/>
    <m/>
    <m/>
    <s v="NA"/>
    <s v="NA"/>
    <s v="NA"/>
    <s v="NA"/>
    <s v="NA"/>
    <s v="NA"/>
    <s v="NA"/>
    <m/>
    <n v="0"/>
    <n v="0"/>
    <n v="0"/>
    <n v="0"/>
    <n v="9"/>
    <n v="9"/>
    <s v="Searching"/>
    <m/>
    <m/>
    <m/>
  </r>
  <r>
    <s v="DSCN3221"/>
    <s v="M4R0417_5"/>
    <n v="5"/>
    <n v="1"/>
    <s v="M4Roadside"/>
    <d v="2019-04-17T00:00:00"/>
    <x v="0"/>
    <m/>
    <d v="1899-12-30T00:09:00"/>
    <s v="Overcast, light snow"/>
    <s v="YO/BS"/>
    <s v="Foraging"/>
    <s v="NA"/>
    <n v="1"/>
    <n v="0"/>
    <n v="0"/>
    <x v="3"/>
    <x v="8"/>
    <s v="Ground"/>
    <s v="NA"/>
    <m/>
    <m/>
    <m/>
    <s v="NA"/>
    <s v="NA"/>
    <s v="NA"/>
    <s v="NA"/>
    <s v="NA"/>
    <s v="NA"/>
    <s v="NA"/>
    <m/>
    <n v="0"/>
    <n v="0"/>
    <n v="0"/>
    <n v="0"/>
    <n v="9"/>
    <n v="9"/>
    <m/>
    <m/>
    <m/>
    <m/>
  </r>
  <r>
    <s v="DSCN2364"/>
    <s v="BU0424_6"/>
    <n v="6"/>
    <n v="1"/>
    <s v="B&amp;U"/>
    <d v="2019-04-24T00:00:00"/>
    <x v="0"/>
    <m/>
    <d v="1899-12-30T00:14:00"/>
    <s v="Partly cloudy"/>
    <s v="GR/PS"/>
    <s v="Foraging"/>
    <s v="Spruce"/>
    <n v="1"/>
    <n v="0"/>
    <n v="0"/>
    <x v="2"/>
    <x v="2"/>
    <s v="Interior bare spruce branch"/>
    <s v="NA"/>
    <m/>
    <m/>
    <m/>
    <s v="NA"/>
    <s v="NA"/>
    <s v="NA"/>
    <s v="NA"/>
    <s v="NA"/>
    <s v="NA"/>
    <s v="NA"/>
    <s v="NA"/>
    <n v="9"/>
    <n v="0"/>
    <n v="9"/>
    <n v="0"/>
    <n v="0"/>
    <n v="9"/>
    <s v="Gleaning"/>
    <m/>
    <n v="0"/>
    <n v="1"/>
  </r>
  <r>
    <s v="DSCN2531"/>
    <s v="M4R0325_18"/>
    <n v="18"/>
    <n v="1"/>
    <s v="M4Roadside"/>
    <d v="2019-03-25T00:00:00"/>
    <x v="1"/>
    <m/>
    <d v="1899-12-30T00:09:00"/>
    <s v="Mostly sunny"/>
    <s v="YO/BS"/>
    <s v="Foraging"/>
    <s v="Alder"/>
    <s v="unknown"/>
    <s v="unknown"/>
    <s v="Unknown"/>
    <x v="0"/>
    <x v="0"/>
    <s v="NA"/>
    <s v="NA"/>
    <m/>
    <m/>
    <m/>
    <s v="NA"/>
    <s v="NA"/>
    <s v="NA"/>
    <s v="NA"/>
    <s v="NA"/>
    <m/>
    <m/>
    <m/>
    <n v="9"/>
    <n v="0"/>
    <n v="9"/>
    <n v="0"/>
    <n v="0"/>
    <n v="9"/>
    <s v="Searching"/>
    <m/>
    <m/>
    <m/>
  </r>
  <r>
    <s v="DSCN2403"/>
    <s v="RAI0320_16"/>
    <n v="16"/>
    <n v="1"/>
    <s v="Taiga"/>
    <d v="2019-03-20T00:00:00"/>
    <x v="1"/>
    <m/>
    <d v="1899-12-30T00:10:00"/>
    <s v="Partly cloudy"/>
    <s v="WR/OS"/>
    <s v="Foraging"/>
    <s v="NA"/>
    <s v="unknown"/>
    <n v="0"/>
    <n v="0"/>
    <x v="0"/>
    <x v="2"/>
    <s v="NA"/>
    <s v="NA"/>
    <m/>
    <m/>
    <m/>
    <s v="NA"/>
    <s v="NA"/>
    <s v="NA"/>
    <s v="NA"/>
    <s v="NA"/>
    <m/>
    <m/>
    <m/>
    <n v="4"/>
    <n v="0"/>
    <n v="0"/>
    <n v="4"/>
    <n v="5"/>
    <n v="9"/>
    <s v="Searching/probing"/>
    <m/>
    <n v="1"/>
    <n v="0"/>
  </r>
  <r>
    <s v="DSCN2962"/>
    <s v="WW0405_9"/>
    <n v="9"/>
    <n v="1"/>
    <s v="WAC West"/>
    <d v="2019-04-05T00:00:00"/>
    <x v="0"/>
    <m/>
    <d v="1899-12-30T00:09:00"/>
    <m/>
    <s v="BP/PS"/>
    <s v="Foraging"/>
    <s v="NA"/>
    <s v="unknown"/>
    <n v="0"/>
    <n v="0"/>
    <x v="0"/>
    <x v="0"/>
    <s v="NA"/>
    <s v="NA"/>
    <m/>
    <m/>
    <m/>
    <s v="NA"/>
    <s v="NA"/>
    <s v="NA"/>
    <s v="NA"/>
    <s v="NA"/>
    <s v="NA"/>
    <s v="NA"/>
    <m/>
    <n v="0"/>
    <n v="0"/>
    <n v="0"/>
    <n v="0"/>
    <n v="9"/>
    <n v="9"/>
    <s v="Searching"/>
    <m/>
    <m/>
    <m/>
  </r>
  <r>
    <s v="DSCN3053"/>
    <s v="UNK411_6"/>
    <n v="6"/>
    <n v="1"/>
    <s v="Unknown"/>
    <d v="2019-04-11T00:00:00"/>
    <x v="0"/>
    <m/>
    <d v="1899-12-30T00:09:00"/>
    <m/>
    <s v="unbanded"/>
    <s v="Foraging"/>
    <s v="Spruce"/>
    <s v="unknown"/>
    <s v="unknown"/>
    <n v="0"/>
    <x v="0"/>
    <x v="0"/>
    <s v="NA"/>
    <s v="NA"/>
    <m/>
    <m/>
    <m/>
    <s v="NA"/>
    <s v="NA"/>
    <s v="NA"/>
    <s v="NA"/>
    <s v="NA"/>
    <s v="NA"/>
    <s v="NA"/>
    <m/>
    <n v="0"/>
    <n v="9"/>
    <n v="0"/>
    <n v="9"/>
    <n v="0"/>
    <n v="9"/>
    <s v="Searching"/>
    <m/>
    <m/>
    <m/>
  </r>
  <r>
    <s v="DSCN3155"/>
    <s v="M2370415_19"/>
    <n v="19"/>
    <n v="1"/>
    <s v="Mile 237"/>
    <d v="2019-04-15T00:00:00"/>
    <x v="0"/>
    <m/>
    <d v="1899-12-30T00:22:00"/>
    <s v="Partly cloudy"/>
    <s v="YP/RS"/>
    <s v="Foraging"/>
    <s v="NA"/>
    <s v="unknown"/>
    <n v="0"/>
    <n v="0"/>
    <x v="0"/>
    <x v="0"/>
    <s v="NA"/>
    <s v="NA"/>
    <m/>
    <m/>
    <m/>
    <s v="NA"/>
    <s v="NA"/>
    <s v="NA"/>
    <s v="NA"/>
    <s v="NA"/>
    <s v="NA"/>
    <s v="NA"/>
    <m/>
    <n v="0"/>
    <n v="0"/>
    <n v="0"/>
    <n v="0"/>
    <n v="9"/>
    <n v="9"/>
    <s v="Searching"/>
    <m/>
    <m/>
    <m/>
  </r>
  <r>
    <s v="DSCN3678"/>
    <s v="M4R0430_20"/>
    <n v="20"/>
    <n v="1"/>
    <s v="M4Roadside"/>
    <d v="2019-04-30T00:00:00"/>
    <x v="0"/>
    <m/>
    <d v="1899-12-30T00:11:00"/>
    <s v="Clear, full sun"/>
    <s v="YO/BS"/>
    <s v="Foraging"/>
    <s v="Spruce"/>
    <s v="unknown"/>
    <n v="0"/>
    <n v="0"/>
    <x v="0"/>
    <x v="0"/>
    <s v="NA"/>
    <s v="NA"/>
    <m/>
    <m/>
    <m/>
    <s v="NA"/>
    <s v="NA"/>
    <s v="NA"/>
    <s v="NA"/>
    <s v="NA"/>
    <s v="NA"/>
    <s v="NA"/>
    <s v="NA"/>
    <n v="0"/>
    <n v="9"/>
    <n v="0"/>
    <n v="9"/>
    <n v="0"/>
    <n v="9"/>
    <s v="Fly catching"/>
    <m/>
    <m/>
    <m/>
  </r>
  <r>
    <s v="DSCN2460"/>
    <s v="BL0322_10"/>
    <n v="10"/>
    <n v="1"/>
    <s v="Boulder"/>
    <d v="2019-03-22T00:00:00"/>
    <x v="1"/>
    <m/>
    <d v="1899-12-30T00:40:00"/>
    <s v="Partly cloudy"/>
    <s v="unbanded"/>
    <s v="Foraging"/>
    <s v="NA"/>
    <n v="1"/>
    <n v="0"/>
    <n v="0"/>
    <x v="2"/>
    <x v="2"/>
    <s v="Ground"/>
    <s v="NA"/>
    <m/>
    <m/>
    <m/>
    <s v="NA"/>
    <s v="NA"/>
    <s v="NA"/>
    <s v="NA"/>
    <s v="NA"/>
    <m/>
    <m/>
    <m/>
    <n v="0"/>
    <n v="0"/>
    <n v="0"/>
    <n v="0"/>
    <n v="8"/>
    <n v="8"/>
    <s v="Searching"/>
    <m/>
    <m/>
    <m/>
  </r>
  <r>
    <s v="DSCN2461"/>
    <s v="BL0322_11"/>
    <n v="11"/>
    <n v="1"/>
    <s v="Boulder"/>
    <d v="2019-03-22T00:00:00"/>
    <x v="1"/>
    <m/>
    <d v="1899-12-30T00:08:00"/>
    <s v="Partly cloudy"/>
    <s v="unbanded"/>
    <s v="Foraging"/>
    <s v="NA"/>
    <n v="0"/>
    <n v="0"/>
    <n v="0"/>
    <x v="0"/>
    <x v="0"/>
    <s v="NA"/>
    <s v="NA"/>
    <m/>
    <m/>
    <m/>
    <s v="NA"/>
    <s v="NA"/>
    <s v="NA"/>
    <s v="NA"/>
    <s v="NA"/>
    <m/>
    <m/>
    <m/>
    <n v="0"/>
    <n v="0"/>
    <n v="0"/>
    <n v="0"/>
    <n v="8"/>
    <n v="8"/>
    <s v="Searching"/>
    <m/>
    <m/>
    <m/>
  </r>
  <r>
    <s v="DSCN2836"/>
    <s v="M2370403_5"/>
    <n v="5"/>
    <n v="1"/>
    <s v="Mile 237"/>
    <d v="2019-04-03T00:00:00"/>
    <x v="0"/>
    <m/>
    <d v="1899-12-30T00:08:00"/>
    <m/>
    <s v="YP/RS"/>
    <s v="Foraging"/>
    <s v="Spruce"/>
    <n v="0"/>
    <n v="0"/>
    <n v="0"/>
    <x v="0"/>
    <x v="0"/>
    <s v="NA"/>
    <s v="NA"/>
    <m/>
    <m/>
    <m/>
    <s v="NA"/>
    <s v="NA"/>
    <s v="NA"/>
    <s v="NA"/>
    <s v="NA"/>
    <s v="NA"/>
    <s v="NA"/>
    <m/>
    <n v="8"/>
    <n v="0"/>
    <n v="0"/>
    <n v="8"/>
    <n v="0"/>
    <n v="8"/>
    <s v="Searching"/>
    <m/>
    <m/>
    <m/>
  </r>
  <r>
    <s v="DSCN3121"/>
    <s v="BU0415_8"/>
    <n v="8"/>
    <n v="1"/>
    <s v="B&amp;U"/>
    <d v="2019-04-15T00:00:00"/>
    <x v="0"/>
    <m/>
    <d v="1899-12-30T00:08:00"/>
    <s v="Partly cloudy"/>
    <s v="WP/BS"/>
    <s v="Foraging"/>
    <s v="NA"/>
    <n v="1"/>
    <n v="0"/>
    <n v="0"/>
    <x v="1"/>
    <x v="30"/>
    <s v="Ground"/>
    <s v="NA"/>
    <m/>
    <m/>
    <m/>
    <s v="NA"/>
    <s v="NA"/>
    <s v="NA"/>
    <s v="NA"/>
    <s v="NA"/>
    <s v="NA"/>
    <s v="NA"/>
    <m/>
    <n v="0"/>
    <n v="0"/>
    <n v="0"/>
    <n v="0"/>
    <n v="8"/>
    <n v="8"/>
    <m/>
    <m/>
    <m/>
    <m/>
  </r>
  <r>
    <s v="DSCN3708"/>
    <s v="CC0430_5"/>
    <n v="5"/>
    <n v="1"/>
    <s v="CCAMP"/>
    <d v="2019-04-30T00:00:00"/>
    <x v="0"/>
    <m/>
    <d v="1899-12-30T00:08:00"/>
    <s v="Clear, full sun"/>
    <s v="GB/BS"/>
    <s v="Foraging"/>
    <s v="NA"/>
    <n v="0"/>
    <n v="0"/>
    <n v="0"/>
    <x v="0"/>
    <x v="0"/>
    <s v="NA"/>
    <s v="NA"/>
    <m/>
    <m/>
    <m/>
    <s v="NA"/>
    <s v="NA"/>
    <s v="NA"/>
    <s v="NA"/>
    <s v="NA"/>
    <s v="NA"/>
    <s v="NA"/>
    <s v="NA"/>
    <n v="0"/>
    <n v="0"/>
    <n v="0"/>
    <n v="0"/>
    <n v="8"/>
    <n v="8"/>
    <s v="Searching"/>
    <m/>
    <m/>
    <m/>
  </r>
  <r>
    <s v="DSCN3768"/>
    <s v="TC0502_1"/>
    <n v="1"/>
    <n v="1"/>
    <s v="Tcamp"/>
    <d v="2019-05-02T00:00:00"/>
    <x v="2"/>
    <m/>
    <d v="1899-12-30T00:08:00"/>
    <s v="Mostly cloudy"/>
    <s v="WL/PS"/>
    <s v="Foraging"/>
    <s v="NA"/>
    <n v="1"/>
    <n v="0"/>
    <n v="0"/>
    <x v="2"/>
    <x v="2"/>
    <s v="NA"/>
    <s v="NA"/>
    <m/>
    <m/>
    <m/>
    <s v="NA"/>
    <s v="NA"/>
    <s v="NA"/>
    <s v="NA"/>
    <s v="NA"/>
    <s v="NA"/>
    <s v="NA"/>
    <s v="NA"/>
    <n v="0"/>
    <n v="0"/>
    <n v="0"/>
    <n v="0"/>
    <n v="8"/>
    <n v="8"/>
    <s v="Searching"/>
    <m/>
    <m/>
    <m/>
  </r>
  <r>
    <s v="DSCN2576"/>
    <s v="AQ0326_3"/>
    <n v="3"/>
    <n v="1"/>
    <s v="Air Quality"/>
    <d v="2019-03-26T00:00:00"/>
    <x v="1"/>
    <m/>
    <d v="1899-12-30T00:15:00"/>
    <s v="Mostly overcast"/>
    <s v="PG/PS"/>
    <s v="Foraging"/>
    <s v="NA"/>
    <s v="unknown"/>
    <n v="0"/>
    <n v="0"/>
    <x v="0"/>
    <x v="0"/>
    <s v="NA"/>
    <s v="NA"/>
    <m/>
    <m/>
    <m/>
    <s v="NA"/>
    <s v="NA"/>
    <s v="NA"/>
    <s v="NA"/>
    <s v="NA"/>
    <m/>
    <m/>
    <m/>
    <n v="0"/>
    <n v="0"/>
    <n v="0"/>
    <n v="0"/>
    <n v="8"/>
    <n v="8"/>
    <s v="Searching"/>
    <m/>
    <m/>
    <m/>
  </r>
  <r>
    <s v="DSCN2694"/>
    <s v="M2370330_16"/>
    <n v="16"/>
    <n v="1"/>
    <s v="Mile 237"/>
    <d v="2019-03-30T00:00:00"/>
    <x v="1"/>
    <m/>
    <d v="1899-12-30T00:08:00"/>
    <m/>
    <s v="YP/RS"/>
    <s v="Foraging"/>
    <s v="NA"/>
    <s v="unknown"/>
    <n v="0"/>
    <n v="0"/>
    <x v="0"/>
    <x v="0"/>
    <s v="NA"/>
    <s v="NA"/>
    <m/>
    <m/>
    <m/>
    <s v="NA"/>
    <s v="NA"/>
    <s v="NA"/>
    <s v="NA"/>
    <s v="NA"/>
    <s v="NA"/>
    <s v="NA"/>
    <m/>
    <n v="0"/>
    <n v="0"/>
    <n v="0"/>
    <n v="0"/>
    <n v="8"/>
    <n v="8"/>
    <s v="Searching"/>
    <m/>
    <m/>
    <m/>
  </r>
  <r>
    <s v="DSCN3242"/>
    <s v="AQ0417_4"/>
    <n v="4"/>
    <n v="1"/>
    <s v="Air Quality"/>
    <d v="2019-04-17T00:00:00"/>
    <x v="0"/>
    <m/>
    <d v="1899-12-30T00:11:00"/>
    <s v="Overcast, light snow"/>
    <s v="PG/PS"/>
    <s v="Foraging"/>
    <s v="Spruce"/>
    <s v="unknown"/>
    <s v="unknown"/>
    <n v="0"/>
    <x v="0"/>
    <x v="0"/>
    <s v="NA"/>
    <s v="NA"/>
    <m/>
    <m/>
    <m/>
    <s v="NA"/>
    <s v="NA"/>
    <s v="NA"/>
    <s v="NA"/>
    <s v="NA"/>
    <s v="NA"/>
    <s v="NA"/>
    <s v="NA"/>
    <n v="8"/>
    <n v="0"/>
    <n v="0"/>
    <n v="8"/>
    <n v="0"/>
    <n v="8"/>
    <s v="Probing"/>
    <m/>
    <n v="1"/>
    <n v="0"/>
  </r>
  <r>
    <s v="DSCN3515"/>
    <s v="MC0424_22"/>
    <n v="22"/>
    <n v="1"/>
    <s v="Mercantile"/>
    <d v="2019-04-24T00:00:00"/>
    <x v="0"/>
    <m/>
    <d v="1899-12-30T00:08:00"/>
    <s v="Partly cloudy"/>
    <s v="BW/GS"/>
    <s v="Foraging"/>
    <s v="NA"/>
    <s v="unknown"/>
    <n v="0"/>
    <n v="0"/>
    <x v="0"/>
    <x v="0"/>
    <s v="NA"/>
    <s v="NA"/>
    <m/>
    <m/>
    <m/>
    <s v="NA"/>
    <s v="NA"/>
    <s v="NA"/>
    <s v="NA"/>
    <s v="NA"/>
    <s v="NA"/>
    <s v="NA"/>
    <s v="NA"/>
    <n v="0"/>
    <n v="0"/>
    <n v="0"/>
    <n v="0"/>
    <n v="8"/>
    <n v="8"/>
    <s v="Searching"/>
    <m/>
    <m/>
    <m/>
  </r>
  <r>
    <s v="DSCN3718"/>
    <s v="CC0430_12"/>
    <n v="12"/>
    <n v="1"/>
    <s v="CCAMP"/>
    <d v="2019-04-30T00:00:00"/>
    <x v="0"/>
    <s v="Spring"/>
    <d v="1899-12-30T00:21:00"/>
    <s v="Clear, full sun"/>
    <s v="GL/RS"/>
    <s v="Foraging"/>
    <s v="Spruce"/>
    <s v="unknown"/>
    <n v="0"/>
    <n v="0"/>
    <x v="0"/>
    <x v="0"/>
    <s v="NA"/>
    <s v="NA"/>
    <m/>
    <m/>
    <m/>
    <s v="NA"/>
    <s v="NA"/>
    <s v="NA"/>
    <s v="NA"/>
    <s v="NA"/>
    <s v="NA"/>
    <s v="NA"/>
    <s v="NA"/>
    <n v="8"/>
    <n v="0"/>
    <n v="8"/>
    <n v="0"/>
    <n v="0"/>
    <n v="8"/>
    <s v="Probing"/>
    <m/>
    <s v="Unknown"/>
    <m/>
  </r>
  <r>
    <s v="DSCN3673"/>
    <s v="M4R0430_19"/>
    <n v="19"/>
    <n v="1"/>
    <s v="M4Roadside"/>
    <d v="2019-04-30T00:00:00"/>
    <x v="0"/>
    <m/>
    <d v="1899-12-30T00:08:00"/>
    <s v="Clear, full sun"/>
    <s v="YO/BS"/>
    <s v="Foraging"/>
    <s v="NA"/>
    <s v="unknown"/>
    <n v="0"/>
    <n v="0"/>
    <x v="0"/>
    <x v="0"/>
    <s v="NA"/>
    <s v="NA"/>
    <m/>
    <m/>
    <m/>
    <s v="NA"/>
    <s v="NA"/>
    <s v="NA"/>
    <s v="NA"/>
    <s v="NA"/>
    <s v="NA"/>
    <s v="NA"/>
    <s v="NA"/>
    <n v="0"/>
    <n v="0"/>
    <n v="0"/>
    <n v="0"/>
    <n v="8"/>
    <n v="8"/>
    <s v="Searching"/>
    <m/>
    <m/>
    <m/>
  </r>
  <r>
    <s v="DSCN2514"/>
    <s v="M4R0325_7"/>
    <n v="7"/>
    <n v="1"/>
    <s v="M4Roadside"/>
    <d v="2019-03-25T00:00:00"/>
    <x v="1"/>
    <m/>
    <d v="1899-12-30T00:07:00"/>
    <s v="Overcast"/>
    <s v="YO/BS"/>
    <s v="Foraging"/>
    <s v="NA"/>
    <n v="0"/>
    <n v="0"/>
    <n v="0"/>
    <x v="0"/>
    <x v="0"/>
    <s v="NA"/>
    <s v="NA"/>
    <m/>
    <m/>
    <m/>
    <s v="NA"/>
    <s v="NA"/>
    <s v="NA"/>
    <s v="NA"/>
    <s v="NA"/>
    <m/>
    <m/>
    <m/>
    <n v="0"/>
    <n v="0"/>
    <n v="0"/>
    <n v="0"/>
    <n v="7"/>
    <n v="7"/>
    <s v="Searching"/>
    <m/>
    <m/>
    <m/>
  </r>
  <r>
    <s v="DSCN2587"/>
    <s v="BU0327_6"/>
    <n v="6"/>
    <n v="1"/>
    <s v="B&amp;U"/>
    <d v="2019-03-27T00:00:00"/>
    <x v="1"/>
    <m/>
    <d v="1899-12-30T00:07:00"/>
    <s v="Overcast"/>
    <s v="GR/PS"/>
    <s v="Foraging"/>
    <s v="NA"/>
    <n v="0"/>
    <n v="0"/>
    <n v="0"/>
    <x v="0"/>
    <x v="0"/>
    <s v="NA"/>
    <s v="NA"/>
    <m/>
    <m/>
    <m/>
    <s v="NA"/>
    <s v="NA"/>
    <s v="NA"/>
    <s v="NA"/>
    <s v="NA"/>
    <s v="NA"/>
    <s v="NA"/>
    <m/>
    <n v="0"/>
    <n v="0"/>
    <n v="0"/>
    <n v="0"/>
    <n v="7"/>
    <n v="7"/>
    <s v="Searching"/>
    <m/>
    <m/>
    <m/>
  </r>
  <r>
    <s v="DSCN2910"/>
    <s v="MC0404_5"/>
    <n v="5"/>
    <n v="1"/>
    <s v="Mercantile"/>
    <d v="2019-04-04T00:00:00"/>
    <x v="0"/>
    <m/>
    <d v="1899-12-30T00:22:00"/>
    <m/>
    <s v="WO/OS"/>
    <s v="Foraging"/>
    <s v="NA"/>
    <n v="1"/>
    <n v="0"/>
    <n v="0"/>
    <x v="2"/>
    <x v="2"/>
    <s v="Ground"/>
    <s v="NA"/>
    <m/>
    <m/>
    <m/>
    <s v="NA"/>
    <s v="NA"/>
    <s v="NA"/>
    <s v="NA"/>
    <s v="NA"/>
    <s v="NA"/>
    <s v="NA"/>
    <m/>
    <n v="0"/>
    <n v="0"/>
    <n v="0"/>
    <n v="0"/>
    <n v="7"/>
    <n v="7"/>
    <s v="Searching"/>
    <m/>
    <m/>
    <m/>
  </r>
  <r>
    <s v="DSCN3034"/>
    <s v="M4R0409_9"/>
    <n v="9"/>
    <n v="1"/>
    <s v="M4Roadside"/>
    <d v="2019-04-09T00:00:00"/>
    <x v="0"/>
    <m/>
    <d v="1899-12-30T00:46:00"/>
    <m/>
    <s v="OB/YS"/>
    <s v="Foraging/caching"/>
    <s v="Spruce"/>
    <n v="1"/>
    <n v="0"/>
    <n v="1"/>
    <x v="1"/>
    <x v="1"/>
    <s v="Ground"/>
    <s v="Exterior spruce branch under witch hair"/>
    <s v="Spruce"/>
    <s v="Exterior"/>
    <s v="Under witchhair"/>
    <s v="NW"/>
    <n v="330"/>
    <n v="5"/>
    <n v="63.719679999999997"/>
    <n v="148.98660000000001"/>
    <s v="NA"/>
    <s v="NA"/>
    <m/>
    <n v="0"/>
    <n v="0"/>
    <n v="0"/>
    <n v="0"/>
    <n v="7"/>
    <n v="7"/>
    <s v="Searching"/>
    <m/>
    <m/>
    <m/>
  </r>
  <r>
    <s v="DSCN3032"/>
    <s v="M4R0409_7"/>
    <n v="7"/>
    <n v="1"/>
    <s v="M4Roadside"/>
    <d v="2019-04-09T00:00:00"/>
    <x v="0"/>
    <m/>
    <d v="1899-12-30T00:13:00"/>
    <m/>
    <s v="OB/YS"/>
    <s v="Foraging"/>
    <s v="NA"/>
    <n v="0"/>
    <n v="0"/>
    <n v="0"/>
    <x v="0"/>
    <x v="0"/>
    <s v="NA"/>
    <s v="NA"/>
    <m/>
    <m/>
    <m/>
    <s v="NA"/>
    <s v="NA"/>
    <s v="NA"/>
    <s v="NA"/>
    <s v="NA"/>
    <s v="NA"/>
    <s v="NA"/>
    <m/>
    <n v="0"/>
    <n v="0"/>
    <n v="0"/>
    <n v="0"/>
    <n v="7"/>
    <n v="7"/>
    <s v="Searching"/>
    <m/>
    <m/>
    <m/>
  </r>
  <r>
    <s v="DSCN3129"/>
    <s v="M2370415_3"/>
    <n v="3"/>
    <n v="2"/>
    <s v="Mile 237"/>
    <d v="2019-04-15T00:00:00"/>
    <x v="0"/>
    <m/>
    <d v="1899-12-30T01:30:00"/>
    <s v="Partly cloudy"/>
    <s v="YP/RS"/>
    <s v="Foraging"/>
    <s v="Spruce"/>
    <n v="1"/>
    <n v="0"/>
    <n v="0"/>
    <x v="6"/>
    <x v="24"/>
    <s v="Exterior bare spruce branch"/>
    <s v="NA"/>
    <m/>
    <m/>
    <m/>
    <s v="NA"/>
    <s v="NA"/>
    <s v="NA"/>
    <s v="NA"/>
    <s v="NA"/>
    <s v="NA"/>
    <s v="NA"/>
    <m/>
    <n v="0"/>
    <n v="7"/>
    <n v="0"/>
    <n v="7"/>
    <n v="0"/>
    <n v="7"/>
    <s v="Searching"/>
    <s v="Recovered whole cached mushroom. Moved it to another tree and left.  Did not formally cache it. "/>
    <m/>
    <m/>
  </r>
  <r>
    <s v="DSCN3224"/>
    <s v="M4R0417_7"/>
    <n v="7"/>
    <n v="2"/>
    <s v="M4Roadside"/>
    <d v="2019-04-17T00:00:00"/>
    <x v="0"/>
    <m/>
    <d v="1899-12-30T00:34:00"/>
    <s v="Overcast, light snow"/>
    <s v="OB/YS"/>
    <s v="Foraging"/>
    <s v="NA"/>
    <n v="1"/>
    <n v="0"/>
    <n v="0"/>
    <x v="1"/>
    <x v="4"/>
    <s v="Ground"/>
    <s v="NA"/>
    <m/>
    <m/>
    <m/>
    <s v="NA"/>
    <s v="NA"/>
    <s v="NA"/>
    <s v="NA"/>
    <s v="NA"/>
    <s v="NA"/>
    <s v="NA"/>
    <m/>
    <n v="0"/>
    <n v="0"/>
    <n v="0"/>
    <n v="0"/>
    <n v="7"/>
    <n v="7"/>
    <s v="Searching"/>
    <m/>
    <m/>
    <m/>
  </r>
  <r>
    <s v="DSCN3478"/>
    <s v="MC0424_2"/>
    <n v="2"/>
    <n v="1"/>
    <s v="Mercantile"/>
    <d v="2019-04-24T00:00:00"/>
    <x v="0"/>
    <m/>
    <d v="1899-12-30T00:18:00"/>
    <s v="Partly cloudy"/>
    <s v="BW/GS"/>
    <s v="Foraging"/>
    <s v="NA"/>
    <n v="1"/>
    <n v="0"/>
    <n v="0"/>
    <x v="3"/>
    <x v="9"/>
    <s v="Ground"/>
    <s v="NA"/>
    <m/>
    <m/>
    <m/>
    <s v="NA"/>
    <s v="NA"/>
    <s v="NA"/>
    <s v="NA"/>
    <s v="NA"/>
    <s v="NA"/>
    <s v="NA"/>
    <s v="NA"/>
    <n v="0"/>
    <n v="0"/>
    <n v="0"/>
    <n v="0"/>
    <n v="7"/>
    <n v="7"/>
    <s v="Searching"/>
    <m/>
    <m/>
    <m/>
  </r>
  <r>
    <s v="DSCN3768"/>
    <s v="TC0502_2"/>
    <n v="2"/>
    <n v="1"/>
    <s v="Tcamp"/>
    <d v="2019-05-02T00:00:00"/>
    <x v="2"/>
    <m/>
    <d v="1899-12-30T00:15:00"/>
    <s v="Mostly cloudy"/>
    <s v="WL/PS"/>
    <s v="Foraging"/>
    <s v="NA"/>
    <n v="0"/>
    <n v="0"/>
    <n v="0"/>
    <x v="2"/>
    <x v="2"/>
    <s v="NA"/>
    <s v="NA"/>
    <m/>
    <m/>
    <m/>
    <s v="NA"/>
    <s v="NA"/>
    <s v="NA"/>
    <s v="NA"/>
    <s v="NA"/>
    <s v="NA"/>
    <s v="NA"/>
    <s v="NA"/>
    <n v="0"/>
    <n v="0"/>
    <n v="0"/>
    <n v="0"/>
    <n v="7"/>
    <n v="7"/>
    <s v="Searching"/>
    <m/>
    <m/>
    <m/>
  </r>
  <r>
    <s v="DSCN2691"/>
    <s v="M2370330_15"/>
    <n v="15"/>
    <n v="1"/>
    <s v="Mile 237"/>
    <d v="2019-03-30T00:00:00"/>
    <x v="1"/>
    <m/>
    <d v="1899-12-30T00:24:00"/>
    <m/>
    <s v="YP/RS"/>
    <s v="Foraging"/>
    <s v="NA"/>
    <s v="unknown"/>
    <n v="0"/>
    <n v="0"/>
    <x v="0"/>
    <x v="0"/>
    <s v="NA"/>
    <s v="NA"/>
    <m/>
    <m/>
    <m/>
    <s v="NA"/>
    <s v="NA"/>
    <s v="NA"/>
    <s v="NA"/>
    <s v="NA"/>
    <s v="NA"/>
    <s v="NA"/>
    <m/>
    <n v="0"/>
    <n v="0"/>
    <n v="0"/>
    <n v="0"/>
    <n v="7"/>
    <n v="7"/>
    <s v="Searching"/>
    <m/>
    <m/>
    <m/>
  </r>
  <r>
    <s v="DSCN2697"/>
    <s v="M2370330_19"/>
    <n v="19"/>
    <n v="1"/>
    <s v="Mile 237"/>
    <d v="2019-03-30T00:00:00"/>
    <x v="1"/>
    <m/>
    <d v="1899-12-30T00:20:00"/>
    <m/>
    <s v="YP/RS"/>
    <s v="Foraging"/>
    <s v="NA"/>
    <s v="unknown"/>
    <n v="0"/>
    <n v="0"/>
    <x v="0"/>
    <x v="0"/>
    <s v="NA"/>
    <s v="NA"/>
    <m/>
    <m/>
    <m/>
    <s v="NA"/>
    <s v="NA"/>
    <s v="NA"/>
    <s v="NA"/>
    <s v="NA"/>
    <s v="NA"/>
    <s v="NA"/>
    <m/>
    <n v="0"/>
    <n v="0"/>
    <n v="0"/>
    <n v="0"/>
    <n v="7"/>
    <n v="7"/>
    <s v="Searching"/>
    <m/>
    <m/>
    <m/>
  </r>
  <r>
    <s v="DSCN3143"/>
    <s v="M2370415_11"/>
    <n v="11"/>
    <n v="1"/>
    <s v="Mile 237"/>
    <d v="2019-04-15T00:00:00"/>
    <x v="0"/>
    <m/>
    <d v="1899-12-30T00:19:00"/>
    <s v="Partly cloudy"/>
    <s v="YP/RS"/>
    <s v="Foraging"/>
    <s v="NA"/>
    <s v="unknown"/>
    <n v="0"/>
    <n v="0"/>
    <x v="0"/>
    <x v="0"/>
    <s v="NA"/>
    <s v="NA"/>
    <m/>
    <m/>
    <m/>
    <s v="NA"/>
    <s v="NA"/>
    <s v="NA"/>
    <s v="NA"/>
    <s v="NA"/>
    <s v="NA"/>
    <s v="NA"/>
    <m/>
    <n v="0"/>
    <n v="0"/>
    <n v="0"/>
    <n v="0"/>
    <n v="7"/>
    <n v="7"/>
    <s v="Searching"/>
    <m/>
    <m/>
    <m/>
  </r>
  <r>
    <s v="DSCN3825"/>
    <s v="CC0503_9"/>
    <n v="9"/>
    <n v="1"/>
    <s v="CCAMP"/>
    <d v="2019-05-03T00:00:00"/>
    <x v="2"/>
    <s v="Spring"/>
    <d v="1899-12-30T00:07:00"/>
    <s v="Overcast, light snow"/>
    <s v="GL/RS"/>
    <s v="Foraging"/>
    <s v="NA"/>
    <s v="unknown"/>
    <n v="0"/>
    <n v="0"/>
    <x v="0"/>
    <x v="0"/>
    <s v="NA"/>
    <s v="NA"/>
    <m/>
    <m/>
    <m/>
    <s v="NA"/>
    <s v="NA"/>
    <s v="NA"/>
    <s v="NA"/>
    <s v="NA"/>
    <s v="NA"/>
    <s v="NA"/>
    <s v="NA"/>
    <n v="0"/>
    <n v="0"/>
    <n v="0"/>
    <n v="0"/>
    <n v="7"/>
    <n v="7"/>
    <s v="Searching"/>
    <m/>
    <m/>
    <m/>
  </r>
  <r>
    <s v="DSCN2674"/>
    <s v="M2370330_5"/>
    <n v="5"/>
    <n v="1"/>
    <s v="Mile 237"/>
    <d v="2019-03-30T00:00:00"/>
    <x v="1"/>
    <m/>
    <d v="1899-12-30T00:31:00"/>
    <m/>
    <s v="YP/RS"/>
    <s v="Foraging"/>
    <s v="Spruce"/>
    <n v="1"/>
    <s v="unknown"/>
    <n v="0"/>
    <x v="2"/>
    <x v="2"/>
    <s v="Interior spruce foliage near crown"/>
    <s v="NA"/>
    <m/>
    <m/>
    <m/>
    <s v="NA"/>
    <s v="NA"/>
    <s v="NA"/>
    <s v="NA"/>
    <s v="NA"/>
    <s v="NA"/>
    <s v="NA"/>
    <m/>
    <n v="0"/>
    <n v="6"/>
    <n v="6"/>
    <n v="0"/>
    <n v="0"/>
    <n v="6"/>
    <s v="Searching"/>
    <m/>
    <m/>
    <m/>
  </r>
  <r>
    <s v="DSCN2676"/>
    <s v="M2370330_6"/>
    <n v="6"/>
    <n v="1"/>
    <s v="Mile 237"/>
    <d v="2019-03-30T00:00:00"/>
    <x v="1"/>
    <m/>
    <d v="1899-12-30T00:08:00"/>
    <m/>
    <s v="YP/RS"/>
    <s v="Foraging"/>
    <s v="Spruce"/>
    <n v="0"/>
    <n v="0"/>
    <n v="0"/>
    <x v="0"/>
    <x v="0"/>
    <s v="NA"/>
    <s v="NA"/>
    <m/>
    <m/>
    <m/>
    <s v="NA"/>
    <s v="NA"/>
    <s v="NA"/>
    <s v="NA"/>
    <s v="NA"/>
    <s v="NA"/>
    <s v="NA"/>
    <m/>
    <n v="6"/>
    <n v="0"/>
    <n v="6"/>
    <n v="0"/>
    <n v="0"/>
    <n v="6"/>
    <s v="Searching"/>
    <m/>
    <m/>
    <m/>
  </r>
  <r>
    <s v="DSCN2841"/>
    <s v="M230403_9"/>
    <n v="9"/>
    <n v="1"/>
    <s v="Mile 237"/>
    <d v="2019-04-03T00:00:00"/>
    <x v="0"/>
    <m/>
    <d v="1899-12-30T00:20:00"/>
    <m/>
    <s v="YP/RS"/>
    <s v="Foraging"/>
    <s v="Spruce"/>
    <n v="1"/>
    <s v="unknown"/>
    <n v="0"/>
    <x v="2"/>
    <x v="2"/>
    <s v="Exterior bare spruce branch"/>
    <s v="NA"/>
    <m/>
    <m/>
    <m/>
    <s v="NA"/>
    <s v="NA"/>
    <s v="NA"/>
    <s v="NA"/>
    <s v="NA"/>
    <s v="NA"/>
    <s v="NA"/>
    <m/>
    <n v="6"/>
    <n v="0"/>
    <n v="0"/>
    <n v="6"/>
    <n v="0"/>
    <n v="6"/>
    <s v="Searching"/>
    <m/>
    <m/>
    <m/>
  </r>
  <r>
    <s v="DSCN2953"/>
    <s v="WW0405_5"/>
    <n v="5"/>
    <n v="1"/>
    <s v="WAC West"/>
    <d v="2019-04-05T00:00:00"/>
    <x v="0"/>
    <m/>
    <d v="1899-12-30T02:23:00"/>
    <m/>
    <s v="BP/PS"/>
    <s v="Foraging"/>
    <s v="Spruce"/>
    <n v="1"/>
    <n v="0"/>
    <n v="0"/>
    <x v="2"/>
    <x v="2"/>
    <s v="Exterior bare spruce branch"/>
    <s v="NA"/>
    <m/>
    <m/>
    <m/>
    <s v="NA"/>
    <s v="NA"/>
    <s v="NA"/>
    <s v="NA"/>
    <s v="NA"/>
    <s v="NA"/>
    <s v="NA"/>
    <m/>
    <n v="6"/>
    <n v="0"/>
    <n v="0"/>
    <n v="6"/>
    <n v="0"/>
    <n v="6"/>
    <m/>
    <m/>
    <m/>
    <m/>
  </r>
  <r>
    <s v="DSCN2953"/>
    <s v="WW0405_5"/>
    <n v="5"/>
    <n v="3"/>
    <s v="WAC West"/>
    <d v="2019-04-05T00:00:00"/>
    <x v="0"/>
    <m/>
    <d v="1899-12-30T02:23:00"/>
    <m/>
    <s v="BP/PS"/>
    <s v="Foraging"/>
    <s v="NA"/>
    <n v="1"/>
    <n v="0"/>
    <n v="0"/>
    <x v="1"/>
    <x v="7"/>
    <s v="Ground"/>
    <s v="NA"/>
    <m/>
    <m/>
    <m/>
    <s v="NA"/>
    <s v="NA"/>
    <s v="NA"/>
    <s v="NA"/>
    <s v="NA"/>
    <s v="NA"/>
    <s v="NA"/>
    <m/>
    <n v="0"/>
    <n v="0"/>
    <n v="0"/>
    <n v="0"/>
    <n v="6"/>
    <n v="6"/>
    <s v="Searching"/>
    <s v="Missed some of the foraging time for this one"/>
    <m/>
    <m/>
  </r>
  <r>
    <s v="DSCN3245"/>
    <s v="AQ0417_6"/>
    <n v="6"/>
    <n v="1"/>
    <s v="Air Quality"/>
    <d v="2019-04-17T00:00:00"/>
    <x v="0"/>
    <m/>
    <d v="1899-12-30T01:50:00"/>
    <s v="Overcast, light snow"/>
    <s v="PG/PS"/>
    <s v="Foraging"/>
    <s v="NA"/>
    <n v="1"/>
    <n v="0"/>
    <n v="0"/>
    <x v="2"/>
    <x v="2"/>
    <s v="Ground"/>
    <s v="NA"/>
    <m/>
    <m/>
    <m/>
    <s v="NA"/>
    <s v="NA"/>
    <s v="NA"/>
    <s v="NA"/>
    <s v="NA"/>
    <s v="NA"/>
    <s v="NA"/>
    <s v="NA"/>
    <n v="0"/>
    <n v="0"/>
    <n v="0"/>
    <n v="0"/>
    <n v="6"/>
    <n v="6"/>
    <s v="Searching"/>
    <m/>
    <m/>
    <m/>
  </r>
  <r>
    <s v="DSCN3370"/>
    <s v="WW0422_13"/>
    <n v="13"/>
    <n v="1"/>
    <s v="WAC West"/>
    <d v="2019-04-22T00:00:00"/>
    <x v="0"/>
    <m/>
    <d v="1899-12-30T00:20:00"/>
    <s v="Partly cloudy"/>
    <s v="BP/PS"/>
    <s v="Foraging"/>
    <s v="Stick"/>
    <n v="1"/>
    <n v="1"/>
    <n v="0"/>
    <x v="2"/>
    <x v="2"/>
    <s v="Under bark of dead stick"/>
    <s v="NA"/>
    <m/>
    <m/>
    <m/>
    <s v="NA"/>
    <s v="NA"/>
    <s v="BA"/>
    <s v="NA"/>
    <s v="NA"/>
    <n v="63.74042"/>
    <n v="148.89865"/>
    <s v="NA"/>
    <n v="6"/>
    <n v="0"/>
    <n v="0"/>
    <n v="6"/>
    <n v="0"/>
    <n v="6"/>
    <s v="Searching/probing"/>
    <m/>
    <n v="2"/>
    <n v="0"/>
  </r>
  <r>
    <s v="DSCN3522"/>
    <s v="MC0424_29"/>
    <n v="29"/>
    <n v="1"/>
    <s v="Mercantile"/>
    <d v="2019-04-24T00:00:00"/>
    <x v="0"/>
    <m/>
    <d v="1899-12-30T01:42:00"/>
    <s v="Partly cloudy"/>
    <s v="BW/GS"/>
    <s v="Foraging/caching"/>
    <s v="Spruce"/>
    <n v="1"/>
    <n v="0"/>
    <n v="1"/>
    <x v="1"/>
    <x v="7"/>
    <s v="Ground"/>
    <s v="Exterior spruce branch"/>
    <s v="Spruce"/>
    <s v="Exterior"/>
    <s v="On branch"/>
    <s v="E"/>
    <n v="80"/>
    <n v="9"/>
    <n v="63.73518"/>
    <n v="148.90012999999999"/>
    <s v="NA"/>
    <s v="NA"/>
    <s v="NA"/>
    <n v="0"/>
    <n v="0"/>
    <n v="0"/>
    <n v="0"/>
    <n v="6"/>
    <n v="6"/>
    <s v="Searching"/>
    <s v="Placed camera on CT"/>
    <m/>
    <m/>
  </r>
  <r>
    <s v="DSCN3719"/>
    <s v="CC0430_13"/>
    <n v="13"/>
    <n v="1"/>
    <s v="CCAMP"/>
    <d v="2019-04-30T00:00:00"/>
    <x v="0"/>
    <s v="Spring"/>
    <d v="1899-12-30T00:21:00"/>
    <s v="Clear, full sun"/>
    <s v="GL/RS"/>
    <s v="Foraging"/>
    <s v="Spruce"/>
    <n v="1"/>
    <s v="unknown"/>
    <n v="0"/>
    <x v="2"/>
    <x v="2"/>
    <s v="Exterior spruce foliage"/>
    <s v="NA"/>
    <m/>
    <m/>
    <m/>
    <s v="NA"/>
    <s v="NA"/>
    <s v="NA"/>
    <s v="NA"/>
    <s v="NA"/>
    <s v="NA"/>
    <s v="NA"/>
    <s v="NA"/>
    <n v="0"/>
    <n v="6"/>
    <n v="0"/>
    <n v="6"/>
    <n v="0"/>
    <n v="6"/>
    <s v="Probing"/>
    <m/>
    <s v="Unknown"/>
    <m/>
  </r>
  <r>
    <s v="DSCN3663"/>
    <s v="M4R0430_13"/>
    <n v="13"/>
    <n v="1"/>
    <s v="M4Roadside"/>
    <d v="2019-04-30T00:00:00"/>
    <x v="0"/>
    <m/>
    <d v="1899-12-30T00:06:00"/>
    <s v="Clear, full sun"/>
    <s v="YO/BS"/>
    <s v="Foraging"/>
    <s v="NA"/>
    <n v="0"/>
    <n v="0"/>
    <n v="0"/>
    <x v="0"/>
    <x v="0"/>
    <s v="NA"/>
    <s v="NA"/>
    <m/>
    <m/>
    <m/>
    <s v="NA"/>
    <s v="NA"/>
    <s v="NA"/>
    <s v="NA"/>
    <s v="NA"/>
    <s v="NA"/>
    <s v="NA"/>
    <s v="NA"/>
    <n v="0"/>
    <n v="0"/>
    <n v="0"/>
    <n v="0"/>
    <n v="6"/>
    <n v="6"/>
    <s v="Searching"/>
    <m/>
    <m/>
    <m/>
  </r>
  <r>
    <s v="DSCN3153"/>
    <s v="M2370415_17"/>
    <n v="17"/>
    <n v="1"/>
    <s v="Mile 237"/>
    <d v="2019-04-15T00:00:00"/>
    <x v="0"/>
    <m/>
    <d v="1899-12-30T00:31:00"/>
    <s v="Partly cloudy"/>
    <s v="YP/RS"/>
    <s v="Foraging"/>
    <s v="Spruce"/>
    <s v="unknown"/>
    <n v="0"/>
    <n v="0"/>
    <x v="0"/>
    <x v="0"/>
    <s v="NA"/>
    <s v="NA"/>
    <m/>
    <m/>
    <m/>
    <s v="NA"/>
    <s v="NA"/>
    <s v="NA"/>
    <s v="NA"/>
    <s v="NA"/>
    <s v="NA"/>
    <s v="NA"/>
    <m/>
    <n v="6"/>
    <n v="0"/>
    <n v="6"/>
    <n v="0"/>
    <n v="0"/>
    <n v="6"/>
    <s v="Searching"/>
    <s v="Grabs a leaf and leaves.  Maybe bug inside?"/>
    <m/>
    <m/>
  </r>
  <r>
    <s v="DSCN3934"/>
    <s v="M2370508_4"/>
    <n v="4"/>
    <n v="1"/>
    <s v="Mile 237"/>
    <d v="2019-05-08T00:00:00"/>
    <x v="2"/>
    <m/>
    <d v="1899-12-30T00:06:00"/>
    <s v="Overcast"/>
    <s v="YP/RS"/>
    <s v="Foraging"/>
    <s v="NA"/>
    <s v="unknown"/>
    <n v="0"/>
    <n v="0"/>
    <x v="0"/>
    <x v="0"/>
    <s v="NA"/>
    <s v="NA"/>
    <m/>
    <m/>
    <m/>
    <s v="NA"/>
    <s v="NA"/>
    <s v="NA"/>
    <s v="NA"/>
    <s v="NA"/>
    <s v="NA"/>
    <s v="NA"/>
    <s v="NA"/>
    <n v="6"/>
    <n v="0"/>
    <n v="6"/>
    <n v="0"/>
    <n v="0"/>
    <n v="6"/>
    <s v="Probing"/>
    <m/>
    <n v="1"/>
    <n v="0"/>
  </r>
  <r>
    <s v="DSCN2394"/>
    <s v="TAI0320_11"/>
    <n v="11"/>
    <n v="2"/>
    <s v="Taiga"/>
    <d v="2019-03-20T00:00:00"/>
    <x v="1"/>
    <m/>
    <d v="1899-12-30T00:52:00"/>
    <s v="Partly cloudy"/>
    <s v="OO/BS"/>
    <s v="Foraging"/>
    <s v="NA"/>
    <n v="1"/>
    <n v="0"/>
    <n v="0"/>
    <x v="2"/>
    <x v="2"/>
    <s v="Ground"/>
    <s v="NA"/>
    <m/>
    <m/>
    <m/>
    <s v="NA"/>
    <s v="NA"/>
    <s v="NA"/>
    <s v="NA"/>
    <s v="NA"/>
    <m/>
    <m/>
    <m/>
    <n v="0"/>
    <n v="0"/>
    <n v="0"/>
    <n v="0"/>
    <n v="5"/>
    <n v="5"/>
    <s v="Searching"/>
    <m/>
    <n v="0"/>
    <n v="0"/>
  </r>
  <r>
    <s v="DSCN2541"/>
    <s v="M2370326_3"/>
    <n v="3"/>
    <n v="2"/>
    <s v="Mile 237"/>
    <d v="2019-03-26T00:00:00"/>
    <x v="1"/>
    <m/>
    <d v="1899-12-30T01:11:00"/>
    <s v="Mostly sunny"/>
    <s v="YP/RS"/>
    <s v="Caching/foraging"/>
    <s v="Spruce"/>
    <n v="1"/>
    <n v="0"/>
    <n v="0"/>
    <x v="1"/>
    <x v="4"/>
    <s v="Ground"/>
    <s v="NA"/>
    <m/>
    <m/>
    <m/>
    <s v="NA"/>
    <s v="NA"/>
    <s v="NA"/>
    <s v="NA"/>
    <s v="NA"/>
    <m/>
    <m/>
    <m/>
    <n v="0"/>
    <n v="0"/>
    <n v="0"/>
    <n v="0"/>
    <n v="5"/>
    <n v="5"/>
    <s v="Searching"/>
    <s v="One other possible cache but unclear. "/>
    <m/>
    <m/>
  </r>
  <r>
    <s v="DSCN2968"/>
    <s v="WW0405_13"/>
    <n v="13"/>
    <n v="1"/>
    <s v="WAC West"/>
    <d v="2019-04-05T00:00:00"/>
    <x v="0"/>
    <m/>
    <d v="1899-12-30T00:11:00"/>
    <m/>
    <s v="BP/PS"/>
    <s v="Foraging"/>
    <s v="NA"/>
    <n v="1"/>
    <n v="0"/>
    <n v="0"/>
    <x v="1"/>
    <x v="7"/>
    <s v="Ground"/>
    <s v="NA"/>
    <m/>
    <m/>
    <m/>
    <s v="NA"/>
    <s v="NA"/>
    <s v="NA"/>
    <s v="NA"/>
    <s v="NA"/>
    <s v="NA"/>
    <s v="NA"/>
    <m/>
    <n v="0"/>
    <n v="0"/>
    <n v="0"/>
    <n v="0"/>
    <n v="5"/>
    <n v="5"/>
    <s v="Searching"/>
    <m/>
    <m/>
    <m/>
  </r>
  <r>
    <s v="DSCN3024"/>
    <s v="M4R0409_1"/>
    <n v="1"/>
    <n v="1"/>
    <s v="M4Roadside"/>
    <d v="2019-04-09T00:00:00"/>
    <x v="0"/>
    <m/>
    <d v="1899-12-30T00:39:00"/>
    <m/>
    <s v="YO/BS"/>
    <s v="Foraging"/>
    <s v="NA"/>
    <n v="1"/>
    <n v="0"/>
    <n v="1"/>
    <x v="1"/>
    <x v="4"/>
    <s v="Ground"/>
    <s v="Exterior spruce branch under witch hair"/>
    <s v="Spruce"/>
    <s v="Exterior"/>
    <s v="Under witchhair"/>
    <s v="E"/>
    <n v="95"/>
    <n v="1"/>
    <n v="63.71951"/>
    <n v="148.98781"/>
    <s v="NA"/>
    <s v="NA"/>
    <m/>
    <n v="0"/>
    <n v="0"/>
    <n v="0"/>
    <n v="0"/>
    <n v="5"/>
    <n v="5"/>
    <s v="Searching"/>
    <s v="Placed camera on CT"/>
    <m/>
    <m/>
  </r>
  <r>
    <s v="DSCN3050"/>
    <s v="UNK0411_5"/>
    <n v="5"/>
    <n v="2"/>
    <s v="Unknown"/>
    <d v="2019-04-11T00:00:00"/>
    <x v="0"/>
    <m/>
    <d v="1899-12-30T01:43:00"/>
    <m/>
    <s v="unbanded"/>
    <s v="Foraging"/>
    <s v="Spruce"/>
    <n v="1"/>
    <s v="unknown"/>
    <n v="0"/>
    <x v="2"/>
    <x v="2"/>
    <s v="Spruce trunk under bark"/>
    <s v="NA"/>
    <m/>
    <m/>
    <m/>
    <s v="NA"/>
    <s v="NA"/>
    <s v="NA"/>
    <s v="NA"/>
    <s v="NA"/>
    <s v="NA"/>
    <s v="NA"/>
    <m/>
    <n v="5"/>
    <n v="0"/>
    <n v="5"/>
    <n v="0"/>
    <n v="0"/>
    <n v="5"/>
    <s v="Searching"/>
    <m/>
    <m/>
    <m/>
  </r>
  <r>
    <s v="DSCN3120"/>
    <s v="BU0415_7"/>
    <n v="7"/>
    <n v="1"/>
    <s v="B&amp;U"/>
    <d v="2019-04-15T00:00:00"/>
    <x v="0"/>
    <m/>
    <d v="1899-12-30T00:54:00"/>
    <s v="Partly cloudy"/>
    <s v="WP/BS"/>
    <s v="Foraging"/>
    <s v="NA"/>
    <n v="1"/>
    <n v="0"/>
    <n v="0"/>
    <x v="1"/>
    <x v="4"/>
    <s v="Ground"/>
    <s v="NA"/>
    <m/>
    <m/>
    <m/>
    <s v="NA"/>
    <s v="NA"/>
    <s v="NA"/>
    <s v="NA"/>
    <s v="NA"/>
    <s v="NA"/>
    <s v="NA"/>
    <m/>
    <n v="0"/>
    <n v="0"/>
    <n v="0"/>
    <n v="0"/>
    <n v="5"/>
    <n v="5"/>
    <s v="Searching"/>
    <s v="Couldn't see it for most of video.  Estimates 5s foraging time"/>
    <m/>
    <m/>
  </r>
  <r>
    <s v="DSCN3207"/>
    <s v="CC0416_6"/>
    <n v="7"/>
    <n v="1"/>
    <s v="CCAMP"/>
    <d v="2019-04-16T00:00:00"/>
    <x v="0"/>
    <m/>
    <d v="1899-12-30T00:52:00"/>
    <s v="Mostly cloudy"/>
    <s v="GB/BS"/>
    <s v="Foraging"/>
    <s v="Spruce"/>
    <n v="1"/>
    <n v="0"/>
    <n v="0"/>
    <x v="1"/>
    <x v="13"/>
    <s v="Spruce sapling trunk"/>
    <s v="NA"/>
    <m/>
    <m/>
    <m/>
    <s v="NA"/>
    <s v="NA"/>
    <s v="NA"/>
    <s v="NA"/>
    <s v="NA"/>
    <s v="NA"/>
    <s v="NA"/>
    <m/>
    <n v="5"/>
    <n v="0"/>
    <n v="5"/>
    <n v="0"/>
    <n v="0"/>
    <n v="5"/>
    <s v="Gleaning"/>
    <m/>
    <n v="0"/>
    <n v="1"/>
  </r>
  <r>
    <s v="DSCN3165"/>
    <s v="WW0416_1"/>
    <n v="1"/>
    <n v="1"/>
    <s v="WAC West"/>
    <d v="2019-04-16T00:00:00"/>
    <x v="0"/>
    <m/>
    <d v="1899-12-30T00:47:00"/>
    <s v="Mostly cloudy"/>
    <s v="BP/PS"/>
    <s v="Foraging"/>
    <s v="NA"/>
    <n v="1"/>
    <n v="0"/>
    <n v="0"/>
    <x v="4"/>
    <x v="11"/>
    <s v="Ground"/>
    <s v="NA"/>
    <m/>
    <m/>
    <m/>
    <s v="NA"/>
    <s v="NA"/>
    <s v="NA"/>
    <s v="NA"/>
    <s v="NA"/>
    <s v="NA"/>
    <s v="NA"/>
    <m/>
    <n v="0"/>
    <n v="0"/>
    <n v="0"/>
    <n v="0"/>
    <n v="5"/>
    <n v="5"/>
    <s v="Searching"/>
    <m/>
    <m/>
    <m/>
  </r>
  <r>
    <s v="DSCN3239"/>
    <s v="AQ0417_1"/>
    <n v="1"/>
    <n v="1"/>
    <s v="Air Quality"/>
    <d v="2019-04-17T00:00:00"/>
    <x v="0"/>
    <m/>
    <d v="1899-12-30T00:59:00"/>
    <s v="Overcast, light snow"/>
    <s v="PG/PS"/>
    <s v="Foraging"/>
    <s v="NA"/>
    <n v="1"/>
    <n v="0"/>
    <n v="0"/>
    <x v="1"/>
    <x v="7"/>
    <s v="Ground"/>
    <s v="NA"/>
    <m/>
    <m/>
    <m/>
    <s v="NA"/>
    <s v="NA"/>
    <s v="NA"/>
    <s v="NA"/>
    <s v="NA"/>
    <s v="NA"/>
    <s v="NA"/>
    <s v="NA"/>
    <n v="0"/>
    <n v="0"/>
    <n v="0"/>
    <n v="0"/>
    <n v="5"/>
    <n v="5"/>
    <s v="Searching"/>
    <m/>
    <m/>
    <m/>
  </r>
  <r>
    <s v="DSCN3572"/>
    <s v="CC0425_37"/>
    <n v="37"/>
    <n v="1"/>
    <s v="CCAMP"/>
    <d v="2019-04-25T00:00:00"/>
    <x v="0"/>
    <m/>
    <d v="1899-12-30T00:19:00"/>
    <s v="Partly cloudy"/>
    <s v="GB/BS"/>
    <s v="Foraging"/>
    <s v="Spruce"/>
    <n v="1"/>
    <s v="unknown"/>
    <n v="0"/>
    <x v="2"/>
    <x v="2"/>
    <s v="Exterior spruce branch on bark"/>
    <s v="NA"/>
    <m/>
    <m/>
    <m/>
    <s v="NA"/>
    <s v="NA"/>
    <s v="NA"/>
    <s v="NA"/>
    <s v="NA"/>
    <s v="NA"/>
    <s v="NA"/>
    <s v="NA"/>
    <n v="0"/>
    <n v="0"/>
    <n v="0"/>
    <n v="0"/>
    <n v="5"/>
    <n v="5"/>
    <s v="Searching"/>
    <s v="Willow branch doesn't really have interior or exterior "/>
    <m/>
    <m/>
  </r>
  <r>
    <s v="DSCN3687"/>
    <s v="CC0430_1"/>
    <n v="1"/>
    <n v="1"/>
    <s v="CCAMP"/>
    <d v="2019-04-30T00:00:00"/>
    <x v="0"/>
    <m/>
    <d v="1899-12-30T00:36:00"/>
    <s v="Clear, full sun"/>
    <s v="GB/BS"/>
    <s v="Foraging"/>
    <s v="NA"/>
    <n v="1"/>
    <n v="0"/>
    <n v="0"/>
    <x v="1"/>
    <x v="1"/>
    <s v="Ground"/>
    <s v="NA"/>
    <m/>
    <m/>
    <m/>
    <s v="NA"/>
    <s v="NA"/>
    <s v="NA"/>
    <s v="NA"/>
    <s v="NA"/>
    <s v="NA"/>
    <s v="NA"/>
    <s v="NA"/>
    <n v="0"/>
    <n v="0"/>
    <n v="0"/>
    <n v="0"/>
    <n v="5"/>
    <n v="5"/>
    <s v="Searching"/>
    <s v="Left nest, got caterpiller, returned to nest. "/>
    <m/>
    <m/>
  </r>
  <r>
    <s v="DSCN3404"/>
    <s v="CC0422_9"/>
    <n v="9"/>
    <n v="1"/>
    <s v="CCAMP"/>
    <d v="2019-04-22T00:00:00"/>
    <x v="0"/>
    <m/>
    <d v="1899-12-30T00:05:00"/>
    <s v="Partly cloudy"/>
    <s v="unknown"/>
    <s v="Foraging"/>
    <s v="NA"/>
    <s v="unknown"/>
    <n v="0"/>
    <n v="0"/>
    <x v="0"/>
    <x v="0"/>
    <s v="NA"/>
    <s v="NA"/>
    <m/>
    <m/>
    <m/>
    <s v="NA"/>
    <s v="NA"/>
    <s v="NA"/>
    <s v="NA"/>
    <s v="NA"/>
    <s v="NA"/>
    <s v="NA"/>
    <s v="NA"/>
    <n v="0"/>
    <n v="0"/>
    <n v="0"/>
    <n v="0"/>
    <n v="5"/>
    <n v="5"/>
    <s v="Searching"/>
    <m/>
    <m/>
    <m/>
  </r>
  <r>
    <s v="DSCN3459"/>
    <s v="BU0424_4"/>
    <n v="4"/>
    <n v="1"/>
    <s v="B&amp;U"/>
    <d v="2019-04-24T00:00:00"/>
    <x v="0"/>
    <m/>
    <d v="1899-12-30T00:26:00"/>
    <s v="Partly cloudy"/>
    <s v="GR/PS"/>
    <s v="Foraging"/>
    <s v="Spruce"/>
    <s v="unknown"/>
    <s v="unknown"/>
    <n v="0"/>
    <x v="0"/>
    <x v="0"/>
    <s v="NA"/>
    <s v="NA"/>
    <m/>
    <m/>
    <m/>
    <s v="NA"/>
    <s v="NA"/>
    <s v="NA"/>
    <s v="NA"/>
    <s v="NA"/>
    <s v="NA"/>
    <s v="NA"/>
    <s v="NA"/>
    <n v="5"/>
    <n v="0"/>
    <n v="0"/>
    <n v="5"/>
    <n v="0"/>
    <n v="5"/>
    <s v="Searching"/>
    <m/>
    <m/>
    <m/>
  </r>
  <r>
    <s v="DSCN2520"/>
    <s v="M4R0325_13"/>
    <n v="13"/>
    <n v="1"/>
    <s v="M4Roadside"/>
    <d v="2019-03-25T00:00:00"/>
    <x v="1"/>
    <m/>
    <d v="1899-12-30T00:20:00"/>
    <s v="Mostly sunny"/>
    <s v="YO/BS"/>
    <s v="Foraging"/>
    <s v="NA"/>
    <n v="1"/>
    <n v="0"/>
    <n v="0"/>
    <x v="3"/>
    <x v="8"/>
    <s v="NA"/>
    <s v="NA"/>
    <m/>
    <m/>
    <m/>
    <s v="NA"/>
    <s v="NA"/>
    <s v="NA"/>
    <s v="NA"/>
    <s v="NA"/>
    <m/>
    <m/>
    <m/>
    <n v="0"/>
    <n v="0"/>
    <n v="0"/>
    <n v="0"/>
    <n v="4"/>
    <n v="4"/>
    <s v="Searching"/>
    <s v="Acquisition reported on different video, but part of this foraging sequence."/>
    <m/>
    <m/>
  </r>
  <r>
    <s v="DSCN2543"/>
    <s v="M2370326_5"/>
    <n v="5"/>
    <n v="1"/>
    <s v="Mile 237"/>
    <d v="2019-03-26T00:00:00"/>
    <x v="1"/>
    <m/>
    <d v="1899-12-30T01:06:00"/>
    <s v="Mostly sunny"/>
    <s v="YP/RS"/>
    <s v="Foraging/caching"/>
    <s v="Spruce"/>
    <n v="1"/>
    <n v="0"/>
    <n v="1"/>
    <x v="3"/>
    <x v="9"/>
    <s v="Ground"/>
    <s v="Exterior spruce foliage"/>
    <s v="Spruce"/>
    <s v="Exterior"/>
    <s v="Foliage"/>
    <s v="W"/>
    <n v="270"/>
    <n v="10"/>
    <n v="63.723640000000003"/>
    <n v="148.89089999999999"/>
    <m/>
    <m/>
    <m/>
    <n v="0"/>
    <n v="0"/>
    <n v="0"/>
    <n v="0"/>
    <n v="4"/>
    <n v="4"/>
    <s v="Searching"/>
    <m/>
    <m/>
    <m/>
  </r>
  <r>
    <s v="DSCN2682"/>
    <s v="M2370330_9"/>
    <n v="9"/>
    <n v="1"/>
    <s v="Mile 237"/>
    <d v="2019-03-30T00:00:00"/>
    <x v="1"/>
    <m/>
    <d v="1899-12-30T00:28:00"/>
    <m/>
    <s v="YP/RS"/>
    <s v="Foraging"/>
    <s v="Spruce"/>
    <n v="1"/>
    <n v="0"/>
    <n v="0"/>
    <x v="1"/>
    <x v="31"/>
    <s v="Exterior foliate spruce branch"/>
    <s v="NA"/>
    <m/>
    <m/>
    <m/>
    <s v="NA"/>
    <s v="NA"/>
    <s v="NA"/>
    <s v="NA"/>
    <s v="NA"/>
    <s v="NA"/>
    <s v="NA"/>
    <m/>
    <n v="4"/>
    <n v="0"/>
    <n v="0"/>
    <n v="4"/>
    <n v="0"/>
    <n v="4"/>
    <s v="Searching"/>
    <s v="There's one frame where you can see the food item.  It is a dark glossy black but doesn't look like a berry.  Looks like a bug"/>
    <m/>
    <m/>
  </r>
  <r>
    <s v="DSCN2689"/>
    <s v="M2370330_14"/>
    <n v="14"/>
    <n v="1"/>
    <s v="Mile 237"/>
    <d v="2019-03-30T00:00:00"/>
    <x v="1"/>
    <m/>
    <d v="1899-12-30T00:06:00"/>
    <m/>
    <s v="YP/RS"/>
    <s v="Foraging"/>
    <s v="NA"/>
    <n v="0"/>
    <n v="0"/>
    <n v="0"/>
    <x v="0"/>
    <x v="0"/>
    <s v="NA"/>
    <s v="NA"/>
    <m/>
    <m/>
    <m/>
    <s v="NA"/>
    <s v="NA"/>
    <s v="NA"/>
    <s v="NA"/>
    <s v="NA"/>
    <s v="NA"/>
    <s v="NA"/>
    <m/>
    <n v="0"/>
    <n v="0"/>
    <n v="0"/>
    <n v="0"/>
    <n v="4"/>
    <n v="4"/>
    <s v="Searching"/>
    <m/>
    <m/>
    <m/>
  </r>
  <r>
    <s v="DSCN2813"/>
    <s v="WW0402_1"/>
    <n v="1"/>
    <n v="1"/>
    <s v="WAC West"/>
    <d v="2019-04-02T00:00:00"/>
    <x v="0"/>
    <m/>
    <d v="1899-12-30T01:17:00"/>
    <m/>
    <s v="BP/PS"/>
    <s v="Food handling/Foraging"/>
    <s v="NA"/>
    <n v="1"/>
    <n v="0"/>
    <n v="0"/>
    <x v="1"/>
    <x v="7"/>
    <s v="Ground"/>
    <s v="NA"/>
    <m/>
    <m/>
    <m/>
    <s v="NA"/>
    <s v="NA"/>
    <s v="NA"/>
    <s v="NA"/>
    <s v="NA"/>
    <s v="NA"/>
    <s v="NA"/>
    <m/>
    <n v="0"/>
    <n v="0"/>
    <n v="0"/>
    <n v="0"/>
    <n v="4"/>
    <n v="4"/>
    <m/>
    <m/>
    <m/>
    <m/>
  </r>
  <r>
    <s v="DSCN3539"/>
    <s v="CC0425_15"/>
    <n v="15"/>
    <n v="1"/>
    <s v="CCAMP"/>
    <d v="2019-04-25T00:00:00"/>
    <x v="0"/>
    <m/>
    <d v="1899-12-30T00:19:00"/>
    <s v="Partly cloudy"/>
    <s v="GB/BS"/>
    <s v="Foraging"/>
    <s v="Spruce"/>
    <n v="0"/>
    <n v="0"/>
    <n v="0"/>
    <x v="0"/>
    <x v="0"/>
    <s v="NA"/>
    <s v="NA"/>
    <m/>
    <m/>
    <m/>
    <s v="NA"/>
    <s v="NA"/>
    <s v="NA"/>
    <s v="NA"/>
    <s v="NA"/>
    <s v="NA"/>
    <s v="NA"/>
    <s v="NA"/>
    <n v="4"/>
    <n v="0"/>
    <n v="4"/>
    <n v="0"/>
    <n v="0"/>
    <n v="4"/>
    <s v="Searching/probing"/>
    <m/>
    <n v="4"/>
    <n v="0"/>
  </r>
  <r>
    <s v="DSCN2384"/>
    <s v="TAI0320_4"/>
    <n v="4"/>
    <n v="1"/>
    <s v="Taiga"/>
    <d v="2019-03-20T00:00:00"/>
    <x v="1"/>
    <m/>
    <d v="1899-12-30T00:08:00"/>
    <s v="Partly cloudy"/>
    <s v="WR/OS"/>
    <s v="Foraging"/>
    <s v="NA"/>
    <s v="unknown"/>
    <n v="0"/>
    <n v="0"/>
    <x v="0"/>
    <x v="0"/>
    <s v="NA"/>
    <s v="NA"/>
    <m/>
    <m/>
    <m/>
    <s v="NA"/>
    <s v="NA"/>
    <s v="NA"/>
    <s v="NA"/>
    <s v="NA"/>
    <m/>
    <m/>
    <m/>
    <n v="0"/>
    <n v="0"/>
    <n v="0"/>
    <n v="0"/>
    <n v="4"/>
    <n v="4"/>
    <s v="Searching"/>
    <m/>
    <n v="0"/>
    <n v="0"/>
  </r>
  <r>
    <s v="DSCN2721"/>
    <s v="WW0330_18"/>
    <n v="18"/>
    <n v="1"/>
    <s v="WAC West"/>
    <d v="2019-03-30T00:00:00"/>
    <x v="1"/>
    <m/>
    <d v="1899-12-30T00:24:00"/>
    <m/>
    <s v="BP/PS"/>
    <s v="Foraging"/>
    <s v="NA"/>
    <s v="unknown"/>
    <n v="0"/>
    <n v="0"/>
    <x v="0"/>
    <x v="0"/>
    <s v="NA"/>
    <s v="NA"/>
    <m/>
    <m/>
    <m/>
    <s v="NA"/>
    <s v="NA"/>
    <s v="NA"/>
    <s v="NA"/>
    <s v="NA"/>
    <s v="NA"/>
    <s v="NA"/>
    <m/>
    <n v="0"/>
    <n v="0"/>
    <n v="0"/>
    <n v="0"/>
    <n v="4"/>
    <n v="4"/>
    <s v="Searching"/>
    <m/>
    <m/>
    <m/>
  </r>
  <r>
    <s v="DSCN3499"/>
    <s v="MC0424_13"/>
    <n v="13"/>
    <n v="1"/>
    <s v="Mercantile"/>
    <d v="2019-04-24T00:00:00"/>
    <x v="0"/>
    <m/>
    <d v="1899-12-30T00:13:00"/>
    <s v="Partly cloudy"/>
    <s v="BW/GS"/>
    <s v="Foraging"/>
    <s v="Aspen"/>
    <s v="unknown"/>
    <s v="unknown"/>
    <n v="0"/>
    <x v="0"/>
    <x v="0"/>
    <s v="NA"/>
    <s v="NA"/>
    <m/>
    <m/>
    <m/>
    <s v="NA"/>
    <s v="NA"/>
    <s v="NA"/>
    <s v="NA"/>
    <s v="NA"/>
    <s v="NA"/>
    <s v="NA"/>
    <s v="NA"/>
    <n v="4"/>
    <n v="0"/>
    <n v="0"/>
    <n v="4"/>
    <n v="0"/>
    <n v="4"/>
    <s v="Probing"/>
    <m/>
    <n v="1"/>
    <n v="0"/>
  </r>
  <r>
    <s v="DSCN3511"/>
    <s v="MC0424_19"/>
    <n v="19"/>
    <n v="1"/>
    <s v="Mercantile"/>
    <d v="2019-04-24T00:00:00"/>
    <x v="0"/>
    <m/>
    <d v="1899-12-30T01:11:00"/>
    <s v="Partly cloudy"/>
    <s v="BW/GS"/>
    <s v="Foraging"/>
    <s v="NA"/>
    <s v="unknown"/>
    <n v="0"/>
    <n v="0"/>
    <x v="0"/>
    <x v="0"/>
    <s v="NA"/>
    <s v="NA"/>
    <m/>
    <m/>
    <m/>
    <s v="NA"/>
    <s v="NA"/>
    <s v="NA"/>
    <s v="NA"/>
    <s v="NA"/>
    <s v="NA"/>
    <s v="NA"/>
    <s v="NA"/>
    <n v="0"/>
    <n v="0"/>
    <n v="0"/>
    <n v="0"/>
    <n v="4"/>
    <n v="4"/>
    <s v="Searching"/>
    <m/>
    <m/>
    <m/>
  </r>
  <r>
    <s v="DSCN2453"/>
    <s v="BL0322_7"/>
    <n v="7"/>
    <n v="1"/>
    <s v="Boulder"/>
    <d v="2019-03-22T00:00:00"/>
    <x v="1"/>
    <m/>
    <d v="1899-12-30T00:33:00"/>
    <s v="Partly cloudy"/>
    <s v="unbanded"/>
    <s v="Foraging/food handling"/>
    <s v="NA"/>
    <n v="1"/>
    <n v="0"/>
    <n v="0"/>
    <x v="1"/>
    <x v="1"/>
    <s v="Ground"/>
    <s v="unknown"/>
    <m/>
    <m/>
    <m/>
    <s v="NA"/>
    <s v="NA"/>
    <s v="NA"/>
    <s v="NA"/>
    <s v="NA"/>
    <m/>
    <m/>
    <m/>
    <n v="0"/>
    <n v="0"/>
    <n v="0"/>
    <n v="0"/>
    <n v="3"/>
    <n v="3"/>
    <s v="Searching"/>
    <m/>
    <m/>
    <m/>
  </r>
  <r>
    <s v="DSCN2496"/>
    <s v="CC0325_4"/>
    <n v="4"/>
    <n v="1"/>
    <s v="CCAMP"/>
    <d v="2019-03-25T00:00:00"/>
    <x v="1"/>
    <m/>
    <d v="1899-12-30T00:27:00"/>
    <s v="Overcast"/>
    <s v="GB/BS"/>
    <s v="Foraging"/>
    <s v="NA"/>
    <n v="0"/>
    <n v="0"/>
    <n v="0"/>
    <x v="0"/>
    <x v="0"/>
    <s v="NA"/>
    <s v="NA"/>
    <m/>
    <m/>
    <m/>
    <s v="NA"/>
    <s v="NA"/>
    <s v="NA"/>
    <s v="NA"/>
    <s v="NA"/>
    <m/>
    <m/>
    <m/>
    <n v="0"/>
    <n v="0"/>
    <n v="0"/>
    <n v="0"/>
    <n v="3"/>
    <n v="3"/>
    <m/>
    <m/>
    <m/>
    <m/>
  </r>
  <r>
    <s v="DSCN2907"/>
    <s v="MC0404_3"/>
    <n v="3"/>
    <n v="1"/>
    <s v="Mercantile"/>
    <d v="2019-04-04T00:00:00"/>
    <x v="0"/>
    <m/>
    <d v="1899-12-30T00:11:00"/>
    <m/>
    <s v="WO/OS"/>
    <s v="Foraging"/>
    <s v="Spruce"/>
    <n v="0"/>
    <n v="0"/>
    <n v="0"/>
    <x v="0"/>
    <x v="0"/>
    <m/>
    <s v="NA"/>
    <m/>
    <m/>
    <m/>
    <s v="NA"/>
    <s v="NA"/>
    <s v="NA"/>
    <s v="NA"/>
    <s v="NA"/>
    <s v="NA"/>
    <s v="NA"/>
    <m/>
    <n v="3"/>
    <n v="0"/>
    <n v="0"/>
    <n v="3"/>
    <n v="0"/>
    <n v="3"/>
    <s v="Searching/probing"/>
    <m/>
    <n v="1"/>
    <n v="0"/>
  </r>
  <r>
    <s v="DSCN3024"/>
    <s v="M4R0409_1"/>
    <n v="1"/>
    <n v="2"/>
    <s v="M4Roadside"/>
    <d v="2019-04-09T00:00:00"/>
    <x v="0"/>
    <m/>
    <d v="1899-12-30T00:39:00"/>
    <m/>
    <s v="unknown"/>
    <s v="Foraging"/>
    <s v="NA"/>
    <n v="1"/>
    <n v="0"/>
    <n v="0"/>
    <x v="1"/>
    <x v="7"/>
    <s v="Ground"/>
    <s v="NA"/>
    <m/>
    <m/>
    <m/>
    <s v="NA"/>
    <s v="NA"/>
    <s v="NA"/>
    <s v="NA"/>
    <s v="NA"/>
    <s v="NA"/>
    <s v="NA"/>
    <m/>
    <n v="0"/>
    <n v="0"/>
    <n v="0"/>
    <n v="0"/>
    <n v="3"/>
    <n v="3"/>
    <m/>
    <s v="At the time I thought this birds was YO/BS. But it's possible that YO/BS and OB/YS switched because the cache tree in the later video has a black caterpillar cache from OB/YS.  So we marked this as unknown, rather than assume it was actually ob/ys"/>
    <m/>
    <m/>
  </r>
  <r>
    <s v="DSCN3043"/>
    <s v="WW0410_1"/>
    <n v="1"/>
    <n v="1"/>
    <s v="WAC West"/>
    <d v="2019-04-10T00:00:00"/>
    <x v="0"/>
    <m/>
    <d v="1899-12-30T00:11:00"/>
    <m/>
    <s v="BP/PS"/>
    <s v="Foraging"/>
    <s v="Spruce"/>
    <n v="1"/>
    <n v="1"/>
    <n v="0"/>
    <x v="7"/>
    <x v="32"/>
    <s v="NA"/>
    <s v="NA"/>
    <m/>
    <m/>
    <m/>
    <s v="NA"/>
    <s v="NA"/>
    <s v="NA"/>
    <s v="NA"/>
    <s v="NA"/>
    <n v="63.739699999999999"/>
    <n v="148.90033"/>
    <m/>
    <n v="0"/>
    <n v="3"/>
    <n v="3"/>
    <n v="0"/>
    <n v="0"/>
    <n v="3"/>
    <m/>
    <s v="Was perched at top of tree and immediately pulled this out."/>
    <m/>
    <m/>
  </r>
  <r>
    <s v="DSCN3128"/>
    <s v="M2370415_2"/>
    <n v="2"/>
    <n v="1"/>
    <s v="Mile 237"/>
    <d v="2019-04-15T00:00:00"/>
    <x v="0"/>
    <m/>
    <d v="1899-12-30T02:20:00"/>
    <s v="Partly cloudy"/>
    <s v="YP/RS"/>
    <s v="Foraging"/>
    <s v="NA"/>
    <n v="1"/>
    <n v="0"/>
    <n v="0"/>
    <x v="2"/>
    <x v="2"/>
    <s v="Ground"/>
    <s v="NA"/>
    <m/>
    <m/>
    <m/>
    <s v="NA"/>
    <s v="NA"/>
    <s v="NA"/>
    <s v="NA"/>
    <s v="NA"/>
    <s v="NA"/>
    <s v="NA"/>
    <m/>
    <n v="0"/>
    <n v="0"/>
    <n v="0"/>
    <n v="0"/>
    <n v="3"/>
    <n v="3"/>
    <s v="Searching"/>
    <m/>
    <m/>
    <m/>
  </r>
  <r>
    <s v="DSCN3398"/>
    <s v="CC0422_6"/>
    <n v="6"/>
    <n v="1"/>
    <s v="CCAMP"/>
    <d v="2019-04-22T00:00:00"/>
    <x v="0"/>
    <s v="Spring"/>
    <d v="1899-12-30T00:15:00"/>
    <s v="Partly cloudy"/>
    <s v="GL/RS"/>
    <s v="Foraging"/>
    <s v="Spruce"/>
    <n v="1"/>
    <n v="1"/>
    <n v="0"/>
    <x v="2"/>
    <x v="2"/>
    <s v="Exterior bare spruce branch"/>
    <s v="NA"/>
    <m/>
    <m/>
    <m/>
    <s v="NA"/>
    <s v="NA"/>
    <s v="NA"/>
    <s v="NA"/>
    <s v="NA"/>
    <s v="DNM"/>
    <s v="DNM"/>
    <s v="NA"/>
    <n v="3"/>
    <n v="0"/>
    <n v="0"/>
    <n v="3"/>
    <n v="0"/>
    <n v="3"/>
    <s v="Searching"/>
    <m/>
    <m/>
    <m/>
  </r>
  <r>
    <s v="DSCN3443"/>
    <s v="SQ0422_3"/>
    <n v="3"/>
    <n v="1"/>
    <s v="Sasquatch"/>
    <d v="2019-04-22T00:00:00"/>
    <x v="0"/>
    <m/>
    <d v="1899-12-30T00:34:00"/>
    <s v="Partly cloudy"/>
    <s v="G/BS"/>
    <s v="Foraging"/>
    <s v="NA"/>
    <n v="1"/>
    <n v="0"/>
    <n v="0"/>
    <x v="2"/>
    <x v="2"/>
    <s v="Ground"/>
    <s v="NA"/>
    <m/>
    <m/>
    <m/>
    <s v="NA"/>
    <s v="NA"/>
    <s v="NA"/>
    <s v="NA"/>
    <s v="NA"/>
    <s v="NA"/>
    <s v="NA"/>
    <s v="NA"/>
    <n v="0"/>
    <n v="0"/>
    <n v="0"/>
    <n v="0"/>
    <n v="3"/>
    <n v="3"/>
    <s v="Searching"/>
    <m/>
    <m/>
    <m/>
  </r>
  <r>
    <s v="DSCN2383"/>
    <s v="TAI0320_3"/>
    <n v="3"/>
    <n v="1"/>
    <s v="Taiga"/>
    <d v="2019-03-20T00:00:00"/>
    <x v="1"/>
    <m/>
    <d v="1899-12-30T00:08:00"/>
    <s v="Partly cloudy"/>
    <s v="WR/OS"/>
    <s v="Foraging"/>
    <s v="NA"/>
    <s v="unknown"/>
    <n v="0"/>
    <n v="0"/>
    <x v="0"/>
    <x v="0"/>
    <s v="NA"/>
    <s v="NA"/>
    <m/>
    <m/>
    <m/>
    <s v="NA"/>
    <s v="NA"/>
    <s v="NA"/>
    <s v="NA"/>
    <s v="NA"/>
    <m/>
    <m/>
    <m/>
    <n v="0"/>
    <n v="0"/>
    <n v="0"/>
    <n v="0"/>
    <n v="3"/>
    <n v="3"/>
    <s v="Searching"/>
    <m/>
    <n v="0"/>
    <n v="0"/>
  </r>
  <r>
    <s v="DSCN2488"/>
    <s v="CC0325_1"/>
    <n v="1"/>
    <n v="1"/>
    <s v="CCAMP"/>
    <d v="2019-03-25T00:00:00"/>
    <x v="1"/>
    <m/>
    <d v="1899-12-30T00:13:00"/>
    <s v="Overcast"/>
    <s v="GB/BS"/>
    <s v="Foraging"/>
    <s v="NA"/>
    <s v="unknown"/>
    <n v="0"/>
    <n v="0"/>
    <x v="0"/>
    <x v="0"/>
    <s v="NA"/>
    <s v="NA"/>
    <m/>
    <m/>
    <m/>
    <s v="NA"/>
    <s v="NA"/>
    <s v="NA"/>
    <s v="NA"/>
    <s v="NA"/>
    <m/>
    <m/>
    <m/>
    <n v="0"/>
    <n v="0"/>
    <n v="0"/>
    <n v="0"/>
    <n v="3"/>
    <n v="3"/>
    <s v="Searching"/>
    <m/>
    <m/>
    <m/>
  </r>
  <r>
    <s v="DSCN3132"/>
    <s v="M2370415_4"/>
    <n v="4"/>
    <n v="1"/>
    <s v="Mile 237"/>
    <d v="2019-04-15T00:00:00"/>
    <x v="0"/>
    <m/>
    <d v="1899-12-30T01:00:00"/>
    <s v="Partly cloudy"/>
    <s v="YP/RS"/>
    <s v="Foraging"/>
    <s v="NA"/>
    <s v="unknown"/>
    <n v="0"/>
    <n v="0"/>
    <x v="0"/>
    <x v="0"/>
    <s v="NA"/>
    <s v="NA"/>
    <m/>
    <m/>
    <m/>
    <s v="NA"/>
    <s v="NA"/>
    <s v="NA"/>
    <s v="NA"/>
    <s v="NA"/>
    <s v="NA"/>
    <s v="NA"/>
    <m/>
    <n v="0"/>
    <n v="0"/>
    <n v="0"/>
    <n v="0"/>
    <n v="3"/>
    <n v="3"/>
    <s v="Searching"/>
    <m/>
    <m/>
    <m/>
  </r>
  <r>
    <s v="DSCN3549"/>
    <s v="CC0425_20"/>
    <n v="20"/>
    <n v="1"/>
    <s v="CCAMP"/>
    <d v="2019-04-25T00:00:00"/>
    <x v="0"/>
    <s v="Spring"/>
    <d v="1899-12-30T00:14:00"/>
    <s v="Partly cloudy"/>
    <s v="GL/RS"/>
    <s v="Foraging"/>
    <s v="NA"/>
    <s v="unknown"/>
    <n v="0"/>
    <n v="0"/>
    <x v="0"/>
    <x v="0"/>
    <s v="NA"/>
    <s v="NA"/>
    <m/>
    <m/>
    <m/>
    <s v="NA"/>
    <s v="NA"/>
    <s v="NA"/>
    <s v="NA"/>
    <s v="NA"/>
    <s v="NA"/>
    <s v="NA"/>
    <s v="NA"/>
    <n v="0"/>
    <n v="0"/>
    <n v="0"/>
    <n v="0"/>
    <n v="3"/>
    <n v="3"/>
    <s v="Searching"/>
    <m/>
    <m/>
    <m/>
  </r>
  <r>
    <s v="DSCN2600"/>
    <s v="M4R0327_5"/>
    <n v="5"/>
    <n v="1"/>
    <s v="M4Roadside"/>
    <d v="2019-03-27T00:00:00"/>
    <x v="1"/>
    <m/>
    <d v="1899-12-30T01:38:00"/>
    <s v="Overcast"/>
    <s v="YO/BS"/>
    <s v="Foraging"/>
    <s v="NA"/>
    <n v="1"/>
    <n v="0"/>
    <n v="0"/>
    <x v="3"/>
    <x v="8"/>
    <s v="Ground"/>
    <s v="NA"/>
    <m/>
    <m/>
    <m/>
    <s v="NA"/>
    <s v="NA"/>
    <s v="NA"/>
    <s v="NA"/>
    <s v="NA"/>
    <s v="NA"/>
    <s v="NA"/>
    <m/>
    <n v="0"/>
    <n v="0"/>
    <n v="0"/>
    <n v="0"/>
    <n v="2"/>
    <n v="2"/>
    <s v="Searching"/>
    <m/>
    <m/>
    <m/>
  </r>
  <r>
    <s v="DSCN3293"/>
    <s v="MC0418_4"/>
    <n v="4"/>
    <n v="1"/>
    <s v="Mercantile"/>
    <d v="2019-04-18T00:00:00"/>
    <x v="0"/>
    <m/>
    <d v="1899-12-30T00:33:00"/>
    <s v="Overcast"/>
    <s v="WO/OS"/>
    <s v="Foraging"/>
    <s v="Stick"/>
    <n v="1"/>
    <s v="unknown"/>
    <n v="0"/>
    <x v="2"/>
    <x v="2"/>
    <s v="Mangled stick on ground"/>
    <s v="NA"/>
    <m/>
    <m/>
    <m/>
    <s v="NA"/>
    <s v="NA"/>
    <s v="NA"/>
    <s v="NA"/>
    <s v="NA"/>
    <s v="NA"/>
    <s v="NA"/>
    <s v="NA"/>
    <n v="0"/>
    <n v="0"/>
    <n v="0"/>
    <n v="0"/>
    <n v="2"/>
    <n v="2"/>
    <m/>
    <s v="Missed initial foraging at stick"/>
    <m/>
    <m/>
  </r>
  <r>
    <s v="DSCN3445"/>
    <s v="SQ0422_4"/>
    <n v="4"/>
    <n v="2"/>
    <s v="Sasquatch"/>
    <d v="2019-04-22T00:00:00"/>
    <x v="0"/>
    <m/>
    <d v="1899-12-30T00:28:00"/>
    <s v="Partly cloudy"/>
    <s v="G/BS"/>
    <s v="Foraging"/>
    <s v="NA"/>
    <n v="1"/>
    <n v="0"/>
    <n v="0"/>
    <x v="1"/>
    <x v="4"/>
    <s v="Ground"/>
    <s v="NA"/>
    <m/>
    <m/>
    <m/>
    <s v="NA"/>
    <s v="NA"/>
    <s v="NA"/>
    <s v="NA"/>
    <s v="NA"/>
    <s v="NA"/>
    <s v="NA"/>
    <s v="NA"/>
    <n v="0"/>
    <n v="0"/>
    <n v="0"/>
    <n v="0"/>
    <n v="2"/>
    <n v="2"/>
    <s v="Searching"/>
    <m/>
    <m/>
    <m/>
  </r>
  <r>
    <s v="DSCN3725"/>
    <s v="CC0430_15"/>
    <n v="15"/>
    <n v="1"/>
    <s v="CCAMP"/>
    <d v="2019-04-30T00:00:00"/>
    <x v="0"/>
    <s v="Spring"/>
    <d v="1899-12-30T00:12:00"/>
    <s v="Clear, full sun"/>
    <s v="GL/RS"/>
    <s v="Foraging"/>
    <s v="NA"/>
    <s v="unknown"/>
    <n v="0"/>
    <n v="0"/>
    <x v="0"/>
    <x v="0"/>
    <s v="NA"/>
    <s v="NA"/>
    <m/>
    <m/>
    <m/>
    <s v="NA"/>
    <s v="NA"/>
    <s v="NA"/>
    <s v="NA"/>
    <s v="NA"/>
    <s v="NA"/>
    <s v="NA"/>
    <s v="NA"/>
    <n v="0"/>
    <n v="0"/>
    <n v="0"/>
    <n v="0"/>
    <n v="2"/>
    <n v="2"/>
    <s v="Searching"/>
    <m/>
    <m/>
    <m/>
  </r>
  <r>
    <s v="DSCN2418"/>
    <s v="TAI0320_24"/>
    <n v="24"/>
    <n v="1"/>
    <s v="Taiga"/>
    <d v="2019-03-20T00:00:00"/>
    <x v="1"/>
    <m/>
    <d v="1899-12-30T00:56:00"/>
    <s v="Partly cloudy"/>
    <s v="OO/BS"/>
    <s v="Food handling"/>
    <s v="NA"/>
    <n v="1"/>
    <n v="0"/>
    <n v="0"/>
    <x v="2"/>
    <x v="2"/>
    <s v="Ground"/>
    <s v="NA"/>
    <m/>
    <m/>
    <m/>
    <s v="NA"/>
    <s v="NA"/>
    <s v="NA"/>
    <s v="NA"/>
    <s v="NA"/>
    <m/>
    <m/>
    <m/>
    <n v="0"/>
    <n v="0"/>
    <n v="0"/>
    <n v="0"/>
    <n v="0"/>
    <n v="0"/>
    <s v="NA"/>
    <s v="Missed acquisition"/>
    <m/>
    <m/>
  </r>
  <r>
    <s v="DSCN2428"/>
    <s v="TAI0320_28"/>
    <n v="28"/>
    <n v="1"/>
    <s v="Taiga"/>
    <d v="2019-03-20T00:00:00"/>
    <x v="1"/>
    <m/>
    <d v="1899-12-30T00:11:00"/>
    <s v="Partly cloudy"/>
    <s v="OO/BS"/>
    <s v="Food handling"/>
    <s v="Aspen"/>
    <n v="1"/>
    <n v="1"/>
    <n v="0"/>
    <x v="2"/>
    <x v="2"/>
    <s v="Under bark of aspen trunk"/>
    <s v="NA"/>
    <m/>
    <m/>
    <m/>
    <s v="NA"/>
    <s v="NA"/>
    <s v="NA"/>
    <s v="NA"/>
    <s v="NA"/>
    <m/>
    <m/>
    <m/>
    <n v="0"/>
    <n v="0"/>
    <n v="0"/>
    <n v="0"/>
    <n v="0"/>
    <n v="0"/>
    <m/>
    <s v="Missed search. lOOKS ROUND LIKE A BERRY"/>
    <m/>
    <m/>
  </r>
  <r>
    <s v="DSCN2374"/>
    <s v="HS0320_1"/>
    <n v="1"/>
    <n v="1"/>
    <s v="Horse Shoe"/>
    <d v="2019-03-20T00:00:00"/>
    <x v="1"/>
    <m/>
    <d v="1899-12-30T00:21:00"/>
    <s v="Mostly overcast"/>
    <s v="YO/OS"/>
    <s v="Foraging"/>
    <s v="Spruce"/>
    <n v="1"/>
    <s v="unknown"/>
    <n v="0"/>
    <x v="2"/>
    <x v="2"/>
    <s v="Interior spruce foliage"/>
    <s v="NA"/>
    <m/>
    <m/>
    <m/>
    <s v="NA"/>
    <m/>
    <m/>
    <m/>
    <m/>
    <m/>
    <m/>
    <m/>
    <n v="0"/>
    <n v="0"/>
    <n v="0"/>
    <n v="0"/>
    <n v="0"/>
    <n v="0"/>
    <s v="NA"/>
    <s v="Didn't catch foraging only extraction"/>
    <n v="0"/>
    <n v="0"/>
  </r>
  <r>
    <s v="DSCN2398"/>
    <s v="TAI0320_14"/>
    <n v="14"/>
    <n v="1"/>
    <s v="Taiga"/>
    <d v="2019-03-20T00:00:00"/>
    <x v="1"/>
    <m/>
    <d v="1899-12-30T00:06:00"/>
    <s v="Partly cloudy"/>
    <s v="WR/OS"/>
    <s v="Caching"/>
    <s v="Spruce"/>
    <n v="1"/>
    <n v="0"/>
    <n v="1"/>
    <x v="1"/>
    <x v="33"/>
    <s v="Ground"/>
    <s v="Exterior spruce branch under witch hair"/>
    <s v="Spruce"/>
    <s v="Exterior"/>
    <s v="Under witchhair"/>
    <s v="East"/>
    <n v="82"/>
    <s v="Unknown"/>
    <n v="63.739370000000001"/>
    <n v="148.91734"/>
    <m/>
    <m/>
    <m/>
    <n v="0"/>
    <n v="0"/>
    <n v="0"/>
    <n v="0"/>
    <n v="0"/>
    <n v="0"/>
    <s v="NA"/>
    <s v="Didn't catch foraging on camera.  Placed camera trap on cache.  "/>
    <m/>
    <m/>
  </r>
  <r>
    <s v="DSCN2391"/>
    <s v="TAI0320_8"/>
    <n v="8"/>
    <n v="1"/>
    <s v="Taiga"/>
    <d v="2019-03-20T00:00:00"/>
    <x v="1"/>
    <m/>
    <d v="1899-12-30T00:22:00"/>
    <s v="Partly cloudy"/>
    <s v="OO/BS"/>
    <s v="Foraging"/>
    <s v="Spruce"/>
    <n v="0"/>
    <n v="0"/>
    <n v="0"/>
    <x v="0"/>
    <x v="0"/>
    <s v="NA"/>
    <s v="NA"/>
    <m/>
    <m/>
    <m/>
    <s v="NA"/>
    <s v="NA"/>
    <s v="NA"/>
    <s v="NA"/>
    <s v="NA"/>
    <m/>
    <m/>
    <m/>
    <n v="0"/>
    <n v="0"/>
    <n v="0"/>
    <n v="0"/>
    <n v="0"/>
    <n v="0"/>
    <s v="Searching"/>
    <s v="Perched in tree but appears to be looking at ground.  Not sure how to label. "/>
    <n v="0"/>
    <n v="0"/>
  </r>
  <r>
    <s v="DSCN2420"/>
    <s v="TAI0320_25"/>
    <n v="25"/>
    <n v="1"/>
    <s v="Taiga"/>
    <d v="2019-03-20T00:00:00"/>
    <x v="1"/>
    <m/>
    <d v="1899-12-30T00:17:00"/>
    <s v="Partly cloudy"/>
    <s v="WR/OS"/>
    <s v="Food handling"/>
    <s v="NA"/>
    <n v="1"/>
    <n v="0"/>
    <n v="0"/>
    <x v="1"/>
    <x v="33"/>
    <s v="Ground"/>
    <s v="NA"/>
    <m/>
    <m/>
    <m/>
    <s v="NA"/>
    <s v="NA"/>
    <s v="NA"/>
    <s v="NA"/>
    <s v="NA"/>
    <m/>
    <m/>
    <m/>
    <n v="0"/>
    <n v="0"/>
    <n v="0"/>
    <n v="0"/>
    <n v="0"/>
    <n v="0"/>
    <s v="NA"/>
    <s v="Missed acquisition"/>
    <m/>
    <m/>
  </r>
  <r>
    <s v="DSCN2467"/>
    <s v="HS0322_1"/>
    <n v="1"/>
    <n v="1"/>
    <s v="Horse Shoe"/>
    <d v="2019-03-22T00:00:00"/>
    <x v="1"/>
    <m/>
    <d v="1899-12-30T00:23:00"/>
    <s v="Partly cloudy"/>
    <s v="YL/OS"/>
    <s v="Foraging"/>
    <s v="Spruce"/>
    <n v="1"/>
    <n v="0"/>
    <n v="1"/>
    <x v="1"/>
    <x v="34"/>
    <s v="Ground"/>
    <s v="Under bark of turned over spruce roots"/>
    <s v="Spruce"/>
    <s v="Exterior"/>
    <s v="Under bark"/>
    <s v="NE"/>
    <m/>
    <n v="1"/>
    <n v="63.738889999999998"/>
    <n v="148.9128"/>
    <m/>
    <m/>
    <m/>
    <n v="0"/>
    <n v="0"/>
    <n v="0"/>
    <n v="0"/>
    <n v="0"/>
    <n v="0"/>
    <m/>
    <s v="Missed acquisition"/>
    <m/>
    <m/>
  </r>
  <r>
    <s v="DSCN2512"/>
    <s v="M4R0325_6"/>
    <n v="6"/>
    <n v="1"/>
    <s v="M4Roadside"/>
    <d v="2019-03-25T00:00:00"/>
    <x v="1"/>
    <m/>
    <d v="1899-12-30T00:31:00"/>
    <s v="Overcast"/>
    <s v="OB/YS"/>
    <s v="Caching"/>
    <s v="Spruce"/>
    <n v="0"/>
    <n v="0"/>
    <n v="1"/>
    <x v="3"/>
    <x v="8"/>
    <s v="Ground"/>
    <s v="Exterior spruce branch under witch hair"/>
    <s v="Spruce"/>
    <s v="Exterior"/>
    <s v="Under witchhair"/>
    <m/>
    <m/>
    <n v="10"/>
    <n v="63.72101"/>
    <n v="148.98340999999999"/>
    <m/>
    <m/>
    <m/>
    <n v="0"/>
    <n v="0"/>
    <n v="0"/>
    <n v="0"/>
    <n v="0"/>
    <n v="0"/>
    <m/>
    <s v="Acquisition on previous clip"/>
    <m/>
    <m/>
  </r>
  <r>
    <s v="DSCN2541"/>
    <s v="M2370326_3"/>
    <n v="3"/>
    <n v="1"/>
    <s v="Mile 237"/>
    <d v="2019-03-26T00:00:00"/>
    <x v="1"/>
    <m/>
    <d v="1899-12-30T01:11:00"/>
    <s v="Mostly sunny"/>
    <s v="YP/RS"/>
    <s v="Caching/foraging"/>
    <s v="Spruce"/>
    <n v="0"/>
    <n v="0"/>
    <n v="1"/>
    <x v="2"/>
    <x v="2"/>
    <s v="uknown"/>
    <s v="Exterior spruce branch under witch hair"/>
    <s v="Spruce"/>
    <s v="Exterior"/>
    <s v="Under witchhair"/>
    <s v="N"/>
    <n v="0"/>
    <s v="Unknown"/>
    <n v="63.723170000000003"/>
    <n v="148.89055999999999"/>
    <m/>
    <m/>
    <m/>
    <n v="0"/>
    <n v="0"/>
    <n v="0"/>
    <n v="0"/>
    <n v="0"/>
    <n v="0"/>
    <m/>
    <m/>
    <m/>
    <m/>
  </r>
  <r>
    <s v="DSCN2572"/>
    <s v="AQ0326_1"/>
    <n v="1"/>
    <n v="1"/>
    <s v="Air Quality"/>
    <d v="2019-03-26T00:00:00"/>
    <x v="1"/>
    <m/>
    <d v="1899-12-30T00:07:00"/>
    <s v="Mostly overcast"/>
    <s v="PG/PS"/>
    <s v="Food handling"/>
    <s v="NA"/>
    <n v="1"/>
    <n v="0"/>
    <n v="0"/>
    <x v="2"/>
    <x v="2"/>
    <s v="Ground"/>
    <s v="NA"/>
    <m/>
    <m/>
    <m/>
    <s v="NA"/>
    <s v="NA"/>
    <s v="NA"/>
    <s v="NA"/>
    <s v="NA"/>
    <m/>
    <m/>
    <m/>
    <n v="0"/>
    <n v="0"/>
    <n v="0"/>
    <n v="0"/>
    <n v="0"/>
    <n v="0"/>
    <m/>
    <s v="Missed acquisition"/>
    <m/>
    <m/>
  </r>
  <r>
    <s v="DSCN2561"/>
    <s v="WW0326_1"/>
    <n v="1"/>
    <n v="1"/>
    <s v="WAC West"/>
    <d v="2019-03-26T00:00:00"/>
    <x v="1"/>
    <m/>
    <d v="1899-12-30T00:30:00"/>
    <s v="Partly Sunny"/>
    <s v="BP/PS"/>
    <s v="Foraging"/>
    <s v="Spruce"/>
    <n v="1"/>
    <n v="1"/>
    <n v="0"/>
    <x v="3"/>
    <x v="9"/>
    <s v="Exterior spruce bare branch under bark"/>
    <s v="NA"/>
    <m/>
    <m/>
    <m/>
    <s v="NA"/>
    <s v="NA"/>
    <s v="NA"/>
    <s v="NA"/>
    <s v="NA"/>
    <m/>
    <m/>
    <m/>
    <n v="0"/>
    <n v="0"/>
    <n v="0"/>
    <n v="0"/>
    <n v="0"/>
    <n v="0"/>
    <s v="NA"/>
    <s v="Flew straight to cache from other branch"/>
    <m/>
    <m/>
  </r>
  <r>
    <s v="DSCN2540"/>
    <s v="M2370326_2"/>
    <n v="2"/>
    <n v="1"/>
    <s v="Mile 237"/>
    <d v="2019-03-26T00:00:00"/>
    <x v="1"/>
    <m/>
    <d v="1899-12-30T00:35:00"/>
    <s v="Mostly sunny"/>
    <s v="YP/RS"/>
    <s v="Caching/foraging"/>
    <s v="Aspen"/>
    <n v="0"/>
    <n v="0"/>
    <n v="2"/>
    <x v="2"/>
    <x v="2"/>
    <s v="unknown"/>
    <s v="Exterior aspen branch under bark"/>
    <s v="Aspen"/>
    <s v="Exterior"/>
    <s v="Under bark"/>
    <s v="unknown"/>
    <s v="unknown"/>
    <s v="Unknown"/>
    <s v="unknown"/>
    <s v="unknown"/>
    <m/>
    <m/>
    <m/>
    <n v="0"/>
    <n v="0"/>
    <n v="0"/>
    <n v="0"/>
    <n v="0"/>
    <n v="0"/>
    <m/>
    <s v="Did not recognize as cache while in field"/>
    <m/>
    <m/>
  </r>
  <r>
    <s v="DSCN2589"/>
    <s v="BU0327_7"/>
    <n v="7"/>
    <n v="1"/>
    <s v="B&amp;U"/>
    <d v="2019-03-27T00:00:00"/>
    <x v="1"/>
    <m/>
    <d v="1899-12-30T00:18:00"/>
    <s v="Overcast"/>
    <s v="GR/PS"/>
    <s v="Food handling"/>
    <s v="NA"/>
    <n v="1"/>
    <n v="0"/>
    <n v="0"/>
    <x v="2"/>
    <x v="2"/>
    <s v="Ground"/>
    <s v="NA"/>
    <m/>
    <m/>
    <m/>
    <s v="NA"/>
    <s v="NA"/>
    <s v="NA"/>
    <s v="NA"/>
    <s v="NA"/>
    <s v="NA"/>
    <s v="NA"/>
    <m/>
    <n v="0"/>
    <n v="0"/>
    <n v="0"/>
    <n v="0"/>
    <n v="0"/>
    <n v="0"/>
    <s v="Searching"/>
    <s v="Missed acquisition"/>
    <m/>
    <m/>
  </r>
  <r>
    <s v="DSCN2580"/>
    <s v="BU0327_1"/>
    <n v="1"/>
    <n v="1"/>
    <s v="B&amp;U"/>
    <d v="2019-03-27T00:00:00"/>
    <x v="1"/>
    <m/>
    <d v="1899-12-30T02:44:00"/>
    <s v="Overcast"/>
    <s v="GR/PS"/>
    <s v="Food handling"/>
    <s v="Spruce"/>
    <n v="1"/>
    <n v="1"/>
    <n v="0"/>
    <x v="4"/>
    <x v="11"/>
    <s v="Top of spruce foliage"/>
    <s v="NA"/>
    <m/>
    <m/>
    <m/>
    <s v="NA"/>
    <s v="NA"/>
    <s v="NA"/>
    <s v="NA"/>
    <s v="NA"/>
    <n v="63.725360000000002"/>
    <n v="148.95681999999999"/>
    <m/>
    <n v="0"/>
    <n v="0"/>
    <n v="0"/>
    <n v="0"/>
    <n v="0"/>
    <n v="0"/>
    <m/>
    <s v="Missed acquisition on film but saw in person. "/>
    <m/>
    <m/>
  </r>
  <r>
    <s v="DSCN2582"/>
    <s v="BU0327_3"/>
    <n v="3"/>
    <n v="1"/>
    <s v="B&amp;U"/>
    <d v="2019-03-27T00:00:00"/>
    <x v="1"/>
    <m/>
    <d v="1899-12-30T00:40:00"/>
    <s v="Overcast"/>
    <s v="GR/PS"/>
    <s v="Food handling"/>
    <s v="Spruce"/>
    <n v="1"/>
    <n v="1"/>
    <n v="0"/>
    <x v="4"/>
    <x v="11"/>
    <s v="Top of spruce foliage"/>
    <s v="NA"/>
    <m/>
    <m/>
    <m/>
    <s v="NA"/>
    <s v="NA"/>
    <s v="NA"/>
    <s v="NA"/>
    <s v="NA"/>
    <n v="63.725009999999997"/>
    <n v="148.95760999999999"/>
    <m/>
    <n v="0"/>
    <n v="0"/>
    <n v="0"/>
    <n v="0"/>
    <n v="0"/>
    <n v="0"/>
    <s v="Searching"/>
    <m/>
    <m/>
    <m/>
  </r>
  <r>
    <s v="DSCN2593"/>
    <s v="M4R0327_1"/>
    <n v="1"/>
    <n v="1"/>
    <s v="M4Roadside"/>
    <d v="2019-03-27T00:00:00"/>
    <x v="1"/>
    <m/>
    <d v="1899-12-30T00:42:00"/>
    <s v="Overcast"/>
    <s v="YO/BS"/>
    <s v="Food handling"/>
    <s v="Spruce"/>
    <n v="0"/>
    <n v="0"/>
    <n v="0"/>
    <x v="0"/>
    <x v="35"/>
    <s v="Interior sprice foliage in crown"/>
    <s v="NA"/>
    <m/>
    <m/>
    <m/>
    <s v="NA"/>
    <s v="NA"/>
    <s v="NA"/>
    <s v="NA"/>
    <s v="NA"/>
    <s v="NA"/>
    <s v="NA"/>
    <m/>
    <n v="0"/>
    <n v="0"/>
    <n v="0"/>
    <n v="0"/>
    <n v="0"/>
    <n v="0"/>
    <m/>
    <s v="Missed acquisition.  The bird appears to be eating it but in slow motion it becomes evident that it is just flinging stuff away.  Because it's actually not food but bird shit. "/>
    <m/>
    <m/>
  </r>
  <r>
    <s v="DSCN2625"/>
    <s v="UK0328_2"/>
    <n v="2"/>
    <n v="1"/>
    <s v="Unknown"/>
    <d v="2019-03-28T00:00:00"/>
    <x v="1"/>
    <m/>
    <d v="1899-12-30T00:20:00"/>
    <m/>
    <s v="OW/BS"/>
    <s v="Food handling"/>
    <s v="Spruce"/>
    <n v="1"/>
    <s v="unknown"/>
    <n v="0"/>
    <x v="2"/>
    <x v="2"/>
    <s v="Exterior spruce foliage"/>
    <s v="NA"/>
    <m/>
    <m/>
    <m/>
    <s v="NA"/>
    <s v="NA"/>
    <s v="NA"/>
    <s v="NA"/>
    <s v="NA"/>
    <s v="NA"/>
    <s v="NA"/>
    <m/>
    <n v="0"/>
    <n v="0"/>
    <n v="0"/>
    <n v="0"/>
    <n v="0"/>
    <n v="0"/>
    <s v="Searching"/>
    <s v="Video starts just as bird extracts food."/>
    <n v="0"/>
    <n v="0"/>
  </r>
  <r>
    <s v="DSCN2668"/>
    <s v="M2370330_1"/>
    <n v="1"/>
    <n v="1"/>
    <s v="Mile 237"/>
    <d v="2019-03-30T00:00:00"/>
    <x v="1"/>
    <m/>
    <d v="1899-12-30T00:20:00"/>
    <s v="Clear"/>
    <s v="YP/RS"/>
    <s v="Food handling"/>
    <s v="Aspen"/>
    <n v="1"/>
    <s v="unknown"/>
    <n v="0"/>
    <x v="2"/>
    <x v="2"/>
    <s v="Aspen bare branch near joint. "/>
    <s v="NA"/>
    <m/>
    <m/>
    <m/>
    <s v="NA"/>
    <s v="NA"/>
    <s v="NA"/>
    <s v="NA"/>
    <s v="NA"/>
    <s v="NA"/>
    <s v="NA"/>
    <m/>
    <n v="0"/>
    <n v="0"/>
    <n v="0"/>
    <n v="0"/>
    <n v="0"/>
    <n v="0"/>
    <s v="Searching"/>
    <s v="Didn't get foraging on tape, just acquisition"/>
    <m/>
    <m/>
  </r>
  <r>
    <s v="DSCN2678"/>
    <s v="M2370330_8"/>
    <n v="8"/>
    <n v="1"/>
    <s v="Mile 237"/>
    <d v="2019-03-30T00:00:00"/>
    <x v="1"/>
    <m/>
    <d v="1899-12-30T00:35:00"/>
    <m/>
    <s v="YP/RS"/>
    <s v="Food handling"/>
    <s v="Aspen"/>
    <n v="1"/>
    <s v="unknown"/>
    <n v="0"/>
    <x v="2"/>
    <x v="36"/>
    <s v="Aspen branch in knotted wood"/>
    <s v="NA"/>
    <m/>
    <m/>
    <m/>
    <s v="NA"/>
    <s v="NA"/>
    <s v="NA"/>
    <s v="NA"/>
    <s v="NA"/>
    <n v="63.722999999999999"/>
    <n v="148.88878"/>
    <m/>
    <n v="0"/>
    <n v="0"/>
    <n v="0"/>
    <n v="0"/>
    <n v="0"/>
    <n v="0"/>
    <m/>
    <s v="Video starts after bird already pulled firs tfood bit out.  Not sure if cache or not so took point"/>
    <m/>
    <m/>
  </r>
  <r>
    <s v="DSCN2677"/>
    <s v="M2370330_7"/>
    <n v="7"/>
    <n v="1"/>
    <s v="Mile 237"/>
    <d v="2019-03-30T00:00:00"/>
    <x v="1"/>
    <m/>
    <d v="1899-12-30T00:06:00"/>
    <m/>
    <s v="YP/RS"/>
    <s v="Food handling"/>
    <s v="Aspen"/>
    <n v="1"/>
    <n v="0"/>
    <n v="0"/>
    <x v="2"/>
    <x v="2"/>
    <s v="unknown"/>
    <s v="NA"/>
    <m/>
    <m/>
    <m/>
    <s v="NA"/>
    <s v="NA"/>
    <s v="NA"/>
    <s v="NA"/>
    <s v="NA"/>
    <s v="NA"/>
    <s v="NA"/>
    <m/>
    <n v="0"/>
    <n v="0"/>
    <n v="0"/>
    <n v="0"/>
    <n v="0"/>
    <n v="0"/>
    <m/>
    <s v="Bird arrived with food, not sure where it came from."/>
    <m/>
    <m/>
  </r>
  <r>
    <s v="DSCN2716"/>
    <s v="WW0330_13"/>
    <n v="13"/>
    <n v="1"/>
    <s v="WAC West"/>
    <d v="2019-03-30T00:00:00"/>
    <x v="1"/>
    <m/>
    <d v="1899-12-30T01:17:00"/>
    <m/>
    <s v="BP/PS"/>
    <s v="Food handling/caching"/>
    <s v="NA"/>
    <n v="0"/>
    <n v="0"/>
    <n v="1"/>
    <x v="1"/>
    <x v="21"/>
    <s v="NA"/>
    <s v="Exterior spruce branch under witch hair"/>
    <s v="Spruce"/>
    <s v="Exterior"/>
    <s v="Under witchhair"/>
    <s v="W"/>
    <n v="280"/>
    <n v="19"/>
    <n v="63.740380000000002"/>
    <n v="148.90360999999999"/>
    <s v="NA"/>
    <s v="NA"/>
    <m/>
    <n v="0"/>
    <n v="0"/>
    <n v="0"/>
    <n v="0"/>
    <n v="0"/>
    <n v="0"/>
    <m/>
    <s v="Caching caterpillar from previous videos"/>
    <m/>
    <m/>
  </r>
  <r>
    <s v="DSCN2720"/>
    <s v="WW0330_17"/>
    <n v="17"/>
    <n v="1"/>
    <s v="WAC West"/>
    <d v="2019-03-30T00:00:00"/>
    <x v="1"/>
    <m/>
    <d v="1899-12-30T00:09:00"/>
    <m/>
    <s v="BP/PS"/>
    <s v="Caching"/>
    <s v="NA"/>
    <n v="0"/>
    <n v="0"/>
    <n v="1"/>
    <x v="1"/>
    <x v="1"/>
    <s v="Ground"/>
    <s v="Exterior spruce branch under witch hair"/>
    <m/>
    <m/>
    <m/>
    <n v="315"/>
    <s v="NW"/>
    <n v="20"/>
    <n v="63.740479999999998"/>
    <n v="148.90235999999999"/>
    <s v="NA"/>
    <s v="NA"/>
    <m/>
    <n v="0"/>
    <n v="0"/>
    <n v="0"/>
    <n v="0"/>
    <n v="0"/>
    <n v="0"/>
    <m/>
    <s v="Cached caterpillar from previous row"/>
    <m/>
    <m/>
  </r>
  <r>
    <s v="DSCN2709"/>
    <s v="WW0330_7"/>
    <n v="7"/>
    <n v="2"/>
    <s v="WAC West"/>
    <d v="2019-03-30T00:00:00"/>
    <x v="1"/>
    <m/>
    <d v="1899-12-30T02:43:00"/>
    <m/>
    <s v="BP/PS"/>
    <s v="Foraging/caching"/>
    <s v="NA"/>
    <n v="1"/>
    <n v="0"/>
    <n v="1"/>
    <x v="1"/>
    <x v="37"/>
    <s v="Ground"/>
    <s v="Exterior spruce branch under witch hair"/>
    <s v="Spruce"/>
    <s v="Exterior"/>
    <s v="Under witchhair"/>
    <s v="NE"/>
    <n v="40"/>
    <s v="Unknown"/>
    <n v="63.739150000000002"/>
    <n v="148.90440000000001"/>
    <s v="NA"/>
    <s v="NA"/>
    <m/>
    <n v="0"/>
    <n v="0"/>
    <n v="0"/>
    <n v="0"/>
    <n v="0"/>
    <n v="0"/>
    <s v="Searching"/>
    <s v="Did not cound any foraging time for this one because we don't know exactly when it grabbed it.  All foraging time counted in previous row. Put camera trap on cache tree."/>
    <m/>
    <m/>
  </r>
  <r>
    <s v="DSCN2715"/>
    <s v="WW0330_12"/>
    <n v="12"/>
    <n v="1"/>
    <s v="WAC West"/>
    <d v="2019-03-30T00:00:00"/>
    <x v="1"/>
    <m/>
    <d v="1899-12-30T00:18:00"/>
    <m/>
    <s v="BP/PS"/>
    <s v="Food handling"/>
    <s v="NA"/>
    <n v="0"/>
    <n v="0"/>
    <n v="0"/>
    <x v="1"/>
    <x v="7"/>
    <s v="NA"/>
    <s v="NA"/>
    <m/>
    <m/>
    <m/>
    <s v="NA"/>
    <s v="NA"/>
    <s v="NA"/>
    <s v="NA"/>
    <s v="NA"/>
    <s v="NA"/>
    <s v="NA"/>
    <m/>
    <n v="0"/>
    <n v="0"/>
    <n v="0"/>
    <n v="0"/>
    <n v="0"/>
    <n v="0"/>
    <m/>
    <s v="Processing kill"/>
    <m/>
    <m/>
  </r>
  <r>
    <s v="DSCN2755"/>
    <s v="BU0401_14"/>
    <n v="14"/>
    <n v="1"/>
    <s v="BU"/>
    <d v="2019-04-01T00:00:00"/>
    <x v="0"/>
    <m/>
    <d v="1899-12-30T02:12:00"/>
    <m/>
    <s v="GR/PS"/>
    <s v="Foraging/caching"/>
    <s v="Spruce"/>
    <n v="1"/>
    <n v="0"/>
    <n v="1"/>
    <x v="2"/>
    <x v="2"/>
    <s v="Ground"/>
    <s v="Exterior spruce branch under witch hair"/>
    <s v="Spruce"/>
    <s v="Exterior"/>
    <s v="Under witchhair"/>
    <s v="W"/>
    <n v="280"/>
    <n v="5"/>
    <n v="63.724850000000004"/>
    <n v="148.95644999999999"/>
    <n v="0"/>
    <n v="0"/>
    <m/>
    <n v="0"/>
    <n v="0"/>
    <n v="0"/>
    <n v="0"/>
    <n v="0"/>
    <n v="0"/>
    <m/>
    <s v="Missed food acquisition but saw it come from ground with naked eye."/>
    <m/>
    <m/>
  </r>
  <r>
    <s v="DSCN2732"/>
    <s v="M4W0401_3"/>
    <n v="3"/>
    <n v="1"/>
    <s v="M4West"/>
    <d v="2019-04-01T00:00:00"/>
    <x v="0"/>
    <m/>
    <d v="1899-12-30T01:34:00"/>
    <m/>
    <s v="BR/RS"/>
    <s v="Caching"/>
    <s v="Spruce"/>
    <n v="1"/>
    <n v="0"/>
    <n v="1"/>
    <x v="2"/>
    <x v="2"/>
    <s v="uknown"/>
    <s v="Exterior spruce foliage"/>
    <s v="Spruce"/>
    <s v="Exterior"/>
    <s v="Foliage"/>
    <s v="NE"/>
    <n v="50"/>
    <s v="Unknown"/>
    <n v="63.725149999999999"/>
    <n v="148.98685"/>
    <s v="NA"/>
    <s v="NA"/>
    <m/>
    <n v="0"/>
    <n v="0"/>
    <n v="0"/>
    <n v="0"/>
    <n v="0"/>
    <n v="0"/>
    <m/>
    <m/>
    <m/>
    <m/>
  </r>
  <r>
    <s v="DSCN2725"/>
    <s v="M4R0401_1"/>
    <n v="1"/>
    <n v="1"/>
    <s v="M4Roadside"/>
    <d v="2019-04-01T00:00:00"/>
    <x v="0"/>
    <m/>
    <d v="1899-12-30T00:06:00"/>
    <s v="Clear"/>
    <s v="YO/BS"/>
    <s v="Food handling"/>
    <s v="Spruce"/>
    <n v="1"/>
    <s v="unknown"/>
    <n v="0"/>
    <x v="2"/>
    <x v="2"/>
    <s v="Exterior bare spruce branch"/>
    <s v="NA"/>
    <m/>
    <m/>
    <m/>
    <s v="NA"/>
    <s v="NA"/>
    <s v="NA"/>
    <s v="NA"/>
    <s v="NA"/>
    <s v="NA"/>
    <s v="NA"/>
    <m/>
    <n v="0"/>
    <n v="0"/>
    <n v="0"/>
    <n v="0"/>
    <n v="0"/>
    <n v="0"/>
    <m/>
    <s v="Missed initial acquisition"/>
    <m/>
    <m/>
  </r>
  <r>
    <s v="DSCN2760"/>
    <s v="BU0401_17"/>
    <n v="17"/>
    <n v="1"/>
    <s v="BU"/>
    <d v="2019-04-01T00:00:00"/>
    <x v="0"/>
    <m/>
    <d v="1899-12-30T00:08:00"/>
    <m/>
    <s v="GR/PS"/>
    <s v="Caching"/>
    <s v="Spruce"/>
    <n v="0"/>
    <n v="0"/>
    <n v="1"/>
    <x v="1"/>
    <x v="21"/>
    <s v="Ground"/>
    <s v="Exterior spruce foliage"/>
    <s v="Spruce"/>
    <s v="Exterior"/>
    <s v="Foliage"/>
    <s v="E"/>
    <n v="105"/>
    <n v="30"/>
    <n v="63.724870000000003"/>
    <n v="148.95508000000001"/>
    <n v="0"/>
    <n v="0"/>
    <m/>
    <n v="0"/>
    <n v="0"/>
    <n v="0"/>
    <n v="0"/>
    <n v="0"/>
    <n v="0"/>
    <m/>
    <s v="Confident cache based on behavior and that it just had food, but we did not get visual confirmation. "/>
    <m/>
    <m/>
  </r>
  <r>
    <s v="DSCN2746"/>
    <s v="BU0401_7"/>
    <n v="7"/>
    <n v="1"/>
    <s v="BU"/>
    <d v="2019-04-01T00:00:00"/>
    <x v="0"/>
    <m/>
    <d v="1899-12-30T00:07:00"/>
    <m/>
    <s v="GR/PS"/>
    <s v="Food handling"/>
    <s v="NA"/>
    <n v="1"/>
    <n v="0"/>
    <n v="0"/>
    <x v="1"/>
    <x v="7"/>
    <s v="Ground"/>
    <s v="NA"/>
    <m/>
    <m/>
    <m/>
    <s v="NA"/>
    <s v="NA"/>
    <s v="NA"/>
    <s v="NA"/>
    <s v="NA"/>
    <s v="NA"/>
    <s v="NA"/>
    <m/>
    <n v="0"/>
    <n v="0"/>
    <n v="0"/>
    <n v="0"/>
    <n v="0"/>
    <n v="0"/>
    <m/>
    <s v="Missed foraging, but Liz witnessed initial capture"/>
    <m/>
    <m/>
  </r>
  <r>
    <s v="DSCN2759"/>
    <s v="BU0401_16"/>
    <n v="16"/>
    <n v="1"/>
    <s v="BU"/>
    <d v="2019-04-01T00:00:00"/>
    <x v="0"/>
    <m/>
    <d v="1899-12-30T01:34:00"/>
    <m/>
    <s v="GR/PS"/>
    <s v="Food handling"/>
    <s v="NA"/>
    <n v="0"/>
    <n v="0"/>
    <n v="0"/>
    <x v="1"/>
    <x v="21"/>
    <s v="NA"/>
    <s v="NA"/>
    <m/>
    <m/>
    <m/>
    <s v="NA"/>
    <s v="NA"/>
    <s v="NA"/>
    <s v="NA"/>
    <s v="NA"/>
    <s v="NA"/>
    <s v="NA"/>
    <m/>
    <n v="0"/>
    <n v="0"/>
    <n v="0"/>
    <n v="0"/>
    <n v="0"/>
    <n v="0"/>
    <m/>
    <m/>
    <m/>
    <m/>
  </r>
  <r>
    <s v="DSCN2747"/>
    <s v="BU0401_8"/>
    <n v="8"/>
    <n v="1"/>
    <s v="BU"/>
    <d v="2019-04-01T00:00:00"/>
    <x v="0"/>
    <m/>
    <d v="1899-12-30T00:39:00"/>
    <m/>
    <s v="GR/PS"/>
    <s v="Food handling"/>
    <s v="NA"/>
    <n v="0"/>
    <n v="0"/>
    <n v="0"/>
    <x v="1"/>
    <x v="21"/>
    <s v="NA"/>
    <s v="NA"/>
    <m/>
    <m/>
    <m/>
    <s v="NA"/>
    <s v="NA"/>
    <s v="NA"/>
    <s v="NA"/>
    <s v="NA"/>
    <s v="NA"/>
    <s v="NA"/>
    <m/>
    <n v="0"/>
    <n v="0"/>
    <n v="0"/>
    <n v="0"/>
    <n v="0"/>
    <n v="0"/>
    <m/>
    <m/>
    <m/>
    <m/>
  </r>
  <r>
    <s v="DSCN2747"/>
    <s v="BU0401_9"/>
    <n v="9"/>
    <n v="1"/>
    <s v="BU"/>
    <d v="2019-04-01T00:00:00"/>
    <x v="0"/>
    <m/>
    <d v="1899-12-30T00:22:00"/>
    <m/>
    <s v="GR/PS"/>
    <s v="Food handling"/>
    <s v="NA"/>
    <n v="0"/>
    <n v="0"/>
    <n v="0"/>
    <x v="1"/>
    <x v="21"/>
    <s v="NA"/>
    <s v="NA"/>
    <m/>
    <m/>
    <m/>
    <s v="NA"/>
    <s v="NA"/>
    <s v="NA"/>
    <s v="NA"/>
    <s v="NA"/>
    <s v="NA"/>
    <s v="NA"/>
    <m/>
    <n v="0"/>
    <n v="0"/>
    <n v="0"/>
    <n v="0"/>
    <n v="0"/>
    <n v="0"/>
    <m/>
    <m/>
    <m/>
    <m/>
  </r>
  <r>
    <s v="DSCN2769"/>
    <s v="MC0401_4"/>
    <n v="4"/>
    <n v="1"/>
    <s v="M4West"/>
    <d v="2019-04-01T00:00:00"/>
    <x v="0"/>
    <m/>
    <d v="1899-12-30T00:06:00"/>
    <m/>
    <s v="WO/OS"/>
    <s v="Foraging"/>
    <s v="NA"/>
    <n v="0"/>
    <n v="0"/>
    <n v="0"/>
    <x v="0"/>
    <x v="0"/>
    <s v="NA"/>
    <s v="NA"/>
    <m/>
    <m/>
    <m/>
    <s v="NA"/>
    <s v="NA"/>
    <s v="NA"/>
    <s v="NA"/>
    <s v="NA"/>
    <s v="NA"/>
    <s v="NA"/>
    <m/>
    <n v="0"/>
    <n v="0"/>
    <n v="0"/>
    <n v="0"/>
    <n v="0"/>
    <n v="0"/>
    <s v="Searching"/>
    <m/>
    <m/>
    <m/>
  </r>
  <r>
    <s v="DSCN2809"/>
    <s v="CC0402_4"/>
    <n v="4"/>
    <n v="1"/>
    <s v="CCAMP"/>
    <d v="2019-04-02T00:00:00"/>
    <x v="0"/>
    <m/>
    <d v="1899-12-30T00:27:00"/>
    <m/>
    <s v="GB/BS"/>
    <s v="Caching"/>
    <s v="Spruce"/>
    <n v="1"/>
    <n v="0"/>
    <n v="1"/>
    <x v="2"/>
    <x v="2"/>
    <s v="Ground"/>
    <s v="Exterior spruce foliage"/>
    <s v="Spruce"/>
    <s v="Exterior"/>
    <s v="Foliage"/>
    <s v="SE"/>
    <n v="115"/>
    <n v="21"/>
    <n v="63.724209999999999"/>
    <n v="148.95044999999999"/>
    <s v="NA"/>
    <s v="NA"/>
    <m/>
    <n v="0"/>
    <n v="0"/>
    <n v="0"/>
    <n v="0"/>
    <n v="0"/>
    <n v="0"/>
    <m/>
    <s v="Missed acquisition (on camera but saw IRL)"/>
    <m/>
    <m/>
  </r>
  <r>
    <s v="DSCN2802"/>
    <s v="CC0402_1"/>
    <n v="1"/>
    <n v="1"/>
    <s v="CCAMP"/>
    <d v="2019-04-02T00:00:00"/>
    <x v="0"/>
    <m/>
    <d v="1899-12-30T00:42:00"/>
    <m/>
    <s v="GB/BS"/>
    <s v="Foraging"/>
    <s v="Spruce"/>
    <n v="1"/>
    <s v="unknown"/>
    <n v="0"/>
    <x v="2"/>
    <x v="2"/>
    <s v="Exterior bare spruce branch"/>
    <s v="NA"/>
    <m/>
    <m/>
    <m/>
    <s v="NA"/>
    <s v="NA"/>
    <s v="NA"/>
    <s v="NA"/>
    <s v="NA"/>
    <s v="NA"/>
    <s v="NA"/>
    <m/>
    <n v="0"/>
    <n v="0"/>
    <n v="0"/>
    <n v="0"/>
    <n v="0"/>
    <n v="0"/>
    <m/>
    <s v="Flew directly to tree from perch. Camera started filming after it extracted food. "/>
    <m/>
    <m/>
  </r>
  <r>
    <s v="DSCN2814"/>
    <s v="WW0402_2"/>
    <n v="2"/>
    <n v="1"/>
    <s v="WAC West"/>
    <d v="2019-04-02T00:00:00"/>
    <x v="0"/>
    <m/>
    <d v="1899-12-30T00:39:00"/>
    <m/>
    <s v="BP/PS"/>
    <s v="Food handling"/>
    <s v="NA"/>
    <n v="0"/>
    <n v="0"/>
    <n v="0"/>
    <x v="1"/>
    <x v="7"/>
    <s v="NA"/>
    <s v="NA"/>
    <m/>
    <m/>
    <m/>
    <s v="NA"/>
    <s v="NA"/>
    <s v="NA"/>
    <s v="NA"/>
    <s v="NA"/>
    <s v="NA"/>
    <s v="NA"/>
    <m/>
    <n v="0"/>
    <n v="0"/>
    <n v="0"/>
    <n v="0"/>
    <n v="0"/>
    <n v="0"/>
    <m/>
    <m/>
    <m/>
    <m/>
  </r>
  <r>
    <s v="DSCN2850"/>
    <s v="M2370403_16"/>
    <n v="16"/>
    <n v="1"/>
    <s v="Mile 237"/>
    <d v="2019-04-03T00:00:00"/>
    <x v="0"/>
    <m/>
    <d v="1899-12-30T00:16:00"/>
    <m/>
    <s v="YP/RS"/>
    <s v="Foraging"/>
    <s v="Spruce"/>
    <n v="1"/>
    <s v="unknown"/>
    <n v="0"/>
    <x v="2"/>
    <x v="2"/>
    <s v="Under bark of spruce trunk"/>
    <s v="NA"/>
    <m/>
    <m/>
    <m/>
    <s v="NA"/>
    <s v="NA"/>
    <s v="NA"/>
    <s v="NA"/>
    <s v="NA"/>
    <s v="NA"/>
    <s v="NA"/>
    <m/>
    <n v="0"/>
    <n v="0"/>
    <n v="0"/>
    <n v="0"/>
    <n v="0"/>
    <n v="0"/>
    <m/>
    <s v="Missed acquisition"/>
    <m/>
    <m/>
  </r>
  <r>
    <s v="DSCN2863"/>
    <s v="BU0403_3"/>
    <n v="3"/>
    <n v="1"/>
    <s v="B&amp;U"/>
    <d v="2019-04-03T00:00:00"/>
    <x v="0"/>
    <m/>
    <d v="1899-12-30T00:05:00"/>
    <m/>
    <s v="GR/PS"/>
    <s v="Caching"/>
    <s v="Spruce"/>
    <n v="0"/>
    <n v="0"/>
    <n v="1"/>
    <x v="1"/>
    <x v="38"/>
    <s v="Ground"/>
    <s v="Exterior spruce branch under witch hair"/>
    <s v="Spruce"/>
    <s v="Exterior"/>
    <s v="Under witchhair"/>
    <s v="S"/>
    <n v="220"/>
    <s v="Unknown"/>
    <n v="63.725769999999997"/>
    <n v="148.95903000000001"/>
    <s v="NA"/>
    <s v="NA"/>
    <m/>
    <n v="0"/>
    <n v="0"/>
    <n v="0"/>
    <n v="0"/>
    <n v="0"/>
    <n v="0"/>
    <m/>
    <s v="Deployed camera. Not sure when it collected the spider, so we didn't mark a distance.  It could have been at the end of the last video, or sometime earlier"/>
    <m/>
    <m/>
  </r>
  <r>
    <s v="DSCN2953"/>
    <s v="WW0405_5"/>
    <n v="5"/>
    <n v="3"/>
    <s v="WAC West"/>
    <d v="2019-04-05T00:00:00"/>
    <x v="0"/>
    <m/>
    <d v="1899-12-30T02:23:00"/>
    <m/>
    <s v="BP/PS"/>
    <s v="Caching"/>
    <s v="Spruce"/>
    <n v="0"/>
    <n v="0"/>
    <n v="1"/>
    <x v="1"/>
    <x v="7"/>
    <s v="NA"/>
    <s v="Exterior spruce branch under witch hair"/>
    <s v="Spruce"/>
    <s v="Exterior"/>
    <s v="Under witchhair"/>
    <n v="66"/>
    <s v="NE"/>
    <n v="3"/>
    <n v="63.738750000000003"/>
    <n v="148.89812000000001"/>
    <s v="NA"/>
    <s v="NA"/>
    <m/>
    <n v="0"/>
    <n v="0"/>
    <n v="0"/>
    <n v="0"/>
    <n v="0"/>
    <n v="0"/>
    <m/>
    <m/>
    <m/>
    <m/>
  </r>
  <r>
    <s v="DSCN2951"/>
    <s v="WW0405_4"/>
    <n v="4"/>
    <n v="1"/>
    <s v="WAC West"/>
    <d v="2019-04-05T00:00:00"/>
    <x v="0"/>
    <m/>
    <d v="1899-12-30T00:33:00"/>
    <m/>
    <s v="BP/PS"/>
    <s v="Caching"/>
    <s v="Spruce"/>
    <n v="0"/>
    <n v="0"/>
    <n v="1"/>
    <x v="1"/>
    <x v="7"/>
    <s v="NA"/>
    <s v="Exterior spruce branch under witch hair"/>
    <s v="Spruce"/>
    <s v="Exterior"/>
    <s v="Under witchhair"/>
    <s v="N"/>
    <n v="340"/>
    <n v="10"/>
    <n v="63.738860000000003"/>
    <n v="148.89845"/>
    <s v="NA"/>
    <s v="NA"/>
    <m/>
    <n v="0"/>
    <n v="0"/>
    <n v="0"/>
    <n v="0"/>
    <n v="0"/>
    <n v="0"/>
    <m/>
    <s v="Caching piller from preivous videos. Depoloyed camera on this tree."/>
    <m/>
    <m/>
  </r>
  <r>
    <s v="DSCN2976"/>
    <s v="WW0405_21"/>
    <n v="21"/>
    <n v="1"/>
    <s v="WAC West"/>
    <d v="2019-04-05T00:00:00"/>
    <x v="0"/>
    <m/>
    <d v="1899-12-30T00:07:00"/>
    <m/>
    <s v="BP/PS"/>
    <s v="Caching"/>
    <s v="Spruce"/>
    <n v="0"/>
    <n v="0"/>
    <n v="1"/>
    <x v="1"/>
    <x v="7"/>
    <s v="NA"/>
    <s v="Exterior spruce foliage"/>
    <s v="Spruce"/>
    <s v="Exterior"/>
    <s v="Foliage"/>
    <m/>
    <n v="160"/>
    <m/>
    <n v="63.739040000000003"/>
    <n v="148.89462"/>
    <s v="NA"/>
    <s v="NA"/>
    <m/>
    <n v="0"/>
    <n v="0"/>
    <n v="0"/>
    <n v="0"/>
    <n v="0"/>
    <n v="0"/>
    <m/>
    <m/>
    <m/>
    <m/>
  </r>
  <r>
    <s v="DSCN2948"/>
    <s v="WW0405_2"/>
    <n v="2"/>
    <n v="1"/>
    <s v="WAC West"/>
    <d v="2019-04-05T00:00:00"/>
    <x v="0"/>
    <m/>
    <d v="1899-12-30T00:18:00"/>
    <m/>
    <s v="BP/PS"/>
    <s v="Foraging"/>
    <s v="NA"/>
    <n v="1"/>
    <n v="0"/>
    <n v="0"/>
    <x v="1"/>
    <x v="7"/>
    <s v="Ground"/>
    <s v="NA"/>
    <m/>
    <m/>
    <m/>
    <s v="NA"/>
    <s v="NA"/>
    <s v="NA"/>
    <s v="NA"/>
    <s v="NA"/>
    <s v="NA"/>
    <s v="NA"/>
    <m/>
    <n v="0"/>
    <n v="0"/>
    <n v="0"/>
    <n v="0"/>
    <n v="0"/>
    <n v="0"/>
    <m/>
    <s v="Missed initial acquisition"/>
    <m/>
    <m/>
  </r>
  <r>
    <s v="DSCN2969"/>
    <s v="WW0405_14"/>
    <n v="14"/>
    <n v="1"/>
    <s v="WAC West"/>
    <d v="2019-04-05T00:00:00"/>
    <x v="0"/>
    <m/>
    <d v="1899-12-30T00:25:00"/>
    <m/>
    <s v="BP/PS"/>
    <s v="Food handling"/>
    <s v="NA"/>
    <n v="0"/>
    <n v="0"/>
    <n v="0"/>
    <x v="1"/>
    <x v="7"/>
    <s v="NA"/>
    <s v="NA"/>
    <m/>
    <m/>
    <m/>
    <s v="NA"/>
    <s v="NA"/>
    <s v="NA"/>
    <s v="NA"/>
    <s v="NA"/>
    <s v="NA"/>
    <s v="NA"/>
    <m/>
    <n v="0"/>
    <n v="0"/>
    <n v="0"/>
    <n v="0"/>
    <n v="0"/>
    <n v="0"/>
    <m/>
    <s v="Pillar from previous video"/>
    <m/>
    <m/>
  </r>
  <r>
    <s v="DSCN2978"/>
    <s v="WW0405_22"/>
    <n v="22"/>
    <n v="1"/>
    <s v="WAC West"/>
    <d v="2019-04-05T00:00:00"/>
    <x v="0"/>
    <m/>
    <d v="1899-12-30T01:01:00"/>
    <m/>
    <s v="BP/PS"/>
    <s v="Foraging"/>
    <s v="NA"/>
    <n v="0"/>
    <n v="0"/>
    <n v="0"/>
    <x v="0"/>
    <x v="0"/>
    <s v="NA"/>
    <s v="NA"/>
    <m/>
    <m/>
    <m/>
    <s v="NA"/>
    <s v="NA"/>
    <s v="NA"/>
    <s v="NA"/>
    <s v="NA"/>
    <s v="NA"/>
    <s v="NA"/>
    <m/>
    <n v="0"/>
    <n v="0"/>
    <n v="0"/>
    <n v="0"/>
    <n v="0"/>
    <n v="0"/>
    <s v="Searching"/>
    <m/>
    <m/>
    <m/>
  </r>
  <r>
    <s v="DSCN2950"/>
    <s v="WW0405_3"/>
    <n v="3"/>
    <n v="1"/>
    <s v="WAC West"/>
    <d v="2019-04-05T00:00:00"/>
    <x v="0"/>
    <m/>
    <d v="1899-12-30T00:32:00"/>
    <m/>
    <s v="BP/PS"/>
    <s v="Food handling"/>
    <s v="NA"/>
    <n v="0"/>
    <n v="0"/>
    <n v="0"/>
    <x v="1"/>
    <x v="7"/>
    <s v="NA"/>
    <s v="NA"/>
    <m/>
    <m/>
    <m/>
    <s v="NA"/>
    <s v="NA"/>
    <s v="NA"/>
    <s v="NA"/>
    <s v="NA"/>
    <s v="NA"/>
    <s v="NA"/>
    <m/>
    <n v="0"/>
    <n v="0"/>
    <n v="0"/>
    <n v="0"/>
    <n v="0"/>
    <n v="0"/>
    <m/>
    <s v="Same piller from previous video"/>
    <m/>
    <m/>
  </r>
  <r>
    <s v="DSCN2995"/>
    <s v="WW0405_34"/>
    <n v="34"/>
    <n v="1"/>
    <s v="WAC West"/>
    <d v="2019-04-05T00:00:00"/>
    <x v="0"/>
    <m/>
    <d v="1899-12-30T00:17:00"/>
    <m/>
    <s v="BP/PS"/>
    <s v="Food handling"/>
    <s v="NA"/>
    <n v="0"/>
    <n v="0"/>
    <n v="0"/>
    <x v="1"/>
    <x v="7"/>
    <s v="NA"/>
    <s v="NA"/>
    <m/>
    <m/>
    <m/>
    <s v="NA"/>
    <s v="NA"/>
    <s v="NA"/>
    <s v="NA"/>
    <s v="NA"/>
    <s v="NA"/>
    <s v="NA"/>
    <m/>
    <n v="0"/>
    <n v="0"/>
    <n v="0"/>
    <n v="0"/>
    <n v="0"/>
    <n v="0"/>
    <m/>
    <s v="Processing kill"/>
    <m/>
    <m/>
  </r>
  <r>
    <s v="DSCN2970"/>
    <s v="WW0405_15"/>
    <n v="15"/>
    <n v="1"/>
    <s v="WAC West"/>
    <d v="2019-04-05T00:00:00"/>
    <x v="0"/>
    <m/>
    <d v="1899-12-30T00:45:00"/>
    <m/>
    <s v="BP/PS"/>
    <s v="Food handling"/>
    <s v="NA"/>
    <n v="0"/>
    <n v="0"/>
    <n v="0"/>
    <x v="1"/>
    <x v="7"/>
    <m/>
    <s v="NA"/>
    <m/>
    <m/>
    <m/>
    <s v="NA"/>
    <s v="NA"/>
    <s v="NA"/>
    <s v="NA"/>
    <s v="NA"/>
    <s v="NA"/>
    <s v="NA"/>
    <m/>
    <n v="0"/>
    <n v="0"/>
    <n v="0"/>
    <n v="0"/>
    <n v="0"/>
    <n v="0"/>
    <m/>
    <s v="Pillar from previous video"/>
    <m/>
    <m/>
  </r>
  <r>
    <s v="DSCN3037"/>
    <s v="M4R0409_11"/>
    <n v="11"/>
    <n v="1"/>
    <s v="M4Roadside"/>
    <d v="2019-04-09T00:00:00"/>
    <x v="0"/>
    <m/>
    <d v="1899-12-30T00:14:00"/>
    <m/>
    <s v="YO/BS"/>
    <s v="Food handling"/>
    <s v="NA"/>
    <n v="1"/>
    <n v="0"/>
    <n v="0"/>
    <x v="1"/>
    <x v="7"/>
    <s v="Ground"/>
    <s v="NA"/>
    <m/>
    <m/>
    <m/>
    <s v="NA"/>
    <s v="NA"/>
    <s v="NA"/>
    <s v="NA"/>
    <s v="NA"/>
    <s v="NA"/>
    <s v="NA"/>
    <m/>
    <n v="0"/>
    <n v="0"/>
    <n v="0"/>
    <n v="0"/>
    <n v="0"/>
    <n v="0"/>
    <m/>
    <s v="Missed acquisition"/>
    <m/>
    <m/>
  </r>
  <r>
    <s v="DSCN3040"/>
    <s v="M4R0409_12"/>
    <n v="12"/>
    <n v="1"/>
    <s v="M4Roadside"/>
    <d v="2019-04-09T00:00:00"/>
    <x v="0"/>
    <m/>
    <d v="1899-12-30T00:14:00"/>
    <m/>
    <s v="OB/YS"/>
    <s v="Food handling"/>
    <s v="NA"/>
    <n v="1"/>
    <n v="0"/>
    <n v="0"/>
    <x v="1"/>
    <x v="7"/>
    <s v="Ground"/>
    <s v="NA"/>
    <m/>
    <m/>
    <m/>
    <s v="NA"/>
    <s v="NA"/>
    <s v="NA"/>
    <s v="NA"/>
    <s v="NA"/>
    <s v="NA"/>
    <s v="NA"/>
    <m/>
    <n v="0"/>
    <n v="0"/>
    <n v="0"/>
    <n v="0"/>
    <n v="0"/>
    <n v="0"/>
    <m/>
    <s v="Missed aquistion.  We reviewed the videos (and out memories) very carefully to confirm that in the previous video it's YO/BS that gets the caterpiller and it's a coincidence that now this bird also has one. "/>
    <m/>
    <m/>
  </r>
  <r>
    <s v="DSCN3041"/>
    <s v="M4R0409_13"/>
    <n v="13"/>
    <n v="1"/>
    <s v="M4Roadside"/>
    <d v="2019-04-09T00:00:00"/>
    <x v="0"/>
    <m/>
    <d v="1899-12-30T00:20:00"/>
    <m/>
    <s v="OB/YS"/>
    <s v="Food handling"/>
    <s v="NA"/>
    <n v="0"/>
    <n v="0"/>
    <n v="0"/>
    <x v="1"/>
    <x v="7"/>
    <s v="NA"/>
    <s v="NA"/>
    <m/>
    <m/>
    <m/>
    <s v="NA"/>
    <s v="NA"/>
    <s v="NA"/>
    <s v="NA"/>
    <s v="NA"/>
    <s v="NA"/>
    <s v="NA"/>
    <m/>
    <n v="0"/>
    <n v="0"/>
    <n v="0"/>
    <n v="0"/>
    <n v="0"/>
    <n v="0"/>
    <m/>
    <s v="Same piller from previous video"/>
    <m/>
    <m/>
  </r>
  <r>
    <s v="DSCN3025"/>
    <s v="M4R0409_2"/>
    <n v="2"/>
    <n v="1"/>
    <s v="M4Roadside"/>
    <d v="2019-04-09T00:00:00"/>
    <x v="0"/>
    <m/>
    <d v="1899-12-30T00:23:00"/>
    <m/>
    <s v="unknown"/>
    <s v="Food handling"/>
    <s v="NA"/>
    <n v="0"/>
    <n v="0"/>
    <n v="0"/>
    <x v="1"/>
    <x v="7"/>
    <s v="NA"/>
    <s v="NA"/>
    <m/>
    <m/>
    <m/>
    <s v="NA"/>
    <s v="NA"/>
    <s v="NA"/>
    <s v="NA"/>
    <s v="NA"/>
    <s v="NA"/>
    <s v="NA"/>
    <m/>
    <n v="0"/>
    <n v="0"/>
    <n v="0"/>
    <n v="0"/>
    <n v="0"/>
    <n v="0"/>
    <m/>
    <s v="Same pillar from previous video"/>
    <m/>
    <m/>
  </r>
  <r>
    <s v="DSCN3059"/>
    <s v="UNK0411_8"/>
    <n v="8"/>
    <n v="1"/>
    <s v="Unknown"/>
    <d v="2019-04-11T00:00:00"/>
    <x v="0"/>
    <m/>
    <d v="1899-12-30T00:05:00"/>
    <m/>
    <s v="unbanded"/>
    <s v="Foraging"/>
    <s v="NA"/>
    <n v="1"/>
    <n v="0"/>
    <n v="0"/>
    <x v="2"/>
    <x v="2"/>
    <s v="Ground"/>
    <s v="NA"/>
    <m/>
    <m/>
    <m/>
    <s v="NA"/>
    <s v="NA"/>
    <s v="NA"/>
    <s v="NA"/>
    <s v="NA"/>
    <s v="NA"/>
    <s v="NA"/>
    <m/>
    <n v="0"/>
    <n v="0"/>
    <n v="0"/>
    <n v="0"/>
    <n v="0"/>
    <n v="0"/>
    <m/>
    <s v="Missed acquisition"/>
    <m/>
    <m/>
  </r>
  <r>
    <s v="DSCN3057"/>
    <s v="UNK0411_7"/>
    <n v="7"/>
    <n v="1"/>
    <s v="Unknown"/>
    <d v="2019-04-11T00:00:00"/>
    <x v="0"/>
    <m/>
    <d v="1899-12-30T00:13:00"/>
    <m/>
    <s v="unbanded"/>
    <s v="Foraging"/>
    <s v="Spruce"/>
    <n v="1"/>
    <s v="unknown"/>
    <n v="0"/>
    <x v="2"/>
    <x v="2"/>
    <s v="uknown"/>
    <s v="NA"/>
    <m/>
    <m/>
    <m/>
    <s v="NA"/>
    <s v="NA"/>
    <s v="NA"/>
    <s v="NA"/>
    <s v="NA"/>
    <s v="NA"/>
    <s v="NA"/>
    <m/>
    <n v="0"/>
    <n v="0"/>
    <n v="0"/>
    <n v="0"/>
    <n v="0"/>
    <n v="0"/>
    <s v="Searching"/>
    <m/>
    <m/>
    <m/>
  </r>
  <r>
    <s v="DSCN3114"/>
    <s v="BU0415_6"/>
    <n v="6"/>
    <n v="1"/>
    <s v="B&amp;U"/>
    <d v="2019-04-15T00:00:00"/>
    <x v="0"/>
    <m/>
    <d v="1899-12-30T00:38:00"/>
    <s v="Partly cloudy"/>
    <s v="GR/PS"/>
    <s v="Food handling"/>
    <s v="NA"/>
    <n v="1"/>
    <n v="0"/>
    <n v="0"/>
    <x v="2"/>
    <x v="2"/>
    <s v="Ground"/>
    <s v="NA"/>
    <m/>
    <m/>
    <m/>
    <s v="NA"/>
    <s v="NA"/>
    <s v="NA"/>
    <s v="NA"/>
    <s v="NA"/>
    <s v="NA"/>
    <s v="NA"/>
    <m/>
    <n v="0"/>
    <n v="0"/>
    <n v="0"/>
    <n v="0"/>
    <n v="0"/>
    <n v="0"/>
    <m/>
    <s v="Missed acquisition"/>
    <m/>
    <m/>
  </r>
  <r>
    <s v="DSCN3135"/>
    <s v="M2370415_5"/>
    <n v="5"/>
    <n v="1"/>
    <s v="Mile 237"/>
    <d v="2019-04-15T00:00:00"/>
    <x v="0"/>
    <m/>
    <d v="1899-12-30T00:05:00"/>
    <s v="Partly cloudy"/>
    <s v="YP/RS"/>
    <s v="Foraging"/>
    <s v="NA"/>
    <n v="1"/>
    <n v="0"/>
    <n v="0"/>
    <x v="2"/>
    <x v="2"/>
    <s v="Ground"/>
    <s v="NA"/>
    <m/>
    <m/>
    <m/>
    <s v="NA"/>
    <s v="NA"/>
    <s v="NA"/>
    <s v="NA"/>
    <s v="NA"/>
    <s v="NA"/>
    <s v="NA"/>
    <m/>
    <n v="0"/>
    <n v="0"/>
    <n v="0"/>
    <n v="0"/>
    <n v="0"/>
    <n v="0"/>
    <m/>
    <s v="Missed acquisition"/>
    <m/>
    <m/>
  </r>
  <r>
    <s v="DSCN3122"/>
    <s v="BU0415_9"/>
    <n v="9"/>
    <n v="1"/>
    <s v="B&amp;U"/>
    <d v="2019-04-15T00:00:00"/>
    <x v="0"/>
    <m/>
    <d v="1899-12-30T01:59:00"/>
    <s v="Partly cloudy"/>
    <s v="WP/BS"/>
    <s v="Caching"/>
    <s v="Spruce"/>
    <n v="0"/>
    <n v="0"/>
    <n v="1"/>
    <x v="1"/>
    <x v="30"/>
    <m/>
    <s v="Exterior spruce branch under witch hair"/>
    <s v="Spruce"/>
    <s v="Exterior"/>
    <s v="Under witchhair"/>
    <s v="N"/>
    <n v="0"/>
    <n v="40"/>
    <n v="63.724319999999999"/>
    <n v="148.9547"/>
    <s v="NA"/>
    <s v="NA"/>
    <m/>
    <n v="0"/>
    <n v="0"/>
    <n v="0"/>
    <n v="0"/>
    <n v="0"/>
    <n v="0"/>
    <m/>
    <s v="Seemed like a temporary cache because it did not coat in spit. "/>
    <m/>
    <m/>
  </r>
  <r>
    <s v="DSCN3105"/>
    <s v="BU0415_2"/>
    <n v="2"/>
    <n v="1"/>
    <s v="B&amp;U"/>
    <d v="2019-04-15T00:00:00"/>
    <x v="0"/>
    <m/>
    <d v="1899-12-30T01:38:00"/>
    <s v="Partly cloudy"/>
    <s v="GR/PS"/>
    <s v="Food handling"/>
    <s v="NA"/>
    <n v="0"/>
    <n v="0"/>
    <n v="0"/>
    <x v="4"/>
    <x v="26"/>
    <s v="NA"/>
    <s v="NA"/>
    <m/>
    <m/>
    <m/>
    <s v="NA"/>
    <s v="NA"/>
    <s v="NA"/>
    <s v="NA"/>
    <s v="NA"/>
    <s v="NA"/>
    <s v="NA"/>
    <m/>
    <n v="0"/>
    <n v="0"/>
    <n v="0"/>
    <n v="0"/>
    <n v="0"/>
    <n v="0"/>
    <m/>
    <m/>
    <m/>
    <m/>
  </r>
  <r>
    <s v="DSCN3188"/>
    <s v="CC0416_1"/>
    <n v="1"/>
    <n v="1"/>
    <s v="CCAMP"/>
    <d v="2019-04-16T00:00:00"/>
    <x v="0"/>
    <m/>
    <d v="1899-12-30T00:05:00"/>
    <s v="Mostly cloudy"/>
    <s v="GB/BS"/>
    <s v="Foraging"/>
    <s v="NA"/>
    <n v="1"/>
    <n v="0"/>
    <n v="0"/>
    <x v="1"/>
    <x v="4"/>
    <s v="Ground"/>
    <s v="NA"/>
    <m/>
    <m/>
    <m/>
    <s v="NA"/>
    <s v="NA"/>
    <s v="NA"/>
    <s v="NA"/>
    <s v="NA"/>
    <s v="NA"/>
    <s v="NA"/>
    <m/>
    <n v="0"/>
    <n v="0"/>
    <n v="0"/>
    <n v="0"/>
    <n v="0"/>
    <n v="0"/>
    <m/>
    <s v="Missed initial acquisition"/>
    <m/>
    <m/>
  </r>
  <r>
    <s v="DSCN3170"/>
    <s v="WW0416_4"/>
    <n v="4"/>
    <n v="1"/>
    <s v="WAC West"/>
    <d v="2019-04-16T00:00:00"/>
    <x v="0"/>
    <m/>
    <d v="1899-12-30T00:07:00"/>
    <s v="Mostly cloudy"/>
    <s v="BP/PS"/>
    <s v="Caching"/>
    <s v="Spruce"/>
    <n v="0"/>
    <n v="0"/>
    <n v="1"/>
    <x v="4"/>
    <x v="11"/>
    <s v="Ground"/>
    <s v="Exterior spruce foliage"/>
    <s v="Spruce"/>
    <s v="Exterior"/>
    <s v="Foliage"/>
    <s v="NE"/>
    <n v="60"/>
    <n v="10"/>
    <n v="63.740470000000002"/>
    <n v="148.90053"/>
    <s v="NA"/>
    <s v="NA"/>
    <m/>
    <n v="0"/>
    <n v="0"/>
    <n v="0"/>
    <n v="0"/>
    <n v="0"/>
    <n v="0"/>
    <m/>
    <s v="Did not capture cache on video"/>
    <m/>
    <m/>
  </r>
  <r>
    <s v="DSCN3175"/>
    <s v="WW0416_9"/>
    <n v="9"/>
    <n v="1"/>
    <s v="WAC West"/>
    <d v="2019-04-16T00:00:00"/>
    <x v="0"/>
    <m/>
    <d v="1899-12-30T00:42:00"/>
    <s v="Mostly cloudy"/>
    <s v="BP/PS"/>
    <s v="Caching"/>
    <s v="Spruce"/>
    <n v="0"/>
    <n v="0"/>
    <n v="1"/>
    <x v="4"/>
    <x v="11"/>
    <s v="NA"/>
    <s v="Spruce trunk under bark"/>
    <s v="Spruce"/>
    <s v="Trunk"/>
    <s v="Under bark"/>
    <s v="NE"/>
    <n v="30"/>
    <n v="12"/>
    <n v="63.740470000000002"/>
    <n v="148.90082000000001"/>
    <s v="NA"/>
    <s v="NA"/>
    <m/>
    <n v="0"/>
    <n v="0"/>
    <n v="0"/>
    <n v="0"/>
    <n v="0"/>
    <n v="0"/>
    <m/>
    <m/>
    <m/>
    <m/>
  </r>
  <r>
    <s v="DSCN3173"/>
    <s v="WW0416_7"/>
    <n v="7"/>
    <n v="1"/>
    <s v="WAC West"/>
    <d v="2019-04-16T00:00:00"/>
    <x v="0"/>
    <m/>
    <d v="1899-12-30T01:22:00"/>
    <s v="Mostly cloudy"/>
    <s v="BP/PS"/>
    <s v="Food handling/caching"/>
    <s v="Spruce"/>
    <n v="0"/>
    <n v="0"/>
    <n v="1"/>
    <x v="4"/>
    <x v="11"/>
    <s v="NA"/>
    <s v="Interior spruce foliage"/>
    <s v="Spruce"/>
    <s v="Interior"/>
    <s v="Foliage"/>
    <s v="SE"/>
    <n v="157"/>
    <n v="26"/>
    <n v="63.740699999999997"/>
    <n v="148.90117000000001"/>
    <s v="NA"/>
    <s v="NA"/>
    <m/>
    <n v="0"/>
    <n v="0"/>
    <n v="0"/>
    <n v="0"/>
    <n v="0"/>
    <n v="0"/>
    <m/>
    <s v="Cached hare from previous 2 videos."/>
    <m/>
    <m/>
  </r>
  <r>
    <s v="DSCN3171"/>
    <s v="WW0416_5"/>
    <n v="5"/>
    <n v="1"/>
    <s v="WAC West"/>
    <d v="2019-04-16T00:00:00"/>
    <x v="0"/>
    <m/>
    <d v="1899-12-30T00:32:00"/>
    <s v="Mostly cloudy"/>
    <s v="BP/PS"/>
    <s v="Foraging"/>
    <s v="NA"/>
    <n v="1"/>
    <n v="0"/>
    <n v="0"/>
    <x v="4"/>
    <x v="11"/>
    <s v="Ground"/>
    <s v="NA"/>
    <m/>
    <m/>
    <m/>
    <s v="NA"/>
    <s v="NA"/>
    <s v="NA"/>
    <s v="NA"/>
    <s v="NA"/>
    <s v="NA"/>
    <s v="NA"/>
    <m/>
    <n v="0"/>
    <n v="0"/>
    <n v="0"/>
    <n v="0"/>
    <n v="0"/>
    <n v="0"/>
    <m/>
    <s v="Returned to hare carcass. "/>
    <m/>
    <m/>
  </r>
  <r>
    <s v="DSCN3174"/>
    <s v="WW0416_8"/>
    <n v="8"/>
    <n v="1"/>
    <s v="WAC West"/>
    <d v="2019-04-16T00:00:00"/>
    <x v="0"/>
    <m/>
    <d v="1899-12-30T00:40:00"/>
    <s v="Mostly cloudy"/>
    <s v="BP/PS"/>
    <s v="Foraging"/>
    <s v="NA"/>
    <n v="1"/>
    <n v="0"/>
    <n v="0"/>
    <x v="4"/>
    <x v="11"/>
    <s v="Ground"/>
    <s v="NA"/>
    <m/>
    <m/>
    <m/>
    <s v="NA"/>
    <s v="NA"/>
    <s v="NA"/>
    <s v="NA"/>
    <s v="NA"/>
    <s v="NA"/>
    <s v="NA"/>
    <m/>
    <n v="0"/>
    <n v="0"/>
    <n v="0"/>
    <n v="0"/>
    <n v="0"/>
    <n v="0"/>
    <m/>
    <m/>
    <m/>
    <m/>
  </r>
  <r>
    <s v="DSCN3166"/>
    <s v="WW0416_2"/>
    <n v="2"/>
    <n v="1"/>
    <s v="WAC West"/>
    <d v="2019-04-16T00:00:00"/>
    <x v="0"/>
    <m/>
    <d v="1899-12-30T00:34:00"/>
    <s v="Mostly cloudy"/>
    <s v="BP/PS"/>
    <s v="Food handling"/>
    <s v="NA"/>
    <n v="0"/>
    <n v="0"/>
    <n v="0"/>
    <x v="4"/>
    <x v="11"/>
    <s v="NA"/>
    <s v="NA"/>
    <m/>
    <m/>
    <m/>
    <s v="NA"/>
    <s v="NA"/>
    <s v="NA"/>
    <s v="NA"/>
    <s v="NA"/>
    <s v="NA"/>
    <s v="NA"/>
    <m/>
    <n v="0"/>
    <n v="0"/>
    <n v="0"/>
    <n v="0"/>
    <n v="0"/>
    <n v="0"/>
    <m/>
    <s v="Still working on trip to hare from previous video. "/>
    <m/>
    <m/>
  </r>
  <r>
    <s v="DSCN3169"/>
    <s v="WW0416_3"/>
    <n v="3"/>
    <n v="1"/>
    <s v="WAC West"/>
    <d v="2019-04-16T00:00:00"/>
    <x v="0"/>
    <m/>
    <d v="1899-12-30T00:17:00"/>
    <s v="Mostly cloudy"/>
    <s v="BP/PS"/>
    <s v="Food handling"/>
    <s v="NA"/>
    <n v="0"/>
    <n v="0"/>
    <n v="0"/>
    <x v="4"/>
    <x v="11"/>
    <s v="NA"/>
    <s v="NA"/>
    <m/>
    <m/>
    <m/>
    <s v="NA"/>
    <s v="NA"/>
    <s v="NA"/>
    <s v="NA"/>
    <s v="NA"/>
    <s v="NA"/>
    <s v="NA"/>
    <m/>
    <n v="0"/>
    <n v="0"/>
    <n v="0"/>
    <n v="0"/>
    <n v="0"/>
    <n v="0"/>
    <m/>
    <s v="Still working on trip to hare from previous video. "/>
    <m/>
    <m/>
  </r>
  <r>
    <s v="DSCN3172"/>
    <s v="WW0416_6"/>
    <n v="6"/>
    <n v="1"/>
    <s v="WAC West"/>
    <d v="2019-04-16T00:00:00"/>
    <x v="0"/>
    <m/>
    <d v="1899-12-30T00:52:00"/>
    <s v="Mostly cloudy"/>
    <s v="BP/PS"/>
    <s v="Food handling"/>
    <s v="NA"/>
    <n v="0"/>
    <n v="0"/>
    <n v="0"/>
    <x v="4"/>
    <x v="11"/>
    <s v="NA"/>
    <s v="NA"/>
    <m/>
    <m/>
    <m/>
    <s v="NA"/>
    <s v="NA"/>
    <s v="NA"/>
    <s v="NA"/>
    <s v="NA"/>
    <s v="NA"/>
    <s v="NA"/>
    <m/>
    <n v="0"/>
    <n v="0"/>
    <n v="0"/>
    <n v="0"/>
    <n v="0"/>
    <n v="0"/>
    <m/>
    <s v="Still working on trip to hare from previous video. "/>
    <m/>
    <m/>
  </r>
  <r>
    <s v="DSCN3241"/>
    <s v="AQ0417_3"/>
    <n v="3"/>
    <n v="1"/>
    <s v="Air Quality"/>
    <d v="2019-04-17T00:00:00"/>
    <x v="0"/>
    <m/>
    <d v="1899-12-30T01:09:00"/>
    <s v="Overcast, light snow"/>
    <s v="PG/PS"/>
    <s v="Caching"/>
    <s v="NA"/>
    <n v="0"/>
    <n v="0"/>
    <n v="1"/>
    <x v="1"/>
    <x v="7"/>
    <s v="NA"/>
    <s v="Exterior spruce branch under bark"/>
    <s v="Spruce"/>
    <s v="Exterior"/>
    <s v="Under bark"/>
    <s v="W"/>
    <n v="265"/>
    <n v="9"/>
    <n v="63.725189999999998"/>
    <n v="148.96460999999999"/>
    <s v="NA"/>
    <s v="NA"/>
    <s v="NA"/>
    <n v="0"/>
    <n v="0"/>
    <n v="0"/>
    <n v="0"/>
    <n v="0"/>
    <n v="0"/>
    <m/>
    <m/>
    <m/>
    <m/>
  </r>
  <r>
    <s v="DSCN3226"/>
    <s v="M4R0417_9"/>
    <n v="9"/>
    <n v="1"/>
    <s v="M4Roadside"/>
    <d v="2019-04-17T00:00:00"/>
    <x v="0"/>
    <m/>
    <d v="1899-12-30T00:04:00"/>
    <s v="Overcast, light snow"/>
    <s v="YO/BS"/>
    <s v="Foraging"/>
    <s v="NA"/>
    <n v="1"/>
    <n v="0"/>
    <n v="0"/>
    <x v="1"/>
    <x v="7"/>
    <s v="Ground"/>
    <s v="NA"/>
    <m/>
    <m/>
    <m/>
    <s v="NA"/>
    <s v="NA"/>
    <s v="NA"/>
    <s v="NA"/>
    <s v="NA"/>
    <s v="NA"/>
    <s v="NA"/>
    <m/>
    <n v="0"/>
    <n v="0"/>
    <n v="0"/>
    <n v="0"/>
    <n v="0"/>
    <n v="0"/>
    <m/>
    <s v="Did not capture foraging, only acquisition. "/>
    <m/>
    <m/>
  </r>
  <r>
    <s v="DSCN3217"/>
    <s v="M4R0417_3"/>
    <n v="3"/>
    <n v="1"/>
    <s v="M4Roadside"/>
    <d v="2019-04-17T00:00:00"/>
    <x v="0"/>
    <m/>
    <d v="1899-12-30T00:32:00"/>
    <s v="Overcast, light snow"/>
    <s v="YO/BS"/>
    <s v="Food handling"/>
    <s v="NA"/>
    <n v="1"/>
    <n v="0"/>
    <n v="0"/>
    <x v="1"/>
    <x v="7"/>
    <s v="uknown"/>
    <s v="NA"/>
    <m/>
    <m/>
    <m/>
    <s v="NA"/>
    <s v="NA"/>
    <s v="NA"/>
    <s v="NA"/>
    <s v="NA"/>
    <s v="NA"/>
    <s v="NA"/>
    <m/>
    <n v="0"/>
    <n v="0"/>
    <n v="0"/>
    <n v="0"/>
    <n v="0"/>
    <n v="0"/>
    <m/>
    <s v="Missed initial acquisition"/>
    <m/>
    <m/>
  </r>
  <r>
    <s v="DSCN3240"/>
    <s v="AQ0417_2"/>
    <n v="2"/>
    <n v="1"/>
    <s v="Air Quality"/>
    <d v="2019-04-17T00:00:00"/>
    <x v="0"/>
    <m/>
    <d v="1899-12-30T00:20:00"/>
    <s v="Overcast, light snow"/>
    <s v="PG/PS"/>
    <s v="Food handling"/>
    <s v="NA"/>
    <n v="0"/>
    <n v="0"/>
    <n v="0"/>
    <x v="1"/>
    <x v="7"/>
    <s v="NA"/>
    <s v="NA"/>
    <m/>
    <m/>
    <m/>
    <s v="NA"/>
    <s v="NA"/>
    <s v="NA"/>
    <s v="NA"/>
    <s v="NA"/>
    <s v="NA"/>
    <s v="NA"/>
    <s v="NA"/>
    <n v="0"/>
    <n v="0"/>
    <n v="0"/>
    <n v="0"/>
    <n v="0"/>
    <n v="0"/>
    <m/>
    <m/>
    <m/>
    <m/>
  </r>
  <r>
    <s v="DSCN3228"/>
    <s v="M4R0417_10"/>
    <n v="10"/>
    <n v="1"/>
    <s v="M4Roadside"/>
    <d v="2019-04-17T00:00:00"/>
    <x v="0"/>
    <m/>
    <d v="1899-12-30T00:17:00"/>
    <s v="Overcast, light snow"/>
    <s v="YO/BS"/>
    <s v="Food handling"/>
    <s v="NA"/>
    <n v="0"/>
    <n v="0"/>
    <n v="0"/>
    <x v="1"/>
    <x v="7"/>
    <s v="NA"/>
    <s v="NA"/>
    <m/>
    <m/>
    <m/>
    <s v="NA"/>
    <s v="NA"/>
    <s v="NA"/>
    <s v="NA"/>
    <s v="NA"/>
    <s v="NA"/>
    <s v="NA"/>
    <m/>
    <n v="0"/>
    <n v="0"/>
    <n v="0"/>
    <n v="0"/>
    <n v="0"/>
    <n v="0"/>
    <m/>
    <m/>
    <m/>
    <m/>
  </r>
  <r>
    <s v="DSCN3229"/>
    <s v="M4R0417_11"/>
    <n v="11"/>
    <n v="1"/>
    <s v="M4Roadside"/>
    <d v="2019-04-17T00:00:00"/>
    <x v="0"/>
    <m/>
    <d v="1899-12-30T00:27:00"/>
    <s v="Overcast, light snow"/>
    <s v="YO/BS"/>
    <s v="Food handling"/>
    <s v="NA"/>
    <n v="0"/>
    <n v="0"/>
    <n v="0"/>
    <x v="1"/>
    <x v="7"/>
    <s v="NA"/>
    <s v="NA"/>
    <m/>
    <m/>
    <m/>
    <s v="NA"/>
    <s v="NA"/>
    <s v="NA"/>
    <s v="NA"/>
    <s v="NA"/>
    <s v="NA"/>
    <s v="NA"/>
    <m/>
    <n v="0"/>
    <n v="0"/>
    <n v="0"/>
    <n v="0"/>
    <n v="0"/>
    <n v="0"/>
    <m/>
    <m/>
    <m/>
    <m/>
  </r>
  <r>
    <s v="DSCN3330"/>
    <s v="BU0418_4"/>
    <n v="4"/>
    <n v="1"/>
    <s v="B&amp;U"/>
    <d v="2019-04-18T00:00:00"/>
    <x v="0"/>
    <m/>
    <d v="1899-12-30T00:19:00"/>
    <s v="Light snow"/>
    <s v="GR/PS"/>
    <s v="Caching"/>
    <s v="Spruce"/>
    <n v="0"/>
    <n v="0"/>
    <n v="1"/>
    <x v="1"/>
    <x v="7"/>
    <s v="NA"/>
    <s v="Interior spruce foliage"/>
    <s v="Spruce"/>
    <s v="Interior"/>
    <s v="Foliage"/>
    <s v="SE"/>
    <n v="120"/>
    <s v="Unknown"/>
    <n v="63.726089999999999"/>
    <n v="148.95284000000001"/>
    <s v="NA"/>
    <s v="NA"/>
    <s v="NA"/>
    <n v="0"/>
    <n v="0"/>
    <n v="0"/>
    <n v="0"/>
    <n v="0"/>
    <n v="0"/>
    <m/>
    <m/>
    <m/>
    <m/>
  </r>
  <r>
    <s v="DSCN3329"/>
    <s v="BU0418_3"/>
    <n v="3"/>
    <n v="1"/>
    <s v="B&amp;U"/>
    <d v="2019-04-18T00:00:00"/>
    <x v="0"/>
    <m/>
    <d v="1899-12-30T00:32:00"/>
    <s v="Light snow"/>
    <s v="GR/PS"/>
    <s v="Food handling"/>
    <s v="NA"/>
    <n v="1"/>
    <n v="0"/>
    <n v="0"/>
    <x v="1"/>
    <x v="7"/>
    <s v="Ground"/>
    <s v="NA"/>
    <m/>
    <m/>
    <m/>
    <s v="NA"/>
    <s v="NA"/>
    <s v="NA"/>
    <s v="NA"/>
    <s v="NA"/>
    <s v="NA"/>
    <s v="NA"/>
    <s v="NA"/>
    <n v="0"/>
    <n v="0"/>
    <n v="0"/>
    <n v="0"/>
    <n v="0"/>
    <n v="0"/>
    <m/>
    <s v="Missed initial acquisition"/>
    <m/>
    <m/>
  </r>
  <r>
    <s v="DSCN3345"/>
    <s v="M4R0419_5"/>
    <n v="5"/>
    <n v="1"/>
    <s v="M4Roadside"/>
    <d v="2019-04-19T00:00:00"/>
    <x v="0"/>
    <m/>
    <d v="1899-12-30T00:28:00"/>
    <s v="Partly cloudy"/>
    <s v="YO/BS"/>
    <s v="Food handling"/>
    <s v="Spruce"/>
    <n v="1"/>
    <s v="unknown"/>
    <n v="0"/>
    <x v="2"/>
    <x v="2"/>
    <s v="Exterior bare spruce branch"/>
    <s v="NA"/>
    <m/>
    <m/>
    <m/>
    <s v="NA"/>
    <s v="NA"/>
    <s v="NA"/>
    <s v="NA"/>
    <s v="NA"/>
    <s v="NA"/>
    <s v="NA"/>
    <s v="NA"/>
    <n v="0"/>
    <n v="0"/>
    <n v="0"/>
    <n v="0"/>
    <n v="0"/>
    <n v="0"/>
    <m/>
    <s v="Missed initial acquisition"/>
    <m/>
    <m/>
  </r>
  <r>
    <s v="DSCN3417"/>
    <s v="CC0422_17"/>
    <n v="17"/>
    <n v="1"/>
    <s v="CCAMP"/>
    <d v="2019-04-22T00:00:00"/>
    <x v="0"/>
    <m/>
    <d v="1899-12-30T01:22:00"/>
    <s v="Partly cloudy"/>
    <s v="GB/BS"/>
    <s v="Food handling/caching"/>
    <s v="Spruce"/>
    <n v="0"/>
    <n v="0"/>
    <n v="1"/>
    <x v="2"/>
    <x v="2"/>
    <s v="unknown"/>
    <s v="Exterior spruce branch under bark"/>
    <s v="Spruce"/>
    <s v="Exterior"/>
    <s v="Under bark"/>
    <m/>
    <m/>
    <s v="Unknown"/>
    <n v="63.722610000000003"/>
    <n v="148.94719000000001"/>
    <s v="NA"/>
    <s v="NA"/>
    <s v="NA"/>
    <n v="0"/>
    <n v="0"/>
    <n v="0"/>
    <n v="0"/>
    <n v="0"/>
    <n v="0"/>
    <m/>
    <s v="Processing a black caterpiller and stopped to make two separate caches in the same tree"/>
    <m/>
    <m/>
  </r>
  <r>
    <s v="DSCN3417"/>
    <s v="CC0422_17"/>
    <n v="17"/>
    <n v="2"/>
    <s v="CCAMP"/>
    <d v="2019-04-22T00:00:00"/>
    <x v="0"/>
    <m/>
    <d v="1899-12-30T01:22:00"/>
    <s v="Partly cloudy"/>
    <s v="GB/BS"/>
    <s v="Food handling/caching"/>
    <s v="Spruce"/>
    <n v="0"/>
    <n v="0"/>
    <n v="1"/>
    <x v="2"/>
    <x v="2"/>
    <s v="unknown"/>
    <s v="Exterior spruce branch under bark"/>
    <s v="Spruce"/>
    <s v="Exterior"/>
    <s v="Under bark"/>
    <m/>
    <m/>
    <s v="Unknown"/>
    <n v="63.722610000000003"/>
    <n v="148.94719000000001"/>
    <s v="NA"/>
    <s v="NA"/>
    <s v="NA"/>
    <n v="0"/>
    <n v="0"/>
    <n v="0"/>
    <n v="0"/>
    <n v="0"/>
    <n v="0"/>
    <m/>
    <s v="Processing a black caterpiller and stopped to make two separate caches in the same tree"/>
    <m/>
    <m/>
  </r>
  <r>
    <s v="DSCN3395"/>
    <s v="CC0422_3"/>
    <n v="3"/>
    <n v="1"/>
    <s v="CCAMP"/>
    <d v="2019-04-22T00:00:00"/>
    <x v="0"/>
    <m/>
    <d v="1899-12-30T00:40:00"/>
    <s v="Partly cloudy"/>
    <s v="GB/BS"/>
    <s v="Food handling/caching"/>
    <s v="NA"/>
    <n v="0"/>
    <n v="0"/>
    <n v="1"/>
    <x v="1"/>
    <x v="7"/>
    <s v="NA"/>
    <s v="Interior spruce foliage"/>
    <s v="Spruce"/>
    <s v="Interior"/>
    <s v="Foliage"/>
    <m/>
    <m/>
    <s v="Unknown"/>
    <n v="63.722679999999997"/>
    <n v="148.95184"/>
    <s v="NA"/>
    <s v="NA"/>
    <s v="RC102418_CT7"/>
    <n v="0"/>
    <m/>
    <n v="0"/>
    <n v="0"/>
    <n v="0"/>
    <n v="0"/>
    <s v="Searching"/>
    <m/>
    <m/>
    <m/>
  </r>
  <r>
    <s v="DSCN3447"/>
    <s v="SQ0422_5"/>
    <n v="5"/>
    <n v="1"/>
    <s v="Sasquatch"/>
    <d v="2019-04-22T00:00:00"/>
    <x v="0"/>
    <m/>
    <d v="1899-12-30T00:32:00"/>
    <s v="Partly cloudy"/>
    <s v="G/BS"/>
    <s v="Foraging"/>
    <s v="NA"/>
    <n v="1"/>
    <n v="0"/>
    <n v="0"/>
    <x v="1"/>
    <x v="1"/>
    <s v="Ground"/>
    <s v="NA"/>
    <m/>
    <m/>
    <m/>
    <s v="NA"/>
    <s v="NA"/>
    <s v="NA"/>
    <s v="NA"/>
    <s v="NA"/>
    <s v="NA"/>
    <s v="NA"/>
    <s v="NA"/>
    <n v="0"/>
    <n v="0"/>
    <n v="0"/>
    <n v="0"/>
    <n v="0"/>
    <n v="0"/>
    <m/>
    <s v="Missed acquisition"/>
    <m/>
    <m/>
  </r>
  <r>
    <s v="DSCN3448"/>
    <s v="SQ0422_6"/>
    <n v="6"/>
    <n v="1"/>
    <s v="Sasquatch"/>
    <d v="2019-04-22T00:00:00"/>
    <x v="0"/>
    <m/>
    <d v="1899-12-30T00:25:00"/>
    <s v="Partly cloudy"/>
    <s v="G/BS"/>
    <s v="Food handling"/>
    <s v="NA"/>
    <n v="0"/>
    <n v="0"/>
    <n v="0"/>
    <x v="0"/>
    <x v="0"/>
    <s v="NA"/>
    <s v="NA"/>
    <m/>
    <m/>
    <m/>
    <s v="NA"/>
    <s v="NA"/>
    <s v="NA"/>
    <s v="NA"/>
    <s v="NA"/>
    <s v="NA"/>
    <s v="NA"/>
    <s v="NA"/>
    <n v="0"/>
    <n v="0"/>
    <n v="0"/>
    <n v="0"/>
    <n v="0"/>
    <n v="0"/>
    <m/>
    <s v="Manipulating the food it had already gathered"/>
    <m/>
    <m/>
  </r>
  <r>
    <s v="DSCN3351"/>
    <s v="WW0422_1"/>
    <n v="1"/>
    <n v="1"/>
    <s v="WAC West"/>
    <d v="2019-04-22T00:00:00"/>
    <x v="0"/>
    <m/>
    <d v="1899-12-30T00:31:00"/>
    <s v="Partly cloudy"/>
    <s v="BP/PS"/>
    <s v="Foraging"/>
    <s v="NA"/>
    <n v="0"/>
    <n v="0"/>
    <n v="0"/>
    <x v="0"/>
    <x v="0"/>
    <s v="NA"/>
    <s v="NA"/>
    <m/>
    <m/>
    <m/>
    <s v="NA"/>
    <s v="NA"/>
    <s v="NA"/>
    <s v="NA"/>
    <s v="NA"/>
    <s v="NA"/>
    <s v="NA"/>
    <s v="NA"/>
    <n v="0"/>
    <n v="0"/>
    <n v="0"/>
    <n v="0"/>
    <n v="0"/>
    <n v="0"/>
    <s v="Searching"/>
    <m/>
    <m/>
    <m/>
  </r>
  <r>
    <s v="DSCN3498"/>
    <s v="MC0424_12"/>
    <n v="12"/>
    <n v="1"/>
    <s v="Mercantile"/>
    <d v="2019-04-24T00:00:00"/>
    <x v="0"/>
    <m/>
    <d v="1899-12-30T00:41:00"/>
    <s v="Partly cloudy"/>
    <s v="BW/GS"/>
    <s v="Food handling"/>
    <s v="NA"/>
    <n v="1"/>
    <n v="0"/>
    <n v="1"/>
    <x v="2"/>
    <x v="2"/>
    <s v="unknown"/>
    <s v="Exterior spruce branch under bark"/>
    <s v="Spruce"/>
    <s v="Exterior"/>
    <s v="Under bark"/>
    <m/>
    <m/>
    <s v="Unknown"/>
    <m/>
    <m/>
    <s v="NA"/>
    <s v="NA"/>
    <s v="NA"/>
    <n v="0"/>
    <n v="0"/>
    <n v="0"/>
    <n v="0"/>
    <n v="0"/>
    <n v="0"/>
    <m/>
    <s v="Had food at start of video.  Unclear where it got is from. "/>
    <m/>
    <m/>
  </r>
  <r>
    <s v="DSCN3503"/>
    <s v="MC0424_16"/>
    <n v="16"/>
    <n v="1"/>
    <s v="Mercantile"/>
    <d v="2019-04-24T00:00:00"/>
    <x v="0"/>
    <m/>
    <d v="1899-12-30T00:11:00"/>
    <s v="Partly cloudy"/>
    <s v="BW/GS"/>
    <s v="Foraging"/>
    <s v="Aspen"/>
    <n v="1"/>
    <n v="0"/>
    <n v="0"/>
    <x v="2"/>
    <x v="2"/>
    <s v="Aspen trunk under bark"/>
    <s v="NA"/>
    <m/>
    <m/>
    <m/>
    <s v="NA"/>
    <s v="NA"/>
    <s v="NA"/>
    <s v="NA"/>
    <s v="NA"/>
    <s v="NA"/>
    <s v="NA"/>
    <s v="NA"/>
    <n v="0"/>
    <n v="0"/>
    <n v="0"/>
    <n v="0"/>
    <n v="0"/>
    <n v="0"/>
    <m/>
    <s v="Missed acquisition"/>
    <m/>
    <m/>
  </r>
  <r>
    <s v="DSCN3466"/>
    <s v="BU0424_8"/>
    <n v="8"/>
    <n v="1"/>
    <s v="B&amp;U"/>
    <d v="2019-04-24T00:00:00"/>
    <x v="0"/>
    <m/>
    <d v="1899-12-30T00:06:00"/>
    <s v="Partly cloudy"/>
    <s v="GR/PS"/>
    <s v="Foraging"/>
    <s v="Spruce"/>
    <n v="1"/>
    <n v="0"/>
    <n v="0"/>
    <x v="2"/>
    <x v="10"/>
    <s v="Interior bare spruce branch"/>
    <s v="NA"/>
    <m/>
    <m/>
    <m/>
    <s v="NA"/>
    <s v="NA"/>
    <s v="NA"/>
    <s v="NA"/>
    <s v="NA"/>
    <s v="NA"/>
    <s v="NA"/>
    <s v="NA"/>
    <n v="0"/>
    <n v="0"/>
    <n v="0"/>
    <n v="0"/>
    <n v="0"/>
    <n v="0"/>
    <m/>
    <s v="Missed foraging, but Liz witnessed initial capture"/>
    <m/>
    <m/>
  </r>
  <r>
    <s v="DSCN3602"/>
    <s v="AQ0426_6"/>
    <n v="6"/>
    <n v="1"/>
    <s v="Air Quality"/>
    <d v="2019-04-26T00:00:00"/>
    <x v="0"/>
    <m/>
    <d v="1899-12-30T02:07:00"/>
    <m/>
    <s v="PG/PS"/>
    <s v="Foraging"/>
    <s v="NA"/>
    <n v="1"/>
    <n v="0"/>
    <n v="0"/>
    <x v="2"/>
    <x v="2"/>
    <s v="Ground"/>
    <s v="NA"/>
    <m/>
    <m/>
    <m/>
    <s v="NA"/>
    <s v="NA"/>
    <s v="NA"/>
    <s v="NA"/>
    <s v="NA"/>
    <s v="NA"/>
    <s v="NA"/>
    <s v="NA"/>
    <n v="0"/>
    <n v="0"/>
    <n v="0"/>
    <n v="0"/>
    <n v="0"/>
    <n v="0"/>
    <s v="Searching"/>
    <m/>
    <m/>
    <m/>
  </r>
  <r>
    <s v="DSCN3602"/>
    <s v="AQ0426_6"/>
    <n v="6"/>
    <n v="2"/>
    <s v="Air Quality"/>
    <d v="2019-04-26T00:00:00"/>
    <x v="0"/>
    <m/>
    <d v="1899-12-30T02:07:00"/>
    <m/>
    <s v="PG/PS"/>
    <s v="Foraging"/>
    <s v="NA"/>
    <n v="1"/>
    <n v="0"/>
    <n v="0"/>
    <x v="1"/>
    <x v="13"/>
    <s v="Ground"/>
    <s v="NA"/>
    <m/>
    <m/>
    <m/>
    <s v="NA"/>
    <s v="NA"/>
    <s v="NA"/>
    <s v="NA"/>
    <s v="NA"/>
    <s v="NA"/>
    <s v="NA"/>
    <s v="NA"/>
    <n v="0"/>
    <n v="0"/>
    <n v="0"/>
    <n v="0"/>
    <n v="0"/>
    <n v="0"/>
    <s v="Searching"/>
    <m/>
    <m/>
    <m/>
  </r>
  <r>
    <s v="DSCN3585"/>
    <s v="AQ0426_1"/>
    <n v="1"/>
    <n v="2"/>
    <s v="Air Quality"/>
    <d v="2019-04-26T00:00:00"/>
    <x v="0"/>
    <m/>
    <d v="1899-12-30T00:39:00"/>
    <m/>
    <s v="PL/PS"/>
    <s v="Food handling"/>
    <s v="NA"/>
    <n v="0"/>
    <n v="0"/>
    <n v="1"/>
    <x v="7"/>
    <x v="39"/>
    <s v="unknown"/>
    <s v="exterior spruce foliage "/>
    <s v="Spruce"/>
    <s v="Exterior"/>
    <s v="Foliage"/>
    <s v="NA"/>
    <s v="NA"/>
    <s v="NA"/>
    <n v="63.72457"/>
    <n v="148.96351999999999"/>
    <s v="unknown"/>
    <s v="unknown"/>
    <s v="NA"/>
    <n v="0"/>
    <n v="0"/>
    <n v="0"/>
    <n v="0"/>
    <n v="0"/>
    <n v="0"/>
    <m/>
    <s v="Second cache was in neighboring tree, so GPS"/>
    <m/>
    <m/>
  </r>
  <r>
    <s v="DSCN3585"/>
    <s v="AQ0426_1"/>
    <n v="1"/>
    <n v="1"/>
    <s v="Air Quality"/>
    <d v="2019-04-26T00:00:00"/>
    <x v="0"/>
    <m/>
    <d v="1899-12-30T00:39:00"/>
    <m/>
    <s v="PL/PS"/>
    <s v="Food handling"/>
    <s v="NA"/>
    <n v="1"/>
    <n v="1"/>
    <n v="1"/>
    <x v="7"/>
    <x v="39"/>
    <s v="unknown"/>
    <s v="exterior spruce foliage "/>
    <s v="Spruce"/>
    <s v="Exterior"/>
    <s v="Foliage"/>
    <s v="E"/>
    <n v="90"/>
    <s v="Unknown"/>
    <n v="63.72457"/>
    <n v="148.96351999999999"/>
    <s v="unknown"/>
    <s v="unknown"/>
    <s v="NA"/>
    <n v="0"/>
    <n v="0"/>
    <n v="0"/>
    <n v="0"/>
    <n v="0"/>
    <n v="0"/>
    <m/>
    <s v="Missed initial acquisition"/>
    <m/>
    <m/>
  </r>
  <r>
    <s v="DSCN3622"/>
    <s v="WW0428_3"/>
    <n v="3"/>
    <n v="1"/>
    <s v="WAC West"/>
    <d v="2019-04-28T00:00:00"/>
    <x v="0"/>
    <m/>
    <d v="1899-12-30T00:10:00"/>
    <s v="Clear, full sun"/>
    <s v="BP/PS"/>
    <s v="Foraging"/>
    <s v="Aspen"/>
    <n v="1"/>
    <n v="1"/>
    <n v="0"/>
    <x v="2"/>
    <x v="2"/>
    <s v="Exterior aspen branch under bark"/>
    <s v="NA"/>
    <m/>
    <m/>
    <m/>
    <s v="NA"/>
    <s v="NA"/>
    <s v="NA"/>
    <s v="NA"/>
    <s v="NA"/>
    <n v="63.740810000000003"/>
    <n v="148.8981"/>
    <s v="NA"/>
    <n v="0"/>
    <n v="0"/>
    <n v="0"/>
    <n v="0"/>
    <n v="0"/>
    <n v="0"/>
    <s v="Searching"/>
    <s v="Missed initial acquisition"/>
    <m/>
    <m/>
  </r>
  <r>
    <s v="DSCN3643"/>
    <s v="M4R0430_6"/>
    <n v="6"/>
    <n v="1"/>
    <s v="M4Roadside"/>
    <d v="2019-04-30T00:00:00"/>
    <x v="0"/>
    <m/>
    <d v="1899-12-30T00:05:00"/>
    <s v="Clear, full sun"/>
    <s v="YO/BS"/>
    <s v="Foraging"/>
    <s v="NA"/>
    <n v="0"/>
    <n v="0"/>
    <n v="1"/>
    <x v="2"/>
    <x v="2"/>
    <s v="unknown"/>
    <s v="Exterior spruce branch under witch hair"/>
    <s v="Spruce"/>
    <s v="Exterior"/>
    <s v="Under witchhair"/>
    <s v="NE"/>
    <n v="50"/>
    <s v="Unknown"/>
    <n v="63.720140000000001"/>
    <n v="148.98885999999999"/>
    <s v="NA"/>
    <s v="NA"/>
    <s v="NA"/>
    <n v="0"/>
    <n v="0"/>
    <n v="0"/>
    <n v="0"/>
    <n v="0"/>
    <n v="0"/>
    <m/>
    <s v="Didn't mark as additional food acquisition because he may or may not have cached a food we already documented him as aquiring.  "/>
    <m/>
    <m/>
  </r>
  <r>
    <s v="DSCN3683"/>
    <s v="M4R0430_24"/>
    <n v="24"/>
    <n v="1"/>
    <s v="M4Roadside"/>
    <d v="2019-04-30T00:00:00"/>
    <x v="0"/>
    <m/>
    <d v="1899-12-30T01:55:00"/>
    <s v="Clear, full sun"/>
    <s v="YO/BS"/>
    <s v="Caching"/>
    <s v="Spruce"/>
    <n v="0"/>
    <n v="0"/>
    <n v="1"/>
    <x v="1"/>
    <x v="7"/>
    <s v="NA"/>
    <s v="exterior spruce foliage "/>
    <s v="Spruce"/>
    <s v="Exterior"/>
    <s v="Foliage"/>
    <s v="S"/>
    <n v="175"/>
    <n v="12"/>
    <n v="63.720010000000002"/>
    <n v="148.98734999999999"/>
    <s v="NA"/>
    <s v="NA"/>
    <s v="NA"/>
    <n v="0"/>
    <n v="0"/>
    <n v="0"/>
    <n v="0"/>
    <n v="0"/>
    <n v="0"/>
    <m/>
    <s v="Deployed camera on cache site"/>
    <m/>
    <m/>
  </r>
  <r>
    <s v="DSCN3681"/>
    <s v="M4R0430_22"/>
    <n v="22"/>
    <n v="1"/>
    <s v="M4Roadside"/>
    <d v="2019-04-30T00:00:00"/>
    <x v="0"/>
    <m/>
    <d v="1899-12-30T00:35:00"/>
    <s v="Clear, full sun"/>
    <s v="YO/BS"/>
    <s v="Food handling"/>
    <s v="NA"/>
    <n v="1"/>
    <n v="0"/>
    <n v="0"/>
    <x v="1"/>
    <x v="7"/>
    <s v="Ground"/>
    <s v="NA"/>
    <m/>
    <m/>
    <m/>
    <s v="NA"/>
    <s v="NA"/>
    <s v="NA"/>
    <s v="NA"/>
    <s v="NA"/>
    <s v="NA"/>
    <s v="NA"/>
    <s v="NA"/>
    <n v="0"/>
    <n v="0"/>
    <n v="0"/>
    <n v="0"/>
    <n v="0"/>
    <n v="0"/>
    <m/>
    <s v="Missed initial acquisition"/>
    <m/>
    <m/>
  </r>
  <r>
    <s v="DSCN3654"/>
    <s v="M4R0430_12"/>
    <n v="12"/>
    <n v="1"/>
    <s v="M4Roadside"/>
    <d v="2019-04-30T00:00:00"/>
    <x v="0"/>
    <m/>
    <d v="1899-12-30T00:13:00"/>
    <s v="Clear, full sun"/>
    <s v="OB/YS"/>
    <s v="Foraging"/>
    <s v="NA"/>
    <n v="0"/>
    <n v="0"/>
    <n v="0"/>
    <x v="0"/>
    <x v="0"/>
    <s v="NA"/>
    <s v="NA"/>
    <m/>
    <m/>
    <m/>
    <s v="NA"/>
    <s v="NA"/>
    <s v="NA"/>
    <s v="NA"/>
    <s v="NA"/>
    <s v="NA"/>
    <s v="NA"/>
    <s v="NA"/>
    <n v="0"/>
    <n v="0"/>
    <n v="0"/>
    <n v="0"/>
    <n v="0"/>
    <n v="0"/>
    <m/>
    <s v="Rest of caching behavior from previous video. "/>
    <m/>
    <m/>
  </r>
  <r>
    <s v="DSCN3682"/>
    <s v="M4R0430_23"/>
    <n v="23"/>
    <n v="1"/>
    <s v="M4Roadside"/>
    <d v="2019-04-30T00:00:00"/>
    <x v="0"/>
    <m/>
    <d v="1899-12-30T00:24:00"/>
    <s v="Clear, full sun"/>
    <s v="YO/BS"/>
    <s v="Food handling"/>
    <s v="NA"/>
    <n v="0"/>
    <n v="0"/>
    <n v="0"/>
    <x v="1"/>
    <x v="7"/>
    <s v="NA"/>
    <s v="NA"/>
    <m/>
    <m/>
    <m/>
    <s v="NA"/>
    <s v="NA"/>
    <s v="NA"/>
    <s v="NA"/>
    <s v="NA"/>
    <s v="NA"/>
    <s v="NA"/>
    <s v="NA"/>
    <n v="0"/>
    <n v="0"/>
    <n v="0"/>
    <n v="0"/>
    <n v="0"/>
    <n v="0"/>
    <m/>
    <s v="processing caterpiller from previous video."/>
    <m/>
    <m/>
  </r>
  <r>
    <s v="DSCN3777"/>
    <s v="BU0502_1"/>
    <n v="1"/>
    <n v="1"/>
    <s v="B&amp;U"/>
    <d v="2019-05-02T00:00:00"/>
    <x v="2"/>
    <m/>
    <d v="1899-12-30T00:20:00"/>
    <s v="Mostly cloudy"/>
    <s v="GR/PS"/>
    <s v="Foraging"/>
    <s v="Spruce"/>
    <n v="1"/>
    <n v="1"/>
    <n v="0"/>
    <x v="2"/>
    <x v="2"/>
    <s v="Interior spruce foliage "/>
    <s v="NA"/>
    <m/>
    <m/>
    <m/>
    <s v="NA"/>
    <s v="NA"/>
    <s v="NA"/>
    <s v="NA"/>
    <s v="NA"/>
    <n v="63.726010000000002"/>
    <n v="148.95821000000001"/>
    <s v="NA"/>
    <n v="0"/>
    <n v="0"/>
    <n v="0"/>
    <n v="0"/>
    <n v="0"/>
    <n v="0"/>
    <m/>
    <s v="Missed initial acquisition"/>
    <m/>
    <m/>
  </r>
  <r>
    <s v="DSCN3774"/>
    <s v="TC0502_4"/>
    <n v="4"/>
    <n v="1"/>
    <s v="Tcamp"/>
    <d v="2019-05-02T00:00:00"/>
    <x v="2"/>
    <m/>
    <d v="1899-12-30T00:39:00"/>
    <s v="Mostly cloudy"/>
    <s v="WL/PS"/>
    <s v="Caching"/>
    <s v="Spruce"/>
    <n v="0"/>
    <n v="0"/>
    <n v="1"/>
    <x v="1"/>
    <x v="7"/>
    <s v="NA"/>
    <s v="Exterior spruce branch under witch hair"/>
    <s v="Spruce"/>
    <s v="Exterior"/>
    <s v="Under witchhair"/>
    <s v="NW"/>
    <n v="220"/>
    <n v="20"/>
    <n v="63.733550000000001"/>
    <n v="148.90380999999999"/>
    <s v="NA"/>
    <s v="NA"/>
    <s v="NA"/>
    <n v="0"/>
    <n v="0"/>
    <n v="0"/>
    <n v="0"/>
    <n v="0"/>
    <n v="0"/>
    <m/>
    <m/>
    <m/>
    <m/>
  </r>
  <r>
    <s v="DSCN3774"/>
    <s v="TC0502_4"/>
    <n v="4"/>
    <n v="2"/>
    <s v="Tcamp"/>
    <d v="2019-05-02T00:00:00"/>
    <x v="2"/>
    <m/>
    <d v="1899-12-30T00:39:00"/>
    <s v="Mostly cloudy"/>
    <s v="WL/PS"/>
    <s v="Caching"/>
    <s v="Spruce"/>
    <n v="0"/>
    <n v="0"/>
    <n v="1"/>
    <x v="1"/>
    <x v="7"/>
    <s v="NA"/>
    <s v="Exterior spruce branch under witch hair"/>
    <s v="Spruce"/>
    <s v="Exterior"/>
    <s v="Under witchhair"/>
    <s v="NW"/>
    <n v="240"/>
    <n v="20"/>
    <n v="63.733550000000001"/>
    <n v="148.90380999999999"/>
    <s v="NA"/>
    <s v="NA"/>
    <s v="NA"/>
    <n v="0"/>
    <n v="0"/>
    <n v="0"/>
    <n v="0"/>
    <n v="0"/>
    <n v="0"/>
    <m/>
    <s v="Different tree from first cache but same GPS"/>
    <m/>
    <m/>
  </r>
  <r>
    <s v="DSCN3772"/>
    <s v="TC0502_3"/>
    <n v="3"/>
    <n v="1"/>
    <s v="Tcamp"/>
    <d v="2019-05-02T00:00:00"/>
    <x v="2"/>
    <m/>
    <d v="1899-12-30T00:21:00"/>
    <s v="Mostly cloudy"/>
    <s v="WL/PS"/>
    <s v="Food handling"/>
    <s v="NA"/>
    <n v="1"/>
    <n v="0"/>
    <n v="0"/>
    <x v="1"/>
    <x v="7"/>
    <s v="Ground"/>
    <s v="NA"/>
    <m/>
    <m/>
    <m/>
    <s v="NA"/>
    <s v="NA"/>
    <s v="NA"/>
    <s v="NA"/>
    <s v="NA"/>
    <s v="NA"/>
    <s v="NA"/>
    <s v="NA"/>
    <n v="0"/>
    <n v="0"/>
    <n v="0"/>
    <n v="0"/>
    <n v="0"/>
    <n v="0"/>
    <s v="Searching"/>
    <s v="Missed initial acquisition"/>
    <m/>
    <m/>
  </r>
  <r>
    <s v="DSCN3814"/>
    <s v="CC0503_4"/>
    <n v="4"/>
    <n v="1"/>
    <s v="CCAMP"/>
    <d v="2019-05-03T00:00:00"/>
    <x v="2"/>
    <m/>
    <d v="1899-12-30T00:10:00"/>
    <s v="Overcast, light snow"/>
    <s v="GB/BS"/>
    <s v="Food handling/caching"/>
    <s v="Spruce"/>
    <n v="1"/>
    <n v="0"/>
    <n v="1"/>
    <x v="1"/>
    <x v="40"/>
    <s v="Ground"/>
    <s v="Interior spruce foliage"/>
    <s v="Spruce"/>
    <s v="Interior"/>
    <s v="Foliage"/>
    <s v="SE"/>
    <n v="115"/>
    <n v="10"/>
    <n v="63.722990000000003"/>
    <n v="148.94640999999999"/>
    <s v="NA"/>
    <s v="NA"/>
    <s v="NA"/>
    <n v="0"/>
    <n v="0"/>
    <n v="0"/>
    <n v="0"/>
    <n v="0"/>
    <n v="0"/>
    <m/>
    <s v="Missed initial acquisition, but it caught it near where video picks up.  We are not 100% confident about cache, but &quot;post-cache&quot; behavior and bill load suggests it cached it. "/>
    <m/>
    <m/>
  </r>
  <r>
    <s v="DSCN3812"/>
    <s v="CC0503_3"/>
    <n v="3"/>
    <n v="1"/>
    <s v="CCAMP"/>
    <d v="2019-05-03T00:00:00"/>
    <x v="2"/>
    <m/>
    <d v="1899-12-30T00:03:00"/>
    <s v="Overcast, light snow"/>
    <s v="GB/BS"/>
    <s v="Food handling"/>
    <s v="NA"/>
    <n v="1"/>
    <n v="0"/>
    <n v="0"/>
    <x v="1"/>
    <x v="1"/>
    <s v="Ground"/>
    <s v="NA"/>
    <m/>
    <m/>
    <m/>
    <s v="NA"/>
    <s v="NA"/>
    <s v="NA"/>
    <s v="NA"/>
    <s v="NA"/>
    <s v="NA"/>
    <s v="NA"/>
    <s v="NA"/>
    <n v="0"/>
    <n v="0"/>
    <n v="0"/>
    <n v="0"/>
    <n v="0"/>
    <n v="0"/>
    <s v="Searching"/>
    <m/>
    <m/>
    <m/>
  </r>
  <r>
    <s v="DSCN3835"/>
    <s v="CC0503_15"/>
    <n v="15"/>
    <n v="1"/>
    <s v="CCAMP"/>
    <d v="2019-05-05T00:00:00"/>
    <x v="2"/>
    <m/>
    <d v="1899-12-30T02:02:00"/>
    <s v="Overcast, light snow"/>
    <s v="GB/BS"/>
    <s v="Caching"/>
    <s v="Spruce"/>
    <n v="0"/>
    <n v="0"/>
    <n v="1"/>
    <x v="1"/>
    <x v="1"/>
    <s v="NA"/>
    <s v="Spruce trunk"/>
    <s v="Spruce"/>
    <s v="Trunk"/>
    <s v="Under bark"/>
    <s v="Unknown, did not recognize as cache in field"/>
    <s v="Unknown, did not recognize as cache in field"/>
    <s v="Unknown, did not recognize as cache in field"/>
    <s v="Unknown, did not recognize as cache in field"/>
    <s v="Unknown, did not recognize as cache in field"/>
    <s v="NA"/>
    <s v="NA"/>
    <s v="NA"/>
    <n v="0"/>
    <n v="0"/>
    <n v="0"/>
    <n v="0"/>
    <n v="0"/>
    <n v="0"/>
    <m/>
    <m/>
    <m/>
    <m/>
  </r>
  <r>
    <s v="DSCN3872"/>
    <s v="CC0506_4"/>
    <n v="4"/>
    <n v="1"/>
    <s v="CCAMP"/>
    <d v="2019-05-06T00:00:00"/>
    <x v="2"/>
    <m/>
    <d v="1899-12-30T01:49:00"/>
    <s v="Mostly cloudy"/>
    <s v="GB/BS"/>
    <s v="Foraging"/>
    <s v="NA"/>
    <n v="0"/>
    <n v="0"/>
    <n v="3"/>
    <x v="2"/>
    <x v="2"/>
    <s v="unknown"/>
    <s v="Exterior spruce branch under witch hair"/>
    <s v="Spruce"/>
    <s v="Exterior"/>
    <s v="Under witchhair"/>
    <s v="SW"/>
    <n v="230"/>
    <s v="Unknown"/>
    <n v="63.72392"/>
    <n v="148.95093"/>
    <s v="NA"/>
    <s v="NA"/>
    <s v="NA"/>
    <n v="0"/>
    <n v="0"/>
    <n v="0"/>
    <n v="0"/>
    <n v="0"/>
    <n v="0"/>
    <m/>
    <s v="3 Cached all in the same area on a single tree. "/>
    <m/>
    <m/>
  </r>
  <r>
    <s v="DSCN3899"/>
    <s v="MC0506_10"/>
    <n v="10"/>
    <n v="1"/>
    <s v="Mercantile"/>
    <d v="2019-05-06T00:00:00"/>
    <x v="2"/>
    <m/>
    <d v="1899-12-30T00:12:00"/>
    <s v="Mostly cloudy"/>
    <s v="WO/OS"/>
    <s v="Foraging"/>
    <s v="Spruce"/>
    <n v="1"/>
    <s v="unknown"/>
    <n v="0"/>
    <x v="2"/>
    <x v="2"/>
    <s v="Interior spruce dense twigs"/>
    <s v="NA"/>
    <m/>
    <m/>
    <m/>
    <s v="NA"/>
    <s v="NA"/>
    <s v="NA"/>
    <s v="NA"/>
    <s v="NA"/>
    <s v="NA"/>
    <s v="NA"/>
    <s v="NA"/>
    <n v="0"/>
    <n v="0"/>
    <n v="0"/>
    <n v="0"/>
    <n v="0"/>
    <n v="0"/>
    <m/>
    <s v="Missed initial acquisition"/>
    <m/>
    <m/>
  </r>
  <r>
    <s v="DSCN3902"/>
    <s v="MC0506_13"/>
    <n v="13"/>
    <n v="1"/>
    <s v="Mercantile"/>
    <d v="2019-05-06T00:00:00"/>
    <x v="2"/>
    <m/>
    <d v="1899-12-30T00:13:00"/>
    <s v="Mostly cloudy"/>
    <s v="WO/OS"/>
    <s v="Caching"/>
    <s v="Spruce"/>
    <n v="0"/>
    <n v="0"/>
    <n v="1"/>
    <x v="1"/>
    <x v="7"/>
    <s v="NA"/>
    <s v="Interior spruce foliage"/>
    <s v="Spruce"/>
    <s v="Interior"/>
    <s v="Foliage"/>
    <s v="E"/>
    <n v="95"/>
    <n v="21"/>
    <n v="63.736319999999999"/>
    <n v="148.90260000000001"/>
    <s v="NA"/>
    <s v="NA"/>
    <s v="NA"/>
    <n v="0"/>
    <n v="0"/>
    <n v="0"/>
    <n v="0"/>
    <n v="0"/>
    <n v="0"/>
    <m/>
    <s v="Deployed camera on cache site"/>
    <m/>
    <m/>
  </r>
  <r>
    <s v="DSCN3903"/>
    <s v="MC0506_14"/>
    <n v="14"/>
    <n v="1"/>
    <s v="Mercantile"/>
    <d v="2019-05-06T00:00:00"/>
    <x v="2"/>
    <m/>
    <d v="1899-12-30T00:10:00"/>
    <s v="Mostly cloudy"/>
    <s v="WO/OS"/>
    <s v="Caching"/>
    <s v="Spruce"/>
    <n v="1"/>
    <n v="0"/>
    <n v="1"/>
    <x v="1"/>
    <x v="1"/>
    <s v="unknown"/>
    <s v="Exterior spruce branch on bark"/>
    <s v="Spruce"/>
    <s v="Exterior"/>
    <s v="On branch"/>
    <s v="NE"/>
    <n v="39"/>
    <s v="Unknown"/>
    <n v="63.736240000000002"/>
    <n v="148.90282999999999"/>
    <s v="NA"/>
    <s v="NA"/>
    <s v="NA"/>
    <n v="0"/>
    <n v="0"/>
    <n v="0"/>
    <n v="0"/>
    <n v="0"/>
    <n v="0"/>
    <m/>
    <s v="Deployed camera on cache site"/>
    <m/>
    <m/>
  </r>
  <r>
    <s v="DSCN3894"/>
    <s v="MC0506_7"/>
    <n v="7"/>
    <n v="1"/>
    <s v="Mercantile"/>
    <d v="2019-05-06T00:00:00"/>
    <x v="2"/>
    <m/>
    <d v="1899-12-30T00:26:00"/>
    <s v="Mostly cloudy"/>
    <s v="BW/GS"/>
    <s v="Food handling"/>
    <s v="NA"/>
    <n v="1"/>
    <n v="0"/>
    <n v="0"/>
    <x v="1"/>
    <x v="7"/>
    <s v="Ground"/>
    <s v="NA"/>
    <m/>
    <m/>
    <m/>
    <s v="NA"/>
    <s v="NA"/>
    <s v="NA"/>
    <s v="NA"/>
    <s v="NA"/>
    <s v="NA"/>
    <s v="NA"/>
    <s v="NA"/>
    <n v="0"/>
    <n v="0"/>
    <n v="0"/>
    <n v="0"/>
    <n v="0"/>
    <n v="0"/>
    <m/>
    <m/>
    <m/>
    <m/>
  </r>
  <r>
    <s v="DSCN2401"/>
    <s v="TAI0320_15"/>
    <n v="15"/>
    <n v="1"/>
    <s v="Taiga"/>
    <d v="2019-03-20T00:00:00"/>
    <x v="1"/>
    <m/>
    <d v="1899-12-30T00:39:00"/>
    <s v="Partly cloudy"/>
    <s v="OO/BS"/>
    <s v="Unknown"/>
    <s v="Spruce"/>
    <s v="unknown"/>
    <n v="0"/>
    <s v="Unknown"/>
    <x v="0"/>
    <x v="2"/>
    <s v="uknown"/>
    <s v="NA"/>
    <m/>
    <m/>
    <m/>
    <s v="NA"/>
    <s v="NA"/>
    <s v="NA"/>
    <s v="NA"/>
    <s v="NA"/>
    <m/>
    <m/>
    <m/>
    <n v="0"/>
    <n v="0"/>
    <n v="0"/>
    <n v="0"/>
    <n v="0"/>
    <n v="0"/>
    <s v="Was it caching? Probing? IDK! "/>
    <m/>
    <m/>
    <m/>
  </r>
  <r>
    <s v="DSCN2542"/>
    <s v="M2370326_4"/>
    <n v="4"/>
    <n v="1"/>
    <s v="Mile 237"/>
    <d v="2019-03-26T00:00:00"/>
    <x v="1"/>
    <m/>
    <d v="1899-12-30T00:14:00"/>
    <s v="Mostly sunny"/>
    <s v="YP/RS"/>
    <s v="Unknown"/>
    <s v="Aspen"/>
    <s v="unknown"/>
    <s v="unknown"/>
    <s v="Unknown"/>
    <x v="0"/>
    <x v="0"/>
    <s v="NA"/>
    <s v="NA"/>
    <m/>
    <m/>
    <m/>
    <s v="NA"/>
    <s v="NA"/>
    <s v="NA"/>
    <s v="NA"/>
    <s v="NA"/>
    <m/>
    <m/>
    <m/>
    <m/>
    <m/>
    <m/>
    <m/>
    <m/>
    <n v="0"/>
    <m/>
    <m/>
    <m/>
    <m/>
  </r>
  <r>
    <s v="DSCN2726"/>
    <s v="M4W0401_1"/>
    <n v="1"/>
    <n v="1"/>
    <s v="M4West"/>
    <d v="2019-04-01T00:00:00"/>
    <x v="0"/>
    <m/>
    <d v="1899-12-30T00:14:00"/>
    <m/>
    <s v="BR/RS"/>
    <s v="Unknown"/>
    <s v="Spruce"/>
    <s v="unknown"/>
    <s v="unknown"/>
    <s v="Unknown"/>
    <x v="0"/>
    <x v="0"/>
    <s v="NA"/>
    <s v="NA"/>
    <m/>
    <m/>
    <m/>
    <s v="NA"/>
    <s v="NA"/>
    <s v="NA"/>
    <s v="NA"/>
    <s v="NA"/>
    <s v="NA"/>
    <s v="NA"/>
    <m/>
    <n v="0"/>
    <n v="0"/>
    <n v="0"/>
    <n v="0"/>
    <n v="0"/>
    <n v="0"/>
    <m/>
    <s v="Either made a cache or recovered food…?"/>
    <m/>
    <m/>
  </r>
  <r>
    <m/>
    <m/>
    <m/>
    <m/>
    <m/>
    <m/>
    <x v="3"/>
    <m/>
    <m/>
    <m/>
    <m/>
    <m/>
    <m/>
    <m/>
    <m/>
    <m/>
    <x v="0"/>
    <x v="41"/>
    <m/>
    <m/>
    <m/>
    <m/>
    <m/>
    <m/>
    <m/>
    <m/>
    <m/>
    <m/>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1">
  <r>
    <s v="DSCN0063"/>
    <s v="MM11_1"/>
    <n v="1"/>
    <n v="1"/>
    <s v="Mercentile "/>
    <d v="2018-03-10T00:00:00"/>
    <s v="March"/>
    <s v="Spring"/>
    <d v="1899-12-30T00:33:00"/>
    <s v="Overcast, low wind"/>
    <s v="WY/OS"/>
    <m/>
    <s v="Spruce"/>
    <s v="unknown"/>
    <s v="unknown"/>
    <m/>
    <s v="Unknown"/>
    <s v="unknown"/>
    <m/>
    <m/>
    <n v="0"/>
    <n v="9"/>
    <n v="9"/>
    <n v="0"/>
    <n v="0"/>
    <n v="9"/>
    <s v="Gleaning"/>
    <m/>
    <m/>
    <m/>
  </r>
  <r>
    <s v="DSCN0064"/>
    <s v="MM11_8"/>
    <n v="8"/>
    <n v="1"/>
    <s v="Mercentile "/>
    <d v="2018-03-10T00:00:00"/>
    <s v="March"/>
    <s v="Spring"/>
    <d v="1899-12-30T00:00:17"/>
    <s v="Overcast, low wind"/>
    <s v="WY/OS"/>
    <m/>
    <s v="Deciduous shrub"/>
    <s v="unknown"/>
    <s v="unknown"/>
    <m/>
    <s v="Unknown"/>
    <s v="unknown"/>
    <m/>
    <m/>
    <n v="15"/>
    <n v="0"/>
    <n v="0"/>
    <n v="15"/>
    <n v="0"/>
    <n v="15"/>
    <s v="Visual Searching"/>
    <m/>
    <m/>
    <m/>
  </r>
  <r>
    <s v="DSCN0105"/>
    <s v="MM11_2"/>
    <n v="2"/>
    <n v="1"/>
    <s v="Mercentile "/>
    <d v="2018-03-11T00:00:00"/>
    <s v="March"/>
    <s v="Spring"/>
    <d v="1899-12-30T00:15:00"/>
    <s v="Overcast, low wind"/>
    <s v="unknown"/>
    <m/>
    <s v="Spruce"/>
    <s v="unknown"/>
    <s v="unknown"/>
    <m/>
    <s v="Unknown"/>
    <s v="unknown"/>
    <m/>
    <m/>
    <n v="0"/>
    <n v="16"/>
    <n v="8"/>
    <n v="8"/>
    <n v="0"/>
    <n v="16"/>
    <s v="Visual Searching"/>
    <m/>
    <m/>
    <m/>
  </r>
  <r>
    <m/>
    <s v="RC0311_3"/>
    <n v="3"/>
    <n v="1"/>
    <s v="Riley Creek"/>
    <d v="2018-03-11T00:00:00"/>
    <s v="March"/>
    <s v="Spring"/>
    <d v="1899-12-30T00:45:00"/>
    <m/>
    <s v="Unbanded"/>
    <s v="Foraging/Food handling"/>
    <s v="Spruce"/>
    <n v="1"/>
    <n v="0"/>
    <n v="1"/>
    <s v="misc"/>
    <s v="Toilet Paper"/>
    <s v="Ground"/>
    <s v="Spruce trunk under bark "/>
    <n v="0"/>
    <n v="0"/>
    <n v="0"/>
    <n v="0"/>
    <n v="0"/>
    <n v="0"/>
    <m/>
    <s v="Missed foraging event on camera, but saw it visually. "/>
    <m/>
    <m/>
  </r>
  <r>
    <m/>
    <s v="MM11_Berry"/>
    <m/>
    <n v="1"/>
    <s v="Mercentile "/>
    <d v="2018-03-11T00:00:00"/>
    <s v="March"/>
    <s v="Spring"/>
    <d v="1899-12-30T00:42:00"/>
    <s v="Overcast, low wind"/>
    <s v="WY/OS"/>
    <m/>
    <s v="Aspen"/>
    <n v="1"/>
    <n v="1"/>
    <m/>
    <s v="Berry"/>
    <s v="Berry"/>
    <s v="Spruce trunk under bark"/>
    <m/>
    <n v="0"/>
    <n v="0"/>
    <n v="0"/>
    <n v="0"/>
    <n v="0"/>
    <n v="0"/>
    <s v="Gleaning"/>
    <m/>
    <m/>
    <m/>
  </r>
  <r>
    <s v="DSCN0108"/>
    <s v="RC0311_1"/>
    <n v="1"/>
    <n v="1"/>
    <s v="Riley Creek"/>
    <d v="2018-03-11T00:00:00"/>
    <s v="March"/>
    <s v="Spring"/>
    <d v="1899-12-30T00:26:00"/>
    <m/>
    <s v="Unbanded"/>
    <s v="Foraging"/>
    <s v="Spruce"/>
    <n v="0"/>
    <n v="0"/>
    <n v="0"/>
    <m/>
    <s v="NA"/>
    <s v="NA"/>
    <s v="NA"/>
    <n v="4"/>
    <n v="7"/>
    <n v="0"/>
    <n v="11"/>
    <n v="0"/>
    <n v="11"/>
    <s v="Visual Searching"/>
    <m/>
    <m/>
    <m/>
  </r>
  <r>
    <s v="DSCN0109"/>
    <s v="RC0311_2"/>
    <n v="2"/>
    <n v="1"/>
    <s v="Riley Creek"/>
    <d v="2018-03-11T00:00:00"/>
    <s v="March"/>
    <s v="Spring"/>
    <d v="1899-12-30T00:27:00"/>
    <m/>
    <s v="Unbanded"/>
    <s v="Foraging"/>
    <s v="Spruce"/>
    <n v="0"/>
    <n v="0"/>
    <n v="0"/>
    <m/>
    <s v="NA"/>
    <s v="NA"/>
    <s v="NA"/>
    <n v="27"/>
    <n v="0"/>
    <n v="0"/>
    <n v="27"/>
    <n v="0"/>
    <n v="27"/>
    <s v="Visual Searching"/>
    <m/>
    <m/>
    <m/>
  </r>
  <r>
    <s v="DSCN0103"/>
    <s v="MM11_3"/>
    <n v="3"/>
    <n v="1"/>
    <s v="Mercentile "/>
    <d v="2018-03-11T00:00:00"/>
    <s v="March"/>
    <s v="Spring"/>
    <d v="1899-12-30T00:34:00"/>
    <s v="Overcast, low wind"/>
    <s v="WY/OS"/>
    <m/>
    <s v="Spruce"/>
    <n v="0"/>
    <n v="0"/>
    <m/>
    <m/>
    <s v="NA"/>
    <s v="NA"/>
    <s v="NA"/>
    <n v="11"/>
    <n v="10"/>
    <n v="0"/>
    <n v="21"/>
    <n v="0"/>
    <n v="21"/>
    <s v="Gleaning, visual searching "/>
    <m/>
    <m/>
    <m/>
  </r>
  <r>
    <s v="DSCN0097"/>
    <s v="MM11_4"/>
    <n v="4"/>
    <n v="1"/>
    <s v="Mercentile "/>
    <d v="2018-03-11T00:00:00"/>
    <s v="March"/>
    <s v="Spring"/>
    <d v="1899-12-30T00:45:00"/>
    <s v="Overcast, low wind"/>
    <s v="WY/OS"/>
    <m/>
    <s v="Aspen"/>
    <n v="0"/>
    <n v="0"/>
    <m/>
    <m/>
    <s v="NA"/>
    <s v="NA"/>
    <s v="NA"/>
    <n v="45"/>
    <n v="0"/>
    <n v="45"/>
    <n v="0"/>
    <n v="0"/>
    <n v="45"/>
    <s v="Visual Searching"/>
    <m/>
    <m/>
    <m/>
  </r>
  <r>
    <s v="DSCN0121"/>
    <s v="MTV0312_2"/>
    <n v="2"/>
    <n v="1"/>
    <s v="Mountain View"/>
    <d v="2018-03-12T00:00:00"/>
    <s v="March"/>
    <s v="Spring"/>
    <d v="1899-12-30T00:11:00"/>
    <s v="Modertate snowfall"/>
    <s v="Unbanded"/>
    <s v="Foraging"/>
    <s v="Spruce"/>
    <s v="unknown"/>
    <s v="unknown"/>
    <s v="Unknown"/>
    <s v="Unknown"/>
    <s v="unknown"/>
    <s v="NA"/>
    <s v="NA"/>
    <n v="11"/>
    <n v="0"/>
    <n v="11"/>
    <n v="0"/>
    <n v="0"/>
    <n v="11"/>
    <s v="Probing"/>
    <s v="Made two probes under bark, but it's too blurry to see if it extracts or deposits food. "/>
    <n v="2"/>
    <n v="0"/>
  </r>
  <r>
    <s v="DSCN0146"/>
    <s v="MM12_1"/>
    <n v="1"/>
    <n v="1"/>
    <s v="Mercentile "/>
    <d v="2018-03-12T00:00:00"/>
    <s v="March"/>
    <s v="Spring"/>
    <d v="1899-12-30T00:00:27"/>
    <s v="Overcast, low wind"/>
    <s v="WY/OS"/>
    <s v="Foraging"/>
    <s v="Aspen"/>
    <s v="unknown"/>
    <s v="unknown"/>
    <m/>
    <s v="Unknown"/>
    <s v="unknown"/>
    <m/>
    <m/>
    <n v="26"/>
    <n v="0"/>
    <n v="8"/>
    <n v="18"/>
    <n v="0"/>
    <n v="26"/>
    <s v="Gleaning, probing, visual searching "/>
    <m/>
    <n v="1"/>
    <n v="0"/>
  </r>
  <r>
    <s v="DSCN0147"/>
    <s v="MM12_2"/>
    <n v="2"/>
    <n v="1"/>
    <s v="Mercentile "/>
    <d v="2018-03-12T00:00:00"/>
    <s v="March"/>
    <s v="Spring"/>
    <d v="1899-12-30T00:00:38"/>
    <s v="Overcast, low wind"/>
    <s v="WY/OS"/>
    <s v="Foraging"/>
    <s v="Aspen"/>
    <s v="unknown"/>
    <s v="unknown"/>
    <m/>
    <s v="Unknown"/>
    <s v="unknown"/>
    <m/>
    <m/>
    <n v="21"/>
    <n v="0"/>
    <n v="10"/>
    <n v="11"/>
    <n v="0"/>
    <n v="21"/>
    <s v="Visual Searching"/>
    <m/>
    <n v="0"/>
    <n v="0"/>
  </r>
  <r>
    <s v="DSCN0148"/>
    <s v="MM12_3"/>
    <n v="3"/>
    <n v="1"/>
    <s v="Mercentile "/>
    <d v="2018-03-12T00:00:00"/>
    <s v="March"/>
    <s v="Spring"/>
    <d v="1899-12-30T00:00:47"/>
    <s v="Overcast, high wind"/>
    <s v="WY/OS"/>
    <s v="Foraging"/>
    <s v="Aspen"/>
    <s v="unknown"/>
    <s v="unknown"/>
    <m/>
    <s v="Unknown"/>
    <s v="unknown"/>
    <m/>
    <m/>
    <n v="34"/>
    <n v="0"/>
    <n v="0"/>
    <n v="34"/>
    <n v="0"/>
    <n v="34"/>
    <s v="Visual searching, probing "/>
    <m/>
    <n v="2"/>
    <n v="0"/>
  </r>
  <r>
    <s v="DSCN0149"/>
    <s v="MM12_4"/>
    <n v="4"/>
    <n v="1"/>
    <s v="Mercentile "/>
    <d v="2018-03-12T00:00:00"/>
    <s v="March"/>
    <s v="Spring"/>
    <d v="1899-12-30T00:01:20"/>
    <s v="Overcast, low wind"/>
    <s v="WY/OS"/>
    <s v="Foraging"/>
    <s v="Aspen"/>
    <s v="unknown"/>
    <s v="unknown"/>
    <m/>
    <s v="Unknown"/>
    <s v="unknown"/>
    <m/>
    <m/>
    <n v="80"/>
    <n v="0"/>
    <n v="80"/>
    <n v="0"/>
    <n v="0"/>
    <n v="80"/>
    <s v="Visual searching, probing "/>
    <m/>
    <n v="6"/>
    <n v="1"/>
  </r>
  <r>
    <s v="DSCN0150"/>
    <s v="MM12_5"/>
    <n v="5"/>
    <n v="1"/>
    <s v="Mercentile "/>
    <d v="2018-03-12T00:00:00"/>
    <s v="March"/>
    <s v="Spring"/>
    <d v="1899-12-30T00:00:54"/>
    <s v="Overcast, high wind"/>
    <s v="WY/OS"/>
    <s v="Foraging"/>
    <s v="Aspen"/>
    <s v="unknown"/>
    <s v="unknown"/>
    <m/>
    <s v="Unknown"/>
    <s v="unknown"/>
    <m/>
    <m/>
    <n v="53"/>
    <n v="0"/>
    <n v="53"/>
    <n v="0"/>
    <n v="0"/>
    <n v="53"/>
    <s v="Visual searching, probing "/>
    <m/>
    <n v="8"/>
    <n v="0"/>
  </r>
  <r>
    <s v="DSCN0119"/>
    <s v="MTV0312_1"/>
    <n v="1"/>
    <n v="1"/>
    <s v="Mountain View"/>
    <d v="2018-03-12T00:00:00"/>
    <s v="March"/>
    <s v="Spring"/>
    <d v="1899-12-30T00:34:00"/>
    <s v="Modertate snowfall"/>
    <s v="Unbanded"/>
    <s v="Foraging"/>
    <s v="Spruce"/>
    <n v="1"/>
    <s v="unknown"/>
    <n v="0"/>
    <s v="Unknown"/>
    <s v="unknown"/>
    <s v="Exterior bare spruce branch under bark"/>
    <s v="NA"/>
    <n v="15"/>
    <n v="12"/>
    <n v="0"/>
    <n v="27"/>
    <n v="0"/>
    <n v="27"/>
    <s v="Gleaning"/>
    <m/>
    <n v="0"/>
    <n v="2"/>
  </r>
  <r>
    <s v="DSCN0137"/>
    <s v="MTV0312_3"/>
    <n v="3"/>
    <n v="1"/>
    <s v="Mountain View"/>
    <d v="2018-03-12T00:00:00"/>
    <s v="March"/>
    <s v="Spring"/>
    <d v="1899-12-30T00:35:00"/>
    <s v="Modertate snowfall"/>
    <s v="Unbanded"/>
    <s v="Foraging"/>
    <s v="Spruce"/>
    <n v="1"/>
    <s v="unknown"/>
    <n v="0"/>
    <s v="Unknown"/>
    <s v="unknown"/>
    <s v="Under bark of spruce trunk"/>
    <s v="NA"/>
    <n v="35"/>
    <n v="0"/>
    <n v="35"/>
    <n v="0"/>
    <n v="0"/>
    <n v="35"/>
    <s v="Probing and visual searhcing"/>
    <s v="Pulled bark off of tree"/>
    <n v="7"/>
    <n v="0"/>
  </r>
  <r>
    <s v="DSCN0138"/>
    <s v="MTV0312_4"/>
    <n v="4"/>
    <n v="1"/>
    <s v="Mountain View"/>
    <d v="2018-03-12T00:00:00"/>
    <s v="March"/>
    <s v="Spring"/>
    <d v="1899-12-30T00:18:00"/>
    <s v="Modertate snowfall"/>
    <s v="Unbanded"/>
    <s v="Foraging"/>
    <s v="Spruce"/>
    <n v="1"/>
    <s v="unknown"/>
    <n v="0"/>
    <s v="Unknown"/>
    <s v="unknown"/>
    <s v="Exterior bare spruce branch under bark/witch hair"/>
    <s v="NA"/>
    <n v="6"/>
    <n v="0"/>
    <n v="0"/>
    <n v="6"/>
    <n v="0"/>
    <n v="6"/>
    <s v="Gleanng "/>
    <m/>
    <n v="0"/>
    <n v="6"/>
  </r>
  <r>
    <s v="DSCN0153"/>
    <s v="MM12_8"/>
    <n v="8"/>
    <n v="1"/>
    <s v="Mercentile "/>
    <d v="2018-03-12T00:00:00"/>
    <s v="March"/>
    <s v="Spring"/>
    <d v="1899-12-30T00:02:09"/>
    <s v="Clear, low wind"/>
    <s v="WO/OS"/>
    <s v="Foraging"/>
    <s v="Spruce"/>
    <n v="1"/>
    <n v="1"/>
    <m/>
    <s v="Berry"/>
    <s v="Berry"/>
    <s v="Exterior foliage"/>
    <m/>
    <n v="0"/>
    <n v="12"/>
    <n v="0"/>
    <n v="12"/>
    <n v="0"/>
    <n v="12"/>
    <s v="Gleaning, visual searching "/>
    <s v="Watched one swallow so counted that.  The second looks like a berry but perhaps I'm being too generous.  Should check.  "/>
    <n v="0"/>
    <n v="2"/>
  </r>
  <r>
    <s v="DSCN0155"/>
    <s v="MM12_10"/>
    <n v="10"/>
    <n v="1"/>
    <s v="Mercentile "/>
    <d v="2018-03-12T00:00:00"/>
    <s v="March"/>
    <s v="Spring"/>
    <d v="1899-12-30T00:00:25"/>
    <s v="unknown"/>
    <s v="WY/OS"/>
    <s v="Foraging"/>
    <s v="Spruce"/>
    <n v="1"/>
    <s v="unknown"/>
    <m/>
    <s v="Unknown"/>
    <s v="unknown"/>
    <s v="Exterior foliage"/>
    <m/>
    <n v="0"/>
    <n v="9"/>
    <n v="0"/>
    <n v="9"/>
    <n v="0"/>
    <n v="9"/>
    <s v="Gleaning, visual searching "/>
    <m/>
    <n v="0"/>
    <n v="3"/>
  </r>
  <r>
    <s v="DSCN0152"/>
    <s v="MM12_6"/>
    <n v="6"/>
    <n v="1"/>
    <s v="Mercentile "/>
    <d v="2018-03-12T00:00:00"/>
    <s v="March"/>
    <s v="Spring"/>
    <d v="1899-12-30T00:01:53"/>
    <s v="Overcast, low wind"/>
    <s v="WO/OS"/>
    <s v="Foraging"/>
    <s v="Spruce"/>
    <n v="1"/>
    <s v="unknown "/>
    <m/>
    <s v="Unknown"/>
    <s v="unknown"/>
    <s v="Exterior spruce foliage"/>
    <m/>
    <n v="13"/>
    <n v="19"/>
    <n v="0"/>
    <n v="32"/>
    <n v="0"/>
    <n v="32"/>
    <s v="Gleaning, visual searching "/>
    <s v="Success was from exterior foliage "/>
    <n v="0"/>
    <n v="1"/>
  </r>
  <r>
    <s v="DSCN0157"/>
    <s v="MM12_7"/>
    <n v="7"/>
    <n v="1"/>
    <s v="Mercentile "/>
    <d v="2018-03-12T00:00:00"/>
    <s v="March"/>
    <s v="Spring"/>
    <d v="1899-12-30T00:00:41"/>
    <s v="Overcast, low wind"/>
    <s v="WY/OS"/>
    <s v="Foraging"/>
    <s v="Spruce"/>
    <n v="1"/>
    <s v="unknown"/>
    <m/>
    <s v="Unknown"/>
    <s v="unknown"/>
    <s v="Spruce trunk under bark"/>
    <m/>
    <n v="10"/>
    <n v="0"/>
    <n v="7"/>
    <n v="3"/>
    <n v="0"/>
    <n v="10"/>
    <s v="Visual searching, probing "/>
    <s v="Success observed in field, but not detectable in video "/>
    <n v="5"/>
    <n v="0"/>
  </r>
  <r>
    <m/>
    <s v="Yellow_snow"/>
    <m/>
    <n v="1"/>
    <s v="Mercentile "/>
    <d v="2018-03-12T00:00:00"/>
    <s v="March"/>
    <s v="Spring"/>
    <d v="1899-12-30T00:00:22"/>
    <m/>
    <s v="WY/OS"/>
    <s v="Foraging"/>
    <s v="N/A"/>
    <n v="1"/>
    <n v="0"/>
    <m/>
    <s v="misc"/>
    <s v="urine snow"/>
    <s v="Ground"/>
    <s v="NA"/>
    <n v="0"/>
    <n v="0"/>
    <n v="0"/>
    <n v="0"/>
    <n v="0"/>
    <n v="0"/>
    <s v="Eating off ground, 3x yellow snow foraging bouts "/>
    <m/>
    <m/>
    <m/>
  </r>
  <r>
    <s v="DSCN0154"/>
    <s v="MM12_9"/>
    <n v="9"/>
    <n v="1"/>
    <s v="Mercentile "/>
    <d v="2018-03-12T00:00:00"/>
    <s v="March"/>
    <s v="Spring"/>
    <d v="1899-12-30T00:00:33"/>
    <s v="unknown"/>
    <s v="WY/OS"/>
    <s v="Foraging"/>
    <s v="Spruce"/>
    <n v="0"/>
    <n v="0"/>
    <m/>
    <m/>
    <s v="NA"/>
    <s v="NA"/>
    <s v="NA"/>
    <n v="0"/>
    <n v="11"/>
    <n v="0"/>
    <n v="11"/>
    <n v="0"/>
    <n v="11"/>
    <s v="Gleaning, visual searching "/>
    <m/>
    <n v="0"/>
    <n v="1"/>
  </r>
  <r>
    <s v="DSCN0191"/>
    <s v="MTV0313_3"/>
    <n v="3"/>
    <n v="1"/>
    <s v="Mountain View"/>
    <d v="2018-03-13T00:00:00"/>
    <s v="March"/>
    <s v="Spring"/>
    <d v="1899-12-30T00:26:00"/>
    <m/>
    <s v="Unbanded"/>
    <s v="Foraging"/>
    <s v="Spruce"/>
    <s v="unknown"/>
    <s v="unknown"/>
    <n v="0"/>
    <s v="Unknown"/>
    <s v="unknown"/>
    <s v="NA"/>
    <s v="NA"/>
    <n v="0"/>
    <n v="18"/>
    <n v="0"/>
    <n v="18"/>
    <n v="0"/>
    <n v="18"/>
    <s v="Visual Searching"/>
    <m/>
    <m/>
    <m/>
  </r>
  <r>
    <s v="DSCN1087"/>
    <s v="MTV0313_1"/>
    <n v="1"/>
    <n v="1"/>
    <s v="Mountain View"/>
    <d v="2018-03-13T00:00:00"/>
    <s v="March"/>
    <s v="Spring"/>
    <d v="1899-12-30T00:46:00"/>
    <m/>
    <s v="Unbanded"/>
    <s v="Foraging"/>
    <s v="Spruce"/>
    <s v="unknown"/>
    <s v="unknown"/>
    <s v="Unknown"/>
    <m/>
    <s v="NA"/>
    <s v="NA"/>
    <s v="NA"/>
    <n v="35"/>
    <n v="16"/>
    <n v="35"/>
    <n v="16"/>
    <n v="0"/>
    <n v="51"/>
    <s v="Visual Searching"/>
    <s v="Searched the trunk most often "/>
    <m/>
    <m/>
  </r>
  <r>
    <s v="DSCN0094"/>
    <s v="MM11_5"/>
    <n v="5"/>
    <n v="1"/>
    <s v="Mercentile "/>
    <d v="2018-03-13T00:00:00"/>
    <s v="March"/>
    <s v="Spring"/>
    <d v="1899-12-30T00:34:00"/>
    <s v="Overcast, low wind"/>
    <s v="WY/OS"/>
    <m/>
    <s v="Aspen"/>
    <s v="unknown"/>
    <s v="unknown"/>
    <m/>
    <s v="Unknown"/>
    <s v="unknown"/>
    <m/>
    <m/>
    <n v="31"/>
    <n v="0"/>
    <n v="20"/>
    <n v="11"/>
    <n v="0"/>
    <n v="31"/>
    <s v="Visual Searching"/>
    <m/>
    <m/>
    <m/>
  </r>
  <r>
    <s v="DSCN0088"/>
    <s v="MM11_6"/>
    <n v="6"/>
    <n v="1"/>
    <s v="Mercentile "/>
    <d v="2018-03-13T00:00:00"/>
    <s v="March"/>
    <s v="Spring"/>
    <d v="1899-12-30T00:00:19"/>
    <s v="Overcast, low wind"/>
    <s v="WY/OS"/>
    <m/>
    <s v="Spruce"/>
    <s v="unknown"/>
    <s v="unknown"/>
    <m/>
    <s v="Unknown"/>
    <s v="unknown"/>
    <m/>
    <m/>
    <n v="0"/>
    <n v="8"/>
    <n v="0"/>
    <n v="8"/>
    <n v="0"/>
    <n v="8"/>
    <s v="Gleaning, visual searching "/>
    <m/>
    <m/>
    <m/>
  </r>
  <r>
    <m/>
    <s v="MTV0313_7"/>
    <n v="7"/>
    <n v="1"/>
    <s v="Mountain View"/>
    <d v="2018-03-13T00:00:00"/>
    <s v="March"/>
    <s v="Spring"/>
    <d v="1899-12-30T00:38:00"/>
    <m/>
    <s v="Unbanded"/>
    <s v="foraging/food handeling"/>
    <s v="Spruce"/>
    <n v="1"/>
    <n v="1"/>
    <n v="0"/>
    <s v="Animal flesh"/>
    <s v="animal flesh"/>
    <s v="Interior spruce on branch"/>
    <s v="NA"/>
    <n v="0"/>
    <n v="0"/>
    <n v="0"/>
    <n v="0"/>
    <n v="0"/>
    <n v="0"/>
    <m/>
    <s v="Missed foraging event on camera, but recorded where food was obtained. "/>
    <m/>
    <m/>
  </r>
  <r>
    <s v="DSCN0180"/>
    <s v="MTV0313_2"/>
    <n v="2"/>
    <n v="1"/>
    <s v="Mountain View"/>
    <d v="2018-03-13T00:00:00"/>
    <s v="March"/>
    <s v="Spring"/>
    <d v="1899-12-30T01:14:00"/>
    <m/>
    <s v="Unbanded"/>
    <s v="Foraging"/>
    <s v="Spruce"/>
    <n v="1"/>
    <s v="unknown"/>
    <n v="0"/>
    <s v="Unknown"/>
    <s v="unknown"/>
    <s v="Exterior spruce foliage "/>
    <s v="NA"/>
    <n v="0"/>
    <n v="44"/>
    <n v="4"/>
    <n v="40"/>
    <n v="0"/>
    <n v="44"/>
    <s v="Visual Searching"/>
    <m/>
    <m/>
    <m/>
  </r>
  <r>
    <s v="DSCN0193"/>
    <s v="MTV0313_5"/>
    <n v="5"/>
    <n v="1"/>
    <s v="Mountain View"/>
    <d v="2018-03-13T00:00:00"/>
    <s v="March"/>
    <s v="Spring"/>
    <d v="1899-12-30T00:51:00"/>
    <m/>
    <s v="Unbanded"/>
    <s v="Foraging"/>
    <s v="Spruce"/>
    <n v="1"/>
    <s v="unknown"/>
    <n v="0"/>
    <s v="Unknown"/>
    <s v="unknown"/>
    <s v="Interior spruce (unlear if from foliage of bare branch)"/>
    <s v="NA"/>
    <n v="50"/>
    <n v="0"/>
    <n v="50"/>
    <n v="0"/>
    <n v="0"/>
    <n v="50"/>
    <s v="Visual Searching"/>
    <s v="Food success based on audio only. "/>
    <m/>
    <m/>
  </r>
  <r>
    <s v="DSCN0194"/>
    <s v="MTV0313_6"/>
    <n v="6"/>
    <n v="1"/>
    <s v="Mountain View"/>
    <d v="2018-03-13T00:00:00"/>
    <s v="March"/>
    <s v="Spring"/>
    <d v="1899-12-30T03:08:00"/>
    <m/>
    <s v="Unbanded"/>
    <s v="Foraging"/>
    <s v="Spruce"/>
    <n v="1"/>
    <n v="1"/>
    <n v="0"/>
    <s v="Unknown"/>
    <s v="unknown"/>
    <s v="Interior bare spruce branches "/>
    <s v="NA"/>
    <n v="183"/>
    <n v="0"/>
    <n v="92"/>
    <n v="91"/>
    <n v="0"/>
    <n v="183"/>
    <m/>
    <s v="First food item has a good view in sillouette but no clues as for specific id.  Second item there no good look at but the brids takes some care to shred it, which suggests meat.  May guess is both are meat pieces given that they were cached in the same tree. "/>
    <n v="21"/>
    <m/>
  </r>
  <r>
    <s v="DSCN0194"/>
    <s v="MTV0313_6"/>
    <n v="6"/>
    <n v="2"/>
    <s v="Mountain View"/>
    <d v="2018-03-13T00:00:00"/>
    <s v="March"/>
    <s v="Spring"/>
    <d v="1899-12-30T03:08:00"/>
    <m/>
    <s v="Unbanded"/>
    <s v="Foraging"/>
    <s v="Spruce"/>
    <n v="1"/>
    <n v="1"/>
    <n v="0"/>
    <s v="Unknown"/>
    <s v="unknown"/>
    <s v="Interior bare spruce branches "/>
    <s v="NA"/>
    <n v="0"/>
    <n v="0"/>
    <n v="0"/>
    <n v="0"/>
    <n v="0"/>
    <n v="0"/>
    <m/>
    <s v="First food item has a good view in sillouette but no clues as for specific id.  Second item there no good look at but the brids takes some care to shred it, which suggests meat.  May guess is both are meat pieces given that they were cached in the same tree. "/>
    <n v="21"/>
    <m/>
  </r>
  <r>
    <s v="DSCN0201"/>
    <s v="MM13_1"/>
    <n v="1"/>
    <n v="1"/>
    <s v="Mercentile "/>
    <d v="2018-03-13T00:00:00"/>
    <s v="March"/>
    <s v="Spring"/>
    <d v="1899-12-30T00:00:36"/>
    <m/>
    <s v="WO/OS"/>
    <s v="Foraging"/>
    <s v="Spruce "/>
    <n v="1"/>
    <n v="1"/>
    <m/>
    <s v="Animal flesh"/>
    <s v="animal flesh"/>
    <s v="unknown"/>
    <m/>
    <n v="0"/>
    <n v="23"/>
    <n v="23"/>
    <n v="0"/>
    <n v="0"/>
    <n v="23"/>
    <s v="Gleaning"/>
    <s v="Assumed animal flesh based on color and manna of tearing to eat.  Should verify with someone else  "/>
    <n v="0"/>
    <n v="1"/>
  </r>
  <r>
    <s v="DSCN0069"/>
    <s v="MM11_7"/>
    <n v="7"/>
    <n v="1"/>
    <s v="Mercentile "/>
    <d v="2018-03-13T00:00:00"/>
    <s v="March"/>
    <s v="Spring"/>
    <d v="1899-12-30T00:52:00"/>
    <s v="Overcast, low wind"/>
    <s v="WY/OS"/>
    <m/>
    <s v="Spruce"/>
    <n v="1"/>
    <s v="unknown"/>
    <m/>
    <s v="Unknown"/>
    <s v="unknown"/>
    <s v="Interior bare spruce branches"/>
    <m/>
    <n v="18"/>
    <n v="10"/>
    <n v="18"/>
    <n v="10"/>
    <n v="0"/>
    <n v="28"/>
    <s v="Gleaning, visual searching "/>
    <m/>
    <m/>
    <m/>
  </r>
  <r>
    <m/>
    <s v="Vole_cache"/>
    <m/>
    <n v="1"/>
    <s v="Mercentile "/>
    <d v="2018-03-13T00:00:00"/>
    <s v="March"/>
    <s v="Spring"/>
    <d v="1899-12-30T00:00:19"/>
    <m/>
    <s v="WO/OS"/>
    <s v="Foraging"/>
    <s v="Spruce"/>
    <n v="1"/>
    <n v="1"/>
    <m/>
    <s v="Animal flesh"/>
    <s v="Animal flesh (vole)"/>
    <s v="unknown"/>
    <s v="NA"/>
    <n v="0"/>
    <n v="0"/>
    <n v="0"/>
    <n v="0"/>
    <n v="0"/>
    <n v="0"/>
    <m/>
    <s v="Avery and I observed the bird retrieveing something froma  spruce tree, but we did not start recording until it went to aspen tree to eat it.  "/>
    <m/>
    <m/>
  </r>
  <r>
    <s v="DSCN0192"/>
    <s v="MTV0313_4"/>
    <n v="4"/>
    <n v="1"/>
    <s v="Mountain View"/>
    <d v="2018-03-13T00:00:00"/>
    <s v="March"/>
    <s v="Spring"/>
    <d v="1899-12-30T00:29:00"/>
    <m/>
    <s v="Unbanded"/>
    <s v="Foraging"/>
    <s v="Spruce"/>
    <n v="0"/>
    <n v="0"/>
    <n v="0"/>
    <m/>
    <s v="NA"/>
    <s v="NA"/>
    <s v="NA"/>
    <n v="0"/>
    <n v="20"/>
    <n v="0"/>
    <n v="20"/>
    <n v="0"/>
    <n v="20"/>
    <s v="Visual Searching"/>
    <m/>
    <m/>
    <m/>
  </r>
  <r>
    <s v="DSCN0217"/>
    <s v="MM14_6"/>
    <n v="6"/>
    <n v="1"/>
    <s v="Mercentile "/>
    <d v="2018-03-14T00:00:00"/>
    <s v="March"/>
    <s v="Spring"/>
    <d v="1899-12-30T00:45:00"/>
    <m/>
    <s v="WO/OS"/>
    <s v="Food handling"/>
    <s v="Spruce"/>
    <n v="1"/>
    <s v="unknown"/>
    <n v="0"/>
    <s v="Animal flesh"/>
    <s v="Animal flesh (Snowshoe hare)"/>
    <s v="unknown"/>
    <s v="NA"/>
    <n v="0"/>
    <n v="0"/>
    <n v="0"/>
    <n v="0"/>
    <n v="0"/>
    <n v="0"/>
    <s v="NA"/>
    <s v="Possible that it's shreading for nesting material "/>
    <m/>
    <m/>
  </r>
  <r>
    <s v="DSCN0201"/>
    <s v="MM14_1"/>
    <n v="1"/>
    <n v="1"/>
    <s v="Mercentile "/>
    <d v="2018-03-14T00:00:00"/>
    <s v="March"/>
    <s v="Spring"/>
    <d v="1899-12-30T01:52:00"/>
    <m/>
    <s v="WY/OS"/>
    <s v="Foraging"/>
    <s v="Spruce"/>
    <n v="1"/>
    <n v="0"/>
    <n v="0"/>
    <s v="Unknown"/>
    <s v="Unknow but probably snow"/>
    <s v="Bare interior tree branch"/>
    <m/>
    <n v="70"/>
    <n v="18"/>
    <n v="82"/>
    <n v="6"/>
    <n v="0"/>
    <n v="88"/>
    <s v="Visual Searching"/>
    <m/>
    <n v="0"/>
    <n v="0"/>
  </r>
  <r>
    <s v="DSCN0210"/>
    <s v="MM14_3"/>
    <n v="3"/>
    <n v="1"/>
    <s v="Mercentile "/>
    <d v="2018-03-14T00:00:00"/>
    <s v="March"/>
    <s v="Spring"/>
    <d v="1899-12-30T00:17:00"/>
    <m/>
    <s v="WO/OS"/>
    <s v="Food handling"/>
    <s v="Spruce"/>
    <n v="1"/>
    <n v="0"/>
    <n v="0"/>
    <s v="Unknown"/>
    <s v="unknown"/>
    <s v="Exterior spruce foliage"/>
    <m/>
    <n v="0"/>
    <n v="0"/>
    <n v="0"/>
    <n v="0"/>
    <n v="0"/>
    <n v="0"/>
    <s v="NA"/>
    <s v="Missed foraging"/>
    <n v="0"/>
    <n v="0"/>
  </r>
  <r>
    <s v="DSCN0201"/>
    <s v="MM14_1"/>
    <n v="1"/>
    <n v="2"/>
    <s v="Mercentile "/>
    <d v="2018-03-14T00:00:00"/>
    <s v="March"/>
    <s v="Spring"/>
    <d v="1899-12-30T01:52:00"/>
    <m/>
    <s v="WY/OS"/>
    <s v="Foraging"/>
    <s v="Spruce"/>
    <n v="1"/>
    <n v="0"/>
    <n v="0"/>
    <s v="Unknown"/>
    <s v="unknown "/>
    <s v="Bare interior tree branch"/>
    <s v="NA"/>
    <n v="0"/>
    <n v="0"/>
    <n v="0"/>
    <n v="0"/>
    <n v="0"/>
    <n v="0"/>
    <s v="Visual Searching"/>
    <m/>
    <n v="0"/>
    <n v="0"/>
  </r>
  <r>
    <s v="DSCN0207"/>
    <s v="MM14_1"/>
    <n v="1"/>
    <n v="1"/>
    <s v="Mercentile "/>
    <d v="2018-03-14T00:00:00"/>
    <s v="March"/>
    <s v="Spring"/>
    <d v="1899-12-30T00:01:53"/>
    <m/>
    <s v="WY/OS"/>
    <s v="Foraging"/>
    <s v="Spruce"/>
    <n v="1"/>
    <s v="unknown"/>
    <m/>
    <s v="Unknown"/>
    <s v="unknown "/>
    <s v="Interior bare branch"/>
    <s v="NA"/>
    <n v="68"/>
    <n v="12"/>
    <n v="68"/>
    <n v="12"/>
    <n v="0"/>
    <n v="80"/>
    <m/>
    <s v="Some interior foragine was not attributable to either bark or foliage due to obstruction by vegetation. "/>
    <m/>
    <m/>
  </r>
  <r>
    <s v="DSCN0211"/>
    <s v="MM14_4"/>
    <n v="4"/>
    <n v="1"/>
    <s v="Mercentile "/>
    <d v="2018-03-14T00:00:00"/>
    <s v="March"/>
    <s v="Spring"/>
    <d v="1899-12-30T00:22:00"/>
    <m/>
    <s v="WY/OS"/>
    <s v="Foraging"/>
    <s v="Spruce"/>
    <n v="0"/>
    <n v="0"/>
    <n v="0"/>
    <m/>
    <s v="NA"/>
    <s v="NA"/>
    <m/>
    <n v="22"/>
    <n v="0"/>
    <n v="22"/>
    <n v="0"/>
    <n v="0"/>
    <n v="22"/>
    <s v="Visual Searching"/>
    <m/>
    <n v="0"/>
    <n v="0"/>
  </r>
  <r>
    <s v="DSCN0222"/>
    <s v="MM14_8"/>
    <n v="8"/>
    <n v="1"/>
    <s v="Mercentile "/>
    <d v="2018-03-14T00:00:00"/>
    <s v="March"/>
    <s v="Spring"/>
    <d v="1899-12-30T00:53:00"/>
    <m/>
    <s v="WY/OS"/>
    <s v="Foraging"/>
    <s v="Spruce"/>
    <n v="0"/>
    <n v="0"/>
    <n v="0"/>
    <m/>
    <s v="NA"/>
    <s v="NA"/>
    <s v="NA"/>
    <n v="30"/>
    <n v="5"/>
    <n v="30"/>
    <n v="5"/>
    <n v="2"/>
    <n v="37"/>
    <s v="Visual Searching, PECKING"/>
    <m/>
    <m/>
    <m/>
  </r>
  <r>
    <s v="DSCN0218"/>
    <s v="MM14_7"/>
    <n v="7"/>
    <n v="1"/>
    <s v="Mercentile "/>
    <d v="2018-03-14T00:00:00"/>
    <s v="March"/>
    <s v="Spring"/>
    <d v="1899-12-30T00:08:00"/>
    <m/>
    <s v="WO/OS"/>
    <s v="Food handling"/>
    <s v="Spruce"/>
    <n v="0"/>
    <n v="0"/>
    <n v="0"/>
    <s v="Animal flesh"/>
    <s v="Animal flesh (Snowshoe hare)"/>
    <s v="unknown"/>
    <s v="NA"/>
    <n v="0"/>
    <n v="0"/>
    <n v="0"/>
    <n v="0"/>
    <n v="0"/>
    <n v="0"/>
    <m/>
    <m/>
    <m/>
    <m/>
  </r>
  <r>
    <s v="DSCN0208"/>
    <s v="MM14_2"/>
    <n v="2"/>
    <n v="1"/>
    <s v="Mercentile "/>
    <d v="2018-03-14T00:00:00"/>
    <s v="March"/>
    <s v="Spring"/>
    <d v="1899-12-30T00:54:00"/>
    <m/>
    <s v="WY/OS"/>
    <s v="Foraging"/>
    <s v="Spruce"/>
    <n v="0"/>
    <n v="0"/>
    <m/>
    <m/>
    <s v="NA"/>
    <m/>
    <m/>
    <n v="41"/>
    <n v="8"/>
    <n v="33"/>
    <n v="16"/>
    <n v="0"/>
    <n v="49"/>
    <s v="Visual Searching"/>
    <m/>
    <n v="0"/>
    <n v="0"/>
  </r>
  <r>
    <s v="DSCN0212"/>
    <s v="MM14_5"/>
    <n v="5"/>
    <n v="1"/>
    <s v="Mercentile "/>
    <d v="2018-03-14T00:00:00"/>
    <s v="March"/>
    <s v="Spring"/>
    <d v="1899-12-30T01:07:00"/>
    <m/>
    <s v="WY/OS"/>
    <s v="Foraging"/>
    <s v="Spruce"/>
    <n v="0"/>
    <n v="0"/>
    <n v="0"/>
    <m/>
    <s v="NA"/>
    <s v="NA"/>
    <m/>
    <n v="67"/>
    <n v="0"/>
    <n v="67"/>
    <n v="0"/>
    <n v="0"/>
    <n v="67"/>
    <s v="Visual searching, probing "/>
    <m/>
    <n v="5"/>
    <n v="0"/>
  </r>
  <r>
    <s v="DSCN0252"/>
    <s v="RC0315_11"/>
    <n v="11"/>
    <n v="1"/>
    <s v="Riley Creek"/>
    <d v="2018-03-15T00:00:00"/>
    <s v="March"/>
    <s v="Spring"/>
    <d v="1899-12-30T00:59:00"/>
    <m/>
    <s v="Unbanded"/>
    <s v="Foraging"/>
    <s v="Spruce"/>
    <s v="unknown"/>
    <s v="unknown"/>
    <n v="0"/>
    <m/>
    <s v="NA"/>
    <s v="NA"/>
    <s v="NA"/>
    <n v="59"/>
    <n v="0"/>
    <n v="59"/>
    <n v="0"/>
    <n v="0"/>
    <n v="59"/>
    <s v="Visual Searching"/>
    <m/>
    <m/>
    <m/>
  </r>
  <r>
    <s v="DSCN0239"/>
    <s v="RC0315_3"/>
    <n v="3"/>
    <n v="1"/>
    <s v="Riley Creek"/>
    <d v="2018-03-15T00:00:00"/>
    <s v="March"/>
    <s v="Spring"/>
    <d v="1899-12-30T00:10:00"/>
    <m/>
    <s v="Unbanded"/>
    <s v="foraging/food handeling"/>
    <s v="Spruce"/>
    <n v="1"/>
    <n v="1"/>
    <n v="0"/>
    <s v="Animal flesh"/>
    <s v="Animal flesh (maybe vole)"/>
    <s v="Interior bare spruce tree"/>
    <s v="NA"/>
    <n v="0"/>
    <n v="0"/>
    <n v="0"/>
    <n v="0"/>
    <n v="0"/>
    <n v="0"/>
    <m/>
    <s v="Missed initial acquisition on film but saw it in person"/>
    <m/>
    <m/>
  </r>
  <r>
    <s v="DSCN0232"/>
    <s v="RC0315_1"/>
    <n v="1"/>
    <n v="1"/>
    <s v="Riley Creek"/>
    <d v="2018-03-15T00:00:00"/>
    <s v="March"/>
    <s v="Spring"/>
    <d v="1899-12-30T00:24:00"/>
    <m/>
    <s v="Unbanded"/>
    <s v="Foraging"/>
    <s v="Spruce"/>
    <n v="1"/>
    <s v="unknown"/>
    <n v="0"/>
    <s v="Unknown"/>
    <s v="unknown"/>
    <s v="Spruce trunk under bark"/>
    <s v="NA"/>
    <n v="24"/>
    <n v="0"/>
    <n v="24"/>
    <n v="0"/>
    <n v="0"/>
    <n v="24"/>
    <s v="Probing"/>
    <m/>
    <n v="6"/>
    <n v="0"/>
  </r>
  <r>
    <s v="DSCN0247"/>
    <s v="RC0315_10"/>
    <n v="10"/>
    <n v="1"/>
    <s v="Riley Creek"/>
    <d v="2018-03-15T00:00:00"/>
    <s v="March"/>
    <s v="Spring"/>
    <d v="1899-12-30T00:19:00"/>
    <m/>
    <s v="Unbanded"/>
    <s v="Food handling"/>
    <s v="Spruce"/>
    <n v="0"/>
    <n v="0"/>
    <n v="0"/>
    <s v="Animal flesh"/>
    <s v="Animal flesh (maybe vole)"/>
    <s v="NA"/>
    <s v="NA"/>
    <n v="0"/>
    <n v="0"/>
    <n v="0"/>
    <n v="0"/>
    <n v="0"/>
    <n v="0"/>
    <m/>
    <m/>
    <m/>
    <m/>
  </r>
  <r>
    <s v="DSCN0240"/>
    <s v="RC0315_4"/>
    <n v="4"/>
    <n v="1"/>
    <s v="Riley Creek"/>
    <d v="2018-03-15T00:00:00"/>
    <s v="March"/>
    <s v="Spring"/>
    <d v="1899-12-30T00:13:00"/>
    <m/>
    <s v="Unbanded"/>
    <s v="Food handling"/>
    <s v="Spruce"/>
    <n v="0"/>
    <n v="0"/>
    <n v="0"/>
    <s v="Animal flesh"/>
    <s v="Animal flesh (maybe vole)"/>
    <s v="NA"/>
    <s v="NA"/>
    <n v="0"/>
    <n v="0"/>
    <n v="0"/>
    <n v="0"/>
    <n v="0"/>
    <n v="0"/>
    <m/>
    <m/>
    <m/>
    <m/>
  </r>
  <r>
    <s v="DSCN0241"/>
    <s v="RC0315_5"/>
    <n v="5"/>
    <n v="1"/>
    <s v="Riley Creek"/>
    <d v="2018-03-15T00:00:00"/>
    <s v="March"/>
    <s v="Spring"/>
    <d v="1899-12-30T00:05:00"/>
    <m/>
    <s v="Unbanded"/>
    <s v="Food handling"/>
    <s v="Spruce"/>
    <n v="0"/>
    <n v="0"/>
    <n v="0"/>
    <s v="Animal flesh"/>
    <s v="Animal flesh (maybe vole)"/>
    <s v="NA"/>
    <s v="NA"/>
    <n v="0"/>
    <n v="0"/>
    <n v="0"/>
    <n v="0"/>
    <n v="0"/>
    <n v="0"/>
    <m/>
    <m/>
    <m/>
    <m/>
  </r>
  <r>
    <s v="DSCN0242"/>
    <s v="RC0315_6"/>
    <n v="6"/>
    <n v="1"/>
    <s v="Riley Creek"/>
    <d v="2018-03-15T00:00:00"/>
    <s v="March"/>
    <s v="Spring"/>
    <d v="1899-12-30T00:00:05"/>
    <m/>
    <s v="Unbanded"/>
    <s v="Food handling"/>
    <s v="Spruce"/>
    <n v="0"/>
    <n v="0"/>
    <n v="0"/>
    <s v="Animal flesh"/>
    <s v="Animal flesh (maybe vole)"/>
    <s v="NA"/>
    <s v="NA"/>
    <n v="0"/>
    <n v="0"/>
    <n v="0"/>
    <n v="0"/>
    <n v="0"/>
    <n v="0"/>
    <m/>
    <m/>
    <m/>
    <m/>
  </r>
  <r>
    <s v="DSCN0243"/>
    <s v="RC0315_7"/>
    <n v="7"/>
    <n v="1"/>
    <s v="Riley Creek"/>
    <d v="2018-03-15T00:00:00"/>
    <s v="March"/>
    <s v="Spring"/>
    <d v="1899-12-30T00:08:00"/>
    <m/>
    <s v="Unbanded"/>
    <s v="Food handling"/>
    <s v="Spruce"/>
    <n v="0"/>
    <n v="0"/>
    <n v="0"/>
    <s v="Animal flesh"/>
    <s v="Animal flesh (maybe vole)"/>
    <s v="NA"/>
    <s v="NA"/>
    <n v="0"/>
    <n v="0"/>
    <n v="0"/>
    <n v="0"/>
    <n v="0"/>
    <n v="0"/>
    <m/>
    <m/>
    <m/>
    <m/>
  </r>
  <r>
    <s v="DSCN0245"/>
    <s v="RC0315_8"/>
    <n v="8"/>
    <n v="1"/>
    <s v="Riley Creek"/>
    <d v="2018-03-15T00:00:00"/>
    <s v="March"/>
    <s v="Spring"/>
    <d v="1899-12-30T00:25:00"/>
    <m/>
    <s v="Unbanded"/>
    <s v="Food handling"/>
    <s v="Spruce"/>
    <n v="0"/>
    <n v="0"/>
    <n v="0"/>
    <s v="Animal flesh"/>
    <s v="Animal flesh (maybe vole)"/>
    <s v="NA"/>
    <s v="NA"/>
    <n v="0"/>
    <n v="0"/>
    <n v="0"/>
    <n v="0"/>
    <n v="0"/>
    <n v="0"/>
    <m/>
    <s v="Only worthwile video where you can actually see animal flesh clearly."/>
    <m/>
    <m/>
  </r>
  <r>
    <s v="DSCN0246"/>
    <s v="RC0315_9"/>
    <n v="9"/>
    <n v="1"/>
    <s v="Riley Creek"/>
    <d v="2018-03-15T00:00:00"/>
    <s v="March"/>
    <s v="Spring"/>
    <d v="1899-12-30T00:13:00"/>
    <m/>
    <s v="Unbanded"/>
    <s v="Food handling"/>
    <s v="Spruce"/>
    <n v="0"/>
    <n v="0"/>
    <n v="0"/>
    <s v="Animal flesh"/>
    <s v="Animal flesh (maybe vole)"/>
    <s v="NA"/>
    <s v="NA"/>
    <n v="0"/>
    <n v="0"/>
    <n v="0"/>
    <n v="0"/>
    <n v="0"/>
    <n v="0"/>
    <m/>
    <s v="Dropped it on ground off camera, but picked I back up in this video."/>
    <m/>
    <m/>
  </r>
  <r>
    <s v="DSCN0236"/>
    <s v="RC0315_2"/>
    <n v="2"/>
    <n v="1"/>
    <s v="Riley Creek"/>
    <d v="2018-03-15T00:00:00"/>
    <s v="March"/>
    <s v="Spring"/>
    <d v="1899-12-30T00:06:00"/>
    <m/>
    <s v="Unbanded"/>
    <s v="Foraging"/>
    <s v="Spruce"/>
    <n v="0"/>
    <n v="0"/>
    <n v="0"/>
    <m/>
    <s v="NA"/>
    <s v="NA"/>
    <s v="NA"/>
    <n v="6"/>
    <n v="0"/>
    <n v="6"/>
    <n v="0"/>
    <n v="0"/>
    <n v="6"/>
    <s v="Probing"/>
    <m/>
    <n v="2"/>
    <n v="0"/>
  </r>
  <r>
    <s v="DSCN0256"/>
    <s v="RC0315_12"/>
    <n v="12"/>
    <n v="1"/>
    <s v="Riley Creek"/>
    <d v="2018-03-15T00:00:00"/>
    <s v="March"/>
    <s v="Spring"/>
    <d v="1899-12-30T00:49:00"/>
    <m/>
    <s v="Unbanded"/>
    <s v="Food handling"/>
    <s v="Spruce"/>
    <n v="0"/>
    <n v="0"/>
    <n v="0"/>
    <s v="Human food"/>
    <s v="human food"/>
    <s v="unknown"/>
    <s v="NA"/>
    <n v="0"/>
    <n v="0"/>
    <n v="0"/>
    <n v="0"/>
    <n v="0"/>
    <n v="0"/>
    <m/>
    <m/>
    <m/>
    <m/>
  </r>
  <r>
    <s v="DSCN0276"/>
    <s v="MM17_1"/>
    <n v="1"/>
    <n v="1"/>
    <s v="Mercentile "/>
    <d v="2018-03-17T00:00:00"/>
    <s v="March"/>
    <s v="Spring"/>
    <d v="1899-12-30T00:02:12"/>
    <m/>
    <s v="WY/OS"/>
    <s v="Foraging"/>
    <s v="Aspen, Spruce"/>
    <n v="1"/>
    <s v="unknown"/>
    <n v="1"/>
    <s v="Unknown"/>
    <s v="unknown"/>
    <s v="Under bark of aspen trunk"/>
    <s v="Interior spruce bare branches in witch hair"/>
    <n v="28"/>
    <n v="80"/>
    <n v="80"/>
    <n v="28"/>
    <n v="0"/>
    <n v="108"/>
    <s v="Gleaning, probing, visual searching "/>
    <m/>
    <n v="5"/>
    <n v="11"/>
  </r>
  <r>
    <s v="DSCN0278"/>
    <s v="MM17_2"/>
    <n v="2"/>
    <n v="1"/>
    <s v="Mercentile "/>
    <d v="2018-03-17T00:00:00"/>
    <s v="March"/>
    <s v="Spring"/>
    <d v="1899-12-30T00:00:11"/>
    <m/>
    <s v="WY/OS"/>
    <s v="Foraging"/>
    <s v="Spruce"/>
    <n v="1"/>
    <s v="unknown"/>
    <m/>
    <s v="Unknown"/>
    <s v="unknown"/>
    <s v="Interior foliage"/>
    <s v="NA"/>
    <n v="0"/>
    <n v="11"/>
    <n v="0"/>
    <n v="11"/>
    <n v="0"/>
    <n v="11"/>
    <s v="Gleaning"/>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
  <r>
    <s v="DSCN0063"/>
    <s v="MM11_1"/>
    <n v="1"/>
    <n v="1"/>
    <s v="Mercentile "/>
    <x v="0"/>
    <x v="0"/>
    <s v="Spring"/>
    <d v="1899-12-30T00:33:00"/>
    <s v="Overcast, low wind"/>
    <s v="WY/OS"/>
    <m/>
    <s v="Spruce"/>
    <s v="unknown"/>
    <s v="unknown"/>
    <m/>
    <x v="0"/>
    <x v="0"/>
    <m/>
    <m/>
    <n v="0"/>
    <n v="9"/>
    <n v="9"/>
    <n v="0"/>
    <n v="0"/>
    <n v="9"/>
    <s v="Gleaning"/>
    <m/>
    <m/>
    <m/>
  </r>
  <r>
    <s v="DSCN0064"/>
    <s v="MM11_8"/>
    <n v="8"/>
    <n v="1"/>
    <s v="Mercentile "/>
    <x v="0"/>
    <x v="0"/>
    <s v="Spring"/>
    <d v="1899-12-30T00:00:17"/>
    <s v="Overcast, low wind"/>
    <s v="WY/OS"/>
    <m/>
    <s v="Deciduous shrub"/>
    <s v="unknown"/>
    <s v="unknown"/>
    <m/>
    <x v="0"/>
    <x v="0"/>
    <m/>
    <m/>
    <n v="15"/>
    <n v="0"/>
    <n v="0"/>
    <n v="15"/>
    <n v="0"/>
    <n v="15"/>
    <s v="Visual Searching"/>
    <m/>
    <m/>
    <m/>
  </r>
  <r>
    <s v="DSCN0105"/>
    <s v="MM11_2"/>
    <n v="2"/>
    <n v="1"/>
    <s v="Mercentile "/>
    <x v="1"/>
    <x v="0"/>
    <s v="Spring"/>
    <d v="1899-12-30T00:15:00"/>
    <s v="Overcast, low wind"/>
    <s v="unknown"/>
    <m/>
    <s v="Spruce"/>
    <s v="unknown"/>
    <s v="unknown"/>
    <m/>
    <x v="0"/>
    <x v="0"/>
    <m/>
    <m/>
    <n v="0"/>
    <n v="16"/>
    <n v="8"/>
    <n v="8"/>
    <n v="0"/>
    <n v="16"/>
    <s v="Visual Searching"/>
    <m/>
    <m/>
    <m/>
  </r>
  <r>
    <m/>
    <s v="RC0311_3"/>
    <n v="3"/>
    <n v="1"/>
    <s v="Riley Creek"/>
    <x v="1"/>
    <x v="0"/>
    <s v="Spring"/>
    <d v="1899-12-30T00:45:00"/>
    <m/>
    <s v="Unbanded"/>
    <s v="Foraging/Food handling"/>
    <s v="Spruce"/>
    <n v="1"/>
    <n v="0"/>
    <n v="1"/>
    <x v="1"/>
    <x v="1"/>
    <s v="Ground"/>
    <s v="Spruce trunk under bark "/>
    <n v="0"/>
    <n v="0"/>
    <n v="0"/>
    <n v="0"/>
    <n v="0"/>
    <n v="0"/>
    <m/>
    <s v="Missed foraging event on camera, but saw it visually. "/>
    <m/>
    <m/>
  </r>
  <r>
    <m/>
    <s v="MM11_Berry"/>
    <m/>
    <n v="1"/>
    <s v="Mercentile "/>
    <x v="1"/>
    <x v="0"/>
    <s v="Spring"/>
    <d v="1899-12-30T00:42:00"/>
    <s v="Overcast, low wind"/>
    <s v="WY/OS"/>
    <m/>
    <s v="Aspen"/>
    <n v="1"/>
    <n v="1"/>
    <m/>
    <x v="2"/>
    <x v="2"/>
    <s v="Spruce trunk under bark"/>
    <m/>
    <n v="0"/>
    <n v="0"/>
    <n v="0"/>
    <n v="0"/>
    <n v="0"/>
    <n v="0"/>
    <s v="Gleaning"/>
    <m/>
    <m/>
    <m/>
  </r>
  <r>
    <s v="DSCN0108"/>
    <s v="RC0311_1"/>
    <n v="1"/>
    <n v="1"/>
    <s v="Riley Creek"/>
    <x v="1"/>
    <x v="0"/>
    <s v="Spring"/>
    <d v="1899-12-30T00:26:00"/>
    <m/>
    <s v="Unbanded"/>
    <s v="Foraging"/>
    <s v="Spruce"/>
    <n v="0"/>
    <n v="0"/>
    <n v="0"/>
    <x v="3"/>
    <x v="3"/>
    <s v="NA"/>
    <s v="NA"/>
    <n v="4"/>
    <n v="7"/>
    <n v="0"/>
    <n v="11"/>
    <n v="0"/>
    <n v="11"/>
    <s v="Visual Searching"/>
    <m/>
    <m/>
    <m/>
  </r>
  <r>
    <s v="DSCN0109"/>
    <s v="RC0311_2"/>
    <n v="2"/>
    <n v="1"/>
    <s v="Riley Creek"/>
    <x v="1"/>
    <x v="0"/>
    <s v="Spring"/>
    <d v="1899-12-30T00:27:00"/>
    <m/>
    <s v="Unbanded"/>
    <s v="Foraging"/>
    <s v="Spruce"/>
    <n v="0"/>
    <n v="0"/>
    <n v="0"/>
    <x v="3"/>
    <x v="3"/>
    <s v="NA"/>
    <s v="NA"/>
    <n v="27"/>
    <n v="0"/>
    <n v="0"/>
    <n v="27"/>
    <n v="0"/>
    <n v="27"/>
    <s v="Visual Searching"/>
    <m/>
    <m/>
    <m/>
  </r>
  <r>
    <s v="DSCN0103"/>
    <s v="MM11_3"/>
    <n v="3"/>
    <n v="1"/>
    <s v="Mercentile "/>
    <x v="1"/>
    <x v="0"/>
    <s v="Spring"/>
    <d v="1899-12-30T00:34:00"/>
    <s v="Overcast, low wind"/>
    <s v="WY/OS"/>
    <m/>
    <s v="Spruce"/>
    <n v="0"/>
    <n v="0"/>
    <m/>
    <x v="3"/>
    <x v="3"/>
    <s v="NA"/>
    <s v="NA"/>
    <n v="11"/>
    <n v="10"/>
    <n v="0"/>
    <n v="21"/>
    <n v="0"/>
    <n v="21"/>
    <s v="Gleaning, visual searching "/>
    <m/>
    <m/>
    <m/>
  </r>
  <r>
    <s v="DSCN0097"/>
    <s v="MM11_4"/>
    <n v="4"/>
    <n v="1"/>
    <s v="Mercentile "/>
    <x v="1"/>
    <x v="0"/>
    <s v="Spring"/>
    <d v="1899-12-30T00:45:00"/>
    <s v="Overcast, low wind"/>
    <s v="WY/OS"/>
    <m/>
    <s v="Aspen"/>
    <n v="0"/>
    <n v="0"/>
    <m/>
    <x v="3"/>
    <x v="3"/>
    <s v="NA"/>
    <s v="NA"/>
    <n v="45"/>
    <n v="0"/>
    <n v="45"/>
    <n v="0"/>
    <n v="0"/>
    <n v="45"/>
    <s v="Visual Searching"/>
    <m/>
    <m/>
    <m/>
  </r>
  <r>
    <s v="DSCN0121"/>
    <s v="MTV0312_2"/>
    <n v="2"/>
    <n v="1"/>
    <s v="Mountain View"/>
    <x v="2"/>
    <x v="0"/>
    <s v="Spring"/>
    <d v="1899-12-30T00:11:00"/>
    <s v="Modertate snowfall"/>
    <s v="Unbanded"/>
    <s v="Foraging"/>
    <s v="Spruce"/>
    <s v="unknown"/>
    <s v="unknown"/>
    <s v="Unknown"/>
    <x v="0"/>
    <x v="0"/>
    <s v="NA"/>
    <s v="NA"/>
    <n v="11"/>
    <n v="0"/>
    <n v="11"/>
    <n v="0"/>
    <n v="0"/>
    <n v="11"/>
    <s v="Probing"/>
    <s v="Made two probes under bark, but it's too blurry to see if it extracts or deposits food. "/>
    <n v="2"/>
    <n v="0"/>
  </r>
  <r>
    <s v="DSCN0146"/>
    <s v="MM12_1"/>
    <n v="1"/>
    <n v="1"/>
    <s v="Mercentile "/>
    <x v="2"/>
    <x v="0"/>
    <s v="Spring"/>
    <d v="1899-12-30T00:00:27"/>
    <s v="Overcast, low wind"/>
    <s v="WY/OS"/>
    <s v="Foraging"/>
    <s v="Aspen"/>
    <s v="unknown"/>
    <s v="unknown"/>
    <m/>
    <x v="0"/>
    <x v="0"/>
    <m/>
    <m/>
    <n v="26"/>
    <n v="0"/>
    <n v="8"/>
    <n v="18"/>
    <n v="0"/>
    <n v="26"/>
    <s v="Gleaning, probing, visual searching "/>
    <m/>
    <n v="1"/>
    <n v="0"/>
  </r>
  <r>
    <s v="DSCN0147"/>
    <s v="MM12_2"/>
    <n v="2"/>
    <n v="1"/>
    <s v="Mercentile "/>
    <x v="2"/>
    <x v="0"/>
    <s v="Spring"/>
    <d v="1899-12-30T00:00:38"/>
    <s v="Overcast, low wind"/>
    <s v="WY/OS"/>
    <s v="Foraging"/>
    <s v="Aspen"/>
    <s v="unknown"/>
    <s v="unknown"/>
    <m/>
    <x v="0"/>
    <x v="0"/>
    <m/>
    <m/>
    <n v="21"/>
    <n v="0"/>
    <n v="10"/>
    <n v="11"/>
    <n v="0"/>
    <n v="21"/>
    <s v="Visual Searching"/>
    <m/>
    <n v="0"/>
    <n v="0"/>
  </r>
  <r>
    <s v="DSCN0148"/>
    <s v="MM12_3"/>
    <n v="3"/>
    <n v="1"/>
    <s v="Mercentile "/>
    <x v="2"/>
    <x v="0"/>
    <s v="Spring"/>
    <d v="1899-12-30T00:00:47"/>
    <s v="Overcast, high wind"/>
    <s v="WY/OS"/>
    <s v="Foraging"/>
    <s v="Aspen"/>
    <s v="unknown"/>
    <s v="unknown"/>
    <m/>
    <x v="0"/>
    <x v="0"/>
    <m/>
    <m/>
    <n v="34"/>
    <n v="0"/>
    <n v="0"/>
    <n v="34"/>
    <n v="0"/>
    <n v="34"/>
    <s v="Visual searching, probing "/>
    <m/>
    <n v="2"/>
    <n v="0"/>
  </r>
  <r>
    <s v="DSCN0149"/>
    <s v="MM12_4"/>
    <n v="4"/>
    <n v="1"/>
    <s v="Mercentile "/>
    <x v="2"/>
    <x v="0"/>
    <s v="Spring"/>
    <d v="1899-12-30T00:01:20"/>
    <s v="Overcast, low wind"/>
    <s v="WY/OS"/>
    <s v="Foraging"/>
    <s v="Aspen"/>
    <s v="unknown"/>
    <s v="unknown"/>
    <m/>
    <x v="0"/>
    <x v="0"/>
    <m/>
    <m/>
    <n v="80"/>
    <n v="0"/>
    <n v="80"/>
    <n v="0"/>
    <n v="0"/>
    <n v="80"/>
    <s v="Visual searching, probing "/>
    <m/>
    <n v="6"/>
    <n v="1"/>
  </r>
  <r>
    <s v="DSCN0150"/>
    <s v="MM12_5"/>
    <n v="5"/>
    <n v="1"/>
    <s v="Mercentile "/>
    <x v="2"/>
    <x v="0"/>
    <s v="Spring"/>
    <d v="1899-12-30T00:00:54"/>
    <s v="Overcast, high wind"/>
    <s v="WY/OS"/>
    <s v="Foraging"/>
    <s v="Aspen"/>
    <s v="unknown"/>
    <s v="unknown"/>
    <m/>
    <x v="0"/>
    <x v="0"/>
    <m/>
    <m/>
    <n v="53"/>
    <n v="0"/>
    <n v="53"/>
    <n v="0"/>
    <n v="0"/>
    <n v="53"/>
    <s v="Visual searching, probing "/>
    <m/>
    <n v="8"/>
    <n v="0"/>
  </r>
  <r>
    <s v="DSCN0119"/>
    <s v="MTV0312_1"/>
    <n v="1"/>
    <n v="1"/>
    <s v="Mountain View"/>
    <x v="2"/>
    <x v="0"/>
    <s v="Spring"/>
    <d v="1899-12-30T00:34:00"/>
    <s v="Modertate snowfall"/>
    <s v="Unbanded"/>
    <s v="Foraging"/>
    <s v="Spruce"/>
    <n v="1"/>
    <s v="unknown"/>
    <n v="0"/>
    <x v="0"/>
    <x v="0"/>
    <s v="Exterior bare spruce branch under bark"/>
    <s v="NA"/>
    <n v="15"/>
    <n v="12"/>
    <n v="0"/>
    <n v="27"/>
    <n v="0"/>
    <n v="27"/>
    <s v="Gleaning"/>
    <m/>
    <n v="0"/>
    <n v="2"/>
  </r>
  <r>
    <s v="DSCN0137"/>
    <s v="MTV0312_3"/>
    <n v="3"/>
    <n v="1"/>
    <s v="Mountain View"/>
    <x v="2"/>
    <x v="0"/>
    <s v="Spring"/>
    <d v="1899-12-30T00:35:00"/>
    <s v="Modertate snowfall"/>
    <s v="Unbanded"/>
    <s v="Foraging"/>
    <s v="Spruce"/>
    <n v="1"/>
    <s v="unknown"/>
    <n v="0"/>
    <x v="0"/>
    <x v="0"/>
    <s v="Under bark of spruce trunk"/>
    <s v="NA"/>
    <n v="35"/>
    <n v="0"/>
    <n v="35"/>
    <n v="0"/>
    <n v="0"/>
    <n v="35"/>
    <s v="Probing and visual searhcing"/>
    <s v="Pulled bark off of tree"/>
    <n v="7"/>
    <n v="0"/>
  </r>
  <r>
    <s v="DSCN0138"/>
    <s v="MTV0312_4"/>
    <n v="4"/>
    <n v="1"/>
    <s v="Mountain View"/>
    <x v="2"/>
    <x v="0"/>
    <s v="Spring"/>
    <d v="1899-12-30T00:18:00"/>
    <s v="Modertate snowfall"/>
    <s v="Unbanded"/>
    <s v="Foraging"/>
    <s v="Spruce"/>
    <n v="1"/>
    <s v="unknown"/>
    <n v="0"/>
    <x v="0"/>
    <x v="0"/>
    <s v="Exterior bare spruce branch under bark/witch hair"/>
    <s v="NA"/>
    <n v="6"/>
    <n v="0"/>
    <n v="0"/>
    <n v="6"/>
    <n v="0"/>
    <n v="6"/>
    <s v="Gleanng "/>
    <m/>
    <n v="0"/>
    <n v="6"/>
  </r>
  <r>
    <s v="DSCN0153"/>
    <s v="MM12_8"/>
    <n v="8"/>
    <n v="1"/>
    <s v="Mercentile "/>
    <x v="2"/>
    <x v="0"/>
    <s v="Spring"/>
    <d v="1899-12-30T00:02:09"/>
    <s v="Clear, low wind"/>
    <s v="WO/OS"/>
    <s v="Foraging"/>
    <s v="Spruce"/>
    <n v="1"/>
    <n v="1"/>
    <m/>
    <x v="2"/>
    <x v="2"/>
    <s v="Exterior foliage"/>
    <m/>
    <n v="0"/>
    <n v="12"/>
    <n v="0"/>
    <n v="12"/>
    <n v="0"/>
    <n v="12"/>
    <s v="Gleaning, visual searching "/>
    <s v="Watched one swallow so counted that.  The second looks like a berry but perhaps I'm being too generous.  Should check.  "/>
    <n v="0"/>
    <n v="2"/>
  </r>
  <r>
    <s v="DSCN0155"/>
    <s v="MM12_10"/>
    <n v="10"/>
    <n v="1"/>
    <s v="Mercentile "/>
    <x v="2"/>
    <x v="0"/>
    <s v="Spring"/>
    <d v="1899-12-30T00:00:25"/>
    <s v="unknown"/>
    <s v="WY/OS"/>
    <s v="Foraging"/>
    <s v="Spruce"/>
    <n v="1"/>
    <s v="unknown"/>
    <m/>
    <x v="0"/>
    <x v="0"/>
    <s v="Exterior foliage"/>
    <m/>
    <n v="0"/>
    <n v="9"/>
    <n v="0"/>
    <n v="9"/>
    <n v="0"/>
    <n v="9"/>
    <s v="Gleaning, visual searching "/>
    <m/>
    <n v="0"/>
    <n v="3"/>
  </r>
  <r>
    <s v="DSCN0152"/>
    <s v="MM12_6"/>
    <n v="6"/>
    <n v="1"/>
    <s v="Mercentile "/>
    <x v="2"/>
    <x v="0"/>
    <s v="Spring"/>
    <d v="1899-12-30T00:01:53"/>
    <s v="Overcast, low wind"/>
    <s v="WO/OS"/>
    <s v="Foraging"/>
    <s v="Spruce"/>
    <n v="1"/>
    <s v="unknown "/>
    <m/>
    <x v="0"/>
    <x v="0"/>
    <s v="Exterior spruce foliage"/>
    <m/>
    <n v="13"/>
    <n v="19"/>
    <n v="0"/>
    <n v="32"/>
    <n v="0"/>
    <n v="32"/>
    <s v="Gleaning, visual searching "/>
    <s v="Success was from exterior foliage "/>
    <n v="0"/>
    <n v="1"/>
  </r>
  <r>
    <s v="DSCN0157"/>
    <s v="MM12_7"/>
    <n v="7"/>
    <n v="1"/>
    <s v="Mercentile "/>
    <x v="2"/>
    <x v="0"/>
    <s v="Spring"/>
    <d v="1899-12-30T00:00:41"/>
    <s v="Overcast, low wind"/>
    <s v="WY/OS"/>
    <s v="Foraging"/>
    <s v="Spruce"/>
    <n v="1"/>
    <s v="unknown"/>
    <m/>
    <x v="0"/>
    <x v="0"/>
    <s v="Spruce trunk under bark"/>
    <m/>
    <n v="10"/>
    <n v="0"/>
    <n v="7"/>
    <n v="3"/>
    <n v="0"/>
    <n v="10"/>
    <s v="Visual searching, probing "/>
    <s v="Success observed in field, but not detectable in video "/>
    <n v="5"/>
    <n v="0"/>
  </r>
  <r>
    <m/>
    <s v="Yellow_snow"/>
    <m/>
    <n v="1"/>
    <s v="Mercentile "/>
    <x v="2"/>
    <x v="0"/>
    <s v="Spring"/>
    <d v="1899-12-30T00:00:22"/>
    <m/>
    <s v="WY/OS"/>
    <s v="Foraging"/>
    <s v="N/A"/>
    <n v="1"/>
    <n v="0"/>
    <m/>
    <x v="1"/>
    <x v="4"/>
    <s v="Ground"/>
    <s v="NA"/>
    <n v="0"/>
    <n v="0"/>
    <n v="0"/>
    <n v="0"/>
    <n v="0"/>
    <n v="0"/>
    <s v="Eating off ground, 3x yellow snow foraging bouts "/>
    <m/>
    <m/>
    <m/>
  </r>
  <r>
    <s v="DSCN0154"/>
    <s v="MM12_9"/>
    <n v="9"/>
    <n v="1"/>
    <s v="Mercentile "/>
    <x v="2"/>
    <x v="0"/>
    <s v="Spring"/>
    <d v="1899-12-30T00:00:33"/>
    <s v="unknown"/>
    <s v="WY/OS"/>
    <s v="Foraging"/>
    <s v="Spruce"/>
    <n v="0"/>
    <n v="0"/>
    <m/>
    <x v="3"/>
    <x v="3"/>
    <s v="NA"/>
    <s v="NA"/>
    <n v="0"/>
    <n v="11"/>
    <n v="0"/>
    <n v="11"/>
    <n v="0"/>
    <n v="11"/>
    <s v="Gleaning, visual searching "/>
    <m/>
    <n v="0"/>
    <n v="1"/>
  </r>
  <r>
    <s v="DSCN0191"/>
    <s v="MTV0313_3"/>
    <n v="3"/>
    <n v="1"/>
    <s v="Mountain View"/>
    <x v="3"/>
    <x v="0"/>
    <s v="Spring"/>
    <d v="1899-12-30T00:26:00"/>
    <m/>
    <s v="Unbanded"/>
    <s v="Foraging"/>
    <s v="Spruce"/>
    <s v="unknown"/>
    <s v="unknown"/>
    <n v="0"/>
    <x v="0"/>
    <x v="0"/>
    <s v="NA"/>
    <s v="NA"/>
    <n v="0"/>
    <n v="18"/>
    <n v="0"/>
    <n v="18"/>
    <n v="0"/>
    <n v="18"/>
    <s v="Visual Searching"/>
    <m/>
    <m/>
    <m/>
  </r>
  <r>
    <s v="DSCN1087"/>
    <s v="MTV0313_1"/>
    <n v="1"/>
    <n v="1"/>
    <s v="Mountain View"/>
    <x v="3"/>
    <x v="0"/>
    <s v="Spring"/>
    <d v="1899-12-30T00:46:00"/>
    <m/>
    <s v="Unbanded"/>
    <s v="Foraging"/>
    <s v="Spruce"/>
    <s v="unknown"/>
    <s v="unknown"/>
    <s v="Unknown"/>
    <x v="3"/>
    <x v="3"/>
    <s v="NA"/>
    <s v="NA"/>
    <n v="35"/>
    <n v="16"/>
    <n v="35"/>
    <n v="16"/>
    <n v="0"/>
    <n v="51"/>
    <s v="Visual Searching"/>
    <s v="Searched the trunk most often "/>
    <m/>
    <m/>
  </r>
  <r>
    <s v="DSCN0094"/>
    <s v="MM11_5"/>
    <n v="5"/>
    <n v="1"/>
    <s v="Mercentile "/>
    <x v="3"/>
    <x v="0"/>
    <s v="Spring"/>
    <d v="1899-12-30T00:34:00"/>
    <s v="Overcast, low wind"/>
    <s v="WY/OS"/>
    <m/>
    <s v="Aspen"/>
    <s v="unknown"/>
    <s v="unknown"/>
    <m/>
    <x v="0"/>
    <x v="0"/>
    <m/>
    <m/>
    <n v="31"/>
    <n v="0"/>
    <n v="20"/>
    <n v="11"/>
    <n v="0"/>
    <n v="31"/>
    <s v="Visual Searching"/>
    <m/>
    <m/>
    <m/>
  </r>
  <r>
    <s v="DSCN0088"/>
    <s v="MM11_6"/>
    <n v="6"/>
    <n v="1"/>
    <s v="Mercentile "/>
    <x v="3"/>
    <x v="0"/>
    <s v="Spring"/>
    <d v="1899-12-30T00:00:19"/>
    <s v="Overcast, low wind"/>
    <s v="WY/OS"/>
    <m/>
    <s v="Spruce"/>
    <s v="unknown"/>
    <s v="unknown"/>
    <m/>
    <x v="0"/>
    <x v="0"/>
    <m/>
    <m/>
    <n v="0"/>
    <n v="8"/>
    <n v="0"/>
    <n v="8"/>
    <n v="0"/>
    <n v="8"/>
    <s v="Gleaning, visual searching "/>
    <m/>
    <m/>
    <m/>
  </r>
  <r>
    <m/>
    <s v="MTV0313_7"/>
    <n v="7"/>
    <n v="1"/>
    <s v="Mountain View"/>
    <x v="3"/>
    <x v="0"/>
    <s v="Spring"/>
    <d v="1899-12-30T00:38:00"/>
    <m/>
    <s v="Unbanded"/>
    <s v="foraging/food handeling"/>
    <s v="Spruce"/>
    <n v="1"/>
    <n v="1"/>
    <n v="0"/>
    <x v="4"/>
    <x v="5"/>
    <s v="Interior spruce on branch"/>
    <s v="NA"/>
    <n v="0"/>
    <n v="0"/>
    <n v="0"/>
    <n v="0"/>
    <n v="0"/>
    <n v="0"/>
    <m/>
    <s v="Missed foraging event on camera, but recorded where food was obtained. "/>
    <m/>
    <m/>
  </r>
  <r>
    <s v="DSCN0180"/>
    <s v="MTV0313_2"/>
    <n v="2"/>
    <n v="1"/>
    <s v="Mountain View"/>
    <x v="3"/>
    <x v="0"/>
    <s v="Spring"/>
    <d v="1899-12-30T01:14:00"/>
    <m/>
    <s v="Unbanded"/>
    <s v="Foraging"/>
    <s v="Spruce"/>
    <n v="1"/>
    <s v="unknown"/>
    <n v="0"/>
    <x v="0"/>
    <x v="0"/>
    <s v="Exterior spruce foliage "/>
    <s v="NA"/>
    <n v="0"/>
    <n v="44"/>
    <n v="4"/>
    <n v="40"/>
    <n v="0"/>
    <n v="44"/>
    <s v="Visual Searching"/>
    <m/>
    <m/>
    <m/>
  </r>
  <r>
    <s v="DSCN0193"/>
    <s v="MTV0313_5"/>
    <n v="5"/>
    <n v="1"/>
    <s v="Mountain View"/>
    <x v="3"/>
    <x v="0"/>
    <s v="Spring"/>
    <d v="1899-12-30T00:51:00"/>
    <m/>
    <s v="Unbanded"/>
    <s v="Foraging"/>
    <s v="Spruce"/>
    <n v="1"/>
    <s v="unknown"/>
    <n v="0"/>
    <x v="0"/>
    <x v="0"/>
    <s v="Interior spruce (unlear if from foliage of bare branch)"/>
    <s v="NA"/>
    <n v="50"/>
    <n v="0"/>
    <n v="50"/>
    <n v="0"/>
    <n v="0"/>
    <n v="50"/>
    <s v="Visual Searching"/>
    <s v="Food success based on audio only. "/>
    <m/>
    <m/>
  </r>
  <r>
    <s v="DSCN0194"/>
    <s v="MTV0313_6"/>
    <n v="6"/>
    <n v="1"/>
    <s v="Mountain View"/>
    <x v="3"/>
    <x v="0"/>
    <s v="Spring"/>
    <d v="1899-12-30T03:08:00"/>
    <m/>
    <s v="Unbanded"/>
    <s v="Foraging"/>
    <s v="Spruce"/>
    <n v="1"/>
    <n v="1"/>
    <n v="0"/>
    <x v="0"/>
    <x v="0"/>
    <s v="Interior bare spruce branches "/>
    <s v="NA"/>
    <n v="183"/>
    <n v="0"/>
    <n v="92"/>
    <n v="91"/>
    <n v="0"/>
    <n v="183"/>
    <m/>
    <s v="First food item has a good view in sillouette but no clues as for specific id.  Second item there no good look at but the brids takes some care to shred it, which suggests meat.  May guess is both are meat pieces given that they were cached in the same tree. "/>
    <n v="21"/>
    <m/>
  </r>
  <r>
    <s v="DSCN0194"/>
    <s v="MTV0313_6"/>
    <n v="6"/>
    <n v="2"/>
    <s v="Mountain View"/>
    <x v="3"/>
    <x v="0"/>
    <s v="Spring"/>
    <d v="1899-12-30T03:08:00"/>
    <m/>
    <s v="Unbanded"/>
    <s v="Foraging"/>
    <s v="Spruce"/>
    <n v="1"/>
    <n v="1"/>
    <n v="0"/>
    <x v="0"/>
    <x v="0"/>
    <s v="Interior bare spruce branches "/>
    <s v="NA"/>
    <n v="0"/>
    <n v="0"/>
    <n v="0"/>
    <n v="0"/>
    <n v="0"/>
    <n v="0"/>
    <m/>
    <s v="First food item has a good view in sillouette but no clues as for specific id.  Second item there no good look at but the brids takes some care to shred it, which suggests meat.  May guess is both are meat pieces given that they were cached in the same tree. "/>
    <n v="21"/>
    <m/>
  </r>
  <r>
    <s v="DSCN0201"/>
    <s v="MM13_1"/>
    <n v="1"/>
    <n v="1"/>
    <s v="Mercentile "/>
    <x v="3"/>
    <x v="0"/>
    <s v="Spring"/>
    <d v="1899-12-30T00:00:36"/>
    <m/>
    <s v="WO/OS"/>
    <s v="Foraging"/>
    <s v="Spruce "/>
    <n v="1"/>
    <n v="1"/>
    <m/>
    <x v="4"/>
    <x v="5"/>
    <s v="unknown"/>
    <m/>
    <n v="0"/>
    <n v="23"/>
    <n v="23"/>
    <n v="0"/>
    <n v="0"/>
    <n v="23"/>
    <s v="Gleaning"/>
    <s v="Assumed animal flesh based on color and manna of tearing to eat.  Should verify with someone else  "/>
    <n v="0"/>
    <n v="1"/>
  </r>
  <r>
    <s v="DSCN0069"/>
    <s v="MM11_7"/>
    <n v="7"/>
    <n v="1"/>
    <s v="Mercentile "/>
    <x v="3"/>
    <x v="0"/>
    <s v="Spring"/>
    <d v="1899-12-30T00:52:00"/>
    <s v="Overcast, low wind"/>
    <s v="WY/OS"/>
    <m/>
    <s v="Spruce"/>
    <n v="1"/>
    <s v="unknown"/>
    <m/>
    <x v="0"/>
    <x v="0"/>
    <s v="Interior bare spruce branches"/>
    <m/>
    <n v="18"/>
    <n v="10"/>
    <n v="18"/>
    <n v="10"/>
    <n v="0"/>
    <n v="28"/>
    <s v="Gleaning, visual searching "/>
    <m/>
    <m/>
    <m/>
  </r>
  <r>
    <m/>
    <s v="Vole_cache"/>
    <m/>
    <n v="1"/>
    <s v="Mercentile "/>
    <x v="3"/>
    <x v="0"/>
    <s v="Spring"/>
    <d v="1899-12-30T00:00:19"/>
    <m/>
    <s v="WO/OS"/>
    <s v="Foraging"/>
    <s v="Spruce"/>
    <n v="1"/>
    <n v="1"/>
    <m/>
    <x v="4"/>
    <x v="6"/>
    <s v="unknown"/>
    <s v="NA"/>
    <n v="0"/>
    <n v="0"/>
    <n v="0"/>
    <n v="0"/>
    <n v="0"/>
    <n v="0"/>
    <m/>
    <s v="Avery and I observed the bird retrieveing something froma  spruce tree, but we did not start recording until it went to aspen tree to eat it.  "/>
    <m/>
    <m/>
  </r>
  <r>
    <s v="DSCN0192"/>
    <s v="MTV0313_4"/>
    <n v="4"/>
    <n v="1"/>
    <s v="Mountain View"/>
    <x v="3"/>
    <x v="0"/>
    <s v="Spring"/>
    <d v="1899-12-30T00:29:00"/>
    <m/>
    <s v="Unbanded"/>
    <s v="Foraging"/>
    <s v="Spruce"/>
    <n v="0"/>
    <n v="0"/>
    <n v="0"/>
    <x v="3"/>
    <x v="3"/>
    <s v="NA"/>
    <s v="NA"/>
    <n v="0"/>
    <n v="20"/>
    <n v="0"/>
    <n v="20"/>
    <n v="0"/>
    <n v="20"/>
    <s v="Visual Searching"/>
    <m/>
    <m/>
    <m/>
  </r>
  <r>
    <s v="DSCN0217"/>
    <s v="MM14_6"/>
    <n v="6"/>
    <n v="1"/>
    <s v="Mercentile "/>
    <x v="4"/>
    <x v="0"/>
    <s v="Spring"/>
    <d v="1899-12-30T00:45:00"/>
    <m/>
    <s v="WO/OS"/>
    <s v="Food handling"/>
    <s v="Spruce"/>
    <n v="1"/>
    <s v="unknown"/>
    <n v="0"/>
    <x v="4"/>
    <x v="7"/>
    <s v="unknown"/>
    <s v="NA"/>
    <n v="0"/>
    <n v="0"/>
    <n v="0"/>
    <n v="0"/>
    <n v="0"/>
    <n v="0"/>
    <s v="NA"/>
    <s v="Possible that it's shreading for nesting material "/>
    <m/>
    <m/>
  </r>
  <r>
    <s v="DSCN0201"/>
    <s v="MM14_1"/>
    <n v="1"/>
    <n v="1"/>
    <s v="Mercentile "/>
    <x v="4"/>
    <x v="0"/>
    <s v="Spring"/>
    <d v="1899-12-30T01:52:00"/>
    <m/>
    <s v="WY/OS"/>
    <s v="Foraging"/>
    <s v="Spruce"/>
    <n v="1"/>
    <n v="0"/>
    <n v="0"/>
    <x v="0"/>
    <x v="8"/>
    <s v="Bare interior tree branch"/>
    <m/>
    <n v="70"/>
    <n v="18"/>
    <n v="82"/>
    <n v="6"/>
    <n v="0"/>
    <n v="88"/>
    <s v="Visual Searching"/>
    <m/>
    <n v="0"/>
    <n v="0"/>
  </r>
  <r>
    <s v="DSCN0210"/>
    <s v="MM14_3"/>
    <n v="3"/>
    <n v="1"/>
    <s v="Mercentile "/>
    <x v="4"/>
    <x v="0"/>
    <s v="Spring"/>
    <d v="1899-12-30T00:17:00"/>
    <m/>
    <s v="WO/OS"/>
    <s v="Food handling"/>
    <s v="Spruce"/>
    <n v="1"/>
    <n v="0"/>
    <n v="0"/>
    <x v="0"/>
    <x v="0"/>
    <s v="Exterior spruce foliage"/>
    <m/>
    <n v="0"/>
    <n v="0"/>
    <n v="0"/>
    <n v="0"/>
    <n v="0"/>
    <n v="0"/>
    <s v="NA"/>
    <s v="Missed foraging"/>
    <n v="0"/>
    <n v="0"/>
  </r>
  <r>
    <s v="DSCN0201"/>
    <s v="MM14_1"/>
    <n v="1"/>
    <n v="2"/>
    <s v="Mercentile "/>
    <x v="4"/>
    <x v="0"/>
    <s v="Spring"/>
    <d v="1899-12-30T01:52:00"/>
    <m/>
    <s v="WY/OS"/>
    <s v="Foraging"/>
    <s v="Spruce"/>
    <n v="1"/>
    <n v="0"/>
    <n v="0"/>
    <x v="0"/>
    <x v="9"/>
    <s v="Bare interior tree branch"/>
    <s v="NA"/>
    <n v="0"/>
    <n v="0"/>
    <n v="0"/>
    <n v="0"/>
    <n v="0"/>
    <n v="0"/>
    <s v="Visual Searching"/>
    <m/>
    <n v="0"/>
    <n v="0"/>
  </r>
  <r>
    <s v="DSCN0207"/>
    <s v="MM14_1"/>
    <n v="1"/>
    <n v="1"/>
    <s v="Mercentile "/>
    <x v="4"/>
    <x v="0"/>
    <s v="Spring"/>
    <d v="1899-12-30T00:01:53"/>
    <m/>
    <s v="WY/OS"/>
    <s v="Foraging"/>
    <s v="Spruce"/>
    <n v="1"/>
    <s v="unknown"/>
    <m/>
    <x v="0"/>
    <x v="9"/>
    <s v="Interior bare branch"/>
    <s v="NA"/>
    <n v="68"/>
    <n v="12"/>
    <n v="68"/>
    <n v="12"/>
    <n v="0"/>
    <n v="80"/>
    <m/>
    <s v="Some interior foragine was not attributable to either bark or foliage due to obstruction by vegetation. "/>
    <m/>
    <m/>
  </r>
  <r>
    <s v="DSCN0211"/>
    <s v="MM14_4"/>
    <n v="4"/>
    <n v="1"/>
    <s v="Mercentile "/>
    <x v="4"/>
    <x v="0"/>
    <s v="Spring"/>
    <d v="1899-12-30T00:22:00"/>
    <m/>
    <s v="WY/OS"/>
    <s v="Foraging"/>
    <s v="Spruce"/>
    <n v="0"/>
    <n v="0"/>
    <n v="0"/>
    <x v="3"/>
    <x v="3"/>
    <s v="NA"/>
    <m/>
    <n v="22"/>
    <n v="0"/>
    <n v="22"/>
    <n v="0"/>
    <n v="0"/>
    <n v="22"/>
    <s v="Visual Searching"/>
    <m/>
    <n v="0"/>
    <n v="0"/>
  </r>
  <r>
    <s v="DSCN0222"/>
    <s v="MM14_8"/>
    <n v="8"/>
    <n v="1"/>
    <s v="Mercentile "/>
    <x v="4"/>
    <x v="0"/>
    <s v="Spring"/>
    <d v="1899-12-30T00:53:00"/>
    <m/>
    <s v="WY/OS"/>
    <s v="Foraging"/>
    <s v="Spruce"/>
    <n v="0"/>
    <n v="0"/>
    <n v="0"/>
    <x v="3"/>
    <x v="3"/>
    <s v="NA"/>
    <s v="NA"/>
    <n v="30"/>
    <n v="5"/>
    <n v="30"/>
    <n v="5"/>
    <n v="2"/>
    <n v="37"/>
    <s v="Visual Searching, PECKING"/>
    <m/>
    <m/>
    <m/>
  </r>
  <r>
    <s v="DSCN0218"/>
    <s v="MM14_7"/>
    <n v="7"/>
    <n v="1"/>
    <s v="Mercentile "/>
    <x v="4"/>
    <x v="0"/>
    <s v="Spring"/>
    <d v="1899-12-30T00:08:00"/>
    <m/>
    <s v="WO/OS"/>
    <s v="Food handling"/>
    <s v="Spruce"/>
    <n v="0"/>
    <n v="0"/>
    <n v="0"/>
    <x v="4"/>
    <x v="7"/>
    <s v="unknown"/>
    <s v="NA"/>
    <n v="0"/>
    <n v="0"/>
    <n v="0"/>
    <n v="0"/>
    <n v="0"/>
    <n v="0"/>
    <m/>
    <m/>
    <m/>
    <m/>
  </r>
  <r>
    <s v="DSCN0208"/>
    <s v="MM14_2"/>
    <n v="2"/>
    <n v="1"/>
    <s v="Mercentile "/>
    <x v="4"/>
    <x v="0"/>
    <s v="Spring"/>
    <d v="1899-12-30T00:54:00"/>
    <m/>
    <s v="WY/OS"/>
    <s v="Foraging"/>
    <s v="Spruce"/>
    <n v="0"/>
    <n v="0"/>
    <m/>
    <x v="3"/>
    <x v="3"/>
    <m/>
    <m/>
    <n v="41"/>
    <n v="8"/>
    <n v="33"/>
    <n v="16"/>
    <n v="0"/>
    <n v="49"/>
    <s v="Visual Searching"/>
    <m/>
    <n v="0"/>
    <n v="0"/>
  </r>
  <r>
    <s v="DSCN0212"/>
    <s v="MM14_5"/>
    <n v="5"/>
    <n v="1"/>
    <s v="Mercentile "/>
    <x v="4"/>
    <x v="0"/>
    <s v="Spring"/>
    <d v="1899-12-30T01:07:00"/>
    <m/>
    <s v="WY/OS"/>
    <s v="Foraging"/>
    <s v="Spruce"/>
    <n v="0"/>
    <n v="0"/>
    <n v="0"/>
    <x v="3"/>
    <x v="3"/>
    <s v="NA"/>
    <m/>
    <n v="67"/>
    <n v="0"/>
    <n v="67"/>
    <n v="0"/>
    <n v="0"/>
    <n v="67"/>
    <s v="Visual searching, probing "/>
    <m/>
    <n v="5"/>
    <n v="0"/>
  </r>
  <r>
    <s v="DSCN0252"/>
    <s v="RC0315_11"/>
    <n v="11"/>
    <n v="1"/>
    <s v="Riley Creek"/>
    <x v="5"/>
    <x v="0"/>
    <s v="Spring"/>
    <d v="1899-12-30T00:59:00"/>
    <m/>
    <s v="Unbanded"/>
    <s v="Foraging"/>
    <s v="Spruce"/>
    <s v="unknown"/>
    <s v="unknown"/>
    <n v="0"/>
    <x v="3"/>
    <x v="3"/>
    <s v="NA"/>
    <s v="NA"/>
    <n v="59"/>
    <n v="0"/>
    <n v="59"/>
    <n v="0"/>
    <n v="0"/>
    <n v="59"/>
    <s v="Visual Searching"/>
    <m/>
    <m/>
    <m/>
  </r>
  <r>
    <s v="DSCN0239"/>
    <s v="RC0315_3"/>
    <n v="3"/>
    <n v="1"/>
    <s v="Riley Creek"/>
    <x v="5"/>
    <x v="0"/>
    <s v="Spring"/>
    <d v="1899-12-30T00:10:00"/>
    <m/>
    <s v="Unbanded"/>
    <s v="foraging/food handeling"/>
    <s v="Spruce"/>
    <n v="1"/>
    <n v="1"/>
    <n v="0"/>
    <x v="4"/>
    <x v="10"/>
    <s v="Interior bare spruce tree"/>
    <s v="NA"/>
    <n v="0"/>
    <n v="0"/>
    <n v="0"/>
    <n v="0"/>
    <n v="0"/>
    <n v="0"/>
    <m/>
    <s v="Missed initial acquisition on film but saw it in person"/>
    <m/>
    <m/>
  </r>
  <r>
    <s v="DSCN0232"/>
    <s v="RC0315_1"/>
    <n v="1"/>
    <n v="1"/>
    <s v="Riley Creek"/>
    <x v="5"/>
    <x v="0"/>
    <s v="Spring"/>
    <d v="1899-12-30T00:24:00"/>
    <m/>
    <s v="Unbanded"/>
    <s v="Foraging"/>
    <s v="Spruce"/>
    <n v="1"/>
    <s v="unknown"/>
    <n v="0"/>
    <x v="0"/>
    <x v="0"/>
    <s v="Spruce trunk under bark"/>
    <s v="NA"/>
    <n v="24"/>
    <n v="0"/>
    <n v="24"/>
    <n v="0"/>
    <n v="0"/>
    <n v="24"/>
    <s v="Probing"/>
    <m/>
    <n v="6"/>
    <n v="0"/>
  </r>
  <r>
    <s v="DSCN0247"/>
    <s v="RC0315_10"/>
    <n v="10"/>
    <n v="1"/>
    <s v="Riley Creek"/>
    <x v="5"/>
    <x v="0"/>
    <s v="Spring"/>
    <d v="1899-12-30T00:19:00"/>
    <m/>
    <s v="Unbanded"/>
    <s v="Food handling"/>
    <s v="Spruce"/>
    <n v="0"/>
    <n v="0"/>
    <n v="0"/>
    <x v="4"/>
    <x v="10"/>
    <s v="NA"/>
    <s v="NA"/>
    <n v="0"/>
    <n v="0"/>
    <n v="0"/>
    <n v="0"/>
    <n v="0"/>
    <n v="0"/>
    <m/>
    <m/>
    <m/>
    <m/>
  </r>
  <r>
    <s v="DSCN0240"/>
    <s v="RC0315_4"/>
    <n v="4"/>
    <n v="1"/>
    <s v="Riley Creek"/>
    <x v="5"/>
    <x v="0"/>
    <s v="Spring"/>
    <d v="1899-12-30T00:13:00"/>
    <m/>
    <s v="Unbanded"/>
    <s v="Food handling"/>
    <s v="Spruce"/>
    <n v="0"/>
    <n v="0"/>
    <n v="0"/>
    <x v="4"/>
    <x v="10"/>
    <s v="NA"/>
    <s v="NA"/>
    <n v="0"/>
    <n v="0"/>
    <n v="0"/>
    <n v="0"/>
    <n v="0"/>
    <n v="0"/>
    <m/>
    <m/>
    <m/>
    <m/>
  </r>
  <r>
    <s v="DSCN0241"/>
    <s v="RC0315_5"/>
    <n v="5"/>
    <n v="1"/>
    <s v="Riley Creek"/>
    <x v="5"/>
    <x v="0"/>
    <s v="Spring"/>
    <d v="1899-12-30T00:05:00"/>
    <m/>
    <s v="Unbanded"/>
    <s v="Food handling"/>
    <s v="Spruce"/>
    <n v="0"/>
    <n v="0"/>
    <n v="0"/>
    <x v="4"/>
    <x v="10"/>
    <s v="NA"/>
    <s v="NA"/>
    <n v="0"/>
    <n v="0"/>
    <n v="0"/>
    <n v="0"/>
    <n v="0"/>
    <n v="0"/>
    <m/>
    <m/>
    <m/>
    <m/>
  </r>
  <r>
    <s v="DSCN0242"/>
    <s v="RC0315_6"/>
    <n v="6"/>
    <n v="1"/>
    <s v="Riley Creek"/>
    <x v="5"/>
    <x v="0"/>
    <s v="Spring"/>
    <d v="1899-12-30T00:00:05"/>
    <m/>
    <s v="Unbanded"/>
    <s v="Food handling"/>
    <s v="Spruce"/>
    <n v="0"/>
    <n v="0"/>
    <n v="0"/>
    <x v="4"/>
    <x v="10"/>
    <s v="NA"/>
    <s v="NA"/>
    <n v="0"/>
    <n v="0"/>
    <n v="0"/>
    <n v="0"/>
    <n v="0"/>
    <n v="0"/>
    <m/>
    <m/>
    <m/>
    <m/>
  </r>
  <r>
    <s v="DSCN0243"/>
    <s v="RC0315_7"/>
    <n v="7"/>
    <n v="1"/>
    <s v="Riley Creek"/>
    <x v="5"/>
    <x v="0"/>
    <s v="Spring"/>
    <d v="1899-12-30T00:08:00"/>
    <m/>
    <s v="Unbanded"/>
    <s v="Food handling"/>
    <s v="Spruce"/>
    <n v="0"/>
    <n v="0"/>
    <n v="0"/>
    <x v="4"/>
    <x v="10"/>
    <s v="NA"/>
    <s v="NA"/>
    <n v="0"/>
    <n v="0"/>
    <n v="0"/>
    <n v="0"/>
    <n v="0"/>
    <n v="0"/>
    <m/>
    <m/>
    <m/>
    <m/>
  </r>
  <r>
    <s v="DSCN0245"/>
    <s v="RC0315_8"/>
    <n v="8"/>
    <n v="1"/>
    <s v="Riley Creek"/>
    <x v="5"/>
    <x v="0"/>
    <s v="Spring"/>
    <d v="1899-12-30T00:25:00"/>
    <m/>
    <s v="Unbanded"/>
    <s v="Food handling"/>
    <s v="Spruce"/>
    <n v="0"/>
    <n v="0"/>
    <n v="0"/>
    <x v="4"/>
    <x v="10"/>
    <s v="NA"/>
    <s v="NA"/>
    <n v="0"/>
    <n v="0"/>
    <n v="0"/>
    <n v="0"/>
    <n v="0"/>
    <n v="0"/>
    <m/>
    <s v="Only worthwile video where you can actually see animal flesh clearly."/>
    <m/>
    <m/>
  </r>
  <r>
    <s v="DSCN0246"/>
    <s v="RC0315_9"/>
    <n v="9"/>
    <n v="1"/>
    <s v="Riley Creek"/>
    <x v="5"/>
    <x v="0"/>
    <s v="Spring"/>
    <d v="1899-12-30T00:13:00"/>
    <m/>
    <s v="Unbanded"/>
    <s v="Food handling"/>
    <s v="Spruce"/>
    <n v="0"/>
    <n v="0"/>
    <n v="0"/>
    <x v="4"/>
    <x v="10"/>
    <s v="NA"/>
    <s v="NA"/>
    <n v="0"/>
    <n v="0"/>
    <n v="0"/>
    <n v="0"/>
    <n v="0"/>
    <n v="0"/>
    <m/>
    <s v="Dropped it on ground off camera, but picked I back up in this video."/>
    <m/>
    <m/>
  </r>
  <r>
    <s v="DSCN0236"/>
    <s v="RC0315_2"/>
    <n v="2"/>
    <n v="1"/>
    <s v="Riley Creek"/>
    <x v="5"/>
    <x v="0"/>
    <s v="Spring"/>
    <d v="1899-12-30T00:06:00"/>
    <m/>
    <s v="Unbanded"/>
    <s v="Foraging"/>
    <s v="Spruce"/>
    <n v="0"/>
    <n v="0"/>
    <n v="0"/>
    <x v="3"/>
    <x v="3"/>
    <s v="NA"/>
    <s v="NA"/>
    <n v="6"/>
    <n v="0"/>
    <n v="6"/>
    <n v="0"/>
    <n v="0"/>
    <n v="6"/>
    <s v="Probing"/>
    <m/>
    <n v="2"/>
    <n v="0"/>
  </r>
  <r>
    <s v="DSCN0256"/>
    <s v="RC0315_12"/>
    <n v="12"/>
    <n v="1"/>
    <s v="Riley Creek"/>
    <x v="5"/>
    <x v="0"/>
    <s v="Spring"/>
    <d v="1899-12-30T00:49:00"/>
    <m/>
    <s v="Unbanded"/>
    <s v="Food handling"/>
    <s v="Spruce"/>
    <n v="0"/>
    <n v="0"/>
    <n v="0"/>
    <x v="5"/>
    <x v="11"/>
    <s v="unknown"/>
    <s v="NA"/>
    <n v="0"/>
    <n v="0"/>
    <n v="0"/>
    <n v="0"/>
    <n v="0"/>
    <n v="0"/>
    <m/>
    <m/>
    <m/>
    <m/>
  </r>
  <r>
    <s v="DSCN0276"/>
    <s v="MM17_1"/>
    <n v="1"/>
    <n v="1"/>
    <s v="Mercentile "/>
    <x v="6"/>
    <x v="0"/>
    <s v="Spring"/>
    <d v="1899-12-30T00:02:12"/>
    <m/>
    <s v="WY/OS"/>
    <s v="Foraging"/>
    <s v="Aspen, Spruce"/>
    <n v="1"/>
    <s v="unknown"/>
    <n v="1"/>
    <x v="0"/>
    <x v="0"/>
    <s v="Under bark of aspen trunk"/>
    <s v="Interior spruce bare branches in witch hair"/>
    <n v="28"/>
    <n v="80"/>
    <n v="80"/>
    <n v="28"/>
    <n v="0"/>
    <n v="108"/>
    <s v="Gleaning, probing, visual searching "/>
    <m/>
    <n v="5"/>
    <n v="11"/>
  </r>
  <r>
    <s v="DSCN0278"/>
    <s v="MM17_2"/>
    <n v="2"/>
    <n v="1"/>
    <s v="Mercentile "/>
    <x v="6"/>
    <x v="0"/>
    <s v="Spring"/>
    <d v="1899-12-30T00:00:11"/>
    <m/>
    <s v="WY/OS"/>
    <s v="Foraging"/>
    <s v="Spruce"/>
    <n v="1"/>
    <s v="unknown"/>
    <m/>
    <x v="0"/>
    <x v="0"/>
    <s v="Interior foliage"/>
    <s v="NA"/>
    <n v="0"/>
    <n v="11"/>
    <n v="0"/>
    <n v="11"/>
    <n v="0"/>
    <n v="11"/>
    <s v="Gleaning"/>
    <m/>
    <m/>
    <m/>
  </r>
  <r>
    <s v="DSCN0295"/>
    <s v="M4R0318_1"/>
    <n v="1"/>
    <n v="1"/>
    <s v="Mile 4 roadside"/>
    <x v="7"/>
    <x v="0"/>
    <s v="Spring"/>
    <d v="1899-12-30T00:00:41"/>
    <s v="Light snowfall"/>
    <s v="WG/OS"/>
    <s v="Foraging"/>
    <s v="Spruce"/>
    <n v="2"/>
    <n v="1"/>
    <n v="1"/>
    <x v="0"/>
    <x v="0"/>
    <s v="Exterior spruce branch under witch hair"/>
    <s v="Spruce trunk under bark "/>
    <n v="25"/>
    <n v="0"/>
    <n v="0"/>
    <n v="25"/>
    <n v="0"/>
    <n v="25"/>
    <s v="Visual searching, gleaning"/>
    <s v="Plucked something largish froma  branch and proceeded to tear it up.  Then appeared to cache based on cirumstantial evidence. "/>
    <n v="0"/>
    <n v="2"/>
  </r>
  <r>
    <m/>
    <s v="MTV0318_2"/>
    <n v="2"/>
    <n v="1"/>
    <s v="Mountain View"/>
    <x v="7"/>
    <x v="0"/>
    <s v="Spring"/>
    <d v="1899-12-30T00:16:00"/>
    <m/>
    <s v="Unbanded"/>
    <s v="Food handling"/>
    <s v="Spruce"/>
    <n v="1"/>
    <n v="0"/>
    <n v="0"/>
    <x v="4"/>
    <x v="12"/>
    <s v="unknown"/>
    <s v="NA"/>
    <n v="0"/>
    <n v="0"/>
    <n v="0"/>
    <n v="0"/>
    <n v="0"/>
    <n v="0"/>
    <m/>
    <s v="Found birds already feeding from hare skull in tree top. "/>
    <m/>
    <m/>
  </r>
  <r>
    <s v="DSCN0312"/>
    <s v="M4R0318_8"/>
    <n v="8"/>
    <n v="1"/>
    <s v="Mile 4 roadside"/>
    <x v="7"/>
    <x v="0"/>
    <s v="Spring"/>
    <d v="1899-12-30T00:31:00"/>
    <s v="Light snowfall"/>
    <s v="OB/YS"/>
    <s v="Foraging"/>
    <s v="Spruce"/>
    <n v="1"/>
    <n v="0"/>
    <n v="0"/>
    <x v="1"/>
    <x v="13"/>
    <s v="Interior bare spruce branch"/>
    <m/>
    <n v="27"/>
    <n v="0"/>
    <n v="27"/>
    <n v="0"/>
    <n v="0"/>
    <n v="27"/>
    <s v="Searching"/>
    <m/>
    <m/>
    <m/>
  </r>
  <r>
    <m/>
    <s v="MTV0318_5_3"/>
    <n v="5"/>
    <n v="3"/>
    <s v="Mountain View"/>
    <x v="7"/>
    <x v="0"/>
    <s v="Spring"/>
    <d v="1899-12-30T00:41:00"/>
    <m/>
    <s v="Unbanded_2"/>
    <s v="Foraging"/>
    <s v="Spruce"/>
    <n v="1"/>
    <s v="unknown"/>
    <n v="0"/>
    <x v="1"/>
    <x v="14"/>
    <s v="spruce cone "/>
    <m/>
    <n v="0"/>
    <n v="0"/>
    <n v="0"/>
    <n v="0"/>
    <n v="0"/>
    <n v="0"/>
    <s v="Probing"/>
    <m/>
    <n v="3"/>
    <n v="0"/>
  </r>
  <r>
    <s v="DSCN0297"/>
    <s v="M4R0318_2"/>
    <n v="2"/>
    <n v="1"/>
    <s v="Mile 4 roadside"/>
    <x v="7"/>
    <x v="0"/>
    <s v="Spring"/>
    <d v="1899-12-30T01:02:00"/>
    <s v="Light snowfall"/>
    <s v="WG/OS"/>
    <s v="Foraging"/>
    <s v="Spruce"/>
    <n v="1"/>
    <s v="unknown"/>
    <n v="0"/>
    <x v="0"/>
    <x v="0"/>
    <s v="Exterior spruce branch under witch hair"/>
    <s v="NA"/>
    <n v="50"/>
    <n v="0"/>
    <n v="0"/>
    <n v="50"/>
    <n v="0"/>
    <n v="50"/>
    <s v="Gleaning"/>
    <m/>
    <n v="0"/>
    <n v="2"/>
  </r>
  <r>
    <s v="DSCN0304"/>
    <s v="M4R0318_5"/>
    <n v="5"/>
    <n v="1"/>
    <s v="Mile 4 roadside"/>
    <x v="7"/>
    <x v="0"/>
    <s v="Spring"/>
    <d v="1899-12-30T00:57:00"/>
    <s v="Light snowfall"/>
    <s v="WG/OS"/>
    <s v="Foraging"/>
    <s v="Spruce"/>
    <n v="1"/>
    <s v="unknown"/>
    <n v="0"/>
    <x v="0"/>
    <x v="0"/>
    <s v="Exterior bare spruce branch"/>
    <s v="NA"/>
    <n v="55"/>
    <n v="0"/>
    <n v="44"/>
    <n v="11"/>
    <n v="0"/>
    <n v="55"/>
    <m/>
    <m/>
    <m/>
    <m/>
  </r>
  <r>
    <s v="DSCN0305"/>
    <s v="M4R0318_6"/>
    <n v="6"/>
    <n v="1"/>
    <s v="Mile 4 roadside"/>
    <x v="7"/>
    <x v="0"/>
    <s v="Spring"/>
    <d v="1899-12-30T00:15:00"/>
    <s v="Light snowfall"/>
    <s v="WG/OS"/>
    <s v="Foraging"/>
    <s v="Spruce"/>
    <n v="1"/>
    <s v="unknown"/>
    <n v="0"/>
    <x v="0"/>
    <x v="0"/>
    <s v="Under bark of exterior spruce branch"/>
    <s v="NA"/>
    <n v="14"/>
    <n v="0"/>
    <n v="0"/>
    <n v="14"/>
    <n v="0"/>
    <n v="14"/>
    <s v="Probing"/>
    <m/>
    <n v="1"/>
    <n v="0"/>
  </r>
  <r>
    <s v="DSCN0288"/>
    <s v="MTV0318_1"/>
    <n v="1"/>
    <n v="1"/>
    <s v="Mountain View"/>
    <x v="7"/>
    <x v="0"/>
    <s v="Spring"/>
    <d v="1899-12-30T03:20:00"/>
    <m/>
    <s v="Unbanded"/>
    <s v="Foraging"/>
    <s v="Spruce, aspen"/>
    <n v="1"/>
    <s v="unknown"/>
    <n v="0"/>
    <x v="0"/>
    <x v="0"/>
    <s v="Under bark of exterior aspen branch"/>
    <s v="NA"/>
    <n v="83"/>
    <n v="98"/>
    <n v="98"/>
    <n v="83"/>
    <n v="0"/>
    <n v="181"/>
    <s v="Visual searching, probing "/>
    <m/>
    <n v="1"/>
    <n v="0"/>
  </r>
  <r>
    <m/>
    <s v="MTV0318_5_2"/>
    <n v="5"/>
    <n v="2"/>
    <s v="Mountain View"/>
    <x v="7"/>
    <x v="0"/>
    <s v="Spring"/>
    <d v="1899-12-30T00:41:00"/>
    <m/>
    <s v="Unbanded_2"/>
    <s v="Foraging"/>
    <s v="Spruce"/>
    <n v="1"/>
    <s v="unknown"/>
    <n v="0"/>
    <x v="0"/>
    <x v="0"/>
    <s v="Exterior spruce foliage "/>
    <s v="NA"/>
    <n v="0"/>
    <n v="34"/>
    <n v="0"/>
    <n v="34"/>
    <n v="0"/>
    <n v="34"/>
    <s v="Probing"/>
    <m/>
    <n v="3"/>
    <n v="0"/>
  </r>
  <r>
    <m/>
    <s v="MTV0318_3"/>
    <n v="3"/>
    <n v="1"/>
    <s v="Mountain View"/>
    <x v="7"/>
    <x v="0"/>
    <s v="Spring"/>
    <d v="1899-12-30T00:21:00"/>
    <m/>
    <s v="Unbanded"/>
    <s v="Food handling"/>
    <s v="Spruce"/>
    <n v="0"/>
    <n v="0"/>
    <n v="0"/>
    <x v="4"/>
    <x v="12"/>
    <s v="unknown"/>
    <s v="NA"/>
    <n v="0"/>
    <n v="0"/>
    <n v="0"/>
    <n v="0"/>
    <n v="0"/>
    <n v="0"/>
    <m/>
    <s v="Found birds already feeding from hare skull in tree top. "/>
    <m/>
    <m/>
  </r>
  <r>
    <s v="DSCN0298"/>
    <s v="M4R0318_3"/>
    <n v="3"/>
    <n v="1"/>
    <s v="Mile 4 roadside"/>
    <x v="7"/>
    <x v="0"/>
    <s v="Spring"/>
    <d v="1899-12-30T00:40:00"/>
    <s v="Light snowfall"/>
    <s v="WG/OS"/>
    <s v="Foraging"/>
    <s v="Spruce"/>
    <n v="0"/>
    <n v="0"/>
    <n v="0"/>
    <x v="3"/>
    <x v="3"/>
    <s v="NA"/>
    <s v="NA"/>
    <n v="35"/>
    <n v="0"/>
    <n v="16"/>
    <n v="19"/>
    <n v="0"/>
    <n v="35"/>
    <s v="Visual searching, gleaning"/>
    <s v="Pulled at witch hair but did not appear to recover food. "/>
    <m/>
    <m/>
  </r>
  <r>
    <s v="DSCN0301"/>
    <s v="M4R0318_4"/>
    <n v="4"/>
    <n v="1"/>
    <s v="Mile 4 roadside"/>
    <x v="7"/>
    <x v="0"/>
    <s v="Spring"/>
    <d v="1899-12-30T00:25:00"/>
    <s v="Light snowfall"/>
    <s v="WG/OS"/>
    <s v="Foraging"/>
    <s v="Spruce"/>
    <n v="0"/>
    <n v="0"/>
    <n v="0"/>
    <x v="3"/>
    <x v="3"/>
    <s v="NA"/>
    <s v="NA"/>
    <n v="21"/>
    <n v="0"/>
    <n v="21"/>
    <n v="0"/>
    <n v="0"/>
    <n v="21"/>
    <s v="Visual Searching"/>
    <m/>
    <m/>
    <m/>
  </r>
  <r>
    <s v="DSCN0310"/>
    <s v="M4R0318_7"/>
    <n v="7"/>
    <n v="1"/>
    <s v="Mile 4 roadside"/>
    <x v="7"/>
    <x v="0"/>
    <s v="Spring"/>
    <d v="1899-12-30T00:55:00"/>
    <s v="Light snowfall"/>
    <s v="OB/YS"/>
    <s v="Foraging"/>
    <s v="Spruce"/>
    <n v="0"/>
    <n v="0"/>
    <n v="0"/>
    <x v="3"/>
    <x v="3"/>
    <s v="NA"/>
    <m/>
    <n v="55"/>
    <n v="0"/>
    <n v="55"/>
    <n v="0"/>
    <n v="0"/>
    <n v="55"/>
    <s v="Gleaning"/>
    <s v="Picked at branch but did not appear to recover food"/>
    <n v="0"/>
    <n v="1"/>
  </r>
  <r>
    <m/>
    <s v="MTV0318_5_1"/>
    <n v="5"/>
    <n v="1"/>
    <s v="Mountain View"/>
    <x v="7"/>
    <x v="0"/>
    <s v="Spring"/>
    <d v="1899-12-30T00:41:00"/>
    <m/>
    <s v="Unbanded_1"/>
    <s v="Foraging"/>
    <s v="Spruce"/>
    <n v="1"/>
    <s v="unknown"/>
    <n v="0"/>
    <x v="0"/>
    <x v="0"/>
    <s v="Exterior spruce foliage "/>
    <s v="NA"/>
    <n v="0"/>
    <n v="30"/>
    <n v="0"/>
    <n v="30"/>
    <n v="0"/>
    <n v="30"/>
    <s v="Visual searching, gleaning"/>
    <m/>
    <m/>
    <m/>
  </r>
  <r>
    <m/>
    <s v="MTV0318_4"/>
    <n v="4"/>
    <n v="1"/>
    <s v="Mountain View"/>
    <x v="7"/>
    <x v="0"/>
    <s v="Spring"/>
    <d v="1899-12-30T03:13:00"/>
    <m/>
    <s v="Unbanded"/>
    <s v="Food handling, Nest material collecting"/>
    <s v="Spruce and willow"/>
    <n v="0"/>
    <n v="0"/>
    <n v="0"/>
    <x v="4"/>
    <x v="12"/>
    <s v="unknown"/>
    <s v="NA"/>
    <n v="0"/>
    <n v="0"/>
    <n v="0"/>
    <n v="0"/>
    <n v="0"/>
    <n v="0"/>
    <m/>
    <s v="Found birds already feeding from hare skull in tree top. "/>
    <m/>
    <m/>
  </r>
  <r>
    <s v="DSCN0322"/>
    <s v="M4R0321_1"/>
    <n v="1"/>
    <n v="1"/>
    <s v="Mile 4 roadside"/>
    <x v="8"/>
    <x v="0"/>
    <s v="Spring"/>
    <d v="1899-12-30T00:19:00"/>
    <m/>
    <s v="WG/OS"/>
    <s v="Foraging"/>
    <s v="NA"/>
    <s v="unknown"/>
    <s v="unknown"/>
    <n v="0"/>
    <x v="0"/>
    <x v="0"/>
    <s v="NA"/>
    <s v="NA"/>
    <n v="0"/>
    <n v="0"/>
    <n v="0"/>
    <n v="0"/>
    <n v="19"/>
    <n v="19"/>
    <m/>
    <s v="Appeared to be picking at the snow on the gorund but actions were obscured by tree."/>
    <m/>
    <m/>
  </r>
  <r>
    <s v="DSCN0323"/>
    <s v="M4R0321_2"/>
    <n v="2"/>
    <n v="1"/>
    <s v="Mile 4 roadside"/>
    <x v="8"/>
    <x v="0"/>
    <s v="Spring"/>
    <d v="1899-12-30T00:41:00"/>
    <m/>
    <s v="WG/OS"/>
    <s v="Foraging"/>
    <s v="Spruce"/>
    <s v="unknown"/>
    <s v="unknown"/>
    <n v="0"/>
    <x v="0"/>
    <x v="0"/>
    <s v="NA"/>
    <s v="NA"/>
    <n v="31"/>
    <n v="0"/>
    <n v="0"/>
    <n v="31"/>
    <n v="0"/>
    <n v="31"/>
    <s v="Gleaning, visual searching "/>
    <m/>
    <n v="0"/>
    <n v="1"/>
  </r>
  <r>
    <s v="DSCN0337"/>
    <s v="M4R0321_7"/>
    <n v="7"/>
    <n v="1"/>
    <s v="Mile 4 roadside"/>
    <x v="8"/>
    <x v="0"/>
    <s v="Spring"/>
    <d v="1899-12-30T01:01:00"/>
    <m/>
    <s v="WG/OS"/>
    <s v="Foraging"/>
    <s v="Spruce"/>
    <s v="unknown"/>
    <s v="unknown"/>
    <s v="Unknown"/>
    <x v="0"/>
    <x v="0"/>
    <s v="NA"/>
    <s v="NA"/>
    <n v="53"/>
    <n v="0"/>
    <n v="53"/>
    <n v="0"/>
    <n v="0"/>
    <n v="53"/>
    <s v="Searching"/>
    <m/>
    <m/>
    <m/>
  </r>
  <r>
    <s v="DSCN0335"/>
    <s v="M4R0321_6"/>
    <n v="6"/>
    <n v="1"/>
    <s v="Mile 4 roadside"/>
    <x v="8"/>
    <x v="0"/>
    <s v="Spring"/>
    <d v="1899-12-30T01:53:00"/>
    <m/>
    <s v="OW/RS"/>
    <s v="Foraging"/>
    <s v="Spruce"/>
    <n v="1"/>
    <s v="unknown"/>
    <n v="0"/>
    <x v="0"/>
    <x v="0"/>
    <s v="Interior spruce on underside of bare branches"/>
    <s v="NA"/>
    <n v="49"/>
    <n v="34"/>
    <n v="49"/>
    <n v="34"/>
    <n v="0"/>
    <n v="83"/>
    <m/>
    <m/>
    <m/>
    <m/>
  </r>
  <r>
    <s v="DSCN0335"/>
    <s v="M4R0321_6"/>
    <n v="6"/>
    <n v="2"/>
    <s v="Mile 4 roadside"/>
    <x v="8"/>
    <x v="0"/>
    <s v="Spring"/>
    <d v="1899-12-30T01:53:00"/>
    <m/>
    <s v="OW/RS"/>
    <s v="Foraging"/>
    <s v="Spruce"/>
    <n v="1"/>
    <s v="unknown"/>
    <n v="0"/>
    <x v="0"/>
    <x v="0"/>
    <s v="Exterior spruce foliage"/>
    <s v="NA"/>
    <n v="0"/>
    <n v="0"/>
    <n v="0"/>
    <n v="0"/>
    <n v="0"/>
    <n v="0"/>
    <m/>
    <m/>
    <m/>
    <m/>
  </r>
  <r>
    <s v="DSCN0338"/>
    <s v="M4R0321_8"/>
    <n v="8"/>
    <n v="1"/>
    <s v="Mile 4 roadside"/>
    <x v="8"/>
    <x v="0"/>
    <s v="Spring"/>
    <d v="1899-12-30T01:11:00"/>
    <m/>
    <s v="WG/OS"/>
    <s v="Foraging"/>
    <s v="Spruce"/>
    <n v="1"/>
    <s v="unknown"/>
    <n v="0"/>
    <x v="0"/>
    <x v="0"/>
    <s v="On spruce trunk under bark"/>
    <s v="NA"/>
    <n v="71"/>
    <n v="0"/>
    <n v="71"/>
    <n v="0"/>
    <n v="0"/>
    <n v="71"/>
    <s v="Gleaning, visual searching "/>
    <m/>
    <n v="0"/>
    <n v="2"/>
  </r>
  <r>
    <s v="DSCN0338"/>
    <s v="M4R0321_8"/>
    <n v="8"/>
    <n v="2"/>
    <s v="Mile 4 roadside"/>
    <x v="8"/>
    <x v="0"/>
    <s v="Spring"/>
    <d v="1899-12-30T01:11:00"/>
    <m/>
    <s v="WG/OS"/>
    <s v="Foraging"/>
    <s v="Spruce"/>
    <n v="1"/>
    <s v="unknown"/>
    <n v="0"/>
    <x v="0"/>
    <x v="0"/>
    <s v="On interior bare spruce branch"/>
    <s v="NA"/>
    <n v="0"/>
    <n v="0"/>
    <n v="0"/>
    <n v="0"/>
    <n v="0"/>
    <n v="0"/>
    <s v="Gleaning, visual searching "/>
    <m/>
    <n v="0"/>
    <n v="2"/>
  </r>
  <r>
    <s v="DSCN0341"/>
    <s v="M4R0321_11"/>
    <n v="11"/>
    <n v="1"/>
    <s v="Mile 4 roadside"/>
    <x v="8"/>
    <x v="0"/>
    <s v="Spring"/>
    <d v="1899-12-30T00:00:08"/>
    <m/>
    <s v="OB/YS"/>
    <s v="Foraging"/>
    <s v="Spruce"/>
    <n v="1"/>
    <s v="unknown"/>
    <n v="0"/>
    <x v="0"/>
    <x v="15"/>
    <s v="Exterior spruce branch under witch hair"/>
    <s v="NA"/>
    <n v="6"/>
    <n v="0"/>
    <n v="0"/>
    <n v="6"/>
    <n v="0"/>
    <n v="6"/>
    <s v="Probing"/>
    <n v="1"/>
    <n v="0"/>
    <m/>
  </r>
  <r>
    <s v="DSCN0351"/>
    <s v="M4R0321_12"/>
    <n v="12"/>
    <n v="1"/>
    <s v="Mile 4 roadside"/>
    <x v="8"/>
    <x v="0"/>
    <s v="Spring"/>
    <d v="1899-12-30T00:00:21"/>
    <m/>
    <s v="OB/YS"/>
    <s v="Foraging"/>
    <s v="Spruce"/>
    <n v="1"/>
    <s v="unknown"/>
    <s v="Unknown"/>
    <x v="0"/>
    <x v="0"/>
    <s v="Interior spruce foliage"/>
    <s v="NA"/>
    <n v="0"/>
    <n v="10"/>
    <n v="10"/>
    <n v="0"/>
    <n v="0"/>
    <n v="10"/>
    <m/>
    <s v="Missed the immediate food acquisition. "/>
    <m/>
    <m/>
  </r>
  <r>
    <s v="DSCN0325"/>
    <s v="M4R0321_3"/>
    <n v="3"/>
    <n v="1"/>
    <s v="Mile 4 roadside"/>
    <x v="8"/>
    <x v="0"/>
    <s v="Spring"/>
    <d v="1899-12-30T00:15:00"/>
    <m/>
    <s v="OB/YS"/>
    <s v="Foraging"/>
    <s v="Alder"/>
    <n v="0"/>
    <n v="0"/>
    <n v="0"/>
    <x v="3"/>
    <x v="3"/>
    <s v="NA"/>
    <s v="NA"/>
    <n v="13"/>
    <n v="0"/>
    <n v="0"/>
    <n v="13"/>
    <n v="0"/>
    <n v="13"/>
    <s v="Searching"/>
    <m/>
    <m/>
    <m/>
  </r>
  <r>
    <s v="DSCN0326"/>
    <s v="M4R0321_4"/>
    <n v="4"/>
    <n v="1"/>
    <s v="Mile 4 roadside"/>
    <x v="8"/>
    <x v="0"/>
    <s v="Spring"/>
    <d v="1899-12-30T00:53:00"/>
    <m/>
    <s v="OB/YS"/>
    <s v="Foraging"/>
    <s v="Alder"/>
    <n v="0"/>
    <n v="0"/>
    <n v="0"/>
    <x v="3"/>
    <x v="3"/>
    <s v="NA"/>
    <s v="NA"/>
    <n v="50"/>
    <n v="0"/>
    <n v="50"/>
    <n v="0"/>
    <n v="0"/>
    <n v="50"/>
    <s v="Searching"/>
    <m/>
    <m/>
    <m/>
  </r>
  <r>
    <s v="DSCN0331"/>
    <s v="M4R0321_5"/>
    <n v="5"/>
    <n v="1"/>
    <s v="Mile 4 roadside"/>
    <x v="8"/>
    <x v="0"/>
    <s v="Spring"/>
    <d v="1899-12-30T00:53:00"/>
    <m/>
    <s v="OB/YS"/>
    <s v="Foraging"/>
    <s v="Spruce"/>
    <n v="0"/>
    <n v="0"/>
    <n v="0"/>
    <x v="3"/>
    <x v="3"/>
    <s v="NA"/>
    <s v="NA"/>
    <n v="34"/>
    <n v="0"/>
    <n v="0"/>
    <n v="34"/>
    <n v="0"/>
    <n v="34"/>
    <s v="Searching"/>
    <m/>
    <m/>
    <m/>
  </r>
  <r>
    <s v="DSCN0340"/>
    <s v="M4R0321_10"/>
    <n v="10"/>
    <n v="1"/>
    <s v="Mile 4 roadside"/>
    <x v="8"/>
    <x v="0"/>
    <s v="Spring"/>
    <d v="1899-12-30T00:45:00"/>
    <m/>
    <s v="WG/OS"/>
    <s v="Foraging"/>
    <s v="Spruce"/>
    <n v="0"/>
    <n v="0"/>
    <n v="0"/>
    <x v="3"/>
    <x v="16"/>
    <s v="Interior bare spruce branch"/>
    <s v="NA"/>
    <n v="32"/>
    <n v="0"/>
    <n v="32"/>
    <n v="0"/>
    <n v="0"/>
    <n v="32"/>
    <s v="Searching"/>
    <m/>
    <m/>
    <m/>
  </r>
  <r>
    <s v="DSCN0339"/>
    <s v="M4R0321_9"/>
    <n v="9"/>
    <n v="1"/>
    <s v="Mile 4 roadside"/>
    <x v="8"/>
    <x v="0"/>
    <s v="Spring"/>
    <d v="1899-12-30T00:18:00"/>
    <m/>
    <s v="OB/YS"/>
    <s v="Foraging"/>
    <s v="Spruce"/>
    <n v="0"/>
    <n v="0"/>
    <n v="0"/>
    <x v="3"/>
    <x v="16"/>
    <s v="Interior bare spruce branch"/>
    <s v="NA"/>
    <n v="18"/>
    <n v="0"/>
    <n v="18"/>
    <n v="0"/>
    <n v="0"/>
    <n v="18"/>
    <s v="Searching"/>
    <m/>
    <m/>
    <m/>
  </r>
  <r>
    <s v="DSCN0355"/>
    <s v="MM22_1"/>
    <n v="1"/>
    <n v="1"/>
    <s v="Mercentile "/>
    <x v="9"/>
    <x v="0"/>
    <s v="Spring"/>
    <d v="1899-12-30T00:00:09"/>
    <s v="Clear, -10"/>
    <s v="WY/OS"/>
    <s v="Foraging"/>
    <s v="Spruce"/>
    <n v="0"/>
    <m/>
    <m/>
    <x v="3"/>
    <x v="3"/>
    <s v="NA"/>
    <s v="NA"/>
    <n v="0"/>
    <n v="9"/>
    <n v="0"/>
    <n v="9"/>
    <n v="0"/>
    <n v="9"/>
    <s v="Visual Searching"/>
    <m/>
    <n v="0"/>
    <n v="0"/>
  </r>
  <r>
    <m/>
    <m/>
    <m/>
    <m/>
    <m/>
    <x v="10"/>
    <x v="1"/>
    <m/>
    <m/>
    <m/>
    <m/>
    <m/>
    <m/>
    <m/>
    <m/>
    <m/>
    <x v="3"/>
    <x v="17"/>
    <m/>
    <m/>
    <m/>
    <m/>
    <m/>
    <m/>
    <m/>
    <m/>
    <m/>
    <m/>
    <m/>
    <m/>
  </r>
</pivotCacheRecords>
</file>

<file path=xl/pivotCache/pivotCacheRecords8.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539">
  <r>
    <s v="DSCN2813"/>
    <s v="WW0402_1"/>
    <n v="1"/>
    <n v="1"/>
    <x v="0"/>
    <d v="2019-04-02T00:00:00"/>
    <s v="April"/>
    <s v="Spring"/>
    <d v="1899-12-30T01:17:00"/>
    <d v="1899-12-30T00:01:17"/>
    <x v="0"/>
    <m/>
    <x v="0"/>
    <s v="Food handling/Foraging"/>
    <s v="NA"/>
    <n v="1"/>
    <n v="0"/>
    <n v="0"/>
    <s v="Insect"/>
    <s v="Insect (Black caterpiller)"/>
    <s v="Ground"/>
    <s v="NA"/>
    <m/>
    <m/>
    <m/>
    <s v="NA"/>
    <s v="NA"/>
    <s v="NA"/>
    <s v="NA"/>
    <s v="NA"/>
    <s v="NA"/>
    <s v="NA"/>
    <m/>
    <n v="0"/>
    <n v="0"/>
    <n v="0"/>
    <n v="0"/>
    <n v="4"/>
    <m/>
    <n v="4"/>
    <m/>
    <m/>
    <m/>
    <m/>
  </r>
  <r>
    <s v="DSCN2814"/>
    <s v="WW0402_2"/>
    <n v="2"/>
    <n v="1"/>
    <x v="0"/>
    <d v="2019-04-02T00:00:00"/>
    <s v="April"/>
    <s v="Spring"/>
    <d v="1899-12-30T00:39:00"/>
    <d v="1899-12-30T00:00:39"/>
    <x v="1"/>
    <m/>
    <x v="0"/>
    <s v="Food handling"/>
    <s v="NA"/>
    <n v="0"/>
    <n v="0"/>
    <n v="0"/>
    <s v="Insect"/>
    <s v="Insect (Black caterpiller)"/>
    <s v="NA"/>
    <s v="NA"/>
    <m/>
    <m/>
    <m/>
    <s v="NA"/>
    <s v="NA"/>
    <s v="NA"/>
    <s v="NA"/>
    <s v="NA"/>
    <s v="NA"/>
    <s v="NA"/>
    <m/>
    <n v="0"/>
    <n v="0"/>
    <n v="0"/>
    <n v="0"/>
    <n v="0"/>
    <m/>
    <n v="0"/>
    <m/>
    <m/>
    <m/>
    <m/>
  </r>
  <r>
    <s v="DSCN2953"/>
    <s v="WW0405_5"/>
    <n v="5"/>
    <n v="1"/>
    <x v="0"/>
    <d v="2019-04-05T00:00:00"/>
    <s v="April"/>
    <s v="Spring"/>
    <d v="1899-12-30T02:23:00"/>
    <d v="1899-12-30T00:02:23"/>
    <x v="2"/>
    <m/>
    <x v="0"/>
    <s v="Foraging"/>
    <s v="Spruce"/>
    <n v="1"/>
    <n v="0"/>
    <n v="0"/>
    <s v="Unknown"/>
    <s v="unknown"/>
    <s v="Exterior bare spruce branch"/>
    <s v="NA"/>
    <m/>
    <m/>
    <m/>
    <s v="NA"/>
    <s v="NA"/>
    <s v="NA"/>
    <s v="NA"/>
    <s v="NA"/>
    <s v="NA"/>
    <s v="NA"/>
    <m/>
    <n v="6"/>
    <n v="0"/>
    <n v="0"/>
    <n v="6"/>
    <n v="0"/>
    <m/>
    <n v="6"/>
    <m/>
    <m/>
    <m/>
    <m/>
  </r>
  <r>
    <s v="DSCN2989"/>
    <s v="WW0405_29"/>
    <n v="29"/>
    <n v="1"/>
    <x v="0"/>
    <d v="2019-04-05T00:00:00"/>
    <s v="April"/>
    <s v="Spring"/>
    <d v="1899-12-30T00:36:00"/>
    <d v="1899-12-30T00:00:36"/>
    <x v="3"/>
    <m/>
    <x v="0"/>
    <s v="Foraging"/>
    <s v="NA"/>
    <n v="1"/>
    <n v="0"/>
    <n v="0"/>
    <s v="Unknown"/>
    <s v="unknown"/>
    <s v="Ground"/>
    <s v="NA"/>
    <m/>
    <m/>
    <m/>
    <s v="NA"/>
    <s v="NA"/>
    <s v="NA"/>
    <s v="NA"/>
    <s v="NA"/>
    <s v="NA"/>
    <s v="NA"/>
    <m/>
    <n v="0"/>
    <n v="0"/>
    <n v="0"/>
    <n v="0"/>
    <n v="36"/>
    <m/>
    <n v="36"/>
    <s v="Searching"/>
    <m/>
    <m/>
    <m/>
  </r>
  <r>
    <s v="DSCN2990"/>
    <s v="WW0405_30"/>
    <n v="30"/>
    <n v="1"/>
    <x v="0"/>
    <d v="2019-04-05T00:00:00"/>
    <s v="April"/>
    <s v="Spring"/>
    <d v="1899-12-30T00:48:00"/>
    <d v="1899-12-30T00:00:48"/>
    <x v="4"/>
    <m/>
    <x v="0"/>
    <s v="Foraging"/>
    <s v="NA"/>
    <n v="1"/>
    <n v="0"/>
    <n v="0"/>
    <s v="Unknown"/>
    <s v="unknown"/>
    <s v="Ground"/>
    <s v="NA"/>
    <m/>
    <m/>
    <m/>
    <s v="NA"/>
    <s v="NA"/>
    <s v="NA"/>
    <s v="NA"/>
    <s v="NA"/>
    <s v="NA"/>
    <s v="NA"/>
    <m/>
    <n v="0"/>
    <n v="0"/>
    <n v="0"/>
    <n v="0"/>
    <n v="48"/>
    <m/>
    <n v="48"/>
    <m/>
    <m/>
    <m/>
    <m/>
  </r>
  <r>
    <s v="DSCN2993"/>
    <s v="WW0405_32"/>
    <n v="32"/>
    <n v="1"/>
    <x v="0"/>
    <d v="2019-04-05T00:00:00"/>
    <s v="April"/>
    <s v="Spring"/>
    <d v="1899-12-30T01:51:00"/>
    <d v="1899-12-30T00:01:51"/>
    <x v="5"/>
    <m/>
    <x v="0"/>
    <s v="Foraging"/>
    <s v="NA"/>
    <n v="1"/>
    <n v="0"/>
    <n v="0"/>
    <s v="Unknown"/>
    <s v="unknown"/>
    <s v="Ground"/>
    <s v="NA"/>
    <m/>
    <m/>
    <m/>
    <s v="NA"/>
    <s v="NA"/>
    <s v="NA"/>
    <s v="NA"/>
    <s v="NA"/>
    <s v="NA"/>
    <s v="NA"/>
    <m/>
    <n v="0"/>
    <n v="0"/>
    <n v="0"/>
    <n v="0"/>
    <n v="111"/>
    <m/>
    <n v="111"/>
    <s v="Searching"/>
    <m/>
    <m/>
    <m/>
  </r>
  <r>
    <s v="DSCN2965"/>
    <s v="WW0405_12"/>
    <n v="12"/>
    <n v="1"/>
    <x v="0"/>
    <d v="2019-04-05T00:00:00"/>
    <s v="April"/>
    <s v="Spring"/>
    <d v="1899-12-30T01:01:00"/>
    <d v="1899-12-30T00:01:01"/>
    <x v="6"/>
    <m/>
    <x v="0"/>
    <s v="Foraging"/>
    <s v="Spruce"/>
    <n v="1"/>
    <n v="1"/>
    <n v="0"/>
    <s v="Unknown"/>
    <s v="unknown"/>
    <s v="Spruce trunk under bark"/>
    <s v="NA"/>
    <m/>
    <m/>
    <m/>
    <s v="NA"/>
    <s v="NA"/>
    <s v="NA"/>
    <s v="NA"/>
    <s v="NA"/>
    <n v="63.738799999999998"/>
    <n v="148.89569"/>
    <m/>
    <n v="0"/>
    <n v="0"/>
    <n v="0"/>
    <n v="0"/>
    <n v="30"/>
    <m/>
    <n v="30"/>
    <s v="Searching"/>
    <s v="Missed the intial tree foraing.  Not sure if she aquired anything on the gorund. "/>
    <m/>
    <m/>
  </r>
  <r>
    <s v="DSCN2987"/>
    <s v="WW0405_27"/>
    <n v="27"/>
    <n v="1"/>
    <x v="0"/>
    <d v="2019-04-05T00:00:00"/>
    <s v="April"/>
    <s v="Spring"/>
    <d v="1899-12-30T01:38:00"/>
    <d v="1899-12-30T00:01:38"/>
    <x v="7"/>
    <m/>
    <x v="0"/>
    <s v="Foraging"/>
    <s v="Spruce"/>
    <n v="1"/>
    <s v="unknown"/>
    <n v="0"/>
    <s v="Unknown"/>
    <s v="unknown"/>
    <s v="Spruce trunk under bark"/>
    <m/>
    <m/>
    <m/>
    <m/>
    <m/>
    <m/>
    <m/>
    <m/>
    <m/>
    <m/>
    <m/>
    <m/>
    <n v="11"/>
    <n v="0"/>
    <n v="11"/>
    <n v="0"/>
    <m/>
    <m/>
    <n v="11"/>
    <m/>
    <m/>
    <m/>
    <m/>
  </r>
  <r>
    <s v="DSCN2953"/>
    <s v="WW0405_5"/>
    <n v="5"/>
    <n v="3"/>
    <x v="0"/>
    <d v="2019-04-05T00:00:00"/>
    <s v="April"/>
    <s v="Spring"/>
    <d v="1899-12-30T02:23:00"/>
    <d v="1899-12-30T00:02:23"/>
    <x v="2"/>
    <m/>
    <x v="0"/>
    <s v="Caching"/>
    <s v="Spruce"/>
    <n v="0"/>
    <n v="0"/>
    <n v="1"/>
    <s v="Insect"/>
    <s v="Insect (Black caterpiller)"/>
    <s v="NA"/>
    <s v="Exterior spruce branch under witch hair"/>
    <s v="Spruce"/>
    <s v="Exterior"/>
    <s v="Under witchhair"/>
    <n v="66"/>
    <s v="NE"/>
    <n v="3"/>
    <n v="63.738750000000003"/>
    <n v="148.89812000000001"/>
    <s v="NA"/>
    <s v="NA"/>
    <m/>
    <n v="0"/>
    <n v="0"/>
    <n v="0"/>
    <n v="0"/>
    <n v="0"/>
    <m/>
    <n v="0"/>
    <m/>
    <m/>
    <m/>
    <m/>
  </r>
  <r>
    <s v="DSCN2951"/>
    <s v="WW0405_4"/>
    <n v="4"/>
    <n v="1"/>
    <x v="0"/>
    <d v="2019-04-05T00:00:00"/>
    <s v="April"/>
    <s v="Spring"/>
    <d v="1899-12-30T00:33:00"/>
    <d v="1899-12-30T00:00:33"/>
    <x v="8"/>
    <m/>
    <x v="0"/>
    <s v="Caching"/>
    <s v="Spruce"/>
    <n v="0"/>
    <n v="0"/>
    <n v="1"/>
    <s v="Insect"/>
    <s v="Insect (Black caterpiller)"/>
    <s v="NA"/>
    <s v="Exterior spruce branch under witch hair"/>
    <s v="Spruce"/>
    <s v="Exterior"/>
    <s v="Under witchhair"/>
    <s v="N"/>
    <n v="340"/>
    <n v="10"/>
    <n v="63.738860000000003"/>
    <n v="148.89845"/>
    <s v="NA"/>
    <s v="NA"/>
    <m/>
    <n v="0"/>
    <n v="0"/>
    <n v="0"/>
    <n v="0"/>
    <n v="0"/>
    <m/>
    <n v="0"/>
    <m/>
    <s v="Caching piller from preivous videos. Depoloyed camera on this tree."/>
    <m/>
    <m/>
  </r>
  <r>
    <s v="DSCN2971"/>
    <s v="WW0405_16"/>
    <n v="16"/>
    <n v="1"/>
    <x v="0"/>
    <d v="2019-04-05T00:00:00"/>
    <s v="April"/>
    <s v="Spring"/>
    <d v="1899-12-30T02:06:00"/>
    <d v="1899-12-30T00:02:06"/>
    <x v="9"/>
    <m/>
    <x v="0"/>
    <s v="Caching"/>
    <s v="Spruce"/>
    <n v="0"/>
    <n v="0"/>
    <n v="1"/>
    <s v="Insect"/>
    <s v="Insect (Black caterpiller)"/>
    <s v="NA"/>
    <s v="Exterior spruce branch under witch hair"/>
    <s v="Spruce"/>
    <s v="Exterior"/>
    <s v="Under witchhair"/>
    <m/>
    <n v="60"/>
    <n v="15"/>
    <n v="63.738950000000003"/>
    <n v="148.89493999999999"/>
    <s v="NA"/>
    <s v="NA"/>
    <m/>
    <n v="0"/>
    <n v="0"/>
    <n v="0"/>
    <n v="0"/>
    <n v="81"/>
    <m/>
    <n v="81"/>
    <s v="Searching"/>
    <m/>
    <m/>
    <m/>
  </r>
  <r>
    <s v="DSCN2976"/>
    <s v="WW0405_21"/>
    <n v="21"/>
    <n v="1"/>
    <x v="0"/>
    <d v="2019-04-05T00:00:00"/>
    <s v="April"/>
    <s v="Spring"/>
    <d v="1899-12-30T00:07:00"/>
    <d v="1899-12-30T00:00:07"/>
    <x v="10"/>
    <m/>
    <x v="0"/>
    <s v="Caching"/>
    <s v="Spruce"/>
    <n v="0"/>
    <n v="0"/>
    <n v="1"/>
    <s v="Insect"/>
    <s v="Insect (Black caterpiller)"/>
    <s v="NA"/>
    <s v="Exterior spruce foliage"/>
    <s v="Spruce"/>
    <s v="Exterior"/>
    <s v="Foliage"/>
    <m/>
    <n v="160"/>
    <m/>
    <n v="63.739040000000003"/>
    <n v="148.89462"/>
    <s v="NA"/>
    <s v="NA"/>
    <m/>
    <n v="0"/>
    <n v="0"/>
    <n v="0"/>
    <n v="0"/>
    <n v="0"/>
    <m/>
    <n v="0"/>
    <m/>
    <m/>
    <m/>
    <m/>
  </r>
  <r>
    <s v="DSCN2968"/>
    <s v="WW0405_13"/>
    <n v="13"/>
    <n v="1"/>
    <x v="0"/>
    <d v="2019-04-05T00:00:00"/>
    <s v="April"/>
    <s v="Spring"/>
    <d v="1899-12-30T00:11:00"/>
    <d v="1899-12-30T00:00:11"/>
    <x v="11"/>
    <m/>
    <x v="0"/>
    <s v="Foraging"/>
    <s v="NA"/>
    <n v="1"/>
    <n v="0"/>
    <n v="0"/>
    <s v="Insect"/>
    <s v="Insect (Black caterpiller)"/>
    <s v="Ground"/>
    <s v="NA"/>
    <m/>
    <m/>
    <m/>
    <s v="NA"/>
    <s v="NA"/>
    <s v="NA"/>
    <s v="NA"/>
    <s v="NA"/>
    <s v="NA"/>
    <s v="NA"/>
    <m/>
    <n v="0"/>
    <n v="0"/>
    <n v="0"/>
    <n v="0"/>
    <n v="5"/>
    <m/>
    <n v="5"/>
    <s v="Searching"/>
    <m/>
    <m/>
    <m/>
  </r>
  <r>
    <s v="DSCN2973"/>
    <s v="WW0405_18"/>
    <n v="18"/>
    <n v="1"/>
    <x v="0"/>
    <d v="2019-04-05T00:00:00"/>
    <s v="April"/>
    <s v="Spring"/>
    <d v="1899-12-30T00:17:00"/>
    <d v="1899-12-30T00:00:17"/>
    <x v="12"/>
    <m/>
    <x v="0"/>
    <s v="Foraging"/>
    <s v="NA"/>
    <n v="1"/>
    <n v="0"/>
    <n v="0"/>
    <s v="Insect"/>
    <s v="Insect (Balck caterpiller)"/>
    <s v="Ground"/>
    <s v="NA"/>
    <m/>
    <m/>
    <m/>
    <s v="NA"/>
    <s v="NA"/>
    <s v="NA"/>
    <s v="NA"/>
    <s v="NA"/>
    <s v="NA"/>
    <s v="NA"/>
    <m/>
    <n v="0"/>
    <n v="0"/>
    <n v="0"/>
    <n v="0"/>
    <n v="17"/>
    <m/>
    <n v="17"/>
    <s v="Searching"/>
    <m/>
    <m/>
    <m/>
  </r>
  <r>
    <s v="DSCN2948"/>
    <s v="WW0405_2"/>
    <n v="2"/>
    <n v="1"/>
    <x v="0"/>
    <d v="2019-04-05T00:00:00"/>
    <s v="April"/>
    <s v="Spring"/>
    <d v="1899-12-30T00:18:00"/>
    <d v="1899-12-30T00:00:18"/>
    <x v="13"/>
    <m/>
    <x v="0"/>
    <s v="Foraging"/>
    <s v="NA"/>
    <n v="1"/>
    <n v="0"/>
    <n v="0"/>
    <s v="Insect"/>
    <s v="Insect (Black caterpiller)"/>
    <s v="Ground"/>
    <s v="NA"/>
    <m/>
    <m/>
    <m/>
    <s v="NA"/>
    <s v="NA"/>
    <s v="NA"/>
    <s v="NA"/>
    <s v="NA"/>
    <s v="NA"/>
    <s v="NA"/>
    <m/>
    <n v="0"/>
    <n v="0"/>
    <n v="0"/>
    <n v="0"/>
    <n v="0"/>
    <m/>
    <n v="0"/>
    <m/>
    <s v="Missed initial acquisition"/>
    <m/>
    <m/>
  </r>
  <r>
    <s v="DSCN2994"/>
    <s v="WW0405_33"/>
    <n v="33"/>
    <n v="1"/>
    <x v="0"/>
    <d v="2019-04-05T00:00:00"/>
    <s v="April"/>
    <s v="Spring"/>
    <d v="1899-12-30T00:15:00"/>
    <d v="1899-12-30T00:00:15"/>
    <x v="14"/>
    <m/>
    <x v="0"/>
    <s v="Foraging"/>
    <s v="NA"/>
    <n v="1"/>
    <n v="0"/>
    <n v="0"/>
    <s v="Insect"/>
    <s v="Insect (Black caterpiller)"/>
    <s v="Ground"/>
    <s v="NA"/>
    <m/>
    <m/>
    <m/>
    <s v="NA"/>
    <s v="NA"/>
    <s v="NA"/>
    <s v="NA"/>
    <s v="NA"/>
    <s v="NA"/>
    <s v="NA"/>
    <m/>
    <n v="0"/>
    <n v="0"/>
    <n v="0"/>
    <n v="0"/>
    <n v="15"/>
    <m/>
    <n v="15"/>
    <s v="Searching"/>
    <m/>
    <m/>
    <m/>
  </r>
  <r>
    <s v="DSCN2953"/>
    <s v="WW0405_5"/>
    <n v="5"/>
    <n v="3"/>
    <x v="0"/>
    <d v="2019-04-05T00:00:00"/>
    <s v="April"/>
    <s v="Spring"/>
    <d v="1899-12-30T02:23:00"/>
    <d v="1899-12-30T00:02:23"/>
    <x v="2"/>
    <m/>
    <x v="0"/>
    <s v="Foraging"/>
    <s v="NA"/>
    <n v="1"/>
    <n v="0"/>
    <n v="0"/>
    <s v="Insect"/>
    <s v="Insect (Black caterpiller)"/>
    <s v="Ground"/>
    <s v="NA"/>
    <m/>
    <m/>
    <m/>
    <s v="NA"/>
    <s v="NA"/>
    <s v="NA"/>
    <s v="NA"/>
    <s v="NA"/>
    <s v="NA"/>
    <s v="NA"/>
    <m/>
    <n v="0"/>
    <n v="0"/>
    <n v="0"/>
    <n v="0"/>
    <n v="6"/>
    <m/>
    <n v="6"/>
    <s v="Searching"/>
    <s v="Missed some of the foraging time for this one"/>
    <m/>
    <m/>
  </r>
  <r>
    <s v="DSCN2953"/>
    <s v="WW0405_5"/>
    <n v="5"/>
    <n v="2"/>
    <x v="0"/>
    <d v="2019-04-05T00:00:00"/>
    <s v="April"/>
    <s v="Spring"/>
    <d v="1899-12-30T02:23:00"/>
    <d v="1899-12-30T00:02:23"/>
    <x v="2"/>
    <m/>
    <x v="0"/>
    <s v="Foraging"/>
    <s v="Spruce"/>
    <n v="1"/>
    <n v="1"/>
    <n v="0"/>
    <s v="Berry"/>
    <s v="Berry"/>
    <s v="Spruce trunk under bark"/>
    <m/>
    <m/>
    <m/>
    <m/>
    <s v="NA"/>
    <s v="NA"/>
    <s v="NA"/>
    <s v="NA"/>
    <s v="NA"/>
    <n v="63.738619999999997"/>
    <n v="148.89836"/>
    <m/>
    <n v="23"/>
    <n v="0"/>
    <n v="23"/>
    <n v="0"/>
    <n v="0"/>
    <m/>
    <n v="23"/>
    <m/>
    <m/>
    <m/>
    <m/>
  </r>
  <r>
    <s v="DSCN2969"/>
    <s v="WW0405_14"/>
    <n v="14"/>
    <n v="1"/>
    <x v="0"/>
    <d v="2019-04-05T00:00:00"/>
    <s v="April"/>
    <s v="Spring"/>
    <d v="1899-12-30T00:25:00"/>
    <d v="1899-12-30T00:00:25"/>
    <x v="15"/>
    <m/>
    <x v="0"/>
    <s v="Food handling"/>
    <s v="NA"/>
    <n v="0"/>
    <n v="0"/>
    <n v="0"/>
    <s v="Insect"/>
    <s v="Insect (Black caterpiller)"/>
    <s v="NA"/>
    <s v="NA"/>
    <m/>
    <m/>
    <m/>
    <s v="NA"/>
    <s v="NA"/>
    <s v="NA"/>
    <s v="NA"/>
    <s v="NA"/>
    <s v="NA"/>
    <s v="NA"/>
    <m/>
    <n v="0"/>
    <n v="0"/>
    <n v="0"/>
    <n v="0"/>
    <n v="0"/>
    <m/>
    <n v="0"/>
    <m/>
    <s v="Pillar from previous video"/>
    <m/>
    <m/>
  </r>
  <r>
    <s v="DSCN2972"/>
    <s v="WW0405_17"/>
    <n v="17"/>
    <n v="1"/>
    <x v="0"/>
    <d v="2019-04-05T00:00:00"/>
    <s v="April"/>
    <s v="Spring"/>
    <d v="1899-12-30T01:04:00"/>
    <d v="1899-12-30T00:01:04"/>
    <x v="16"/>
    <m/>
    <x v="0"/>
    <s v="Foraging"/>
    <s v="NA"/>
    <n v="0"/>
    <n v="0"/>
    <n v="0"/>
    <m/>
    <s v="NA"/>
    <s v="NA"/>
    <s v="NA"/>
    <m/>
    <m/>
    <m/>
    <s v="NA"/>
    <s v="NA"/>
    <s v="NA"/>
    <s v="NA"/>
    <s v="NA"/>
    <s v="NA"/>
    <s v="NA"/>
    <m/>
    <n v="0"/>
    <n v="0"/>
    <n v="0"/>
    <n v="0"/>
    <n v="64"/>
    <m/>
    <n v="64"/>
    <s v="Searching"/>
    <m/>
    <m/>
    <m/>
  </r>
  <r>
    <s v="DSCN2974"/>
    <s v="WW0405_19"/>
    <n v="19"/>
    <n v="1"/>
    <x v="0"/>
    <d v="2019-04-05T00:00:00"/>
    <s v="April"/>
    <s v="Spring"/>
    <d v="1899-12-30T00:19:00"/>
    <d v="1899-12-30T00:00:19"/>
    <x v="17"/>
    <m/>
    <x v="0"/>
    <s v="Food handling"/>
    <s v="NA"/>
    <n v="0"/>
    <n v="0"/>
    <n v="0"/>
    <s v="Insect"/>
    <s v="Insect (Black caterpiller)"/>
    <s v="NA"/>
    <s v="NA"/>
    <m/>
    <m/>
    <m/>
    <s v="NA"/>
    <s v="NA"/>
    <s v="NA"/>
    <s v="NA"/>
    <s v="NA"/>
    <s v="NA"/>
    <s v="NA"/>
    <m/>
    <n v="0"/>
    <n v="0"/>
    <n v="0"/>
    <n v="0"/>
    <n v="19"/>
    <m/>
    <n v="19"/>
    <m/>
    <m/>
    <m/>
    <m/>
  </r>
  <r>
    <s v="DSCN2975"/>
    <s v="WW0405_20"/>
    <n v="20"/>
    <n v="1"/>
    <x v="0"/>
    <d v="2019-04-05T00:00:00"/>
    <s v="April"/>
    <s v="Spring"/>
    <d v="1899-12-30T00:39:00"/>
    <d v="1899-12-30T00:00:39"/>
    <x v="1"/>
    <m/>
    <x v="0"/>
    <s v="Food handling"/>
    <s v="NA"/>
    <n v="0"/>
    <n v="0"/>
    <n v="0"/>
    <s v="Insect"/>
    <s v="Insect (Black caterpiller)"/>
    <s v="NA"/>
    <s v="NA"/>
    <m/>
    <m/>
    <m/>
    <s v="NA"/>
    <s v="NA"/>
    <s v="NA"/>
    <s v="NA"/>
    <s v="NA"/>
    <s v="NA"/>
    <s v="NA"/>
    <m/>
    <n v="0"/>
    <n v="0"/>
    <n v="0"/>
    <n v="0"/>
    <n v="19"/>
    <m/>
    <n v="19"/>
    <m/>
    <m/>
    <m/>
    <m/>
  </r>
  <r>
    <s v="DSCN2978"/>
    <s v="WW0405_22"/>
    <n v="22"/>
    <n v="1"/>
    <x v="0"/>
    <d v="2019-04-05T00:00:00"/>
    <s v="April"/>
    <s v="Spring"/>
    <d v="1899-12-30T01:01:00"/>
    <d v="1899-12-30T00:01:01"/>
    <x v="6"/>
    <m/>
    <x v="0"/>
    <s v="Foraging"/>
    <s v="NA"/>
    <n v="0"/>
    <n v="0"/>
    <n v="0"/>
    <m/>
    <s v="NA"/>
    <s v="NA"/>
    <s v="NA"/>
    <m/>
    <m/>
    <m/>
    <s v="NA"/>
    <s v="NA"/>
    <s v="NA"/>
    <s v="NA"/>
    <s v="NA"/>
    <s v="NA"/>
    <s v="NA"/>
    <m/>
    <n v="0"/>
    <n v="0"/>
    <n v="0"/>
    <n v="0"/>
    <n v="0"/>
    <m/>
    <n v="0"/>
    <s v="Searching"/>
    <m/>
    <m/>
    <m/>
  </r>
  <r>
    <s v="DSCN2981"/>
    <s v="WW0405_24"/>
    <n v="24"/>
    <n v="1"/>
    <x v="0"/>
    <d v="2019-04-05T00:00:00"/>
    <s v="April"/>
    <s v="Spring"/>
    <d v="1899-12-30T00:34:00"/>
    <d v="1899-12-30T00:00:34"/>
    <x v="18"/>
    <m/>
    <x v="0"/>
    <s v="Foraging"/>
    <s v="NA"/>
    <n v="0"/>
    <n v="0"/>
    <n v="0"/>
    <m/>
    <s v="NA"/>
    <s v="NA"/>
    <s v="NA"/>
    <m/>
    <m/>
    <m/>
    <s v="NA"/>
    <s v="NA"/>
    <s v="NA"/>
    <s v="NA"/>
    <s v="NA"/>
    <s v="NA"/>
    <s v="NA"/>
    <m/>
    <n v="0"/>
    <n v="0"/>
    <n v="0"/>
    <n v="0"/>
    <n v="34"/>
    <m/>
    <n v="34"/>
    <s v="Searching"/>
    <m/>
    <m/>
    <m/>
  </r>
  <r>
    <s v="DSCN2982"/>
    <s v="WW0405_25"/>
    <n v="25"/>
    <n v="1"/>
    <x v="0"/>
    <d v="2019-04-05T00:00:00"/>
    <s v="April"/>
    <s v="Spring"/>
    <d v="1899-12-30T00:41:00"/>
    <d v="1899-12-30T00:00:41"/>
    <x v="19"/>
    <m/>
    <x v="0"/>
    <s v="Foraging"/>
    <s v="NA"/>
    <n v="0"/>
    <n v="0"/>
    <n v="0"/>
    <m/>
    <s v="NA"/>
    <s v="NA"/>
    <s v="NA"/>
    <m/>
    <m/>
    <m/>
    <s v="NA"/>
    <s v="NA"/>
    <s v="NA"/>
    <s v="NA"/>
    <s v="NA"/>
    <s v="NA"/>
    <s v="NA"/>
    <m/>
    <n v="0"/>
    <n v="0"/>
    <n v="0"/>
    <n v="0"/>
    <n v="41"/>
    <m/>
    <n v="41"/>
    <s v="Searching"/>
    <m/>
    <m/>
    <m/>
  </r>
  <r>
    <s v="DSCN2986"/>
    <s v="WW0405_26"/>
    <n v="26"/>
    <n v="1"/>
    <x v="0"/>
    <d v="2019-04-05T00:00:00"/>
    <s v="April"/>
    <s v="Spring"/>
    <d v="1899-12-30T00:41:00"/>
    <d v="1899-12-30T00:00:41"/>
    <x v="19"/>
    <m/>
    <x v="0"/>
    <s v="Foraging"/>
    <s v="NA"/>
    <n v="0"/>
    <n v="0"/>
    <n v="0"/>
    <m/>
    <s v="NA"/>
    <s v="NA"/>
    <s v="NA"/>
    <m/>
    <m/>
    <m/>
    <s v="NA"/>
    <s v="NA"/>
    <s v="NA"/>
    <s v="NA"/>
    <s v="NA"/>
    <s v="NA"/>
    <s v="NA"/>
    <m/>
    <n v="0"/>
    <n v="0"/>
    <n v="0"/>
    <n v="0"/>
    <n v="41"/>
    <m/>
    <n v="41"/>
    <s v="Searching"/>
    <m/>
    <m/>
    <m/>
  </r>
  <r>
    <s v="DSCN2988"/>
    <s v="WW0405_28"/>
    <n v="28"/>
    <n v="1"/>
    <x v="0"/>
    <d v="2019-04-05T00:00:00"/>
    <s v="April"/>
    <s v="Spring"/>
    <d v="1899-12-30T00:57:00"/>
    <d v="1899-12-30T00:00:57"/>
    <x v="20"/>
    <m/>
    <x v="0"/>
    <s v="Foraging"/>
    <s v="NA"/>
    <n v="0"/>
    <n v="0"/>
    <n v="0"/>
    <m/>
    <s v="NA"/>
    <s v="NA"/>
    <s v="NA"/>
    <m/>
    <m/>
    <m/>
    <s v="NA"/>
    <s v="NA"/>
    <s v="NA"/>
    <s v="NA"/>
    <s v="NA"/>
    <s v="NA"/>
    <s v="NA"/>
    <m/>
    <n v="0"/>
    <n v="0"/>
    <n v="0"/>
    <n v="0"/>
    <n v="57"/>
    <m/>
    <n v="57"/>
    <m/>
    <m/>
    <m/>
    <m/>
  </r>
  <r>
    <s v="DSCN2950"/>
    <s v="WW0405_3"/>
    <n v="3"/>
    <n v="1"/>
    <x v="0"/>
    <d v="2019-04-05T00:00:00"/>
    <s v="April"/>
    <s v="Spring"/>
    <d v="1899-12-30T00:32:00"/>
    <d v="1899-12-30T00:00:32"/>
    <x v="21"/>
    <m/>
    <x v="0"/>
    <s v="Food handling"/>
    <s v="NA"/>
    <n v="0"/>
    <n v="0"/>
    <n v="0"/>
    <s v="Insect"/>
    <s v="Insect (Black caterpiller)"/>
    <s v="NA"/>
    <s v="NA"/>
    <m/>
    <m/>
    <m/>
    <s v="NA"/>
    <s v="NA"/>
    <s v="NA"/>
    <s v="NA"/>
    <s v="NA"/>
    <s v="NA"/>
    <s v="NA"/>
    <m/>
    <n v="0"/>
    <n v="0"/>
    <n v="0"/>
    <n v="0"/>
    <n v="0"/>
    <m/>
    <n v="0"/>
    <m/>
    <s v="Same piller from previous video"/>
    <m/>
    <m/>
  </r>
  <r>
    <s v="DSCN2992"/>
    <s v="WW0405_31"/>
    <n v="31"/>
    <n v="1"/>
    <x v="0"/>
    <d v="2019-04-05T00:00:00"/>
    <s v="April"/>
    <s v="Spring"/>
    <d v="1899-12-30T00:47:00"/>
    <d v="1899-12-30T00:00:47"/>
    <x v="22"/>
    <m/>
    <x v="0"/>
    <s v="Foraging"/>
    <s v="NA"/>
    <n v="0"/>
    <n v="0"/>
    <n v="0"/>
    <m/>
    <s v="NA"/>
    <s v="NA"/>
    <s v="NA"/>
    <m/>
    <m/>
    <m/>
    <s v="NA"/>
    <s v="NA"/>
    <s v="NA"/>
    <s v="NA"/>
    <s v="NA"/>
    <s v="NA"/>
    <s v="NA"/>
    <m/>
    <n v="0"/>
    <n v="0"/>
    <n v="0"/>
    <n v="0"/>
    <n v="47"/>
    <m/>
    <n v="47"/>
    <m/>
    <m/>
    <m/>
    <m/>
  </r>
  <r>
    <s v="DSCN2995"/>
    <s v="WW0405_34"/>
    <n v="34"/>
    <n v="1"/>
    <x v="0"/>
    <d v="2019-04-05T00:00:00"/>
    <s v="April"/>
    <s v="Spring"/>
    <d v="1899-12-30T00:17:00"/>
    <d v="1899-12-30T00:00:17"/>
    <x v="12"/>
    <m/>
    <x v="0"/>
    <s v="Food handling"/>
    <s v="NA"/>
    <n v="0"/>
    <n v="0"/>
    <n v="0"/>
    <s v="Insect"/>
    <s v="Insect (Black caterpiller)"/>
    <s v="NA"/>
    <s v="NA"/>
    <m/>
    <m/>
    <m/>
    <s v="NA"/>
    <s v="NA"/>
    <s v="NA"/>
    <s v="NA"/>
    <s v="NA"/>
    <s v="NA"/>
    <s v="NA"/>
    <m/>
    <n v="0"/>
    <n v="0"/>
    <n v="0"/>
    <n v="0"/>
    <n v="0"/>
    <m/>
    <n v="0"/>
    <m/>
    <s v="Processing kill"/>
    <m/>
    <m/>
  </r>
  <r>
    <s v="DSCN2960"/>
    <s v="WW0405_7"/>
    <n v="7"/>
    <n v="1"/>
    <x v="0"/>
    <d v="2019-04-05T00:00:00"/>
    <s v="April"/>
    <s v="Spring"/>
    <d v="1899-12-30T00:40:00"/>
    <d v="1899-12-30T00:00:40"/>
    <x v="23"/>
    <m/>
    <x v="0"/>
    <s v="Foraging"/>
    <s v="Spruce"/>
    <n v="0"/>
    <n v="0"/>
    <n v="0"/>
    <m/>
    <s v="NA"/>
    <s v="NA"/>
    <s v="NA"/>
    <m/>
    <m/>
    <m/>
    <s v="NA"/>
    <s v="NA"/>
    <s v="NA"/>
    <s v="NA"/>
    <s v="NA"/>
    <s v="NA"/>
    <s v="NA"/>
    <m/>
    <n v="0"/>
    <n v="0"/>
    <n v="0"/>
    <n v="0"/>
    <n v="40"/>
    <m/>
    <n v="40"/>
    <s v="Searching"/>
    <m/>
    <m/>
    <m/>
  </r>
  <r>
    <s v="DSCN2861"/>
    <s v="WW0405_8"/>
    <n v="8"/>
    <n v="1"/>
    <x v="0"/>
    <d v="2019-04-05T00:00:00"/>
    <s v="April"/>
    <s v="Spring"/>
    <d v="1899-12-30T01:10:00"/>
    <d v="1899-12-30T00:01:10"/>
    <x v="24"/>
    <m/>
    <x v="0"/>
    <s v="Foraging"/>
    <s v="NA"/>
    <n v="0"/>
    <n v="0"/>
    <n v="0"/>
    <m/>
    <s v="NA"/>
    <s v="NA"/>
    <s v="NA"/>
    <m/>
    <m/>
    <m/>
    <s v="NA"/>
    <s v="NA"/>
    <s v="NA"/>
    <s v="NA"/>
    <s v="NA"/>
    <s v="NA"/>
    <s v="NA"/>
    <m/>
    <n v="0"/>
    <n v="0"/>
    <n v="0"/>
    <n v="0"/>
    <n v="70"/>
    <m/>
    <n v="70"/>
    <s v="Searching"/>
    <m/>
    <m/>
    <m/>
  </r>
  <r>
    <s v="DSCN2970"/>
    <s v="WW0405_15"/>
    <n v="15"/>
    <n v="1"/>
    <x v="0"/>
    <d v="2019-04-05T00:00:00"/>
    <s v="April"/>
    <s v="Spring"/>
    <d v="1899-12-30T00:45:00"/>
    <d v="1899-12-30T00:00:45"/>
    <x v="25"/>
    <m/>
    <x v="0"/>
    <s v="Food handling"/>
    <s v="NA"/>
    <n v="0"/>
    <n v="0"/>
    <n v="0"/>
    <s v="Insect"/>
    <s v="Insect (Black caterpiller)"/>
    <m/>
    <s v="NA"/>
    <m/>
    <m/>
    <m/>
    <s v="NA"/>
    <s v="NA"/>
    <s v="NA"/>
    <s v="NA"/>
    <s v="NA"/>
    <s v="NA"/>
    <s v="NA"/>
    <m/>
    <n v="0"/>
    <n v="0"/>
    <n v="0"/>
    <n v="0"/>
    <n v="0"/>
    <m/>
    <n v="0"/>
    <m/>
    <s v="Pillar from previous video"/>
    <m/>
    <m/>
  </r>
  <r>
    <s v="DSCN3043"/>
    <s v="WW0410_1"/>
    <n v="1"/>
    <n v="1"/>
    <x v="0"/>
    <d v="2019-04-10T00:00:00"/>
    <s v="April"/>
    <s v="Spring"/>
    <d v="1899-12-30T00:11:00"/>
    <d v="1899-12-30T00:00:11"/>
    <x v="11"/>
    <m/>
    <x v="0"/>
    <s v="Foraging"/>
    <s v="Spruce"/>
    <n v="1"/>
    <n v="1"/>
    <n v="0"/>
    <s v="Human food"/>
    <s v="Human food (Bread)"/>
    <s v="NA"/>
    <s v="NA"/>
    <m/>
    <m/>
    <m/>
    <s v="NA"/>
    <s v="NA"/>
    <s v="NA"/>
    <s v="NA"/>
    <s v="NA"/>
    <n v="63.739699999999999"/>
    <n v="148.90033"/>
    <m/>
    <n v="0"/>
    <n v="3"/>
    <n v="3"/>
    <n v="0"/>
    <n v="0"/>
    <m/>
    <n v="3"/>
    <m/>
    <s v="Was perched at top of tree and immediately pulled this out."/>
    <m/>
    <m/>
  </r>
  <r>
    <s v="DSCN3170"/>
    <s v="WW0416_4"/>
    <n v="4"/>
    <n v="1"/>
    <x v="0"/>
    <d v="2019-04-16T00:00:00"/>
    <s v="April"/>
    <s v="Spring"/>
    <d v="1899-12-30T00:07:00"/>
    <d v="1899-12-30T00:00:07"/>
    <x v="10"/>
    <s v="Mostly cloudy"/>
    <x v="0"/>
    <s v="Caching"/>
    <s v="Spruce"/>
    <n v="0"/>
    <n v="0"/>
    <n v="1"/>
    <s v="Animal flesh"/>
    <s v="Animal flesh (snowshoe hare)"/>
    <s v="Ground"/>
    <s v="Exterior spruce foliage"/>
    <s v="Spruce"/>
    <s v="Exterior"/>
    <s v="Foliage"/>
    <s v="NE"/>
    <n v="60"/>
    <n v="10"/>
    <n v="63.740470000000002"/>
    <n v="148.90053"/>
    <s v="NA"/>
    <s v="NA"/>
    <m/>
    <n v="0"/>
    <n v="0"/>
    <n v="0"/>
    <n v="0"/>
    <n v="0"/>
    <m/>
    <n v="0"/>
    <m/>
    <s v="Did not capture cache on video"/>
    <m/>
    <m/>
  </r>
  <r>
    <s v="DSCN3175"/>
    <s v="WW0416_9"/>
    <n v="9"/>
    <n v="1"/>
    <x v="0"/>
    <d v="2019-04-16T00:00:00"/>
    <s v="April"/>
    <s v="Spring"/>
    <d v="1899-12-30T00:42:00"/>
    <d v="1899-12-30T00:00:42"/>
    <x v="26"/>
    <s v="Mostly cloudy"/>
    <x v="0"/>
    <s v="Caching"/>
    <s v="Spruce"/>
    <n v="0"/>
    <n v="0"/>
    <n v="1"/>
    <s v="Animal flesh"/>
    <s v="Animal flesh (snowshoe hare)"/>
    <s v="NA"/>
    <s v="Spruce trunk under bark"/>
    <s v="Spruce"/>
    <s v="Trunk"/>
    <s v="Under bark"/>
    <s v="NE"/>
    <n v="30"/>
    <n v="12"/>
    <n v="63.740470000000002"/>
    <n v="148.90082000000001"/>
    <s v="NA"/>
    <s v="NA"/>
    <m/>
    <n v="0"/>
    <n v="0"/>
    <n v="0"/>
    <n v="0"/>
    <n v="0"/>
    <m/>
    <n v="0"/>
    <m/>
    <m/>
    <m/>
    <m/>
  </r>
  <r>
    <s v="DSCN3173"/>
    <s v="WW0416_7"/>
    <n v="7"/>
    <n v="1"/>
    <x v="0"/>
    <d v="2019-04-16T00:00:00"/>
    <s v="April"/>
    <s v="Spring"/>
    <d v="1899-12-30T01:22:00"/>
    <d v="1899-12-30T00:01:22"/>
    <x v="27"/>
    <s v="Mostly cloudy"/>
    <x v="0"/>
    <s v="Food handling/caching"/>
    <s v="Spruce"/>
    <n v="0"/>
    <n v="0"/>
    <n v="1"/>
    <s v="Animal flesh"/>
    <s v="Animal flesh (snowshoe hare)"/>
    <s v="NA"/>
    <s v="Interior spruce foliage"/>
    <s v="Spruce"/>
    <s v="Interior"/>
    <s v="Foliage"/>
    <s v="SE"/>
    <n v="157"/>
    <n v="26"/>
    <n v="63.740699999999997"/>
    <n v="148.90117000000001"/>
    <s v="NA"/>
    <s v="NA"/>
    <m/>
    <n v="0"/>
    <n v="0"/>
    <n v="0"/>
    <n v="0"/>
    <n v="0"/>
    <m/>
    <n v="0"/>
    <m/>
    <s v="Cached hare from previous 2 videos."/>
    <m/>
    <m/>
  </r>
  <r>
    <s v="DSCN3165"/>
    <s v="WW0416_1"/>
    <n v="1"/>
    <n v="1"/>
    <x v="0"/>
    <d v="2019-04-16T00:00:00"/>
    <s v="April"/>
    <s v="Spring"/>
    <d v="1899-12-30T00:47:00"/>
    <d v="1899-12-30T00:00:47"/>
    <x v="22"/>
    <s v="Mostly cloudy"/>
    <x v="0"/>
    <s v="Foraging"/>
    <s v="NA"/>
    <n v="1"/>
    <n v="0"/>
    <n v="0"/>
    <s v="Animal flesh"/>
    <s v="Animal flesh (snowshoe hare)"/>
    <s v="Ground"/>
    <s v="NA"/>
    <m/>
    <m/>
    <m/>
    <s v="NA"/>
    <s v="NA"/>
    <s v="NA"/>
    <s v="NA"/>
    <s v="NA"/>
    <s v="NA"/>
    <s v="NA"/>
    <m/>
    <n v="0"/>
    <n v="0"/>
    <n v="0"/>
    <n v="0"/>
    <n v="5"/>
    <m/>
    <n v="5"/>
    <s v="Searching"/>
    <m/>
    <m/>
    <m/>
  </r>
  <r>
    <s v="DSCN3171"/>
    <s v="WW0416_5"/>
    <n v="5"/>
    <n v="1"/>
    <x v="0"/>
    <d v="2019-04-16T00:00:00"/>
    <s v="April"/>
    <s v="Spring"/>
    <d v="1899-12-30T00:32:00"/>
    <d v="1899-12-30T00:00:32"/>
    <x v="21"/>
    <s v="Mostly cloudy"/>
    <x v="0"/>
    <s v="Foraging"/>
    <s v="NA"/>
    <n v="1"/>
    <n v="0"/>
    <n v="0"/>
    <s v="Animal flesh"/>
    <s v="Animal flesh (snowshoe hare)"/>
    <s v="Ground"/>
    <s v="NA"/>
    <m/>
    <m/>
    <m/>
    <s v="NA"/>
    <s v="NA"/>
    <s v="NA"/>
    <s v="NA"/>
    <s v="NA"/>
    <s v="NA"/>
    <s v="NA"/>
    <m/>
    <n v="0"/>
    <n v="0"/>
    <n v="0"/>
    <n v="0"/>
    <n v="0"/>
    <m/>
    <n v="0"/>
    <m/>
    <s v="Returned to hare carcass. "/>
    <m/>
    <m/>
  </r>
  <r>
    <s v="DSCN3174"/>
    <s v="WW0416_8"/>
    <n v="8"/>
    <n v="1"/>
    <x v="0"/>
    <d v="2019-04-16T00:00:00"/>
    <s v="April"/>
    <s v="Spring"/>
    <d v="1899-12-30T00:40:00"/>
    <d v="1899-12-30T00:00:40"/>
    <x v="23"/>
    <s v="Mostly cloudy"/>
    <x v="0"/>
    <s v="Foraging"/>
    <s v="NA"/>
    <n v="1"/>
    <n v="0"/>
    <n v="0"/>
    <s v="Animal flesh"/>
    <s v="Animal flesh (snowshoe hare)"/>
    <s v="Ground"/>
    <s v="NA"/>
    <m/>
    <m/>
    <m/>
    <s v="NA"/>
    <s v="NA"/>
    <s v="NA"/>
    <s v="NA"/>
    <s v="NA"/>
    <s v="NA"/>
    <s v="NA"/>
    <m/>
    <n v="0"/>
    <n v="0"/>
    <n v="0"/>
    <n v="0"/>
    <n v="0"/>
    <m/>
    <n v="0"/>
    <m/>
    <m/>
    <m/>
    <m/>
  </r>
  <r>
    <s v="DSCN3166"/>
    <s v="WW0416_2"/>
    <n v="2"/>
    <n v="1"/>
    <x v="0"/>
    <d v="2019-04-16T00:00:00"/>
    <s v="April"/>
    <s v="Spring"/>
    <d v="1899-12-30T00:34:00"/>
    <d v="1899-12-30T00:00:34"/>
    <x v="18"/>
    <s v="Mostly cloudy"/>
    <x v="0"/>
    <s v="Food handling"/>
    <s v="NA"/>
    <n v="0"/>
    <n v="0"/>
    <n v="0"/>
    <s v="Animal flesh"/>
    <s v="Animal flesh (snowshoe hare)"/>
    <s v="NA"/>
    <s v="NA"/>
    <m/>
    <m/>
    <m/>
    <s v="NA"/>
    <s v="NA"/>
    <s v="NA"/>
    <s v="NA"/>
    <s v="NA"/>
    <s v="NA"/>
    <s v="NA"/>
    <m/>
    <n v="0"/>
    <n v="0"/>
    <n v="0"/>
    <n v="0"/>
    <n v="0"/>
    <m/>
    <n v="0"/>
    <m/>
    <s v="Still working on trip to hare from previous video. "/>
    <m/>
    <m/>
  </r>
  <r>
    <s v="DSCN3169"/>
    <s v="WW0416_3"/>
    <n v="3"/>
    <n v="1"/>
    <x v="0"/>
    <d v="2019-04-16T00:00:00"/>
    <s v="April"/>
    <s v="Spring"/>
    <d v="1899-12-30T00:17:00"/>
    <d v="1899-12-30T00:00:17"/>
    <x v="12"/>
    <s v="Mostly cloudy"/>
    <x v="0"/>
    <s v="Food handling"/>
    <s v="NA"/>
    <n v="0"/>
    <n v="0"/>
    <n v="0"/>
    <s v="Animal flesh"/>
    <s v="Animal flesh (snowshoe hare)"/>
    <s v="NA"/>
    <s v="NA"/>
    <m/>
    <m/>
    <m/>
    <s v="NA"/>
    <s v="NA"/>
    <s v="NA"/>
    <s v="NA"/>
    <s v="NA"/>
    <s v="NA"/>
    <s v="NA"/>
    <m/>
    <n v="0"/>
    <n v="0"/>
    <n v="0"/>
    <n v="0"/>
    <n v="0"/>
    <m/>
    <n v="0"/>
    <m/>
    <s v="Still working on trip to hare from previous video. "/>
    <m/>
    <m/>
  </r>
  <r>
    <s v="DSCN3172"/>
    <s v="WW0416_6"/>
    <n v="6"/>
    <n v="1"/>
    <x v="0"/>
    <d v="2019-04-16T00:00:00"/>
    <s v="April"/>
    <s v="Spring"/>
    <d v="1899-12-30T00:52:00"/>
    <d v="1899-12-30T00:00:52"/>
    <x v="28"/>
    <s v="Mostly cloudy"/>
    <x v="0"/>
    <s v="Food handling"/>
    <s v="NA"/>
    <n v="0"/>
    <n v="0"/>
    <n v="0"/>
    <s v="Animal flesh"/>
    <s v="Animal flesh (snowshoe hare)"/>
    <s v="NA"/>
    <s v="NA"/>
    <m/>
    <m/>
    <m/>
    <s v="NA"/>
    <s v="NA"/>
    <s v="NA"/>
    <s v="NA"/>
    <s v="NA"/>
    <s v="NA"/>
    <s v="NA"/>
    <m/>
    <n v="0"/>
    <n v="0"/>
    <n v="0"/>
    <n v="0"/>
    <n v="0"/>
    <m/>
    <n v="0"/>
    <m/>
    <s v="Still working on trip to hare from previous video. "/>
    <m/>
    <m/>
  </r>
  <r>
    <s v="DSCN3369"/>
    <s v="WW0422_12"/>
    <n v="12"/>
    <n v="1"/>
    <x v="0"/>
    <d v="2019-04-22T00:00:00"/>
    <s v="April"/>
    <s v="Spring"/>
    <d v="1899-12-30T00:51:00"/>
    <d v="1899-12-30T00:00:51"/>
    <x v="29"/>
    <s v="Partly cloudy"/>
    <x v="0"/>
    <s v="Foraging"/>
    <s v="NA"/>
    <n v="1"/>
    <n v="0"/>
    <n v="0"/>
    <s v="Unknown"/>
    <s v="unknown"/>
    <s v="Ground"/>
    <s v="NA"/>
    <m/>
    <m/>
    <m/>
    <s v="NA"/>
    <s v="NA"/>
    <s v="NA"/>
    <s v="NA"/>
    <s v="NA"/>
    <s v="NA"/>
    <s v="NA"/>
    <s v="NA"/>
    <n v="0"/>
    <n v="0"/>
    <n v="0"/>
    <n v="0"/>
    <n v="51"/>
    <m/>
    <n v="51"/>
    <s v="Searching"/>
    <m/>
    <m/>
    <m/>
  </r>
  <r>
    <s v="DSCN3374"/>
    <s v="WW0422_17"/>
    <n v="17"/>
    <n v="1"/>
    <x v="0"/>
    <d v="2019-04-22T00:00:00"/>
    <s v="April"/>
    <s v="Spring"/>
    <d v="1899-12-30T00:36:00"/>
    <d v="1899-12-30T00:00:36"/>
    <x v="3"/>
    <s v="Partly cloudy"/>
    <x v="0"/>
    <s v="Foraging"/>
    <s v="NA"/>
    <n v="1"/>
    <n v="0"/>
    <n v="0"/>
    <s v="Unknown"/>
    <s v="unknown"/>
    <s v="Ground"/>
    <s v="NA"/>
    <m/>
    <m/>
    <m/>
    <s v="NA"/>
    <s v="NA"/>
    <s v="NA"/>
    <s v="NA"/>
    <s v="NA"/>
    <s v="NA"/>
    <s v="NA"/>
    <s v="NA"/>
    <n v="0"/>
    <n v="0"/>
    <n v="0"/>
    <n v="0"/>
    <n v="27"/>
    <m/>
    <n v="27"/>
    <s v="Searching"/>
    <m/>
    <m/>
    <m/>
  </r>
  <r>
    <s v="DSCN3375"/>
    <s v="WW0422_18"/>
    <n v="18"/>
    <n v="2"/>
    <x v="0"/>
    <d v="2019-04-22T00:00:00"/>
    <s v="April"/>
    <s v="Spring"/>
    <d v="1899-12-30T02:05:00"/>
    <d v="1899-12-30T00:02:05"/>
    <x v="30"/>
    <s v="Partly cloudy"/>
    <x v="0"/>
    <s v="Foraging"/>
    <s v="NA"/>
    <n v="1"/>
    <n v="0"/>
    <n v="0"/>
    <s v="Unknown"/>
    <s v="unknown"/>
    <s v="Ground"/>
    <s v="NA"/>
    <m/>
    <m/>
    <m/>
    <s v="NA"/>
    <s v="NA"/>
    <s v="NA"/>
    <s v="NA"/>
    <s v="NA"/>
    <s v="NA"/>
    <s v="NA"/>
    <s v="NA"/>
    <n v="0"/>
    <n v="0"/>
    <n v="0"/>
    <n v="0"/>
    <n v="125"/>
    <m/>
    <n v="125"/>
    <s v="Searching"/>
    <m/>
    <m/>
    <m/>
  </r>
  <r>
    <s v="DSCN3376"/>
    <s v="WW0422_19"/>
    <n v="19"/>
    <n v="1"/>
    <x v="0"/>
    <d v="2019-04-22T00:00:00"/>
    <s v="April"/>
    <s v="Spring"/>
    <d v="1899-12-30T01:27:00"/>
    <d v="1899-12-30T00:01:27"/>
    <x v="31"/>
    <s v="Partly cloudy"/>
    <x v="0"/>
    <s v="Foraging"/>
    <s v="NA"/>
    <n v="1"/>
    <n v="0"/>
    <n v="0"/>
    <s v="Unknown"/>
    <s v="unknown"/>
    <s v="Ground"/>
    <s v="NA"/>
    <m/>
    <m/>
    <m/>
    <s v="NA"/>
    <s v="NA"/>
    <s v="NA"/>
    <s v="NA"/>
    <s v="NA"/>
    <s v="NA"/>
    <s v="NA"/>
    <s v="NA"/>
    <n v="0"/>
    <n v="0"/>
    <n v="0"/>
    <n v="0"/>
    <n v="87"/>
    <m/>
    <n v="87"/>
    <s v="Searching"/>
    <m/>
    <m/>
    <m/>
  </r>
  <r>
    <s v="DSCN3381"/>
    <s v="WW0422_23"/>
    <n v="23"/>
    <n v="1"/>
    <x v="0"/>
    <d v="2019-04-22T00:00:00"/>
    <s v="April"/>
    <s v="Spring"/>
    <d v="1899-12-30T01:13:00"/>
    <d v="1899-12-30T00:01:13"/>
    <x v="32"/>
    <s v="Partly cloudy"/>
    <x v="0"/>
    <s v="Foraging"/>
    <s v="NA"/>
    <n v="1"/>
    <n v="0"/>
    <n v="0"/>
    <s v="Unknown"/>
    <s v="unknown"/>
    <s v="Ground"/>
    <s v="NA"/>
    <m/>
    <m/>
    <m/>
    <s v="NA"/>
    <s v="NA"/>
    <s v="NA"/>
    <s v="NA"/>
    <s v="NA"/>
    <s v="NA"/>
    <s v="NA"/>
    <s v="NA"/>
    <n v="0"/>
    <n v="0"/>
    <n v="0"/>
    <n v="0"/>
    <n v="73"/>
    <m/>
    <n v="73"/>
    <s v="Searching"/>
    <s v="Missed acquisition"/>
    <m/>
    <m/>
  </r>
  <r>
    <s v="DSCN3385"/>
    <s v="WW0422_27"/>
    <n v="27"/>
    <n v="1"/>
    <x v="0"/>
    <d v="2019-04-22T00:00:00"/>
    <s v="April"/>
    <s v="Spring"/>
    <d v="1899-12-30T01:07:00"/>
    <d v="1899-12-30T00:01:07"/>
    <x v="33"/>
    <s v="Partly cloudy"/>
    <x v="0"/>
    <s v="Foraging"/>
    <s v="NA"/>
    <n v="1"/>
    <n v="0"/>
    <n v="0"/>
    <s v="Unknown"/>
    <s v="unknown"/>
    <s v="Ground"/>
    <s v="NA"/>
    <m/>
    <m/>
    <m/>
    <s v="NA"/>
    <s v="NA"/>
    <s v="NA"/>
    <s v="NA"/>
    <s v="NA"/>
    <s v="NA"/>
    <s v="NA"/>
    <s v="NA"/>
    <n v="0"/>
    <n v="0"/>
    <n v="0"/>
    <n v="0"/>
    <n v="21"/>
    <m/>
    <n v="21"/>
    <s v="Searching"/>
    <m/>
    <m/>
    <m/>
  </r>
  <r>
    <s v="DSCN3358"/>
    <s v="WW0422_5"/>
    <n v="5"/>
    <n v="1"/>
    <x v="0"/>
    <d v="2019-04-22T00:00:00"/>
    <s v="April"/>
    <s v="Spring"/>
    <d v="1899-12-30T00:37:00"/>
    <d v="1899-12-30T00:00:37"/>
    <x v="34"/>
    <s v="Partly cloudy"/>
    <x v="0"/>
    <s v="Foraging"/>
    <s v="NA"/>
    <n v="1"/>
    <n v="0"/>
    <n v="0"/>
    <s v="Unknown"/>
    <s v="unknown"/>
    <s v="Ground"/>
    <s v="NA"/>
    <m/>
    <m/>
    <m/>
    <s v="NA"/>
    <s v="NA"/>
    <s v="NA"/>
    <s v="NA"/>
    <s v="NA"/>
    <s v="NA"/>
    <s v="NA"/>
    <s v="NA"/>
    <n v="0"/>
    <n v="0"/>
    <n v="0"/>
    <n v="0"/>
    <n v="37"/>
    <m/>
    <n v="37"/>
    <s v="Searching"/>
    <s v="Missed acquisition"/>
    <m/>
    <m/>
  </r>
  <r>
    <s v="DSCN3359"/>
    <s v="WW0422_6"/>
    <n v="6"/>
    <n v="1"/>
    <x v="0"/>
    <d v="2019-04-22T00:00:00"/>
    <s v="April"/>
    <s v="Spring"/>
    <d v="1899-12-30T01:14:00"/>
    <d v="1899-12-30T00:01:14"/>
    <x v="35"/>
    <s v="Partly cloudy"/>
    <x v="0"/>
    <s v="Foraging"/>
    <s v="NA"/>
    <n v="1"/>
    <n v="0"/>
    <n v="0"/>
    <s v="Unknown"/>
    <s v="unknown"/>
    <s v="Ground"/>
    <s v="NA"/>
    <m/>
    <m/>
    <m/>
    <s v="NA"/>
    <s v="NA"/>
    <s v="NA"/>
    <s v="NA"/>
    <s v="NA"/>
    <s v="NA"/>
    <s v="NA"/>
    <s v="NA"/>
    <n v="0"/>
    <n v="0"/>
    <n v="0"/>
    <n v="0"/>
    <n v="74"/>
    <m/>
    <n v="74"/>
    <s v="Searching"/>
    <m/>
    <m/>
    <m/>
  </r>
  <r>
    <s v="DSCN3363"/>
    <s v="WW0422_8"/>
    <n v="8"/>
    <n v="1"/>
    <x v="0"/>
    <d v="2019-04-22T00:00:00"/>
    <s v="April"/>
    <s v="Spring"/>
    <d v="1899-12-30T01:39:00"/>
    <d v="1899-12-30T00:01:39"/>
    <x v="36"/>
    <s v="Partly cloudy"/>
    <x v="0"/>
    <s v="Foraging"/>
    <s v="NA"/>
    <n v="1"/>
    <n v="0"/>
    <n v="0"/>
    <s v="Unknown"/>
    <s v="unknown"/>
    <s v="Ground"/>
    <s v="NA"/>
    <m/>
    <m/>
    <m/>
    <s v="NA"/>
    <s v="NA"/>
    <s v="NA"/>
    <s v="NA"/>
    <s v="NA"/>
    <s v="NA"/>
    <s v="NA"/>
    <s v="NA"/>
    <n v="0"/>
    <n v="0"/>
    <n v="0"/>
    <n v="0"/>
    <n v="99"/>
    <m/>
    <n v="99"/>
    <s v="Searching"/>
    <m/>
    <m/>
    <m/>
  </r>
  <r>
    <s v="DSCN3364"/>
    <s v="WW0422_9"/>
    <n v="9"/>
    <n v="1"/>
    <x v="0"/>
    <d v="2019-04-22T00:00:00"/>
    <s v="April"/>
    <s v="Spring"/>
    <d v="1899-12-30T00:44:00"/>
    <d v="1899-12-30T00:00:44"/>
    <x v="37"/>
    <s v="Partly cloudy"/>
    <x v="0"/>
    <s v="Foraging"/>
    <s v="NA"/>
    <n v="1"/>
    <n v="0"/>
    <n v="0"/>
    <s v="Unknown"/>
    <s v="unknown"/>
    <s v="Ground"/>
    <s v="NA"/>
    <m/>
    <m/>
    <m/>
    <s v="NA"/>
    <s v="NA"/>
    <s v="NA"/>
    <s v="NA"/>
    <s v="NA"/>
    <s v="NA"/>
    <s v="NA"/>
    <s v="NA"/>
    <n v="0"/>
    <n v="0"/>
    <n v="0"/>
    <n v="0"/>
    <n v="41"/>
    <m/>
    <n v="41"/>
    <s v="Searching"/>
    <s v="Missed acquisition"/>
    <m/>
    <m/>
  </r>
  <r>
    <s v="DSCN3370"/>
    <s v="WW0422_13"/>
    <n v="13"/>
    <n v="1"/>
    <x v="0"/>
    <d v="2019-04-22T00:00:00"/>
    <s v="April"/>
    <s v="Spring"/>
    <d v="1899-12-30T00:20:00"/>
    <d v="1899-12-30T00:00:20"/>
    <x v="38"/>
    <s v="Partly cloudy"/>
    <x v="0"/>
    <s v="Foraging"/>
    <s v="Stick"/>
    <n v="1"/>
    <n v="1"/>
    <n v="0"/>
    <s v="Unknown"/>
    <s v="unknown"/>
    <s v="Under bark of dead stick"/>
    <s v="NA"/>
    <m/>
    <m/>
    <m/>
    <s v="NA"/>
    <s v="NA"/>
    <s v="BA"/>
    <s v="NA"/>
    <s v="NA"/>
    <n v="63.74042"/>
    <n v="148.89865"/>
    <s v="NA"/>
    <n v="6"/>
    <n v="0"/>
    <n v="0"/>
    <n v="6"/>
    <n v="0"/>
    <m/>
    <n v="6"/>
    <s v="Searching/probing"/>
    <m/>
    <n v="2"/>
    <n v="0"/>
  </r>
  <r>
    <s v="DSCN3379"/>
    <s v="WW0422_21"/>
    <n v="21"/>
    <n v="1"/>
    <x v="0"/>
    <d v="2019-04-22T00:00:00"/>
    <s v="April"/>
    <s v="Spring"/>
    <d v="1899-12-30T01:09:00"/>
    <d v="1899-12-30T00:01:09"/>
    <x v="39"/>
    <s v="Partly cloudy"/>
    <x v="0"/>
    <s v="Foraging"/>
    <s v="NA"/>
    <n v="2"/>
    <n v="0"/>
    <n v="0"/>
    <s v="Unknown"/>
    <s v="unknown"/>
    <s v="Ground"/>
    <s v="NA"/>
    <m/>
    <m/>
    <m/>
    <s v="NA"/>
    <s v="NA"/>
    <s v="NA"/>
    <s v="NA"/>
    <s v="NA"/>
    <s v="NA"/>
    <s v="NA"/>
    <s v="NA"/>
    <n v="0"/>
    <n v="0"/>
    <n v="0"/>
    <n v="0"/>
    <n v="69"/>
    <m/>
    <n v="69"/>
    <s v="Searching"/>
    <s v="Missed first food acquisition. "/>
    <m/>
    <m/>
  </r>
  <r>
    <s v="DSCN3384"/>
    <s v="WW0422_26"/>
    <n v="26"/>
    <n v="1"/>
    <x v="0"/>
    <d v="2019-04-22T00:00:00"/>
    <s v="April"/>
    <s v="Spring"/>
    <d v="1899-12-30T01:12:00"/>
    <d v="1899-12-30T00:01:12"/>
    <x v="40"/>
    <s v="Partly cloudy"/>
    <x v="0"/>
    <s v="Foraging"/>
    <s v="NA"/>
    <n v="2"/>
    <n v="0"/>
    <n v="0"/>
    <s v="Unknown"/>
    <s v="unknown"/>
    <s v="Ground"/>
    <s v="NA"/>
    <m/>
    <m/>
    <m/>
    <s v="NA"/>
    <s v="NA"/>
    <s v="NA"/>
    <s v="NA"/>
    <s v="NA"/>
    <s v="NA"/>
    <s v="NA"/>
    <s v="NA"/>
    <n v="0"/>
    <n v="0"/>
    <n v="0"/>
    <n v="0"/>
    <n v="68"/>
    <m/>
    <n v="68"/>
    <s v="Searching"/>
    <m/>
    <m/>
    <m/>
  </r>
  <r>
    <s v="DSCN3373"/>
    <s v="WW0422_16"/>
    <n v="16"/>
    <n v="1"/>
    <x v="0"/>
    <d v="2019-04-22T00:00:00"/>
    <s v="April"/>
    <s v="Spring"/>
    <d v="1899-12-30T00:51:00"/>
    <d v="1899-12-30T00:00:51"/>
    <x v="29"/>
    <s v="Partly cloudy"/>
    <x v="0"/>
    <s v="Foraging"/>
    <s v="NA"/>
    <n v="2"/>
    <n v="0"/>
    <n v="0"/>
    <s v="Unknown"/>
    <s v="unknown"/>
    <s v="NA"/>
    <s v="NA"/>
    <m/>
    <m/>
    <m/>
    <s v="NA"/>
    <s v="NA"/>
    <s v="NA"/>
    <s v="NA"/>
    <s v="NA"/>
    <s v="NA"/>
    <s v="NA"/>
    <s v="NA"/>
    <n v="0"/>
    <n v="0"/>
    <n v="0"/>
    <n v="0"/>
    <n v="51"/>
    <m/>
    <n v="51"/>
    <s v="Searching"/>
    <m/>
    <m/>
    <m/>
  </r>
  <r>
    <s v="DSCN3383"/>
    <s v="WW0422_25"/>
    <n v="25"/>
    <n v="1"/>
    <x v="0"/>
    <d v="2019-04-22T00:00:00"/>
    <s v="April"/>
    <s v="Spring"/>
    <d v="1899-12-30T02:34:00"/>
    <d v="1899-12-30T00:02:34"/>
    <x v="41"/>
    <s v="Partly cloudy"/>
    <x v="0"/>
    <s v="Foraging"/>
    <s v="NA"/>
    <n v="3"/>
    <n v="0"/>
    <n v="0"/>
    <s v="Unknown"/>
    <s v="unknown"/>
    <s v="Ground"/>
    <s v="NA"/>
    <m/>
    <m/>
    <m/>
    <s v="NA"/>
    <s v="NA"/>
    <s v="NA"/>
    <s v="NA"/>
    <s v="NA"/>
    <s v="NA"/>
    <s v="NA"/>
    <s v="NA"/>
    <n v="0"/>
    <n v="0"/>
    <n v="0"/>
    <n v="0"/>
    <n v="154"/>
    <m/>
    <n v="154"/>
    <s v="Searching"/>
    <m/>
    <m/>
    <m/>
  </r>
  <r>
    <s v="DSCN3368"/>
    <s v="WW0422_11"/>
    <n v="11"/>
    <n v="1"/>
    <x v="0"/>
    <d v="2019-04-22T00:00:00"/>
    <s v="April"/>
    <s v="Spring"/>
    <d v="1899-12-30T02:19:00"/>
    <d v="1899-12-30T00:02:39"/>
    <x v="42"/>
    <s v="Partly cloudy"/>
    <x v="0"/>
    <s v="Foraging"/>
    <s v="NA"/>
    <n v="4"/>
    <n v="0"/>
    <n v="0"/>
    <s v="Unknown"/>
    <s v="unknown"/>
    <s v="Ground"/>
    <s v="NA"/>
    <m/>
    <m/>
    <m/>
    <s v="NA"/>
    <s v="NA"/>
    <s v="NA"/>
    <s v="NA"/>
    <s v="NA"/>
    <s v="NA"/>
    <s v="NA"/>
    <s v="NA"/>
    <n v="0"/>
    <n v="0"/>
    <n v="0"/>
    <n v="0"/>
    <n v="111"/>
    <m/>
    <n v="111"/>
    <s v="Searching"/>
    <m/>
    <m/>
    <m/>
  </r>
  <r>
    <s v="DSCN3375"/>
    <s v="WW0422_18"/>
    <n v="18"/>
    <n v="1"/>
    <x v="0"/>
    <d v="2019-04-22T00:00:00"/>
    <s v="April"/>
    <s v="Spring"/>
    <d v="1899-12-30T02:05:00"/>
    <d v="1899-12-30T00:02:05"/>
    <x v="30"/>
    <s v="Partly cloudy"/>
    <x v="0"/>
    <s v="Foraging"/>
    <s v="NA"/>
    <n v="1"/>
    <n v="0"/>
    <n v="0"/>
    <s v="Insect"/>
    <s v="Insect (caterpiller)"/>
    <s v="Exterior aspen branch"/>
    <s v="NA"/>
    <m/>
    <m/>
    <m/>
    <s v="NA"/>
    <s v="NA"/>
    <s v="NA"/>
    <s v="NA"/>
    <s v="NA"/>
    <s v="NA"/>
    <s v="NA"/>
    <s v="NA"/>
    <n v="0"/>
    <n v="0"/>
    <n v="0"/>
    <n v="0"/>
    <n v="25"/>
    <m/>
    <n v="25"/>
    <s v="Searching"/>
    <m/>
    <m/>
    <m/>
  </r>
  <r>
    <s v="DSCN3368"/>
    <s v="WW0422_11"/>
    <n v="11"/>
    <n v="2"/>
    <x v="0"/>
    <d v="2019-04-22T00:00:00"/>
    <s v="April"/>
    <s v="Spring"/>
    <d v="1899-12-30T02:19:00"/>
    <d v="1899-12-30T00:02:19"/>
    <x v="43"/>
    <s v="Partly cloudy"/>
    <x v="0"/>
    <s v="Foraging"/>
    <s v="NA"/>
    <n v="1"/>
    <n v="0"/>
    <n v="0"/>
    <s v="Insect"/>
    <s v="Insect"/>
    <s v="Ground"/>
    <s v="NA"/>
    <m/>
    <m/>
    <m/>
    <s v="NA"/>
    <s v="NA"/>
    <s v="NA"/>
    <s v="NA"/>
    <s v="NA"/>
    <s v="NA"/>
    <s v="NA"/>
    <s v="NA"/>
    <n v="0"/>
    <n v="0"/>
    <n v="0"/>
    <n v="0"/>
    <n v="28"/>
    <m/>
    <n v="28"/>
    <s v="Searching"/>
    <s v="Insect evident in slowed video.  Can see legs/antenna "/>
    <m/>
    <m/>
  </r>
  <r>
    <s v="DSCN3370"/>
    <s v="WW0422_13"/>
    <n v="13"/>
    <n v="2"/>
    <x v="0"/>
    <d v="2019-04-22T00:00:00"/>
    <s v="April"/>
    <s v="Spring"/>
    <d v="1899-12-30T00:20:00"/>
    <d v="1899-12-30T00:00:20"/>
    <x v="38"/>
    <s v="Partly cloudy"/>
    <x v="0"/>
    <s v="Foraging"/>
    <s v="NA"/>
    <n v="1"/>
    <n v="0"/>
    <n v="0"/>
    <s v="Insect"/>
    <s v="Insect (caterpiller)"/>
    <s v="Ground"/>
    <s v="NA"/>
    <m/>
    <m/>
    <m/>
    <s v="NA"/>
    <s v="NA"/>
    <s v="NA"/>
    <s v="NA"/>
    <s v="NA"/>
    <s v="NA"/>
    <s v="NA"/>
    <s v="NA"/>
    <n v="0"/>
    <n v="0"/>
    <n v="0"/>
    <n v="0"/>
    <n v="14"/>
    <m/>
    <n v="14"/>
    <s v="Searching"/>
    <m/>
    <m/>
    <m/>
  </r>
  <r>
    <s v="DSCN3362"/>
    <s v="WW0422_7"/>
    <n v="7"/>
    <n v="1"/>
    <x v="0"/>
    <d v="2019-04-22T00:00:00"/>
    <s v="April"/>
    <s v="Spring"/>
    <d v="1899-12-30T00:26:00"/>
    <d v="1899-12-30T00:00:26"/>
    <x v="44"/>
    <s v="Partly cloudy"/>
    <x v="0"/>
    <s v="Foraging"/>
    <s v="NA"/>
    <n v="1"/>
    <n v="0"/>
    <n v="0"/>
    <s v="Insect"/>
    <s v="Insect (caterpiller)"/>
    <s v="Ground"/>
    <s v="NA"/>
    <m/>
    <m/>
    <m/>
    <s v="NA"/>
    <s v="NA"/>
    <s v="NA"/>
    <s v="NA"/>
    <s v="NA"/>
    <s v="NA"/>
    <s v="NA"/>
    <s v="NA"/>
    <n v="0"/>
    <n v="0"/>
    <n v="0"/>
    <n v="0"/>
    <n v="26"/>
    <m/>
    <n v="26"/>
    <s v="Searching"/>
    <m/>
    <m/>
    <m/>
  </r>
  <r>
    <s v="DSCN3351"/>
    <s v="WW0422_1"/>
    <n v="1"/>
    <n v="1"/>
    <x v="0"/>
    <d v="2019-04-22T00:00:00"/>
    <s v="April"/>
    <s v="Spring"/>
    <d v="1899-12-30T00:31:00"/>
    <d v="1899-12-30T00:00:31"/>
    <x v="45"/>
    <s v="Partly cloudy"/>
    <x v="0"/>
    <s v="Foraging"/>
    <s v="NA"/>
    <n v="0"/>
    <n v="0"/>
    <n v="0"/>
    <m/>
    <s v="NA"/>
    <s v="NA"/>
    <s v="NA"/>
    <m/>
    <m/>
    <m/>
    <s v="NA"/>
    <s v="NA"/>
    <s v="NA"/>
    <s v="NA"/>
    <s v="NA"/>
    <s v="NA"/>
    <s v="NA"/>
    <s v="NA"/>
    <n v="0"/>
    <n v="0"/>
    <n v="0"/>
    <n v="0"/>
    <n v="0"/>
    <m/>
    <n v="0"/>
    <s v="Searching"/>
    <m/>
    <m/>
    <m/>
  </r>
  <r>
    <s v="DSCN3365"/>
    <s v="WW0422_10"/>
    <n v="10"/>
    <n v="1"/>
    <x v="0"/>
    <d v="2019-04-22T00:00:00"/>
    <s v="April"/>
    <s v="Spring"/>
    <d v="1899-12-30T00:56:00"/>
    <d v="1899-12-30T00:00:56"/>
    <x v="46"/>
    <s v="Partly cloudy"/>
    <x v="0"/>
    <s v="Foraging"/>
    <s v="NA"/>
    <n v="0"/>
    <n v="0"/>
    <n v="0"/>
    <m/>
    <s v="NA"/>
    <s v="NA"/>
    <s v="NA"/>
    <m/>
    <m/>
    <m/>
    <s v="NA"/>
    <s v="NA"/>
    <s v="NA"/>
    <s v="NA"/>
    <s v="NA"/>
    <s v="NA"/>
    <s v="NA"/>
    <s v="NA"/>
    <n v="0"/>
    <n v="0"/>
    <n v="0"/>
    <n v="0"/>
    <n v="53"/>
    <m/>
    <n v="53"/>
    <s v="Searching"/>
    <m/>
    <m/>
    <m/>
  </r>
  <r>
    <s v="DSCN3372"/>
    <s v="WW0422_15"/>
    <n v="15"/>
    <n v="1"/>
    <x v="0"/>
    <d v="2019-04-22T00:00:00"/>
    <s v="April"/>
    <s v="Spring"/>
    <d v="1899-12-30T00:31:00"/>
    <d v="1899-12-30T00:00:31"/>
    <x v="45"/>
    <s v="Partly cloudy"/>
    <x v="0"/>
    <s v="Foraging"/>
    <s v="NA"/>
    <n v="0"/>
    <n v="0"/>
    <n v="0"/>
    <m/>
    <s v="NA"/>
    <s v="NA"/>
    <s v="NA"/>
    <m/>
    <m/>
    <m/>
    <s v="NA"/>
    <s v="NA"/>
    <s v="NA"/>
    <s v="NA"/>
    <s v="NA"/>
    <s v="NA"/>
    <s v="NA"/>
    <s v="NA"/>
    <n v="0"/>
    <n v="0"/>
    <n v="0"/>
    <n v="0"/>
    <n v="31"/>
    <m/>
    <n v="31"/>
    <s v="Searching"/>
    <m/>
    <m/>
    <m/>
  </r>
  <r>
    <s v="DSCN3378"/>
    <s v="WW0422_20"/>
    <n v="20"/>
    <n v="1"/>
    <x v="0"/>
    <d v="2019-04-22T00:00:00"/>
    <s v="April"/>
    <s v="Spring"/>
    <d v="1899-12-30T00:16:00"/>
    <d v="1899-12-30T00:00:16"/>
    <x v="47"/>
    <s v="Partly cloudy"/>
    <x v="0"/>
    <s v="Foraging"/>
    <s v="NA"/>
    <n v="0"/>
    <n v="0"/>
    <n v="0"/>
    <m/>
    <s v="NA"/>
    <s v="NA"/>
    <s v="NA"/>
    <m/>
    <m/>
    <m/>
    <s v="NA"/>
    <s v="NA"/>
    <s v="NA"/>
    <s v="NA"/>
    <s v="NA"/>
    <s v="NA"/>
    <s v="NA"/>
    <s v="NA"/>
    <n v="0"/>
    <n v="0"/>
    <n v="0"/>
    <n v="0"/>
    <n v="16"/>
    <m/>
    <n v="16"/>
    <s v="Searching"/>
    <m/>
    <m/>
    <m/>
  </r>
  <r>
    <s v="DSCN3380"/>
    <s v="WW0422_22"/>
    <n v="22"/>
    <n v="1"/>
    <x v="0"/>
    <d v="2019-04-22T00:00:00"/>
    <s v="April"/>
    <s v="Spring"/>
    <d v="1899-12-30T00:26:00"/>
    <d v="1899-12-30T00:00:26"/>
    <x v="44"/>
    <s v="Partly cloudy"/>
    <x v="0"/>
    <s v="Foraging"/>
    <s v="NA"/>
    <n v="0"/>
    <n v="0"/>
    <n v="0"/>
    <m/>
    <s v="NA"/>
    <s v="NA"/>
    <s v="NA"/>
    <m/>
    <m/>
    <m/>
    <s v="NA"/>
    <s v="NA"/>
    <s v="NA"/>
    <s v="NA"/>
    <s v="NA"/>
    <s v="NA"/>
    <s v="NA"/>
    <s v="NA"/>
    <n v="0"/>
    <n v="0"/>
    <n v="0"/>
    <n v="0"/>
    <n v="26"/>
    <m/>
    <n v="26"/>
    <s v="Searching"/>
    <m/>
    <m/>
    <m/>
  </r>
  <r>
    <s v="DSCN3354"/>
    <s v="WW0422_3"/>
    <n v="3"/>
    <n v="1"/>
    <x v="0"/>
    <d v="2019-04-22T00:00:00"/>
    <s v="April"/>
    <s v="Spring"/>
    <d v="1899-12-30T01:03:00"/>
    <d v="1899-12-30T00:01:03"/>
    <x v="48"/>
    <s v="Partly cloudy"/>
    <x v="0"/>
    <s v="Foraging"/>
    <s v="NA"/>
    <n v="0"/>
    <n v="0"/>
    <n v="0"/>
    <m/>
    <s v="NA"/>
    <s v="NA"/>
    <s v="NA"/>
    <m/>
    <m/>
    <m/>
    <s v="NA"/>
    <s v="NA"/>
    <s v="NA"/>
    <s v="NA"/>
    <s v="NA"/>
    <s v="NA"/>
    <s v="NA"/>
    <s v="NA"/>
    <n v="0"/>
    <n v="0"/>
    <n v="0"/>
    <n v="0"/>
    <n v="63"/>
    <m/>
    <n v="63"/>
    <s v="Searching"/>
    <m/>
    <m/>
    <m/>
  </r>
  <r>
    <s v="DSCN3356"/>
    <s v="WW0422_4"/>
    <n v="4"/>
    <n v="1"/>
    <x v="0"/>
    <d v="2019-04-22T00:00:00"/>
    <s v="April"/>
    <s v="Spring"/>
    <d v="1899-12-30T00:17:00"/>
    <d v="1899-12-30T00:00:17"/>
    <x v="12"/>
    <s v="Partly cloudy"/>
    <x v="0"/>
    <s v="Foraging"/>
    <s v="NA"/>
    <n v="0"/>
    <n v="0"/>
    <n v="0"/>
    <m/>
    <s v="NA"/>
    <s v="NA"/>
    <s v="NA"/>
    <m/>
    <m/>
    <m/>
    <s v="NA"/>
    <s v="NA"/>
    <s v="NA"/>
    <s v="NA"/>
    <s v="NA"/>
    <s v="NA"/>
    <s v="NA"/>
    <s v="NA"/>
    <n v="0"/>
    <n v="0"/>
    <n v="0"/>
    <n v="0"/>
    <n v="17"/>
    <m/>
    <n v="17"/>
    <m/>
    <m/>
    <m/>
    <m/>
  </r>
  <r>
    <s v="DSCN3622"/>
    <s v="WW0428_3"/>
    <n v="3"/>
    <n v="1"/>
    <x v="0"/>
    <d v="2019-04-28T00:00:00"/>
    <s v="April"/>
    <s v="Spring"/>
    <d v="1899-12-30T00:10:00"/>
    <d v="1899-12-30T00:00:10"/>
    <x v="49"/>
    <s v="Clear, full sun"/>
    <x v="0"/>
    <s v="Foraging"/>
    <s v="Aspen"/>
    <n v="1"/>
    <n v="1"/>
    <n v="0"/>
    <s v="Unknown"/>
    <s v="unknown"/>
    <s v="Exterior aspen branch under bark"/>
    <s v="NA"/>
    <m/>
    <m/>
    <m/>
    <s v="NA"/>
    <s v="NA"/>
    <s v="NA"/>
    <s v="NA"/>
    <s v="NA"/>
    <n v="63.740810000000003"/>
    <n v="148.8981"/>
    <s v="NA"/>
    <n v="0"/>
    <n v="0"/>
    <n v="0"/>
    <n v="0"/>
    <n v="0"/>
    <m/>
    <n v="0"/>
    <s v="Searching"/>
    <s v="Missed initial acquisition"/>
    <m/>
    <m/>
  </r>
  <r>
    <s v="DSCN3620"/>
    <s v="WW0428_1"/>
    <n v="1"/>
    <n v="1"/>
    <x v="0"/>
    <d v="2019-04-28T00:00:00"/>
    <s v="April"/>
    <s v="Spring"/>
    <d v="1899-12-30T02:10:00"/>
    <d v="1899-12-30T00:02:10"/>
    <x v="50"/>
    <s v="Clear, full sun"/>
    <x v="0"/>
    <s v="Foraging"/>
    <s v="NA"/>
    <n v="8"/>
    <n v="0"/>
    <n v="0"/>
    <s v="Unknown"/>
    <s v="unknown (Probably B&amp;Ugs)"/>
    <s v="Ground"/>
    <s v="NA"/>
    <m/>
    <m/>
    <m/>
    <s v="NA"/>
    <s v="NA"/>
    <s v="NA"/>
    <s v="NA"/>
    <s v="NA"/>
    <s v="NA"/>
    <s v="NA"/>
    <s v="NA"/>
    <n v="0"/>
    <n v="0"/>
    <n v="0"/>
    <n v="0"/>
    <n v="65"/>
    <m/>
    <n v="65"/>
    <s v="Searching"/>
    <s v="Bird snatched all of them.  VERY LIKELY all B&amp;Ugs"/>
    <m/>
    <m/>
  </r>
  <r>
    <s v="DSCN3620"/>
    <s v="WW0428_1"/>
    <n v="1"/>
    <n v="1"/>
    <x v="0"/>
    <d v="2019-04-28T00:00:00"/>
    <s v="April"/>
    <s v="Spring"/>
    <d v="1899-12-30T02:10:00"/>
    <d v="1899-12-30T00:02:10"/>
    <x v="50"/>
    <s v="Clear, full sun"/>
    <x v="0"/>
    <s v="Foraging"/>
    <s v="NA"/>
    <n v="3"/>
    <n v="0"/>
    <n v="0"/>
    <s v="Insect"/>
    <s v="Insect"/>
    <s v="Ground"/>
    <s v="NA"/>
    <m/>
    <m/>
    <m/>
    <s v="NA"/>
    <s v="NA"/>
    <s v="NA"/>
    <s v="NA"/>
    <s v="NA"/>
    <s v="NA"/>
    <s v="NA"/>
    <s v="NA"/>
    <n v="0"/>
    <n v="0"/>
    <n v="0"/>
    <n v="0"/>
    <n v="0"/>
    <m/>
    <n v="0"/>
    <s v="Searching"/>
    <s v="3 obvious B&amp;Ugs when watched in slowmo"/>
    <m/>
    <m/>
  </r>
  <r>
    <s v="DSCN3621"/>
    <s v="WW0428_2"/>
    <n v="2"/>
    <n v="1"/>
    <x v="0"/>
    <d v="2019-04-28T00:00:00"/>
    <s v="April"/>
    <s v="Spring"/>
    <d v="1899-12-30T00:36:00"/>
    <d v="1899-12-30T00:00:36"/>
    <x v="3"/>
    <s v="Clear, full sun"/>
    <x v="0"/>
    <s v="Foraging"/>
    <s v="NA"/>
    <n v="2"/>
    <n v="0"/>
    <n v="0"/>
    <s v="Berry"/>
    <s v="Berry"/>
    <s v="Ground"/>
    <s v="NA"/>
    <m/>
    <m/>
    <m/>
    <s v="NA"/>
    <s v="NA"/>
    <s v="NA"/>
    <s v="NA"/>
    <s v="NA"/>
    <s v="NA"/>
    <s v="NA"/>
    <s v="NA"/>
    <n v="0"/>
    <n v="0"/>
    <n v="0"/>
    <n v="0"/>
    <n v="31"/>
    <m/>
    <n v="31"/>
    <s v="Searching"/>
    <s v="First berry caught off screen."/>
    <m/>
    <m/>
  </r>
  <r>
    <s v="DSCN2947"/>
    <s v="WW0405_1"/>
    <n v="1"/>
    <n v="1"/>
    <x v="0"/>
    <d v="2019-04-05T00:00:00"/>
    <s v="April"/>
    <s v="Spring"/>
    <d v="1899-12-30T00:55:00"/>
    <d v="1899-12-30T00:00:55"/>
    <x v="51"/>
    <m/>
    <x v="0"/>
    <s v="Foraging"/>
    <s v="NA"/>
    <s v="unknown"/>
    <n v="0"/>
    <n v="0"/>
    <m/>
    <s v="NA"/>
    <s v="NA"/>
    <s v="NA"/>
    <m/>
    <m/>
    <m/>
    <s v="NA"/>
    <s v="NA"/>
    <s v="NA"/>
    <s v="NA"/>
    <s v="NA"/>
    <s v="NA"/>
    <s v="NA"/>
    <m/>
    <n v="0"/>
    <n v="0"/>
    <n v="0"/>
    <n v="0"/>
    <n v="55"/>
    <m/>
    <n v="55"/>
    <s v="Searching"/>
    <m/>
    <m/>
    <m/>
  </r>
  <r>
    <s v="DSCN2963"/>
    <s v="WW0405_10"/>
    <n v="10"/>
    <n v="1"/>
    <x v="0"/>
    <d v="2019-04-05T00:00:00"/>
    <s v="April"/>
    <s v="Spring"/>
    <d v="1899-12-30T00:15:00"/>
    <d v="1899-12-30T00:00:15"/>
    <x v="14"/>
    <m/>
    <x v="0"/>
    <s v="Foraging"/>
    <s v="NA"/>
    <s v="unknown"/>
    <n v="0"/>
    <n v="0"/>
    <m/>
    <s v="NA"/>
    <s v="NA"/>
    <s v="NA"/>
    <m/>
    <m/>
    <m/>
    <s v="NA"/>
    <s v="NA"/>
    <s v="NA"/>
    <s v="NA"/>
    <s v="NA"/>
    <s v="NA"/>
    <s v="NA"/>
    <m/>
    <n v="0"/>
    <n v="0"/>
    <n v="0"/>
    <n v="0"/>
    <n v="15"/>
    <m/>
    <n v="15"/>
    <s v="Searching"/>
    <m/>
    <m/>
    <m/>
  </r>
  <r>
    <s v="DSCN2964"/>
    <s v="WW0405_11"/>
    <n v="11"/>
    <n v="1"/>
    <x v="0"/>
    <d v="2019-04-05T00:00:00"/>
    <s v="April"/>
    <s v="Spring"/>
    <d v="1899-12-30T00:11:00"/>
    <d v="1899-12-30T00:00:11"/>
    <x v="11"/>
    <m/>
    <x v="0"/>
    <s v="Foraging"/>
    <s v="NA"/>
    <s v="unknown"/>
    <n v="0"/>
    <n v="0"/>
    <m/>
    <s v="NA"/>
    <s v="NA"/>
    <s v="NA"/>
    <m/>
    <m/>
    <m/>
    <s v="NA"/>
    <s v="NA"/>
    <s v="NA"/>
    <s v="NA"/>
    <s v="NA"/>
    <s v="NA"/>
    <s v="NA"/>
    <m/>
    <n v="0"/>
    <n v="0"/>
    <n v="0"/>
    <n v="0"/>
    <n v="11"/>
    <m/>
    <n v="11"/>
    <s v="Searching"/>
    <m/>
    <m/>
    <m/>
  </r>
  <r>
    <s v="DSCN2980"/>
    <s v="WW0405_23"/>
    <n v="23"/>
    <n v="1"/>
    <x v="0"/>
    <d v="2019-04-05T00:00:00"/>
    <s v="April"/>
    <s v="Spring"/>
    <d v="1899-12-30T00:27:00"/>
    <d v="1899-12-30T00:00:27"/>
    <x v="52"/>
    <m/>
    <x v="0"/>
    <s v="Foraging"/>
    <s v="NA"/>
    <s v="unknown"/>
    <n v="0"/>
    <n v="0"/>
    <m/>
    <s v="NA"/>
    <s v="NA"/>
    <s v="NA"/>
    <m/>
    <m/>
    <m/>
    <s v="NA"/>
    <s v="NA"/>
    <s v="NA"/>
    <s v="NA"/>
    <s v="NA"/>
    <s v="NA"/>
    <s v="NA"/>
    <m/>
    <n v="0"/>
    <n v="0"/>
    <n v="0"/>
    <n v="0"/>
    <n v="27"/>
    <m/>
    <n v="27"/>
    <s v="Searching"/>
    <m/>
    <m/>
    <m/>
  </r>
  <r>
    <s v="DSCN2987"/>
    <s v="WW0405_27"/>
    <n v="27"/>
    <n v="2"/>
    <x v="0"/>
    <d v="2019-04-05T00:00:00"/>
    <s v="April"/>
    <s v="Spring"/>
    <d v="1899-12-30T01:38:00"/>
    <d v="1899-12-30T00:01:38"/>
    <x v="7"/>
    <m/>
    <x v="0"/>
    <s v="Foraging"/>
    <s v="Spruce"/>
    <s v="unknown"/>
    <n v="0"/>
    <n v="0"/>
    <m/>
    <s v="NA"/>
    <s v="NA"/>
    <s v="NA"/>
    <m/>
    <m/>
    <m/>
    <s v="NA"/>
    <s v="NA"/>
    <s v="NA"/>
    <s v="NA"/>
    <s v="NA"/>
    <s v="NA"/>
    <s v="NA"/>
    <m/>
    <n v="0"/>
    <n v="0"/>
    <n v="0"/>
    <n v="0"/>
    <n v="85"/>
    <m/>
    <n v="85"/>
    <s v="Searching"/>
    <m/>
    <m/>
    <m/>
  </r>
  <r>
    <s v="DSCN2958"/>
    <s v="WW0405_6"/>
    <n v="6"/>
    <n v="1"/>
    <x v="0"/>
    <d v="2019-04-05T00:00:00"/>
    <s v="April"/>
    <s v="Spring"/>
    <d v="1899-12-30T00:44:00"/>
    <d v="1899-12-30T00:00:44"/>
    <x v="37"/>
    <m/>
    <x v="0"/>
    <s v="Foraging"/>
    <s v="Spruce"/>
    <s v="unknown"/>
    <n v="0"/>
    <n v="0"/>
    <m/>
    <s v="NA"/>
    <s v="NA"/>
    <s v="NA"/>
    <m/>
    <m/>
    <m/>
    <s v="NA"/>
    <s v="NA"/>
    <s v="NA"/>
    <s v="NA"/>
    <s v="NA"/>
    <s v="NA"/>
    <s v="NA"/>
    <m/>
    <n v="28"/>
    <n v="0"/>
    <n v="0"/>
    <n v="28"/>
    <n v="0"/>
    <m/>
    <n v="28"/>
    <s v="Searching/probing"/>
    <m/>
    <n v="1"/>
    <n v="0"/>
  </r>
  <r>
    <s v="DSCN2962"/>
    <s v="WW0405_9"/>
    <n v="9"/>
    <n v="1"/>
    <x v="0"/>
    <d v="2019-04-05T00:00:00"/>
    <s v="April"/>
    <s v="Spring"/>
    <d v="1899-12-30T00:09:00"/>
    <d v="1899-12-30T00:00:09"/>
    <x v="53"/>
    <m/>
    <x v="0"/>
    <s v="Foraging"/>
    <s v="NA"/>
    <s v="unknown"/>
    <n v="0"/>
    <n v="0"/>
    <m/>
    <s v="NA"/>
    <s v="NA"/>
    <s v="NA"/>
    <m/>
    <m/>
    <m/>
    <s v="NA"/>
    <s v="NA"/>
    <s v="NA"/>
    <s v="NA"/>
    <s v="NA"/>
    <s v="NA"/>
    <s v="NA"/>
    <m/>
    <n v="0"/>
    <n v="0"/>
    <n v="0"/>
    <n v="0"/>
    <n v="9"/>
    <m/>
    <n v="9"/>
    <s v="Searching"/>
    <m/>
    <m/>
    <m/>
  </r>
  <r>
    <s v="DSCN3371"/>
    <s v="WW0422_14"/>
    <n v="14"/>
    <n v="1"/>
    <x v="0"/>
    <d v="2019-04-22T00:00:00"/>
    <s v="April"/>
    <s v="Spring"/>
    <d v="1899-12-30T00:50:00"/>
    <d v="1899-12-30T00:00:50"/>
    <x v="54"/>
    <s v="Partly cloudy"/>
    <x v="0"/>
    <s v="Foraging"/>
    <s v="NA"/>
    <s v="unknown"/>
    <n v="0"/>
    <n v="0"/>
    <m/>
    <s v="NA"/>
    <s v="NA"/>
    <s v="NA"/>
    <m/>
    <m/>
    <m/>
    <s v="NA"/>
    <s v="NA"/>
    <s v="NA"/>
    <s v="NA"/>
    <s v="NA"/>
    <s v="NA"/>
    <s v="NA"/>
    <s v="NA"/>
    <n v="0"/>
    <n v="0"/>
    <n v="0"/>
    <n v="0"/>
    <n v="50"/>
    <m/>
    <n v="50"/>
    <s v="Searching"/>
    <m/>
    <m/>
    <m/>
  </r>
  <r>
    <s v="DSCN3353"/>
    <s v="WW0422_2"/>
    <n v="2"/>
    <n v="1"/>
    <x v="0"/>
    <d v="2019-04-22T00:00:00"/>
    <s v="April"/>
    <s v="Spring"/>
    <d v="1899-12-30T00:38:00"/>
    <d v="1899-12-30T00:00:38"/>
    <x v="55"/>
    <s v="Partly cloudy"/>
    <x v="0"/>
    <s v="Foraging"/>
    <s v="NA"/>
    <s v="unknown"/>
    <n v="0"/>
    <n v="0"/>
    <m/>
    <s v="NA"/>
    <s v="NA"/>
    <s v="NA"/>
    <m/>
    <m/>
    <m/>
    <s v="NA"/>
    <s v="NA"/>
    <s v="NA"/>
    <s v="NA"/>
    <s v="NA"/>
    <s v="NA"/>
    <s v="NA"/>
    <s v="NA"/>
    <n v="0"/>
    <n v="0"/>
    <n v="0"/>
    <n v="0"/>
    <n v="25"/>
    <m/>
    <n v="25"/>
    <s v="Searching"/>
    <s v="Goes to ground B&amp;Ut not sure if acquires anything"/>
    <n v="0"/>
    <n v="0"/>
  </r>
  <r>
    <s v="DSCN3382"/>
    <s v="WW0422_24"/>
    <n v="24"/>
    <n v="1"/>
    <x v="0"/>
    <d v="2019-04-22T00:00:00"/>
    <s v="April"/>
    <s v="Spring"/>
    <d v="1899-12-30T01:21:00"/>
    <d v="1899-12-30T00:01:21"/>
    <x v="56"/>
    <s v="Partly cloudy"/>
    <x v="0"/>
    <s v="Foraging"/>
    <s v="NA"/>
    <s v="unknown"/>
    <n v="0"/>
    <n v="0"/>
    <m/>
    <s v="NA"/>
    <s v="NA"/>
    <s v="NA"/>
    <m/>
    <m/>
    <m/>
    <s v="NA"/>
    <s v="NA"/>
    <s v="NA"/>
    <s v="NA"/>
    <s v="NA"/>
    <s v="NA"/>
    <s v="NA"/>
    <s v="NA"/>
    <n v="0"/>
    <n v="0"/>
    <n v="0"/>
    <n v="0"/>
    <n v="81"/>
    <m/>
    <n v="81"/>
    <s v="Searching"/>
    <m/>
    <m/>
    <m/>
  </r>
  <r>
    <s v="DSCN2732"/>
    <s v="M4W0401_3"/>
    <n v="3"/>
    <n v="1"/>
    <x v="1"/>
    <d v="2019-04-01T00:00:00"/>
    <s v="April"/>
    <s v="Spring"/>
    <d v="1899-12-30T01:34:00"/>
    <d v="1899-12-30T00:01:34"/>
    <x v="57"/>
    <m/>
    <x v="1"/>
    <s v="Caching"/>
    <s v="Spruce"/>
    <n v="1"/>
    <n v="0"/>
    <n v="1"/>
    <s v="Unknown"/>
    <s v="unknown"/>
    <s v="uknown"/>
    <s v="Exterior spruce foliage"/>
    <s v="Spruce"/>
    <s v="Exterior"/>
    <s v="Foliage"/>
    <s v="NE"/>
    <n v="50"/>
    <s v="unknown"/>
    <n v="63.725149999999999"/>
    <n v="148.98685"/>
    <s v="NA"/>
    <s v="NA"/>
    <m/>
    <n v="0"/>
    <n v="0"/>
    <n v="0"/>
    <n v="0"/>
    <n v="0"/>
    <m/>
    <n v="0"/>
    <m/>
    <m/>
    <m/>
    <m/>
  </r>
  <r>
    <s v="DSCN2730"/>
    <s v="M4W0401_2"/>
    <n v="2"/>
    <n v="1"/>
    <x v="1"/>
    <d v="2019-04-01T00:00:00"/>
    <s v="April"/>
    <s v="Spring"/>
    <d v="1899-12-30T00:29:00"/>
    <d v="1899-12-30T00:00:29"/>
    <x v="58"/>
    <m/>
    <x v="1"/>
    <s v="Foraging"/>
    <s v="Spruce"/>
    <n v="0"/>
    <n v="0"/>
    <n v="0"/>
    <m/>
    <s v="NA"/>
    <s v="NA"/>
    <s v="NA"/>
    <m/>
    <m/>
    <m/>
    <s v="NA"/>
    <s v="NA"/>
    <s v="NA"/>
    <s v="NA"/>
    <s v="NA"/>
    <s v="NA"/>
    <s v="NA"/>
    <m/>
    <n v="10"/>
    <n v="0"/>
    <n v="10"/>
    <n v="0"/>
    <n v="0"/>
    <m/>
    <n v="10"/>
    <m/>
    <m/>
    <m/>
    <m/>
  </r>
  <r>
    <s v="DSCN2726"/>
    <s v="M4W0401_1"/>
    <n v="1"/>
    <n v="1"/>
    <x v="1"/>
    <d v="2019-04-01T00:00:00"/>
    <s v="April"/>
    <s v="Spring"/>
    <d v="1899-12-30T00:14:00"/>
    <d v="1899-12-30T00:00:14"/>
    <x v="59"/>
    <m/>
    <x v="1"/>
    <s v="Unknown"/>
    <s v="Spruce"/>
    <s v="unknown"/>
    <s v="unknown"/>
    <s v="Unknown"/>
    <m/>
    <s v="NA"/>
    <s v="NA"/>
    <s v="NA"/>
    <m/>
    <m/>
    <m/>
    <s v="NA"/>
    <s v="NA"/>
    <s v="NA"/>
    <s v="NA"/>
    <s v="NA"/>
    <s v="NA"/>
    <s v="NA"/>
    <m/>
    <n v="0"/>
    <n v="0"/>
    <n v="0"/>
    <n v="0"/>
    <n v="0"/>
    <m/>
    <n v="0"/>
    <m/>
    <s v="Either made a cache or recovered food…?"/>
    <m/>
    <m/>
  </r>
  <r>
    <s v="DSCN3160"/>
    <s v="MC0416_3"/>
    <n v="3"/>
    <n v="1"/>
    <x v="2"/>
    <d v="2019-04-16T00:00:00"/>
    <s v="April"/>
    <s v="Spring"/>
    <d v="1899-12-30T00:26:00"/>
    <d v="1899-12-30T00:00:26"/>
    <x v="44"/>
    <s v="Mostly cloudy"/>
    <x v="2"/>
    <s v="Foraging"/>
    <s v="Spruce"/>
    <n v="0"/>
    <n v="0"/>
    <n v="0"/>
    <m/>
    <s v="NA"/>
    <s v="NA"/>
    <s v="NA"/>
    <m/>
    <m/>
    <m/>
    <s v="NA"/>
    <s v="NA"/>
    <s v="NA"/>
    <s v="NA"/>
    <s v="NA"/>
    <s v="NA"/>
    <s v="NA"/>
    <m/>
    <n v="0"/>
    <n v="16"/>
    <n v="0"/>
    <n v="16"/>
    <n v="0"/>
    <m/>
    <n v="16"/>
    <s v="Searching"/>
    <m/>
    <m/>
    <m/>
  </r>
  <r>
    <s v="DSCN3161"/>
    <s v="MC0416_4"/>
    <n v="4"/>
    <n v="1"/>
    <x v="2"/>
    <d v="2019-04-16T00:00:00"/>
    <s v="April"/>
    <s v="Spring"/>
    <d v="1899-12-30T00:37:00"/>
    <d v="1899-12-30T00:00:37"/>
    <x v="34"/>
    <s v="Mostly cloudy"/>
    <x v="2"/>
    <s v="Foraging"/>
    <s v="Spruce"/>
    <n v="0"/>
    <n v="0"/>
    <n v="0"/>
    <m/>
    <s v="NA"/>
    <s v="NA"/>
    <s v="NA"/>
    <m/>
    <m/>
    <m/>
    <s v="NA"/>
    <s v="NA"/>
    <s v="NA"/>
    <s v="NA"/>
    <s v="NA"/>
    <s v="NA"/>
    <s v="NA"/>
    <m/>
    <n v="0"/>
    <n v="21"/>
    <n v="0"/>
    <n v="21"/>
    <n v="0"/>
    <m/>
    <n v="21"/>
    <s v="Searching"/>
    <m/>
    <m/>
    <m/>
  </r>
  <r>
    <s v="DSCN3280"/>
    <s v="MC0418_2"/>
    <n v="2"/>
    <n v="1"/>
    <x v="2"/>
    <d v="2019-04-18T00:00:00"/>
    <s v="April"/>
    <s v="Spring"/>
    <d v="1899-12-30T00:11:00"/>
    <d v="1899-12-30T00:00:11"/>
    <x v="11"/>
    <s v="Overcast"/>
    <x v="2"/>
    <s v="Foraging"/>
    <s v="NA"/>
    <n v="1"/>
    <n v="0"/>
    <n v="0"/>
    <s v="Unknown"/>
    <s v="unknown"/>
    <s v="Ground"/>
    <s v="NA"/>
    <m/>
    <m/>
    <m/>
    <s v="NA"/>
    <s v="NA"/>
    <s v="NA"/>
    <s v="NA"/>
    <s v="NA"/>
    <s v="NA"/>
    <s v="NA"/>
    <s v="NA"/>
    <n v="0"/>
    <n v="0"/>
    <n v="0"/>
    <n v="0"/>
    <n v="11"/>
    <m/>
    <n v="11"/>
    <s v="Searching"/>
    <m/>
    <m/>
    <m/>
  </r>
  <r>
    <s v="DSCN3299"/>
    <s v="MC0418_5"/>
    <n v="5"/>
    <n v="2"/>
    <x v="2"/>
    <d v="2019-04-18T00:00:00"/>
    <s v="April"/>
    <s v="Spring"/>
    <d v="1899-12-30T00:58:00"/>
    <d v="1899-12-30T00:00:58"/>
    <x v="60"/>
    <s v="Overcast"/>
    <x v="2"/>
    <s v="Foraging"/>
    <s v="NA"/>
    <n v="1"/>
    <n v="0"/>
    <n v="0"/>
    <s v="Unknown"/>
    <s v="unknown"/>
    <s v="Ground"/>
    <s v="NA"/>
    <m/>
    <m/>
    <m/>
    <s v="NA"/>
    <s v="NA"/>
    <s v="NA"/>
    <s v="NA"/>
    <s v="NA"/>
    <s v="NA"/>
    <s v="NA"/>
    <s v="NA"/>
    <n v="0"/>
    <n v="0"/>
    <n v="0"/>
    <n v="0"/>
    <n v="24"/>
    <m/>
    <n v="24"/>
    <s v="Searching"/>
    <s v="Eating unknown items, could have been snow.  "/>
    <m/>
    <m/>
  </r>
  <r>
    <s v="DSCN3303"/>
    <s v="MC0418_7"/>
    <n v="7"/>
    <n v="1"/>
    <x v="2"/>
    <d v="2019-04-18T00:00:00"/>
    <s v="April"/>
    <s v="Spring"/>
    <d v="1899-12-30T00:12:00"/>
    <d v="1899-12-30T00:00:12"/>
    <x v="61"/>
    <s v="Overcast"/>
    <x v="2"/>
    <s v="Foraging"/>
    <s v="NA"/>
    <n v="1"/>
    <n v="0"/>
    <n v="0"/>
    <s v="Unknown"/>
    <s v="unknown"/>
    <s v="Ground"/>
    <s v="NA"/>
    <m/>
    <m/>
    <m/>
    <s v="NA"/>
    <s v="NA"/>
    <s v="NA"/>
    <s v="NA"/>
    <s v="NA"/>
    <s v="NA"/>
    <s v="NA"/>
    <s v="NA"/>
    <n v="0"/>
    <n v="0"/>
    <n v="0"/>
    <n v="0"/>
    <n v="12"/>
    <m/>
    <n v="12"/>
    <s v="Searching"/>
    <m/>
    <m/>
    <m/>
  </r>
  <r>
    <s v="DSCN3300"/>
    <s v="MC0418_6"/>
    <n v="6"/>
    <n v="1"/>
    <x v="2"/>
    <d v="2019-04-18T00:00:00"/>
    <s v="April"/>
    <s v="Spring"/>
    <d v="1899-12-30T00:35:00"/>
    <d v="1899-12-30T00:00:35"/>
    <x v="62"/>
    <s v="Overcast"/>
    <x v="2"/>
    <s v="Foraging"/>
    <s v="Aspen"/>
    <n v="2"/>
    <s v="unknown"/>
    <n v="0"/>
    <s v="Unknown"/>
    <s v="unknown"/>
    <s v="Aspen trunk under bark"/>
    <s v="NA"/>
    <m/>
    <m/>
    <m/>
    <s v="NA"/>
    <s v="NA"/>
    <s v="NA"/>
    <s v="NA"/>
    <s v="NA"/>
    <s v="NA"/>
    <s v="NA"/>
    <s v="NA"/>
    <n v="0"/>
    <n v="0"/>
    <n v="0"/>
    <n v="0"/>
    <n v="35"/>
    <m/>
    <n v="35"/>
    <s v="Searching/probing"/>
    <m/>
    <n v="9"/>
    <n v="0"/>
  </r>
  <r>
    <s v="DSCN3299"/>
    <s v="MC0418_5"/>
    <n v="5"/>
    <n v="1"/>
    <x v="2"/>
    <d v="2019-04-18T00:00:00"/>
    <s v="April"/>
    <s v="Spring"/>
    <d v="1899-12-30T00:58:00"/>
    <d v="1899-12-30T00:00:58"/>
    <x v="60"/>
    <s v="Overcast"/>
    <x v="2"/>
    <s v="Foraging"/>
    <s v="NA"/>
    <n v="1"/>
    <n v="0"/>
    <n v="0"/>
    <s v="Berry"/>
    <s v="Berry (3- cranberry)"/>
    <s v="Ground"/>
    <s v="NA"/>
    <m/>
    <m/>
    <m/>
    <s v="NA"/>
    <s v="NA"/>
    <s v="NA"/>
    <s v="NA"/>
    <s v="NA"/>
    <s v="NA"/>
    <s v="NA"/>
    <s v="NA"/>
    <n v="0"/>
    <n v="0"/>
    <n v="0"/>
    <n v="0"/>
    <n v="24"/>
    <m/>
    <n v="24"/>
    <s v="Searching"/>
    <m/>
    <m/>
    <m/>
  </r>
  <r>
    <s v="DSCN3321"/>
    <s v="MC0418_10"/>
    <n v="10"/>
    <n v="1"/>
    <x v="2"/>
    <d v="2019-04-18T00:00:00"/>
    <s v="April"/>
    <s v="Spring"/>
    <d v="1899-12-30T00:33:00"/>
    <d v="1899-12-30T00:00:33"/>
    <x v="8"/>
    <s v="Overcast"/>
    <x v="2"/>
    <s v="Foraging"/>
    <s v="NA"/>
    <n v="0"/>
    <n v="0"/>
    <n v="0"/>
    <m/>
    <s v="NA"/>
    <s v="NA"/>
    <s v="NA"/>
    <m/>
    <m/>
    <m/>
    <s v="NA"/>
    <s v="NA"/>
    <s v="NA"/>
    <s v="NA"/>
    <s v="NA"/>
    <s v="NA"/>
    <s v="NA"/>
    <s v="NA"/>
    <n v="0"/>
    <n v="0"/>
    <n v="0"/>
    <n v="0"/>
    <n v="24"/>
    <m/>
    <n v="24"/>
    <s v="Searching"/>
    <m/>
    <m/>
    <m/>
  </r>
  <r>
    <s v="DSCN3498"/>
    <s v="MC0424_12"/>
    <n v="12"/>
    <n v="1"/>
    <x v="2"/>
    <d v="2019-04-24T00:00:00"/>
    <s v="April"/>
    <s v="Spring"/>
    <d v="1899-12-30T00:41:00"/>
    <d v="1899-12-30T00:00:41"/>
    <x v="19"/>
    <s v="Partly cloudy"/>
    <x v="2"/>
    <s v="Food handling"/>
    <s v="NA"/>
    <n v="1"/>
    <n v="0"/>
    <n v="1"/>
    <s v="Unknown"/>
    <s v="unknown"/>
    <s v="unknown"/>
    <s v="Exterior spruce branch under bark"/>
    <s v="Spruce"/>
    <s v="Exterior"/>
    <s v="Under bark"/>
    <m/>
    <m/>
    <s v="unknown"/>
    <m/>
    <m/>
    <s v="NA"/>
    <s v="NA"/>
    <s v="NA"/>
    <n v="0"/>
    <n v="0"/>
    <n v="0"/>
    <n v="0"/>
    <n v="0"/>
    <m/>
    <n v="0"/>
    <m/>
    <s v="Had food at start of video.  Unclear where it got is from. "/>
    <m/>
    <m/>
  </r>
  <r>
    <s v="DSCN3503"/>
    <s v="MC0424_16"/>
    <n v="16"/>
    <n v="1"/>
    <x v="2"/>
    <d v="2019-04-24T00:00:00"/>
    <s v="April"/>
    <s v="Spring"/>
    <d v="1899-12-30T00:11:00"/>
    <d v="1899-12-30T00:00:11"/>
    <x v="11"/>
    <s v="Partly cloudy"/>
    <x v="2"/>
    <s v="Foraging"/>
    <s v="Aspen"/>
    <n v="1"/>
    <n v="0"/>
    <n v="0"/>
    <s v="Unknown"/>
    <s v="unknown"/>
    <s v="Aspen trunk under bark"/>
    <s v="NA"/>
    <m/>
    <m/>
    <m/>
    <s v="NA"/>
    <s v="NA"/>
    <s v="NA"/>
    <s v="NA"/>
    <s v="NA"/>
    <s v="NA"/>
    <s v="NA"/>
    <s v="NA"/>
    <n v="0"/>
    <n v="0"/>
    <n v="0"/>
    <n v="0"/>
    <n v="0"/>
    <m/>
    <n v="0"/>
    <m/>
    <s v="Missed acquisition"/>
    <m/>
    <m/>
  </r>
  <r>
    <s v="DSCN3493"/>
    <s v="MC0424_11"/>
    <n v="11"/>
    <n v="1"/>
    <x v="2"/>
    <d v="2019-04-24T00:00:00"/>
    <s v="April"/>
    <s v="Spring"/>
    <d v="1899-12-30T00:37:00"/>
    <d v="1899-12-30T00:00:37"/>
    <x v="34"/>
    <s v="Partly cloudy"/>
    <x v="2"/>
    <s v="Foraging"/>
    <s v="NA"/>
    <n v="1"/>
    <n v="0"/>
    <n v="0"/>
    <s v="Unknown"/>
    <s v="unknown"/>
    <s v="Ground"/>
    <s v="NA"/>
    <m/>
    <m/>
    <m/>
    <s v="NA"/>
    <s v="NA"/>
    <s v="NA"/>
    <s v="NA"/>
    <s v="NA"/>
    <s v="NA"/>
    <s v="NA"/>
    <s v="NA"/>
    <n v="0"/>
    <n v="0"/>
    <n v="0"/>
    <n v="0"/>
    <n v="35"/>
    <m/>
    <n v="35"/>
    <s v="Searching"/>
    <m/>
    <m/>
    <m/>
  </r>
  <r>
    <s v="DSCN3516"/>
    <s v="MC0424_23"/>
    <n v="23"/>
    <n v="1"/>
    <x v="2"/>
    <d v="2019-04-24T00:00:00"/>
    <s v="April"/>
    <s v="Spring"/>
    <d v="1899-12-30T01:02:00"/>
    <d v="1899-12-30T00:01:02"/>
    <x v="63"/>
    <s v="Partly cloudy"/>
    <x v="2"/>
    <s v="Foraging"/>
    <s v="NA"/>
    <n v="1"/>
    <n v="0"/>
    <n v="0"/>
    <s v="Unknown"/>
    <s v="unknown"/>
    <s v="Ground"/>
    <s v="NA"/>
    <m/>
    <m/>
    <m/>
    <s v="NA"/>
    <s v="NA"/>
    <s v="NA"/>
    <s v="NA"/>
    <s v="NA"/>
    <s v="NA"/>
    <s v="NA"/>
    <s v="NA"/>
    <n v="0"/>
    <n v="0"/>
    <n v="0"/>
    <n v="0"/>
    <n v="62"/>
    <m/>
    <n v="62"/>
    <s v="Searching"/>
    <m/>
    <m/>
    <m/>
  </r>
  <r>
    <s v="DSCN3486"/>
    <s v="MC0424_7"/>
    <n v="7"/>
    <n v="1"/>
    <x v="2"/>
    <d v="2019-04-24T00:00:00"/>
    <s v="April"/>
    <s v="Spring"/>
    <d v="1899-12-30T00:26:00"/>
    <d v="1899-12-30T00:00:26"/>
    <x v="44"/>
    <s v="Partly cloudy"/>
    <x v="2"/>
    <s v="Foraging"/>
    <s v="NA"/>
    <n v="1"/>
    <n v="0"/>
    <n v="0"/>
    <s v="Unknown"/>
    <s v="unknown"/>
    <s v="Ground"/>
    <s v="NA"/>
    <m/>
    <m/>
    <m/>
    <s v="NA"/>
    <s v="NA"/>
    <s v="NA"/>
    <s v="NA"/>
    <s v="NA"/>
    <s v="NA"/>
    <s v="NA"/>
    <s v="NA"/>
    <n v="0"/>
    <n v="0"/>
    <n v="0"/>
    <n v="0"/>
    <n v="23"/>
    <m/>
    <n v="23"/>
    <s v="Searching"/>
    <m/>
    <m/>
    <m/>
  </r>
  <r>
    <s v="DSCN3479"/>
    <s v="MC0424_3"/>
    <n v="3"/>
    <n v="1"/>
    <x v="2"/>
    <d v="2019-04-24T00:00:00"/>
    <s v="April"/>
    <s v="Spring"/>
    <d v="1899-12-30T00:27:00"/>
    <d v="1899-12-30T00:00:27"/>
    <x v="52"/>
    <s v="Partly cloudy"/>
    <x v="2"/>
    <s v="Foraging"/>
    <s v="NA"/>
    <n v="1"/>
    <s v="unknown"/>
    <n v="0"/>
    <s v="Unknown"/>
    <s v="unknown"/>
    <s v="Spruce"/>
    <s v="NA"/>
    <m/>
    <m/>
    <m/>
    <s v="NA"/>
    <s v="NA"/>
    <s v="NA"/>
    <s v="NA"/>
    <s v="NA"/>
    <s v="NA"/>
    <s v="NA"/>
    <s v="NA"/>
    <n v="20"/>
    <n v="0"/>
    <n v="20"/>
    <n v="0"/>
    <n v="0"/>
    <m/>
    <n v="20"/>
    <s v="Searching"/>
    <m/>
    <m/>
    <m/>
  </r>
  <r>
    <s v="DSCN3477"/>
    <s v="MC0424_1"/>
    <n v="1"/>
    <n v="1"/>
    <x v="2"/>
    <d v="2019-04-24T00:00:00"/>
    <s v="April"/>
    <s v="Spring"/>
    <d v="1899-12-30T00:13:00"/>
    <d v="1899-12-30T00:00:13"/>
    <x v="64"/>
    <s v="Partly cloudy"/>
    <x v="2"/>
    <s v="Foraging"/>
    <s v="Spruce"/>
    <n v="1"/>
    <n v="1"/>
    <n v="0"/>
    <s v="Unknown"/>
    <s v="unknown"/>
    <s v="Spruce trunk under bark"/>
    <s v="NA"/>
    <m/>
    <m/>
    <m/>
    <s v="NA"/>
    <s v="NA"/>
    <s v="NA"/>
    <s v="NA"/>
    <s v="NA"/>
    <n v="63.735790000000001"/>
    <n v="148.89839000000001"/>
    <s v="NA"/>
    <n v="13"/>
    <n v="0"/>
    <n v="13"/>
    <n v="0"/>
    <n v="0"/>
    <m/>
    <n v="13"/>
    <s v="Searching"/>
    <m/>
    <m/>
    <m/>
  </r>
  <r>
    <s v="DSCN3489"/>
    <s v="MC0424_8"/>
    <n v="8"/>
    <n v="1"/>
    <x v="2"/>
    <d v="2019-04-24T00:00:00"/>
    <s v="April"/>
    <s v="Spring"/>
    <d v="1899-12-30T00:20:00"/>
    <d v="1899-12-30T00:00:20"/>
    <x v="38"/>
    <s v="Partly cloudy"/>
    <x v="2"/>
    <s v="Foraging"/>
    <s v="Aspen"/>
    <n v="1"/>
    <s v="unknown"/>
    <n v="0"/>
    <s v="Unknown"/>
    <s v="unknown"/>
    <s v="Under bark of aspen trunk"/>
    <s v="NA"/>
    <m/>
    <m/>
    <m/>
    <s v="NA"/>
    <s v="NA"/>
    <s v="NA"/>
    <s v="NA"/>
    <s v="NA"/>
    <s v="NA"/>
    <s v="NA"/>
    <s v="NA"/>
    <n v="7"/>
    <n v="0"/>
    <n v="7"/>
    <n v="0"/>
    <n v="3"/>
    <m/>
    <n v="10"/>
    <s v="Probing"/>
    <m/>
    <n v="4"/>
    <n v="0"/>
  </r>
  <r>
    <s v="DSCN3522"/>
    <s v="MC0424_29"/>
    <n v="29"/>
    <n v="2"/>
    <x v="2"/>
    <d v="2019-04-24T00:00:00"/>
    <s v="April"/>
    <s v="Spring"/>
    <d v="1899-12-30T01:42:00"/>
    <d v="1899-12-30T00:01:42"/>
    <x v="65"/>
    <s v="Partly cloudy"/>
    <x v="2"/>
    <s v="Foraging"/>
    <s v="NA"/>
    <n v="2"/>
    <n v="0"/>
    <n v="0"/>
    <s v="Unknown"/>
    <s v="unknown"/>
    <s v="Ground"/>
    <s v="NA"/>
    <m/>
    <m/>
    <m/>
    <s v="NA"/>
    <s v="NA"/>
    <s v="NA"/>
    <s v="NA"/>
    <s v="NA"/>
    <s v="NA"/>
    <s v="NA"/>
    <s v="NA"/>
    <n v="0"/>
    <n v="0"/>
    <n v="0"/>
    <n v="0"/>
    <n v="77"/>
    <m/>
    <n v="77"/>
    <s v="Searching"/>
    <m/>
    <m/>
    <m/>
  </r>
  <r>
    <s v="DSCN3492"/>
    <s v="MC0424_10"/>
    <n v="10"/>
    <n v="1"/>
    <x v="2"/>
    <d v="2019-04-24T00:00:00"/>
    <s v="April"/>
    <s v="Spring"/>
    <d v="1899-12-30T01:31:00"/>
    <d v="1899-12-30T00:01:31"/>
    <x v="66"/>
    <s v="Partly cloudy"/>
    <x v="2"/>
    <s v="Foraging"/>
    <s v="NA"/>
    <n v="3"/>
    <n v="0"/>
    <n v="0"/>
    <s v="Unknown"/>
    <s v="unknown"/>
    <s v="Ground"/>
    <s v="NA"/>
    <m/>
    <m/>
    <m/>
    <s v="NA"/>
    <s v="NA"/>
    <s v="NA"/>
    <s v="NA"/>
    <s v="NA"/>
    <s v="NA"/>
    <s v="NA"/>
    <s v="NA"/>
    <n v="0"/>
    <n v="0"/>
    <n v="0"/>
    <n v="0"/>
    <n v="78"/>
    <m/>
    <n v="78"/>
    <s v="Searching"/>
    <m/>
    <m/>
    <m/>
  </r>
  <r>
    <s v="DSCN3522"/>
    <s v="MC0424_29"/>
    <n v="29"/>
    <n v="1"/>
    <x v="2"/>
    <d v="2019-04-24T00:00:00"/>
    <s v="April"/>
    <s v="Spring"/>
    <d v="1899-12-30T01:42:00"/>
    <d v="1899-12-30T00:01:42"/>
    <x v="65"/>
    <s v="Partly cloudy"/>
    <x v="2"/>
    <s v="Foraging/caching"/>
    <s v="Spruce"/>
    <n v="1"/>
    <n v="0"/>
    <n v="1"/>
    <s v="Insect"/>
    <s v="Insect (Black caterpiller)"/>
    <s v="Ground"/>
    <s v="Exterior spruce branch"/>
    <s v="Spruce"/>
    <s v="Exterior"/>
    <s v="On branch"/>
    <s v="E"/>
    <n v="80"/>
    <n v="9"/>
    <n v="63.73518"/>
    <n v="148.90012999999999"/>
    <s v="NA"/>
    <s v="NA"/>
    <s v="NA"/>
    <n v="0"/>
    <n v="0"/>
    <n v="0"/>
    <n v="0"/>
    <n v="6"/>
    <m/>
    <n v="6"/>
    <s v="Searching"/>
    <s v="Placed camera on CT"/>
    <m/>
    <m/>
  </r>
  <r>
    <s v="DSCN3478"/>
    <s v="MC0424_2"/>
    <n v="2"/>
    <n v="1"/>
    <x v="2"/>
    <d v="2019-04-24T00:00:00"/>
    <s v="April"/>
    <s v="Spring"/>
    <d v="1899-12-30T00:18:00"/>
    <d v="1899-12-30T00:00:18"/>
    <x v="13"/>
    <s v="Partly cloudy"/>
    <x v="2"/>
    <s v="Foraging"/>
    <s v="NA"/>
    <n v="1"/>
    <n v="0"/>
    <n v="0"/>
    <s v="Berry"/>
    <s v="Berry (cranberry)"/>
    <s v="Ground"/>
    <s v="NA"/>
    <m/>
    <m/>
    <m/>
    <s v="NA"/>
    <s v="NA"/>
    <s v="NA"/>
    <s v="NA"/>
    <s v="NA"/>
    <s v="NA"/>
    <s v="NA"/>
    <s v="NA"/>
    <n v="0"/>
    <n v="0"/>
    <n v="0"/>
    <n v="0"/>
    <n v="7"/>
    <m/>
    <n v="7"/>
    <s v="Searching"/>
    <m/>
    <m/>
    <m/>
  </r>
  <r>
    <s v="DSCN3512"/>
    <s v="MC0424_20"/>
    <n v="20"/>
    <n v="1"/>
    <x v="2"/>
    <d v="2019-04-24T00:00:00"/>
    <s v="April"/>
    <s v="Spring"/>
    <d v="1899-12-30T00:32:00"/>
    <d v="1899-12-30T00:00:32"/>
    <x v="21"/>
    <s v="Partly cloudy"/>
    <x v="2"/>
    <s v="Foraging"/>
    <s v="NA"/>
    <n v="0"/>
    <n v="0"/>
    <n v="0"/>
    <m/>
    <s v="NA"/>
    <s v="NA"/>
    <s v="NA"/>
    <m/>
    <m/>
    <m/>
    <s v="NA"/>
    <s v="NA"/>
    <s v="NA"/>
    <s v="NA"/>
    <s v="NA"/>
    <s v="NA"/>
    <s v="NA"/>
    <s v="NA"/>
    <n v="0"/>
    <n v="0"/>
    <n v="0"/>
    <n v="0"/>
    <n v="11"/>
    <m/>
    <n v="11"/>
    <s v="Searching"/>
    <m/>
    <m/>
    <m/>
  </r>
  <r>
    <s v="DSCN3491"/>
    <s v="MC0424_9"/>
    <n v="9"/>
    <n v="1"/>
    <x v="2"/>
    <d v="2019-04-24T00:00:00"/>
    <s v="April"/>
    <s v="Spring"/>
    <d v="1899-12-30T00:20:00"/>
    <d v="1899-12-30T00:00:20"/>
    <x v="38"/>
    <s v="Partly cloudy"/>
    <x v="2"/>
    <s v="Foraging"/>
    <s v="NA"/>
    <n v="0"/>
    <n v="0"/>
    <n v="0"/>
    <m/>
    <s v="NA"/>
    <s v="NA"/>
    <s v="NA"/>
    <m/>
    <m/>
    <m/>
    <s v="NA"/>
    <s v="NA"/>
    <s v="NA"/>
    <s v="NA"/>
    <s v="NA"/>
    <s v="NA"/>
    <s v="NA"/>
    <s v="NA"/>
    <n v="0"/>
    <n v="0"/>
    <n v="0"/>
    <n v="0"/>
    <n v="20"/>
    <m/>
    <n v="20"/>
    <m/>
    <m/>
    <m/>
    <m/>
  </r>
  <r>
    <s v="DSCN3284"/>
    <s v="MC0418_3"/>
    <n v="3"/>
    <n v="1"/>
    <x v="2"/>
    <d v="2019-04-18T00:00:00"/>
    <s v="April"/>
    <s v="Spring"/>
    <d v="1899-12-30T00:26:00"/>
    <d v="1899-12-30T00:00:26"/>
    <x v="44"/>
    <s v="Overcast"/>
    <x v="2"/>
    <s v="Foraging"/>
    <s v="Spruce"/>
    <s v="unknown"/>
    <s v="unknown"/>
    <n v="0"/>
    <m/>
    <s v="NA"/>
    <s v="NA"/>
    <s v="NA"/>
    <m/>
    <m/>
    <m/>
    <s v="NA"/>
    <s v="NA"/>
    <s v="NA"/>
    <s v="NA"/>
    <s v="NA"/>
    <s v="NA"/>
    <s v="NA"/>
    <s v="NA"/>
    <n v="26"/>
    <n v="0"/>
    <n v="26"/>
    <n v="0"/>
    <n v="0"/>
    <m/>
    <n v="26"/>
    <s v="Probing"/>
    <m/>
    <n v="1"/>
    <n v="0"/>
  </r>
  <r>
    <s v="DSCN3307"/>
    <s v="MC0418_8"/>
    <n v="8"/>
    <n v="1"/>
    <x v="2"/>
    <d v="2019-04-18T00:00:00"/>
    <s v="April"/>
    <s v="Spring"/>
    <d v="1899-12-30T00:31:00"/>
    <d v="1899-12-30T00:00:31"/>
    <x v="45"/>
    <s v="Overcast"/>
    <x v="2"/>
    <s v="Foraging"/>
    <s v="NA"/>
    <s v="unknown"/>
    <n v="0"/>
    <n v="0"/>
    <m/>
    <s v="NA"/>
    <s v="NA"/>
    <s v="NA"/>
    <m/>
    <m/>
    <m/>
    <s v="NA"/>
    <s v="NA"/>
    <s v="NA"/>
    <s v="NA"/>
    <s v="NA"/>
    <s v="NA"/>
    <s v="NA"/>
    <s v="NA"/>
    <n v="0"/>
    <n v="0"/>
    <n v="0"/>
    <n v="0"/>
    <n v="18"/>
    <m/>
    <n v="18"/>
    <s v="Searching"/>
    <m/>
    <m/>
    <m/>
  </r>
  <r>
    <s v="DSCN3308"/>
    <s v="MC0418_9"/>
    <n v="9"/>
    <n v="1"/>
    <x v="2"/>
    <d v="2019-04-18T00:00:00"/>
    <s v="April"/>
    <s v="Spring"/>
    <d v="1899-12-30T00:17:00"/>
    <d v="1899-12-30T00:00:17"/>
    <x v="12"/>
    <s v="Overcast"/>
    <x v="2"/>
    <s v="Foraging"/>
    <s v="NA"/>
    <s v="unknown"/>
    <n v="0"/>
    <n v="0"/>
    <m/>
    <s v="NA"/>
    <s v="NA"/>
    <s v="NA"/>
    <m/>
    <m/>
    <m/>
    <s v="NA"/>
    <s v="NA"/>
    <s v="NA"/>
    <s v="NA"/>
    <s v="NA"/>
    <s v="NA"/>
    <s v="NA"/>
    <s v="NA"/>
    <n v="0"/>
    <n v="0"/>
    <n v="0"/>
    <n v="0"/>
    <n v="13"/>
    <m/>
    <n v="13"/>
    <s v="Searching"/>
    <m/>
    <m/>
    <m/>
  </r>
  <r>
    <s v="DSCN3499"/>
    <s v="MC0424_13"/>
    <n v="13"/>
    <n v="1"/>
    <x v="2"/>
    <d v="2019-04-24T00:00:00"/>
    <s v="April"/>
    <s v="Spring"/>
    <d v="1899-12-30T00:13:00"/>
    <d v="1899-12-30T00:00:13"/>
    <x v="64"/>
    <s v="Partly cloudy"/>
    <x v="2"/>
    <s v="Foraging"/>
    <s v="Aspen"/>
    <s v="unknown"/>
    <s v="unknown"/>
    <n v="0"/>
    <m/>
    <s v="NA"/>
    <s v="NA"/>
    <s v="NA"/>
    <m/>
    <m/>
    <m/>
    <s v="NA"/>
    <s v="NA"/>
    <s v="NA"/>
    <s v="NA"/>
    <s v="NA"/>
    <s v="NA"/>
    <s v="NA"/>
    <s v="NA"/>
    <n v="4"/>
    <n v="0"/>
    <n v="0"/>
    <n v="4"/>
    <n v="0"/>
    <m/>
    <n v="4"/>
    <s v="Probing"/>
    <m/>
    <n v="1"/>
    <n v="0"/>
  </r>
  <r>
    <s v="DSCN3506"/>
    <s v="MC0424_17"/>
    <n v="17"/>
    <n v="1"/>
    <x v="2"/>
    <d v="2019-04-24T00:00:00"/>
    <s v="April"/>
    <s v="Spring"/>
    <d v="1899-12-30T00:39:00"/>
    <d v="1899-12-30T00:00:39"/>
    <x v="1"/>
    <s v="Partly cloudy"/>
    <x v="2"/>
    <s v="Foraging"/>
    <s v="NA"/>
    <s v="unknown"/>
    <n v="0"/>
    <n v="0"/>
    <m/>
    <s v="NA"/>
    <s v="NA"/>
    <s v="NA"/>
    <m/>
    <m/>
    <m/>
    <s v="NA"/>
    <s v="NA"/>
    <s v="NA"/>
    <s v="NA"/>
    <s v="NA"/>
    <s v="NA"/>
    <s v="NA"/>
    <s v="NA"/>
    <n v="0"/>
    <n v="0"/>
    <n v="0"/>
    <n v="0"/>
    <n v="35"/>
    <m/>
    <n v="35"/>
    <s v="Searching"/>
    <m/>
    <m/>
    <m/>
  </r>
  <r>
    <s v="DSCN3507"/>
    <s v="MC0424_18"/>
    <n v="18"/>
    <n v="1"/>
    <x v="2"/>
    <d v="2019-04-24T00:00:00"/>
    <s v="April"/>
    <s v="Spring"/>
    <d v="1899-12-30T00:27:00"/>
    <d v="1899-12-30T00:00:27"/>
    <x v="52"/>
    <s v="Partly cloudy"/>
    <x v="2"/>
    <s v="Foraging"/>
    <s v="NA"/>
    <s v="unknown"/>
    <n v="0"/>
    <n v="0"/>
    <m/>
    <s v="NA"/>
    <s v="NA"/>
    <s v="NA"/>
    <m/>
    <m/>
    <m/>
    <s v="NA"/>
    <s v="NA"/>
    <s v="NA"/>
    <s v="NA"/>
    <s v="NA"/>
    <s v="NA"/>
    <s v="NA"/>
    <s v="NA"/>
    <n v="0"/>
    <n v="0"/>
    <n v="0"/>
    <n v="0"/>
    <n v="27"/>
    <m/>
    <n v="27"/>
    <s v="Searching"/>
    <m/>
    <m/>
    <m/>
  </r>
  <r>
    <s v="DSCN3511"/>
    <s v="MC0424_19"/>
    <n v="19"/>
    <n v="1"/>
    <x v="2"/>
    <d v="2019-04-24T00:00:00"/>
    <s v="April"/>
    <s v="Spring"/>
    <d v="1899-12-30T01:11:00"/>
    <d v="1899-12-30T00:01:01"/>
    <x v="6"/>
    <s v="Partly cloudy"/>
    <x v="2"/>
    <s v="Foraging"/>
    <s v="NA"/>
    <s v="unknown"/>
    <n v="0"/>
    <n v="0"/>
    <m/>
    <s v="NA"/>
    <s v="NA"/>
    <s v="NA"/>
    <m/>
    <m/>
    <m/>
    <s v="NA"/>
    <s v="NA"/>
    <s v="NA"/>
    <s v="NA"/>
    <s v="NA"/>
    <s v="NA"/>
    <s v="NA"/>
    <s v="NA"/>
    <n v="0"/>
    <n v="0"/>
    <n v="0"/>
    <n v="0"/>
    <n v="4"/>
    <m/>
    <n v="4"/>
    <s v="Searching"/>
    <m/>
    <m/>
    <m/>
  </r>
  <r>
    <s v="DSCN3514"/>
    <s v="MC0424_21"/>
    <n v="21"/>
    <n v="1"/>
    <x v="2"/>
    <d v="2019-04-24T00:00:00"/>
    <s v="April"/>
    <s v="Spring"/>
    <d v="1899-12-30T00:47:00"/>
    <d v="1899-12-30T00:00:47"/>
    <x v="22"/>
    <s v="Partly cloudy"/>
    <x v="2"/>
    <s v="Foraging"/>
    <s v="NA"/>
    <s v="unknown"/>
    <n v="0"/>
    <n v="0"/>
    <m/>
    <s v="NA"/>
    <s v="NA"/>
    <s v="NA"/>
    <m/>
    <m/>
    <m/>
    <s v="NA"/>
    <s v="NA"/>
    <s v="NA"/>
    <s v="NA"/>
    <s v="NA"/>
    <s v="NA"/>
    <s v="NA"/>
    <s v="NA"/>
    <n v="0"/>
    <n v="0"/>
    <n v="0"/>
    <n v="0"/>
    <n v="47"/>
    <m/>
    <n v="47"/>
    <s v="Searching"/>
    <m/>
    <m/>
    <m/>
  </r>
  <r>
    <s v="DSCN3515"/>
    <s v="MC0424_22"/>
    <n v="22"/>
    <n v="1"/>
    <x v="2"/>
    <d v="2019-04-24T00:00:00"/>
    <s v="April"/>
    <s v="Spring"/>
    <d v="1899-12-30T00:08:00"/>
    <d v="1899-12-30T00:00:08"/>
    <x v="67"/>
    <s v="Partly cloudy"/>
    <x v="2"/>
    <s v="Foraging"/>
    <s v="NA"/>
    <s v="unknown"/>
    <n v="0"/>
    <n v="0"/>
    <m/>
    <s v="NA"/>
    <s v="NA"/>
    <s v="NA"/>
    <m/>
    <m/>
    <m/>
    <s v="NA"/>
    <s v="NA"/>
    <s v="NA"/>
    <s v="NA"/>
    <s v="NA"/>
    <s v="NA"/>
    <s v="NA"/>
    <s v="NA"/>
    <n v="0"/>
    <n v="0"/>
    <n v="0"/>
    <n v="0"/>
    <n v="8"/>
    <m/>
    <n v="8"/>
    <s v="Searching"/>
    <m/>
    <m/>
    <m/>
  </r>
  <r>
    <s v="DSCN3517"/>
    <s v="MC0424_24"/>
    <n v="24"/>
    <n v="1"/>
    <x v="2"/>
    <d v="2019-04-24T00:00:00"/>
    <s v="April"/>
    <s v="Spring"/>
    <d v="1899-12-30T00:41:00"/>
    <d v="1899-12-30T00:00:41"/>
    <x v="19"/>
    <s v="Partly cloudy"/>
    <x v="2"/>
    <s v="Foraging"/>
    <s v="NA"/>
    <s v="unknown"/>
    <n v="0"/>
    <n v="0"/>
    <m/>
    <s v="NA"/>
    <s v="NA"/>
    <s v="NA"/>
    <m/>
    <m/>
    <m/>
    <s v="NA"/>
    <s v="NA"/>
    <s v="NA"/>
    <s v="NA"/>
    <s v="NA"/>
    <s v="NA"/>
    <s v="NA"/>
    <s v="NA"/>
    <n v="0"/>
    <n v="0"/>
    <n v="0"/>
    <n v="0"/>
    <n v="41"/>
    <m/>
    <n v="41"/>
    <s v="Searching"/>
    <m/>
    <m/>
    <m/>
  </r>
  <r>
    <s v="DSCN3518"/>
    <s v="MC0424_25"/>
    <n v="25"/>
    <n v="1"/>
    <x v="2"/>
    <d v="2019-04-24T00:00:00"/>
    <s v="April"/>
    <s v="Spring"/>
    <d v="1899-12-30T00:32:00"/>
    <d v="1899-12-30T00:00:32"/>
    <x v="21"/>
    <s v="Partly cloudy"/>
    <x v="2"/>
    <s v="Foraging"/>
    <s v="NA"/>
    <s v="unknown"/>
    <n v="0"/>
    <n v="0"/>
    <m/>
    <s v="NA"/>
    <s v="NA"/>
    <s v="NA"/>
    <m/>
    <m/>
    <m/>
    <s v="NA"/>
    <s v="NA"/>
    <s v="NA"/>
    <s v="NA"/>
    <s v="NA"/>
    <s v="NA"/>
    <s v="NA"/>
    <s v="NA"/>
    <n v="0"/>
    <n v="0"/>
    <n v="0"/>
    <n v="0"/>
    <n v="28"/>
    <m/>
    <n v="28"/>
    <s v="Searching"/>
    <m/>
    <m/>
    <m/>
  </r>
  <r>
    <s v="DSCN3447"/>
    <s v="SQ0422_5"/>
    <n v="5"/>
    <n v="2"/>
    <x v="3"/>
    <d v="2019-04-22T00:00:00"/>
    <s v="April"/>
    <s v="Spring"/>
    <d v="1899-12-30T00:32:00"/>
    <d v="1899-12-30T00:00:32"/>
    <x v="21"/>
    <s v="Partly cloudy"/>
    <x v="3"/>
    <s v="Foraging"/>
    <s v="Alder"/>
    <n v="1"/>
    <n v="0"/>
    <n v="0"/>
    <s v="Unknown"/>
    <s v="unknown (Probably B&amp;Ugs)"/>
    <s v="Alder leaf"/>
    <s v="NA"/>
    <m/>
    <m/>
    <m/>
    <s v="NA"/>
    <s v="NA"/>
    <s v="NA"/>
    <s v="NA"/>
    <s v="NA"/>
    <s v="NA"/>
    <s v="NA"/>
    <s v="NA"/>
    <n v="0"/>
    <n v="7"/>
    <n v="0"/>
    <n v="7"/>
    <n v="7"/>
    <m/>
    <n v="14"/>
    <s v="Searching"/>
    <m/>
    <m/>
    <m/>
  </r>
  <r>
    <s v="DSCN3443"/>
    <s v="SQ0422_3"/>
    <n v="3"/>
    <n v="1"/>
    <x v="3"/>
    <d v="2019-04-22T00:00:00"/>
    <s v="April"/>
    <s v="Spring"/>
    <d v="1899-12-30T00:34:00"/>
    <d v="1899-12-30T00:00:34"/>
    <x v="18"/>
    <s v="Partly cloudy"/>
    <x v="3"/>
    <s v="Foraging"/>
    <s v="NA"/>
    <n v="1"/>
    <n v="0"/>
    <n v="0"/>
    <s v="Unknown"/>
    <s v="unknown"/>
    <s v="Ground"/>
    <s v="NA"/>
    <m/>
    <m/>
    <m/>
    <s v="NA"/>
    <s v="NA"/>
    <s v="NA"/>
    <s v="NA"/>
    <s v="NA"/>
    <s v="NA"/>
    <s v="NA"/>
    <s v="NA"/>
    <n v="0"/>
    <n v="0"/>
    <n v="0"/>
    <n v="0"/>
    <n v="3"/>
    <m/>
    <n v="3"/>
    <s v="Searching"/>
    <m/>
    <m/>
    <m/>
  </r>
  <r>
    <s v="DSCN3445"/>
    <s v="SQ0422_4"/>
    <n v="4"/>
    <n v="1"/>
    <x v="3"/>
    <d v="2019-04-22T00:00:00"/>
    <s v="April"/>
    <s v="Spring"/>
    <d v="1899-12-30T00:28:00"/>
    <d v="1899-12-30T00:00:28"/>
    <x v="68"/>
    <s v="Partly cloudy"/>
    <x v="3"/>
    <s v="Foraging"/>
    <s v="NA"/>
    <n v="1"/>
    <n v="0"/>
    <n v="0"/>
    <s v="Unknown"/>
    <s v="unknown"/>
    <s v="Ground"/>
    <s v="NA"/>
    <m/>
    <m/>
    <m/>
    <s v="NA"/>
    <s v="NA"/>
    <s v="NA"/>
    <s v="NA"/>
    <s v="NA"/>
    <s v="NA"/>
    <s v="NA"/>
    <s v="NA"/>
    <n v="0"/>
    <n v="0"/>
    <n v="0"/>
    <n v="0"/>
    <n v="24"/>
    <m/>
    <n v="24"/>
    <s v="Searching"/>
    <m/>
    <m/>
    <m/>
  </r>
  <r>
    <s v="DSCN3449"/>
    <s v="SQ0422_7"/>
    <n v="7"/>
    <n v="1"/>
    <x v="3"/>
    <d v="2019-04-22T00:00:00"/>
    <s v="April"/>
    <s v="Spring"/>
    <d v="1899-12-30T00:30:00"/>
    <d v="1899-12-30T00:00:30"/>
    <x v="69"/>
    <s v="Partly cloudy"/>
    <x v="3"/>
    <s v="Foraging"/>
    <s v="NA"/>
    <n v="1"/>
    <n v="0"/>
    <n v="0"/>
    <s v="Unknown"/>
    <s v="unknown"/>
    <s v="Ground"/>
    <s v="NA"/>
    <m/>
    <m/>
    <m/>
    <s v="NA"/>
    <s v="NA"/>
    <s v="NA"/>
    <s v="NA"/>
    <s v="NA"/>
    <s v="NA"/>
    <s v="NA"/>
    <s v="NA"/>
    <n v="0"/>
    <n v="0"/>
    <n v="0"/>
    <n v="0"/>
    <n v="30"/>
    <m/>
    <n v="30"/>
    <s v="Searching"/>
    <m/>
    <m/>
    <m/>
  </r>
  <r>
    <s v="DSCN3451"/>
    <s v="SQ0422_9"/>
    <n v="9"/>
    <n v="1"/>
    <x v="3"/>
    <d v="2019-04-22T00:00:00"/>
    <s v="April"/>
    <s v="Spring"/>
    <d v="1899-12-30T01:06:00"/>
    <d v="1899-12-30T00:01:06"/>
    <x v="70"/>
    <s v="Partly cloudy"/>
    <x v="3"/>
    <s v="Foraging"/>
    <s v="NA"/>
    <n v="1"/>
    <n v="0"/>
    <n v="0"/>
    <s v="Unknown"/>
    <s v="unknown"/>
    <s v="Ground"/>
    <s v="NA"/>
    <m/>
    <m/>
    <m/>
    <s v="NA"/>
    <s v="NA"/>
    <s v="NA"/>
    <s v="NA"/>
    <s v="NA"/>
    <s v="NA"/>
    <s v="NA"/>
    <s v="NA"/>
    <n v="0"/>
    <n v="0"/>
    <n v="0"/>
    <n v="0"/>
    <n v="66"/>
    <m/>
    <n v="66"/>
    <s v="Searching"/>
    <m/>
    <m/>
    <m/>
  </r>
  <r>
    <s v="DSCN3342"/>
    <s v="SQ0422_2"/>
    <n v="2"/>
    <n v="1"/>
    <x v="3"/>
    <d v="2019-04-22T00:00:00"/>
    <s v="April"/>
    <s v="Spring"/>
    <d v="1899-12-30T00:27:00"/>
    <d v="1899-12-30T00:00:27"/>
    <x v="52"/>
    <s v="Partly cloudy"/>
    <x v="3"/>
    <s v="Foraging"/>
    <s v="NA"/>
    <n v="1"/>
    <n v="0"/>
    <n v="0"/>
    <s v="Insect"/>
    <s v="Insect (grub/caterpillar)"/>
    <s v="Ground"/>
    <s v="NA"/>
    <m/>
    <m/>
    <m/>
    <s v="NA"/>
    <s v="NA"/>
    <s v="NA"/>
    <s v="NA"/>
    <s v="NA"/>
    <s v="NA"/>
    <s v="NA"/>
    <s v="NA"/>
    <n v="0"/>
    <n v="0"/>
    <n v="0"/>
    <n v="0"/>
    <n v="17"/>
    <m/>
    <n v="17"/>
    <s v="Searching"/>
    <m/>
    <m/>
    <m/>
  </r>
  <r>
    <s v="DSCN3445"/>
    <s v="SQ0422_4"/>
    <n v="4"/>
    <n v="2"/>
    <x v="3"/>
    <d v="2019-04-22T00:00:00"/>
    <s v="April"/>
    <s v="Spring"/>
    <d v="1899-12-30T00:28:00"/>
    <d v="1899-12-30T00:00:28"/>
    <x v="68"/>
    <s v="Partly cloudy"/>
    <x v="3"/>
    <s v="Foraging"/>
    <s v="NA"/>
    <n v="1"/>
    <n v="0"/>
    <n v="0"/>
    <s v="Insect"/>
    <s v="Insect (grub/caterpillar)"/>
    <s v="Ground"/>
    <s v="NA"/>
    <m/>
    <m/>
    <m/>
    <s v="NA"/>
    <s v="NA"/>
    <s v="NA"/>
    <s v="NA"/>
    <s v="NA"/>
    <s v="NA"/>
    <s v="NA"/>
    <s v="NA"/>
    <n v="0"/>
    <n v="0"/>
    <n v="0"/>
    <n v="0"/>
    <n v="2"/>
    <m/>
    <n v="2"/>
    <s v="Searching"/>
    <m/>
    <m/>
    <m/>
  </r>
  <r>
    <s v="DSCN3447"/>
    <s v="SQ0422_5"/>
    <n v="5"/>
    <n v="1"/>
    <x v="3"/>
    <d v="2019-04-22T00:00:00"/>
    <s v="April"/>
    <s v="Spring"/>
    <d v="1899-12-30T00:32:00"/>
    <d v="1899-12-30T00:00:32"/>
    <x v="21"/>
    <s v="Partly cloudy"/>
    <x v="3"/>
    <s v="Foraging"/>
    <s v="NA"/>
    <n v="1"/>
    <n v="0"/>
    <n v="0"/>
    <s v="Insect"/>
    <s v="Insect (caterpiller)"/>
    <s v="Ground"/>
    <s v="NA"/>
    <m/>
    <m/>
    <m/>
    <s v="NA"/>
    <s v="NA"/>
    <s v="NA"/>
    <s v="NA"/>
    <s v="NA"/>
    <s v="NA"/>
    <s v="NA"/>
    <s v="NA"/>
    <n v="0"/>
    <n v="0"/>
    <n v="0"/>
    <n v="0"/>
    <n v="0"/>
    <m/>
    <n v="0"/>
    <m/>
    <s v="Missed acquisition"/>
    <m/>
    <m/>
  </r>
  <r>
    <s v="DSCN3448"/>
    <s v="SQ0422_6"/>
    <n v="6"/>
    <n v="1"/>
    <x v="3"/>
    <d v="2019-04-22T00:00:00"/>
    <s v="April"/>
    <s v="Spring"/>
    <d v="1899-12-30T00:25:00"/>
    <d v="1899-12-30T00:00:25"/>
    <x v="15"/>
    <s v="Partly cloudy"/>
    <x v="3"/>
    <s v="Food handling"/>
    <s v="NA"/>
    <n v="0"/>
    <n v="0"/>
    <n v="0"/>
    <m/>
    <s v="NA"/>
    <s v="NA"/>
    <s v="NA"/>
    <m/>
    <m/>
    <m/>
    <s v="NA"/>
    <s v="NA"/>
    <s v="NA"/>
    <s v="NA"/>
    <s v="NA"/>
    <s v="NA"/>
    <s v="NA"/>
    <s v="NA"/>
    <n v="0"/>
    <n v="0"/>
    <n v="0"/>
    <n v="0"/>
    <n v="0"/>
    <m/>
    <n v="0"/>
    <m/>
    <s v="Manipulating the food it had already gathered"/>
    <m/>
    <m/>
  </r>
  <r>
    <s v="dscn3437"/>
    <s v="SQ0422_1"/>
    <n v="1"/>
    <n v="1"/>
    <x v="3"/>
    <d v="2019-04-22T00:00:00"/>
    <s v="April"/>
    <s v="Spring"/>
    <d v="1899-12-30T00:20:00"/>
    <d v="1899-12-30T00:00:20"/>
    <x v="38"/>
    <s v="Partly cloudy"/>
    <x v="3"/>
    <s v="Foraging"/>
    <s v="NA"/>
    <s v="unknown"/>
    <n v="0"/>
    <n v="0"/>
    <m/>
    <s v="NA"/>
    <s v="NA"/>
    <s v="NA"/>
    <m/>
    <m/>
    <m/>
    <s v="NA"/>
    <s v="NA"/>
    <s v="NA"/>
    <s v="NA"/>
    <s v="NA"/>
    <s v="NA"/>
    <s v="NA"/>
    <s v="NA"/>
    <n v="0"/>
    <n v="0"/>
    <n v="0"/>
    <n v="0"/>
    <n v="20"/>
    <m/>
    <n v="20"/>
    <s v="Searching"/>
    <m/>
    <m/>
    <m/>
  </r>
  <r>
    <s v="DSCN3452"/>
    <s v="SQ0422_10"/>
    <n v="10"/>
    <n v="1"/>
    <x v="3"/>
    <d v="2019-04-22T00:00:00"/>
    <s v="April"/>
    <s v="Spring"/>
    <d v="1899-12-30T01:38:00"/>
    <d v="1899-12-30T00:01:38"/>
    <x v="7"/>
    <s v="Partly cloudy"/>
    <x v="3"/>
    <s v="Foraging"/>
    <s v="NA"/>
    <s v="unknown"/>
    <n v="0"/>
    <n v="0"/>
    <m/>
    <s v="NA"/>
    <s v="NA"/>
    <s v="NA"/>
    <m/>
    <m/>
    <m/>
    <s v="NA"/>
    <s v="NA"/>
    <s v="NA"/>
    <s v="NA"/>
    <s v="NA"/>
    <s v="NA"/>
    <s v="NA"/>
    <s v="NA"/>
    <n v="0"/>
    <n v="0"/>
    <n v="0"/>
    <n v="0"/>
    <n v="98"/>
    <m/>
    <n v="98"/>
    <s v="Searching"/>
    <m/>
    <m/>
    <m/>
  </r>
  <r>
    <s v="DSCN3453"/>
    <s v="SQ0422_11"/>
    <n v="11"/>
    <n v="1"/>
    <x v="3"/>
    <d v="2019-04-22T00:00:00"/>
    <s v="April"/>
    <s v="Spring"/>
    <d v="1899-12-30T00:38:00"/>
    <d v="1899-12-30T00:00:38"/>
    <x v="55"/>
    <s v="Partly cloudy"/>
    <x v="3"/>
    <s v="Foraging"/>
    <s v="NA"/>
    <s v="unknown"/>
    <n v="0"/>
    <n v="0"/>
    <m/>
    <s v="NA"/>
    <s v="NA"/>
    <s v="NA"/>
    <m/>
    <m/>
    <m/>
    <s v="NA"/>
    <s v="NA"/>
    <s v="NA"/>
    <s v="NA"/>
    <s v="NA"/>
    <s v="NA"/>
    <s v="NA"/>
    <s v="NA"/>
    <n v="0"/>
    <n v="0"/>
    <n v="0"/>
    <n v="0"/>
    <n v="38"/>
    <m/>
    <n v="38"/>
    <s v="Searching"/>
    <m/>
    <m/>
    <m/>
  </r>
  <r>
    <s v="DSCN3447"/>
    <s v="SQ0422_5"/>
    <n v="5"/>
    <n v="3"/>
    <x v="3"/>
    <d v="2019-04-22T00:00:00"/>
    <s v="April"/>
    <s v="Spring"/>
    <d v="1899-12-30T00:32:00"/>
    <d v="1899-12-30T00:00:32"/>
    <x v="21"/>
    <s v="Partly cloudy"/>
    <x v="3"/>
    <s v="Foraging"/>
    <s v="NA"/>
    <s v="unknown"/>
    <n v="0"/>
    <n v="0"/>
    <m/>
    <s v="NA"/>
    <s v="NA"/>
    <s v="NA"/>
    <m/>
    <m/>
    <m/>
    <s v="NA"/>
    <s v="NA"/>
    <s v="NA"/>
    <s v="NA"/>
    <s v="NA"/>
    <s v="NA"/>
    <s v="NA"/>
    <s v="NA"/>
    <n v="0"/>
    <n v="0"/>
    <n v="0"/>
    <n v="0"/>
    <n v="18"/>
    <m/>
    <n v="18"/>
    <s v="Searching"/>
    <s v="once it drops to the ground it looks like it has another B&amp;Uggy thing, B&amp;Ut maybe same thing from before? "/>
    <m/>
    <m/>
  </r>
  <r>
    <s v="DSCN3450"/>
    <s v="SQ0422_8"/>
    <n v="8"/>
    <n v="1"/>
    <x v="3"/>
    <d v="2019-04-22T00:00:00"/>
    <s v="April"/>
    <s v="Spring"/>
    <d v="1899-12-30T00:24:00"/>
    <d v="1899-12-30T00:00:24"/>
    <x v="71"/>
    <s v="Partly cloudy"/>
    <x v="3"/>
    <s v="Foraging"/>
    <s v="NA"/>
    <s v="unknown"/>
    <n v="0"/>
    <n v="0"/>
    <m/>
    <s v="NA"/>
    <s v="NA"/>
    <s v="NA"/>
    <m/>
    <m/>
    <m/>
    <s v="NA"/>
    <s v="NA"/>
    <s v="NA"/>
    <s v="NA"/>
    <s v="NA"/>
    <s v="NA"/>
    <s v="NA"/>
    <s v="NA"/>
    <n v="0"/>
    <n v="0"/>
    <n v="0"/>
    <n v="0"/>
    <n v="24"/>
    <m/>
    <n v="24"/>
    <s v="Searching"/>
    <m/>
    <m/>
    <m/>
  </r>
  <r>
    <s v="DSCN2809"/>
    <s v="CC0402_4"/>
    <n v="4"/>
    <n v="1"/>
    <x v="4"/>
    <d v="2019-04-02T00:00:00"/>
    <s v="April"/>
    <s v="Spring"/>
    <d v="1899-12-30T00:27:00"/>
    <d v="1899-12-30T00:00:27"/>
    <x v="52"/>
    <m/>
    <x v="4"/>
    <s v="Caching"/>
    <s v="Spruce"/>
    <n v="1"/>
    <n v="0"/>
    <n v="1"/>
    <s v="Unknown"/>
    <s v="unknown"/>
    <s v="Ground"/>
    <s v="Exterior spruce foliage"/>
    <s v="Spruce"/>
    <s v="Exterior"/>
    <s v="Foliage"/>
    <s v="SE"/>
    <n v="115"/>
    <n v="21"/>
    <n v="63.724209999999999"/>
    <n v="148.95044999999999"/>
    <s v="NA"/>
    <s v="NA"/>
    <m/>
    <n v="0"/>
    <n v="0"/>
    <n v="0"/>
    <n v="0"/>
    <n v="0"/>
    <m/>
    <n v="0"/>
    <m/>
    <s v="Missed acquisition (on camera B&amp;Ut saw IRL)"/>
    <m/>
    <m/>
  </r>
  <r>
    <s v="DSCN2802"/>
    <s v="CC0402_1"/>
    <n v="1"/>
    <n v="1"/>
    <x v="4"/>
    <d v="2019-04-02T00:00:00"/>
    <s v="April"/>
    <s v="Spring"/>
    <d v="1899-12-30T00:42:00"/>
    <d v="1899-12-30T00:00:42"/>
    <x v="26"/>
    <m/>
    <x v="4"/>
    <s v="Foraging"/>
    <s v="Spruce"/>
    <n v="1"/>
    <s v="unknown"/>
    <n v="0"/>
    <s v="Unknown"/>
    <s v="unknown"/>
    <s v="Exterior bare spruce branch"/>
    <s v="NA"/>
    <m/>
    <m/>
    <m/>
    <s v="NA"/>
    <s v="NA"/>
    <s v="NA"/>
    <s v="NA"/>
    <s v="NA"/>
    <s v="NA"/>
    <s v="NA"/>
    <m/>
    <n v="0"/>
    <n v="0"/>
    <n v="0"/>
    <n v="0"/>
    <n v="0"/>
    <m/>
    <n v="0"/>
    <m/>
    <s v="Flew directly to tree from perch. Camera started filming after it extracted food. "/>
    <m/>
    <m/>
  </r>
  <r>
    <s v="DSCN2804"/>
    <s v="CC0402_2"/>
    <n v="2"/>
    <n v="1"/>
    <x v="4"/>
    <d v="2019-04-02T00:00:00"/>
    <s v="April"/>
    <s v="Spring"/>
    <d v="1899-12-30T00:40:00"/>
    <d v="1899-12-30T00:00:40"/>
    <x v="23"/>
    <m/>
    <x v="4"/>
    <s v="Foraging"/>
    <s v="NA"/>
    <n v="1"/>
    <n v="0"/>
    <n v="0"/>
    <s v="Unknown"/>
    <s v="unknown"/>
    <s v="Ground"/>
    <s v="NA"/>
    <m/>
    <m/>
    <m/>
    <s v="NA"/>
    <s v="NA"/>
    <s v="NA"/>
    <s v="NA"/>
    <s v="NA"/>
    <s v="NA"/>
    <s v="NA"/>
    <m/>
    <n v="0"/>
    <n v="0"/>
    <n v="0"/>
    <n v="0"/>
    <n v="38"/>
    <m/>
    <n v="38"/>
    <s v="Searching"/>
    <m/>
    <m/>
    <m/>
  </r>
  <r>
    <s v="DSCN2807"/>
    <s v="CC0402_3"/>
    <n v="3"/>
    <n v="1"/>
    <x v="4"/>
    <d v="2019-04-02T00:00:00"/>
    <s v="April"/>
    <s v="Spring"/>
    <d v="1899-12-30T00:16:00"/>
    <d v="1899-12-30T00:00:16"/>
    <x v="47"/>
    <m/>
    <x v="4"/>
    <s v="Foraging"/>
    <s v="NA"/>
    <n v="0"/>
    <n v="0"/>
    <n v="0"/>
    <m/>
    <s v="NA"/>
    <s v="NA"/>
    <s v="NA"/>
    <m/>
    <m/>
    <m/>
    <s v="NA"/>
    <s v="NA"/>
    <s v="NA"/>
    <s v="NA"/>
    <s v="NA"/>
    <s v="NA"/>
    <s v="NA"/>
    <m/>
    <n v="0"/>
    <n v="0"/>
    <n v="0"/>
    <n v="0"/>
    <n v="16"/>
    <m/>
    <n v="16"/>
    <s v="Searching"/>
    <m/>
    <m/>
    <m/>
  </r>
  <r>
    <s v="DSCN3205"/>
    <s v="CC0416_5"/>
    <n v="5"/>
    <n v="1"/>
    <x v="4"/>
    <d v="2019-04-16T00:00:00"/>
    <s v="April"/>
    <s v="Spring"/>
    <d v="1899-12-30T00:48:00"/>
    <d v="1899-12-30T00:00:48"/>
    <x v="4"/>
    <s v="Mostly cloudy"/>
    <x v="4"/>
    <s v="Foraging"/>
    <s v="NA"/>
    <n v="1"/>
    <n v="0"/>
    <n v="0"/>
    <s v="Unknown"/>
    <s v="unknown"/>
    <s v="Ground"/>
    <s v="NA"/>
    <m/>
    <m/>
    <m/>
    <s v="NA"/>
    <s v="NA"/>
    <s v="NA"/>
    <s v="NA"/>
    <s v="NA"/>
    <s v="NA"/>
    <s v="NA"/>
    <m/>
    <n v="0"/>
    <n v="0"/>
    <n v="0"/>
    <n v="0"/>
    <n v="48"/>
    <m/>
    <n v="48"/>
    <s v="Searching"/>
    <m/>
    <m/>
    <m/>
  </r>
  <r>
    <s v="DSCN3188"/>
    <s v="CC0416_1"/>
    <n v="1"/>
    <n v="1"/>
    <x v="4"/>
    <d v="2019-04-16T00:00:00"/>
    <s v="April"/>
    <s v="Spring"/>
    <d v="1899-12-30T00:05:00"/>
    <d v="1899-12-30T00:00:05"/>
    <x v="72"/>
    <s v="Mostly cloudy"/>
    <x v="4"/>
    <s v="Foraging"/>
    <s v="NA"/>
    <n v="1"/>
    <n v="0"/>
    <n v="0"/>
    <s v="Insect"/>
    <s v="Insect (grub/caterpillar)"/>
    <s v="Ground"/>
    <s v="NA"/>
    <m/>
    <m/>
    <m/>
    <s v="NA"/>
    <s v="NA"/>
    <s v="NA"/>
    <s v="NA"/>
    <s v="NA"/>
    <s v="NA"/>
    <s v="NA"/>
    <m/>
    <n v="0"/>
    <n v="0"/>
    <n v="0"/>
    <n v="0"/>
    <n v="0"/>
    <m/>
    <n v="0"/>
    <m/>
    <s v="Missed initial acquisition"/>
    <m/>
    <m/>
  </r>
  <r>
    <s v="DSCN3207"/>
    <s v="CC0416_6"/>
    <n v="7"/>
    <n v="2"/>
    <x v="4"/>
    <d v="2019-04-16T00:00:00"/>
    <s v="April"/>
    <s v="Spring"/>
    <d v="1899-12-30T00:52:00"/>
    <d v="1899-12-30T00:00:52"/>
    <x v="28"/>
    <s v="Mostly cloudy"/>
    <x v="4"/>
    <s v="Foraging"/>
    <s v="NA"/>
    <n v="1"/>
    <n v="0"/>
    <n v="0"/>
    <s v="Insect"/>
    <s v="Insect (grub/caterpillar)"/>
    <s v="Ground"/>
    <s v="NA"/>
    <m/>
    <m/>
    <m/>
    <s v="NA"/>
    <s v="NA"/>
    <s v="NA"/>
    <s v="NA"/>
    <s v="NA"/>
    <s v="NA"/>
    <s v="NA"/>
    <m/>
    <n v="0"/>
    <n v="0"/>
    <n v="0"/>
    <n v="0"/>
    <n v="47"/>
    <m/>
    <n v="47"/>
    <s v="Searching"/>
    <m/>
    <m/>
    <m/>
  </r>
  <r>
    <s v="DSCN3207"/>
    <s v="CC0416_6"/>
    <n v="7"/>
    <n v="1"/>
    <x v="4"/>
    <d v="2019-04-16T00:00:00"/>
    <s v="April"/>
    <s v="Spring"/>
    <d v="1899-12-30T00:52:00"/>
    <d v="1899-12-30T00:00:52"/>
    <x v="28"/>
    <s v="Mostly cloudy"/>
    <x v="4"/>
    <s v="Foraging"/>
    <s v="Spruce"/>
    <n v="1"/>
    <n v="0"/>
    <n v="0"/>
    <s v="Insect"/>
    <s v="Insect"/>
    <s v="Spruce sapling trunk"/>
    <s v="NA"/>
    <m/>
    <m/>
    <m/>
    <s v="NA"/>
    <s v="NA"/>
    <s v="NA"/>
    <s v="NA"/>
    <s v="NA"/>
    <s v="NA"/>
    <s v="NA"/>
    <m/>
    <n v="5"/>
    <n v="0"/>
    <n v="5"/>
    <n v="0"/>
    <n v="0"/>
    <m/>
    <n v="5"/>
    <s v="Gleaning"/>
    <m/>
    <n v="0"/>
    <n v="1"/>
  </r>
  <r>
    <s v="DSCN3199"/>
    <s v="CC0416_2"/>
    <n v="2"/>
    <n v="1"/>
    <x v="4"/>
    <d v="2019-04-16T00:00:00"/>
    <s v="April"/>
    <s v="Spring"/>
    <d v="1899-12-30T00:20:00"/>
    <d v="1899-12-30T00:00:20"/>
    <x v="38"/>
    <s v="Mostly cloudy"/>
    <x v="4"/>
    <s v="Foraging"/>
    <s v="Spruce"/>
    <n v="0"/>
    <n v="0"/>
    <n v="0"/>
    <m/>
    <s v="NA"/>
    <s v="NA"/>
    <s v="NA"/>
    <m/>
    <m/>
    <m/>
    <s v="NA"/>
    <s v="NA"/>
    <s v="NA"/>
    <s v="NA"/>
    <s v="NA"/>
    <s v="NA"/>
    <s v="NA"/>
    <m/>
    <n v="11"/>
    <n v="0"/>
    <n v="11"/>
    <n v="0"/>
    <n v="5"/>
    <m/>
    <n v="16"/>
    <s v="Searching"/>
    <s v="In slowmo you can see that it is not caching, B&amp;Ut rather chasing an insect.  The B&amp;Ug gets away "/>
    <m/>
    <m/>
  </r>
  <r>
    <s v="DSCN3417"/>
    <s v="CC0422_17"/>
    <n v="17"/>
    <n v="1"/>
    <x v="4"/>
    <d v="2019-04-22T00:00:00"/>
    <s v="April"/>
    <s v="Spring"/>
    <d v="1899-12-30T01:22:00"/>
    <d v="1899-12-30T00:01:22"/>
    <x v="27"/>
    <s v="Partly cloudy"/>
    <x v="4"/>
    <s v="Food handling/caching"/>
    <s v="Spruce"/>
    <n v="0"/>
    <n v="0"/>
    <n v="1"/>
    <s v="Unknown"/>
    <s v="unknown"/>
    <s v="unknown"/>
    <s v="Exterior spruce branch under bark"/>
    <s v="Spruce"/>
    <s v="Exterior"/>
    <s v="Under bark"/>
    <m/>
    <m/>
    <s v="unknown"/>
    <n v="63.722610000000003"/>
    <n v="148.94719000000001"/>
    <s v="NA"/>
    <s v="NA"/>
    <s v="NA"/>
    <n v="0"/>
    <n v="0"/>
    <n v="0"/>
    <n v="0"/>
    <n v="0"/>
    <m/>
    <n v="0"/>
    <m/>
    <s v="Processing a black caterpiller and stopped to make two separate caches in the same tree"/>
    <m/>
    <m/>
  </r>
  <r>
    <s v="DSCN3417"/>
    <s v="CC0422_17"/>
    <n v="17"/>
    <n v="2"/>
    <x v="4"/>
    <d v="2019-04-22T00:00:00"/>
    <s v="April"/>
    <s v="Spring"/>
    <d v="1899-12-30T01:22:00"/>
    <d v="1899-12-30T00:01:22"/>
    <x v="27"/>
    <s v="Partly cloudy"/>
    <x v="4"/>
    <s v="Food handling/caching"/>
    <s v="Spruce"/>
    <n v="0"/>
    <n v="0"/>
    <n v="1"/>
    <s v="Unknown"/>
    <s v="unknown"/>
    <s v="unknown"/>
    <s v="Exterior spruce branch under bark"/>
    <s v="Spruce"/>
    <s v="Exterior"/>
    <s v="Under bark"/>
    <m/>
    <m/>
    <s v="unknown"/>
    <n v="63.722610000000003"/>
    <n v="148.94719000000001"/>
    <s v="NA"/>
    <s v="NA"/>
    <s v="NA"/>
    <n v="0"/>
    <n v="0"/>
    <n v="0"/>
    <n v="0"/>
    <n v="0"/>
    <m/>
    <n v="0"/>
    <m/>
    <s v="Processing a black caterpiller and stopped to make two separate caches in the same tree"/>
    <m/>
    <m/>
  </r>
  <r>
    <s v="DSCN3391"/>
    <s v="CC0422_1"/>
    <n v="1"/>
    <n v="1"/>
    <x v="4"/>
    <d v="2019-04-22T00:00:00"/>
    <s v="April"/>
    <s v="Spring"/>
    <d v="1899-12-30T00:14:00"/>
    <d v="1899-12-30T00:00:14"/>
    <x v="59"/>
    <s v="Partly cloudy"/>
    <x v="4"/>
    <s v="Foraging"/>
    <s v="NA"/>
    <n v="1"/>
    <n v="0"/>
    <n v="0"/>
    <s v="Unknown"/>
    <s v="unknown"/>
    <s v="Ground"/>
    <s v="NA"/>
    <m/>
    <m/>
    <m/>
    <s v="NA"/>
    <s v="NA"/>
    <s v="NA"/>
    <s v="NA"/>
    <s v="NA"/>
    <s v="NA"/>
    <s v="NA"/>
    <s v="NA"/>
    <n v="0"/>
    <n v="0"/>
    <n v="0"/>
    <n v="0"/>
    <n v="20"/>
    <m/>
    <n v="20"/>
    <s v="Searching"/>
    <m/>
    <m/>
    <m/>
  </r>
  <r>
    <s v="DSCN3223"/>
    <s v="CC0422_21"/>
    <n v="21"/>
    <n v="1"/>
    <x v="4"/>
    <d v="2019-04-22T00:00:00"/>
    <s v="April"/>
    <s v="Spring"/>
    <d v="1899-12-30T00:14:00"/>
    <d v="1899-12-30T00:00:14"/>
    <x v="59"/>
    <s v="Partly cloudy"/>
    <x v="4"/>
    <s v="Foraging"/>
    <s v="NA"/>
    <n v="1"/>
    <n v="0"/>
    <n v="0"/>
    <s v="Unknown"/>
    <s v="unknown"/>
    <s v="Ground"/>
    <s v="NA"/>
    <m/>
    <m/>
    <m/>
    <s v="NA"/>
    <s v="NA"/>
    <s v="NA"/>
    <s v="NA"/>
    <s v="NA"/>
    <s v="NA"/>
    <s v="NA"/>
    <s v="NA"/>
    <n v="0"/>
    <n v="0"/>
    <n v="0"/>
    <n v="0"/>
    <n v="14"/>
    <m/>
    <n v="14"/>
    <s v="Searching"/>
    <m/>
    <m/>
    <m/>
  </r>
  <r>
    <s v="DSCN3395"/>
    <s v="CC0422_3"/>
    <n v="3"/>
    <n v="1"/>
    <x v="4"/>
    <d v="2019-04-22T00:00:00"/>
    <s v="April"/>
    <s v="Spring"/>
    <d v="1899-12-30T00:40:00"/>
    <d v="1899-12-30T00:00:40"/>
    <x v="23"/>
    <s v="Partly cloudy"/>
    <x v="4"/>
    <s v="Food handling/caching"/>
    <s v="NA"/>
    <n v="0"/>
    <n v="0"/>
    <n v="1"/>
    <s v="Insect"/>
    <s v="Insect (Black caterpiller)"/>
    <s v="NA"/>
    <s v="Interior spruce foliage"/>
    <s v="Spruce"/>
    <s v="Interior"/>
    <s v="Foliage"/>
    <m/>
    <m/>
    <s v="unknown"/>
    <n v="63.722679999999997"/>
    <n v="148.95184"/>
    <s v="NA"/>
    <s v="NA"/>
    <s v="RC102418_CT7"/>
    <n v="0"/>
    <m/>
    <n v="0"/>
    <n v="0"/>
    <n v="0"/>
    <m/>
    <n v="0"/>
    <s v="Searching"/>
    <m/>
    <m/>
    <m/>
  </r>
  <r>
    <s v="DSCN3415"/>
    <s v="CC0422_16"/>
    <n v="16"/>
    <n v="1"/>
    <x v="4"/>
    <d v="2019-04-22T00:00:00"/>
    <s v="April"/>
    <s v="Spring"/>
    <d v="1899-12-30T00:15:00"/>
    <d v="1899-12-30T00:00:15"/>
    <x v="14"/>
    <s v="Partly cloudy"/>
    <x v="4"/>
    <s v="Foraging"/>
    <s v="NA"/>
    <n v="1"/>
    <n v="0"/>
    <n v="0"/>
    <s v="Insect"/>
    <s v="Insect (Black caterpiller)"/>
    <s v="Ground"/>
    <s v="NA"/>
    <m/>
    <m/>
    <m/>
    <s v="NA"/>
    <s v="NA"/>
    <s v="NA"/>
    <s v="NA"/>
    <s v="NA"/>
    <s v="NA"/>
    <s v="NA"/>
    <s v="NA"/>
    <n v="0"/>
    <n v="0"/>
    <n v="0"/>
    <n v="0"/>
    <n v="15"/>
    <m/>
    <n v="15"/>
    <s v="Searching"/>
    <m/>
    <m/>
    <m/>
  </r>
  <r>
    <s v="DSCN3418"/>
    <s v="CC0422_18"/>
    <n v="18"/>
    <n v="1"/>
    <x v="4"/>
    <d v="2019-04-22T00:00:00"/>
    <s v="April"/>
    <s v="Spring"/>
    <d v="1899-12-30T00:35:00"/>
    <d v="1899-12-30T00:00:35"/>
    <x v="62"/>
    <s v="Partly cloudy"/>
    <x v="4"/>
    <s v="Foraging"/>
    <s v="NA"/>
    <n v="1"/>
    <n v="0"/>
    <n v="0"/>
    <s v="Insect"/>
    <s v="Insect (Black caterpiller)"/>
    <s v="Ground"/>
    <s v="NA"/>
    <m/>
    <m/>
    <m/>
    <s v="NA"/>
    <s v="NA"/>
    <s v="NA"/>
    <s v="NA"/>
    <s v="NA"/>
    <s v="NA"/>
    <s v="NA"/>
    <s v="NA"/>
    <n v="0"/>
    <n v="0"/>
    <n v="0"/>
    <n v="0"/>
    <n v="35"/>
    <m/>
    <n v="35"/>
    <s v="Searching"/>
    <m/>
    <m/>
    <m/>
  </r>
  <r>
    <s v="DSCN3393"/>
    <s v="CC0422_2"/>
    <n v="2"/>
    <n v="1"/>
    <x v="4"/>
    <d v="2019-04-22T00:00:00"/>
    <s v="April"/>
    <s v="Spring"/>
    <d v="1899-12-30T00:26:00"/>
    <d v="1899-12-30T00:00:26"/>
    <x v="44"/>
    <s v="Partly cloudy"/>
    <x v="4"/>
    <s v="Foraging"/>
    <s v="NA"/>
    <n v="1"/>
    <n v="0"/>
    <n v="0"/>
    <s v="Insect"/>
    <s v="Insect (Black caterpiller)"/>
    <s v="Ground"/>
    <s v="NA"/>
    <m/>
    <m/>
    <m/>
    <s v="NA"/>
    <s v="NA"/>
    <s v="NA"/>
    <s v="NA"/>
    <s v="NA"/>
    <s v="NA"/>
    <s v="NA"/>
    <s v="NA"/>
    <n v="0"/>
    <n v="0"/>
    <n v="0"/>
    <n v="0"/>
    <n v="26"/>
    <m/>
    <n v="26"/>
    <s v="Searching"/>
    <m/>
    <m/>
    <m/>
  </r>
  <r>
    <s v="DSCN3557"/>
    <s v="CC0425_25"/>
    <n v="25"/>
    <n v="1"/>
    <x v="4"/>
    <d v="2019-04-25T00:00:00"/>
    <s v="April"/>
    <s v="Spring"/>
    <d v="1899-12-30T01:32:00"/>
    <d v="1899-12-30T00:01:32"/>
    <x v="73"/>
    <s v="Partly cloudy"/>
    <x v="4"/>
    <s v="Foraging"/>
    <s v="NA"/>
    <n v="1"/>
    <n v="1"/>
    <n v="0"/>
    <s v="Unknown"/>
    <s v="Unknown (maybe mushroom?)"/>
    <s v="Exterior bare spruce branch"/>
    <s v="NA"/>
    <m/>
    <m/>
    <m/>
    <s v="NA"/>
    <s v="NA"/>
    <s v="NA"/>
    <s v="NA"/>
    <s v="NA"/>
    <n v="63.724789999999999"/>
    <n v="148.94768999999999"/>
    <s v="NA"/>
    <n v="2"/>
    <n v="0"/>
    <n v="0"/>
    <n v="2"/>
    <n v="88"/>
    <m/>
    <n v="90"/>
    <s v="Searching/probing"/>
    <m/>
    <n v="1"/>
    <n v="0"/>
  </r>
  <r>
    <s v="DSCN3572"/>
    <s v="CC0425_37"/>
    <n v="37"/>
    <n v="1"/>
    <x v="4"/>
    <d v="2019-04-25T00:00:00"/>
    <s v="April"/>
    <s v="Spring"/>
    <d v="1899-12-30T00:19:00"/>
    <d v="1899-12-30T00:00:19"/>
    <x v="17"/>
    <s v="Partly cloudy"/>
    <x v="4"/>
    <s v="Foraging"/>
    <s v="Spruce"/>
    <n v="1"/>
    <s v="unknown"/>
    <n v="0"/>
    <s v="Unknown"/>
    <s v="unknown"/>
    <s v="Exterior spruce branch on bark"/>
    <s v="NA"/>
    <m/>
    <m/>
    <m/>
    <s v="NA"/>
    <s v="NA"/>
    <s v="NA"/>
    <s v="NA"/>
    <s v="NA"/>
    <s v="NA"/>
    <s v="NA"/>
    <s v="NA"/>
    <n v="0"/>
    <n v="0"/>
    <n v="0"/>
    <n v="0"/>
    <n v="5"/>
    <m/>
    <n v="5"/>
    <s v="Searching"/>
    <s v="Willow branch doesn't really have interior or exterior "/>
    <m/>
    <m/>
  </r>
  <r>
    <s v="DSCN3565"/>
    <s v="CC0424_31"/>
    <n v="31"/>
    <n v="1"/>
    <x v="4"/>
    <d v="2019-04-25T00:00:00"/>
    <s v="April"/>
    <s v="Spring"/>
    <d v="1899-12-30T00:30:00"/>
    <d v="1899-12-30T00:00:30"/>
    <x v="69"/>
    <s v="Partly cloudy"/>
    <x v="4"/>
    <s v="Foraging"/>
    <s v="NA"/>
    <n v="1"/>
    <n v="0"/>
    <n v="0"/>
    <s v="Unknown"/>
    <s v="unknown"/>
    <s v="Ground"/>
    <s v="NA"/>
    <m/>
    <m/>
    <m/>
    <s v="NA"/>
    <s v="NA"/>
    <s v="NA"/>
    <s v="NA"/>
    <s v="NA"/>
    <s v="NA"/>
    <s v="NA"/>
    <s v="NA"/>
    <n v="0"/>
    <n v="0"/>
    <n v="0"/>
    <n v="0"/>
    <n v="30"/>
    <m/>
    <n v="30"/>
    <s v="Searching"/>
    <m/>
    <m/>
    <m/>
  </r>
  <r>
    <s v="DSCN3560"/>
    <s v="CC0425_27"/>
    <n v="27"/>
    <n v="1"/>
    <x v="4"/>
    <d v="2019-04-25T00:00:00"/>
    <s v="April"/>
    <s v="Spring"/>
    <d v="1899-12-30T02:31:00"/>
    <d v="1899-12-30T00:02:31"/>
    <x v="74"/>
    <s v="Partly cloudy"/>
    <x v="4"/>
    <s v="Foraging"/>
    <s v="NA"/>
    <n v="1"/>
    <n v="0"/>
    <n v="0"/>
    <s v="Unknown"/>
    <s v="unknown"/>
    <s v="Ground"/>
    <s v="NA"/>
    <m/>
    <m/>
    <m/>
    <s v="NA"/>
    <s v="NA"/>
    <s v="NA"/>
    <s v="NA"/>
    <s v="NA"/>
    <s v="NA"/>
    <s v="NA"/>
    <s v="NA"/>
    <n v="0"/>
    <n v="0"/>
    <n v="0"/>
    <n v="0"/>
    <n v="20"/>
    <m/>
    <n v="20"/>
    <s v="Searching"/>
    <m/>
    <m/>
    <m/>
  </r>
  <r>
    <s v="DSCN3563"/>
    <s v="CC0425_29"/>
    <n v="29"/>
    <n v="1"/>
    <x v="4"/>
    <d v="2019-04-25T00:00:00"/>
    <s v="April"/>
    <s v="Spring"/>
    <d v="1899-12-30T00:36:00"/>
    <d v="1899-12-30T00:00:36"/>
    <x v="3"/>
    <s v="Partly cloudy"/>
    <x v="4"/>
    <s v="Foraging"/>
    <s v="NA"/>
    <n v="1"/>
    <n v="0"/>
    <n v="0"/>
    <s v="Unknown"/>
    <s v="unknown"/>
    <s v="Ground"/>
    <s v="NA"/>
    <m/>
    <m/>
    <m/>
    <s v="NA"/>
    <s v="NA"/>
    <s v="NA"/>
    <s v="NA"/>
    <s v="NA"/>
    <s v="NA"/>
    <s v="NA"/>
    <s v="NA"/>
    <n v="0"/>
    <n v="0"/>
    <n v="0"/>
    <n v="0"/>
    <n v="36"/>
    <m/>
    <n v="36"/>
    <s v="Searching"/>
    <m/>
    <m/>
    <m/>
  </r>
  <r>
    <s v="DSCN3548"/>
    <s v="CC0425_19"/>
    <n v="19"/>
    <n v="1"/>
    <x v="4"/>
    <d v="2019-04-25T00:00:00"/>
    <s v="April"/>
    <s v="Spring"/>
    <d v="1899-12-30T00:35:00"/>
    <d v="1899-12-30T00:00:35"/>
    <x v="62"/>
    <s v="Partly cloudy"/>
    <x v="4"/>
    <s v="Foraging"/>
    <s v="NA"/>
    <n v="1"/>
    <n v="0"/>
    <n v="0"/>
    <s v="Unknown"/>
    <s v="unknown"/>
    <s v="NA"/>
    <s v="NA"/>
    <m/>
    <m/>
    <m/>
    <s v="NA"/>
    <s v="NA"/>
    <s v="NA"/>
    <s v="NA"/>
    <s v="NA"/>
    <s v="NA"/>
    <s v="NA"/>
    <s v="NA"/>
    <n v="0"/>
    <n v="0"/>
    <n v="0"/>
    <n v="0"/>
    <n v="35"/>
    <m/>
    <n v="35"/>
    <s v="Searching"/>
    <m/>
    <m/>
    <m/>
  </r>
  <r>
    <s v="DSCN3533"/>
    <s v="CC0425_9"/>
    <n v="9"/>
    <n v="1"/>
    <x v="4"/>
    <d v="2019-04-25T00:00:00"/>
    <s v="April"/>
    <s v="Spring"/>
    <d v="1899-12-30T00:53:00"/>
    <d v="1899-12-30T00:00:53"/>
    <x v="75"/>
    <s v="Partly cloudy"/>
    <x v="4"/>
    <s v="Foraging"/>
    <s v="NA"/>
    <n v="1"/>
    <n v="0"/>
    <n v="0"/>
    <s v="Unknown"/>
    <s v="unknown"/>
    <s v="Spruce trunk"/>
    <s v="NA"/>
    <m/>
    <m/>
    <m/>
    <s v="NA"/>
    <s v="NA"/>
    <s v="NA"/>
    <s v="NA"/>
    <s v="NA"/>
    <s v="NA"/>
    <s v="NA"/>
    <s v="NA"/>
    <n v="2"/>
    <n v="0"/>
    <n v="2"/>
    <n v="0"/>
    <n v="51"/>
    <m/>
    <n v="53"/>
    <s v="Searching"/>
    <m/>
    <m/>
    <m/>
  </r>
  <r>
    <s v="DSCN3571"/>
    <s v="CC0425_36"/>
    <n v="36"/>
    <n v="1"/>
    <x v="4"/>
    <d v="2019-04-25T00:00:00"/>
    <s v="April"/>
    <s v="Spring"/>
    <d v="1899-12-30T00:39:00"/>
    <d v="1899-12-30T00:00:39"/>
    <x v="1"/>
    <s v="Partly cloudy"/>
    <x v="4"/>
    <s v="Foraging"/>
    <s v="Willow"/>
    <n v="1"/>
    <s v="unknown"/>
    <n v="0"/>
    <s v="Unknown"/>
    <s v="unknown"/>
    <s v="Willow branch"/>
    <s v="NA"/>
    <m/>
    <m/>
    <m/>
    <s v="NA"/>
    <s v="NA"/>
    <s v="NA"/>
    <s v="NA"/>
    <s v="NA"/>
    <s v="NA"/>
    <s v="NA"/>
    <s v="NA"/>
    <n v="3"/>
    <n v="0"/>
    <n v="0"/>
    <n v="3"/>
    <n v="35"/>
    <m/>
    <n v="38"/>
    <s v="Searching/gleaning"/>
    <m/>
    <n v="0"/>
    <n v="1"/>
  </r>
  <r>
    <s v="DSCN3560"/>
    <s v="CC0425_27"/>
    <n v="27"/>
    <n v="1"/>
    <x v="4"/>
    <d v="2019-04-25T00:00:00"/>
    <s v="April"/>
    <s v="Spring"/>
    <d v="1899-12-30T02:31:00"/>
    <d v="1899-12-30T00:02:31"/>
    <x v="74"/>
    <s v="Partly cloudy"/>
    <x v="4"/>
    <s v="Foraging"/>
    <s v="NA"/>
    <n v="1"/>
    <n v="0"/>
    <n v="0"/>
    <s v="Berry"/>
    <s v="Berry (crowberry)"/>
    <s v="Ground"/>
    <s v="NA"/>
    <m/>
    <m/>
    <m/>
    <s v="NA"/>
    <s v="NA"/>
    <s v="NA"/>
    <s v="NA"/>
    <s v="NA"/>
    <s v="NA"/>
    <s v="NA"/>
    <s v="NA"/>
    <n v="0"/>
    <n v="0"/>
    <n v="0"/>
    <n v="0"/>
    <n v="111"/>
    <m/>
    <n v="111"/>
    <s v="Searching"/>
    <m/>
    <m/>
    <m/>
  </r>
  <r>
    <s v="DSCN3536"/>
    <s v="CC0425_12"/>
    <n v="12"/>
    <n v="1"/>
    <x v="4"/>
    <d v="2019-04-25T00:00:00"/>
    <s v="April"/>
    <s v="Spring"/>
    <d v="1899-12-30T00:11:00"/>
    <d v="1899-12-30T00:00:11"/>
    <x v="11"/>
    <s v="Partly cloudy"/>
    <x v="4"/>
    <s v="Foraging"/>
    <s v="NA"/>
    <n v="0"/>
    <n v="0"/>
    <n v="0"/>
    <m/>
    <s v="NA"/>
    <s v="NA"/>
    <s v="NA"/>
    <m/>
    <m/>
    <m/>
    <s v="NA"/>
    <s v="NA"/>
    <s v="NA"/>
    <s v="NA"/>
    <s v="NA"/>
    <s v="NA"/>
    <s v="NA"/>
    <s v="NA"/>
    <n v="0"/>
    <n v="0"/>
    <n v="0"/>
    <n v="0"/>
    <n v="11"/>
    <m/>
    <n v="11"/>
    <s v="Searching"/>
    <m/>
    <m/>
    <m/>
  </r>
  <r>
    <s v="DSCN3539"/>
    <s v="CC0425_15"/>
    <n v="15"/>
    <n v="1"/>
    <x v="4"/>
    <d v="2019-04-25T00:00:00"/>
    <s v="April"/>
    <s v="Spring"/>
    <d v="1899-12-30T00:19:00"/>
    <d v="1899-12-30T00:00:19"/>
    <x v="17"/>
    <s v="Partly cloudy"/>
    <x v="4"/>
    <s v="Foraging"/>
    <s v="Spruce"/>
    <n v="0"/>
    <n v="0"/>
    <n v="0"/>
    <m/>
    <s v="NA"/>
    <s v="NA"/>
    <s v="NA"/>
    <m/>
    <m/>
    <m/>
    <s v="NA"/>
    <s v="NA"/>
    <s v="NA"/>
    <s v="NA"/>
    <s v="NA"/>
    <s v="NA"/>
    <s v="NA"/>
    <s v="NA"/>
    <n v="4"/>
    <n v="0"/>
    <n v="4"/>
    <n v="0"/>
    <n v="0"/>
    <m/>
    <n v="4"/>
    <s v="Searching/probing"/>
    <m/>
    <n v="4"/>
    <n v="0"/>
  </r>
  <r>
    <s v="DSCN3559"/>
    <s v="CC0425_26"/>
    <n v="26"/>
    <n v="1"/>
    <x v="4"/>
    <d v="2019-04-25T00:00:00"/>
    <s v="April"/>
    <s v="Spring"/>
    <d v="1899-12-30T01:54:00"/>
    <d v="1899-12-30T00:01:54"/>
    <x v="76"/>
    <s v="Partly cloudy"/>
    <x v="4"/>
    <s v="Food handling/Foraging"/>
    <s v="Spruce"/>
    <n v="0"/>
    <n v="0"/>
    <n v="0"/>
    <m/>
    <s v="NA"/>
    <s v="NA"/>
    <s v="NA"/>
    <m/>
    <m/>
    <m/>
    <s v="NA"/>
    <s v="NA"/>
    <s v="NA"/>
    <s v="NA"/>
    <s v="NA"/>
    <s v="NA"/>
    <s v="NA"/>
    <s v="NA"/>
    <n v="19"/>
    <n v="0"/>
    <n v="19"/>
    <n v="0"/>
    <n v="23"/>
    <m/>
    <n v="42"/>
    <s v="Searching"/>
    <m/>
    <m/>
    <m/>
  </r>
  <r>
    <s v="DSCN3562"/>
    <s v="CC0425_28"/>
    <n v="28"/>
    <n v="1"/>
    <x v="4"/>
    <d v="2019-04-25T00:00:00"/>
    <s v="April"/>
    <s v="Spring"/>
    <d v="1899-12-30T00:56:00"/>
    <d v="1899-12-30T00:00:56"/>
    <x v="46"/>
    <s v="Partly cloudy"/>
    <x v="4"/>
    <s v="Foraging"/>
    <s v="NA"/>
    <n v="0"/>
    <n v="0"/>
    <n v="0"/>
    <m/>
    <s v="NA"/>
    <s v="NA"/>
    <s v="NA"/>
    <m/>
    <m/>
    <m/>
    <s v="NA"/>
    <s v="NA"/>
    <s v="NA"/>
    <s v="NA"/>
    <s v="NA"/>
    <s v="NA"/>
    <s v="NA"/>
    <s v="NA"/>
    <n v="0"/>
    <n v="0"/>
    <n v="0"/>
    <n v="0"/>
    <n v="56"/>
    <m/>
    <n v="56"/>
    <s v="Searching"/>
    <m/>
    <m/>
    <m/>
  </r>
  <r>
    <s v="DSCN3527"/>
    <s v="CC0425_3"/>
    <n v="3"/>
    <n v="1"/>
    <x v="4"/>
    <d v="2019-04-25T00:00:00"/>
    <s v="April"/>
    <s v="Spring"/>
    <d v="1899-12-30T00:22:00"/>
    <d v="1899-12-30T00:00:22"/>
    <x v="77"/>
    <s v="Partly cloudy"/>
    <x v="4"/>
    <s v="Foraging"/>
    <s v="NA"/>
    <n v="0"/>
    <n v="0"/>
    <n v="0"/>
    <m/>
    <s v="NA"/>
    <s v="NA"/>
    <s v="NA"/>
    <m/>
    <m/>
    <m/>
    <s v="NA"/>
    <s v="NA"/>
    <s v="NA"/>
    <s v="NA"/>
    <s v="NA"/>
    <s v="NA"/>
    <s v="NA"/>
    <s v="NA"/>
    <n v="0"/>
    <n v="0"/>
    <n v="0"/>
    <n v="0"/>
    <n v="21"/>
    <m/>
    <n v="21"/>
    <s v="Searching"/>
    <m/>
    <m/>
    <m/>
  </r>
  <r>
    <s v="DSCN3567"/>
    <s v="CC0425_32"/>
    <n v="32"/>
    <n v="1"/>
    <x v="4"/>
    <d v="2019-04-25T00:00:00"/>
    <s v="April"/>
    <s v="Spring"/>
    <d v="1899-12-30T00:58:00"/>
    <d v="1899-12-30T00:00:58"/>
    <x v="60"/>
    <s v="Partly cloudy"/>
    <x v="4"/>
    <s v="Foraging"/>
    <s v="NA"/>
    <n v="0"/>
    <n v="0"/>
    <n v="0"/>
    <m/>
    <s v="NA"/>
    <s v="NA"/>
    <s v="NA"/>
    <m/>
    <m/>
    <m/>
    <s v="NA"/>
    <s v="NA"/>
    <s v="NA"/>
    <s v="NA"/>
    <s v="NA"/>
    <s v="NA"/>
    <s v="NA"/>
    <s v="NA"/>
    <n v="0"/>
    <n v="0"/>
    <n v="0"/>
    <n v="0"/>
    <n v="58"/>
    <m/>
    <n v="58"/>
    <s v="Searching"/>
    <m/>
    <m/>
    <m/>
  </r>
  <r>
    <s v="DSCN3568"/>
    <s v="CC0425_33"/>
    <n v="33"/>
    <n v="1"/>
    <x v="4"/>
    <d v="2019-04-25T00:00:00"/>
    <s v="April"/>
    <s v="Spring"/>
    <d v="1899-12-30T00:18:00"/>
    <d v="1899-12-30T00:00:18"/>
    <x v="13"/>
    <s v="Partly cloudy"/>
    <x v="4"/>
    <s v="Foraging"/>
    <s v="NA"/>
    <n v="0"/>
    <n v="0"/>
    <n v="0"/>
    <m/>
    <s v="NA"/>
    <s v="NA"/>
    <s v="NA"/>
    <m/>
    <m/>
    <m/>
    <s v="NA"/>
    <s v="NA"/>
    <s v="NA"/>
    <s v="NA"/>
    <s v="NA"/>
    <s v="NA"/>
    <s v="NA"/>
    <s v="NA"/>
    <n v="0"/>
    <n v="0"/>
    <n v="0"/>
    <n v="0"/>
    <n v="18"/>
    <m/>
    <n v="18"/>
    <s v="Searching"/>
    <m/>
    <m/>
    <m/>
  </r>
  <r>
    <s v="DSCN3531"/>
    <s v="CC0425_7"/>
    <n v="7"/>
    <n v="1"/>
    <x v="4"/>
    <d v="2019-04-25T00:00:00"/>
    <s v="April"/>
    <s v="Spring"/>
    <d v="1899-12-30T00:41:00"/>
    <d v="1899-12-30T00:00:41"/>
    <x v="19"/>
    <s v="Partly cloudy"/>
    <x v="4"/>
    <s v="Foraging"/>
    <s v="NA"/>
    <n v="0"/>
    <n v="0"/>
    <n v="0"/>
    <m/>
    <s v="NA"/>
    <s v="NA"/>
    <s v="NA"/>
    <m/>
    <m/>
    <m/>
    <s v="NA"/>
    <s v="NA"/>
    <s v="NA"/>
    <s v="NA"/>
    <s v="NA"/>
    <s v="NA"/>
    <s v="NA"/>
    <s v="NA"/>
    <n v="0"/>
    <n v="0"/>
    <n v="0"/>
    <n v="0"/>
    <n v="31"/>
    <m/>
    <n v="31"/>
    <s v="Searching"/>
    <m/>
    <m/>
    <m/>
  </r>
  <r>
    <s v="DSCN3687"/>
    <s v="CC0430_1"/>
    <n v="1"/>
    <n v="1"/>
    <x v="4"/>
    <d v="2019-04-30T00:00:00"/>
    <s v="April"/>
    <s v="Spring"/>
    <d v="1899-12-30T00:36:00"/>
    <d v="1899-12-30T00:00:36"/>
    <x v="3"/>
    <s v="Clear, full sun"/>
    <x v="4"/>
    <s v="Foraging"/>
    <s v="NA"/>
    <n v="1"/>
    <n v="0"/>
    <n v="0"/>
    <s v="Insect"/>
    <s v="Insect (caterpiller)"/>
    <s v="Ground"/>
    <s v="NA"/>
    <m/>
    <m/>
    <m/>
    <s v="NA"/>
    <s v="NA"/>
    <s v="NA"/>
    <s v="NA"/>
    <s v="NA"/>
    <s v="NA"/>
    <s v="NA"/>
    <s v="NA"/>
    <n v="0"/>
    <n v="0"/>
    <n v="0"/>
    <n v="0"/>
    <n v="5"/>
    <m/>
    <n v="5"/>
    <s v="Searching"/>
    <s v="Left nest, got caterpiller, returned to nest. "/>
    <m/>
    <m/>
  </r>
  <r>
    <s v="DSCN3708"/>
    <s v="CC0430_5"/>
    <n v="5"/>
    <n v="1"/>
    <x v="4"/>
    <d v="2019-04-30T00:00:00"/>
    <s v="April"/>
    <s v="Spring"/>
    <d v="1899-12-30T00:08:00"/>
    <d v="1899-12-30T00:00:08"/>
    <x v="67"/>
    <s v="Clear, full sun"/>
    <x v="4"/>
    <s v="Foraging"/>
    <s v="NA"/>
    <n v="0"/>
    <n v="0"/>
    <n v="0"/>
    <m/>
    <s v="NA"/>
    <s v="NA"/>
    <s v="NA"/>
    <m/>
    <m/>
    <m/>
    <s v="NA"/>
    <s v="NA"/>
    <s v="NA"/>
    <s v="NA"/>
    <s v="NA"/>
    <s v="NA"/>
    <s v="NA"/>
    <s v="NA"/>
    <n v="0"/>
    <n v="0"/>
    <n v="0"/>
    <n v="0"/>
    <n v="8"/>
    <m/>
    <n v="8"/>
    <s v="Searching"/>
    <m/>
    <m/>
    <m/>
  </r>
  <r>
    <s v="DSCN3709"/>
    <s v="CC0430_6"/>
    <n v="6"/>
    <n v="1"/>
    <x v="4"/>
    <d v="2019-04-30T00:00:00"/>
    <s v="April"/>
    <s v="Spring"/>
    <d v="1899-12-30T00:34:00"/>
    <d v="1899-12-30T00:00:34"/>
    <x v="18"/>
    <s v="Clear, full sun"/>
    <x v="4"/>
    <s v="Foraging"/>
    <s v="NA"/>
    <n v="0"/>
    <n v="0"/>
    <n v="0"/>
    <m/>
    <s v="NA"/>
    <s v="NA"/>
    <s v="NA"/>
    <m/>
    <m/>
    <m/>
    <s v="NA"/>
    <s v="NA"/>
    <s v="NA"/>
    <s v="NA"/>
    <s v="NA"/>
    <s v="NA"/>
    <s v="NA"/>
    <s v="NA"/>
    <n v="0"/>
    <n v="0"/>
    <n v="0"/>
    <n v="0"/>
    <n v="34"/>
    <m/>
    <n v="34"/>
    <s v="Searching"/>
    <m/>
    <m/>
    <m/>
  </r>
  <r>
    <s v="DSCN3710"/>
    <s v="CC0430_7"/>
    <n v="7"/>
    <n v="1"/>
    <x v="4"/>
    <d v="2019-04-30T00:00:00"/>
    <s v="April"/>
    <s v="Spring"/>
    <d v="1899-12-30T02:02:00"/>
    <d v="1899-12-30T00:02:02"/>
    <x v="78"/>
    <s v="Clear, full sun"/>
    <x v="4"/>
    <s v="Foraging"/>
    <s v="NA"/>
    <n v="0"/>
    <n v="0"/>
    <n v="0"/>
    <m/>
    <s v="NA"/>
    <s v="NA"/>
    <s v="NA"/>
    <m/>
    <m/>
    <m/>
    <s v="NA"/>
    <s v="NA"/>
    <s v="NA"/>
    <s v="NA"/>
    <s v="NA"/>
    <s v="NA"/>
    <s v="NA"/>
    <s v="NA"/>
    <n v="0"/>
    <n v="0"/>
    <n v="0"/>
    <n v="0"/>
    <n v="122"/>
    <m/>
    <n v="122"/>
    <s v="Searching"/>
    <m/>
    <m/>
    <m/>
  </r>
  <r>
    <s v="DSCN3202"/>
    <s v="CC0416_3"/>
    <n v="3"/>
    <n v="1"/>
    <x v="4"/>
    <d v="2019-04-16T00:00:00"/>
    <s v="April"/>
    <s v="Spring"/>
    <d v="1899-12-30T01:00:00"/>
    <d v="1899-12-30T00:01:00"/>
    <x v="79"/>
    <s v="Mostly cloudy"/>
    <x v="4"/>
    <s v="Foraging"/>
    <s v="NA"/>
    <s v="unknown"/>
    <n v="0"/>
    <n v="0"/>
    <m/>
    <s v="NA"/>
    <s v="NA"/>
    <s v="NA"/>
    <m/>
    <m/>
    <m/>
    <s v="NA"/>
    <s v="NA"/>
    <s v="NA"/>
    <s v="NA"/>
    <s v="NA"/>
    <s v="NA"/>
    <s v="NA"/>
    <m/>
    <n v="0"/>
    <n v="0"/>
    <n v="0"/>
    <n v="0"/>
    <n v="41"/>
    <m/>
    <n v="41"/>
    <s v="Searching"/>
    <m/>
    <m/>
    <m/>
  </r>
  <r>
    <s v="DSCN3204"/>
    <s v="CC0416_4"/>
    <n v="4"/>
    <n v="1"/>
    <x v="4"/>
    <d v="2019-04-16T00:00:00"/>
    <s v="April"/>
    <s v="Spring"/>
    <d v="1899-12-30T01:06:00"/>
    <d v="1899-12-30T00:01:06"/>
    <x v="70"/>
    <s v="Mostly cloudy"/>
    <x v="4"/>
    <s v="Foraging"/>
    <s v="NA"/>
    <s v="unknown"/>
    <n v="0"/>
    <n v="0"/>
    <m/>
    <s v="NA"/>
    <s v="NA"/>
    <s v="NA"/>
    <m/>
    <m/>
    <m/>
    <s v="NA"/>
    <s v="NA"/>
    <s v="NA"/>
    <s v="NA"/>
    <s v="NA"/>
    <s v="NA"/>
    <s v="NA"/>
    <m/>
    <n v="0"/>
    <n v="0"/>
    <n v="0"/>
    <n v="0"/>
    <n v="66"/>
    <m/>
    <n v="66"/>
    <s v="Searching"/>
    <m/>
    <m/>
    <m/>
  </r>
  <r>
    <s v="DSCN3206"/>
    <s v="CC0416_6"/>
    <n v="6"/>
    <n v="1"/>
    <x v="4"/>
    <d v="2019-04-16T00:00:00"/>
    <s v="April"/>
    <s v="Spring"/>
    <d v="1899-12-30T00:24:00"/>
    <d v="1899-12-30T00:00:24"/>
    <x v="71"/>
    <s v="Mostly cloudy"/>
    <x v="4"/>
    <s v="Foraging"/>
    <s v="NA"/>
    <s v="unknown"/>
    <n v="0"/>
    <n v="0"/>
    <m/>
    <s v="NA"/>
    <s v="NA"/>
    <s v="NA"/>
    <m/>
    <m/>
    <m/>
    <s v="NA"/>
    <s v="NA"/>
    <s v="NA"/>
    <s v="NA"/>
    <s v="NA"/>
    <s v="NA"/>
    <s v="NA"/>
    <m/>
    <n v="0"/>
    <n v="0"/>
    <n v="0"/>
    <n v="0"/>
    <n v="23"/>
    <m/>
    <n v="23"/>
    <s v="Searching"/>
    <m/>
    <m/>
    <m/>
  </r>
  <r>
    <s v="DSCN3525"/>
    <s v="CC0425_1"/>
    <n v="1"/>
    <n v="1"/>
    <x v="4"/>
    <d v="2019-04-25T00:00:00"/>
    <s v="April"/>
    <s v="Spring"/>
    <d v="1899-12-30T00:31:00"/>
    <d v="1899-12-30T00:00:31"/>
    <x v="45"/>
    <s v="Partly cloudy"/>
    <x v="4"/>
    <s v="Foraging"/>
    <s v="NA"/>
    <s v="unknown"/>
    <n v="0"/>
    <n v="0"/>
    <m/>
    <s v="NA"/>
    <s v="NA"/>
    <s v="NA"/>
    <m/>
    <m/>
    <m/>
    <s v="NA"/>
    <s v="NA"/>
    <s v="NA"/>
    <s v="NA"/>
    <s v="NA"/>
    <s v="NA"/>
    <s v="NA"/>
    <s v="NA"/>
    <n v="0"/>
    <n v="0"/>
    <n v="0"/>
    <n v="0"/>
    <n v="31"/>
    <m/>
    <n v="31"/>
    <s v="Searching"/>
    <m/>
    <m/>
    <m/>
  </r>
  <r>
    <s v="DSCN3534"/>
    <s v="CC0425_10"/>
    <n v="10"/>
    <n v="1"/>
    <x v="4"/>
    <d v="2019-04-25T00:00:00"/>
    <s v="April"/>
    <s v="Spring"/>
    <d v="1899-12-30T01:27:00"/>
    <d v="1899-12-30T00:01:27"/>
    <x v="31"/>
    <s v="Partly cloudy"/>
    <x v="4"/>
    <s v="Foraging"/>
    <s v="NA"/>
    <s v="unknown"/>
    <n v="0"/>
    <n v="0"/>
    <m/>
    <s v="NA"/>
    <s v="NA"/>
    <s v="NA"/>
    <m/>
    <m/>
    <m/>
    <s v="NA"/>
    <s v="NA"/>
    <s v="NA"/>
    <s v="NA"/>
    <s v="NA"/>
    <s v="NA"/>
    <s v="NA"/>
    <s v="NA"/>
    <n v="0"/>
    <n v="0"/>
    <n v="0"/>
    <n v="0"/>
    <n v="87"/>
    <m/>
    <n v="87"/>
    <s v="Searching"/>
    <m/>
    <m/>
    <m/>
  </r>
  <r>
    <s v="DSCN3535"/>
    <s v="CC0425_11"/>
    <n v="11"/>
    <n v="1"/>
    <x v="4"/>
    <d v="2019-04-25T00:00:00"/>
    <s v="April"/>
    <s v="Spring"/>
    <d v="1899-12-30T00:22:00"/>
    <d v="1899-12-30T00:00:22"/>
    <x v="77"/>
    <s v="Partly cloudy"/>
    <x v="4"/>
    <s v="Foraging"/>
    <s v="NA"/>
    <s v="unknown"/>
    <n v="0"/>
    <n v="0"/>
    <m/>
    <s v="NA"/>
    <s v="NA"/>
    <s v="NA"/>
    <m/>
    <m/>
    <m/>
    <s v="NA"/>
    <s v="NA"/>
    <s v="NA"/>
    <s v="NA"/>
    <s v="NA"/>
    <s v="NA"/>
    <s v="NA"/>
    <s v="NA"/>
    <n v="0"/>
    <n v="0"/>
    <n v="0"/>
    <n v="0"/>
    <n v="22"/>
    <m/>
    <n v="22"/>
    <s v="Searching"/>
    <m/>
    <m/>
    <m/>
  </r>
  <r>
    <s v="DSCN3537"/>
    <s v="CC0425_13"/>
    <n v="13"/>
    <n v="1"/>
    <x v="4"/>
    <d v="2019-04-25T00:00:00"/>
    <s v="April"/>
    <s v="Spring"/>
    <d v="1899-12-30T02:49:00"/>
    <d v="1899-12-30T00:02:49"/>
    <x v="80"/>
    <s v="Partly cloudy"/>
    <x v="4"/>
    <s v="Foraging"/>
    <s v="NA"/>
    <s v="unknown"/>
    <n v="0"/>
    <n v="0"/>
    <m/>
    <s v="NA"/>
    <s v="NA"/>
    <s v="NA"/>
    <m/>
    <m/>
    <m/>
    <s v="NA"/>
    <s v="NA"/>
    <s v="NA"/>
    <s v="NA"/>
    <s v="NA"/>
    <s v="NA"/>
    <s v="NA"/>
    <s v="NA"/>
    <n v="0"/>
    <n v="0"/>
    <n v="0"/>
    <n v="0"/>
    <n v="269"/>
    <m/>
    <n v="269"/>
    <s v="Searching"/>
    <m/>
    <m/>
    <m/>
  </r>
  <r>
    <s v="DSCN3538"/>
    <s v="CC0425_14"/>
    <n v="14"/>
    <n v="1"/>
    <x v="4"/>
    <d v="2019-04-25T00:00:00"/>
    <s v="April"/>
    <s v="Spring"/>
    <d v="1899-12-30T00:44:00"/>
    <d v="1899-12-30T00:00:44"/>
    <x v="37"/>
    <s v="Partly cloudy"/>
    <x v="4"/>
    <s v="Foraging"/>
    <s v="NA"/>
    <s v="unknown"/>
    <n v="0"/>
    <n v="0"/>
    <m/>
    <s v="NA"/>
    <s v="NA"/>
    <s v="NA"/>
    <m/>
    <m/>
    <m/>
    <s v="NA"/>
    <s v="NA"/>
    <s v="NA"/>
    <s v="NA"/>
    <s v="NA"/>
    <s v="NA"/>
    <s v="NA"/>
    <s v="NA"/>
    <n v="0"/>
    <n v="0"/>
    <n v="0"/>
    <n v="0"/>
    <n v="44"/>
    <m/>
    <n v="44"/>
    <s v="Searching"/>
    <m/>
    <m/>
    <m/>
  </r>
  <r>
    <s v="DSCN3545"/>
    <s v="CC0425_16"/>
    <n v="16"/>
    <n v="1"/>
    <x v="4"/>
    <d v="2019-04-25T00:00:00"/>
    <s v="April"/>
    <s v="Spring"/>
    <d v="1899-12-30T01:36:00"/>
    <d v="1899-12-30T00:01:36"/>
    <x v="81"/>
    <s v="Partly cloudy"/>
    <x v="4"/>
    <s v="Foraging"/>
    <s v="NA"/>
    <s v="unknown"/>
    <n v="0"/>
    <n v="0"/>
    <m/>
    <s v="NA"/>
    <s v="NA"/>
    <s v="NA"/>
    <m/>
    <m/>
    <m/>
    <s v="NA"/>
    <s v="NA"/>
    <s v="NA"/>
    <s v="NA"/>
    <s v="NA"/>
    <s v="NA"/>
    <s v="NA"/>
    <s v="NA"/>
    <n v="0"/>
    <n v="0"/>
    <n v="0"/>
    <n v="0"/>
    <n v="96"/>
    <m/>
    <n v="96"/>
    <s v="Searching"/>
    <m/>
    <m/>
    <m/>
  </r>
  <r>
    <s v="DSCN3546"/>
    <s v="CC0425_17"/>
    <n v="17"/>
    <n v="1"/>
    <x v="4"/>
    <d v="2019-04-25T00:00:00"/>
    <s v="April"/>
    <s v="Spring"/>
    <d v="1899-12-30T01:03:00"/>
    <d v="1899-12-30T00:01:03"/>
    <x v="48"/>
    <s v="Partly cloudy"/>
    <x v="4"/>
    <s v="Foraging"/>
    <s v="NA"/>
    <s v="unknown"/>
    <n v="0"/>
    <n v="0"/>
    <m/>
    <s v="NA"/>
    <s v="NA"/>
    <s v="NA"/>
    <m/>
    <m/>
    <m/>
    <s v="NA"/>
    <s v="NA"/>
    <s v="NA"/>
    <s v="NA"/>
    <s v="NA"/>
    <s v="NA"/>
    <s v="NA"/>
    <s v="NA"/>
    <n v="0"/>
    <n v="0"/>
    <n v="0"/>
    <n v="0"/>
    <n v="45"/>
    <m/>
    <n v="45"/>
    <s v="Searching"/>
    <m/>
    <m/>
    <m/>
  </r>
  <r>
    <s v="DSCN3547"/>
    <s v="CC0425_18"/>
    <n v="18"/>
    <n v="1"/>
    <x v="4"/>
    <d v="2019-04-25T00:00:00"/>
    <s v="April"/>
    <s v="Spring"/>
    <d v="1899-12-30T01:52:00"/>
    <d v="1899-12-30T00:01:52"/>
    <x v="82"/>
    <s v="Partly cloudy"/>
    <x v="4"/>
    <s v="Foraging"/>
    <s v="NA"/>
    <s v="unknown"/>
    <n v="0"/>
    <n v="0"/>
    <m/>
    <s v="NA"/>
    <s v="NA"/>
    <s v="NA"/>
    <m/>
    <m/>
    <m/>
    <s v="NA"/>
    <s v="NA"/>
    <s v="NA"/>
    <s v="NA"/>
    <s v="NA"/>
    <s v="NA"/>
    <s v="NA"/>
    <s v="NA"/>
    <n v="0"/>
    <n v="0"/>
    <n v="0"/>
    <n v="0"/>
    <n v="80"/>
    <m/>
    <n v="80"/>
    <s v="Searching"/>
    <m/>
    <m/>
    <m/>
  </r>
  <r>
    <s v="DSCN3526"/>
    <s v="CC0425_2"/>
    <n v="2"/>
    <n v="1"/>
    <x v="4"/>
    <d v="2019-04-25T00:00:00"/>
    <s v="April"/>
    <s v="Spring"/>
    <d v="1899-12-30T00:24:00"/>
    <d v="1899-12-30T00:00:24"/>
    <x v="71"/>
    <s v="Partly cloudy"/>
    <x v="4"/>
    <s v="Foraging"/>
    <s v="NA"/>
    <s v="unknown"/>
    <n v="0"/>
    <n v="0"/>
    <m/>
    <s v="NA"/>
    <s v="NA"/>
    <s v="NA"/>
    <m/>
    <m/>
    <m/>
    <s v="NA"/>
    <s v="NA"/>
    <s v="NA"/>
    <s v="NA"/>
    <s v="NA"/>
    <s v="NA"/>
    <s v="NA"/>
    <s v="NA"/>
    <n v="0"/>
    <n v="0"/>
    <n v="0"/>
    <n v="0"/>
    <n v="24"/>
    <m/>
    <n v="24"/>
    <s v="Searching"/>
    <m/>
    <m/>
    <m/>
  </r>
  <r>
    <s v="DSCN3550"/>
    <s v="CC0425_21"/>
    <n v="21"/>
    <n v="1"/>
    <x v="4"/>
    <d v="2019-04-25T00:00:00"/>
    <s v="April"/>
    <s v="Spring"/>
    <d v="1899-12-30T01:04:00"/>
    <d v="1899-12-30T00:01:04"/>
    <x v="16"/>
    <s v="Partly cloudy"/>
    <x v="4"/>
    <s v="Foraging"/>
    <s v="NA"/>
    <s v="unknown"/>
    <n v="0"/>
    <n v="0"/>
    <m/>
    <s v="NA"/>
    <s v="NA"/>
    <s v="NA"/>
    <m/>
    <m/>
    <m/>
    <s v="NA"/>
    <s v="NA"/>
    <s v="NA"/>
    <s v="NA"/>
    <s v="NA"/>
    <s v="NA"/>
    <s v="NA"/>
    <s v="NA"/>
    <n v="0"/>
    <n v="0"/>
    <n v="0"/>
    <n v="0"/>
    <n v="64"/>
    <m/>
    <n v="64"/>
    <s v="Searching"/>
    <m/>
    <m/>
    <m/>
  </r>
  <r>
    <s v="DSCN3555"/>
    <s v="CC0425_24"/>
    <n v="24"/>
    <n v="1"/>
    <x v="4"/>
    <d v="2019-04-25T00:00:00"/>
    <s v="April"/>
    <s v="Spring"/>
    <d v="1899-12-30T00:27:00"/>
    <d v="1899-12-30T00:00:27"/>
    <x v="52"/>
    <s v="Partly cloudy"/>
    <x v="4"/>
    <s v="Foraging"/>
    <s v="NA"/>
    <s v="unknown"/>
    <n v="0"/>
    <n v="0"/>
    <m/>
    <s v="NA"/>
    <s v="NA"/>
    <s v="NA"/>
    <m/>
    <m/>
    <m/>
    <s v="NA"/>
    <s v="NA"/>
    <s v="NA"/>
    <s v="NA"/>
    <s v="NA"/>
    <s v="NA"/>
    <s v="NA"/>
    <s v="NA"/>
    <n v="0"/>
    <n v="0"/>
    <n v="0"/>
    <n v="0"/>
    <n v="27"/>
    <m/>
    <n v="27"/>
    <s v="Searching"/>
    <m/>
    <m/>
    <m/>
  </r>
  <r>
    <s v="DSCN3564"/>
    <s v="CC0425_30"/>
    <n v="30"/>
    <n v="1"/>
    <x v="4"/>
    <d v="2019-04-25T00:00:00"/>
    <s v="April"/>
    <s v="Spring"/>
    <d v="1899-12-30T01:24:00"/>
    <d v="1899-12-30T00:01:24"/>
    <x v="83"/>
    <s v="Partly cloudy"/>
    <x v="4"/>
    <s v="Foraging"/>
    <s v="NA"/>
    <s v="unknown"/>
    <n v="0"/>
    <n v="0"/>
    <m/>
    <s v="NA"/>
    <s v="NA"/>
    <s v="NA"/>
    <m/>
    <m/>
    <m/>
    <s v="NA"/>
    <s v="NA"/>
    <s v="NA"/>
    <s v="NA"/>
    <s v="NA"/>
    <s v="NA"/>
    <s v="NA"/>
    <s v="NA"/>
    <n v="0"/>
    <n v="0"/>
    <n v="0"/>
    <n v="0"/>
    <n v="84"/>
    <m/>
    <n v="84"/>
    <s v="Searching"/>
    <m/>
    <m/>
    <m/>
  </r>
  <r>
    <s v="DSCN3569"/>
    <s v="CC0425_34"/>
    <n v="34"/>
    <n v="1"/>
    <x v="4"/>
    <d v="2019-04-25T00:00:00"/>
    <s v="April"/>
    <s v="Spring"/>
    <d v="1899-12-30T00:33:00"/>
    <d v="1899-12-30T00:00:33"/>
    <x v="8"/>
    <s v="Partly cloudy"/>
    <x v="4"/>
    <s v="Foraging"/>
    <s v="NA"/>
    <s v="unknown"/>
    <n v="0"/>
    <n v="0"/>
    <m/>
    <s v="NA"/>
    <s v="NA"/>
    <s v="NA"/>
    <m/>
    <m/>
    <m/>
    <s v="NA"/>
    <s v="NA"/>
    <s v="NA"/>
    <s v="NA"/>
    <s v="NA"/>
    <s v="NA"/>
    <s v="NA"/>
    <s v="NA"/>
    <n v="0"/>
    <n v="0"/>
    <n v="0"/>
    <n v="0"/>
    <n v="33"/>
    <m/>
    <n v="33"/>
    <s v="Searching"/>
    <m/>
    <m/>
    <m/>
  </r>
  <r>
    <s v="DSCN3570"/>
    <s v="CC0425_35"/>
    <n v="35"/>
    <n v="1"/>
    <x v="4"/>
    <d v="2019-04-25T00:00:00"/>
    <s v="April"/>
    <s v="Spring"/>
    <d v="1899-12-30T00:49:00"/>
    <d v="1899-12-30T00:00:49"/>
    <x v="84"/>
    <s v="Partly cloudy"/>
    <x v="4"/>
    <s v="Foraging"/>
    <s v="NA"/>
    <s v="unknown"/>
    <n v="0"/>
    <n v="0"/>
    <m/>
    <s v="NA"/>
    <s v="NA"/>
    <s v="NA"/>
    <m/>
    <m/>
    <m/>
    <s v="NA"/>
    <s v="NA"/>
    <s v="NA"/>
    <s v="NA"/>
    <s v="NA"/>
    <s v="NA"/>
    <s v="NA"/>
    <s v="NA"/>
    <n v="0"/>
    <n v="0"/>
    <n v="0"/>
    <n v="0"/>
    <n v="48"/>
    <m/>
    <n v="48"/>
    <s v="Searching"/>
    <m/>
    <m/>
    <m/>
  </r>
  <r>
    <s v="DSCN3574"/>
    <s v="CC0425_38"/>
    <n v="38"/>
    <n v="1"/>
    <x v="4"/>
    <d v="2019-04-25T00:00:00"/>
    <s v="April"/>
    <s v="Spring"/>
    <d v="1899-12-30T01:04:00"/>
    <d v="1899-12-30T00:01:04"/>
    <x v="16"/>
    <s v="Partly cloudy"/>
    <x v="4"/>
    <s v="Foraging"/>
    <s v="NA"/>
    <s v="unknown"/>
    <n v="0"/>
    <n v="0"/>
    <m/>
    <s v="NA"/>
    <s v="NA"/>
    <s v="NA"/>
    <m/>
    <m/>
    <m/>
    <s v="NA"/>
    <s v="NA"/>
    <s v="NA"/>
    <s v="NA"/>
    <s v="NA"/>
    <s v="NA"/>
    <s v="NA"/>
    <s v="NA"/>
    <n v="0"/>
    <n v="0"/>
    <n v="0"/>
    <n v="0"/>
    <n v="62"/>
    <m/>
    <n v="62"/>
    <s v="Searching"/>
    <m/>
    <m/>
    <m/>
  </r>
  <r>
    <s v="DSCN3528"/>
    <s v="CC0425_4"/>
    <n v="4"/>
    <n v="1"/>
    <x v="4"/>
    <d v="2019-04-25T00:00:00"/>
    <s v="April"/>
    <s v="Spring"/>
    <d v="1899-12-30T00:23:00"/>
    <d v="1899-12-30T00:00:23"/>
    <x v="85"/>
    <s v="Partly cloudy"/>
    <x v="4"/>
    <s v="Foraging"/>
    <s v="NA"/>
    <s v="unknown"/>
    <n v="0"/>
    <n v="0"/>
    <m/>
    <s v="NA"/>
    <s v="NA"/>
    <s v="NA"/>
    <m/>
    <m/>
    <m/>
    <s v="NA"/>
    <s v="NA"/>
    <s v="NA"/>
    <s v="NA"/>
    <s v="NA"/>
    <s v="NA"/>
    <s v="NA"/>
    <s v="NA"/>
    <n v="0"/>
    <n v="0"/>
    <n v="0"/>
    <n v="0"/>
    <n v="21"/>
    <m/>
    <n v="21"/>
    <s v="Searching"/>
    <m/>
    <m/>
    <m/>
  </r>
  <r>
    <s v="DSCN3529"/>
    <s v="CC0425_5"/>
    <n v="5"/>
    <n v="1"/>
    <x v="4"/>
    <d v="2019-04-25T00:00:00"/>
    <s v="April"/>
    <s v="Spring"/>
    <d v="1899-12-30T01:36:00"/>
    <d v="1899-12-30T00:01:36"/>
    <x v="81"/>
    <s v="Partly cloudy"/>
    <x v="4"/>
    <s v="Foraging"/>
    <s v="NA"/>
    <s v="unknown"/>
    <n v="0"/>
    <n v="0"/>
    <m/>
    <s v="NA"/>
    <s v="NA"/>
    <s v="NA"/>
    <m/>
    <m/>
    <m/>
    <s v="NA"/>
    <s v="NA"/>
    <s v="NA"/>
    <s v="NA"/>
    <s v="NA"/>
    <s v="NA"/>
    <s v="NA"/>
    <s v="NA"/>
    <n v="0"/>
    <n v="0"/>
    <n v="0"/>
    <n v="0"/>
    <n v="96"/>
    <m/>
    <n v="96"/>
    <s v="Searching"/>
    <m/>
    <m/>
    <m/>
  </r>
  <r>
    <s v="DSCN3530"/>
    <s v="CC0425_6"/>
    <n v="6"/>
    <n v="1"/>
    <x v="4"/>
    <d v="2019-04-25T00:00:00"/>
    <s v="April"/>
    <s v="Spring"/>
    <d v="1899-12-30T00:26:00"/>
    <d v="1899-12-30T00:00:26"/>
    <x v="44"/>
    <s v="Partly cloudy"/>
    <x v="4"/>
    <s v="Foraging"/>
    <s v="NA"/>
    <s v="unknown"/>
    <n v="0"/>
    <n v="0"/>
    <m/>
    <s v="NA"/>
    <s v="NA"/>
    <s v="NA"/>
    <m/>
    <m/>
    <m/>
    <s v="NA"/>
    <s v="NA"/>
    <s v="NA"/>
    <s v="NA"/>
    <s v="NA"/>
    <s v="NA"/>
    <s v="NA"/>
    <s v="NA"/>
    <n v="0"/>
    <n v="0"/>
    <n v="0"/>
    <n v="0"/>
    <n v="26"/>
    <m/>
    <n v="26"/>
    <s v="Searching"/>
    <m/>
    <m/>
    <m/>
  </r>
  <r>
    <s v="DSCN3532"/>
    <s v="CC0425_8"/>
    <n v="8"/>
    <n v="1"/>
    <x v="4"/>
    <d v="2019-04-25T00:00:00"/>
    <s v="April"/>
    <s v="Spring"/>
    <d v="1899-12-30T01:28:00"/>
    <d v="1899-12-30T00:01:28"/>
    <x v="86"/>
    <s v="Partly cloudy"/>
    <x v="4"/>
    <s v="Foraging"/>
    <s v="NA"/>
    <s v="unknown"/>
    <n v="0"/>
    <n v="0"/>
    <m/>
    <s v="NA"/>
    <s v="NA"/>
    <s v="NA"/>
    <m/>
    <m/>
    <m/>
    <s v="NA"/>
    <s v="NA"/>
    <s v="NA"/>
    <s v="NA"/>
    <s v="NA"/>
    <s v="NA"/>
    <s v="NA"/>
    <s v="NA"/>
    <n v="0"/>
    <n v="0"/>
    <n v="0"/>
    <n v="0"/>
    <n v="88"/>
    <m/>
    <n v="88"/>
    <s v="Searching"/>
    <m/>
    <m/>
    <m/>
  </r>
  <r>
    <s v="DSCN3398"/>
    <s v="CC0422_6"/>
    <n v="6"/>
    <n v="1"/>
    <x v="4"/>
    <d v="2019-04-22T00:00:00"/>
    <s v="April"/>
    <s v="Spring"/>
    <d v="1899-12-30T00:15:00"/>
    <d v="1899-12-30T00:00:15"/>
    <x v="14"/>
    <s v="Partly cloudy"/>
    <x v="5"/>
    <s v="Foraging"/>
    <s v="Spruce"/>
    <n v="1"/>
    <n v="1"/>
    <n v="0"/>
    <s v="Unknown"/>
    <s v="unknown"/>
    <s v="Exterior bare spruce branch"/>
    <s v="NA"/>
    <m/>
    <m/>
    <m/>
    <s v="NA"/>
    <s v="NA"/>
    <s v="NA"/>
    <s v="NA"/>
    <s v="NA"/>
    <s v="DNM"/>
    <s v="DNM"/>
    <s v="NA"/>
    <n v="3"/>
    <n v="0"/>
    <n v="0"/>
    <n v="3"/>
    <n v="0"/>
    <m/>
    <n v="3"/>
    <s v="Searching"/>
    <m/>
    <m/>
    <m/>
  </r>
  <r>
    <s v="DSCN3412"/>
    <s v="CC0422_15"/>
    <n v="15"/>
    <n v="2"/>
    <x v="4"/>
    <d v="2019-04-22T00:00:00"/>
    <s v="April"/>
    <s v="Spring"/>
    <d v="1899-12-30T01:05:00"/>
    <d v="1899-12-30T00:01:05"/>
    <x v="87"/>
    <s v="Partly cloudy"/>
    <x v="5"/>
    <s v="Foraging"/>
    <s v="Spruce"/>
    <n v="1"/>
    <n v="1"/>
    <n v="0"/>
    <s v="Unknown"/>
    <s v="unknown"/>
    <s v="Exterior spruce branch under bark"/>
    <s v="NA"/>
    <m/>
    <m/>
    <m/>
    <s v="NA"/>
    <s v="NA"/>
    <s v="NA"/>
    <s v="NA"/>
    <s v="NA"/>
    <n v="63.722279999999998"/>
    <n v="148.94917000000001"/>
    <s v="NA"/>
    <n v="18"/>
    <n v="0"/>
    <n v="0"/>
    <n v="18"/>
    <n v="0"/>
    <m/>
    <n v="18"/>
    <s v="Probing"/>
    <m/>
    <n v="4"/>
    <n v="0"/>
  </r>
  <r>
    <s v="DSCN3419"/>
    <s v="CC0422_19"/>
    <n v="19"/>
    <n v="1"/>
    <x v="4"/>
    <d v="2019-04-22T00:00:00"/>
    <s v="April"/>
    <s v="Spring"/>
    <d v="1899-12-30T00:26:00"/>
    <d v="1899-12-30T00:00:26"/>
    <x v="44"/>
    <s v="Partly cloudy"/>
    <x v="5"/>
    <s v="Foraging"/>
    <s v="Spruce"/>
    <n v="1"/>
    <s v="unknown"/>
    <n v="0"/>
    <s v="Unknown"/>
    <s v="unknown"/>
    <s v="Exterior spruce branch under witchhair"/>
    <s v="NA"/>
    <m/>
    <m/>
    <m/>
    <s v="NA"/>
    <s v="NA"/>
    <s v="NA"/>
    <s v="NA"/>
    <s v="NA"/>
    <s v="NA"/>
    <s v="NA"/>
    <s v="NA"/>
    <n v="10"/>
    <n v="0"/>
    <n v="0"/>
    <n v="10"/>
    <n v="0"/>
    <m/>
    <n v="10"/>
    <s v="Probing"/>
    <m/>
    <n v="3"/>
    <n v="0"/>
  </r>
  <r>
    <s v="DSCN3424"/>
    <s v="CC0422_22"/>
    <n v="22"/>
    <n v="1"/>
    <x v="4"/>
    <d v="2019-04-22T00:00:00"/>
    <s v="April"/>
    <s v="Spring"/>
    <d v="1899-12-30T01:37:00"/>
    <d v="1899-12-30T00:01:37"/>
    <x v="88"/>
    <s v="Partly cloudy"/>
    <x v="5"/>
    <s v="Foraging"/>
    <s v="NA"/>
    <n v="1"/>
    <n v="0"/>
    <n v="0"/>
    <s v="Unknown"/>
    <s v="unknown (Probably B&amp;Ugs)"/>
    <s v="Ground"/>
    <s v="NA"/>
    <m/>
    <m/>
    <m/>
    <s v="NA"/>
    <s v="NA"/>
    <s v="NA"/>
    <s v="NA"/>
    <s v="NA"/>
    <s v="NA"/>
    <s v="NA"/>
    <s v="NA"/>
    <n v="0"/>
    <n v="0"/>
    <n v="0"/>
    <n v="0"/>
    <n v="60"/>
    <m/>
    <n v="60"/>
    <s v="Searching"/>
    <m/>
    <m/>
    <m/>
  </r>
  <r>
    <s v="DSCN3396"/>
    <s v="CC0422_4"/>
    <n v="4"/>
    <n v="2"/>
    <x v="4"/>
    <d v="2019-04-22T00:00:00"/>
    <s v="April"/>
    <s v="Spring"/>
    <d v="1899-12-30T01:03:00"/>
    <d v="1899-12-30T00:01:03"/>
    <x v="48"/>
    <s v="Partly cloudy"/>
    <x v="5"/>
    <s v="Foraging"/>
    <s v="NA"/>
    <n v="1"/>
    <n v="0"/>
    <n v="0"/>
    <s v="Unknown"/>
    <s v="unknown"/>
    <s v="Ground"/>
    <s v="NA"/>
    <m/>
    <m/>
    <m/>
    <s v="NA"/>
    <s v="NA"/>
    <s v="NA"/>
    <s v="NA"/>
    <s v="NA"/>
    <s v="NA"/>
    <s v="NA"/>
    <s v="NA"/>
    <n v="0"/>
    <n v="0"/>
    <n v="0"/>
    <n v="0"/>
    <n v="31"/>
    <m/>
    <n v="31"/>
    <s v="Searching"/>
    <m/>
    <m/>
    <m/>
  </r>
  <r>
    <s v="DSCN3401"/>
    <s v="CC0422_8"/>
    <n v="8"/>
    <n v="1"/>
    <x v="4"/>
    <d v="2019-04-22T00:00:00"/>
    <s v="April"/>
    <s v="Spring"/>
    <d v="1899-12-30T00:15:00"/>
    <d v="1899-12-30T00:00:15"/>
    <x v="14"/>
    <s v="Partly cloudy"/>
    <x v="5"/>
    <s v="Foraging"/>
    <s v="NA"/>
    <n v="1"/>
    <n v="0"/>
    <n v="0"/>
    <s v="Unknown"/>
    <s v="unknown"/>
    <s v="Ground"/>
    <s v="NA"/>
    <m/>
    <m/>
    <m/>
    <s v="NA"/>
    <s v="NA"/>
    <s v="NA"/>
    <s v="NA"/>
    <s v="NA"/>
    <s v="NA"/>
    <s v="NA"/>
    <s v="NA"/>
    <n v="0"/>
    <n v="0"/>
    <n v="0"/>
    <n v="0"/>
    <n v="15"/>
    <m/>
    <n v="15"/>
    <s v="Searching"/>
    <m/>
    <m/>
    <m/>
  </r>
  <r>
    <s v="DSCN3409"/>
    <s v="CC0422_12"/>
    <n v="12"/>
    <n v="1"/>
    <x v="4"/>
    <d v="2019-04-22T00:00:00"/>
    <s v="April"/>
    <s v="Spring"/>
    <d v="1899-12-30T00:28:00"/>
    <d v="1899-12-30T00:00:28"/>
    <x v="68"/>
    <s v="Partly cloudy"/>
    <x v="5"/>
    <s v="Foraging"/>
    <s v="Spruce"/>
    <n v="1"/>
    <n v="1"/>
    <n v="0"/>
    <s v="Unknown"/>
    <s v="unknown"/>
    <s v="Spruce trunk under bark"/>
    <s v="NA"/>
    <m/>
    <m/>
    <m/>
    <s v="NA"/>
    <s v="NA"/>
    <s v="NA"/>
    <s v="NA"/>
    <s v="NA"/>
    <n v="63.722259999999999"/>
    <n v="148.94954000000001"/>
    <s v="NA"/>
    <n v="13"/>
    <n v="0"/>
    <n v="13"/>
    <n v="0"/>
    <n v="15"/>
    <m/>
    <n v="28"/>
    <s v="Probing"/>
    <m/>
    <n v="7"/>
    <n v="0"/>
  </r>
  <r>
    <s v="DSCN3406"/>
    <s v="CC0422_10"/>
    <n v="10"/>
    <n v="1"/>
    <x v="4"/>
    <d v="2019-04-22T00:00:00"/>
    <s v="April"/>
    <s v="Spring"/>
    <d v="1899-12-30T00:47:00"/>
    <d v="1899-12-30T00:00:47"/>
    <x v="22"/>
    <s v="Partly cloudy"/>
    <x v="5"/>
    <s v="Foraging"/>
    <s v="NA"/>
    <n v="2"/>
    <n v="0"/>
    <n v="0"/>
    <s v="Unknown"/>
    <s v="unknown"/>
    <s v="Ground"/>
    <s v="NA"/>
    <m/>
    <m/>
    <m/>
    <s v="NA"/>
    <s v="NA"/>
    <s v="NA"/>
    <s v="NA"/>
    <s v="NA"/>
    <s v="NA"/>
    <s v="NA"/>
    <s v="NA"/>
    <n v="0"/>
    <n v="0"/>
    <n v="0"/>
    <n v="0"/>
    <n v="47"/>
    <m/>
    <n v="47"/>
    <s v="Searching"/>
    <m/>
    <m/>
    <m/>
  </r>
  <r>
    <s v="DSCN3410"/>
    <s v="CC0422_13"/>
    <n v="13"/>
    <n v="1"/>
    <x v="4"/>
    <d v="2019-04-22T00:00:00"/>
    <s v="April"/>
    <s v="Spring"/>
    <d v="1899-12-30T00:57:00"/>
    <d v="1899-12-30T00:00:57"/>
    <x v="20"/>
    <s v="Partly cloudy"/>
    <x v="5"/>
    <s v="Foraging"/>
    <s v="NA"/>
    <n v="2"/>
    <n v="0"/>
    <n v="0"/>
    <s v="Unknown"/>
    <s v="unknown"/>
    <s v="Ground"/>
    <s v="NA"/>
    <m/>
    <m/>
    <m/>
    <s v="NA"/>
    <s v="NA"/>
    <s v="NA"/>
    <s v="NA"/>
    <s v="NA"/>
    <s v="NA"/>
    <s v="NA"/>
    <s v="NA"/>
    <n v="0"/>
    <n v="0"/>
    <n v="0"/>
    <n v="0"/>
    <n v="44"/>
    <m/>
    <n v="44"/>
    <s v="Searching"/>
    <m/>
    <m/>
    <m/>
  </r>
  <r>
    <s v="DSCN3397"/>
    <s v="CC0422_5"/>
    <n v="5"/>
    <n v="1"/>
    <x v="4"/>
    <d v="2019-04-22T00:00:00"/>
    <s v="April"/>
    <s v="Spring"/>
    <d v="1899-12-30T00:36:00"/>
    <d v="1899-12-30T00:00:36"/>
    <x v="3"/>
    <s v="Partly cloudy"/>
    <x v="5"/>
    <s v="Foraging"/>
    <s v="NA"/>
    <n v="2"/>
    <n v="0"/>
    <n v="0"/>
    <s v="Unknown"/>
    <s v="unknown"/>
    <s v="Ground"/>
    <s v="NA"/>
    <m/>
    <m/>
    <m/>
    <s v="NA"/>
    <s v="NA"/>
    <s v="NA"/>
    <s v="NA"/>
    <s v="NA"/>
    <s v="NA"/>
    <s v="NA"/>
    <s v="NA"/>
    <n v="0"/>
    <n v="0"/>
    <n v="0"/>
    <n v="0"/>
    <n v="36"/>
    <m/>
    <n v="36"/>
    <s v="Searching"/>
    <m/>
    <m/>
    <m/>
  </r>
  <r>
    <s v="DSCN3420"/>
    <s v="CC0422_20"/>
    <n v="20"/>
    <n v="1"/>
    <x v="4"/>
    <d v="2019-04-22T00:00:00"/>
    <s v="April"/>
    <s v="Spring"/>
    <d v="1899-12-30T01:02:00"/>
    <d v="1899-12-30T00:01:02"/>
    <x v="63"/>
    <s v="Partly cloudy"/>
    <x v="5"/>
    <s v="Foraging"/>
    <s v="NA"/>
    <n v="3"/>
    <n v="0"/>
    <n v="0"/>
    <s v="Unknown"/>
    <s v="unknown (Probably B&amp;Ugs)"/>
    <s v="Ground"/>
    <s v="NA"/>
    <m/>
    <m/>
    <m/>
    <s v="NA"/>
    <s v="NA"/>
    <s v="NA"/>
    <s v="NA"/>
    <s v="NA"/>
    <s v="NA"/>
    <s v="NA"/>
    <s v="NA"/>
    <n v="0"/>
    <n v="0"/>
    <n v="0"/>
    <n v="0"/>
    <n v="52"/>
    <m/>
    <n v="52"/>
    <s v="Searching"/>
    <m/>
    <m/>
    <m/>
  </r>
  <r>
    <s v="DSCN3396"/>
    <s v="CC0422_4"/>
    <n v="4"/>
    <n v="1"/>
    <x v="4"/>
    <d v="2019-04-22T00:00:00"/>
    <s v="April"/>
    <s v="Spring"/>
    <d v="1899-12-30T01:03:00"/>
    <d v="1899-12-30T00:01:03"/>
    <x v="48"/>
    <s v="Partly cloudy"/>
    <x v="5"/>
    <s v="Foraging"/>
    <s v="NA"/>
    <n v="1"/>
    <n v="0"/>
    <n v="0"/>
    <s v="Insect"/>
    <s v="Insect (caterpiller)"/>
    <s v="Ground"/>
    <s v="NA"/>
    <m/>
    <m/>
    <m/>
    <s v="NA"/>
    <s v="NA"/>
    <s v="NA"/>
    <s v="NA"/>
    <s v="NA"/>
    <s v="NA"/>
    <s v="NA"/>
    <s v="NA"/>
    <n v="0"/>
    <n v="0"/>
    <n v="0"/>
    <n v="0"/>
    <n v="30"/>
    <m/>
    <n v="30"/>
    <s v="Searching"/>
    <m/>
    <m/>
    <m/>
  </r>
  <r>
    <s v="DSCN3575"/>
    <s v="CC0425_39"/>
    <n v="39"/>
    <n v="1"/>
    <x v="4"/>
    <d v="2019-04-25T00:00:00"/>
    <s v="April"/>
    <s v="Spring"/>
    <d v="1899-12-30T00:32:00"/>
    <d v="1899-12-30T00:00:32"/>
    <x v="21"/>
    <s v="Partly cloudy"/>
    <x v="5"/>
    <s v="Foraging"/>
    <s v="NA"/>
    <n v="0"/>
    <n v="0"/>
    <n v="0"/>
    <m/>
    <s v="NA"/>
    <s v="NA"/>
    <s v="NA"/>
    <m/>
    <m/>
    <m/>
    <s v="NA"/>
    <s v="NA"/>
    <s v="NA"/>
    <s v="NA"/>
    <s v="NA"/>
    <s v="NA"/>
    <s v="NA"/>
    <s v="NA"/>
    <n v="0"/>
    <n v="0"/>
    <n v="0"/>
    <n v="0"/>
    <n v="31"/>
    <m/>
    <n v="31"/>
    <s v="Searching"/>
    <m/>
    <m/>
    <m/>
  </r>
  <r>
    <s v="DSCN3711"/>
    <s v="CC0430_8"/>
    <n v="8"/>
    <n v="1"/>
    <x v="4"/>
    <d v="2019-04-30T00:00:00"/>
    <s v="April"/>
    <s v="Spring"/>
    <d v="1899-12-30T00:29:00"/>
    <d v="1899-12-30T00:00:29"/>
    <x v="58"/>
    <s v="Clear, full sun"/>
    <x v="5"/>
    <s v="Foraging"/>
    <s v="Spruce"/>
    <n v="1"/>
    <n v="0"/>
    <n v="0"/>
    <s v="Unknown"/>
    <s v="unknown"/>
    <s v="Exterior bare spruce branch"/>
    <s v="NA"/>
    <m/>
    <m/>
    <m/>
    <s v="NA"/>
    <s v="NA"/>
    <s v="NA"/>
    <s v="NA"/>
    <s v="NA"/>
    <s v="NA"/>
    <s v="NA"/>
    <s v="NA"/>
    <n v="15"/>
    <n v="14"/>
    <n v="0"/>
    <n v="29"/>
    <n v="0"/>
    <m/>
    <n v="29"/>
    <s v="Searching"/>
    <m/>
    <m/>
    <m/>
  </r>
  <r>
    <s v="DSCN3719"/>
    <s v="CC0430_13"/>
    <n v="13"/>
    <n v="1"/>
    <x v="4"/>
    <d v="2019-04-30T00:00:00"/>
    <s v="April"/>
    <s v="Spring"/>
    <d v="1899-12-30T00:21:00"/>
    <d v="1899-12-30T00:00:21"/>
    <x v="89"/>
    <s v="Clear, full sun"/>
    <x v="5"/>
    <s v="Foraging"/>
    <s v="Spruce"/>
    <n v="1"/>
    <s v="unknown"/>
    <n v="0"/>
    <s v="Unknown"/>
    <s v="unknown"/>
    <s v="Exterior spruce foliage"/>
    <s v="NA"/>
    <m/>
    <m/>
    <m/>
    <s v="NA"/>
    <s v="NA"/>
    <s v="NA"/>
    <s v="NA"/>
    <s v="NA"/>
    <s v="NA"/>
    <s v="NA"/>
    <s v="NA"/>
    <n v="0"/>
    <n v="6"/>
    <n v="0"/>
    <n v="6"/>
    <n v="0"/>
    <m/>
    <n v="6"/>
    <s v="Probing"/>
    <m/>
    <s v="Unknown"/>
    <m/>
  </r>
  <r>
    <s v="DSCN3723"/>
    <s v="CC0430_14"/>
    <n v="14"/>
    <n v="1"/>
    <x v="4"/>
    <d v="2019-04-30T00:00:00"/>
    <s v="April"/>
    <s v="Spring"/>
    <d v="1899-12-30T00:28:00"/>
    <d v="1899-12-30T00:00:28"/>
    <x v="68"/>
    <s v="Clear, full sun"/>
    <x v="5"/>
    <s v="Foraging"/>
    <s v="Spruce"/>
    <n v="1"/>
    <s v="unknown"/>
    <n v="0"/>
    <s v="Unknown"/>
    <s v="unknown"/>
    <s v="Exterior spruce foliage"/>
    <s v="NA"/>
    <m/>
    <m/>
    <m/>
    <s v="NA"/>
    <s v="NA"/>
    <s v="NA"/>
    <s v="NA"/>
    <s v="NA"/>
    <s v="NA"/>
    <s v="NA"/>
    <s v="NA"/>
    <n v="0"/>
    <n v="16"/>
    <n v="0"/>
    <n v="16"/>
    <n v="0"/>
    <m/>
    <n v="16"/>
    <s v="Probing"/>
    <m/>
    <n v="1"/>
    <m/>
  </r>
  <r>
    <s v="DSCN3712"/>
    <s v="CC0430_9"/>
    <n v="9"/>
    <n v="1"/>
    <x v="4"/>
    <d v="2019-04-30T00:00:00"/>
    <s v="April"/>
    <s v="Spring"/>
    <d v="1899-12-30T00:25:00"/>
    <d v="1899-12-30T00:00:25"/>
    <x v="15"/>
    <s v="Clear, full sun"/>
    <x v="5"/>
    <s v="Foraging"/>
    <s v="NA"/>
    <n v="1"/>
    <n v="0"/>
    <n v="0"/>
    <s v="Unknown"/>
    <s v="unknown"/>
    <s v="Ground"/>
    <s v="NA"/>
    <m/>
    <m/>
    <m/>
    <s v="NA"/>
    <s v="NA"/>
    <s v="NA"/>
    <s v="NA"/>
    <s v="NA"/>
    <s v="NA"/>
    <s v="NA"/>
    <s v="NA"/>
    <n v="0"/>
    <n v="0"/>
    <n v="0"/>
    <n v="0"/>
    <n v="23"/>
    <m/>
    <n v="23"/>
    <s v="Searching"/>
    <m/>
    <m/>
    <m/>
  </r>
  <r>
    <s v="DSCN3707"/>
    <s v="CC0430_4"/>
    <n v="4"/>
    <n v="1"/>
    <x v="4"/>
    <d v="2019-04-30T00:00:00"/>
    <s v="April"/>
    <s v="Spring"/>
    <d v="1899-12-30T00:27:00"/>
    <d v="1899-12-30T00:00:27"/>
    <x v="52"/>
    <s v="Clear, full sun"/>
    <x v="5"/>
    <s v="Foraging"/>
    <s v="Spruce"/>
    <n v="1"/>
    <n v="1"/>
    <n v="0"/>
    <s v="Unknown"/>
    <s v="unknown"/>
    <s v="Spruce trunk under bark"/>
    <s v="NA"/>
    <m/>
    <m/>
    <m/>
    <s v="NA"/>
    <s v="NA"/>
    <s v="NA"/>
    <s v="NA"/>
    <s v="NA"/>
    <n v="63.722760000000001"/>
    <n v="148.95087000000001"/>
    <s v="RC_1031_CT1"/>
    <n v="15"/>
    <n v="0"/>
    <n v="15"/>
    <n v="0"/>
    <n v="0"/>
    <m/>
    <n v="15"/>
    <s v="Searching"/>
    <s v="Cache recovery does NOT match previous year's cache location in this tree. "/>
    <m/>
    <m/>
  </r>
  <r>
    <s v="DSCN3715"/>
    <s v="CC0430_10"/>
    <n v="10"/>
    <n v="1"/>
    <x v="4"/>
    <d v="2019-04-30T00:00:00"/>
    <s v="April"/>
    <s v="Spring"/>
    <d v="1899-12-30T00:50:00"/>
    <d v="1899-12-30T00:00:50"/>
    <x v="54"/>
    <s v="Clear, full sun"/>
    <x v="5"/>
    <s v="Foraging"/>
    <s v="NA"/>
    <n v="2"/>
    <n v="0"/>
    <n v="0"/>
    <s v="Unknown"/>
    <s v="unknown"/>
    <s v="Ground"/>
    <s v="NA"/>
    <m/>
    <m/>
    <m/>
    <s v="NA"/>
    <s v="NA"/>
    <s v="NA"/>
    <s v="NA"/>
    <s v="NA"/>
    <s v="NA"/>
    <s v="NA"/>
    <s v="NA"/>
    <n v="0"/>
    <n v="0"/>
    <n v="0"/>
    <n v="0"/>
    <n v="50"/>
    <m/>
    <n v="50"/>
    <s v="Searching"/>
    <m/>
    <m/>
    <m/>
  </r>
  <r>
    <s v="DSCN3705"/>
    <s v="CC0430_2"/>
    <n v="2"/>
    <n v="1"/>
    <x v="4"/>
    <d v="2019-04-30T00:00:00"/>
    <s v="April"/>
    <s v="Spring"/>
    <d v="1899-12-30T00:22:00"/>
    <d v="1899-12-30T00:00:22"/>
    <x v="77"/>
    <s v="Clear, full sun"/>
    <x v="5"/>
    <s v="Foraging"/>
    <s v="NA"/>
    <n v="1"/>
    <n v="0"/>
    <n v="0"/>
    <s v="Berry"/>
    <s v="Berry (cranberry)"/>
    <s v="Ground"/>
    <s v="NA"/>
    <m/>
    <m/>
    <m/>
    <s v="NA"/>
    <s v="NA"/>
    <s v="NA"/>
    <s v="NA"/>
    <s v="NA"/>
    <s v="NA"/>
    <s v="NA"/>
    <s v="NA"/>
    <n v="0"/>
    <n v="0"/>
    <n v="0"/>
    <n v="0"/>
    <n v="22"/>
    <m/>
    <n v="22"/>
    <s v="Searching"/>
    <m/>
    <m/>
    <m/>
  </r>
  <r>
    <s v="DSCN3706"/>
    <s v="CC0430_3"/>
    <n v="3"/>
    <n v="1"/>
    <x v="4"/>
    <d v="2019-04-30T00:00:00"/>
    <s v="April"/>
    <s v="Spring"/>
    <d v="1899-12-30T00:13:00"/>
    <d v="1899-12-30T00:00:13"/>
    <x v="64"/>
    <s v="Clear, full sun"/>
    <x v="5"/>
    <s v="Foraging"/>
    <s v="NA"/>
    <n v="0"/>
    <n v="0"/>
    <n v="0"/>
    <m/>
    <s v="NA"/>
    <s v="NA"/>
    <s v="NA"/>
    <m/>
    <m/>
    <m/>
    <s v="NA"/>
    <s v="NA"/>
    <s v="NA"/>
    <s v="NA"/>
    <s v="NA"/>
    <s v="NA"/>
    <s v="NA"/>
    <s v="NA"/>
    <n v="0"/>
    <n v="0"/>
    <n v="0"/>
    <n v="0"/>
    <n v="12"/>
    <m/>
    <n v="12"/>
    <s v="Searching"/>
    <m/>
    <m/>
    <m/>
  </r>
  <r>
    <s v="DSCN3408"/>
    <s v="CC0422_11"/>
    <n v="11"/>
    <n v="1"/>
    <x v="4"/>
    <d v="2019-04-22T00:00:00"/>
    <s v="April"/>
    <s v="Spring"/>
    <d v="1899-12-30T00:56:00"/>
    <d v="1899-12-30T00:00:56"/>
    <x v="46"/>
    <s v="Partly cloudy"/>
    <x v="5"/>
    <s v="Foraging"/>
    <s v="NA"/>
    <s v="unknown"/>
    <n v="0"/>
    <n v="0"/>
    <m/>
    <s v="NA"/>
    <s v="NA"/>
    <s v="NA"/>
    <m/>
    <m/>
    <m/>
    <s v="NA"/>
    <s v="NA"/>
    <s v="NA"/>
    <s v="NA"/>
    <s v="NA"/>
    <s v="NA"/>
    <s v="NA"/>
    <s v="NA"/>
    <n v="0"/>
    <n v="0"/>
    <n v="0"/>
    <n v="0"/>
    <n v="51"/>
    <m/>
    <n v="51"/>
    <s v="Searching"/>
    <m/>
    <m/>
    <m/>
  </r>
  <r>
    <s v="DSCN3411"/>
    <s v="CC0422_14"/>
    <n v="14"/>
    <n v="1"/>
    <x v="4"/>
    <d v="2019-04-22T00:00:00"/>
    <s v="April"/>
    <s v="Spring"/>
    <d v="1899-12-30T00:19:00"/>
    <d v="1899-12-30T00:00:19"/>
    <x v="17"/>
    <s v="Partly cloudy"/>
    <x v="5"/>
    <s v="Foraging"/>
    <s v="NA"/>
    <s v="unknown"/>
    <n v="0"/>
    <n v="0"/>
    <m/>
    <s v="NA"/>
    <s v="NA"/>
    <s v="NA"/>
    <m/>
    <m/>
    <m/>
    <s v="NA"/>
    <s v="NA"/>
    <s v="NA"/>
    <s v="NA"/>
    <s v="NA"/>
    <s v="NA"/>
    <s v="NA"/>
    <s v="NA"/>
    <n v="0"/>
    <n v="0"/>
    <n v="0"/>
    <n v="0"/>
    <n v="17"/>
    <m/>
    <n v="17"/>
    <s v="Searching"/>
    <m/>
    <m/>
    <m/>
  </r>
  <r>
    <s v="DSCN3412"/>
    <s v="CC0422_15"/>
    <n v="15"/>
    <n v="1"/>
    <x v="4"/>
    <d v="2019-04-22T00:00:00"/>
    <s v="April"/>
    <s v="Spring"/>
    <d v="1899-12-30T01:05:00"/>
    <d v="1899-12-30T00:01:05"/>
    <x v="87"/>
    <s v="Partly cloudy"/>
    <x v="5"/>
    <s v="Foraging"/>
    <s v="NA"/>
    <s v="unknown"/>
    <n v="0"/>
    <n v="0"/>
    <m/>
    <s v="NA"/>
    <s v="NA"/>
    <s v="NA"/>
    <m/>
    <m/>
    <m/>
    <s v="NA"/>
    <s v="NA"/>
    <s v="NA"/>
    <s v="NA"/>
    <s v="NA"/>
    <s v="NA"/>
    <s v="NA"/>
    <s v="NA"/>
    <n v="0"/>
    <n v="0"/>
    <n v="0"/>
    <n v="0"/>
    <n v="41"/>
    <m/>
    <n v="41"/>
    <s v="Searching"/>
    <m/>
    <m/>
    <m/>
  </r>
  <r>
    <s v="DSCN3400"/>
    <s v="CC0422_7"/>
    <n v="7"/>
    <n v="1"/>
    <x v="4"/>
    <d v="2019-04-22T00:00:00"/>
    <s v="April"/>
    <s v="Spring"/>
    <d v="1899-12-30T00:34:00"/>
    <d v="1899-12-30T00:00:34"/>
    <x v="18"/>
    <s v="Partly cloudy"/>
    <x v="5"/>
    <s v="Foraging"/>
    <s v="Spruce"/>
    <s v="unknown"/>
    <s v="unknown"/>
    <n v="0"/>
    <m/>
    <s v="NA"/>
    <s v="NA"/>
    <s v="NA"/>
    <m/>
    <m/>
    <m/>
    <s v="NA"/>
    <s v="NA"/>
    <s v="NA"/>
    <s v="NA"/>
    <s v="NA"/>
    <s v="NA"/>
    <s v="NA"/>
    <s v="NA"/>
    <n v="33"/>
    <n v="0"/>
    <n v="0"/>
    <n v="33"/>
    <n v="0"/>
    <m/>
    <n v="33"/>
    <s v="Searching/probing"/>
    <s v="Looks like cache based on recovery location and appearance when in bill. "/>
    <n v="2"/>
    <n v="0"/>
  </r>
  <r>
    <s v="DSCN3549"/>
    <s v="CC0425_20"/>
    <n v="20"/>
    <n v="1"/>
    <x v="4"/>
    <d v="2019-04-25T00:00:00"/>
    <s v="April"/>
    <s v="Spring"/>
    <d v="1899-12-30T00:14:00"/>
    <d v="1899-12-30T00:00:14"/>
    <x v="59"/>
    <s v="Partly cloudy"/>
    <x v="5"/>
    <s v="Foraging"/>
    <s v="NA"/>
    <s v="unknown"/>
    <n v="0"/>
    <n v="0"/>
    <m/>
    <s v="NA"/>
    <s v="NA"/>
    <s v="NA"/>
    <m/>
    <m/>
    <m/>
    <s v="NA"/>
    <s v="NA"/>
    <s v="NA"/>
    <s v="NA"/>
    <s v="NA"/>
    <s v="NA"/>
    <s v="NA"/>
    <s v="NA"/>
    <n v="0"/>
    <n v="0"/>
    <n v="0"/>
    <n v="0"/>
    <n v="3"/>
    <m/>
    <n v="3"/>
    <s v="Searching"/>
    <m/>
    <m/>
    <m/>
  </r>
  <r>
    <s v="DSCN3553"/>
    <s v="CC0425_22"/>
    <n v="22"/>
    <n v="1"/>
    <x v="4"/>
    <d v="2019-04-25T00:00:00"/>
    <s v="April"/>
    <s v="Spring"/>
    <d v="1899-12-30T00:42:00"/>
    <d v="1899-12-30T00:00:42"/>
    <x v="26"/>
    <s v="Partly cloudy"/>
    <x v="5"/>
    <s v="Foraging"/>
    <s v="NA"/>
    <s v="unknown"/>
    <n v="0"/>
    <n v="0"/>
    <m/>
    <s v="NA"/>
    <s v="NA"/>
    <s v="NA"/>
    <m/>
    <m/>
    <m/>
    <s v="NA"/>
    <s v="NA"/>
    <s v="NA"/>
    <s v="NA"/>
    <s v="NA"/>
    <s v="NA"/>
    <s v="NA"/>
    <s v="NA"/>
    <n v="0"/>
    <n v="0"/>
    <n v="0"/>
    <n v="0"/>
    <n v="42"/>
    <m/>
    <n v="42"/>
    <s v="Searching"/>
    <m/>
    <m/>
    <m/>
  </r>
  <r>
    <s v="DSCN3554"/>
    <s v="CC0425_23"/>
    <n v="23"/>
    <n v="1"/>
    <x v="4"/>
    <d v="2019-04-25T00:00:00"/>
    <s v="April"/>
    <s v="Spring"/>
    <d v="1899-12-30T00:24:00"/>
    <d v="1899-12-30T00:00:24"/>
    <x v="71"/>
    <s v="Partly cloudy"/>
    <x v="5"/>
    <s v="Foraging"/>
    <s v="NA"/>
    <s v="unknown"/>
    <n v="0"/>
    <n v="0"/>
    <m/>
    <s v="NA"/>
    <s v="NA"/>
    <s v="NA"/>
    <m/>
    <m/>
    <m/>
    <s v="NA"/>
    <s v="NA"/>
    <s v="NA"/>
    <s v="NA"/>
    <s v="NA"/>
    <s v="NA"/>
    <s v="NA"/>
    <s v="NA"/>
    <n v="0"/>
    <n v="0"/>
    <n v="0"/>
    <n v="0"/>
    <n v="24"/>
    <m/>
    <n v="24"/>
    <s v="Searching"/>
    <m/>
    <m/>
    <m/>
  </r>
  <r>
    <s v="DSCN3716"/>
    <s v="CC0430_11"/>
    <n v="11"/>
    <n v="1"/>
    <x v="4"/>
    <d v="2019-04-30T00:00:00"/>
    <s v="April"/>
    <s v="Spring"/>
    <d v="1899-12-30T02:02:00"/>
    <d v="1899-12-30T00:02:02"/>
    <x v="78"/>
    <s v="Clear, full sun"/>
    <x v="5"/>
    <s v="Foraging"/>
    <s v="NA"/>
    <s v="unknown"/>
    <n v="0"/>
    <n v="0"/>
    <m/>
    <s v="NA"/>
    <s v="NA"/>
    <s v="NA"/>
    <m/>
    <m/>
    <m/>
    <s v="NA"/>
    <s v="NA"/>
    <s v="NA"/>
    <s v="NA"/>
    <s v="NA"/>
    <s v="NA"/>
    <s v="NA"/>
    <s v="NA"/>
    <n v="0"/>
    <n v="0"/>
    <n v="0"/>
    <n v="0"/>
    <n v="122"/>
    <m/>
    <n v="122"/>
    <s v="Searching"/>
    <m/>
    <m/>
    <m/>
  </r>
  <r>
    <s v="DSCN3718"/>
    <s v="CC0430_12"/>
    <n v="12"/>
    <n v="1"/>
    <x v="4"/>
    <d v="2019-04-30T00:00:00"/>
    <s v="April"/>
    <s v="Spring"/>
    <d v="1899-12-30T00:21:00"/>
    <d v="1899-12-30T00:00:21"/>
    <x v="89"/>
    <s v="Clear, full sun"/>
    <x v="5"/>
    <s v="Foraging"/>
    <s v="Spruce"/>
    <s v="unknown"/>
    <n v="0"/>
    <n v="0"/>
    <m/>
    <s v="NA"/>
    <s v="NA"/>
    <s v="NA"/>
    <m/>
    <m/>
    <m/>
    <s v="NA"/>
    <s v="NA"/>
    <s v="NA"/>
    <s v="NA"/>
    <s v="NA"/>
    <s v="NA"/>
    <s v="NA"/>
    <s v="NA"/>
    <n v="8"/>
    <n v="0"/>
    <n v="8"/>
    <n v="0"/>
    <n v="0"/>
    <m/>
    <n v="8"/>
    <s v="Probing"/>
    <m/>
    <s v="Unknown"/>
    <m/>
  </r>
  <r>
    <s v="DSCN3725"/>
    <s v="CC0430_15"/>
    <n v="15"/>
    <n v="1"/>
    <x v="4"/>
    <d v="2019-04-30T00:00:00"/>
    <s v="April"/>
    <s v="Spring"/>
    <d v="1899-12-30T00:12:00"/>
    <d v="1899-12-30T00:00:12"/>
    <x v="61"/>
    <s v="Clear, full sun"/>
    <x v="5"/>
    <s v="Foraging"/>
    <s v="NA"/>
    <s v="unknown"/>
    <n v="0"/>
    <n v="0"/>
    <m/>
    <s v="NA"/>
    <s v="NA"/>
    <s v="NA"/>
    <m/>
    <m/>
    <m/>
    <s v="NA"/>
    <s v="NA"/>
    <s v="NA"/>
    <s v="NA"/>
    <s v="NA"/>
    <s v="NA"/>
    <s v="NA"/>
    <s v="NA"/>
    <n v="0"/>
    <n v="0"/>
    <n v="0"/>
    <n v="0"/>
    <n v="2"/>
    <m/>
    <n v="2"/>
    <s v="Searching"/>
    <m/>
    <m/>
    <m/>
  </r>
  <r>
    <s v="DSCN3727"/>
    <s v="CC0430_16"/>
    <n v="16"/>
    <n v="1"/>
    <x v="4"/>
    <d v="2019-04-30T00:00:00"/>
    <s v="April"/>
    <s v="Spring"/>
    <d v="1899-12-30T00:16:00"/>
    <d v="1899-12-30T00:00:16"/>
    <x v="47"/>
    <s v="Clear, full sun"/>
    <x v="5"/>
    <s v="Foraging"/>
    <s v="Aspen"/>
    <s v="unknown"/>
    <s v="unknown"/>
    <n v="0"/>
    <m/>
    <s v="NA"/>
    <s v="NA"/>
    <s v="NA"/>
    <m/>
    <m/>
    <m/>
    <s v="NA"/>
    <s v="NA"/>
    <s v="NA"/>
    <s v="NA"/>
    <s v="NA"/>
    <n v="63.724490000000003"/>
    <n v="148.95013"/>
    <s v="CC092618_CT1"/>
    <n v="16"/>
    <n v="0"/>
    <n v="0"/>
    <n v="16"/>
    <n v="0"/>
    <m/>
    <n v="16"/>
    <s v="Probing"/>
    <m/>
    <n v="1"/>
    <m/>
  </r>
  <r>
    <s v="DSCN2755"/>
    <s v="B&amp;U0401_14"/>
    <n v="14"/>
    <n v="1"/>
    <x v="5"/>
    <d v="2019-04-01T00:00:00"/>
    <s v="April"/>
    <s v="Spring"/>
    <d v="1899-12-30T02:12:00"/>
    <d v="1899-12-30T00:02:12"/>
    <x v="90"/>
    <m/>
    <x v="6"/>
    <s v="Foraging/caching"/>
    <s v="Spruce"/>
    <n v="1"/>
    <n v="0"/>
    <n v="1"/>
    <s v="Unknown"/>
    <s v="unknown"/>
    <s v="Ground"/>
    <s v="Exterior spruce branch under witch hair"/>
    <s v="Spruce"/>
    <s v="Exterior"/>
    <s v="Under witchhair"/>
    <s v="W"/>
    <n v="280"/>
    <n v="5"/>
    <n v="63.724850000000004"/>
    <n v="148.95644999999999"/>
    <n v="0"/>
    <n v="0"/>
    <m/>
    <n v="0"/>
    <n v="0"/>
    <n v="0"/>
    <n v="0"/>
    <n v="0"/>
    <m/>
    <n v="0"/>
    <m/>
    <s v="Missed food acquisition B&amp;Ut saw it come from ground with naked eye."/>
    <m/>
    <m/>
  </r>
  <r>
    <s v="DSCN2760"/>
    <s v="B&amp;U0401_17"/>
    <n v="17"/>
    <n v="1"/>
    <x v="5"/>
    <d v="2019-04-01T00:00:00"/>
    <s v="April"/>
    <s v="Spring"/>
    <d v="1899-12-30T00:08:00"/>
    <d v="1899-12-30T00:00:08"/>
    <x v="67"/>
    <m/>
    <x v="6"/>
    <s v="Caching"/>
    <s v="Spruce"/>
    <n v="0"/>
    <n v="0"/>
    <n v="1"/>
    <s v="Insect"/>
    <s v="Insect (Balck caterpiller)"/>
    <s v="Ground"/>
    <s v="Exterior spruce foliage"/>
    <s v="Spruce"/>
    <s v="Exterior"/>
    <s v="Foliage"/>
    <s v="E"/>
    <n v="105"/>
    <n v="30"/>
    <n v="63.724870000000003"/>
    <n v="148.95508000000001"/>
    <n v="0"/>
    <n v="0"/>
    <m/>
    <n v="0"/>
    <n v="0"/>
    <n v="0"/>
    <n v="0"/>
    <n v="0"/>
    <m/>
    <n v="0"/>
    <m/>
    <s v="Confident cache based on behavior and that it just had food, B&amp;Ut we did not get visual confirmation. "/>
    <m/>
    <m/>
  </r>
  <r>
    <s v="DSCN2758"/>
    <s v="B&amp;U0401_15"/>
    <n v="15"/>
    <n v="1"/>
    <x v="5"/>
    <d v="2019-04-01T00:00:00"/>
    <s v="April"/>
    <s v="Spring"/>
    <d v="1899-12-30T00:13:00"/>
    <d v="1899-12-30T00:00:13"/>
    <x v="64"/>
    <m/>
    <x v="6"/>
    <s v="Foraging"/>
    <s v="NA"/>
    <n v="1"/>
    <n v="0"/>
    <n v="0"/>
    <s v="Insect"/>
    <s v="Insect (Black caterpiller)"/>
    <s v="Ground"/>
    <s v="NA"/>
    <m/>
    <m/>
    <m/>
    <s v="NA"/>
    <s v="NA"/>
    <s v="NA"/>
    <s v="NA"/>
    <s v="NA"/>
    <s v="NA"/>
    <s v="NA"/>
    <m/>
    <n v="0"/>
    <n v="0"/>
    <n v="0"/>
    <n v="0"/>
    <n v="13"/>
    <m/>
    <n v="13"/>
    <m/>
    <s v="Bird flushed after camera went off, and had the big caterpillar you see in the next clip.  Counting it as acquisition here so it matches foraging time. "/>
    <m/>
    <m/>
  </r>
  <r>
    <s v="DSCN2746"/>
    <s v="B&amp;U0401_7"/>
    <n v="7"/>
    <n v="1"/>
    <x v="5"/>
    <d v="2019-04-01T00:00:00"/>
    <s v="April"/>
    <s v="Spring"/>
    <d v="1899-12-30T00:07:00"/>
    <d v="1899-12-30T00:00:07"/>
    <x v="10"/>
    <m/>
    <x v="6"/>
    <s v="Food handling"/>
    <s v="NA"/>
    <n v="1"/>
    <n v="0"/>
    <n v="0"/>
    <s v="Insect"/>
    <s v="Insect (Black caterpiller)"/>
    <s v="Ground"/>
    <s v="NA"/>
    <m/>
    <m/>
    <m/>
    <s v="NA"/>
    <s v="NA"/>
    <s v="NA"/>
    <s v="NA"/>
    <s v="NA"/>
    <s v="NA"/>
    <s v="NA"/>
    <m/>
    <n v="0"/>
    <n v="0"/>
    <n v="0"/>
    <n v="0"/>
    <n v="0"/>
    <m/>
    <n v="0"/>
    <m/>
    <s v="Missed foraging, B&amp;Ut Liz witnessed initial capture"/>
    <m/>
    <m/>
  </r>
  <r>
    <s v="DSCN2755"/>
    <s v="B&amp;U0401_14"/>
    <n v="14"/>
    <n v="2"/>
    <x v="5"/>
    <d v="2019-04-01T00:00:00"/>
    <s v="April"/>
    <s v="Spring"/>
    <d v="1899-12-30T02:12:00"/>
    <d v="1899-12-30T00:02:12"/>
    <x v="90"/>
    <m/>
    <x v="6"/>
    <s v="Foraging/caching"/>
    <s v="Spruce"/>
    <n v="1"/>
    <n v="0"/>
    <n v="0"/>
    <s v="Berry"/>
    <s v="Berry"/>
    <s v="Ground"/>
    <s v="NA"/>
    <m/>
    <m/>
    <m/>
    <s v="NA"/>
    <s v="NA"/>
    <s v="NA"/>
    <s v="NA"/>
    <s v="NA"/>
    <s v="NA"/>
    <s v="NA"/>
    <m/>
    <n v="0"/>
    <n v="0"/>
    <n v="0"/>
    <n v="0"/>
    <n v="51"/>
    <m/>
    <n v="51"/>
    <s v="Searching"/>
    <m/>
    <m/>
    <m/>
  </r>
  <r>
    <s v="DSCN2751"/>
    <s v="B&amp;U0401_11"/>
    <n v="11"/>
    <n v="1"/>
    <x v="5"/>
    <d v="2019-04-01T00:00:00"/>
    <s v="April"/>
    <s v="Spring"/>
    <d v="1899-12-30T00:19:00"/>
    <d v="1899-12-30T00:00:19"/>
    <x v="17"/>
    <m/>
    <x v="6"/>
    <s v="Foraging"/>
    <s v="NA"/>
    <n v="0"/>
    <n v="0"/>
    <n v="0"/>
    <m/>
    <s v="NA"/>
    <s v="NA"/>
    <s v="NA"/>
    <m/>
    <m/>
    <m/>
    <s v="NA"/>
    <s v="NA"/>
    <s v="NA"/>
    <s v="NA"/>
    <s v="NA"/>
    <s v="NA"/>
    <s v="NA"/>
    <m/>
    <n v="0"/>
    <n v="0"/>
    <n v="0"/>
    <n v="0"/>
    <n v="17"/>
    <m/>
    <n v="17"/>
    <s v="Searching"/>
    <m/>
    <m/>
    <m/>
  </r>
  <r>
    <s v="DSCN2759"/>
    <s v="B&amp;U0401_16"/>
    <n v="16"/>
    <n v="1"/>
    <x v="5"/>
    <d v="2019-04-01T00:00:00"/>
    <s v="April"/>
    <s v="Spring"/>
    <d v="1899-12-30T01:34:00"/>
    <d v="1899-12-30T00:01:34"/>
    <x v="57"/>
    <m/>
    <x v="6"/>
    <s v="Food handling"/>
    <s v="NA"/>
    <n v="0"/>
    <n v="0"/>
    <n v="0"/>
    <s v="Insect"/>
    <s v="Insect (Balck caterpiller)"/>
    <s v="NA"/>
    <s v="NA"/>
    <m/>
    <m/>
    <m/>
    <s v="NA"/>
    <s v="NA"/>
    <s v="NA"/>
    <s v="NA"/>
    <s v="NA"/>
    <s v="NA"/>
    <s v="NA"/>
    <m/>
    <n v="0"/>
    <n v="0"/>
    <n v="0"/>
    <n v="0"/>
    <n v="0"/>
    <m/>
    <n v="0"/>
    <m/>
    <m/>
    <m/>
    <m/>
  </r>
  <r>
    <s v="DSCN2741"/>
    <s v="B&amp;U0401_4"/>
    <n v="4"/>
    <n v="1"/>
    <x v="5"/>
    <d v="2019-04-01T00:00:00"/>
    <s v="April"/>
    <s v="Spring"/>
    <d v="1899-12-30T00:40:00"/>
    <d v="1899-12-30T00:00:40"/>
    <x v="23"/>
    <m/>
    <x v="6"/>
    <s v="Foraging"/>
    <s v="NA"/>
    <n v="0"/>
    <n v="0"/>
    <n v="0"/>
    <m/>
    <s v="NA"/>
    <s v="NA"/>
    <s v="NA"/>
    <m/>
    <m/>
    <m/>
    <s v="NA"/>
    <s v="NA"/>
    <s v="NA"/>
    <s v="NA"/>
    <s v="NA"/>
    <s v="NA"/>
    <s v="NA"/>
    <m/>
    <n v="0"/>
    <n v="0"/>
    <n v="0"/>
    <n v="0"/>
    <n v="24"/>
    <m/>
    <n v="24"/>
    <s v="Searching"/>
    <m/>
    <m/>
    <m/>
  </r>
  <r>
    <s v="DSCN2742"/>
    <s v="B&amp;U0401_5"/>
    <n v="5"/>
    <n v="1"/>
    <x v="5"/>
    <d v="2019-04-01T00:00:00"/>
    <s v="April"/>
    <s v="Spring"/>
    <d v="1899-12-30T00:32:00"/>
    <d v="1899-12-30T00:00:32"/>
    <x v="21"/>
    <m/>
    <x v="6"/>
    <s v="Foraging"/>
    <s v="NA"/>
    <n v="0"/>
    <n v="0"/>
    <n v="0"/>
    <m/>
    <s v="NA"/>
    <s v="NA"/>
    <s v="NA"/>
    <m/>
    <m/>
    <m/>
    <s v="NA"/>
    <s v="NA"/>
    <s v="NA"/>
    <s v="NA"/>
    <s v="NA"/>
    <s v="NA"/>
    <s v="NA"/>
    <m/>
    <n v="0"/>
    <n v="0"/>
    <n v="0"/>
    <n v="0"/>
    <n v="28"/>
    <m/>
    <n v="28"/>
    <m/>
    <m/>
    <m/>
    <m/>
  </r>
  <r>
    <s v="DSCN2742"/>
    <s v="B&amp;U0401_6"/>
    <n v="6"/>
    <n v="1"/>
    <x v="5"/>
    <d v="2019-04-01T00:00:00"/>
    <s v="April"/>
    <s v="Spring"/>
    <d v="1899-12-30T00:31:00"/>
    <d v="1899-12-30T00:00:31"/>
    <x v="45"/>
    <m/>
    <x v="6"/>
    <s v="Foraging"/>
    <s v="NA"/>
    <n v="0"/>
    <n v="0"/>
    <n v="0"/>
    <m/>
    <s v="NA"/>
    <s v="NA"/>
    <s v="NA"/>
    <m/>
    <m/>
    <m/>
    <s v="NA"/>
    <s v="NA"/>
    <s v="NA"/>
    <s v="NA"/>
    <s v="NA"/>
    <s v="NA"/>
    <s v="NA"/>
    <m/>
    <n v="0"/>
    <n v="0"/>
    <n v="0"/>
    <n v="0"/>
    <n v="28"/>
    <m/>
    <n v="28"/>
    <m/>
    <m/>
    <m/>
    <m/>
  </r>
  <r>
    <s v="DSCN2747"/>
    <s v="B&amp;U0401_8"/>
    <n v="8"/>
    <n v="1"/>
    <x v="5"/>
    <d v="2019-04-01T00:00:00"/>
    <s v="April"/>
    <s v="Spring"/>
    <d v="1899-12-30T00:39:00"/>
    <d v="1899-12-30T00:00:39"/>
    <x v="1"/>
    <m/>
    <x v="6"/>
    <s v="Food handling"/>
    <s v="NA"/>
    <n v="0"/>
    <n v="0"/>
    <n v="0"/>
    <s v="Insect"/>
    <s v="Insect (Balck caterpiller)"/>
    <s v="NA"/>
    <s v="NA"/>
    <m/>
    <m/>
    <m/>
    <s v="NA"/>
    <s v="NA"/>
    <s v="NA"/>
    <s v="NA"/>
    <s v="NA"/>
    <s v="NA"/>
    <s v="NA"/>
    <m/>
    <n v="0"/>
    <n v="0"/>
    <n v="0"/>
    <n v="0"/>
    <n v="0"/>
    <m/>
    <n v="0"/>
    <m/>
    <m/>
    <m/>
    <m/>
  </r>
  <r>
    <s v="DSCN2747"/>
    <s v="B&amp;U0401_9"/>
    <n v="9"/>
    <n v="1"/>
    <x v="5"/>
    <d v="2019-04-01T00:00:00"/>
    <s v="April"/>
    <s v="Spring"/>
    <d v="1899-12-30T00:22:00"/>
    <d v="1899-12-30T00:00:22"/>
    <x v="77"/>
    <m/>
    <x v="6"/>
    <s v="Food handling"/>
    <s v="NA"/>
    <n v="0"/>
    <n v="0"/>
    <n v="0"/>
    <s v="Insect"/>
    <s v="Insect (Balck caterpiller)"/>
    <s v="NA"/>
    <s v="NA"/>
    <m/>
    <m/>
    <m/>
    <s v="NA"/>
    <s v="NA"/>
    <s v="NA"/>
    <s v="NA"/>
    <s v="NA"/>
    <s v="NA"/>
    <s v="NA"/>
    <m/>
    <n v="0"/>
    <n v="0"/>
    <n v="0"/>
    <n v="0"/>
    <n v="0"/>
    <m/>
    <n v="0"/>
    <m/>
    <m/>
    <m/>
    <m/>
  </r>
  <r>
    <s v="DSCN2861"/>
    <s v="B&amp;U0403_1"/>
    <n v="1"/>
    <n v="1"/>
    <x v="5"/>
    <d v="2019-04-03T00:00:00"/>
    <s v="April"/>
    <s v="Spring"/>
    <d v="1899-12-30T02:20:00"/>
    <d v="1899-12-30T00:02:20"/>
    <x v="91"/>
    <m/>
    <x v="6"/>
    <s v="Foraging"/>
    <s v="NA"/>
    <n v="2"/>
    <n v="0"/>
    <n v="0"/>
    <s v="Unknown"/>
    <s v="unknown"/>
    <s v="Ground"/>
    <s v="NA"/>
    <m/>
    <m/>
    <m/>
    <s v="NA"/>
    <s v="NA"/>
    <s v="NA"/>
    <s v="NA"/>
    <s v="NA"/>
    <s v="NA"/>
    <s v="NA"/>
    <m/>
    <n v="0"/>
    <n v="0"/>
    <n v="0"/>
    <n v="0"/>
    <n v="87"/>
    <m/>
    <n v="87"/>
    <s v="Searching"/>
    <m/>
    <m/>
    <m/>
  </r>
  <r>
    <s v="DSCN2863"/>
    <s v="B&amp;U0403_3"/>
    <n v="3"/>
    <n v="1"/>
    <x v="5"/>
    <d v="2019-04-03T00:00:00"/>
    <s v="April"/>
    <s v="Spring"/>
    <d v="1899-12-30T00:05:00"/>
    <d v="1899-12-30T00:00:05"/>
    <x v="72"/>
    <m/>
    <x v="6"/>
    <s v="Caching"/>
    <s v="Spruce"/>
    <n v="0"/>
    <n v="0"/>
    <n v="1"/>
    <s v="Insect"/>
    <s v="Spider and unknown"/>
    <s v="Ground"/>
    <s v="Exterior spruce branch under witch hair"/>
    <s v="Spruce"/>
    <s v="Exterior"/>
    <s v="Under witchhair"/>
    <s v="S"/>
    <n v="220"/>
    <s v="unknown"/>
    <n v="63.725769999999997"/>
    <n v="148.95903000000001"/>
    <s v="NA"/>
    <s v="NA"/>
    <m/>
    <n v="0"/>
    <n v="0"/>
    <n v="0"/>
    <n v="0"/>
    <n v="0"/>
    <m/>
    <n v="0"/>
    <m/>
    <s v="Deployed camera. Not sure when it collected the spider, so we didn't mark a distance.  It could have been at the end of the last video, or sometime earlier"/>
    <m/>
    <m/>
  </r>
  <r>
    <s v="DSCN3105"/>
    <s v="B&amp;U0415_2"/>
    <n v="2"/>
    <n v="2"/>
    <x v="5"/>
    <d v="2019-04-15T00:00:00"/>
    <s v="April"/>
    <s v="Spring"/>
    <d v="1899-12-30T01:38:00"/>
    <d v="1899-12-30T00:01:38"/>
    <x v="7"/>
    <s v="Partly cloudy"/>
    <x v="6"/>
    <s v="Foraging"/>
    <s v="NA"/>
    <n v="1"/>
    <n v="0"/>
    <n v="0"/>
    <s v="Unknown"/>
    <s v="unknown"/>
    <s v="Ground"/>
    <s v="NA"/>
    <m/>
    <m/>
    <m/>
    <s v="NA"/>
    <s v="NA"/>
    <s v="NA"/>
    <s v="NA"/>
    <s v="NA"/>
    <s v="NA"/>
    <s v="NA"/>
    <m/>
    <n v="0"/>
    <n v="0"/>
    <n v="0"/>
    <n v="0"/>
    <n v="60"/>
    <m/>
    <n v="60"/>
    <m/>
    <m/>
    <m/>
    <m/>
  </r>
  <r>
    <s v="DSCN3108"/>
    <s v="B&amp;U0415_4"/>
    <n v="4"/>
    <n v="1"/>
    <x v="5"/>
    <d v="2019-04-15T00:00:00"/>
    <s v="April"/>
    <s v="Spring"/>
    <d v="1899-12-30T00:41:00"/>
    <d v="1899-12-30T00:00:41"/>
    <x v="19"/>
    <s v="Partly cloudy"/>
    <x v="6"/>
    <s v="Foraging"/>
    <s v="NA"/>
    <n v="1"/>
    <n v="0"/>
    <n v="0"/>
    <s v="Unknown"/>
    <s v="unknown"/>
    <s v="Ground"/>
    <s v="NA"/>
    <m/>
    <m/>
    <m/>
    <s v="NA"/>
    <s v="NA"/>
    <s v="NA"/>
    <s v="NA"/>
    <s v="NA"/>
    <s v="NA"/>
    <s v="NA"/>
    <m/>
    <n v="0"/>
    <n v="0"/>
    <n v="0"/>
    <n v="0"/>
    <n v="41"/>
    <m/>
    <n v="41"/>
    <s v="Searching"/>
    <m/>
    <m/>
    <m/>
  </r>
  <r>
    <s v="DSCN3114"/>
    <s v="B&amp;U0415_6"/>
    <n v="6"/>
    <n v="1"/>
    <x v="5"/>
    <d v="2019-04-15T00:00:00"/>
    <s v="April"/>
    <s v="Spring"/>
    <d v="1899-12-30T00:38:00"/>
    <d v="1899-12-30T00:00:38"/>
    <x v="55"/>
    <s v="Partly cloudy"/>
    <x v="6"/>
    <s v="Food handling"/>
    <s v="NA"/>
    <n v="1"/>
    <n v="0"/>
    <n v="0"/>
    <s v="Unknown"/>
    <s v="unknown"/>
    <s v="Ground"/>
    <s v="NA"/>
    <m/>
    <m/>
    <m/>
    <s v="NA"/>
    <s v="NA"/>
    <s v="NA"/>
    <s v="NA"/>
    <s v="NA"/>
    <s v="NA"/>
    <s v="NA"/>
    <m/>
    <n v="0"/>
    <n v="0"/>
    <n v="0"/>
    <n v="0"/>
    <n v="0"/>
    <m/>
    <n v="0"/>
    <m/>
    <s v="Missed acquisition"/>
    <m/>
    <m/>
  </r>
  <r>
    <s v="DSCN3114"/>
    <s v="B&amp;U0415_6"/>
    <n v="6"/>
    <n v="2"/>
    <x v="5"/>
    <d v="2019-04-15T00:00:00"/>
    <s v="April"/>
    <s v="Spring"/>
    <d v="1899-12-30T00:38:00"/>
    <d v="1899-12-30T00:00:38"/>
    <x v="55"/>
    <s v="Partly cloudy"/>
    <x v="6"/>
    <s v="Foraging"/>
    <s v="NA"/>
    <n v="1"/>
    <n v="0"/>
    <n v="0"/>
    <s v="Unknown"/>
    <s v="unknown"/>
    <s v="Ground"/>
    <s v="NA"/>
    <m/>
    <m/>
    <m/>
    <s v="NA"/>
    <s v="NA"/>
    <s v="NA"/>
    <s v="NA"/>
    <s v="NA"/>
    <s v="NA"/>
    <s v="NA"/>
    <m/>
    <n v="0"/>
    <n v="0"/>
    <n v="0"/>
    <n v="0"/>
    <n v="38"/>
    <m/>
    <n v="38"/>
    <s v="Searching"/>
    <m/>
    <m/>
    <m/>
  </r>
  <r>
    <s v="DSCN3106"/>
    <s v="B&amp;U0415_3"/>
    <n v="3"/>
    <n v="1"/>
    <x v="5"/>
    <d v="2019-04-15T00:00:00"/>
    <s v="April"/>
    <s v="Spring"/>
    <d v="1899-12-30T00:46:00"/>
    <d v="1899-12-30T00:00:46"/>
    <x v="92"/>
    <s v="Partly cloudy"/>
    <x v="6"/>
    <s v="Foraging"/>
    <s v="NA"/>
    <n v="2"/>
    <n v="0"/>
    <n v="0"/>
    <s v="Unknown"/>
    <s v="unknown"/>
    <s v="Ground"/>
    <s v="NA"/>
    <m/>
    <m/>
    <m/>
    <s v="NA"/>
    <s v="NA"/>
    <s v="NA"/>
    <s v="NA"/>
    <s v="NA"/>
    <s v="NA"/>
    <s v="NA"/>
    <m/>
    <n v="0"/>
    <n v="0"/>
    <n v="0"/>
    <n v="0"/>
    <n v="46"/>
    <m/>
    <n v="46"/>
    <s v="Searching"/>
    <s v="Not postive about food acquisitions, B&amp;Ut seems like he got at least 2, maybe even three based on post foraging behavior"/>
    <m/>
    <m/>
  </r>
  <r>
    <s v="DSCN3104"/>
    <s v="B&amp;U0415_1"/>
    <n v="1"/>
    <n v="1"/>
    <x v="5"/>
    <d v="2019-04-15T00:00:00"/>
    <s v="April"/>
    <s v="Spring"/>
    <d v="1899-12-30T00:48:00"/>
    <d v="1899-12-30T00:00:48"/>
    <x v="4"/>
    <s v="Partly cloudy"/>
    <x v="6"/>
    <s v="Foraging"/>
    <s v="Spruce"/>
    <n v="1"/>
    <n v="1"/>
    <n v="0"/>
    <s v="Animal flesh"/>
    <s v="Animal flesh (unknown)"/>
    <s v="Exterior spruce foliage"/>
    <s v="NA"/>
    <m/>
    <m/>
    <m/>
    <s v="NA"/>
    <s v="NA"/>
    <s v="NA"/>
    <s v="NA"/>
    <s v="NA"/>
    <n v="63.724440000000001"/>
    <n v="148.95590000000001"/>
    <m/>
    <n v="0"/>
    <n v="0"/>
    <n v="0"/>
    <n v="0"/>
    <n v="10"/>
    <m/>
    <n v="10"/>
    <s v="Searching"/>
    <s v="Perched in a tree and just pulled this out without looking for it.  "/>
    <m/>
    <m/>
  </r>
  <r>
    <s v="DSCN3105"/>
    <s v="B&amp;U0415_2"/>
    <n v="2"/>
    <n v="1"/>
    <x v="5"/>
    <d v="2019-04-15T00:00:00"/>
    <s v="April"/>
    <s v="Spring"/>
    <d v="1899-12-30T01:38:00"/>
    <d v="1899-12-30T00:01:38"/>
    <x v="7"/>
    <s v="Partly cloudy"/>
    <x v="6"/>
    <s v="Food handling"/>
    <s v="NA"/>
    <n v="0"/>
    <n v="0"/>
    <n v="0"/>
    <s v="Animal flesh"/>
    <s v="Animal flesh (unknown)"/>
    <s v="NA"/>
    <s v="NA"/>
    <m/>
    <m/>
    <m/>
    <s v="NA"/>
    <s v="NA"/>
    <s v="NA"/>
    <s v="NA"/>
    <s v="NA"/>
    <s v="NA"/>
    <s v="NA"/>
    <m/>
    <n v="0"/>
    <n v="0"/>
    <n v="0"/>
    <n v="0"/>
    <n v="0"/>
    <m/>
    <n v="0"/>
    <m/>
    <m/>
    <m/>
    <m/>
  </r>
  <r>
    <s v="DSCN3324"/>
    <s v="B&amp;U0418_1"/>
    <n v="1"/>
    <n v="2"/>
    <x v="5"/>
    <d v="2019-04-18T00:00:00"/>
    <s v="April"/>
    <s v="Spring"/>
    <d v="1899-12-30T01:51:00"/>
    <d v="1899-12-30T00:01:51"/>
    <x v="5"/>
    <s v="Light snow"/>
    <x v="6"/>
    <s v="Foraging"/>
    <s v="Spruce"/>
    <n v="1"/>
    <s v="unknown"/>
    <n v="0"/>
    <s v="Unknown"/>
    <s v="unknown"/>
    <s v="Exterior bare spruce branch"/>
    <s v="NA"/>
    <m/>
    <m/>
    <m/>
    <s v="NA"/>
    <s v="NA"/>
    <s v="NA"/>
    <s v="NA"/>
    <s v="NA"/>
    <s v="NA"/>
    <s v="NA"/>
    <s v="NA"/>
    <n v="41"/>
    <n v="0"/>
    <n v="0"/>
    <n v="41"/>
    <n v="23"/>
    <m/>
    <n v="64"/>
    <s v="Searching/probing"/>
    <m/>
    <n v="1"/>
    <n v="0"/>
  </r>
  <r>
    <s v="DSCN3324"/>
    <s v="B&amp;U0418_1"/>
    <n v="1"/>
    <n v="1"/>
    <x v="5"/>
    <d v="2019-04-18T00:00:00"/>
    <s v="April"/>
    <s v="Spring"/>
    <d v="1899-12-30T01:51:00"/>
    <d v="1899-12-30T00:01:51"/>
    <x v="5"/>
    <s v="Light snow"/>
    <x v="6"/>
    <s v="Foraging"/>
    <s v="NA"/>
    <n v="1"/>
    <n v="0"/>
    <n v="0"/>
    <s v="Unknown"/>
    <s v="unknown"/>
    <s v="Ground"/>
    <s v="NA"/>
    <m/>
    <m/>
    <m/>
    <s v="NA"/>
    <s v="NA"/>
    <s v="NA"/>
    <s v="NA"/>
    <s v="NA"/>
    <s v="NA"/>
    <s v="NA"/>
    <s v="NA"/>
    <n v="0"/>
    <n v="0"/>
    <n v="0"/>
    <n v="0"/>
    <n v="39"/>
    <m/>
    <n v="39"/>
    <s v="Searching"/>
    <m/>
    <m/>
    <m/>
  </r>
  <r>
    <s v="DSCN3330"/>
    <s v="B&amp;U0418_4"/>
    <n v="4"/>
    <n v="1"/>
    <x v="5"/>
    <d v="2019-04-18T00:00:00"/>
    <s v="April"/>
    <s v="Spring"/>
    <d v="1899-12-30T00:19:00"/>
    <d v="1899-12-30T00:00:19"/>
    <x v="17"/>
    <s v="Light snow"/>
    <x v="6"/>
    <s v="Caching"/>
    <s v="Spruce"/>
    <n v="0"/>
    <n v="0"/>
    <n v="1"/>
    <s v="Insect"/>
    <s v="Insect (Black caterpiller)"/>
    <s v="NA"/>
    <s v="Interior spruce foliage"/>
    <s v="Spruce"/>
    <s v="Interior"/>
    <s v="Foliage"/>
    <s v="SE"/>
    <n v="120"/>
    <s v="unknown"/>
    <n v="63.726089999999999"/>
    <n v="148.95284000000001"/>
    <s v="NA"/>
    <s v="NA"/>
    <s v="NA"/>
    <n v="0"/>
    <n v="0"/>
    <n v="0"/>
    <n v="0"/>
    <n v="0"/>
    <m/>
    <n v="0"/>
    <m/>
    <m/>
    <m/>
    <m/>
  </r>
  <r>
    <s v="DSCN3329"/>
    <s v="B&amp;U0418_3"/>
    <n v="3"/>
    <n v="1"/>
    <x v="5"/>
    <d v="2019-04-18T00:00:00"/>
    <s v="April"/>
    <s v="Spring"/>
    <d v="1899-12-30T00:32:00"/>
    <d v="1899-12-30T00:00:32"/>
    <x v="21"/>
    <s v="Light snow"/>
    <x v="6"/>
    <s v="Food handling"/>
    <s v="NA"/>
    <n v="1"/>
    <n v="0"/>
    <n v="0"/>
    <s v="Insect"/>
    <s v="Insect (Black caterpiller)"/>
    <s v="Ground"/>
    <s v="NA"/>
    <m/>
    <m/>
    <m/>
    <s v="NA"/>
    <s v="NA"/>
    <s v="NA"/>
    <s v="NA"/>
    <s v="NA"/>
    <s v="NA"/>
    <s v="NA"/>
    <s v="NA"/>
    <n v="0"/>
    <n v="0"/>
    <n v="0"/>
    <n v="0"/>
    <n v="0"/>
    <m/>
    <n v="0"/>
    <m/>
    <s v="Missed initial acquisition"/>
    <m/>
    <m/>
  </r>
  <r>
    <s v="DSCN3325"/>
    <s v="B&amp;U0418_2"/>
    <n v="2"/>
    <n v="2"/>
    <x v="5"/>
    <d v="2019-04-18T00:00:00"/>
    <s v="April"/>
    <s v="Spring"/>
    <d v="1899-12-30T01:01:00"/>
    <d v="1899-12-30T00:01:01"/>
    <x v="6"/>
    <s v="Light snow"/>
    <x v="6"/>
    <s v="Foraging"/>
    <s v="Spruce"/>
    <n v="1"/>
    <n v="0"/>
    <n v="0"/>
    <s v="Insect"/>
    <s v="Insect (grub/caterpillar)"/>
    <s v="Spruce trunk"/>
    <s v="NA"/>
    <m/>
    <m/>
    <m/>
    <s v="NA"/>
    <s v="NA"/>
    <s v="NA"/>
    <s v="NA"/>
    <s v="NA"/>
    <s v="NA"/>
    <s v="NA"/>
    <s v="NA"/>
    <n v="35"/>
    <n v="0"/>
    <n v="0"/>
    <n v="35"/>
    <n v="0"/>
    <m/>
    <n v="35"/>
    <s v="Searching/gleaning"/>
    <m/>
    <n v="0"/>
    <n v="1"/>
  </r>
  <r>
    <s v="DSCN3325"/>
    <s v="B&amp;U0418_2"/>
    <n v="2"/>
    <n v="1"/>
    <x v="5"/>
    <d v="2019-04-18T00:00:00"/>
    <s v="April"/>
    <s v="Spring"/>
    <d v="1899-12-30T01:01:00"/>
    <d v="1899-12-30T00:01:01"/>
    <x v="6"/>
    <s v="Light snow"/>
    <x v="6"/>
    <s v="Foraging"/>
    <s v="NA"/>
    <n v="1"/>
    <n v="0"/>
    <s v="Unknown"/>
    <s v="Berry"/>
    <s v="Berry (2 Cranberries)"/>
    <s v="Ground"/>
    <s v="NA"/>
    <m/>
    <m/>
    <m/>
    <s v="NA"/>
    <s v="NA"/>
    <s v="NA"/>
    <s v="NA"/>
    <s v="NA"/>
    <s v="NA"/>
    <s v="NA"/>
    <s v="NA"/>
    <n v="0"/>
    <n v="0"/>
    <n v="0"/>
    <n v="0"/>
    <n v="26"/>
    <m/>
    <n v="26"/>
    <s v="Searching"/>
    <m/>
    <m/>
    <m/>
  </r>
  <r>
    <s v="DSCN3454"/>
    <s v="B&amp;U0424_1"/>
    <n v="1"/>
    <n v="2"/>
    <x v="5"/>
    <d v="2019-04-24T00:00:00"/>
    <s v="April"/>
    <s v="Spring"/>
    <d v="1899-12-30T01:26:00"/>
    <d v="1899-12-30T00:01:26"/>
    <x v="93"/>
    <s v="Partly cloudy"/>
    <x v="6"/>
    <s v="Foraging"/>
    <s v="NA"/>
    <n v="1"/>
    <n v="0"/>
    <n v="0"/>
    <s v="Unknown"/>
    <s v="unknown"/>
    <s v="Ground"/>
    <s v="NA"/>
    <m/>
    <m/>
    <m/>
    <s v="NA"/>
    <s v="NA"/>
    <s v="NA"/>
    <s v="NA"/>
    <s v="NA"/>
    <s v="NA"/>
    <s v="NA"/>
    <s v="NA"/>
    <n v="0"/>
    <n v="0"/>
    <n v="0"/>
    <n v="0"/>
    <n v="46"/>
    <m/>
    <n v="46"/>
    <s v="Searching"/>
    <m/>
    <m/>
    <m/>
  </r>
  <r>
    <s v="DSCN3467"/>
    <s v="B&amp;U0424_9"/>
    <n v="9"/>
    <n v="1"/>
    <x v="5"/>
    <d v="2019-04-24T00:00:00"/>
    <s v="April"/>
    <s v="Spring"/>
    <d v="1899-12-30T00:55:00"/>
    <d v="1899-12-30T00:00:55"/>
    <x v="51"/>
    <s v="Partly cloudy"/>
    <x v="6"/>
    <s v="Foraging"/>
    <s v="NA"/>
    <n v="1"/>
    <n v="0"/>
    <n v="0"/>
    <s v="Unknown"/>
    <s v="unknown"/>
    <s v="Ground"/>
    <s v="NA"/>
    <m/>
    <m/>
    <m/>
    <s v="NA"/>
    <s v="NA"/>
    <s v="NA"/>
    <s v="NA"/>
    <s v="NA"/>
    <s v="NA"/>
    <s v="NA"/>
    <s v="NA"/>
    <n v="0"/>
    <n v="0"/>
    <n v="0"/>
    <n v="0"/>
    <n v="42"/>
    <m/>
    <n v="42"/>
    <m/>
    <m/>
    <m/>
    <m/>
  </r>
  <r>
    <s v="DSCN2364"/>
    <s v="B&amp;U0424_6"/>
    <n v="6"/>
    <n v="1"/>
    <x v="5"/>
    <d v="2019-04-24T00:00:00"/>
    <s v="April"/>
    <s v="Spring"/>
    <d v="1899-12-30T00:14:00"/>
    <d v="1899-12-30T00:00:14"/>
    <x v="59"/>
    <s v="Partly cloudy"/>
    <x v="6"/>
    <s v="Foraging"/>
    <s v="Spruce"/>
    <n v="1"/>
    <n v="0"/>
    <n v="0"/>
    <s v="Unknown"/>
    <s v="unknown"/>
    <s v="Interior bare spruce branch"/>
    <s v="NA"/>
    <m/>
    <m/>
    <m/>
    <s v="NA"/>
    <s v="NA"/>
    <s v="NA"/>
    <s v="NA"/>
    <s v="NA"/>
    <s v="NA"/>
    <s v="NA"/>
    <s v="NA"/>
    <n v="9"/>
    <n v="0"/>
    <n v="9"/>
    <n v="0"/>
    <n v="0"/>
    <m/>
    <n v="9"/>
    <s v="Gleaning"/>
    <m/>
    <n v="0"/>
    <n v="1"/>
  </r>
  <r>
    <s v="DSCN3466"/>
    <s v="B&amp;U0424_8"/>
    <n v="8"/>
    <n v="1"/>
    <x v="5"/>
    <d v="2019-04-24T00:00:00"/>
    <s v="April"/>
    <s v="Spring"/>
    <d v="1899-12-30T00:06:00"/>
    <d v="1899-12-30T00:00:06"/>
    <x v="94"/>
    <s v="Partly cloudy"/>
    <x v="6"/>
    <s v="Foraging"/>
    <s v="Spruce"/>
    <n v="1"/>
    <n v="0"/>
    <n v="0"/>
    <s v="Unknown"/>
    <s v="unknown (Probably B&amp;Ugs)"/>
    <s v="Interior bare spruce branch"/>
    <s v="NA"/>
    <m/>
    <m/>
    <m/>
    <s v="NA"/>
    <s v="NA"/>
    <s v="NA"/>
    <s v="NA"/>
    <s v="NA"/>
    <s v="NA"/>
    <s v="NA"/>
    <s v="NA"/>
    <n v="0"/>
    <n v="0"/>
    <n v="0"/>
    <n v="0"/>
    <n v="0"/>
    <m/>
    <n v="0"/>
    <m/>
    <s v="Missed foraging, B&amp;Ut Liz witnessed initial capture"/>
    <m/>
    <m/>
  </r>
  <r>
    <s v="DSCN3454"/>
    <s v="B&amp;U0424_1"/>
    <n v="1"/>
    <n v="1"/>
    <x v="5"/>
    <d v="2019-04-24T00:00:00"/>
    <s v="April"/>
    <s v="Spring"/>
    <d v="1899-12-30T01:26:00"/>
    <d v="1899-12-30T00:01:26"/>
    <x v="93"/>
    <s v="Partly cloudy"/>
    <x v="6"/>
    <s v="Foraging"/>
    <s v="NA"/>
    <n v="1"/>
    <n v="0"/>
    <n v="0"/>
    <s v="Berry"/>
    <s v="Berry"/>
    <s v="Ground"/>
    <s v="NA"/>
    <m/>
    <m/>
    <m/>
    <s v="NA"/>
    <s v="NA"/>
    <s v="NA"/>
    <s v="NA"/>
    <s v="NA"/>
    <s v="NA"/>
    <s v="NA"/>
    <s v="NA"/>
    <n v="0"/>
    <n v="0"/>
    <n v="0"/>
    <n v="0"/>
    <n v="17"/>
    <m/>
    <n v="17"/>
    <s v="Searching"/>
    <m/>
    <m/>
    <m/>
  </r>
  <r>
    <s v="DSCN3467"/>
    <s v="B&amp;U0424_9"/>
    <n v="9"/>
    <n v="2"/>
    <x v="5"/>
    <d v="2019-04-24T00:00:00"/>
    <s v="April"/>
    <s v="Spring"/>
    <d v="1899-12-30T00:55:00"/>
    <d v="1899-12-30T00:00:55"/>
    <x v="51"/>
    <s v="Partly cloudy"/>
    <x v="6"/>
    <s v="Foraging"/>
    <s v="NA"/>
    <n v="1"/>
    <n v="0"/>
    <n v="0"/>
    <s v="Berry"/>
    <s v="Berry"/>
    <s v="Ground"/>
    <s v="NA"/>
    <m/>
    <m/>
    <m/>
    <s v="NA"/>
    <s v="NA"/>
    <s v="NA"/>
    <s v="NA"/>
    <s v="NA"/>
    <s v="NA"/>
    <s v="NA"/>
    <s v="NA"/>
    <n v="0"/>
    <n v="0"/>
    <n v="0"/>
    <n v="0"/>
    <n v="10"/>
    <m/>
    <n v="10"/>
    <s v="Searching"/>
    <m/>
    <m/>
    <m/>
  </r>
  <r>
    <s v="DSCN3469"/>
    <s v="B&amp;U0424_10"/>
    <n v="10"/>
    <n v="1"/>
    <x v="5"/>
    <d v="2019-04-24T00:00:00"/>
    <s v="April"/>
    <s v="Spring"/>
    <d v="1899-12-30T00:10:00"/>
    <d v="1899-12-30T00:00:10"/>
    <x v="49"/>
    <s v="Partly cloudy"/>
    <x v="6"/>
    <s v="Foraging"/>
    <s v="Spruce"/>
    <n v="0"/>
    <n v="0"/>
    <n v="0"/>
    <m/>
    <s v="NA"/>
    <s v="NA"/>
    <s v="NA"/>
    <m/>
    <m/>
    <m/>
    <s v="NA"/>
    <s v="NA"/>
    <s v="NA"/>
    <s v="NA"/>
    <s v="NA"/>
    <s v="NA"/>
    <s v="NA"/>
    <s v="NA"/>
    <n v="7"/>
    <n v="0"/>
    <n v="3"/>
    <n v="4"/>
    <n v="3"/>
    <m/>
    <n v="10"/>
    <s v="Searching"/>
    <m/>
    <m/>
    <m/>
  </r>
  <r>
    <s v="DSCN3457"/>
    <s v="B&amp;U0424_2"/>
    <n v="2"/>
    <n v="1"/>
    <x v="5"/>
    <d v="2019-04-24T00:00:00"/>
    <s v="April"/>
    <s v="Spring"/>
    <d v="1899-12-30T00:16:00"/>
    <d v="1899-12-30T00:00:16"/>
    <x v="47"/>
    <s v="Partly cloudy"/>
    <x v="6"/>
    <s v="Foraging"/>
    <s v="NA"/>
    <n v="0"/>
    <n v="0"/>
    <n v="0"/>
    <m/>
    <s v="NA"/>
    <s v="NA"/>
    <s v="NA"/>
    <m/>
    <m/>
    <m/>
    <s v="NA"/>
    <s v="NA"/>
    <s v="NA"/>
    <s v="NA"/>
    <s v="NA"/>
    <s v="NA"/>
    <s v="NA"/>
    <s v="NA"/>
    <n v="0"/>
    <n v="0"/>
    <n v="0"/>
    <n v="0"/>
    <n v="16"/>
    <m/>
    <n v="16"/>
    <s v="Searching"/>
    <m/>
    <m/>
    <m/>
  </r>
  <r>
    <s v="DSCN3465"/>
    <s v="B&amp;U0424_7"/>
    <n v="7"/>
    <n v="1"/>
    <x v="5"/>
    <d v="2019-04-24T00:00:00"/>
    <s v="April"/>
    <s v="Spring"/>
    <d v="1899-12-30T00:29:00"/>
    <d v="1899-12-30T00:00:29"/>
    <x v="58"/>
    <s v="Partly cloudy"/>
    <x v="6"/>
    <s v="Foraging"/>
    <s v="NA"/>
    <n v="0"/>
    <n v="0"/>
    <n v="0"/>
    <m/>
    <s v="NA"/>
    <s v="NA"/>
    <s v="NA"/>
    <m/>
    <m/>
    <m/>
    <s v="NA"/>
    <s v="NA"/>
    <s v="NA"/>
    <s v="NA"/>
    <s v="NA"/>
    <s v="NA"/>
    <s v="NA"/>
    <s v="NA"/>
    <n v="0"/>
    <n v="0"/>
    <n v="0"/>
    <n v="0"/>
    <n v="29"/>
    <m/>
    <n v="29"/>
    <s v="Searching"/>
    <m/>
    <m/>
    <m/>
  </r>
  <r>
    <s v="DSCN2736"/>
    <s v="B&amp;U0401_1"/>
    <n v="1"/>
    <n v="1"/>
    <x v="5"/>
    <d v="2019-04-01T00:00:00"/>
    <s v="April"/>
    <s v="Spring"/>
    <d v="1899-12-30T00:30:00"/>
    <d v="1899-12-30T00:00:30"/>
    <x v="69"/>
    <m/>
    <x v="6"/>
    <s v="Foraging"/>
    <s v="NA"/>
    <s v="unknown"/>
    <n v="0"/>
    <n v="0"/>
    <m/>
    <s v="NA"/>
    <s v="NA"/>
    <s v="NA"/>
    <m/>
    <m/>
    <m/>
    <s v="NA"/>
    <s v="NA"/>
    <s v="NA"/>
    <s v="NA"/>
    <s v="NA"/>
    <s v="NA"/>
    <s v="NA"/>
    <m/>
    <n v="0"/>
    <n v="0"/>
    <n v="0"/>
    <n v="0"/>
    <n v="30"/>
    <m/>
    <n v="30"/>
    <s v="Searching"/>
    <m/>
    <m/>
    <m/>
  </r>
  <r>
    <s v="DSCN2749"/>
    <s v="B&amp;U0401_10"/>
    <n v="10"/>
    <n v="1"/>
    <x v="5"/>
    <d v="2019-04-01T00:00:00"/>
    <s v="April"/>
    <s v="Spring"/>
    <d v="1899-12-30T00:37:00"/>
    <d v="1899-12-30T00:00:37"/>
    <x v="34"/>
    <m/>
    <x v="6"/>
    <s v="Foraging"/>
    <s v="NA"/>
    <s v="unknown"/>
    <n v="0"/>
    <n v="0"/>
    <m/>
    <s v="NA"/>
    <s v="NA"/>
    <s v="NA"/>
    <m/>
    <m/>
    <m/>
    <s v="NA"/>
    <s v="NA"/>
    <s v="NA"/>
    <s v="NA"/>
    <s v="NA"/>
    <s v="NA"/>
    <s v="NA"/>
    <m/>
    <n v="0"/>
    <n v="0"/>
    <n v="0"/>
    <n v="0"/>
    <n v="29"/>
    <m/>
    <n v="29"/>
    <s v="Searching"/>
    <m/>
    <m/>
    <m/>
  </r>
  <r>
    <s v="DSCN2752"/>
    <s v="B&amp;U0401_12"/>
    <n v="12"/>
    <n v="1"/>
    <x v="5"/>
    <d v="2019-04-01T00:00:00"/>
    <s v="April"/>
    <s v="Spring"/>
    <d v="1899-12-30T00:19:00"/>
    <d v="1899-12-30T00:00:19"/>
    <x v="17"/>
    <m/>
    <x v="6"/>
    <s v="Foraging"/>
    <s v="NA"/>
    <s v="unknown"/>
    <n v="0"/>
    <n v="0"/>
    <m/>
    <s v="NA"/>
    <s v="NA"/>
    <s v="NA"/>
    <m/>
    <m/>
    <m/>
    <s v="NA"/>
    <s v="NA"/>
    <s v="NA"/>
    <s v="NA"/>
    <s v="NA"/>
    <s v="NA"/>
    <s v="NA"/>
    <m/>
    <n v="0"/>
    <n v="0"/>
    <n v="0"/>
    <n v="0"/>
    <n v="15"/>
    <m/>
    <n v="15"/>
    <s v="Searching"/>
    <m/>
    <m/>
    <m/>
  </r>
  <r>
    <s v="DSCN2753"/>
    <s v="B&amp;U0401_13"/>
    <n v="13"/>
    <n v="1"/>
    <x v="5"/>
    <d v="2019-04-01T00:00:00"/>
    <s v="April"/>
    <s v="Spring"/>
    <d v="1899-12-30T00:21:00"/>
    <d v="1899-12-30T00:00:21"/>
    <x v="89"/>
    <m/>
    <x v="6"/>
    <s v="Foraging"/>
    <s v="NA"/>
    <s v="unknown"/>
    <n v="0"/>
    <n v="0"/>
    <m/>
    <s v="NA"/>
    <s v="NA"/>
    <s v="NA"/>
    <m/>
    <m/>
    <m/>
    <s v="NA"/>
    <s v="NA"/>
    <s v="NA"/>
    <s v="NA"/>
    <s v="NA"/>
    <s v="NA"/>
    <s v="NA"/>
    <m/>
    <n v="0"/>
    <n v="0"/>
    <n v="0"/>
    <n v="0"/>
    <n v="21"/>
    <m/>
    <n v="21"/>
    <s v="Searching"/>
    <m/>
    <m/>
    <m/>
  </r>
  <r>
    <s v="DSCN2738"/>
    <s v="B&amp;U0401_2"/>
    <n v="2"/>
    <n v="1"/>
    <x v="5"/>
    <d v="2019-04-01T00:00:00"/>
    <s v="April"/>
    <s v="Spring"/>
    <d v="1899-12-30T00:12:00"/>
    <d v="1899-12-30T00:00:12"/>
    <x v="61"/>
    <m/>
    <x v="6"/>
    <s v="Foraging"/>
    <s v="NA"/>
    <s v="unknown"/>
    <n v="0"/>
    <n v="0"/>
    <m/>
    <s v="NA"/>
    <s v="NA"/>
    <s v="NA"/>
    <m/>
    <m/>
    <m/>
    <s v="NA"/>
    <s v="NA"/>
    <s v="NA"/>
    <s v="NA"/>
    <s v="NA"/>
    <s v="NA"/>
    <s v="NA"/>
    <m/>
    <n v="0"/>
    <n v="0"/>
    <n v="0"/>
    <n v="0"/>
    <n v="12"/>
    <m/>
    <n v="12"/>
    <s v="Searching"/>
    <m/>
    <m/>
    <m/>
  </r>
  <r>
    <s v="DSCN2740"/>
    <s v="B&amp;U0401_3"/>
    <n v="3"/>
    <n v="1"/>
    <x v="5"/>
    <d v="2019-04-01T00:00:00"/>
    <s v="April"/>
    <s v="Spring"/>
    <d v="1899-12-30T01:00:00"/>
    <d v="1899-12-30T00:01:00"/>
    <x v="79"/>
    <m/>
    <x v="6"/>
    <s v="Foraging"/>
    <s v="NA"/>
    <s v="unknown"/>
    <n v="0"/>
    <n v="0"/>
    <m/>
    <s v="NA"/>
    <s v="NA"/>
    <s v="NA"/>
    <m/>
    <m/>
    <m/>
    <s v="NA"/>
    <s v="NA"/>
    <s v="NA"/>
    <s v="NA"/>
    <s v="NA"/>
    <s v="NA"/>
    <s v="NA"/>
    <m/>
    <n v="0"/>
    <n v="0"/>
    <n v="0"/>
    <n v="0"/>
    <n v="60"/>
    <m/>
    <n v="60"/>
    <s v="Searching"/>
    <m/>
    <m/>
    <m/>
  </r>
  <r>
    <s v="DSCN2862"/>
    <s v="B&amp;U0403_2"/>
    <n v="2"/>
    <n v="1"/>
    <x v="5"/>
    <d v="2019-04-03T00:00:00"/>
    <s v="April"/>
    <s v="Spring"/>
    <d v="1899-12-30T00:45:00"/>
    <d v="1899-12-30T00:00:45"/>
    <x v="25"/>
    <m/>
    <x v="6"/>
    <s v="Foraging"/>
    <s v="NA"/>
    <s v="unknown"/>
    <n v="0"/>
    <n v="0"/>
    <m/>
    <s v="NA"/>
    <s v="NA"/>
    <s v="NA"/>
    <m/>
    <m/>
    <m/>
    <s v="NA"/>
    <s v="NA"/>
    <s v="NA"/>
    <s v="NA"/>
    <s v="NA"/>
    <s v="NA"/>
    <s v="NA"/>
    <m/>
    <n v="0"/>
    <n v="0"/>
    <n v="0"/>
    <n v="0"/>
    <n v="43"/>
    <m/>
    <n v="43"/>
    <s v="Searching"/>
    <m/>
    <m/>
    <m/>
  </r>
  <r>
    <s v="DSCN3109"/>
    <s v="B&amp;U0415_5"/>
    <n v="5"/>
    <n v="1"/>
    <x v="5"/>
    <d v="2019-04-15T00:00:00"/>
    <s v="April"/>
    <s v="Spring"/>
    <d v="1899-12-30T00:33:00"/>
    <d v="1899-12-30T00:00:33"/>
    <x v="8"/>
    <s v="Partly cloudy"/>
    <x v="6"/>
    <s v="Foraging"/>
    <s v="NA"/>
    <s v="unknown"/>
    <n v="0"/>
    <n v="0"/>
    <m/>
    <s v="NA"/>
    <s v="NA"/>
    <s v="NA"/>
    <m/>
    <m/>
    <m/>
    <s v="NA"/>
    <s v="NA"/>
    <s v="NA"/>
    <s v="NA"/>
    <s v="NA"/>
    <s v="NA"/>
    <s v="NA"/>
    <m/>
    <n v="0"/>
    <n v="0"/>
    <n v="0"/>
    <n v="0"/>
    <n v="33"/>
    <m/>
    <n v="33"/>
    <s v="Searching"/>
    <m/>
    <m/>
    <m/>
  </r>
  <r>
    <s v="DSCN3470"/>
    <s v="B&amp;U0424_11"/>
    <n v="11"/>
    <n v="1"/>
    <x v="5"/>
    <d v="2019-04-24T00:00:00"/>
    <s v="April"/>
    <s v="Spring"/>
    <d v="1899-12-30T00:28:00"/>
    <d v="1899-12-30T00:00:28"/>
    <x v="68"/>
    <s v="Partly cloudy"/>
    <x v="6"/>
    <s v="Foraging"/>
    <s v="Spruce"/>
    <s v="unknown"/>
    <s v="unknown"/>
    <n v="0"/>
    <m/>
    <s v="NA"/>
    <s v="NA"/>
    <s v="NA"/>
    <m/>
    <m/>
    <m/>
    <s v="NA"/>
    <s v="NA"/>
    <s v="NA"/>
    <s v="NA"/>
    <s v="NA"/>
    <s v="NA"/>
    <s v="NA"/>
    <s v="NA"/>
    <n v="25"/>
    <n v="0"/>
    <n v="16"/>
    <n v="9"/>
    <n v="0"/>
    <m/>
    <n v="25"/>
    <s v="Searching"/>
    <m/>
    <m/>
    <m/>
  </r>
  <r>
    <s v="DSCN3458"/>
    <s v="B&amp;U0424_3"/>
    <n v="3"/>
    <n v="1"/>
    <x v="5"/>
    <d v="2019-04-24T00:00:00"/>
    <s v="April"/>
    <s v="Spring"/>
    <d v="1899-12-30T00:25:00"/>
    <d v="1899-12-30T00:00:25"/>
    <x v="15"/>
    <s v="Partly cloudy"/>
    <x v="6"/>
    <s v="Foraging"/>
    <s v="NA"/>
    <s v="unknown"/>
    <n v="0"/>
    <n v="0"/>
    <m/>
    <s v="NA"/>
    <s v="NA"/>
    <s v="NA"/>
    <m/>
    <m/>
    <m/>
    <s v="NA"/>
    <s v="NA"/>
    <s v="NA"/>
    <s v="NA"/>
    <s v="NA"/>
    <s v="NA"/>
    <s v="NA"/>
    <s v="NA"/>
    <n v="0"/>
    <n v="0"/>
    <n v="0"/>
    <n v="0"/>
    <n v="25"/>
    <m/>
    <n v="25"/>
    <m/>
    <m/>
    <m/>
    <m/>
  </r>
  <r>
    <s v="DSCN3459"/>
    <s v="B&amp;U0424_4"/>
    <n v="4"/>
    <n v="1"/>
    <x v="5"/>
    <d v="2019-04-24T00:00:00"/>
    <s v="April"/>
    <s v="Spring"/>
    <d v="1899-12-30T00:26:00"/>
    <d v="1899-12-30T00:00:26"/>
    <x v="44"/>
    <s v="Partly cloudy"/>
    <x v="6"/>
    <s v="Foraging"/>
    <s v="Spruce"/>
    <s v="unknown"/>
    <s v="unknown"/>
    <n v="0"/>
    <m/>
    <s v="NA"/>
    <s v="NA"/>
    <s v="NA"/>
    <m/>
    <m/>
    <m/>
    <s v="NA"/>
    <s v="NA"/>
    <s v="NA"/>
    <s v="NA"/>
    <s v="NA"/>
    <s v="NA"/>
    <s v="NA"/>
    <s v="NA"/>
    <n v="5"/>
    <n v="0"/>
    <n v="0"/>
    <n v="5"/>
    <n v="0"/>
    <m/>
    <n v="5"/>
    <s v="Searching"/>
    <m/>
    <m/>
    <m/>
  </r>
  <r>
    <s v="DSCN3027"/>
    <s v="M4R0409_4"/>
    <n v="4"/>
    <n v="1"/>
    <x v="6"/>
    <d v="2019-04-09T00:00:00"/>
    <s v="April"/>
    <s v="Spring"/>
    <d v="1899-12-30T01:23:00"/>
    <d v="1899-12-30T00:01:23"/>
    <x v="95"/>
    <m/>
    <x v="7"/>
    <s v="Caching/foraging"/>
    <s v="Willow"/>
    <n v="0"/>
    <n v="0"/>
    <n v="1"/>
    <s v="Insect"/>
    <s v="Insects (2 caterpillars, incl brown and black ones and a SPIDER)"/>
    <s v="Ground"/>
    <s v="Top of willow branch"/>
    <s v="Willow"/>
    <s v="Exterior"/>
    <s v="On branch"/>
    <s v="NA-top of branch"/>
    <s v="NA-top of branch"/>
    <s v="TBD"/>
    <n v="63.71922"/>
    <n v="148.98706000000001"/>
    <s v="NA"/>
    <s v="NA"/>
    <m/>
    <n v="0"/>
    <n v="0"/>
    <n v="0"/>
    <n v="0"/>
    <n v="65"/>
    <m/>
    <n v="65"/>
    <m/>
    <s v="Cached two caterpillars and a spider on the same branch. One caterpiller was saw it aquire B&amp;Ut the other two items we did not.  Counted as additional aquisitions  Put Camera out on this cache. Again, we thought originally that YO/BS grabbed the black caterpillar B&amp;Ut now we aren't sure.  Maybe they switched off camera.  So we don't have a distance for the black caterpillar.  "/>
    <m/>
    <m/>
  </r>
  <r>
    <s v="DSCN3034"/>
    <s v="M4R0409_9"/>
    <n v="9"/>
    <n v="1"/>
    <x v="6"/>
    <d v="2019-04-09T00:00:00"/>
    <s v="April"/>
    <s v="Spring"/>
    <d v="1899-12-30T00:46:00"/>
    <d v="1899-12-30T00:00:46"/>
    <x v="92"/>
    <m/>
    <x v="7"/>
    <s v="Foraging/caching"/>
    <s v="Spruce"/>
    <n v="1"/>
    <n v="0"/>
    <n v="1"/>
    <s v="Insect"/>
    <s v="Insect (caterpiller)"/>
    <s v="Ground"/>
    <s v="Exterior spruce branch under witch hair"/>
    <s v="Spruce"/>
    <s v="Exterior"/>
    <s v="Under witchhair"/>
    <s v="NW"/>
    <n v="330"/>
    <n v="5"/>
    <n v="63.719679999999997"/>
    <n v="148.98660000000001"/>
    <s v="NA"/>
    <s v="NA"/>
    <m/>
    <n v="0"/>
    <n v="0"/>
    <n v="0"/>
    <n v="0"/>
    <n v="7"/>
    <m/>
    <n v="7"/>
    <s v="Searching"/>
    <m/>
    <m/>
    <m/>
  </r>
  <r>
    <s v="DSCN3040"/>
    <s v="M4R0409_12"/>
    <n v="12"/>
    <n v="1"/>
    <x v="6"/>
    <d v="2019-04-09T00:00:00"/>
    <s v="April"/>
    <s v="Spring"/>
    <d v="1899-12-30T00:14:00"/>
    <d v="1899-12-30T00:00:14"/>
    <x v="59"/>
    <m/>
    <x v="7"/>
    <s v="Food handling"/>
    <s v="NA"/>
    <n v="1"/>
    <n v="0"/>
    <n v="0"/>
    <s v="Insect"/>
    <s v="Insect (Black caterpiller)"/>
    <s v="Ground"/>
    <s v="NA"/>
    <m/>
    <m/>
    <m/>
    <s v="NA"/>
    <s v="NA"/>
    <s v="NA"/>
    <s v="NA"/>
    <s v="NA"/>
    <s v="NA"/>
    <s v="NA"/>
    <m/>
    <n v="0"/>
    <n v="0"/>
    <n v="0"/>
    <n v="0"/>
    <n v="0"/>
    <m/>
    <n v="0"/>
    <m/>
    <s v="Missed aquistion.  We reviewed the videos (and out memories) very carefully to confirm that in the previous video it's YO/BS that gets the caterpiller and it's a coincidence that now this bird also has one. "/>
    <m/>
    <m/>
  </r>
  <r>
    <s v="DSCN3026"/>
    <s v="M4R0409_3"/>
    <n v="3"/>
    <n v="1"/>
    <x v="6"/>
    <d v="2019-04-09T00:00:00"/>
    <s v="April"/>
    <s v="Spring"/>
    <d v="1899-12-30T00:54:00"/>
    <d v="1899-12-30T00:00:54"/>
    <x v="96"/>
    <m/>
    <x v="7"/>
    <s v="Foraging"/>
    <s v="NA"/>
    <n v="1"/>
    <n v="0"/>
    <n v="0"/>
    <s v="Insect"/>
    <s v="Insect (grub/caterpillar)"/>
    <s v="Ground"/>
    <s v="NA"/>
    <m/>
    <m/>
    <m/>
    <s v="NA"/>
    <s v="NA"/>
    <s v="NA"/>
    <s v="NA"/>
    <s v="NA"/>
    <s v="NA"/>
    <s v="NA"/>
    <m/>
    <n v="0"/>
    <n v="0"/>
    <n v="0"/>
    <n v="0"/>
    <n v="54"/>
    <m/>
    <n v="54"/>
    <m/>
    <m/>
    <m/>
    <m/>
  </r>
  <r>
    <s v="DSCN3033"/>
    <s v="M3R0409_8"/>
    <n v="8"/>
    <n v="1"/>
    <x v="6"/>
    <d v="2019-04-09T00:00:00"/>
    <s v="April"/>
    <s v="Spring"/>
    <d v="1899-12-30T00:32:00"/>
    <d v="1899-12-30T00:00:32"/>
    <x v="21"/>
    <m/>
    <x v="7"/>
    <s v="Foraging"/>
    <s v="NA"/>
    <n v="0"/>
    <n v="0"/>
    <n v="0"/>
    <m/>
    <s v="NA"/>
    <s v="NA"/>
    <s v="NA"/>
    <m/>
    <m/>
    <m/>
    <s v="NA"/>
    <s v="NA"/>
    <s v="NA"/>
    <s v="NA"/>
    <s v="NA"/>
    <s v="NA"/>
    <s v="NA"/>
    <m/>
    <n v="0"/>
    <n v="0"/>
    <n v="0"/>
    <n v="0"/>
    <n v="32"/>
    <m/>
    <n v="32"/>
    <s v="Searching"/>
    <m/>
    <m/>
    <m/>
  </r>
  <r>
    <s v="DSCN3041"/>
    <s v="M4R0409_13"/>
    <n v="13"/>
    <n v="1"/>
    <x v="6"/>
    <d v="2019-04-09T00:00:00"/>
    <s v="April"/>
    <s v="Spring"/>
    <d v="1899-12-30T00:20:00"/>
    <d v="1899-12-30T00:00:20"/>
    <x v="38"/>
    <m/>
    <x v="7"/>
    <s v="Food handling"/>
    <s v="NA"/>
    <n v="0"/>
    <n v="0"/>
    <n v="0"/>
    <s v="Insect"/>
    <s v="Insect (Black caterpiller)"/>
    <s v="NA"/>
    <s v="NA"/>
    <m/>
    <m/>
    <m/>
    <s v="NA"/>
    <s v="NA"/>
    <s v="NA"/>
    <s v="NA"/>
    <s v="NA"/>
    <s v="NA"/>
    <s v="NA"/>
    <m/>
    <n v="0"/>
    <n v="0"/>
    <n v="0"/>
    <n v="0"/>
    <n v="0"/>
    <m/>
    <n v="0"/>
    <m/>
    <s v="Same piller from previous video"/>
    <m/>
    <m/>
  </r>
  <r>
    <s v="DSCN3029"/>
    <s v="M4R0409_5"/>
    <n v="5"/>
    <n v="1"/>
    <x v="6"/>
    <d v="2019-04-09T00:00:00"/>
    <s v="April"/>
    <s v="Spring"/>
    <d v="1899-12-30T00:11:00"/>
    <d v="1899-12-30T00:00:11"/>
    <x v="11"/>
    <m/>
    <x v="7"/>
    <s v="Foraging"/>
    <s v="NA"/>
    <n v="0"/>
    <n v="0"/>
    <n v="0"/>
    <m/>
    <s v="NA"/>
    <s v="NA"/>
    <s v="NA"/>
    <m/>
    <m/>
    <m/>
    <s v="NA"/>
    <s v="NA"/>
    <s v="NA"/>
    <s v="NA"/>
    <s v="NA"/>
    <s v="NA"/>
    <s v="NA"/>
    <m/>
    <n v="0"/>
    <n v="0"/>
    <n v="0"/>
    <n v="0"/>
    <n v="11"/>
    <m/>
    <n v="11"/>
    <s v="Searching"/>
    <m/>
    <m/>
    <m/>
  </r>
  <r>
    <s v="DSCN3031"/>
    <s v="M4R0409_6"/>
    <n v="6"/>
    <n v="1"/>
    <x v="6"/>
    <d v="2019-04-09T00:00:00"/>
    <s v="April"/>
    <s v="Spring"/>
    <d v="1899-12-30T00:32:00"/>
    <d v="1899-12-30T00:00:32"/>
    <x v="21"/>
    <m/>
    <x v="7"/>
    <s v="Foraging"/>
    <s v="NA"/>
    <n v="0"/>
    <n v="0"/>
    <n v="0"/>
    <m/>
    <s v="NA"/>
    <s v="NA"/>
    <s v="NA"/>
    <m/>
    <m/>
    <m/>
    <s v="NA"/>
    <s v="NA"/>
    <s v="NA"/>
    <s v="NA"/>
    <s v="NA"/>
    <s v="NA"/>
    <s v="NA"/>
    <m/>
    <n v="0"/>
    <n v="0"/>
    <n v="0"/>
    <n v="0"/>
    <n v="32"/>
    <m/>
    <n v="32"/>
    <s v="Searching"/>
    <m/>
    <m/>
    <m/>
  </r>
  <r>
    <s v="DSCN3032"/>
    <s v="M4R0409_7"/>
    <n v="7"/>
    <n v="1"/>
    <x v="6"/>
    <d v="2019-04-09T00:00:00"/>
    <s v="April"/>
    <s v="Spring"/>
    <d v="1899-12-30T00:13:00"/>
    <d v="1899-12-30T00:00:13"/>
    <x v="64"/>
    <m/>
    <x v="7"/>
    <s v="Foraging"/>
    <s v="NA"/>
    <n v="0"/>
    <n v="0"/>
    <n v="0"/>
    <m/>
    <s v="NA"/>
    <s v="NA"/>
    <s v="NA"/>
    <m/>
    <m/>
    <m/>
    <s v="NA"/>
    <s v="NA"/>
    <s v="NA"/>
    <s v="NA"/>
    <s v="NA"/>
    <s v="NA"/>
    <s v="NA"/>
    <m/>
    <n v="0"/>
    <n v="0"/>
    <n v="0"/>
    <n v="0"/>
    <n v="7"/>
    <m/>
    <n v="7"/>
    <s v="Searching"/>
    <m/>
    <m/>
    <m/>
  </r>
  <r>
    <s v="DSCN3224"/>
    <s v="M4R0417_7"/>
    <n v="7"/>
    <n v="1"/>
    <x v="6"/>
    <d v="2019-04-17T00:00:00"/>
    <s v="April"/>
    <s v="Spring"/>
    <d v="1899-12-30T00:34:00"/>
    <d v="1899-12-30T00:00:34"/>
    <x v="18"/>
    <s v="Overcast, light snow"/>
    <x v="7"/>
    <s v="Foraging"/>
    <s v="NA"/>
    <n v="1"/>
    <n v="0"/>
    <n v="0"/>
    <s v="Unknown"/>
    <s v="unknown"/>
    <s v="Ground"/>
    <s v="NA"/>
    <m/>
    <m/>
    <m/>
    <s v="NA"/>
    <s v="NA"/>
    <s v="NA"/>
    <s v="NA"/>
    <s v="NA"/>
    <s v="NA"/>
    <s v="NA"/>
    <m/>
    <n v="0"/>
    <n v="0"/>
    <n v="0"/>
    <n v="0"/>
    <n v="10"/>
    <m/>
    <n v="10"/>
    <s v="Searching"/>
    <m/>
    <m/>
    <m/>
  </r>
  <r>
    <s v="DSCN3224"/>
    <s v="M4R0417_7"/>
    <n v="7"/>
    <n v="2"/>
    <x v="6"/>
    <d v="2019-04-17T00:00:00"/>
    <s v="April"/>
    <s v="Spring"/>
    <d v="1899-12-30T00:34:00"/>
    <d v="1899-12-30T00:00:34"/>
    <x v="18"/>
    <s v="Overcast, light snow"/>
    <x v="7"/>
    <s v="Foraging"/>
    <s v="NA"/>
    <n v="1"/>
    <n v="0"/>
    <n v="0"/>
    <s v="Insect"/>
    <s v="Insect (grub/caterpillar)"/>
    <s v="Ground"/>
    <s v="NA"/>
    <m/>
    <m/>
    <m/>
    <s v="NA"/>
    <s v="NA"/>
    <s v="NA"/>
    <s v="NA"/>
    <s v="NA"/>
    <s v="NA"/>
    <s v="NA"/>
    <m/>
    <n v="0"/>
    <n v="0"/>
    <n v="0"/>
    <n v="0"/>
    <n v="7"/>
    <m/>
    <n v="7"/>
    <s v="Searching"/>
    <m/>
    <m/>
    <m/>
  </r>
  <r>
    <s v="DSCN3337"/>
    <s v="M4R0419_1"/>
    <n v="1"/>
    <n v="1"/>
    <x v="6"/>
    <d v="2019-04-19T00:00:00"/>
    <s v="April"/>
    <s v="Spring"/>
    <d v="1899-12-30T00:11:00"/>
    <d v="1899-12-30T00:00:11"/>
    <x v="11"/>
    <s v="Partly cloudy"/>
    <x v="7"/>
    <s v="Foraging"/>
    <s v="Alder"/>
    <n v="0"/>
    <n v="0"/>
    <n v="0"/>
    <m/>
    <s v="NA"/>
    <s v="NA"/>
    <s v="NA"/>
    <m/>
    <m/>
    <m/>
    <s v="NA"/>
    <s v="NA"/>
    <s v="NA"/>
    <s v="NA"/>
    <s v="NA"/>
    <s v="NA"/>
    <s v="NA"/>
    <s v="NA"/>
    <n v="11"/>
    <n v="0"/>
    <n v="0"/>
    <n v="11"/>
    <n v="0"/>
    <m/>
    <n v="11"/>
    <s v="Searching/probing"/>
    <s v="No probling on tape B&amp;Ut had seen some earlier"/>
    <n v="0"/>
    <n v="0"/>
  </r>
  <r>
    <s v="DSCN3651"/>
    <s v="M4R0430_9"/>
    <n v="9"/>
    <n v="1"/>
    <x v="6"/>
    <d v="2019-04-30T00:00:00"/>
    <s v="April"/>
    <s v="Spring"/>
    <d v="1899-12-30T01:36:00"/>
    <d v="1899-12-30T00:01:36"/>
    <x v="81"/>
    <s v="Clear, full sun"/>
    <x v="7"/>
    <s v="Foraging"/>
    <s v="Spruce"/>
    <n v="1"/>
    <n v="1"/>
    <n v="0"/>
    <s v="Unknown"/>
    <s v="unknown"/>
    <s v="Exterior spruce branch under witchhair"/>
    <s v="NA"/>
    <m/>
    <m/>
    <m/>
    <s v="NA"/>
    <s v="NA"/>
    <s v="NA"/>
    <s v="NA"/>
    <s v="NA"/>
    <n v="63.720140000000001"/>
    <n v="148.98885999999999"/>
    <s v="NA"/>
    <n v="18"/>
    <n v="0"/>
    <n v="0"/>
    <n v="18"/>
    <n v="0"/>
    <m/>
    <n v="18"/>
    <s v="Probing"/>
    <s v="Recovered a cache in the tree next to YO/BS's cache tree so used same waypoint, B&amp;Ut it wasn't the exact same tree. "/>
    <n v="1"/>
    <n v="0"/>
  </r>
  <r>
    <s v="DSCN3653"/>
    <s v="M4R0430_11"/>
    <n v="11"/>
    <n v="1"/>
    <x v="6"/>
    <d v="2019-04-30T00:00:00"/>
    <s v="April"/>
    <s v="Spring"/>
    <d v="1899-12-30T01:37:00"/>
    <d v="1899-12-30T00:01:37"/>
    <x v="88"/>
    <s v="Clear, full sun"/>
    <x v="7"/>
    <s v="Foraging"/>
    <s v="NA"/>
    <n v="1"/>
    <n v="0"/>
    <n v="1"/>
    <s v="Berry"/>
    <s v="Berry (2 Cranberries)"/>
    <s v="Ground"/>
    <s v="Exterior spruce branch under witch hair"/>
    <s v="Spruce"/>
    <s v="Exterior"/>
    <s v="Under witchhair"/>
    <s v="SW"/>
    <n v="220"/>
    <n v="10.9"/>
    <n v="63.719990000000003"/>
    <n v="148.98865000000001"/>
    <s v="NA"/>
    <s v="NA"/>
    <s v="NA"/>
    <n v="0"/>
    <n v="0"/>
    <n v="0"/>
    <n v="0"/>
    <n v="85"/>
    <m/>
    <n v="85"/>
    <s v="Searching"/>
    <m/>
    <m/>
    <m/>
  </r>
  <r>
    <s v="DSCN3654"/>
    <s v="M4R0430_12"/>
    <n v="12"/>
    <n v="1"/>
    <x v="6"/>
    <d v="2019-04-30T00:00:00"/>
    <s v="April"/>
    <s v="Spring"/>
    <d v="1899-12-30T00:13:00"/>
    <d v="1899-12-30T00:00:13"/>
    <x v="64"/>
    <s v="Clear, full sun"/>
    <x v="7"/>
    <s v="Foraging"/>
    <s v="NA"/>
    <n v="0"/>
    <n v="0"/>
    <n v="0"/>
    <m/>
    <s v="NA"/>
    <s v="NA"/>
    <s v="NA"/>
    <m/>
    <m/>
    <m/>
    <s v="NA"/>
    <s v="NA"/>
    <s v="NA"/>
    <s v="NA"/>
    <s v="NA"/>
    <s v="NA"/>
    <s v="NA"/>
    <s v="NA"/>
    <n v="0"/>
    <n v="0"/>
    <n v="0"/>
    <n v="0"/>
    <n v="0"/>
    <m/>
    <n v="0"/>
    <m/>
    <s v="Rest of caching behavior from previous video. "/>
    <m/>
    <m/>
  </r>
  <r>
    <s v="DSCN3035"/>
    <s v="M4R0409_10"/>
    <n v="10"/>
    <n v="1"/>
    <x v="6"/>
    <d v="2019-04-09T00:00:00"/>
    <s v="April"/>
    <s v="Spring"/>
    <d v="1899-12-30T00:26:00"/>
    <d v="1899-12-30T00:00:26"/>
    <x v="44"/>
    <m/>
    <x v="7"/>
    <s v="Foraging"/>
    <s v="NA"/>
    <s v="unknown"/>
    <n v="0"/>
    <n v="0"/>
    <m/>
    <s v="NA"/>
    <s v="NA"/>
    <s v="NA"/>
    <m/>
    <m/>
    <m/>
    <s v="NA"/>
    <s v="NA"/>
    <s v="NA"/>
    <s v="NA"/>
    <s v="NA"/>
    <s v="NA"/>
    <s v="NA"/>
    <m/>
    <n v="0"/>
    <n v="0"/>
    <n v="0"/>
    <n v="0"/>
    <n v="26"/>
    <m/>
    <n v="26"/>
    <s v="Searching"/>
    <m/>
    <m/>
    <m/>
  </r>
  <r>
    <s v="DSCN3652"/>
    <s v="M4R0430_10"/>
    <n v="10"/>
    <n v="1"/>
    <x v="6"/>
    <d v="2019-04-30T00:00:00"/>
    <s v="April"/>
    <s v="Spring"/>
    <d v="1899-12-30T00:53:00"/>
    <d v="1899-12-30T00:00:53"/>
    <x v="75"/>
    <s v="Clear, full sun"/>
    <x v="7"/>
    <s v="Foraging"/>
    <s v="NA"/>
    <s v="unknown"/>
    <n v="0"/>
    <n v="0"/>
    <m/>
    <s v="NA"/>
    <s v="NA"/>
    <s v="NA"/>
    <m/>
    <m/>
    <m/>
    <s v="NA"/>
    <s v="NA"/>
    <s v="NA"/>
    <s v="NA"/>
    <s v="NA"/>
    <s v="NA"/>
    <s v="NA"/>
    <s v="NA"/>
    <n v="0"/>
    <n v="0"/>
    <n v="0"/>
    <n v="0"/>
    <n v="15"/>
    <m/>
    <n v="15"/>
    <s v="Searching"/>
    <m/>
    <m/>
    <m/>
  </r>
  <r>
    <s v="DSCN3259"/>
    <s v="AQ0417_7"/>
    <n v="7"/>
    <n v="1"/>
    <x v="7"/>
    <d v="2019-04-17T00:00:00"/>
    <s v="April"/>
    <s v="Spring"/>
    <d v="1899-12-30T00:18:00"/>
    <d v="1899-12-30T00:00:18"/>
    <x v="13"/>
    <s v="Overcast, light snow"/>
    <x v="8"/>
    <s v="Foraging"/>
    <s v="Spruce"/>
    <n v="1"/>
    <s v="unknown"/>
    <n v="0"/>
    <s v="Unknown"/>
    <s v="unknown"/>
    <s v="Exterior bare spruce branch"/>
    <s v="NA"/>
    <m/>
    <m/>
    <m/>
    <s v="NA"/>
    <s v="NA"/>
    <s v="NA"/>
    <s v="NA"/>
    <s v="NA"/>
    <s v="NA"/>
    <s v="NA"/>
    <s v="NA"/>
    <n v="12"/>
    <n v="0"/>
    <n v="0"/>
    <n v="12"/>
    <n v="0"/>
    <m/>
    <n v="12"/>
    <s v="Searching"/>
    <m/>
    <m/>
    <m/>
  </r>
  <r>
    <s v="DSCN3241"/>
    <s v="AQ0417_3"/>
    <n v="3"/>
    <n v="3"/>
    <x v="7"/>
    <d v="2019-04-17T00:00:00"/>
    <s v="April"/>
    <s v="Spring"/>
    <d v="1899-12-30T01:09:00"/>
    <d v="1899-12-30T00:01:09"/>
    <x v="39"/>
    <s v="Overcast, light snow"/>
    <x v="8"/>
    <s v="Foraging"/>
    <s v="Spruce"/>
    <n v="1"/>
    <s v="unknown"/>
    <n v="0"/>
    <s v="Unknown"/>
    <s v="unknown"/>
    <s v="Exterior spruce branch under bark"/>
    <s v="NA"/>
    <m/>
    <m/>
    <m/>
    <s v="NA"/>
    <s v="NA"/>
    <s v="NA"/>
    <s v="NA"/>
    <s v="NA"/>
    <s v="NA"/>
    <s v="NA"/>
    <s v="NA"/>
    <n v="11"/>
    <n v="0"/>
    <n v="0"/>
    <n v="11"/>
    <n v="0"/>
    <m/>
    <n v="11"/>
    <s v="Probing"/>
    <m/>
    <n v="1"/>
    <n v="0"/>
  </r>
  <r>
    <s v="DSCN3259"/>
    <s v="AQ0417_8"/>
    <n v="8"/>
    <n v="1"/>
    <x v="7"/>
    <d v="2019-04-17T00:00:00"/>
    <s v="April"/>
    <s v="Spring"/>
    <d v="1899-12-30T00:15:00"/>
    <d v="1899-12-30T00:00:15"/>
    <x v="14"/>
    <s v="Overcast, light snow"/>
    <x v="8"/>
    <s v="Foraging"/>
    <s v="Spruce"/>
    <n v="1"/>
    <s v="unknown"/>
    <n v="0"/>
    <s v="Unknown"/>
    <s v="unknown"/>
    <s v="Exterior spruce branch under bark"/>
    <s v="NA"/>
    <m/>
    <m/>
    <m/>
    <s v="NA"/>
    <s v="NA"/>
    <s v="NA"/>
    <s v="NA"/>
    <s v="NA"/>
    <s v="NA"/>
    <s v="NA"/>
    <s v="NA"/>
    <n v="12"/>
    <n v="0"/>
    <n v="0"/>
    <n v="12"/>
    <n v="0"/>
    <m/>
    <n v="12"/>
    <s v="Probing"/>
    <m/>
    <n v="7"/>
    <n v="0"/>
  </r>
  <r>
    <s v="DSCN3245"/>
    <s v="AQ0417_6"/>
    <n v="6"/>
    <n v="1"/>
    <x v="7"/>
    <d v="2019-04-17T00:00:00"/>
    <s v="April"/>
    <s v="Spring"/>
    <d v="1899-12-30T01:50:00"/>
    <d v="1899-12-30T00:01:50"/>
    <x v="97"/>
    <s v="Overcast, light snow"/>
    <x v="8"/>
    <s v="Foraging"/>
    <s v="NA"/>
    <n v="1"/>
    <n v="0"/>
    <n v="0"/>
    <s v="Unknown"/>
    <s v="unknown"/>
    <s v="Ground"/>
    <s v="NA"/>
    <m/>
    <m/>
    <m/>
    <s v="NA"/>
    <s v="NA"/>
    <s v="NA"/>
    <s v="NA"/>
    <s v="NA"/>
    <s v="NA"/>
    <s v="NA"/>
    <s v="NA"/>
    <n v="0"/>
    <n v="0"/>
    <n v="0"/>
    <n v="0"/>
    <n v="6"/>
    <m/>
    <n v="6"/>
    <s v="Searching"/>
    <m/>
    <m/>
    <m/>
  </r>
  <r>
    <s v="DSCN3241"/>
    <s v="AQ0417_3"/>
    <n v="3"/>
    <n v="1"/>
    <x v="7"/>
    <d v="2019-04-17T00:00:00"/>
    <s v="April"/>
    <s v="Spring"/>
    <d v="1899-12-30T01:09:00"/>
    <d v="1899-12-30T00:01:09"/>
    <x v="39"/>
    <s v="Overcast, light snow"/>
    <x v="8"/>
    <s v="Caching"/>
    <s v="NA"/>
    <n v="0"/>
    <n v="0"/>
    <n v="1"/>
    <s v="Insect"/>
    <s v="Insect (Black caterpiller)"/>
    <s v="NA"/>
    <s v="Exterior spruce branch under bark"/>
    <s v="Spruce"/>
    <s v="Exterior"/>
    <s v="Under bark"/>
    <s v="W"/>
    <n v="265"/>
    <n v="9"/>
    <n v="63.725189999999998"/>
    <n v="148.96460999999999"/>
    <s v="NA"/>
    <s v="NA"/>
    <s v="NA"/>
    <n v="0"/>
    <n v="0"/>
    <n v="0"/>
    <n v="0"/>
    <n v="0"/>
    <m/>
    <n v="0"/>
    <m/>
    <m/>
    <m/>
    <m/>
  </r>
  <r>
    <s v="DSCN3239"/>
    <s v="AQ0417_1"/>
    <n v="1"/>
    <n v="1"/>
    <x v="7"/>
    <d v="2019-04-17T00:00:00"/>
    <s v="April"/>
    <s v="Spring"/>
    <d v="1899-12-30T00:59:00"/>
    <d v="1899-12-30T00:00:59"/>
    <x v="98"/>
    <s v="Overcast, light snow"/>
    <x v="8"/>
    <s v="Foraging"/>
    <s v="NA"/>
    <n v="1"/>
    <n v="0"/>
    <n v="0"/>
    <s v="Insect"/>
    <s v="Insect (Black caterpiller)"/>
    <s v="Ground"/>
    <s v="NA"/>
    <m/>
    <m/>
    <m/>
    <s v="NA"/>
    <s v="NA"/>
    <s v="NA"/>
    <s v="NA"/>
    <s v="NA"/>
    <s v="NA"/>
    <s v="NA"/>
    <s v="NA"/>
    <n v="0"/>
    <n v="0"/>
    <n v="0"/>
    <n v="0"/>
    <n v="5"/>
    <m/>
    <n v="5"/>
    <s v="Searching"/>
    <m/>
    <m/>
    <m/>
  </r>
  <r>
    <s v="DSCN3245"/>
    <s v="AQ0417_6"/>
    <n v="6"/>
    <n v="2"/>
    <x v="7"/>
    <d v="2019-04-17T00:00:00"/>
    <s v="April"/>
    <s v="Spring"/>
    <d v="1899-12-30T01:50:00"/>
    <d v="1899-12-30T00:01:50"/>
    <x v="97"/>
    <s v="Overcast, light snow"/>
    <x v="8"/>
    <s v="Foraging"/>
    <s v="Spruce"/>
    <n v="1"/>
    <n v="0"/>
    <n v="0"/>
    <s v="Berry"/>
    <s v="Berry (2)"/>
    <s v="Ground"/>
    <s v="NA"/>
    <m/>
    <m/>
    <m/>
    <s v="NA"/>
    <s v="NA"/>
    <s v="NA"/>
    <s v="NA"/>
    <s v="NA"/>
    <s v="NA"/>
    <s v="NA"/>
    <s v="NA"/>
    <n v="38"/>
    <n v="0"/>
    <n v="38"/>
    <n v="0"/>
    <n v="24"/>
    <m/>
    <n v="62"/>
    <s v="Searching"/>
    <m/>
    <m/>
    <m/>
  </r>
  <r>
    <s v="DSCN3241"/>
    <s v="AQ0417_3"/>
    <n v="3"/>
    <n v="2"/>
    <x v="7"/>
    <d v="2019-04-17T00:00:00"/>
    <s v="April"/>
    <s v="Spring"/>
    <d v="1899-12-30T01:09:00"/>
    <d v="1899-12-30T00:01:09"/>
    <x v="39"/>
    <s v="Overcast, light snow"/>
    <x v="8"/>
    <s v="Foraging"/>
    <s v="NA"/>
    <n v="1"/>
    <n v="0"/>
    <n v="0"/>
    <s v="Berry"/>
    <s v="Berry"/>
    <s v="Ground"/>
    <s v="NA"/>
    <m/>
    <m/>
    <m/>
    <s v="NA"/>
    <s v="NA"/>
    <s v="NA"/>
    <s v="NA"/>
    <s v="NA"/>
    <s v="NA"/>
    <s v="NA"/>
    <s v="NA"/>
    <n v="0"/>
    <n v="0"/>
    <n v="0"/>
    <n v="0"/>
    <n v="58"/>
    <m/>
    <n v="58"/>
    <m/>
    <m/>
    <m/>
    <m/>
  </r>
  <r>
    <s v="DSCN3240"/>
    <s v="AQ0417_2"/>
    <n v="2"/>
    <n v="1"/>
    <x v="7"/>
    <d v="2019-04-17T00:00:00"/>
    <s v="April"/>
    <s v="Spring"/>
    <d v="1899-12-30T00:20:00"/>
    <d v="1899-12-30T00:00:20"/>
    <x v="38"/>
    <s v="Overcast, light snow"/>
    <x v="8"/>
    <s v="Food handling"/>
    <s v="NA"/>
    <n v="0"/>
    <n v="0"/>
    <n v="0"/>
    <s v="Insect"/>
    <s v="Insect (Black caterpiller)"/>
    <s v="NA"/>
    <s v="NA"/>
    <m/>
    <m/>
    <m/>
    <s v="NA"/>
    <s v="NA"/>
    <s v="NA"/>
    <s v="NA"/>
    <s v="NA"/>
    <s v="NA"/>
    <s v="NA"/>
    <s v="NA"/>
    <n v="0"/>
    <n v="0"/>
    <n v="0"/>
    <n v="0"/>
    <n v="0"/>
    <m/>
    <n v="0"/>
    <m/>
    <m/>
    <m/>
    <m/>
  </r>
  <r>
    <s v="DSCN3243"/>
    <s v="AQ0417_5"/>
    <n v="5"/>
    <n v="1"/>
    <x v="7"/>
    <d v="2019-04-17T00:00:00"/>
    <s v="April"/>
    <s v="Spring"/>
    <d v="1899-12-30T00:29:00"/>
    <d v="1899-12-30T00:00:29"/>
    <x v="58"/>
    <s v="Overcast, light snow"/>
    <x v="8"/>
    <s v="Foraging"/>
    <s v="Spruce"/>
    <n v="0"/>
    <n v="0"/>
    <n v="0"/>
    <m/>
    <s v="NA"/>
    <s v="NA"/>
    <s v="NA"/>
    <m/>
    <m/>
    <m/>
    <s v="NA"/>
    <s v="NA"/>
    <s v="NA"/>
    <s v="NA"/>
    <s v="NA"/>
    <s v="NA"/>
    <s v="NA"/>
    <s v="NA"/>
    <n v="26"/>
    <n v="0"/>
    <n v="0"/>
    <n v="26"/>
    <n v="0"/>
    <m/>
    <n v="26"/>
    <s v="Searching"/>
    <m/>
    <m/>
    <m/>
  </r>
  <r>
    <s v="DSCN3594"/>
    <s v="AQ0426_2"/>
    <n v="2"/>
    <n v="1"/>
    <x v="7"/>
    <d v="2019-04-26T00:00:00"/>
    <s v="April"/>
    <s v="Spring"/>
    <d v="1899-12-30T00:11:00"/>
    <d v="1899-12-30T00:00:11"/>
    <x v="11"/>
    <m/>
    <x v="8"/>
    <s v="Foraging"/>
    <s v="Spruce"/>
    <n v="1"/>
    <s v="unknown"/>
    <n v="0"/>
    <s v="Unknown"/>
    <s v="unknown"/>
    <s v="Exterior spruce branch inder bark"/>
    <s v="NA"/>
    <m/>
    <m/>
    <m/>
    <s v="NA"/>
    <s v="NA"/>
    <s v="NA"/>
    <s v="NA"/>
    <s v="NA"/>
    <s v="NA"/>
    <s v="NA"/>
    <s v="NA"/>
    <n v="11"/>
    <n v="0"/>
    <n v="0"/>
    <n v="11"/>
    <n v="0"/>
    <m/>
    <n v="11"/>
    <m/>
    <s v="Probing"/>
    <m/>
    <m/>
  </r>
  <r>
    <s v="DSCN3596"/>
    <s v="AQ0426_3"/>
    <n v="3"/>
    <n v="1"/>
    <x v="7"/>
    <d v="2019-04-26T00:00:00"/>
    <s v="April"/>
    <s v="Spring"/>
    <d v="1899-12-30T00:32:00"/>
    <d v="1899-12-30T00:00:32"/>
    <x v="21"/>
    <m/>
    <x v="8"/>
    <s v="Foraging"/>
    <s v="Spruce"/>
    <n v="1"/>
    <n v="1"/>
    <n v="0"/>
    <s v="Unknown"/>
    <s v="unknown"/>
    <s v="Exterior spruce branch inder bark"/>
    <s v="NA"/>
    <m/>
    <m/>
    <m/>
    <s v="NA"/>
    <s v="NA"/>
    <s v="NA"/>
    <s v="NA"/>
    <s v="NA"/>
    <n v="63.725070000000002"/>
    <n v="148.96459999999999"/>
    <s v="NA"/>
    <n v="26"/>
    <n v="0"/>
    <n v="0"/>
    <n v="26"/>
    <n v="0"/>
    <m/>
    <n v="26"/>
    <s v="Searching"/>
    <s v="Recovered cache and ate snow. "/>
    <n v="1"/>
    <n v="0"/>
  </r>
  <r>
    <s v="DSCN3600"/>
    <s v="AQ0426_4"/>
    <n v="4"/>
    <n v="2"/>
    <x v="7"/>
    <d v="2019-04-26T00:00:00"/>
    <s v="April"/>
    <s v="Spring"/>
    <d v="1899-12-30T06:01:00"/>
    <d v="1899-12-30T00:06:01"/>
    <x v="99"/>
    <m/>
    <x v="8"/>
    <s v="Foraging"/>
    <s v="NA"/>
    <n v="1"/>
    <n v="0"/>
    <n v="0"/>
    <s v="Unknown"/>
    <s v="unknown"/>
    <s v="Ground"/>
    <s v="NA"/>
    <m/>
    <m/>
    <m/>
    <s v="NA"/>
    <s v="NA"/>
    <s v="NA"/>
    <s v="NA"/>
    <s v="NA"/>
    <s v="NA"/>
    <s v="NA"/>
    <s v="NA"/>
    <n v="0"/>
    <n v="0"/>
    <n v="0"/>
    <n v="0"/>
    <n v="82"/>
    <m/>
    <n v="82"/>
    <m/>
    <m/>
    <m/>
    <m/>
  </r>
  <r>
    <s v="DSCN3602"/>
    <s v="AQ0426_6"/>
    <n v="6"/>
    <n v="1"/>
    <x v="7"/>
    <d v="2019-04-26T00:00:00"/>
    <s v="April"/>
    <s v="Spring"/>
    <d v="1899-12-30T02:07:00"/>
    <d v="1899-12-30T00:02:07"/>
    <x v="100"/>
    <m/>
    <x v="8"/>
    <s v="Foraging"/>
    <s v="NA"/>
    <n v="1"/>
    <n v="0"/>
    <n v="0"/>
    <s v="Unknown"/>
    <s v="unknown"/>
    <s v="Ground"/>
    <s v="NA"/>
    <m/>
    <m/>
    <m/>
    <s v="NA"/>
    <s v="NA"/>
    <s v="NA"/>
    <s v="NA"/>
    <s v="NA"/>
    <s v="NA"/>
    <s v="NA"/>
    <s v="NA"/>
    <n v="0"/>
    <n v="0"/>
    <n v="0"/>
    <n v="0"/>
    <n v="0"/>
    <m/>
    <n v="0"/>
    <s v="Searching"/>
    <m/>
    <m/>
    <m/>
  </r>
  <r>
    <s v="DSCN3601"/>
    <s v="AQ0426_5"/>
    <n v="5"/>
    <n v="1"/>
    <x v="7"/>
    <d v="2019-04-26T00:00:00"/>
    <s v="April"/>
    <s v="Spring"/>
    <d v="1899-12-30T00:32:00"/>
    <d v="1899-12-30T00:00:32"/>
    <x v="21"/>
    <m/>
    <x v="8"/>
    <s v="Foraging"/>
    <s v="NA"/>
    <n v="2"/>
    <n v="0"/>
    <n v="0"/>
    <s v="Unknown"/>
    <s v="unknown (Probably B&amp;Ugs)"/>
    <s v="Ground"/>
    <s v="NA"/>
    <m/>
    <m/>
    <m/>
    <s v="NA"/>
    <s v="NA"/>
    <s v="NA"/>
    <s v="NA"/>
    <s v="NA"/>
    <s v="NA"/>
    <s v="NA"/>
    <s v="NA"/>
    <n v="0"/>
    <n v="0"/>
    <n v="0"/>
    <n v="0"/>
    <n v="32"/>
    <m/>
    <n v="32"/>
    <s v="Searching"/>
    <m/>
    <m/>
    <m/>
  </r>
  <r>
    <s v="DSCN3600"/>
    <s v="AQ0426_4"/>
    <n v="4"/>
    <n v="1"/>
    <x v="7"/>
    <d v="2019-04-26T00:00:00"/>
    <s v="April"/>
    <s v="Spring"/>
    <d v="1899-12-30T06:01:00"/>
    <d v="1899-12-30T00:06:01"/>
    <x v="99"/>
    <m/>
    <x v="8"/>
    <s v="Foraging/caching"/>
    <s v="Willow"/>
    <n v="1"/>
    <n v="0"/>
    <n v="1"/>
    <s v="Insect"/>
    <s v="Insect (caterpiller)"/>
    <s v="Ground"/>
    <s v="Joint of willow branch"/>
    <s v="Willow"/>
    <s v="Exterior"/>
    <s v="On branch"/>
    <s v="NA-just set on branch"/>
    <s v="NA-just set on branch"/>
    <n v="1"/>
    <n v="63.724170000000001"/>
    <n v="148.96494000000001"/>
    <s v="NA"/>
    <s v="NA"/>
    <s v="NA"/>
    <n v="0"/>
    <n v="0"/>
    <n v="0"/>
    <n v="0"/>
    <n v="253"/>
    <m/>
    <n v="253"/>
    <s v="Searching"/>
    <s v="Deployed camera on cache site"/>
    <m/>
    <m/>
  </r>
  <r>
    <s v="DSCN3602"/>
    <s v="AQ0426_6"/>
    <n v="6"/>
    <n v="2"/>
    <x v="7"/>
    <d v="2019-04-26T00:00:00"/>
    <s v="April"/>
    <s v="Spring"/>
    <d v="1899-12-30T02:07:00"/>
    <d v="1899-12-30T00:02:07"/>
    <x v="100"/>
    <m/>
    <x v="8"/>
    <s v="Foraging"/>
    <s v="NA"/>
    <n v="1"/>
    <n v="0"/>
    <n v="0"/>
    <s v="Insect"/>
    <s v="Insect"/>
    <s v="Ground"/>
    <s v="NA"/>
    <m/>
    <m/>
    <m/>
    <s v="NA"/>
    <s v="NA"/>
    <s v="NA"/>
    <s v="NA"/>
    <s v="NA"/>
    <s v="NA"/>
    <s v="NA"/>
    <s v="NA"/>
    <n v="0"/>
    <n v="0"/>
    <n v="0"/>
    <n v="0"/>
    <n v="0"/>
    <m/>
    <n v="0"/>
    <s v="Searching"/>
    <m/>
    <m/>
    <m/>
  </r>
  <r>
    <s v="DSCN3602"/>
    <s v="AQ0426_6"/>
    <n v="6"/>
    <n v="3"/>
    <x v="7"/>
    <d v="2019-04-26T00:00:00"/>
    <s v="April"/>
    <s v="Spring"/>
    <d v="1899-12-30T02:07:00"/>
    <d v="1899-12-30T00:02:07"/>
    <x v="100"/>
    <m/>
    <x v="8"/>
    <s v="Foraging"/>
    <s v="NA"/>
    <n v="1"/>
    <n v="0"/>
    <n v="0"/>
    <s v="Insect"/>
    <s v="Insect (caterpiller)"/>
    <s v="Ground"/>
    <s v="NA"/>
    <m/>
    <m/>
    <m/>
    <s v="NA"/>
    <s v="NA"/>
    <s v="NA"/>
    <s v="NA"/>
    <s v="NA"/>
    <s v="NA"/>
    <s v="NA"/>
    <s v="NA"/>
    <n v="0"/>
    <n v="0"/>
    <n v="0"/>
    <n v="0"/>
    <n v="38"/>
    <m/>
    <n v="38"/>
    <s v="Searching"/>
    <s v="Got caterpiller as soon as camera was shut off. "/>
    <m/>
    <m/>
  </r>
  <r>
    <s v="DSCN3242"/>
    <s v="AQ0417_4"/>
    <n v="4"/>
    <n v="1"/>
    <x v="7"/>
    <d v="2019-04-17T00:00:00"/>
    <s v="April"/>
    <s v="Spring"/>
    <d v="1899-12-30T00:11:00"/>
    <d v="1899-12-30T00:00:11"/>
    <x v="11"/>
    <s v="Overcast, light snow"/>
    <x v="8"/>
    <s v="Foraging"/>
    <s v="Spruce"/>
    <s v="unknown"/>
    <s v="unknown"/>
    <n v="0"/>
    <m/>
    <s v="NA"/>
    <s v="NA"/>
    <s v="NA"/>
    <m/>
    <m/>
    <m/>
    <s v="NA"/>
    <s v="NA"/>
    <s v="NA"/>
    <s v="NA"/>
    <s v="NA"/>
    <s v="NA"/>
    <s v="NA"/>
    <s v="NA"/>
    <n v="8"/>
    <n v="0"/>
    <n v="0"/>
    <n v="8"/>
    <n v="0"/>
    <m/>
    <n v="8"/>
    <s v="Probing"/>
    <m/>
    <n v="1"/>
    <n v="0"/>
  </r>
  <r>
    <s v="DSCN3585"/>
    <s v="AQ0426_1"/>
    <n v="1"/>
    <n v="2"/>
    <x v="7"/>
    <d v="2019-04-26T00:00:00"/>
    <s v="April"/>
    <s v="Spring"/>
    <d v="1899-12-30T00:39:00"/>
    <d v="1899-12-30T00:00:39"/>
    <x v="1"/>
    <m/>
    <x v="9"/>
    <s v="Food handling"/>
    <s v="NA"/>
    <n v="0"/>
    <n v="0"/>
    <n v="1"/>
    <s v="Human food"/>
    <s v="Bread"/>
    <s v="unknown"/>
    <s v="exterior spruce foliage "/>
    <s v="Spruce"/>
    <s v="Exterior"/>
    <s v="Foliage"/>
    <s v="NA"/>
    <s v="NA"/>
    <s v="NA"/>
    <n v="63.72457"/>
    <n v="148.96351999999999"/>
    <s v="unknown"/>
    <s v="unknown"/>
    <s v="NA"/>
    <n v="0"/>
    <n v="0"/>
    <n v="0"/>
    <n v="0"/>
    <n v="0"/>
    <m/>
    <n v="0"/>
    <m/>
    <s v="Second cache was in neighboring tree, so GPS"/>
    <m/>
    <m/>
  </r>
  <r>
    <s v="DSCN3585"/>
    <s v="AQ0426_1"/>
    <n v="1"/>
    <n v="1"/>
    <x v="7"/>
    <d v="2019-04-26T00:00:00"/>
    <s v="April"/>
    <s v="Spring"/>
    <d v="1899-12-30T00:39:00"/>
    <d v="1899-12-30T00:00:39"/>
    <x v="1"/>
    <m/>
    <x v="9"/>
    <s v="Food handling"/>
    <s v="NA"/>
    <n v="1"/>
    <n v="1"/>
    <n v="1"/>
    <s v="Human food"/>
    <s v="Bread"/>
    <s v="unknown"/>
    <s v="exterior spruce foliage "/>
    <s v="Spruce"/>
    <s v="Exterior"/>
    <s v="Foliage"/>
    <s v="E"/>
    <n v="90"/>
    <s v="unknown"/>
    <n v="63.72457"/>
    <n v="148.96351999999999"/>
    <s v="unknown"/>
    <s v="unknown"/>
    <s v="NA"/>
    <n v="0"/>
    <n v="0"/>
    <n v="0"/>
    <n v="0"/>
    <n v="0"/>
    <m/>
    <n v="0"/>
    <m/>
    <s v="Missed initial acquisition"/>
    <m/>
    <m/>
  </r>
  <r>
    <s v="DSCN3048"/>
    <s v="UNK0411_3"/>
    <n v="3"/>
    <n v="1"/>
    <x v="8"/>
    <d v="2019-04-11T00:00:00"/>
    <s v="April"/>
    <s v="Spring"/>
    <d v="1899-12-30T00:36:00"/>
    <d v="1899-12-30T00:00:36"/>
    <x v="3"/>
    <m/>
    <x v="10"/>
    <s v="Foraging"/>
    <s v="Spruce"/>
    <n v="1"/>
    <n v="0"/>
    <n v="0"/>
    <s v="Unknown"/>
    <s v="Unknown (plant bit)"/>
    <s v="Exterior spruce foliage"/>
    <s v="NA"/>
    <m/>
    <m/>
    <m/>
    <s v="NA"/>
    <s v="NA"/>
    <s v="NA"/>
    <s v="NA"/>
    <s v="NA"/>
    <s v="NA"/>
    <s v="NA"/>
    <m/>
    <n v="22"/>
    <n v="14"/>
    <n v="22"/>
    <n v="14"/>
    <n v="0"/>
    <m/>
    <n v="36"/>
    <m/>
    <m/>
    <m/>
    <m/>
  </r>
  <r>
    <s v="DSCN3059"/>
    <s v="UNK0411_8"/>
    <n v="8"/>
    <n v="1"/>
    <x v="8"/>
    <d v="2019-04-11T00:00:00"/>
    <s v="April"/>
    <s v="Spring"/>
    <d v="1899-12-30T00:05:00"/>
    <d v="1899-12-30T00:00:05"/>
    <x v="72"/>
    <m/>
    <x v="10"/>
    <s v="Foraging"/>
    <s v="NA"/>
    <n v="1"/>
    <n v="0"/>
    <n v="0"/>
    <s v="Unknown"/>
    <s v="unknown"/>
    <s v="Ground"/>
    <s v="NA"/>
    <m/>
    <m/>
    <m/>
    <s v="NA"/>
    <s v="NA"/>
    <s v="NA"/>
    <s v="NA"/>
    <s v="NA"/>
    <s v="NA"/>
    <s v="NA"/>
    <m/>
    <n v="0"/>
    <n v="0"/>
    <n v="0"/>
    <n v="0"/>
    <n v="0"/>
    <m/>
    <n v="0"/>
    <m/>
    <s v="Missed acquisition"/>
    <m/>
    <m/>
  </r>
  <r>
    <s v="DSCN3046"/>
    <s v="UNK0411_1"/>
    <n v="1"/>
    <n v="1"/>
    <x v="8"/>
    <d v="2019-04-11T00:00:00"/>
    <s v="April"/>
    <s v="Spring"/>
    <d v="1899-12-30T00:30:00"/>
    <d v="1899-12-30T00:00:30"/>
    <x v="69"/>
    <m/>
    <x v="10"/>
    <s v="Foraging"/>
    <s v="Spruce"/>
    <n v="1"/>
    <s v="unknown"/>
    <n v="0"/>
    <s v="Unknown"/>
    <s v="Unknown (maybe a berry)"/>
    <s v="Interior spruce foliage "/>
    <s v="NA"/>
    <m/>
    <m/>
    <m/>
    <s v="NA"/>
    <s v="NA"/>
    <s v="NA"/>
    <s v="NA"/>
    <s v="NA"/>
    <s v="NA"/>
    <s v="NA"/>
    <m/>
    <n v="6"/>
    <n v="11"/>
    <n v="11"/>
    <n v="6"/>
    <n v="0"/>
    <m/>
    <n v="17"/>
    <s v="Searching"/>
    <m/>
    <m/>
    <m/>
  </r>
  <r>
    <s v="DSCN3050"/>
    <s v="UNK0411_5"/>
    <n v="5"/>
    <n v="2"/>
    <x v="8"/>
    <d v="2019-04-11T00:00:00"/>
    <s v="April"/>
    <s v="Spring"/>
    <d v="1899-12-30T01:43:00"/>
    <d v="1899-12-30T00:01:43"/>
    <x v="101"/>
    <m/>
    <x v="10"/>
    <s v="Foraging"/>
    <s v="Spruce"/>
    <n v="1"/>
    <s v="unknown"/>
    <n v="0"/>
    <s v="Unknown"/>
    <s v="unknown"/>
    <s v="Spruce trunk under bark"/>
    <s v="NA"/>
    <m/>
    <m/>
    <m/>
    <s v="NA"/>
    <s v="NA"/>
    <s v="NA"/>
    <s v="NA"/>
    <s v="NA"/>
    <s v="NA"/>
    <s v="NA"/>
    <m/>
    <n v="5"/>
    <n v="0"/>
    <n v="5"/>
    <n v="0"/>
    <n v="0"/>
    <m/>
    <n v="5"/>
    <s v="Searching"/>
    <m/>
    <m/>
    <m/>
  </r>
  <r>
    <s v="DSCN3057"/>
    <s v="UNK0411_7"/>
    <n v="7"/>
    <n v="1"/>
    <x v="8"/>
    <d v="2019-04-11T00:00:00"/>
    <s v="April"/>
    <s v="Spring"/>
    <d v="1899-12-30T00:13:00"/>
    <d v="1899-12-30T00:00:13"/>
    <x v="64"/>
    <m/>
    <x v="10"/>
    <s v="Foraging"/>
    <s v="Spruce"/>
    <n v="1"/>
    <s v="unknown"/>
    <n v="0"/>
    <s v="Unknown"/>
    <s v="unknown"/>
    <s v="uknown"/>
    <s v="NA"/>
    <m/>
    <m/>
    <m/>
    <s v="NA"/>
    <s v="NA"/>
    <s v="NA"/>
    <s v="NA"/>
    <s v="NA"/>
    <s v="NA"/>
    <s v="NA"/>
    <m/>
    <n v="0"/>
    <n v="0"/>
    <n v="0"/>
    <n v="0"/>
    <n v="0"/>
    <m/>
    <n v="0"/>
    <s v="Searching"/>
    <m/>
    <m/>
    <m/>
  </r>
  <r>
    <s v="DSCN3050"/>
    <s v="UNK0411_5"/>
    <n v="5"/>
    <n v="1"/>
    <x v="8"/>
    <d v="2019-04-11T00:00:00"/>
    <s v="April"/>
    <s v="Spring"/>
    <d v="1899-12-30T01:43:00"/>
    <d v="1899-12-30T00:01:43"/>
    <x v="101"/>
    <m/>
    <x v="10"/>
    <s v="Foraging"/>
    <s v="Spruce"/>
    <n v="2"/>
    <s v="unknown"/>
    <n v="0"/>
    <s v="Unknown"/>
    <s v="unknown"/>
    <s v="Interior spruce under bark"/>
    <s v="NA"/>
    <m/>
    <m/>
    <m/>
    <s v="NA"/>
    <s v="NA"/>
    <s v="NA"/>
    <s v="NA"/>
    <s v="NA"/>
    <s v="NA"/>
    <s v="NA"/>
    <m/>
    <n v="78"/>
    <n v="0"/>
    <n v="78"/>
    <n v="0"/>
    <n v="0"/>
    <m/>
    <n v="78"/>
    <s v="Searching"/>
    <m/>
    <m/>
    <m/>
  </r>
  <r>
    <s v="DSCN3047"/>
    <s v="UNK0411_2"/>
    <n v="2"/>
    <n v="1"/>
    <x v="8"/>
    <d v="2019-04-11T00:00:00"/>
    <s v="April"/>
    <s v="Spring"/>
    <d v="1899-12-30T01:48:00"/>
    <d v="1899-12-30T00:01:48"/>
    <x v="102"/>
    <m/>
    <x v="10"/>
    <s v="Foraging"/>
    <s v="Spruce"/>
    <n v="0"/>
    <n v="0"/>
    <n v="0"/>
    <m/>
    <s v="NA"/>
    <s v="NA"/>
    <s v="NA"/>
    <m/>
    <m/>
    <m/>
    <s v="NA"/>
    <s v="NA"/>
    <s v="NA"/>
    <s v="NA"/>
    <s v="NA"/>
    <s v="NA"/>
    <s v="NA"/>
    <m/>
    <n v="26"/>
    <n v="10"/>
    <n v="0"/>
    <n v="36"/>
    <n v="0"/>
    <m/>
    <n v="36"/>
    <s v="Searching"/>
    <m/>
    <m/>
    <m/>
  </r>
  <r>
    <s v="DSCN3049"/>
    <s v="UNK0411_4"/>
    <n v="4"/>
    <n v="1"/>
    <x v="8"/>
    <d v="2019-04-11T00:00:00"/>
    <s v="April"/>
    <s v="Spring"/>
    <d v="1899-12-30T00:26:00"/>
    <d v="1899-12-30T00:00:26"/>
    <x v="44"/>
    <m/>
    <x v="10"/>
    <s v="Foraging"/>
    <s v="Spruce"/>
    <s v="unknown"/>
    <s v="unknown"/>
    <n v="0"/>
    <m/>
    <s v="NA"/>
    <s v="NA"/>
    <s v="NA"/>
    <m/>
    <m/>
    <m/>
    <s v="NA"/>
    <s v="NA"/>
    <s v="NA"/>
    <s v="NA"/>
    <s v="NA"/>
    <s v="NA"/>
    <s v="NA"/>
    <m/>
    <n v="0"/>
    <n v="26"/>
    <n v="0"/>
    <n v="26"/>
    <n v="0"/>
    <m/>
    <n v="26"/>
    <s v="Searching"/>
    <m/>
    <m/>
    <m/>
  </r>
  <r>
    <s v="DSCN3053"/>
    <s v="UNK411_6"/>
    <n v="6"/>
    <n v="1"/>
    <x v="8"/>
    <d v="2019-04-11T00:00:00"/>
    <s v="April"/>
    <s v="Spring"/>
    <d v="1899-12-30T00:09:00"/>
    <d v="1899-12-30T00:00:09"/>
    <x v="53"/>
    <m/>
    <x v="10"/>
    <s v="Foraging"/>
    <s v="Spruce"/>
    <s v="unknown"/>
    <s v="unknown"/>
    <n v="0"/>
    <m/>
    <s v="NA"/>
    <s v="NA"/>
    <s v="NA"/>
    <m/>
    <m/>
    <m/>
    <s v="NA"/>
    <s v="NA"/>
    <s v="NA"/>
    <s v="NA"/>
    <s v="NA"/>
    <s v="NA"/>
    <s v="NA"/>
    <m/>
    <n v="0"/>
    <n v="9"/>
    <n v="0"/>
    <n v="9"/>
    <n v="0"/>
    <m/>
    <n v="9"/>
    <s v="Searching"/>
    <m/>
    <m/>
    <m/>
  </r>
  <r>
    <s v="DSCN3024"/>
    <s v="M4R0409_1"/>
    <n v="1"/>
    <n v="2"/>
    <x v="6"/>
    <d v="2019-04-09T00:00:00"/>
    <s v="April"/>
    <s v="Spring"/>
    <d v="1899-12-30T00:39:00"/>
    <d v="1899-12-30T00:00:39"/>
    <x v="1"/>
    <m/>
    <x v="11"/>
    <s v="Foraging"/>
    <s v="NA"/>
    <n v="1"/>
    <n v="0"/>
    <n v="0"/>
    <s v="Insect"/>
    <s v="Insect (Black caterpiller)"/>
    <s v="Ground"/>
    <s v="NA"/>
    <m/>
    <m/>
    <m/>
    <s v="NA"/>
    <s v="NA"/>
    <s v="NA"/>
    <s v="NA"/>
    <s v="NA"/>
    <s v="NA"/>
    <s v="NA"/>
    <m/>
    <n v="0"/>
    <n v="0"/>
    <n v="0"/>
    <n v="0"/>
    <n v="3"/>
    <m/>
    <n v="3"/>
    <m/>
    <s v="At the time I thought this birds was YO/BS. B&amp;Ut it's possible that YO/BS and OB/YS switched because the cache tree in the later video has a black caterpillar cache from OB/YS.  So we marked this as unknown, rather than assume it was actually ob/ys"/>
    <m/>
    <m/>
  </r>
  <r>
    <s v="DSCN3025"/>
    <s v="M4R0409_2"/>
    <n v="2"/>
    <n v="1"/>
    <x v="6"/>
    <d v="2019-04-09T00:00:00"/>
    <s v="April"/>
    <s v="Spring"/>
    <d v="1899-12-30T00:23:00"/>
    <d v="1899-12-30T00:00:23"/>
    <x v="85"/>
    <m/>
    <x v="11"/>
    <s v="Food handling"/>
    <s v="NA"/>
    <n v="0"/>
    <n v="0"/>
    <n v="0"/>
    <s v="Insect"/>
    <s v="Insect (Black caterpiller)"/>
    <s v="NA"/>
    <s v="NA"/>
    <m/>
    <m/>
    <m/>
    <s v="NA"/>
    <s v="NA"/>
    <s v="NA"/>
    <s v="NA"/>
    <s v="NA"/>
    <s v="NA"/>
    <s v="NA"/>
    <m/>
    <n v="0"/>
    <n v="0"/>
    <n v="0"/>
    <n v="0"/>
    <n v="0"/>
    <m/>
    <n v="0"/>
    <m/>
    <s v="Same pillar from previous video"/>
    <m/>
    <m/>
  </r>
  <r>
    <s v="DSCN3404"/>
    <s v="CC0422_9"/>
    <n v="9"/>
    <n v="1"/>
    <x v="4"/>
    <d v="2019-04-22T00:00:00"/>
    <s v="April"/>
    <s v="Spring"/>
    <d v="1899-12-30T00:05:00"/>
    <d v="1899-12-30T00:00:05"/>
    <x v="72"/>
    <s v="Partly cloudy"/>
    <x v="11"/>
    <s v="Foraging"/>
    <s v="NA"/>
    <s v="unknown"/>
    <n v="0"/>
    <n v="0"/>
    <m/>
    <s v="NA"/>
    <s v="NA"/>
    <s v="NA"/>
    <m/>
    <m/>
    <m/>
    <s v="NA"/>
    <s v="NA"/>
    <s v="NA"/>
    <s v="NA"/>
    <s v="NA"/>
    <s v="NA"/>
    <s v="NA"/>
    <s v="NA"/>
    <n v="0"/>
    <n v="0"/>
    <n v="0"/>
    <n v="0"/>
    <n v="5"/>
    <m/>
    <n v="5"/>
    <s v="Searching"/>
    <m/>
    <m/>
    <m/>
  </r>
  <r>
    <s v="DSCN3680"/>
    <s v="M4R0430_21"/>
    <n v="21"/>
    <n v="1"/>
    <x v="6"/>
    <d v="2019-04-30T00:00:00"/>
    <s v="April"/>
    <s v="Spring"/>
    <d v="1899-12-30T00:48:00"/>
    <d v="1899-12-30T00:00:48"/>
    <x v="4"/>
    <s v="Clear, full sun"/>
    <x v="12"/>
    <s v="Foraging"/>
    <s v="NA"/>
    <n v="0"/>
    <n v="0"/>
    <n v="0"/>
    <m/>
    <s v="NA"/>
    <s v="NA"/>
    <s v="NA"/>
    <m/>
    <m/>
    <m/>
    <s v="NA"/>
    <s v="NA"/>
    <s v="NA"/>
    <s v="NA"/>
    <s v="NA"/>
    <s v="NA"/>
    <s v="NA"/>
    <s v="NA"/>
    <n v="0"/>
    <n v="0"/>
    <n v="0"/>
    <n v="0"/>
    <n v="30"/>
    <m/>
    <n v="30"/>
    <s v="Searching"/>
    <m/>
    <m/>
    <m/>
  </r>
  <r>
    <s v="DSCN2764"/>
    <s v="MC0401_1"/>
    <n v="1"/>
    <n v="1"/>
    <x v="1"/>
    <d v="2019-04-01T00:00:00"/>
    <s v="April"/>
    <s v="Spring"/>
    <d v="1899-12-30T00:33:00"/>
    <d v="1899-12-30T00:00:33"/>
    <x v="8"/>
    <m/>
    <x v="13"/>
    <s v="Foraging"/>
    <s v="NA"/>
    <n v="1"/>
    <n v="0"/>
    <n v="0"/>
    <s v="Unknown"/>
    <s v="Unknown (B&amp;Ut it's definitely a caterpiller)"/>
    <s v="Ground"/>
    <s v="NA"/>
    <m/>
    <m/>
    <m/>
    <s v="NA"/>
    <s v="NA"/>
    <s v="NA"/>
    <s v="NA"/>
    <s v="NA"/>
    <s v="NA"/>
    <s v="NA"/>
    <m/>
    <n v="0"/>
    <n v="0"/>
    <n v="0"/>
    <n v="0"/>
    <n v="15"/>
    <m/>
    <n v="15"/>
    <s v="Searching"/>
    <m/>
    <m/>
    <m/>
  </r>
  <r>
    <s v="DSCN2769"/>
    <s v="MC0401_4"/>
    <n v="4"/>
    <n v="1"/>
    <x v="1"/>
    <d v="2019-04-01T00:00:00"/>
    <s v="April"/>
    <s v="Spring"/>
    <d v="1899-12-30T00:06:00"/>
    <d v="1899-12-30T00:00:06"/>
    <x v="94"/>
    <m/>
    <x v="13"/>
    <s v="Foraging"/>
    <s v="NA"/>
    <n v="0"/>
    <n v="0"/>
    <n v="0"/>
    <m/>
    <s v="NA"/>
    <s v="NA"/>
    <s v="NA"/>
    <m/>
    <m/>
    <m/>
    <s v="NA"/>
    <s v="NA"/>
    <s v="NA"/>
    <s v="NA"/>
    <s v="NA"/>
    <s v="NA"/>
    <s v="NA"/>
    <m/>
    <n v="0"/>
    <n v="0"/>
    <n v="0"/>
    <n v="0"/>
    <n v="0"/>
    <m/>
    <n v="0"/>
    <s v="Searching"/>
    <m/>
    <m/>
    <m/>
  </r>
  <r>
    <s v="DSCN2910"/>
    <s v="MC0404_5"/>
    <n v="5"/>
    <n v="1"/>
    <x v="2"/>
    <d v="2019-04-04T00:00:00"/>
    <s v="April"/>
    <s v="Spring"/>
    <d v="1899-12-30T00:22:00"/>
    <d v="1899-12-30T00:00:22"/>
    <x v="77"/>
    <m/>
    <x v="13"/>
    <s v="Foraging"/>
    <s v="NA"/>
    <n v="1"/>
    <n v="0"/>
    <n v="0"/>
    <s v="Unknown"/>
    <s v="unknown"/>
    <s v="Ground"/>
    <s v="NA"/>
    <m/>
    <m/>
    <m/>
    <s v="NA"/>
    <s v="NA"/>
    <s v="NA"/>
    <s v="NA"/>
    <s v="NA"/>
    <s v="NA"/>
    <s v="NA"/>
    <m/>
    <n v="0"/>
    <n v="0"/>
    <n v="0"/>
    <n v="0"/>
    <n v="7"/>
    <m/>
    <n v="7"/>
    <s v="Searching"/>
    <m/>
    <m/>
    <m/>
  </r>
  <r>
    <s v="DSCN2906"/>
    <s v="MC0404_2"/>
    <n v="2"/>
    <n v="1"/>
    <x v="2"/>
    <d v="2019-04-04T00:00:00"/>
    <s v="April"/>
    <s v="Spring"/>
    <d v="1899-12-30T02:33:00"/>
    <d v="1899-12-30T00:02:33"/>
    <x v="103"/>
    <m/>
    <x v="13"/>
    <s v="Foraging"/>
    <s v="NA"/>
    <n v="4"/>
    <n v="0"/>
    <n v="0"/>
    <s v="Unknown"/>
    <s v="unknown"/>
    <s v="Ground"/>
    <s v="NA"/>
    <m/>
    <m/>
    <m/>
    <s v="NA"/>
    <s v="NA"/>
    <s v="NA"/>
    <s v="NA"/>
    <s v="NA"/>
    <s v="NA"/>
    <s v="NA"/>
    <m/>
    <n v="0"/>
    <n v="0"/>
    <n v="0"/>
    <n v="0"/>
    <n v="153"/>
    <m/>
    <n v="153"/>
    <m/>
    <m/>
    <m/>
    <m/>
  </r>
  <r>
    <s v="DSCN2905"/>
    <s v="MC0404_1"/>
    <n v="1"/>
    <n v="1"/>
    <x v="2"/>
    <d v="2019-04-04T00:00:00"/>
    <s v="April"/>
    <s v="Spring"/>
    <d v="1899-12-30T00:31:00"/>
    <d v="1899-12-30T00:00:31"/>
    <x v="45"/>
    <m/>
    <x v="13"/>
    <s v="Foraging"/>
    <s v="NA"/>
    <n v="0"/>
    <n v="0"/>
    <n v="0"/>
    <m/>
    <s v="NA"/>
    <s v="NA"/>
    <s v="NA"/>
    <m/>
    <m/>
    <m/>
    <s v="NA"/>
    <s v="NA"/>
    <s v="NA"/>
    <s v="NA"/>
    <s v="NA"/>
    <s v="NA"/>
    <s v="NA"/>
    <m/>
    <n v="0"/>
    <n v="0"/>
    <n v="0"/>
    <n v="0"/>
    <n v="31"/>
    <m/>
    <n v="31"/>
    <s v="Searching"/>
    <m/>
    <m/>
    <m/>
  </r>
  <r>
    <s v="DSCN2909"/>
    <s v="MC0404_4"/>
    <n v="4"/>
    <n v="1"/>
    <x v="2"/>
    <d v="2019-04-04T00:00:00"/>
    <s v="April"/>
    <s v="Spring"/>
    <d v="1899-12-30T00:24:00"/>
    <d v="1899-12-30T00:00:24"/>
    <x v="71"/>
    <m/>
    <x v="13"/>
    <s v="Foraging"/>
    <s v="NA"/>
    <n v="0"/>
    <n v="0"/>
    <n v="0"/>
    <m/>
    <s v="NA"/>
    <s v="NA"/>
    <s v="NA"/>
    <m/>
    <m/>
    <m/>
    <s v="NA"/>
    <s v="NA"/>
    <s v="NA"/>
    <s v="NA"/>
    <s v="NA"/>
    <s v="NA"/>
    <s v="NA"/>
    <m/>
    <n v="0"/>
    <n v="0"/>
    <n v="0"/>
    <n v="0"/>
    <n v="24"/>
    <m/>
    <n v="24"/>
    <s v="Searching"/>
    <m/>
    <m/>
    <m/>
  </r>
  <r>
    <s v="DSCN2907"/>
    <s v="MC0404_3"/>
    <n v="3"/>
    <n v="1"/>
    <x v="2"/>
    <d v="2019-04-04T00:00:00"/>
    <s v="April"/>
    <s v="Spring"/>
    <d v="1899-12-30T00:11:00"/>
    <d v="1899-12-30T00:00:11"/>
    <x v="11"/>
    <m/>
    <x v="13"/>
    <s v="Foraging"/>
    <s v="Spruce"/>
    <n v="0"/>
    <n v="0"/>
    <n v="0"/>
    <m/>
    <s v="NA"/>
    <m/>
    <s v="NA"/>
    <m/>
    <m/>
    <m/>
    <s v="NA"/>
    <s v="NA"/>
    <s v="NA"/>
    <s v="NA"/>
    <s v="NA"/>
    <s v="NA"/>
    <s v="NA"/>
    <m/>
    <n v="3"/>
    <n v="0"/>
    <n v="0"/>
    <n v="3"/>
    <n v="0"/>
    <m/>
    <n v="3"/>
    <s v="Searching/probing"/>
    <m/>
    <n v="1"/>
    <n v="0"/>
  </r>
  <r>
    <s v="DSCN3158"/>
    <s v="MC0416_1"/>
    <n v="1"/>
    <n v="1"/>
    <x v="2"/>
    <d v="2019-04-16T00:00:00"/>
    <s v="April"/>
    <s v="Spring"/>
    <d v="1899-12-30T01:08:00"/>
    <d v="1899-12-30T00:01:08"/>
    <x v="104"/>
    <s v="Mostly cloudy"/>
    <x v="13"/>
    <s v="Foraging"/>
    <s v="Spruce"/>
    <n v="1"/>
    <n v="0"/>
    <n v="1"/>
    <s v="Berry"/>
    <s v="Berry (2- cranberry)"/>
    <s v="Ground"/>
    <s v="Exterior spruce foliage"/>
    <s v="Spruce"/>
    <s v="Exterior"/>
    <s v="Foliage"/>
    <s v="E"/>
    <n v="70"/>
    <n v="1"/>
    <n v="63.735900000000001"/>
    <n v="148.89832000000001"/>
    <s v="NA"/>
    <s v="NA"/>
    <m/>
    <n v="0"/>
    <n v="0"/>
    <n v="0"/>
    <n v="0"/>
    <n v="33"/>
    <m/>
    <n v="33"/>
    <s v="Searching"/>
    <s v="Initially I thought ut had grabbed a caterpiller B&amp;Ut wasn't confident enough to mark. "/>
    <m/>
    <m/>
  </r>
  <r>
    <s v="DSCN3159"/>
    <s v="MC0416_2"/>
    <n v="2"/>
    <n v="1"/>
    <x v="2"/>
    <d v="2019-04-16T00:00:00"/>
    <s v="April"/>
    <s v="Spring"/>
    <d v="1899-12-30T00:38:00"/>
    <d v="1899-12-30T00:00:38"/>
    <x v="55"/>
    <s v="Mostly cloudy"/>
    <x v="13"/>
    <s v="Foraging"/>
    <s v="Spruce"/>
    <n v="0"/>
    <n v="0"/>
    <n v="0"/>
    <m/>
    <s v="NA"/>
    <s v="NA"/>
    <s v="NA"/>
    <m/>
    <m/>
    <m/>
    <s v="NA"/>
    <s v="NA"/>
    <s v="NA"/>
    <s v="NA"/>
    <s v="NA"/>
    <s v="NA"/>
    <s v="NA"/>
    <m/>
    <n v="26"/>
    <n v="12"/>
    <n v="26"/>
    <n v="12"/>
    <n v="0"/>
    <m/>
    <n v="38"/>
    <s v="Searching"/>
    <m/>
    <m/>
    <m/>
  </r>
  <r>
    <s v="DSCN3277"/>
    <s v="MC0418_1"/>
    <n v="1"/>
    <n v="2"/>
    <x v="2"/>
    <d v="2019-04-18T00:00:00"/>
    <s v="April"/>
    <s v="Spring"/>
    <d v="1899-12-30T02:20:00"/>
    <d v="1899-12-30T00:02:20"/>
    <x v="91"/>
    <s v="Overcast"/>
    <x v="13"/>
    <s v="Foraging"/>
    <s v="Spruce"/>
    <n v="1"/>
    <n v="1"/>
    <n v="1"/>
    <s v="Unknown"/>
    <s v="Unknown orange thing. "/>
    <s v="Interior spruce foliage "/>
    <s v="Exterior spruce foliage"/>
    <s v="Spruce"/>
    <s v="Exterior"/>
    <s v="Foliage"/>
    <s v="E"/>
    <n v="70"/>
    <s v="TBD"/>
    <n v="63.735770000000002"/>
    <n v="148.89865"/>
    <n v="63.735770000000002"/>
    <n v="148.89854"/>
    <s v="NA"/>
    <n v="0"/>
    <n v="10"/>
    <n v="10"/>
    <n v="0"/>
    <n v="0"/>
    <m/>
    <n v="10"/>
    <s v="Searching"/>
    <s v="Had just finished caching berries and then in the same tree as the CT in the previous clip, it recovered this presumed cache and then recached it in a nearby tree. "/>
    <m/>
    <m/>
  </r>
  <r>
    <s v="DSCN3277"/>
    <s v="MC0418_1"/>
    <n v="1"/>
    <n v="3"/>
    <x v="2"/>
    <d v="2019-04-18T00:00:00"/>
    <s v="April"/>
    <s v="Spring"/>
    <d v="1899-12-30T02:20:00"/>
    <d v="1899-12-30T00:02:20"/>
    <x v="91"/>
    <s v="Overcast"/>
    <x v="13"/>
    <s v="Foraging"/>
    <s v="Spruce"/>
    <n v="1"/>
    <n v="1"/>
    <n v="0"/>
    <s v="Unknown"/>
    <s v="Unknown orange thing. "/>
    <s v="Interior spruce foliage "/>
    <s v="NA"/>
    <m/>
    <m/>
    <m/>
    <s v="NA"/>
    <s v="NA"/>
    <s v="NA"/>
    <s v="NA"/>
    <s v="NA"/>
    <n v="63.735770000000002"/>
    <n v="148.89865"/>
    <s v="NA"/>
    <n v="0"/>
    <n v="0"/>
    <n v="0"/>
    <n v="0"/>
    <n v="10"/>
    <m/>
    <n v="10"/>
    <s v="Searching"/>
    <s v="Had just finished caching weird thing from the previous clip and then in the same tree found what looked like another piece of it and proceeded to leave with it. "/>
    <m/>
    <m/>
  </r>
  <r>
    <s v="DSCN3293"/>
    <s v="MC0418_4"/>
    <n v="4"/>
    <n v="1"/>
    <x v="2"/>
    <d v="2019-04-18T00:00:00"/>
    <s v="April"/>
    <s v="Spring"/>
    <d v="1899-12-30T00:33:00"/>
    <d v="1899-12-30T00:00:33"/>
    <x v="8"/>
    <s v="Overcast"/>
    <x v="13"/>
    <s v="Foraging"/>
    <s v="Stick"/>
    <n v="1"/>
    <s v="unknown"/>
    <n v="0"/>
    <s v="Unknown"/>
    <s v="unknown"/>
    <s v="Mangled stick on ground"/>
    <s v="NA"/>
    <m/>
    <m/>
    <m/>
    <s v="NA"/>
    <s v="NA"/>
    <s v="NA"/>
    <s v="NA"/>
    <s v="NA"/>
    <s v="NA"/>
    <s v="NA"/>
    <s v="NA"/>
    <n v="0"/>
    <n v="0"/>
    <n v="0"/>
    <n v="0"/>
    <n v="2"/>
    <m/>
    <n v="2"/>
    <m/>
    <s v="Missed initial foraging at stick"/>
    <m/>
    <m/>
  </r>
  <r>
    <s v="DSCN3277"/>
    <s v="MC0418_1"/>
    <n v="1"/>
    <n v="1"/>
    <x v="2"/>
    <d v="2019-04-18T00:00:00"/>
    <s v="April"/>
    <s v="Spring"/>
    <d v="1899-12-30T02:20:00"/>
    <d v="1899-12-30T00:02:20"/>
    <x v="91"/>
    <s v="Overcast"/>
    <x v="13"/>
    <s v="Foraging"/>
    <s v="NA"/>
    <n v="1"/>
    <m/>
    <n v="1"/>
    <s v="Berry"/>
    <s v="Berries (Cranberries; 4)"/>
    <s v="Ground"/>
    <s v="Exterior spruce foliage"/>
    <s v="Spruce"/>
    <s v="Exterior"/>
    <s v="Foliage"/>
    <s v="SE"/>
    <n v="120"/>
    <n v="2"/>
    <n v="63.735770000000002"/>
    <n v="148.89854"/>
    <s v="NA"/>
    <s v="NA"/>
    <s v="NA"/>
    <n v="0"/>
    <n v="0"/>
    <n v="0"/>
    <n v="0"/>
    <n v="10"/>
    <m/>
    <n v="10"/>
    <m/>
    <m/>
    <m/>
    <m/>
  </r>
  <r>
    <s v="DSCN3501"/>
    <s v="MC0424_14"/>
    <n v="14"/>
    <n v="1"/>
    <x v="2"/>
    <d v="2019-04-24T00:00:00"/>
    <s v="April"/>
    <s v="Spring"/>
    <d v="1899-12-30T01:10:00"/>
    <d v="1899-12-30T00:01:10"/>
    <x v="24"/>
    <s v="Partly cloudy"/>
    <x v="13"/>
    <s v="Foraging"/>
    <s v="NA"/>
    <n v="1"/>
    <n v="0"/>
    <n v="0"/>
    <s v="Unknown"/>
    <s v="unknown"/>
    <s v="Ground"/>
    <s v="NA"/>
    <m/>
    <m/>
    <m/>
    <s v="NA"/>
    <s v="NA"/>
    <s v="NA"/>
    <s v="NA"/>
    <s v="NA"/>
    <s v="NA"/>
    <s v="NA"/>
    <s v="NA"/>
    <n v="0"/>
    <n v="0"/>
    <n v="0"/>
    <n v="0"/>
    <n v="61"/>
    <m/>
    <n v="61"/>
    <s v="Searching"/>
    <m/>
    <m/>
    <m/>
  </r>
  <r>
    <s v="DSCN3502"/>
    <s v="MC0424_15"/>
    <n v="15"/>
    <n v="1"/>
    <x v="2"/>
    <d v="2019-04-24T00:00:00"/>
    <s v="April"/>
    <s v="Spring"/>
    <d v="1899-12-30T00:36:00"/>
    <d v="1899-12-30T00:00:36"/>
    <x v="3"/>
    <s v="Partly cloudy"/>
    <x v="13"/>
    <s v="Foraging"/>
    <s v="NA"/>
    <n v="1"/>
    <n v="0"/>
    <n v="0"/>
    <s v="Unknown"/>
    <s v="unknown"/>
    <s v="Ground"/>
    <s v="NA"/>
    <m/>
    <m/>
    <m/>
    <s v="NA"/>
    <s v="NA"/>
    <s v="NA"/>
    <s v="NA"/>
    <s v="NA"/>
    <s v="NA"/>
    <s v="NA"/>
    <s v="NA"/>
    <n v="0"/>
    <n v="0"/>
    <n v="0"/>
    <n v="0"/>
    <n v="36"/>
    <m/>
    <n v="36"/>
    <s v="Searching"/>
    <m/>
    <m/>
    <m/>
  </r>
  <r>
    <s v="DSCN3484"/>
    <s v="MC0424_6"/>
    <n v="6"/>
    <n v="1"/>
    <x v="2"/>
    <d v="2019-04-24T00:00:00"/>
    <s v="April"/>
    <s v="Spring"/>
    <d v="1899-12-30T00:31:00"/>
    <d v="1899-12-30T00:00:31"/>
    <x v="45"/>
    <s v="Partly cloudy"/>
    <x v="13"/>
    <s v="Foraging"/>
    <s v="NA"/>
    <n v="1"/>
    <n v="0"/>
    <n v="0"/>
    <s v="Unknown"/>
    <s v="unknown"/>
    <s v="Ground"/>
    <s v="NA"/>
    <m/>
    <m/>
    <m/>
    <s v="NA"/>
    <s v="NA"/>
    <s v="NA"/>
    <s v="NA"/>
    <s v="NA"/>
    <s v="NA"/>
    <s v="NA"/>
    <s v="NA"/>
    <n v="0"/>
    <n v="0"/>
    <n v="0"/>
    <n v="0"/>
    <n v="31"/>
    <m/>
    <n v="31"/>
    <s v="Searching"/>
    <m/>
    <m/>
    <m/>
  </r>
  <r>
    <s v="DSCN3481"/>
    <s v="MC0424_4"/>
    <n v="4"/>
    <n v="1"/>
    <x v="2"/>
    <d v="2019-04-24T00:00:00"/>
    <s v="April"/>
    <s v="Spring"/>
    <d v="1899-12-30T01:12:00"/>
    <d v="1899-12-30T00:01:12"/>
    <x v="40"/>
    <s v="Partly cloudy"/>
    <x v="13"/>
    <s v="Foraging"/>
    <s v="NA"/>
    <n v="0"/>
    <n v="0"/>
    <n v="0"/>
    <m/>
    <s v="NA"/>
    <s v="NA"/>
    <s v="NA"/>
    <m/>
    <m/>
    <m/>
    <s v="NA"/>
    <s v="NA"/>
    <s v="NA"/>
    <s v="NA"/>
    <s v="NA"/>
    <s v="NA"/>
    <s v="NA"/>
    <s v="NA"/>
    <n v="0"/>
    <n v="0"/>
    <n v="0"/>
    <n v="0"/>
    <n v="56"/>
    <m/>
    <n v="56"/>
    <s v="Searching"/>
    <m/>
    <m/>
    <m/>
  </r>
  <r>
    <s v="DSCN3482"/>
    <s v="MC0424_5"/>
    <n v="5"/>
    <n v="1"/>
    <x v="2"/>
    <d v="2019-04-24T00:00:00"/>
    <s v="April"/>
    <s v="Spring"/>
    <d v="1899-12-30T01:47:00"/>
    <d v="1899-12-30T00:01:47"/>
    <x v="105"/>
    <s v="Partly cloudy"/>
    <x v="13"/>
    <s v="Foraging"/>
    <s v="NA"/>
    <n v="0"/>
    <n v="0"/>
    <n v="0"/>
    <m/>
    <s v="NA"/>
    <s v="NA"/>
    <s v="NA"/>
    <m/>
    <m/>
    <m/>
    <s v="NA"/>
    <s v="NA"/>
    <s v="NA"/>
    <s v="NA"/>
    <s v="NA"/>
    <s v="NA"/>
    <s v="NA"/>
    <s v="NA"/>
    <n v="20"/>
    <n v="0"/>
    <n v="10"/>
    <n v="10"/>
    <n v="0"/>
    <m/>
    <n v="20"/>
    <s v="Searching"/>
    <s v="Looked in old nest. "/>
    <m/>
    <m/>
  </r>
  <r>
    <s v="DSCN2765"/>
    <s v="MC0401_2"/>
    <n v="2"/>
    <n v="1"/>
    <x v="1"/>
    <d v="2019-04-01T00:00:00"/>
    <s v="April"/>
    <s v="Spring"/>
    <d v="1899-12-30T00:12:00"/>
    <d v="1899-12-30T00:00:12"/>
    <x v="61"/>
    <m/>
    <x v="13"/>
    <s v="Foraging"/>
    <s v="NA"/>
    <s v="unknown"/>
    <n v="0"/>
    <n v="0"/>
    <m/>
    <s v="NA"/>
    <s v="NA"/>
    <s v="NA"/>
    <m/>
    <m/>
    <m/>
    <s v="NA"/>
    <s v="NA"/>
    <s v="NA"/>
    <s v="NA"/>
    <s v="NA"/>
    <s v="NA"/>
    <s v="NA"/>
    <m/>
    <n v="0"/>
    <n v="0"/>
    <n v="0"/>
    <n v="0"/>
    <n v="10"/>
    <m/>
    <n v="10"/>
    <s v="Searching"/>
    <m/>
    <m/>
    <m/>
  </r>
  <r>
    <s v="DSCN2767"/>
    <s v="MC0401_3"/>
    <n v="3"/>
    <n v="1"/>
    <x v="1"/>
    <d v="2019-04-01T00:00:00"/>
    <s v="April"/>
    <s v="Spring"/>
    <d v="1899-12-30T00:16:00"/>
    <d v="1899-12-30T00:00:16"/>
    <x v="47"/>
    <m/>
    <x v="13"/>
    <s v="Foraging"/>
    <s v="NA"/>
    <s v="unknown"/>
    <n v="0"/>
    <n v="0"/>
    <m/>
    <s v="NA"/>
    <s v="NA"/>
    <s v="NA"/>
    <m/>
    <m/>
    <m/>
    <s v="NA"/>
    <s v="NA"/>
    <s v="NA"/>
    <s v="NA"/>
    <s v="NA"/>
    <s v="NA"/>
    <s v="NA"/>
    <m/>
    <n v="0"/>
    <n v="0"/>
    <n v="0"/>
    <n v="0"/>
    <n v="16"/>
    <m/>
    <n v="16"/>
    <s v="Searching"/>
    <m/>
    <m/>
    <m/>
  </r>
  <r>
    <s v="DSCN2912"/>
    <s v="MC0404_6"/>
    <n v="6"/>
    <n v="1"/>
    <x v="2"/>
    <d v="2019-04-04T00:00:00"/>
    <s v="April"/>
    <s v="Spring"/>
    <d v="1899-12-30T00:43:00"/>
    <d v="1899-12-30T00:00:43"/>
    <x v="106"/>
    <m/>
    <x v="13"/>
    <s v="Foraging"/>
    <s v="NA"/>
    <s v="unknown"/>
    <n v="0"/>
    <n v="0"/>
    <m/>
    <s v="NA"/>
    <s v="NA"/>
    <s v="NA"/>
    <m/>
    <m/>
    <m/>
    <s v="NA"/>
    <s v="NA"/>
    <s v="NA"/>
    <s v="NA"/>
    <s v="NA"/>
    <s v="NA"/>
    <s v="NA"/>
    <m/>
    <n v="0"/>
    <n v="0"/>
    <n v="0"/>
    <n v="0"/>
    <n v="38"/>
    <m/>
    <n v="38"/>
    <s v="Searching"/>
    <m/>
    <m/>
    <m/>
  </r>
  <r>
    <s v="DSCN3519"/>
    <s v="MC0424_26"/>
    <n v="26"/>
    <n v="1"/>
    <x v="2"/>
    <d v="2019-04-24T00:00:00"/>
    <s v="April"/>
    <s v="Spring"/>
    <d v="1899-12-30T00:16:00"/>
    <d v="1899-12-30T00:00:16"/>
    <x v="47"/>
    <s v="Partly cloudy"/>
    <x v="13"/>
    <s v="Foraging"/>
    <s v="NA"/>
    <s v="unknown"/>
    <n v="0"/>
    <n v="0"/>
    <m/>
    <s v="NA"/>
    <s v="NA"/>
    <s v="NA"/>
    <m/>
    <m/>
    <m/>
    <s v="NA"/>
    <s v="NA"/>
    <s v="NA"/>
    <s v="NA"/>
    <s v="NA"/>
    <s v="NA"/>
    <s v="NA"/>
    <s v="NA"/>
    <n v="0"/>
    <n v="0"/>
    <n v="0"/>
    <n v="0"/>
    <n v="16"/>
    <m/>
    <n v="16"/>
    <s v="Searching"/>
    <m/>
    <m/>
    <m/>
  </r>
  <r>
    <s v="DSCN3520"/>
    <s v="MC0424_27"/>
    <n v="27"/>
    <n v="1"/>
    <x v="2"/>
    <d v="2019-04-24T00:00:00"/>
    <s v="April"/>
    <s v="Spring"/>
    <d v="1899-12-30T00:30:00"/>
    <d v="1899-12-30T00:00:30"/>
    <x v="69"/>
    <s v="Partly cloudy"/>
    <x v="13"/>
    <s v="Foraging"/>
    <s v="Spruce"/>
    <s v="unknown"/>
    <s v="unknown"/>
    <n v="0"/>
    <m/>
    <s v="NA"/>
    <s v="NA"/>
    <s v="NA"/>
    <m/>
    <m/>
    <m/>
    <s v="NA"/>
    <s v="NA"/>
    <s v="NA"/>
    <s v="NA"/>
    <s v="NA"/>
    <s v="NA"/>
    <s v="NA"/>
    <s v="NA"/>
    <n v="30"/>
    <n v="0"/>
    <n v="30"/>
    <n v="0"/>
    <n v="0"/>
    <m/>
    <n v="30"/>
    <s v="Probing"/>
    <s v="Unknown number of probes, could not see on camera. "/>
    <m/>
    <m/>
  </r>
  <r>
    <s v="DSCN3521"/>
    <s v="MC0424_28"/>
    <n v="28"/>
    <n v="1"/>
    <x v="2"/>
    <d v="2019-04-24T00:00:00"/>
    <s v="April"/>
    <s v="Spring"/>
    <d v="1899-12-30T00:17:00"/>
    <d v="1899-12-30T00:00:17"/>
    <x v="12"/>
    <s v="Partly cloudy"/>
    <x v="13"/>
    <s v="Foraging"/>
    <s v="Spruce"/>
    <s v="unknown"/>
    <n v="0"/>
    <n v="0"/>
    <m/>
    <s v="NA"/>
    <s v="NA"/>
    <s v="NA"/>
    <m/>
    <m/>
    <m/>
    <s v="NA"/>
    <s v="NA"/>
    <s v="NA"/>
    <s v="NA"/>
    <s v="NA"/>
    <s v="NA"/>
    <s v="NA"/>
    <s v="NA"/>
    <n v="14"/>
    <n v="0"/>
    <n v="14"/>
    <n v="0"/>
    <n v="0"/>
    <m/>
    <n v="14"/>
    <s v="Searching"/>
    <m/>
    <m/>
    <m/>
  </r>
  <r>
    <s v="DSCN3606"/>
    <s v="MC0426_1"/>
    <n v="1"/>
    <n v="1"/>
    <x v="7"/>
    <d v="2019-04-26T00:00:00"/>
    <s v="April"/>
    <s v="Spring"/>
    <d v="1899-12-30T00:52:00"/>
    <d v="1899-12-30T00:00:52"/>
    <x v="28"/>
    <m/>
    <x v="13"/>
    <s v="Foraging"/>
    <s v="Spruce"/>
    <s v="unknown"/>
    <s v="unknown"/>
    <n v="0"/>
    <m/>
    <s v="NA"/>
    <s v="NA"/>
    <s v="NA"/>
    <m/>
    <m/>
    <m/>
    <s v="NA"/>
    <s v="NA"/>
    <s v="NA"/>
    <s v="NA"/>
    <s v="NA"/>
    <s v="NA"/>
    <s v="NA"/>
    <s v="NA"/>
    <n v="46"/>
    <n v="0"/>
    <n v="46"/>
    <n v="0"/>
    <n v="0"/>
    <m/>
    <n v="46"/>
    <s v="Searching"/>
    <m/>
    <m/>
    <m/>
  </r>
  <r>
    <s v="DSCN3122"/>
    <s v="B&amp;U0415_9"/>
    <n v="9"/>
    <n v="1"/>
    <x v="5"/>
    <d v="2019-04-15T00:00:00"/>
    <s v="April"/>
    <s v="Spring"/>
    <d v="1899-12-30T01:59:00"/>
    <d v="1899-12-30T00:01:59"/>
    <x v="107"/>
    <s v="Partly cloudy"/>
    <x v="14"/>
    <s v="Caching"/>
    <s v="Spruce"/>
    <n v="0"/>
    <n v="0"/>
    <n v="1"/>
    <s v="Insect"/>
    <s v="Insect (small Black caterpiller)"/>
    <m/>
    <s v="Exterior spruce branch under witch hair"/>
    <s v="Spruce"/>
    <s v="Exterior"/>
    <s v="Under witchhair"/>
    <s v="N"/>
    <n v="0"/>
    <n v="40"/>
    <n v="63.724319999999999"/>
    <n v="148.9547"/>
    <s v="NA"/>
    <s v="NA"/>
    <m/>
    <n v="0"/>
    <n v="0"/>
    <n v="0"/>
    <n v="0"/>
    <n v="0"/>
    <m/>
    <n v="0"/>
    <m/>
    <s v="Seemed like a temporary cache because it did not coat in spit. "/>
    <m/>
    <m/>
  </r>
  <r>
    <s v="DSCN3120"/>
    <s v="B&amp;U0415_7"/>
    <n v="7"/>
    <n v="1"/>
    <x v="5"/>
    <d v="2019-04-15T00:00:00"/>
    <s v="April"/>
    <s v="Spring"/>
    <d v="1899-12-30T00:54:00"/>
    <d v="1899-12-30T00:00:54"/>
    <x v="96"/>
    <s v="Partly cloudy"/>
    <x v="14"/>
    <s v="Foraging"/>
    <s v="NA"/>
    <n v="1"/>
    <n v="0"/>
    <n v="0"/>
    <s v="Insect"/>
    <s v="Insect (grub/caterpillar)"/>
    <s v="Ground"/>
    <s v="NA"/>
    <m/>
    <m/>
    <m/>
    <s v="NA"/>
    <s v="NA"/>
    <s v="NA"/>
    <s v="NA"/>
    <s v="NA"/>
    <s v="NA"/>
    <s v="NA"/>
    <m/>
    <n v="0"/>
    <n v="0"/>
    <n v="0"/>
    <n v="0"/>
    <n v="5"/>
    <m/>
    <n v="5"/>
    <s v="Searching"/>
    <s v="Couldn't see it for most of video.  Estimates 5s foraging time"/>
    <m/>
    <m/>
  </r>
  <r>
    <s v="DSCN3121"/>
    <s v="B&amp;U0415_8"/>
    <n v="8"/>
    <n v="1"/>
    <x v="5"/>
    <d v="2019-04-15T00:00:00"/>
    <s v="April"/>
    <s v="Spring"/>
    <d v="1899-12-30T00:08:00"/>
    <d v="1899-12-30T00:00:08"/>
    <x v="67"/>
    <s v="Partly cloudy"/>
    <x v="14"/>
    <s v="Foraging"/>
    <s v="NA"/>
    <n v="1"/>
    <n v="0"/>
    <n v="0"/>
    <s v="Insect"/>
    <s v="Insect (small Black caterpiller)"/>
    <s v="Ground"/>
    <s v="NA"/>
    <m/>
    <m/>
    <m/>
    <s v="NA"/>
    <s v="NA"/>
    <s v="NA"/>
    <s v="NA"/>
    <s v="NA"/>
    <s v="NA"/>
    <s v="NA"/>
    <m/>
    <n v="0"/>
    <n v="0"/>
    <n v="0"/>
    <n v="0"/>
    <n v="8"/>
    <m/>
    <n v="8"/>
    <m/>
    <m/>
    <m/>
    <m/>
  </r>
  <r>
    <s v="DSCN3475"/>
    <s v="B&amp;U0424_12"/>
    <n v="12"/>
    <n v="1"/>
    <x v="5"/>
    <d v="2019-04-24T00:00:00"/>
    <s v="April"/>
    <s v="Spring"/>
    <d v="1899-12-30T00:12:00"/>
    <d v="1899-12-30T00:00:12"/>
    <x v="61"/>
    <s v="Partly cloudy"/>
    <x v="14"/>
    <s v="Foraging"/>
    <s v="Spruce"/>
    <n v="1"/>
    <s v="unknown"/>
    <n v="0"/>
    <s v="Unknown"/>
    <s v="unknown"/>
    <s v="Interior bare spruce branch"/>
    <s v="NA"/>
    <m/>
    <m/>
    <m/>
    <s v="NA"/>
    <s v="NA"/>
    <s v="NA"/>
    <s v="NA"/>
    <s v="NA"/>
    <s v="NA"/>
    <s v="NA"/>
    <s v="NA"/>
    <n v="12"/>
    <n v="0"/>
    <n v="12"/>
    <n v="0"/>
    <n v="0"/>
    <m/>
    <n v="12"/>
    <s v="Searching/probing"/>
    <m/>
    <n v="2"/>
    <n v="0"/>
  </r>
  <r>
    <s v="DSCN3463"/>
    <s v="B&amp;U0424_5"/>
    <n v="5"/>
    <n v="1"/>
    <x v="5"/>
    <d v="2019-04-24T00:00:00"/>
    <s v="April"/>
    <s v="Spring"/>
    <d v="1899-12-30T00:24:00"/>
    <d v="1899-12-30T00:00:24"/>
    <x v="71"/>
    <s v="Partly cloudy"/>
    <x v="14"/>
    <s v="Foraging"/>
    <s v="NA"/>
    <n v="1"/>
    <n v="0"/>
    <n v="0"/>
    <s v="Unknown"/>
    <s v="unknown"/>
    <s v="NA"/>
    <s v="NA"/>
    <m/>
    <m/>
    <m/>
    <s v="NA"/>
    <s v="NA"/>
    <s v="NA"/>
    <s v="NA"/>
    <s v="NA"/>
    <s v="NA"/>
    <s v="NA"/>
    <s v="NA"/>
    <n v="0"/>
    <n v="0"/>
    <n v="0"/>
    <n v="0"/>
    <n v="24"/>
    <m/>
    <n v="24"/>
    <s v="Searching"/>
    <m/>
    <m/>
    <m/>
  </r>
  <r>
    <s v="DSCN3476"/>
    <s v="B&amp;U0424_13"/>
    <n v="13"/>
    <n v="1"/>
    <x v="5"/>
    <d v="2019-04-24T00:00:00"/>
    <s v="April"/>
    <s v="Spring"/>
    <d v="1899-12-30T00:25:00"/>
    <d v="1899-12-30T00:00:25"/>
    <x v="15"/>
    <s v="Partly cloudy"/>
    <x v="14"/>
    <s v="Foraging"/>
    <s v="NA"/>
    <s v="unknown"/>
    <n v="0"/>
    <n v="0"/>
    <m/>
    <s v="NA"/>
    <s v="NA"/>
    <s v="NA"/>
    <m/>
    <m/>
    <m/>
    <s v="NA"/>
    <s v="NA"/>
    <s v="NA"/>
    <s v="NA"/>
    <s v="NA"/>
    <s v="NA"/>
    <s v="NA"/>
    <s v="NA"/>
    <n v="0"/>
    <n v="0"/>
    <n v="0"/>
    <n v="0"/>
    <n v="20"/>
    <m/>
    <n v="20"/>
    <s v="Searching"/>
    <m/>
    <m/>
    <m/>
  </r>
  <r>
    <s v="DSCN2725"/>
    <s v="M4R0401_1"/>
    <n v="1"/>
    <n v="1"/>
    <x v="6"/>
    <d v="2019-04-01T00:00:00"/>
    <s v="April"/>
    <s v="Spring"/>
    <d v="1899-12-30T00:06:00"/>
    <d v="1899-12-30T00:00:06"/>
    <x v="94"/>
    <s v="Clear"/>
    <x v="15"/>
    <s v="Food handling"/>
    <s v="Spruce"/>
    <n v="1"/>
    <s v="unknown"/>
    <n v="0"/>
    <s v="Unknown"/>
    <s v="unknown"/>
    <s v="Exterior bare spruce branch"/>
    <s v="NA"/>
    <m/>
    <m/>
    <m/>
    <s v="NA"/>
    <s v="NA"/>
    <s v="NA"/>
    <s v="NA"/>
    <s v="NA"/>
    <s v="NA"/>
    <s v="NA"/>
    <m/>
    <n v="0"/>
    <n v="0"/>
    <n v="0"/>
    <n v="0"/>
    <n v="0"/>
    <m/>
    <n v="0"/>
    <m/>
    <s v="Missed initial acquisition"/>
    <m/>
    <m/>
  </r>
  <r>
    <s v="DSCN3024"/>
    <s v="M4R0409_1"/>
    <n v="1"/>
    <n v="1"/>
    <x v="6"/>
    <d v="2019-04-09T00:00:00"/>
    <s v="April"/>
    <s v="Spring"/>
    <d v="1899-12-30T00:39:00"/>
    <d v="1899-12-30T00:00:39"/>
    <x v="1"/>
    <m/>
    <x v="15"/>
    <s v="Foraging"/>
    <s v="NA"/>
    <n v="1"/>
    <n v="0"/>
    <n v="1"/>
    <s v="Insect"/>
    <s v="Insect (grub/caterpillar)"/>
    <s v="Ground"/>
    <s v="Exterior spruce branch under witch hair"/>
    <s v="Spruce"/>
    <s v="Exterior"/>
    <s v="Under witchhair"/>
    <s v="E"/>
    <n v="95"/>
    <n v="1"/>
    <n v="63.71951"/>
    <n v="148.98781"/>
    <s v="NA"/>
    <s v="NA"/>
    <m/>
    <n v="0"/>
    <n v="0"/>
    <n v="0"/>
    <n v="0"/>
    <n v="5"/>
    <m/>
    <n v="5"/>
    <s v="Searching"/>
    <s v="Placed camera on CT"/>
    <m/>
    <m/>
  </r>
  <r>
    <s v="DSCN3037"/>
    <s v="M4R0409_11"/>
    <n v="11"/>
    <n v="1"/>
    <x v="6"/>
    <d v="2019-04-09T00:00:00"/>
    <s v="April"/>
    <s v="Spring"/>
    <d v="1899-12-30T00:14:00"/>
    <d v="1899-12-30T00:00:14"/>
    <x v="59"/>
    <m/>
    <x v="15"/>
    <s v="Food handling"/>
    <s v="NA"/>
    <n v="1"/>
    <n v="0"/>
    <n v="0"/>
    <s v="Insect"/>
    <s v="Insect (Black caterpiller)"/>
    <s v="Ground"/>
    <s v="NA"/>
    <m/>
    <m/>
    <m/>
    <s v="NA"/>
    <s v="NA"/>
    <s v="NA"/>
    <s v="NA"/>
    <s v="NA"/>
    <s v="NA"/>
    <s v="NA"/>
    <m/>
    <n v="0"/>
    <n v="0"/>
    <n v="0"/>
    <n v="0"/>
    <n v="0"/>
    <m/>
    <n v="0"/>
    <m/>
    <s v="Missed acquisition"/>
    <m/>
    <m/>
  </r>
  <r>
    <s v="DSCN3234"/>
    <s v="M4R0417_16"/>
    <n v="16"/>
    <n v="1"/>
    <x v="6"/>
    <d v="2019-04-17T00:00:00"/>
    <s v="April"/>
    <s v="Spring"/>
    <d v="1899-12-30T00:16:00"/>
    <d v="1899-12-30T00:00:16"/>
    <x v="47"/>
    <s v="Overcast, light snow"/>
    <x v="15"/>
    <s v="Foraging"/>
    <s v="Spruce"/>
    <n v="1"/>
    <s v="unknown"/>
    <n v="0"/>
    <s v="Unknown"/>
    <s v="unknown"/>
    <s v="Spruce trunk under bark"/>
    <s v="NA"/>
    <m/>
    <m/>
    <m/>
    <s v="NA"/>
    <s v="NA"/>
    <s v="NA"/>
    <s v="NA"/>
    <s v="NA"/>
    <s v="NA"/>
    <s v="NA"/>
    <m/>
    <n v="8"/>
    <n v="0"/>
    <n v="8"/>
    <n v="0"/>
    <n v="8"/>
    <m/>
    <n v="16"/>
    <s v="Searching/probing"/>
    <m/>
    <n v="1"/>
    <n v="0"/>
  </r>
  <r>
    <s v="DSCN3225"/>
    <s v="M4R0417_8"/>
    <n v="8"/>
    <n v="1"/>
    <x v="6"/>
    <d v="2019-04-17T00:00:00"/>
    <s v="April"/>
    <s v="Spring"/>
    <d v="1899-12-30T01:24:00"/>
    <d v="1899-12-30T00:01:24"/>
    <x v="83"/>
    <s v="Overcast, light snow"/>
    <x v="15"/>
    <s v="Foraging"/>
    <s v="NA"/>
    <n v="1"/>
    <s v="unknown"/>
    <n v="0"/>
    <s v="Unknown"/>
    <s v="unknown"/>
    <s v="Spruce trunk under bark"/>
    <s v="NA"/>
    <m/>
    <m/>
    <m/>
    <s v="NA"/>
    <s v="NA"/>
    <s v="NA"/>
    <s v="NA"/>
    <s v="NA"/>
    <s v="NA"/>
    <s v="NA"/>
    <m/>
    <n v="56"/>
    <n v="0"/>
    <n v="56"/>
    <n v="0"/>
    <n v="17"/>
    <m/>
    <n v="73"/>
    <m/>
    <m/>
    <n v="9"/>
    <n v="0"/>
  </r>
  <r>
    <s v="DSCN3235"/>
    <s v="M4R0417_17"/>
    <n v="17"/>
    <n v="1"/>
    <x v="6"/>
    <d v="2019-04-17T00:00:00"/>
    <s v="April"/>
    <s v="Spring"/>
    <d v="1899-12-30T00:41:00"/>
    <d v="1899-12-30T00:00:41"/>
    <x v="19"/>
    <s v="Overcast, light snow"/>
    <x v="15"/>
    <s v="Foraging"/>
    <s v="Spruce"/>
    <n v="2"/>
    <n v="1"/>
    <n v="0"/>
    <s v="Unknown"/>
    <s v="unknown"/>
    <s v="Spruce trunk under bark"/>
    <s v="NA"/>
    <m/>
    <m/>
    <m/>
    <s v="NA"/>
    <s v="NA"/>
    <s v="NA"/>
    <s v="NA"/>
    <s v="NA"/>
    <n v="63.720469999999999"/>
    <n v="148.98471000000001"/>
    <s v="M4R100518CT3"/>
    <n v="41"/>
    <n v="0"/>
    <n v="41"/>
    <n v="0"/>
    <n v="0"/>
    <m/>
    <n v="41"/>
    <s v="Searching/probing/ Bark chpping"/>
    <s v="Repeatedly removes bark and then inserts it into palce it's trying to probe???"/>
    <n v="10"/>
    <n v="0"/>
  </r>
  <r>
    <s v="DSCN3236"/>
    <s v="M4R0417_18"/>
    <n v="18"/>
    <n v="1"/>
    <x v="6"/>
    <d v="2019-04-17T00:00:00"/>
    <s v="April"/>
    <s v="Spring"/>
    <d v="1899-12-30T01:15:00"/>
    <d v="1899-12-30T00:01:15"/>
    <x v="108"/>
    <s v="Overcast, light snow"/>
    <x v="15"/>
    <s v="Foraging"/>
    <s v="Spruce"/>
    <n v="1"/>
    <n v="0"/>
    <n v="0"/>
    <s v="Insect"/>
    <s v="Insect"/>
    <s v="Exterior spruce foliage"/>
    <s v="NA"/>
    <m/>
    <m/>
    <m/>
    <s v="NA"/>
    <s v="NA"/>
    <s v="NA"/>
    <s v="NA"/>
    <s v="NA"/>
    <s v="NA"/>
    <s v="NA"/>
    <s v="NA"/>
    <n v="56"/>
    <n v="2"/>
    <n v="56"/>
    <n v="2"/>
    <n v="0"/>
    <m/>
    <n v="58"/>
    <s v="Searching/gleaning"/>
    <m/>
    <n v="2"/>
    <n v="1"/>
  </r>
  <r>
    <s v="DSCN3226"/>
    <s v="M4R0417_9"/>
    <n v="9"/>
    <n v="1"/>
    <x v="6"/>
    <d v="2019-04-17T00:00:00"/>
    <s v="April"/>
    <s v="Spring"/>
    <d v="1899-12-30T00:04:00"/>
    <d v="1899-12-30T00:00:04"/>
    <x v="109"/>
    <s v="Overcast, light snow"/>
    <x v="15"/>
    <s v="Foraging"/>
    <s v="NA"/>
    <n v="1"/>
    <n v="0"/>
    <n v="0"/>
    <s v="Insect"/>
    <s v="Insect (Black caterpiller)"/>
    <s v="Ground"/>
    <s v="NA"/>
    <m/>
    <m/>
    <m/>
    <s v="NA"/>
    <s v="NA"/>
    <s v="NA"/>
    <s v="NA"/>
    <s v="NA"/>
    <s v="NA"/>
    <s v="NA"/>
    <m/>
    <n v="0"/>
    <n v="0"/>
    <n v="0"/>
    <n v="0"/>
    <n v="0"/>
    <m/>
    <n v="0"/>
    <m/>
    <s v="Did not capture foraging, only acquisition. "/>
    <m/>
    <m/>
  </r>
  <r>
    <s v="DSCN3217"/>
    <s v="M4R0417_3"/>
    <n v="3"/>
    <n v="1"/>
    <x v="6"/>
    <d v="2019-04-17T00:00:00"/>
    <s v="April"/>
    <s v="Spring"/>
    <d v="1899-12-30T00:32:00"/>
    <d v="1899-12-30T00:00:32"/>
    <x v="21"/>
    <s v="Overcast, light snow"/>
    <x v="15"/>
    <s v="Food handling"/>
    <s v="NA"/>
    <n v="1"/>
    <n v="0"/>
    <n v="0"/>
    <s v="Insect"/>
    <s v="Insect (Black caterpiller)"/>
    <s v="uknown"/>
    <s v="NA"/>
    <m/>
    <m/>
    <m/>
    <s v="NA"/>
    <s v="NA"/>
    <s v="NA"/>
    <s v="NA"/>
    <s v="NA"/>
    <s v="NA"/>
    <s v="NA"/>
    <m/>
    <n v="0"/>
    <n v="0"/>
    <n v="0"/>
    <n v="0"/>
    <n v="0"/>
    <m/>
    <n v="0"/>
    <m/>
    <s v="Missed initial acquisition"/>
    <m/>
    <m/>
  </r>
  <r>
    <s v="DSCN3221"/>
    <s v="M4R0417_5"/>
    <n v="5"/>
    <n v="1"/>
    <x v="6"/>
    <d v="2019-04-17T00:00:00"/>
    <s v="April"/>
    <s v="Spring"/>
    <d v="1899-12-30T00:09:00"/>
    <d v="1899-12-30T00:00:09"/>
    <x v="53"/>
    <s v="Overcast, light snow"/>
    <x v="15"/>
    <s v="Foraging"/>
    <s v="NA"/>
    <n v="1"/>
    <n v="0"/>
    <n v="0"/>
    <s v="Berry"/>
    <s v="Berry"/>
    <s v="Ground"/>
    <s v="NA"/>
    <m/>
    <m/>
    <m/>
    <s v="NA"/>
    <s v="NA"/>
    <s v="NA"/>
    <s v="NA"/>
    <s v="NA"/>
    <s v="NA"/>
    <s v="NA"/>
    <m/>
    <n v="0"/>
    <n v="0"/>
    <n v="0"/>
    <n v="0"/>
    <n v="9"/>
    <m/>
    <n v="9"/>
    <m/>
    <m/>
    <m/>
    <m/>
  </r>
  <r>
    <s v="DSCN3228"/>
    <s v="M4R0417_10"/>
    <n v="10"/>
    <n v="1"/>
    <x v="6"/>
    <d v="2019-04-17T00:00:00"/>
    <s v="April"/>
    <s v="Spring"/>
    <d v="1899-12-30T00:17:00"/>
    <d v="1899-12-30T00:00:17"/>
    <x v="12"/>
    <s v="Overcast, light snow"/>
    <x v="15"/>
    <s v="Food handling"/>
    <s v="NA"/>
    <n v="0"/>
    <n v="0"/>
    <n v="0"/>
    <s v="Insect"/>
    <s v="Insect (Black caterpiller)"/>
    <s v="NA"/>
    <s v="NA"/>
    <m/>
    <m/>
    <m/>
    <s v="NA"/>
    <s v="NA"/>
    <s v="NA"/>
    <s v="NA"/>
    <s v="NA"/>
    <s v="NA"/>
    <s v="NA"/>
    <m/>
    <n v="0"/>
    <n v="0"/>
    <n v="0"/>
    <n v="0"/>
    <n v="0"/>
    <m/>
    <n v="0"/>
    <m/>
    <m/>
    <m/>
    <m/>
  </r>
  <r>
    <s v="DSCN3229"/>
    <s v="M4R0417_11"/>
    <n v="11"/>
    <n v="1"/>
    <x v="6"/>
    <d v="2019-04-17T00:00:00"/>
    <s v="April"/>
    <s v="Spring"/>
    <d v="1899-12-30T00:27:00"/>
    <d v="1899-12-30T00:00:27"/>
    <x v="52"/>
    <s v="Overcast, light snow"/>
    <x v="15"/>
    <s v="Food handling"/>
    <s v="NA"/>
    <n v="0"/>
    <n v="0"/>
    <n v="0"/>
    <s v="Insect"/>
    <s v="Insect (Black caterpiller)"/>
    <s v="NA"/>
    <s v="NA"/>
    <m/>
    <m/>
    <m/>
    <s v="NA"/>
    <s v="NA"/>
    <s v="NA"/>
    <s v="NA"/>
    <s v="NA"/>
    <s v="NA"/>
    <s v="NA"/>
    <m/>
    <n v="0"/>
    <n v="0"/>
    <n v="0"/>
    <n v="0"/>
    <n v="0"/>
    <m/>
    <n v="0"/>
    <m/>
    <m/>
    <m/>
    <m/>
  </r>
  <r>
    <s v="DSCN3230"/>
    <s v="M4R0417_12"/>
    <n v="12"/>
    <n v="1"/>
    <x v="6"/>
    <d v="2019-04-17T00:00:00"/>
    <s v="April"/>
    <s v="Spring"/>
    <d v="1899-12-30T01:51:00"/>
    <d v="1899-12-30T00:01:51"/>
    <x v="5"/>
    <s v="Overcast, light snow"/>
    <x v="15"/>
    <s v="Food handling/Foraging"/>
    <s v="Spruce"/>
    <n v="0"/>
    <n v="0"/>
    <n v="0"/>
    <s v="Insect"/>
    <s v="Insect (Black caterpiller)"/>
    <s v="NA"/>
    <s v="NA"/>
    <m/>
    <m/>
    <m/>
    <s v="NA"/>
    <s v="NA"/>
    <s v="NA"/>
    <s v="NA"/>
    <s v="NA"/>
    <s v="NA"/>
    <s v="NA"/>
    <m/>
    <n v="25"/>
    <n v="0"/>
    <n v="25"/>
    <n v="0"/>
    <n v="0"/>
    <m/>
    <n v="25"/>
    <m/>
    <s v="Could have been looking for a place to cache"/>
    <m/>
    <m/>
  </r>
  <r>
    <s v="DSCN3233"/>
    <s v="M4R0417_15"/>
    <n v="15"/>
    <n v="1"/>
    <x v="6"/>
    <d v="2019-04-17T00:00:00"/>
    <s v="April"/>
    <s v="Spring"/>
    <d v="1899-12-30T00:46:00"/>
    <d v="1899-12-30T00:00:46"/>
    <x v="92"/>
    <s v="Overcast, light snow"/>
    <x v="15"/>
    <s v="Foraging"/>
    <s v="Spruce"/>
    <n v="0"/>
    <n v="0"/>
    <n v="0"/>
    <m/>
    <s v="NA"/>
    <s v="NA"/>
    <s v="NA"/>
    <m/>
    <m/>
    <m/>
    <s v="NA"/>
    <s v="NA"/>
    <s v="NA"/>
    <s v="NA"/>
    <s v="NA"/>
    <s v="NA"/>
    <s v="NA"/>
    <m/>
    <n v="13"/>
    <n v="0"/>
    <n v="11"/>
    <n v="2"/>
    <n v="21"/>
    <m/>
    <n v="34"/>
    <s v="Searching/probing"/>
    <m/>
    <n v="2"/>
    <m/>
  </r>
  <r>
    <s v="DSCN3223"/>
    <s v="M4R0417_6"/>
    <n v="6"/>
    <n v="1"/>
    <x v="6"/>
    <d v="2019-04-17T00:00:00"/>
    <s v="April"/>
    <s v="Spring"/>
    <d v="1899-12-30T00:18:00"/>
    <d v="1899-12-30T00:00:18"/>
    <x v="13"/>
    <s v="Overcast, light snow"/>
    <x v="15"/>
    <s v="Foraging"/>
    <s v="NA"/>
    <n v="0"/>
    <n v="0"/>
    <n v="0"/>
    <m/>
    <s v="NA"/>
    <s v="NA"/>
    <s v="NA"/>
    <m/>
    <m/>
    <m/>
    <s v="NA"/>
    <s v="NA"/>
    <s v="NA"/>
    <s v="NA"/>
    <s v="NA"/>
    <s v="NA"/>
    <s v="NA"/>
    <m/>
    <n v="0"/>
    <n v="0"/>
    <n v="0"/>
    <n v="0"/>
    <n v="18"/>
    <m/>
    <n v="18"/>
    <m/>
    <m/>
    <m/>
    <m/>
  </r>
  <r>
    <s v="DSCN3345"/>
    <s v="M4R0419_5"/>
    <n v="5"/>
    <n v="1"/>
    <x v="6"/>
    <d v="2019-04-19T00:00:00"/>
    <s v="April"/>
    <s v="Spring"/>
    <d v="1899-12-30T00:28:00"/>
    <d v="1899-12-30T00:00:28"/>
    <x v="68"/>
    <s v="Partly cloudy"/>
    <x v="15"/>
    <s v="Food handling"/>
    <s v="Spruce"/>
    <n v="1"/>
    <s v="unknown"/>
    <n v="0"/>
    <s v="Unknown"/>
    <s v="unknown"/>
    <s v="Exterior bare spruce branch"/>
    <s v="NA"/>
    <m/>
    <m/>
    <m/>
    <s v="NA"/>
    <s v="NA"/>
    <s v="NA"/>
    <s v="NA"/>
    <s v="NA"/>
    <s v="NA"/>
    <s v="NA"/>
    <s v="NA"/>
    <n v="0"/>
    <n v="0"/>
    <n v="0"/>
    <n v="0"/>
    <n v="0"/>
    <m/>
    <n v="0"/>
    <m/>
    <s v="Missed initial acquisition"/>
    <m/>
    <m/>
  </r>
  <r>
    <s v="DSCN3341"/>
    <s v="M4R0419_4"/>
    <n v="4"/>
    <n v="1"/>
    <x v="6"/>
    <d v="2019-04-19T00:00:00"/>
    <s v="April"/>
    <s v="Spring"/>
    <d v="1899-12-30T00:29:00"/>
    <d v="1899-12-30T00:00:29"/>
    <x v="58"/>
    <s v="Partly cloudy"/>
    <x v="15"/>
    <s v="Foraging"/>
    <s v="Spruce"/>
    <n v="1"/>
    <s v="unknown"/>
    <n v="0"/>
    <s v="Unknown"/>
    <s v="unknown"/>
    <s v="Interior spruce foliage "/>
    <m/>
    <m/>
    <m/>
    <m/>
    <s v="NA"/>
    <s v="NA"/>
    <s v="NA"/>
    <s v="NA"/>
    <s v="NA"/>
    <s v="NA"/>
    <s v="NA"/>
    <s v="NA"/>
    <n v="0"/>
    <n v="25"/>
    <n v="25"/>
    <n v="0"/>
    <n v="0"/>
    <m/>
    <n v="25"/>
    <s v="Searching"/>
    <m/>
    <m/>
    <m/>
  </r>
  <r>
    <s v="DSCN3339"/>
    <s v="M4R0419_2"/>
    <n v="2"/>
    <n v="1"/>
    <x v="6"/>
    <d v="2019-04-19T00:00:00"/>
    <s v="April"/>
    <s v="Spring"/>
    <d v="1899-12-30T00:22:00"/>
    <d v="1899-12-30T00:00:22"/>
    <x v="77"/>
    <s v="Partly cloudy"/>
    <x v="15"/>
    <s v="Foraging"/>
    <s v="Alder"/>
    <n v="0"/>
    <n v="0"/>
    <n v="0"/>
    <m/>
    <s v="NA"/>
    <s v="NA"/>
    <s v="NA"/>
    <m/>
    <m/>
    <m/>
    <s v="NA"/>
    <s v="NA"/>
    <s v="NA"/>
    <s v="NA"/>
    <s v="NA"/>
    <s v="NA"/>
    <s v="NA"/>
    <s v="NA"/>
    <n v="22"/>
    <n v="0"/>
    <n v="0"/>
    <n v="22"/>
    <n v="0"/>
    <m/>
    <n v="22"/>
    <s v="Searching/probing"/>
    <m/>
    <n v="2"/>
    <n v="0"/>
  </r>
  <r>
    <s v="DSCN3643"/>
    <s v="M4R0430_6"/>
    <n v="6"/>
    <n v="1"/>
    <x v="6"/>
    <d v="2019-04-30T00:00:00"/>
    <s v="April"/>
    <s v="Spring"/>
    <d v="1899-12-30T00:05:00"/>
    <d v="1899-12-30T00:00:05"/>
    <x v="72"/>
    <s v="Clear, full sun"/>
    <x v="15"/>
    <s v="Foraging"/>
    <s v="NA"/>
    <n v="0"/>
    <n v="0"/>
    <n v="1"/>
    <s v="Unknown"/>
    <s v="unknown"/>
    <s v="unknown"/>
    <s v="Exterior spruce branch under witch hair"/>
    <s v="Spruce"/>
    <s v="Exterior"/>
    <s v="Under witchhair"/>
    <s v="NE"/>
    <n v="50"/>
    <s v="unknown"/>
    <n v="63.720140000000001"/>
    <n v="148.98885999999999"/>
    <s v="NA"/>
    <s v="NA"/>
    <s v="NA"/>
    <n v="0"/>
    <n v="0"/>
    <n v="0"/>
    <n v="0"/>
    <n v="0"/>
    <m/>
    <n v="0"/>
    <m/>
    <s v="Didn't mark as additional food acquisition because he may or may not have cached a food we already documented him as aquiring.  "/>
    <m/>
    <m/>
  </r>
  <r>
    <s v="DSCN3666"/>
    <s v="M4R0430_15"/>
    <n v="15"/>
    <n v="1"/>
    <x v="6"/>
    <d v="2019-04-30T00:00:00"/>
    <s v="April"/>
    <s v="Spring"/>
    <d v="1899-12-30T03:42:00"/>
    <d v="1899-12-30T00:03:42"/>
    <x v="110"/>
    <s v="Clear, full sun"/>
    <x v="15"/>
    <s v="Foraging"/>
    <s v="NA"/>
    <n v="1"/>
    <n v="0"/>
    <n v="0"/>
    <s v="Unknown"/>
    <s v="unknown"/>
    <s v="Ground"/>
    <s v="NA"/>
    <m/>
    <m/>
    <m/>
    <s v="NA"/>
    <s v="NA"/>
    <s v="NA"/>
    <s v="NA"/>
    <s v="NA"/>
    <s v="NA"/>
    <s v="NA"/>
    <s v="NA"/>
    <n v="0"/>
    <n v="0"/>
    <n v="0"/>
    <n v="0"/>
    <n v="54"/>
    <m/>
    <n v="54"/>
    <m/>
    <m/>
    <m/>
    <m/>
  </r>
  <r>
    <s v="DSCN3671"/>
    <s v="M4R0430_17"/>
    <n v="17"/>
    <n v="1"/>
    <x v="6"/>
    <d v="2019-04-30T00:00:00"/>
    <s v="April"/>
    <s v="Spring"/>
    <d v="1899-12-30T00:26:00"/>
    <d v="1899-12-30T00:00:26"/>
    <x v="44"/>
    <s v="Clear, full sun"/>
    <x v="15"/>
    <s v="Foraging"/>
    <s v="NA"/>
    <n v="1"/>
    <n v="0"/>
    <n v="0"/>
    <s v="Unknown"/>
    <s v="unknown"/>
    <s v="Ground"/>
    <s v="NA"/>
    <m/>
    <m/>
    <m/>
    <s v="NA"/>
    <s v="NA"/>
    <s v="NA"/>
    <s v="NA"/>
    <s v="NA"/>
    <s v="NA"/>
    <s v="NA"/>
    <s v="NA"/>
    <n v="0"/>
    <n v="0"/>
    <n v="0"/>
    <n v="0"/>
    <n v="26"/>
    <m/>
    <n v="26"/>
    <s v="Searching"/>
    <m/>
    <m/>
    <m/>
  </r>
  <r>
    <s v="DSCN3642"/>
    <s v="M4R0430_5"/>
    <n v="5"/>
    <n v="1"/>
    <x v="6"/>
    <d v="2019-04-30T00:00:00"/>
    <s v="April"/>
    <s v="Spring"/>
    <d v="1899-12-30T01:12:00"/>
    <d v="1899-12-30T00:01:12"/>
    <x v="40"/>
    <s v="Clear, full sun"/>
    <x v="15"/>
    <s v="Foraging"/>
    <s v="NA"/>
    <n v="2"/>
    <n v="0"/>
    <n v="0"/>
    <s v="Unknown"/>
    <s v="unknown"/>
    <s v="Ground"/>
    <s v="NA"/>
    <m/>
    <m/>
    <m/>
    <s v="NA"/>
    <s v="NA"/>
    <s v="NA"/>
    <s v="NA"/>
    <s v="NA"/>
    <s v="NA"/>
    <s v="NA"/>
    <s v="NA"/>
    <n v="0"/>
    <n v="0"/>
    <n v="0"/>
    <n v="0"/>
    <n v="24"/>
    <m/>
    <n v="24"/>
    <s v="Searching"/>
    <m/>
    <m/>
    <m/>
  </r>
  <r>
    <s v="DSCN3683"/>
    <s v="M4R0430_24"/>
    <n v="24"/>
    <n v="1"/>
    <x v="6"/>
    <d v="2019-04-30T00:00:00"/>
    <s v="April"/>
    <s v="Spring"/>
    <d v="1899-12-30T01:55:00"/>
    <d v="1899-12-30T00:01:55"/>
    <x v="111"/>
    <s v="Clear, full sun"/>
    <x v="15"/>
    <s v="Caching"/>
    <s v="Spruce"/>
    <n v="0"/>
    <n v="0"/>
    <n v="1"/>
    <s v="Insect"/>
    <s v="Insect (Black caterpiller)"/>
    <s v="NA"/>
    <s v="exterior spruce foliage "/>
    <s v="Spruce"/>
    <s v="Exterior"/>
    <s v="Foliage"/>
    <s v="S"/>
    <n v="175"/>
    <n v="12"/>
    <n v="63.720010000000002"/>
    <n v="148.98734999999999"/>
    <s v="NA"/>
    <s v="NA"/>
    <s v="NA"/>
    <n v="0"/>
    <n v="0"/>
    <n v="0"/>
    <n v="0"/>
    <n v="0"/>
    <m/>
    <n v="0"/>
    <m/>
    <s v="Deployed camera on cache site"/>
    <m/>
    <m/>
  </r>
  <r>
    <s v="DSCN3666"/>
    <s v="M4R0430_15"/>
    <n v="15"/>
    <n v="2"/>
    <x v="6"/>
    <d v="2019-04-30T00:00:00"/>
    <s v="April"/>
    <s v="Spring"/>
    <d v="1899-12-30T03:42:00"/>
    <d v="1899-12-30T00:03:42"/>
    <x v="110"/>
    <s v="Clear, full sun"/>
    <x v="15"/>
    <s v="Foraging"/>
    <s v="NA"/>
    <n v="1"/>
    <n v="0"/>
    <n v="1"/>
    <s v="Insect"/>
    <s v="Insect (caterpiller)"/>
    <s v="Ground"/>
    <s v="Exterior spruce branch"/>
    <s v="Spruce"/>
    <s v="Exterior"/>
    <s v="On branch"/>
    <s v="SW"/>
    <n v="220"/>
    <n v="4"/>
    <n v="63.720669999999998"/>
    <n v="148.98961"/>
    <s v="NA"/>
    <s v="NA"/>
    <s v="NA"/>
    <n v="0"/>
    <n v="0"/>
    <n v="0"/>
    <n v="0"/>
    <n v="168"/>
    <m/>
    <n v="168"/>
    <s v="Searching"/>
    <s v="Low cache, deployed "/>
    <m/>
    <m/>
  </r>
  <r>
    <s v="DSCN3681"/>
    <s v="M4R0430_22"/>
    <n v="22"/>
    <n v="1"/>
    <x v="6"/>
    <d v="2019-04-30T00:00:00"/>
    <s v="April"/>
    <s v="Spring"/>
    <d v="1899-12-30T00:35:00"/>
    <d v="1899-12-30T00:00:35"/>
    <x v="62"/>
    <s v="Clear, full sun"/>
    <x v="15"/>
    <s v="Food handling"/>
    <s v="NA"/>
    <n v="1"/>
    <n v="0"/>
    <n v="0"/>
    <s v="Insect"/>
    <s v="Insect (Black caterpiller)"/>
    <s v="Ground"/>
    <s v="NA"/>
    <m/>
    <m/>
    <m/>
    <s v="NA"/>
    <s v="NA"/>
    <s v="NA"/>
    <s v="NA"/>
    <s v="NA"/>
    <s v="NA"/>
    <s v="NA"/>
    <s v="NA"/>
    <n v="0"/>
    <n v="0"/>
    <n v="0"/>
    <n v="0"/>
    <n v="0"/>
    <m/>
    <n v="0"/>
    <m/>
    <s v="Missed initial acquisition"/>
    <m/>
    <m/>
  </r>
  <r>
    <s v="DSCN3642"/>
    <s v="M4R0430_5"/>
    <n v="5"/>
    <n v="2"/>
    <x v="6"/>
    <d v="2019-04-30T00:00:00"/>
    <s v="April"/>
    <s v="Spring"/>
    <d v="1899-12-30T01:12:00"/>
    <d v="1899-12-30T00:01:12"/>
    <x v="40"/>
    <s v="Clear, full sun"/>
    <x v="15"/>
    <s v="Foraging"/>
    <s v="NA"/>
    <n v="1"/>
    <n v="0"/>
    <n v="0"/>
    <s v="Berry"/>
    <s v="Berry"/>
    <s v="Ground"/>
    <s v="NA"/>
    <m/>
    <m/>
    <m/>
    <s v="NA"/>
    <s v="NA"/>
    <s v="NA"/>
    <s v="NA"/>
    <s v="NA"/>
    <s v="NA"/>
    <s v="NA"/>
    <s v="NA"/>
    <n v="0"/>
    <n v="0"/>
    <n v="0"/>
    <n v="0"/>
    <n v="24"/>
    <m/>
    <n v="24"/>
    <s v="Searching"/>
    <m/>
    <m/>
    <m/>
  </r>
  <r>
    <s v="DSCN3663"/>
    <s v="M4R0430_13"/>
    <n v="13"/>
    <n v="1"/>
    <x v="6"/>
    <d v="2019-04-30T00:00:00"/>
    <s v="April"/>
    <s v="Spring"/>
    <d v="1899-12-30T00:06:00"/>
    <d v="1899-12-30T00:00:06"/>
    <x v="94"/>
    <s v="Clear, full sun"/>
    <x v="15"/>
    <s v="Foraging"/>
    <s v="NA"/>
    <n v="0"/>
    <n v="0"/>
    <n v="0"/>
    <m/>
    <s v="NA"/>
    <s v="NA"/>
    <s v="NA"/>
    <m/>
    <m/>
    <m/>
    <s v="NA"/>
    <s v="NA"/>
    <s v="NA"/>
    <s v="NA"/>
    <s v="NA"/>
    <s v="NA"/>
    <s v="NA"/>
    <s v="NA"/>
    <n v="0"/>
    <n v="0"/>
    <n v="0"/>
    <n v="0"/>
    <n v="6"/>
    <m/>
    <n v="6"/>
    <s v="Searching"/>
    <m/>
    <m/>
    <m/>
  </r>
  <r>
    <s v="DSCN3682"/>
    <s v="M4R0430_23"/>
    <n v="23"/>
    <n v="1"/>
    <x v="6"/>
    <d v="2019-04-30T00:00:00"/>
    <s v="April"/>
    <s v="Spring"/>
    <d v="1899-12-30T00:24:00"/>
    <d v="1899-12-30T00:00:24"/>
    <x v="71"/>
    <s v="Clear, full sun"/>
    <x v="15"/>
    <s v="Food handling"/>
    <s v="NA"/>
    <n v="0"/>
    <n v="0"/>
    <n v="0"/>
    <s v="Insect"/>
    <s v="Insect (Black caterpiller)"/>
    <s v="NA"/>
    <s v="NA"/>
    <m/>
    <m/>
    <m/>
    <s v="NA"/>
    <s v="NA"/>
    <s v="NA"/>
    <s v="NA"/>
    <s v="NA"/>
    <s v="NA"/>
    <s v="NA"/>
    <s v="NA"/>
    <n v="0"/>
    <n v="0"/>
    <n v="0"/>
    <n v="0"/>
    <n v="0"/>
    <m/>
    <n v="0"/>
    <m/>
    <s v="processing caterpiller from previous video."/>
    <m/>
    <m/>
  </r>
  <r>
    <s v="DSCN3640"/>
    <s v="M4R0430_3"/>
    <n v="3"/>
    <n v="1"/>
    <x v="6"/>
    <d v="2019-04-30T00:00:00"/>
    <s v="April"/>
    <s v="Spring"/>
    <d v="1899-12-30T00:29:00"/>
    <d v="1899-12-30T00:00:29"/>
    <x v="58"/>
    <s v="Clear, full sun"/>
    <x v="15"/>
    <s v="Foraging"/>
    <s v="NA"/>
    <n v="0"/>
    <n v="0"/>
    <n v="0"/>
    <m/>
    <s v="NA"/>
    <s v="NA"/>
    <s v="NA"/>
    <m/>
    <m/>
    <m/>
    <s v="NA"/>
    <s v="NA"/>
    <s v="NA"/>
    <s v="NA"/>
    <s v="NA"/>
    <s v="NA"/>
    <s v="NA"/>
    <s v="NA"/>
    <n v="0"/>
    <n v="0"/>
    <n v="0"/>
    <n v="0"/>
    <n v="29"/>
    <m/>
    <n v="29"/>
    <s v="Searching"/>
    <m/>
    <m/>
    <m/>
  </r>
  <r>
    <s v="DSCN3641"/>
    <s v="M4R0430_4"/>
    <n v="4"/>
    <n v="1"/>
    <x v="6"/>
    <d v="2019-04-30T00:00:00"/>
    <s v="April"/>
    <s v="Spring"/>
    <d v="1899-12-30T00:21:00"/>
    <d v="1899-12-30T00:00:21"/>
    <x v="89"/>
    <s v="Clear, full sun"/>
    <x v="15"/>
    <s v="Foraging"/>
    <s v="NA"/>
    <n v="0"/>
    <n v="0"/>
    <n v="0"/>
    <m/>
    <s v="NA"/>
    <s v="NA"/>
    <s v="NA"/>
    <m/>
    <m/>
    <m/>
    <s v="NA"/>
    <s v="NA"/>
    <s v="NA"/>
    <s v="NA"/>
    <s v="NA"/>
    <s v="NA"/>
    <s v="NA"/>
    <s v="NA"/>
    <n v="0"/>
    <n v="0"/>
    <n v="0"/>
    <n v="0"/>
    <n v="21"/>
    <m/>
    <n v="21"/>
    <s v="Searching"/>
    <m/>
    <m/>
    <m/>
  </r>
  <r>
    <s v="DSCN3646"/>
    <s v="M4R0430_7"/>
    <n v="7"/>
    <n v="1"/>
    <x v="6"/>
    <d v="2019-04-30T00:00:00"/>
    <s v="April"/>
    <s v="Spring"/>
    <d v="1899-12-30T00:29:00"/>
    <d v="1899-12-30T00:00:29"/>
    <x v="58"/>
    <s v="Clear, full sun"/>
    <x v="15"/>
    <s v="Foraging"/>
    <s v="NA"/>
    <n v="0"/>
    <n v="0"/>
    <n v="0"/>
    <m/>
    <s v="NA"/>
    <s v="NA"/>
    <s v="NA"/>
    <m/>
    <m/>
    <m/>
    <s v="NA"/>
    <s v="NA"/>
    <s v="NA"/>
    <s v="NA"/>
    <s v="NA"/>
    <s v="NA"/>
    <s v="NA"/>
    <s v="NA"/>
    <n v="0"/>
    <n v="0"/>
    <n v="0"/>
    <n v="0"/>
    <n v="29"/>
    <m/>
    <n v="29"/>
    <s v="Searching"/>
    <m/>
    <m/>
    <m/>
  </r>
  <r>
    <s v="DSCN3647"/>
    <s v="M4R0430_8"/>
    <n v="8"/>
    <n v="1"/>
    <x v="6"/>
    <d v="2019-04-30T00:00:00"/>
    <s v="April"/>
    <s v="Spring"/>
    <d v="1899-12-30T01:01:00"/>
    <d v="1899-12-30T00:01:01"/>
    <x v="6"/>
    <s v="Clear, full sun"/>
    <x v="15"/>
    <s v="Foraging"/>
    <s v="NA"/>
    <n v="0"/>
    <n v="0"/>
    <n v="0"/>
    <m/>
    <s v="NA"/>
    <s v="NA"/>
    <s v="NA"/>
    <m/>
    <m/>
    <m/>
    <s v="NA"/>
    <s v="NA"/>
    <s v="NA"/>
    <s v="NA"/>
    <s v="NA"/>
    <s v="NA"/>
    <s v="NA"/>
    <s v="NA"/>
    <n v="0"/>
    <n v="0"/>
    <n v="0"/>
    <n v="0"/>
    <n v="58"/>
    <m/>
    <n v="58"/>
    <s v="Searching"/>
    <m/>
    <m/>
    <m/>
  </r>
  <r>
    <s v="DSCN3209"/>
    <s v="M4R0417_1"/>
    <n v="1"/>
    <n v="1"/>
    <x v="6"/>
    <d v="2019-04-17T00:00:00"/>
    <s v="April"/>
    <s v="Spring"/>
    <d v="1899-12-30T00:48:00"/>
    <d v="1899-12-30T00:00:48"/>
    <x v="4"/>
    <s v="Overcast, light snow"/>
    <x v="15"/>
    <s v="Foraging"/>
    <s v="Spruce"/>
    <s v="unknown"/>
    <s v="unknown"/>
    <n v="0"/>
    <m/>
    <s v="NA"/>
    <s v="NA"/>
    <s v="NA"/>
    <m/>
    <m/>
    <m/>
    <s v="NA"/>
    <s v="NA"/>
    <s v="NA"/>
    <s v="NA"/>
    <s v="NA"/>
    <s v="NA"/>
    <s v="NA"/>
    <m/>
    <n v="14"/>
    <n v="24"/>
    <n v="14"/>
    <n v="24"/>
    <n v="0"/>
    <m/>
    <n v="38"/>
    <s v="Probing"/>
    <m/>
    <n v="8"/>
    <n v="0"/>
  </r>
  <r>
    <s v="DSCN3231"/>
    <s v="M4R0417_13"/>
    <n v="13"/>
    <n v="1"/>
    <x v="6"/>
    <d v="2019-04-17T00:00:00"/>
    <s v="April"/>
    <s v="Spring"/>
    <d v="1899-12-30T01:09:00"/>
    <d v="1899-12-30T00:01:09"/>
    <x v="39"/>
    <s v="Overcast, light snow"/>
    <x v="15"/>
    <s v="Foraging"/>
    <s v="Spruce"/>
    <s v="unknown"/>
    <s v="unknown"/>
    <n v="0"/>
    <m/>
    <s v="NA"/>
    <s v="NA"/>
    <s v="NA"/>
    <m/>
    <m/>
    <m/>
    <s v="NA"/>
    <s v="NA"/>
    <s v="NA"/>
    <s v="NA"/>
    <s v="NA"/>
    <s v="NA"/>
    <s v="NA"/>
    <m/>
    <n v="46"/>
    <n v="15"/>
    <n v="46"/>
    <n v="15"/>
    <n v="0"/>
    <m/>
    <n v="61"/>
    <m/>
    <m/>
    <m/>
    <m/>
  </r>
  <r>
    <s v="DSCN3232"/>
    <s v="M4R0417_14"/>
    <n v="14"/>
    <n v="1"/>
    <x v="6"/>
    <d v="2019-04-17T00:00:00"/>
    <s v="April"/>
    <s v="Spring"/>
    <d v="1899-12-30T01:34:00"/>
    <d v="1899-12-30T00:01:34"/>
    <x v="57"/>
    <s v="Overcast, light snow"/>
    <x v="15"/>
    <s v="Foraging"/>
    <s v="Spruce"/>
    <s v="unknown"/>
    <s v="unknown"/>
    <n v="0"/>
    <m/>
    <s v="NA"/>
    <s v="NA"/>
    <s v="NA"/>
    <m/>
    <m/>
    <m/>
    <s v="NA"/>
    <s v="NA"/>
    <s v="NA"/>
    <s v="NA"/>
    <s v="NA"/>
    <s v="NA"/>
    <s v="NA"/>
    <m/>
    <n v="77"/>
    <n v="0"/>
    <n v="77"/>
    <n v="0"/>
    <n v="17"/>
    <m/>
    <n v="94"/>
    <s v="Searching"/>
    <m/>
    <m/>
    <m/>
  </r>
  <r>
    <s v="DSCN3210"/>
    <s v="M4R0417_2"/>
    <n v="2"/>
    <n v="1"/>
    <x v="6"/>
    <d v="2019-04-17T00:00:00"/>
    <s v="April"/>
    <s v="Spring"/>
    <d v="1899-12-30T00:37:00"/>
    <d v="1899-12-30T00:00:37"/>
    <x v="34"/>
    <s v="Overcast, light snow"/>
    <x v="15"/>
    <s v="Foraging"/>
    <s v="Spruce"/>
    <s v="unknown"/>
    <s v="unknown"/>
    <n v="0"/>
    <m/>
    <s v="NA"/>
    <s v="NA"/>
    <s v="NA"/>
    <m/>
    <m/>
    <m/>
    <s v="NA"/>
    <s v="NA"/>
    <s v="NA"/>
    <s v="NA"/>
    <s v="NA"/>
    <s v="NA"/>
    <s v="NA"/>
    <m/>
    <n v="26"/>
    <n v="0"/>
    <n v="26"/>
    <n v="0"/>
    <n v="0"/>
    <m/>
    <n v="26"/>
    <s v="Probing"/>
    <m/>
    <n v="4"/>
    <n v="0"/>
  </r>
  <r>
    <s v="DSCN3220"/>
    <s v="M4R0417_4"/>
    <n v="4"/>
    <n v="1"/>
    <x v="6"/>
    <d v="2019-04-17T00:00:00"/>
    <s v="April"/>
    <s v="Spring"/>
    <d v="1899-12-30T00:20:00"/>
    <d v="1899-12-30T00:00:20"/>
    <x v="38"/>
    <s v="Overcast, light snow"/>
    <x v="15"/>
    <s v="Foraging"/>
    <s v="NA"/>
    <s v="unknown"/>
    <n v="0"/>
    <n v="0"/>
    <m/>
    <s v="NA"/>
    <s v="NA"/>
    <s v="NA"/>
    <m/>
    <m/>
    <m/>
    <s v="NA"/>
    <s v="NA"/>
    <s v="NA"/>
    <s v="NA"/>
    <s v="NA"/>
    <s v="NA"/>
    <s v="NA"/>
    <m/>
    <n v="0"/>
    <n v="0"/>
    <n v="0"/>
    <n v="0"/>
    <n v="20"/>
    <m/>
    <n v="20"/>
    <m/>
    <m/>
    <m/>
    <m/>
  </r>
  <r>
    <s v="DSCN3340"/>
    <s v="M4R0419_3"/>
    <n v="3"/>
    <n v="1"/>
    <x v="6"/>
    <d v="2019-04-19T00:00:00"/>
    <s v="April"/>
    <s v="Spring"/>
    <d v="1899-12-30T00:15:00"/>
    <d v="1899-12-30T00:00:15"/>
    <x v="14"/>
    <s v="Partly cloudy"/>
    <x v="15"/>
    <s v="Foraging"/>
    <s v="Spruce"/>
    <s v="unknown"/>
    <s v="unknown"/>
    <n v="0"/>
    <m/>
    <s v="NA"/>
    <s v="NA"/>
    <s v="NA"/>
    <m/>
    <m/>
    <m/>
    <s v="NA"/>
    <s v="NA"/>
    <s v="NA"/>
    <s v="NA"/>
    <s v="NA"/>
    <s v="NA"/>
    <s v="NA"/>
    <s v="NA"/>
    <n v="0"/>
    <n v="15"/>
    <n v="15"/>
    <n v="0"/>
    <n v="0"/>
    <m/>
    <n v="15"/>
    <s v="Searching"/>
    <m/>
    <m/>
    <m/>
  </r>
  <r>
    <s v="DSCN3637"/>
    <s v="M4R0430_1"/>
    <n v="1"/>
    <n v="1"/>
    <x v="6"/>
    <d v="2019-04-30T00:00:00"/>
    <s v="April"/>
    <s v="Spring"/>
    <d v="1899-12-30T00:12:00"/>
    <d v="1899-12-30T00:00:12"/>
    <x v="61"/>
    <s v="Clear, full sun"/>
    <x v="15"/>
    <s v="Foraging"/>
    <s v="NA"/>
    <s v="unknown"/>
    <n v="0"/>
    <n v="0"/>
    <m/>
    <s v="NA"/>
    <s v="NA"/>
    <s v="NA"/>
    <m/>
    <m/>
    <m/>
    <s v="NA"/>
    <s v="NA"/>
    <s v="NA"/>
    <s v="NA"/>
    <s v="NA"/>
    <s v="NA"/>
    <s v="NA"/>
    <s v="NA"/>
    <n v="0"/>
    <n v="0"/>
    <n v="0"/>
    <n v="0"/>
    <n v="12"/>
    <m/>
    <n v="12"/>
    <s v="Searching"/>
    <m/>
    <m/>
    <m/>
  </r>
  <r>
    <s v="DSCN3664"/>
    <s v="M4R0430_14"/>
    <n v="14"/>
    <n v="1"/>
    <x v="6"/>
    <d v="2019-04-30T00:00:00"/>
    <s v="April"/>
    <s v="Spring"/>
    <d v="1899-12-30T01:01:00"/>
    <d v="1899-12-30T00:01:02"/>
    <x v="63"/>
    <s v="Clear, full sun"/>
    <x v="15"/>
    <s v="Foraging"/>
    <s v="NA"/>
    <s v="unknown"/>
    <n v="0"/>
    <n v="0"/>
    <m/>
    <s v="NA"/>
    <s v="NA"/>
    <s v="NA"/>
    <m/>
    <m/>
    <m/>
    <s v="NA"/>
    <s v="NA"/>
    <s v="NA"/>
    <s v="NA"/>
    <s v="NA"/>
    <s v="NA"/>
    <s v="NA"/>
    <s v="NA"/>
    <n v="0"/>
    <n v="0"/>
    <n v="0"/>
    <n v="0"/>
    <n v="61"/>
    <m/>
    <n v="61"/>
    <s v="Searching"/>
    <m/>
    <m/>
    <m/>
  </r>
  <r>
    <s v="DSCN3668"/>
    <s v="M4R0430_16"/>
    <n v="16"/>
    <n v="1"/>
    <x v="6"/>
    <d v="2019-04-30T00:00:00"/>
    <s v="April"/>
    <s v="Spring"/>
    <d v="1899-12-30T00:14:00"/>
    <d v="1899-12-30T00:02:25"/>
    <x v="112"/>
    <s v="Clear, full sun"/>
    <x v="15"/>
    <s v="Foraging"/>
    <s v="Spruce"/>
    <s v="unknown"/>
    <n v="0"/>
    <n v="0"/>
    <m/>
    <s v="NA"/>
    <s v="NA"/>
    <s v="NA"/>
    <m/>
    <m/>
    <m/>
    <s v="NA"/>
    <s v="NA"/>
    <s v="NA"/>
    <s v="NA"/>
    <s v="NA"/>
    <s v="NA"/>
    <s v="NA"/>
    <s v="NA"/>
    <n v="0"/>
    <n v="14"/>
    <n v="0"/>
    <n v="14"/>
    <n v="0"/>
    <m/>
    <n v="14"/>
    <s v="Fly catching"/>
    <s v="I realized later that what he was doing was flycatching. "/>
    <m/>
    <m/>
  </r>
  <r>
    <s v="DSCN3672"/>
    <s v="M4R0430_18"/>
    <n v="18"/>
    <n v="1"/>
    <x v="6"/>
    <d v="2019-04-30T00:00:00"/>
    <s v="April"/>
    <s v="Spring"/>
    <d v="1899-12-30T00:25:00"/>
    <d v="1899-12-30T00:00:25"/>
    <x v="15"/>
    <s v="Clear, full sun"/>
    <x v="15"/>
    <s v="Foraging"/>
    <s v="NA"/>
    <s v="unknown"/>
    <n v="0"/>
    <n v="0"/>
    <m/>
    <s v="NA"/>
    <s v="NA"/>
    <s v="NA"/>
    <m/>
    <m/>
    <m/>
    <s v="NA"/>
    <s v="NA"/>
    <s v="NA"/>
    <s v="NA"/>
    <s v="NA"/>
    <s v="NA"/>
    <s v="NA"/>
    <s v="NA"/>
    <n v="0"/>
    <n v="0"/>
    <n v="0"/>
    <n v="0"/>
    <n v="25"/>
    <m/>
    <n v="25"/>
    <s v="Searching"/>
    <m/>
    <m/>
    <m/>
  </r>
  <r>
    <s v="DSCN3673"/>
    <s v="M4R0430_19"/>
    <n v="19"/>
    <n v="1"/>
    <x v="6"/>
    <d v="2019-04-30T00:00:00"/>
    <s v="April"/>
    <s v="Spring"/>
    <d v="1899-12-30T00:08:00"/>
    <d v="1899-12-30T00:00:08"/>
    <x v="67"/>
    <s v="Clear, full sun"/>
    <x v="15"/>
    <s v="Foraging"/>
    <s v="NA"/>
    <s v="unknown"/>
    <n v="0"/>
    <n v="0"/>
    <m/>
    <s v="NA"/>
    <s v="NA"/>
    <s v="NA"/>
    <m/>
    <m/>
    <m/>
    <s v="NA"/>
    <s v="NA"/>
    <s v="NA"/>
    <s v="NA"/>
    <s v="NA"/>
    <s v="NA"/>
    <s v="NA"/>
    <s v="NA"/>
    <n v="0"/>
    <n v="0"/>
    <n v="0"/>
    <n v="0"/>
    <n v="8"/>
    <m/>
    <n v="8"/>
    <s v="Searching"/>
    <m/>
    <m/>
    <m/>
  </r>
  <r>
    <s v="DSCN3638"/>
    <s v="M4R0430_2"/>
    <n v="2"/>
    <n v="1"/>
    <x v="6"/>
    <d v="2019-04-30T00:00:00"/>
    <s v="April"/>
    <s v="Spring"/>
    <d v="1899-12-30T00:58:00"/>
    <d v="1899-12-30T00:00:58"/>
    <x v="60"/>
    <s v="Clear, full sun"/>
    <x v="15"/>
    <s v="Foraging"/>
    <s v="NA"/>
    <s v="unknown"/>
    <n v="0"/>
    <n v="0"/>
    <m/>
    <s v="NA"/>
    <s v="NA"/>
    <s v="NA"/>
    <m/>
    <m/>
    <m/>
    <s v="NA"/>
    <s v="NA"/>
    <s v="NA"/>
    <s v="NA"/>
    <s v="NA"/>
    <s v="NA"/>
    <s v="NA"/>
    <s v="NA"/>
    <n v="0"/>
    <n v="0"/>
    <n v="0"/>
    <n v="0"/>
    <n v="58"/>
    <m/>
    <n v="58"/>
    <s v="Searching"/>
    <m/>
    <m/>
    <m/>
  </r>
  <r>
    <s v="DSCN3678"/>
    <s v="M4R0430_20"/>
    <n v="20"/>
    <n v="1"/>
    <x v="6"/>
    <d v="2019-04-30T00:00:00"/>
    <s v="April"/>
    <s v="Spring"/>
    <d v="1899-12-30T00:11:00"/>
    <d v="1899-12-30T00:00:11"/>
    <x v="11"/>
    <s v="Clear, full sun"/>
    <x v="15"/>
    <s v="Foraging"/>
    <s v="Spruce"/>
    <s v="unknown"/>
    <n v="0"/>
    <n v="0"/>
    <m/>
    <s v="NA"/>
    <s v="NA"/>
    <s v="NA"/>
    <m/>
    <m/>
    <m/>
    <s v="NA"/>
    <s v="NA"/>
    <s v="NA"/>
    <s v="NA"/>
    <s v="NA"/>
    <s v="NA"/>
    <s v="NA"/>
    <s v="NA"/>
    <n v="0"/>
    <n v="9"/>
    <n v="0"/>
    <n v="9"/>
    <n v="0"/>
    <m/>
    <n v="9"/>
    <s v="Fly catching"/>
    <m/>
    <m/>
    <m/>
  </r>
  <r>
    <s v="DSCN2844"/>
    <s v="M2370403_10"/>
    <n v="10"/>
    <n v="1"/>
    <x v="9"/>
    <d v="2019-04-03T00:00:00"/>
    <s v="April"/>
    <s v="Spring"/>
    <d v="1899-12-30T01:04:00"/>
    <d v="1899-12-30T00:01:04"/>
    <x v="16"/>
    <m/>
    <x v="16"/>
    <s v="Foraging"/>
    <s v="Spruc, Aspen"/>
    <n v="1"/>
    <s v="unknown"/>
    <n v="0"/>
    <s v="Unknown"/>
    <s v="unknown"/>
    <s v="Exterior aspen branch"/>
    <s v="NA"/>
    <m/>
    <m/>
    <m/>
    <s v="NA"/>
    <s v="NA"/>
    <s v="NA"/>
    <s v="NA"/>
    <s v="NA"/>
    <s v="NA"/>
    <s v="NA"/>
    <m/>
    <n v="30"/>
    <n v="0"/>
    <n v="0"/>
    <n v="30"/>
    <n v="0"/>
    <m/>
    <n v="30"/>
    <s v="Searching"/>
    <m/>
    <m/>
    <m/>
  </r>
  <r>
    <s v="DSCN2841"/>
    <s v="M230403_9"/>
    <n v="9"/>
    <n v="1"/>
    <x v="9"/>
    <d v="2019-04-03T00:00:00"/>
    <s v="April"/>
    <s v="Spring"/>
    <d v="1899-12-30T00:20:00"/>
    <d v="1899-12-30T00:00:20"/>
    <x v="38"/>
    <m/>
    <x v="16"/>
    <s v="Foraging"/>
    <s v="Spruce"/>
    <n v="1"/>
    <s v="unknown"/>
    <n v="0"/>
    <s v="Unknown"/>
    <s v="unknown"/>
    <s v="Exterior bare spruce branch"/>
    <s v="NA"/>
    <m/>
    <m/>
    <m/>
    <s v="NA"/>
    <s v="NA"/>
    <s v="NA"/>
    <s v="NA"/>
    <s v="NA"/>
    <s v="NA"/>
    <s v="NA"/>
    <m/>
    <n v="6"/>
    <n v="0"/>
    <n v="0"/>
    <n v="6"/>
    <n v="0"/>
    <m/>
    <n v="6"/>
    <s v="Searching"/>
    <m/>
    <m/>
    <m/>
  </r>
  <r>
    <s v="DSCN2819"/>
    <s v="M2370403_1"/>
    <n v="1"/>
    <n v="1"/>
    <x v="9"/>
    <d v="2019-04-03T00:00:00"/>
    <s v="April"/>
    <s v="Spring"/>
    <d v="1899-12-30T00:54:00"/>
    <d v="1899-12-30T00:00:54"/>
    <x v="96"/>
    <m/>
    <x v="16"/>
    <s v="Food handling/Foraging"/>
    <s v="Spruce"/>
    <n v="1"/>
    <s v="unknown"/>
    <n v="0"/>
    <s v="Unknown"/>
    <s v="unknown"/>
    <s v="Exterior bare spruce branch"/>
    <s v="NA"/>
    <m/>
    <m/>
    <m/>
    <s v="NA"/>
    <s v="NA"/>
    <s v="NA"/>
    <s v="NA"/>
    <s v="NA"/>
    <s v="NA"/>
    <s v="NA"/>
    <m/>
    <n v="25"/>
    <n v="0"/>
    <n v="0"/>
    <n v="25"/>
    <n v="0"/>
    <m/>
    <n v="25"/>
    <s v="Searching"/>
    <m/>
    <m/>
    <m/>
  </r>
  <r>
    <s v="DSCN2852"/>
    <s v="M2370403_18"/>
    <n v="18"/>
    <n v="1"/>
    <x v="9"/>
    <d v="2019-04-03T00:00:00"/>
    <s v="April"/>
    <s v="Spring"/>
    <d v="1899-12-30T00:16:00"/>
    <d v="1899-12-30T00:00:16"/>
    <x v="47"/>
    <m/>
    <x v="16"/>
    <s v="Foraging"/>
    <s v="Spruce"/>
    <n v="1"/>
    <n v="1"/>
    <n v="0"/>
    <s v="Unknown"/>
    <s v="unknown"/>
    <s v="Exterior spruce branch stuck to witch hair"/>
    <s v="NA"/>
    <m/>
    <m/>
    <m/>
    <s v="NA"/>
    <s v="NA"/>
    <s v="NA"/>
    <s v="NA"/>
    <s v="NA"/>
    <s v="DID NOT COLLECT"/>
    <s v="DID NOT COLLECT"/>
    <m/>
    <n v="13"/>
    <n v="0"/>
    <n v="0"/>
    <n v="13"/>
    <n v="0"/>
    <m/>
    <n v="13"/>
    <s v="Searching"/>
    <m/>
    <m/>
    <m/>
  </r>
  <r>
    <s v="DSCN2845"/>
    <s v="M2370403_11"/>
    <n v="11"/>
    <n v="1"/>
    <x v="9"/>
    <d v="2019-04-03T00:00:00"/>
    <s v="April"/>
    <s v="Spring"/>
    <d v="1899-12-30T01:48:00"/>
    <d v="1899-12-30T00:01:48"/>
    <x v="102"/>
    <m/>
    <x v="16"/>
    <s v="Foraging"/>
    <s v="Spruce"/>
    <n v="1"/>
    <s v="unknown"/>
    <n v="0"/>
    <s v="Unknown"/>
    <s v="unknown"/>
    <s v="Exterior spruce branch under bark"/>
    <s v="NA"/>
    <m/>
    <m/>
    <m/>
    <s v="NA"/>
    <s v="NA"/>
    <s v="NA"/>
    <s v="NA"/>
    <s v="NA"/>
    <s v="NA"/>
    <s v="NA"/>
    <m/>
    <n v="13"/>
    <n v="28"/>
    <n v="13"/>
    <n v="28"/>
    <n v="0"/>
    <m/>
    <n v="41"/>
    <s v="Searching/probing"/>
    <s v="By editing the video and lightening up the brightness I could see that it did not make a chase B&amp;Ut rather aquired food.  "/>
    <n v="2"/>
    <n v="0"/>
  </r>
  <r>
    <s v="DSCN2849"/>
    <s v="M2370403_15"/>
    <n v="15"/>
    <n v="1"/>
    <x v="9"/>
    <d v="2019-04-03T00:00:00"/>
    <s v="April"/>
    <s v="Spring"/>
    <d v="1899-12-30T01:28:00"/>
    <d v="1899-12-30T00:01:28"/>
    <x v="86"/>
    <m/>
    <x v="16"/>
    <s v="Foraging"/>
    <s v="Spruce"/>
    <n v="1"/>
    <n v="1"/>
    <n v="0"/>
    <s v="Unknown"/>
    <s v="unknown"/>
    <s v="Interior bare spruce branch on witch hair"/>
    <m/>
    <m/>
    <m/>
    <m/>
    <s v="NA"/>
    <s v="NA"/>
    <s v="NA"/>
    <s v="NA"/>
    <s v="NA"/>
    <n v="63.72354"/>
    <n v="148.88695000000001"/>
    <m/>
    <n v="75"/>
    <n v="0"/>
    <n v="75"/>
    <n v="0"/>
    <n v="0"/>
    <m/>
    <n v="75"/>
    <s v="Searching/probing"/>
    <s v="Maybe insect?  Or plant B&amp;Ud?"/>
    <n v="8"/>
    <n v="0"/>
  </r>
  <r>
    <s v="DSCN2835"/>
    <s v="M2370403_4"/>
    <n v="4"/>
    <n v="1"/>
    <x v="9"/>
    <d v="2019-04-03T00:00:00"/>
    <s v="April"/>
    <s v="Spring"/>
    <d v="1899-12-30T00:37:00"/>
    <d v="1899-12-30T00:00:37"/>
    <x v="34"/>
    <m/>
    <x v="16"/>
    <s v="Foraging"/>
    <s v="Spruce"/>
    <n v="1"/>
    <s v="unknown"/>
    <n v="0"/>
    <s v="Unknown"/>
    <s v="unknown"/>
    <s v="Interior spruce branch bare bark"/>
    <s v="NA"/>
    <m/>
    <m/>
    <m/>
    <s v="NA"/>
    <s v="NA"/>
    <s v="NA"/>
    <s v="NA"/>
    <s v="NA"/>
    <s v="NA"/>
    <s v="NA"/>
    <m/>
    <n v="13"/>
    <n v="0"/>
    <n v="0"/>
    <n v="13"/>
    <n v="0"/>
    <m/>
    <n v="13"/>
    <s v="Searching"/>
    <m/>
    <m/>
    <m/>
  </r>
  <r>
    <s v="DSCN2837"/>
    <s v="M2370403_6"/>
    <n v="6"/>
    <n v="1"/>
    <x v="9"/>
    <d v="2019-04-03T00:00:00"/>
    <s v="April"/>
    <s v="Spring"/>
    <d v="1899-12-30T00:38:00"/>
    <d v="1899-12-30T00:00:38"/>
    <x v="55"/>
    <m/>
    <x v="16"/>
    <s v="Foraging"/>
    <s v="Spruce"/>
    <n v="1"/>
    <s v="unknown"/>
    <n v="0"/>
    <s v="Unknown"/>
    <s v="unknown"/>
    <s v="uknown"/>
    <s v="NA"/>
    <m/>
    <m/>
    <m/>
    <s v="NA"/>
    <s v="NA"/>
    <s v="NA"/>
    <s v="NA"/>
    <s v="NA"/>
    <s v="NA"/>
    <s v="NA"/>
    <m/>
    <n v="13"/>
    <n v="0"/>
    <n v="0"/>
    <n v="13"/>
    <n v="0"/>
    <m/>
    <n v="13"/>
    <s v="Searching"/>
    <m/>
    <m/>
    <m/>
  </r>
  <r>
    <s v="DSCN2849"/>
    <s v="M2370403_15"/>
    <n v="15"/>
    <n v="1"/>
    <x v="9"/>
    <d v="2019-04-03T00:00:00"/>
    <s v="April"/>
    <s v="Spring"/>
    <d v="1899-12-30T01:28:00"/>
    <d v="1899-12-30T00:01:38"/>
    <x v="7"/>
    <m/>
    <x v="16"/>
    <s v="Foraging"/>
    <s v="Spruce"/>
    <n v="1"/>
    <n v="1"/>
    <n v="0"/>
    <s v="Unknown"/>
    <s v="unknown"/>
    <s v="Under bark of spruce trunk"/>
    <s v="NA"/>
    <m/>
    <m/>
    <m/>
    <s v="NA"/>
    <s v="NA"/>
    <s v="NA"/>
    <s v="NA"/>
    <s v="NA"/>
    <n v="63.72354"/>
    <n v="148.88695000000001"/>
    <m/>
    <n v="75"/>
    <n v="0"/>
    <n v="75"/>
    <n v="0"/>
    <n v="0"/>
    <m/>
    <n v="75"/>
    <s v="Searching/probing"/>
    <s v="Recovers at least three items from the first cache. Maybe dried berries? Tough to say."/>
    <n v="8"/>
    <n v="0"/>
  </r>
  <r>
    <s v="DSCN2850"/>
    <s v="M2370403_16"/>
    <n v="16"/>
    <n v="1"/>
    <x v="9"/>
    <d v="2019-04-03T00:00:00"/>
    <s v="April"/>
    <s v="Spring"/>
    <d v="1899-12-30T00:16:00"/>
    <d v="1899-12-30T00:00:16"/>
    <x v="47"/>
    <m/>
    <x v="16"/>
    <s v="Foraging"/>
    <s v="Spruce"/>
    <n v="1"/>
    <s v="unknown"/>
    <n v="0"/>
    <s v="Unknown"/>
    <s v="unknown"/>
    <s v="Under bark of spruce trunk"/>
    <s v="NA"/>
    <m/>
    <m/>
    <m/>
    <s v="NA"/>
    <s v="NA"/>
    <s v="NA"/>
    <s v="NA"/>
    <s v="NA"/>
    <s v="NA"/>
    <s v="NA"/>
    <m/>
    <n v="0"/>
    <n v="0"/>
    <n v="0"/>
    <n v="0"/>
    <n v="0"/>
    <m/>
    <n v="0"/>
    <m/>
    <s v="Missed acquisition"/>
    <m/>
    <m/>
  </r>
  <r>
    <s v="DSCN2839"/>
    <s v="M2370403_8"/>
    <n v="8"/>
    <n v="1"/>
    <x v="9"/>
    <d v="2019-04-03T00:00:00"/>
    <s v="April"/>
    <s v="Spring"/>
    <d v="1899-12-30T01:04:00"/>
    <d v="1899-12-30T00:01:04"/>
    <x v="16"/>
    <m/>
    <x v="16"/>
    <s v="Foraging"/>
    <s v="Spruce"/>
    <n v="2"/>
    <n v="1"/>
    <n v="0"/>
    <s v="Unknown"/>
    <s v="unknown"/>
    <s v="Exterior bare spruce branch"/>
    <s v="NA"/>
    <m/>
    <m/>
    <m/>
    <s v="NA"/>
    <s v="NA"/>
    <s v="NA"/>
    <s v="NA"/>
    <s v="NA"/>
    <n v="63.723619999999997"/>
    <n v="148.88756000000001"/>
    <m/>
    <n v="38"/>
    <n v="0"/>
    <n v="0"/>
    <n v="38"/>
    <n v="0"/>
    <m/>
    <n v="38"/>
    <s v="Searching/probing"/>
    <m/>
    <n v="2"/>
    <n v="0"/>
  </r>
  <r>
    <s v="DSCN2846"/>
    <s v="M2370403_12"/>
    <n v="12"/>
    <n v="1"/>
    <x v="9"/>
    <d v="2019-04-03T00:00:00"/>
    <s v="April"/>
    <s v="Spring"/>
    <d v="1899-12-30T00:13:00"/>
    <d v="1899-12-30T00:00:13"/>
    <x v="64"/>
    <m/>
    <x v="16"/>
    <s v="Foraging"/>
    <s v="Spruce"/>
    <n v="0"/>
    <n v="0"/>
    <n v="0"/>
    <m/>
    <s v="NA"/>
    <s v="NA"/>
    <s v="NA"/>
    <m/>
    <m/>
    <m/>
    <s v="NA"/>
    <s v="NA"/>
    <s v="NA"/>
    <s v="NA"/>
    <s v="NA"/>
    <s v="NA"/>
    <s v="NA"/>
    <m/>
    <n v="11"/>
    <n v="0"/>
    <n v="5"/>
    <n v="6"/>
    <n v="0"/>
    <m/>
    <n v="11"/>
    <s v="Searching"/>
    <m/>
    <m/>
    <m/>
  </r>
  <r>
    <s v="DSCN2851"/>
    <s v="M2370403_17"/>
    <n v="17"/>
    <n v="1"/>
    <x v="9"/>
    <d v="2019-04-03T00:00:00"/>
    <s v="April"/>
    <s v="Spring"/>
    <d v="1899-12-30T00:23:00"/>
    <d v="1899-12-30T00:00:23"/>
    <x v="85"/>
    <m/>
    <x v="16"/>
    <s v="Foraging"/>
    <s v="Spruce"/>
    <n v="0"/>
    <n v="0"/>
    <n v="0"/>
    <m/>
    <s v="NA"/>
    <s v="NA"/>
    <s v="NA"/>
    <m/>
    <m/>
    <m/>
    <s v="NA"/>
    <s v="NA"/>
    <s v="NA"/>
    <s v="NA"/>
    <s v="NA"/>
    <s v="NA"/>
    <s v="NA"/>
    <m/>
    <n v="23"/>
    <n v="0"/>
    <n v="23"/>
    <n v="0"/>
    <n v="0"/>
    <m/>
    <n v="23"/>
    <s v="Searching"/>
    <m/>
    <m/>
    <m/>
  </r>
  <r>
    <s v="DSCN2833"/>
    <s v="M2370403_2"/>
    <n v="2"/>
    <n v="1"/>
    <x v="9"/>
    <d v="2019-04-03T00:00:00"/>
    <s v="April"/>
    <s v="Spring"/>
    <d v="1899-12-30T00:33:00"/>
    <d v="1899-12-30T00:00:33"/>
    <x v="8"/>
    <m/>
    <x v="16"/>
    <s v="Foraging"/>
    <s v="Spruce"/>
    <n v="0"/>
    <n v="0"/>
    <n v="0"/>
    <m/>
    <s v="NA"/>
    <s v="NA"/>
    <s v="NA"/>
    <m/>
    <m/>
    <m/>
    <s v="NA"/>
    <s v="NA"/>
    <s v="NA"/>
    <s v="NA"/>
    <s v="NA"/>
    <s v="NA"/>
    <s v="NA"/>
    <m/>
    <n v="33"/>
    <n v="0"/>
    <n v="0"/>
    <n v="33"/>
    <n v="0"/>
    <m/>
    <n v="33"/>
    <s v="Searching"/>
    <m/>
    <m/>
    <m/>
  </r>
  <r>
    <s v="DSCN2854"/>
    <s v="M2370403_20"/>
    <n v="20"/>
    <n v="1"/>
    <x v="9"/>
    <d v="2019-04-03T00:00:00"/>
    <s v="April"/>
    <s v="Spring"/>
    <d v="1899-12-30T00:22:00"/>
    <d v="1899-12-30T00:00:22"/>
    <x v="77"/>
    <m/>
    <x v="16"/>
    <s v="Foraging"/>
    <s v="Spruce"/>
    <n v="0"/>
    <n v="0"/>
    <n v="0"/>
    <m/>
    <s v="NA"/>
    <s v="NA"/>
    <s v="NA"/>
    <m/>
    <m/>
    <m/>
    <s v="NA"/>
    <s v="NA"/>
    <s v="NA"/>
    <s v="NA"/>
    <s v="NA"/>
    <s v="NA"/>
    <s v="NA"/>
    <m/>
    <n v="21"/>
    <n v="0"/>
    <n v="0"/>
    <n v="21"/>
    <n v="0"/>
    <m/>
    <n v="21"/>
    <s v="Searching"/>
    <m/>
    <m/>
    <m/>
  </r>
  <r>
    <s v="DSCN2834"/>
    <s v="M2370403_3"/>
    <n v="3"/>
    <n v="1"/>
    <x v="9"/>
    <d v="2019-04-03T00:00:00"/>
    <s v="April"/>
    <s v="Spring"/>
    <d v="1899-12-30T00:38:00"/>
    <d v="1899-12-30T00:00:38"/>
    <x v="55"/>
    <m/>
    <x v="16"/>
    <s v="Foraging"/>
    <s v="Spruce"/>
    <n v="0"/>
    <n v="0"/>
    <n v="0"/>
    <m/>
    <s v="NA"/>
    <s v="NA"/>
    <s v="NA"/>
    <m/>
    <m/>
    <m/>
    <s v="NA"/>
    <s v="NA"/>
    <s v="NA"/>
    <s v="NA"/>
    <s v="NA"/>
    <s v="NA"/>
    <s v="NA"/>
    <m/>
    <n v="38"/>
    <n v="0"/>
    <n v="17"/>
    <n v="21"/>
    <n v="0"/>
    <m/>
    <n v="38"/>
    <s v="Searching"/>
    <m/>
    <m/>
    <m/>
  </r>
  <r>
    <s v="DSCN2836"/>
    <s v="M2370403_5"/>
    <n v="5"/>
    <n v="1"/>
    <x v="9"/>
    <d v="2019-04-03T00:00:00"/>
    <s v="April"/>
    <s v="Spring"/>
    <d v="1899-12-30T00:08:00"/>
    <d v="1899-12-30T00:08:00"/>
    <x v="113"/>
    <m/>
    <x v="16"/>
    <s v="Foraging"/>
    <s v="Spruce"/>
    <n v="0"/>
    <n v="0"/>
    <n v="0"/>
    <m/>
    <s v="NA"/>
    <s v="NA"/>
    <s v="NA"/>
    <m/>
    <m/>
    <m/>
    <s v="NA"/>
    <s v="NA"/>
    <s v="NA"/>
    <s v="NA"/>
    <s v="NA"/>
    <s v="NA"/>
    <s v="NA"/>
    <m/>
    <n v="8"/>
    <n v="0"/>
    <n v="0"/>
    <n v="8"/>
    <n v="0"/>
    <m/>
    <n v="8"/>
    <s v="Searching"/>
    <m/>
    <m/>
    <m/>
  </r>
  <r>
    <s v="DSCN2838"/>
    <s v="M2370403_7"/>
    <n v="7"/>
    <n v="1"/>
    <x v="9"/>
    <d v="2019-04-03T00:00:00"/>
    <s v="April"/>
    <s v="Spring"/>
    <d v="1899-12-30T00:18:00"/>
    <d v="1899-12-30T00:00:18"/>
    <x v="13"/>
    <m/>
    <x v="16"/>
    <s v="Foraging"/>
    <s v="Spruce"/>
    <n v="0"/>
    <n v="0"/>
    <n v="0"/>
    <m/>
    <s v="NA"/>
    <s v="NA"/>
    <s v="NA"/>
    <m/>
    <m/>
    <m/>
    <s v="NA"/>
    <s v="NA"/>
    <s v="NA"/>
    <s v="NA"/>
    <s v="NA"/>
    <s v="NA"/>
    <s v="NA"/>
    <m/>
    <n v="18"/>
    <n v="0"/>
    <n v="18"/>
    <n v="0"/>
    <n v="0"/>
    <m/>
    <n v="18"/>
    <s v="Searching"/>
    <m/>
    <m/>
    <m/>
  </r>
  <r>
    <s v="DSCN3018"/>
    <s v="M2370409_6"/>
    <n v="6"/>
    <n v="1"/>
    <x v="9"/>
    <d v="2019-04-09T00:00:00"/>
    <s v="April"/>
    <s v="Spring"/>
    <d v="1899-12-30T00:37:00"/>
    <d v="1899-12-30T00:00:37"/>
    <x v="34"/>
    <m/>
    <x v="16"/>
    <s v="Foraging"/>
    <s v="NA"/>
    <n v="1"/>
    <n v="0"/>
    <n v="0"/>
    <s v="Unknown"/>
    <s v="unknown"/>
    <s v="NA"/>
    <s v="NA"/>
    <m/>
    <m/>
    <m/>
    <s v="NA"/>
    <s v="NA"/>
    <s v="NA"/>
    <s v="NA"/>
    <s v="NA"/>
    <s v="NA"/>
    <s v="NA"/>
    <m/>
    <n v="0"/>
    <n v="0"/>
    <n v="0"/>
    <n v="0"/>
    <n v="15"/>
    <m/>
    <n v="15"/>
    <m/>
    <m/>
    <m/>
    <m/>
  </r>
  <r>
    <s v="DSCN3012"/>
    <s v="M2370409_2"/>
    <n v="2"/>
    <n v="1"/>
    <x v="9"/>
    <d v="2019-04-09T00:00:00"/>
    <s v="April"/>
    <s v="Spring"/>
    <d v="1899-12-30T01:36:00"/>
    <d v="1899-12-30T00:01:36"/>
    <x v="81"/>
    <m/>
    <x v="16"/>
    <s v="Foraging"/>
    <s v="NA"/>
    <n v="0"/>
    <n v="0"/>
    <n v="0"/>
    <m/>
    <s v="NA"/>
    <s v="NA"/>
    <s v="NA"/>
    <m/>
    <m/>
    <m/>
    <s v="NA"/>
    <s v="NA"/>
    <s v="NA"/>
    <s v="NA"/>
    <s v="NA"/>
    <s v="NA"/>
    <s v="NA"/>
    <m/>
    <n v="108"/>
    <n v="0"/>
    <n v="108"/>
    <n v="0"/>
    <n v="28"/>
    <m/>
    <n v="136"/>
    <s v="Searching"/>
    <m/>
    <m/>
    <m/>
  </r>
  <r>
    <s v="DSCN3016"/>
    <s v="M2370409_5"/>
    <n v="5"/>
    <n v="1"/>
    <x v="9"/>
    <d v="2019-04-09T00:00:00"/>
    <s v="April"/>
    <s v="Spring"/>
    <d v="1899-12-30T00:39:00"/>
    <d v="1899-12-30T00:00:39"/>
    <x v="1"/>
    <m/>
    <x v="16"/>
    <s v="Foraging"/>
    <s v="NA"/>
    <n v="0"/>
    <n v="0"/>
    <n v="0"/>
    <m/>
    <s v="NA"/>
    <s v="NA"/>
    <s v="NA"/>
    <m/>
    <m/>
    <m/>
    <s v="NA"/>
    <s v="NA"/>
    <s v="NA"/>
    <s v="NA"/>
    <s v="NA"/>
    <s v="NA"/>
    <s v="NA"/>
    <m/>
    <n v="0"/>
    <n v="0"/>
    <n v="0"/>
    <n v="0"/>
    <n v="36"/>
    <m/>
    <n v="36"/>
    <s v="Searching"/>
    <m/>
    <m/>
    <m/>
  </r>
  <r>
    <m/>
    <s v="M2370415_10"/>
    <n v="10"/>
    <n v="1"/>
    <x v="9"/>
    <d v="2019-04-15T00:00:00"/>
    <s v="April"/>
    <s v="Spring"/>
    <d v="1899-12-30T01:00:00"/>
    <d v="1899-12-30T00:01:00"/>
    <x v="79"/>
    <s v="Partly cloudy"/>
    <x v="16"/>
    <s v="Foraging"/>
    <s v="NA"/>
    <n v="1"/>
    <n v="0"/>
    <n v="0"/>
    <s v="Unknown"/>
    <s v="unknown"/>
    <s v="Ground"/>
    <s v="NA"/>
    <m/>
    <m/>
    <m/>
    <s v="NA"/>
    <s v="NA"/>
    <s v="NA"/>
    <s v="NA"/>
    <s v="NA"/>
    <s v="NA"/>
    <s v="NA"/>
    <m/>
    <n v="0"/>
    <n v="0"/>
    <n v="0"/>
    <n v="0"/>
    <n v="21"/>
    <m/>
    <n v="21"/>
    <s v="Searching"/>
    <m/>
    <m/>
    <m/>
  </r>
  <r>
    <s v="DSCN3125"/>
    <s v="M2370415_1"/>
    <n v="1"/>
    <n v="1"/>
    <x v="9"/>
    <d v="2019-04-15T00:00:00"/>
    <s v="April"/>
    <s v="Spring"/>
    <d v="1899-12-30T00:19:00"/>
    <d v="1899-12-30T00:00:19"/>
    <x v="17"/>
    <s v="Partly cloudy"/>
    <x v="16"/>
    <s v="Foraging"/>
    <s v="NA"/>
    <n v="1"/>
    <n v="0"/>
    <n v="0"/>
    <s v="Unknown"/>
    <s v="unknown"/>
    <s v="Ground"/>
    <s v="NA"/>
    <m/>
    <m/>
    <m/>
    <s v="NA"/>
    <s v="NA"/>
    <s v="NA"/>
    <s v="NA"/>
    <s v="NA"/>
    <s v="NA"/>
    <s v="NA"/>
    <m/>
    <n v="0"/>
    <n v="0"/>
    <n v="0"/>
    <n v="0"/>
    <n v="10"/>
    <m/>
    <n v="10"/>
    <s v="Searching"/>
    <m/>
    <m/>
    <m/>
  </r>
  <r>
    <s v="DSCN3147"/>
    <s v="M2370415_14"/>
    <n v="14"/>
    <n v="1"/>
    <x v="9"/>
    <d v="2019-04-15T00:00:00"/>
    <s v="April"/>
    <s v="Spring"/>
    <d v="1899-12-30T02:11:00"/>
    <d v="1899-12-30T00:02:11"/>
    <x v="114"/>
    <s v="Partly cloudy"/>
    <x v="16"/>
    <s v="Foraging"/>
    <s v="NA"/>
    <n v="1"/>
    <n v="0"/>
    <n v="0"/>
    <s v="Unknown"/>
    <s v="unknown"/>
    <s v="Ground"/>
    <s v="NA"/>
    <m/>
    <m/>
    <m/>
    <s v="NA"/>
    <s v="NA"/>
    <s v="NA"/>
    <s v="NA"/>
    <s v="NA"/>
    <s v="NA"/>
    <s v="NA"/>
    <m/>
    <n v="0"/>
    <n v="0"/>
    <n v="0"/>
    <n v="0"/>
    <n v="29"/>
    <m/>
    <n v="29"/>
    <s v="Searching"/>
    <m/>
    <m/>
    <m/>
  </r>
  <r>
    <s v="DSCN3128"/>
    <s v="M2370415_2"/>
    <n v="2"/>
    <n v="1"/>
    <x v="9"/>
    <d v="2019-04-15T00:00:00"/>
    <s v="April"/>
    <s v="Spring"/>
    <d v="1899-12-30T02:20:00"/>
    <d v="1899-12-30T00:02:20"/>
    <x v="91"/>
    <s v="Partly cloudy"/>
    <x v="16"/>
    <s v="Foraging"/>
    <s v="NA"/>
    <n v="1"/>
    <n v="0"/>
    <n v="0"/>
    <s v="Unknown"/>
    <s v="unknown"/>
    <s v="Ground"/>
    <s v="NA"/>
    <m/>
    <m/>
    <m/>
    <s v="NA"/>
    <s v="NA"/>
    <s v="NA"/>
    <s v="NA"/>
    <s v="NA"/>
    <s v="NA"/>
    <s v="NA"/>
    <m/>
    <n v="0"/>
    <n v="0"/>
    <n v="0"/>
    <n v="0"/>
    <n v="3"/>
    <m/>
    <n v="3"/>
    <s v="Searching"/>
    <m/>
    <m/>
    <m/>
  </r>
  <r>
    <s v="DSCN3135"/>
    <s v="M2370415_5"/>
    <n v="5"/>
    <n v="1"/>
    <x v="9"/>
    <d v="2019-04-15T00:00:00"/>
    <s v="April"/>
    <s v="Spring"/>
    <d v="1899-12-30T00:05:00"/>
    <d v="1899-12-30T00:00:05"/>
    <x v="72"/>
    <s v="Partly cloudy"/>
    <x v="16"/>
    <s v="Foraging"/>
    <s v="NA"/>
    <n v="1"/>
    <n v="0"/>
    <n v="0"/>
    <s v="Unknown"/>
    <s v="unknown"/>
    <s v="Ground"/>
    <s v="NA"/>
    <m/>
    <m/>
    <m/>
    <s v="NA"/>
    <s v="NA"/>
    <s v="NA"/>
    <s v="NA"/>
    <s v="NA"/>
    <s v="NA"/>
    <s v="NA"/>
    <m/>
    <n v="0"/>
    <n v="0"/>
    <n v="0"/>
    <n v="0"/>
    <n v="0"/>
    <m/>
    <n v="0"/>
    <m/>
    <s v="Missed acquisition"/>
    <m/>
    <m/>
  </r>
  <r>
    <s v="DSCN3129"/>
    <s v="M2370415_3"/>
    <n v="3"/>
    <n v="1"/>
    <x v="9"/>
    <d v="2019-04-15T00:00:00"/>
    <s v="April"/>
    <s v="Spring"/>
    <d v="1899-12-30T01:30:00"/>
    <d v="1899-12-30T00:01:30"/>
    <x v="115"/>
    <s v="Partly cloudy"/>
    <x v="16"/>
    <s v="Foraging"/>
    <s v="Spruce"/>
    <n v="1"/>
    <s v="unknown"/>
    <n v="0"/>
    <s v="Unknown"/>
    <s v="unknown"/>
    <s v="Spruce trunk under bark"/>
    <s v="NA"/>
    <m/>
    <m/>
    <m/>
    <s v="NA"/>
    <s v="NA"/>
    <s v="NA"/>
    <s v="NA"/>
    <s v="NA"/>
    <s v="NA"/>
    <s v="NA"/>
    <m/>
    <n v="48"/>
    <n v="0"/>
    <n v="48"/>
    <n v="0"/>
    <n v="0"/>
    <m/>
    <n v="48"/>
    <s v="Searching/probing"/>
    <m/>
    <n v="10"/>
    <n v="0"/>
  </r>
  <r>
    <s v="DSCN3141"/>
    <s v="M2370415_9"/>
    <n v="9"/>
    <n v="1"/>
    <x v="9"/>
    <d v="2019-04-15T00:00:00"/>
    <s v="April"/>
    <s v="Spring"/>
    <d v="1899-12-30T00:31:00"/>
    <d v="1899-12-30T00:00:31"/>
    <x v="45"/>
    <s v="Partly cloudy"/>
    <x v="16"/>
    <s v="Foraging"/>
    <s v="Spruce"/>
    <n v="2"/>
    <s v="unknown"/>
    <n v="0"/>
    <s v="Unknown"/>
    <s v="unknown"/>
    <s v="Exterior spruce branch under bark"/>
    <s v="NA"/>
    <m/>
    <m/>
    <m/>
    <s v="NA"/>
    <s v="NA"/>
    <s v="NA"/>
    <s v="NA"/>
    <s v="NA"/>
    <s v="NA"/>
    <s v="NA"/>
    <m/>
    <n v="31"/>
    <n v="0"/>
    <n v="0"/>
    <n v="31"/>
    <n v="0"/>
    <m/>
    <n v="31"/>
    <s v="Searching"/>
    <m/>
    <m/>
    <m/>
  </r>
  <r>
    <s v="DSCN3129"/>
    <s v="M2370415_3"/>
    <n v="3"/>
    <n v="2"/>
    <x v="9"/>
    <d v="2019-04-15T00:00:00"/>
    <s v="April"/>
    <s v="Spring"/>
    <d v="1899-12-30T01:30:00"/>
    <d v="1899-12-30T00:01:30"/>
    <x v="115"/>
    <s v="Partly cloudy"/>
    <x v="16"/>
    <s v="Foraging"/>
    <s v="Spruce"/>
    <n v="1"/>
    <n v="0"/>
    <n v="0"/>
    <s v="Mushroom"/>
    <s v="Mushroom (squirrel cache)"/>
    <s v="Exterior bare spruce branch"/>
    <s v="NA"/>
    <m/>
    <m/>
    <m/>
    <s v="NA"/>
    <s v="NA"/>
    <s v="NA"/>
    <s v="NA"/>
    <s v="NA"/>
    <s v="NA"/>
    <s v="NA"/>
    <m/>
    <n v="0"/>
    <n v="7"/>
    <n v="0"/>
    <n v="7"/>
    <n v="0"/>
    <m/>
    <n v="7"/>
    <s v="Searching"/>
    <s v="Recovered whole cached mushroom. Moved it to another tree and left.  Did not formally cache it. "/>
    <m/>
    <m/>
  </r>
  <r>
    <s v="DSCN3154"/>
    <s v="M2370415_18"/>
    <n v="18"/>
    <n v="1"/>
    <x v="9"/>
    <d v="2019-04-15T00:00:00"/>
    <s v="April"/>
    <s v="Spring"/>
    <d v="1899-12-30T00:44:00"/>
    <d v="1899-12-30T00:00:44"/>
    <x v="37"/>
    <s v="Partly cloudy"/>
    <x v="16"/>
    <s v="Foraging"/>
    <s v="NA"/>
    <n v="1"/>
    <n v="0"/>
    <n v="0"/>
    <s v="Insect"/>
    <s v="Insect (grub/caterpillar)"/>
    <s v="Ground"/>
    <s v="NA"/>
    <m/>
    <m/>
    <m/>
    <s v="NA"/>
    <s v="NA"/>
    <s v="NA"/>
    <s v="NA"/>
    <s v="NA"/>
    <s v="NA"/>
    <s v="NA"/>
    <m/>
    <n v="0"/>
    <n v="0"/>
    <n v="0"/>
    <n v="0"/>
    <n v="44"/>
    <m/>
    <n v="44"/>
    <s v="Searching"/>
    <m/>
    <m/>
    <m/>
  </r>
  <r>
    <s v="DSCN3137"/>
    <s v="M2370415_7"/>
    <n v="7"/>
    <n v="1"/>
    <x v="9"/>
    <d v="2019-04-15T00:00:00"/>
    <s v="April"/>
    <s v="Spring"/>
    <d v="1899-12-30T00:40:00"/>
    <d v="1899-12-30T00:00:04"/>
    <x v="109"/>
    <s v="Partly cloudy"/>
    <x v="16"/>
    <s v="Foraging"/>
    <s v="NA"/>
    <n v="1"/>
    <n v="0"/>
    <n v="0"/>
    <s v="Animal flesh"/>
    <s v="Animal flesh (snowshoe hare)"/>
    <s v="Ground"/>
    <s v="NA"/>
    <m/>
    <m/>
    <m/>
    <s v="NA"/>
    <s v="NA"/>
    <s v="NA"/>
    <s v="NA"/>
    <s v="NA"/>
    <s v="NA"/>
    <s v="NA"/>
    <m/>
    <n v="0"/>
    <n v="0"/>
    <n v="0"/>
    <n v="0"/>
    <n v="40"/>
    <m/>
    <n v="40"/>
    <m/>
    <s v="Looked from a tree and then went to carcass. "/>
    <m/>
    <m/>
  </r>
  <r>
    <s v="DSCN3126"/>
    <s v="M2370415_13"/>
    <n v="13"/>
    <n v="1"/>
    <x v="9"/>
    <d v="2019-04-15T00:00:00"/>
    <s v="April"/>
    <s v="Spring"/>
    <d v="1899-12-30T00:09:00"/>
    <d v="1899-12-30T00:00:09"/>
    <x v="53"/>
    <s v="Partly cloudy"/>
    <x v="16"/>
    <s v="Foraging"/>
    <s v="NA"/>
    <n v="0"/>
    <n v="0"/>
    <n v="0"/>
    <m/>
    <s v="NA"/>
    <s v="NA"/>
    <s v="NA"/>
    <m/>
    <m/>
    <m/>
    <s v="NA"/>
    <s v="NA"/>
    <s v="NA"/>
    <s v="NA"/>
    <s v="NA"/>
    <s v="NA"/>
    <s v="NA"/>
    <m/>
    <n v="0"/>
    <n v="0"/>
    <n v="0"/>
    <n v="0"/>
    <n v="9"/>
    <m/>
    <n v="9"/>
    <s v="Searching"/>
    <m/>
    <m/>
    <m/>
  </r>
  <r>
    <s v="DSCN3156"/>
    <s v="M2370415_20"/>
    <n v="20"/>
    <n v="1"/>
    <x v="9"/>
    <d v="2019-04-15T00:00:00"/>
    <s v="April"/>
    <s v="Spring"/>
    <d v="1899-12-30T01:24:00"/>
    <d v="1899-12-30T00:01:24"/>
    <x v="83"/>
    <s v="Partly cloudy"/>
    <x v="16"/>
    <s v="Foraging"/>
    <s v="NA"/>
    <n v="0"/>
    <n v="0"/>
    <n v="0"/>
    <m/>
    <s v="NA"/>
    <s v="NA"/>
    <s v="NA"/>
    <m/>
    <m/>
    <m/>
    <s v="NA"/>
    <s v="NA"/>
    <s v="NA"/>
    <s v="NA"/>
    <s v="NA"/>
    <s v="NA"/>
    <s v="NA"/>
    <m/>
    <n v="0"/>
    <n v="0"/>
    <n v="0"/>
    <n v="0"/>
    <n v="57"/>
    <m/>
    <n v="57"/>
    <s v="Searching"/>
    <m/>
    <m/>
    <m/>
  </r>
  <r>
    <s v="DSCN3138"/>
    <s v="M2370415_8"/>
    <n v="8"/>
    <n v="1"/>
    <x v="9"/>
    <d v="2019-04-15T00:00:00"/>
    <s v="April"/>
    <s v="Spring"/>
    <d v="1899-12-30T01:06:00"/>
    <d v="1899-12-30T00:01:06"/>
    <x v="70"/>
    <s v="Partly cloudy"/>
    <x v="16"/>
    <s v="Food handling"/>
    <s v="NA"/>
    <n v="0"/>
    <n v="0"/>
    <n v="0"/>
    <s v="Animal flesh"/>
    <s v="Animal flesh (snowshoe hare)"/>
    <s v="NA"/>
    <s v="NA"/>
    <m/>
    <m/>
    <m/>
    <s v="NA"/>
    <s v="NA"/>
    <s v="NA"/>
    <s v="NA"/>
    <s v="NA"/>
    <s v="NA"/>
    <s v="NA"/>
    <m/>
    <n v="0"/>
    <n v="0"/>
    <n v="0"/>
    <n v="0"/>
    <n v="66"/>
    <m/>
    <n v="66"/>
    <m/>
    <s v="Same acquisition trip as previous video so does not count as acquisition.  "/>
    <m/>
    <m/>
  </r>
  <r>
    <s v="DSCN2847"/>
    <s v="M2370403_13"/>
    <n v="13"/>
    <n v="1"/>
    <x v="9"/>
    <d v="2019-04-03T00:00:00"/>
    <s v="April"/>
    <s v="Spring"/>
    <d v="1899-12-30T00:17:00"/>
    <d v="1899-12-30T00:00:17"/>
    <x v="12"/>
    <m/>
    <x v="16"/>
    <s v="Foraging"/>
    <s v="Spruce"/>
    <s v="unknown"/>
    <s v="unknown"/>
    <n v="0"/>
    <m/>
    <s v="NA"/>
    <s v="NA"/>
    <s v="NA"/>
    <m/>
    <m/>
    <m/>
    <s v="NA"/>
    <s v="NA"/>
    <s v="NA"/>
    <s v="NA"/>
    <s v="NA"/>
    <s v="NA"/>
    <s v="NA"/>
    <m/>
    <n v="12"/>
    <n v="0"/>
    <n v="0"/>
    <n v="12"/>
    <n v="0"/>
    <m/>
    <n v="12"/>
    <s v="Searching"/>
    <m/>
    <m/>
    <m/>
  </r>
  <r>
    <s v="DSCN2848"/>
    <s v="M2370403_14"/>
    <n v="14"/>
    <n v="1"/>
    <x v="9"/>
    <d v="2019-04-03T00:00:00"/>
    <s v="April"/>
    <s v="Spring"/>
    <d v="1899-12-30T00:15:00"/>
    <d v="1899-12-30T00:00:15"/>
    <x v="14"/>
    <m/>
    <x v="16"/>
    <s v="Foraging"/>
    <s v="Spruce"/>
    <s v="unknown"/>
    <s v="unknown"/>
    <n v="0"/>
    <m/>
    <s v="NA"/>
    <s v="NA"/>
    <s v="NA"/>
    <m/>
    <m/>
    <m/>
    <s v="NA"/>
    <s v="NA"/>
    <s v="NA"/>
    <s v="NA"/>
    <s v="NA"/>
    <s v="NA"/>
    <s v="NA"/>
    <m/>
    <n v="15"/>
    <n v="0"/>
    <n v="0"/>
    <n v="15"/>
    <n v="0"/>
    <m/>
    <n v="15"/>
    <s v="Searching/probing"/>
    <m/>
    <n v="2"/>
    <n v="0"/>
  </r>
  <r>
    <s v="DSCN2853"/>
    <s v="M2370403_19"/>
    <n v="19"/>
    <n v="1"/>
    <x v="9"/>
    <d v="2019-04-03T00:00:00"/>
    <s v="April"/>
    <s v="Spring"/>
    <d v="1899-12-30T00:26:00"/>
    <d v="1899-12-30T00:00:26"/>
    <x v="44"/>
    <m/>
    <x v="16"/>
    <s v="Foraging"/>
    <s v="Spruce"/>
    <s v="unknown"/>
    <s v="unknown"/>
    <n v="0"/>
    <m/>
    <s v="NA"/>
    <s v="NA"/>
    <s v="NA"/>
    <m/>
    <m/>
    <m/>
    <s v="NA"/>
    <s v="NA"/>
    <s v="NA"/>
    <s v="NA"/>
    <s v="NA"/>
    <s v="NA"/>
    <s v="NA"/>
    <m/>
    <n v="21"/>
    <n v="0"/>
    <n v="0"/>
    <n v="21"/>
    <n v="0"/>
    <m/>
    <n v="21"/>
    <s v="Searching"/>
    <m/>
    <m/>
    <m/>
  </r>
  <r>
    <s v="DSCN3011"/>
    <s v="M2370409_1"/>
    <n v="1"/>
    <n v="1"/>
    <x v="9"/>
    <d v="2019-04-09T00:00:00"/>
    <s v="April"/>
    <s v="Spring"/>
    <d v="1899-12-30T01:12:00"/>
    <d v="1899-12-30T00:01:12"/>
    <x v="40"/>
    <s v="Partly cloudy"/>
    <x v="16"/>
    <s v="Foraging"/>
    <s v="NA"/>
    <s v="unknown"/>
    <n v="0"/>
    <n v="0"/>
    <m/>
    <s v="NA"/>
    <s v="NA"/>
    <s v="NA"/>
    <m/>
    <m/>
    <m/>
    <s v="NA"/>
    <s v="NA"/>
    <s v="NA"/>
    <s v="NA"/>
    <s v="NA"/>
    <s v="NA"/>
    <s v="NA"/>
    <m/>
    <n v="0"/>
    <n v="0"/>
    <n v="0"/>
    <n v="0"/>
    <n v="62"/>
    <m/>
    <n v="62"/>
    <s v="Searching"/>
    <m/>
    <m/>
    <m/>
  </r>
  <r>
    <s v="DSCN3014"/>
    <s v="M2370409_3"/>
    <n v="3"/>
    <n v="1"/>
    <x v="9"/>
    <d v="2019-04-09T00:00:00"/>
    <s v="April"/>
    <s v="Spring"/>
    <d v="1899-12-30T01:19:00"/>
    <d v="1899-12-30T00:01:19"/>
    <x v="116"/>
    <m/>
    <x v="16"/>
    <s v="Foraging"/>
    <s v="NA"/>
    <s v="unknown"/>
    <n v="0"/>
    <n v="0"/>
    <m/>
    <s v="NA"/>
    <s v="NA"/>
    <s v="NA"/>
    <m/>
    <m/>
    <m/>
    <s v="NA"/>
    <s v="NA"/>
    <s v="NA"/>
    <s v="NA"/>
    <s v="NA"/>
    <s v="NA"/>
    <s v="NA"/>
    <m/>
    <n v="0"/>
    <n v="0"/>
    <n v="0"/>
    <n v="0"/>
    <n v="79"/>
    <m/>
    <n v="79"/>
    <s v="Searching"/>
    <m/>
    <m/>
    <m/>
  </r>
  <r>
    <s v="DSCN3015"/>
    <s v="M2370409_4"/>
    <n v="4"/>
    <n v="1"/>
    <x v="9"/>
    <d v="2019-04-09T00:00:00"/>
    <s v="April"/>
    <s v="Spring"/>
    <d v="1899-12-30T00:30:00"/>
    <d v="1899-12-30T00:00:30"/>
    <x v="69"/>
    <m/>
    <x v="16"/>
    <s v="Foraging"/>
    <s v="NA"/>
    <s v="unknown"/>
    <n v="0"/>
    <n v="0"/>
    <m/>
    <s v="NA"/>
    <s v="NA"/>
    <s v="NA"/>
    <m/>
    <m/>
    <m/>
    <s v="NA"/>
    <s v="NA"/>
    <s v="NA"/>
    <s v="NA"/>
    <s v="NA"/>
    <s v="NA"/>
    <s v="NA"/>
    <m/>
    <n v="0"/>
    <n v="0"/>
    <n v="0"/>
    <n v="0"/>
    <n v="30"/>
    <m/>
    <n v="30"/>
    <s v="Searching"/>
    <m/>
    <m/>
    <m/>
  </r>
  <r>
    <s v="DSCN3143"/>
    <s v="M2370415_11"/>
    <n v="11"/>
    <n v="1"/>
    <x v="9"/>
    <d v="2019-04-15T00:00:00"/>
    <s v="April"/>
    <s v="Spring"/>
    <d v="1899-12-30T00:19:00"/>
    <d v="1899-12-30T00:00:19"/>
    <x v="17"/>
    <s v="Partly cloudy"/>
    <x v="16"/>
    <s v="Foraging"/>
    <s v="NA"/>
    <s v="unknown"/>
    <n v="0"/>
    <n v="0"/>
    <m/>
    <s v="NA"/>
    <s v="NA"/>
    <s v="NA"/>
    <m/>
    <m/>
    <m/>
    <s v="NA"/>
    <s v="NA"/>
    <s v="NA"/>
    <s v="NA"/>
    <s v="NA"/>
    <s v="NA"/>
    <s v="NA"/>
    <m/>
    <n v="0"/>
    <n v="0"/>
    <n v="0"/>
    <n v="0"/>
    <n v="7"/>
    <m/>
    <n v="7"/>
    <s v="Searching"/>
    <m/>
    <m/>
    <m/>
  </r>
  <r>
    <s v="DSCN3145"/>
    <s v="M2370415_12"/>
    <n v="12"/>
    <n v="1"/>
    <x v="9"/>
    <d v="2019-04-15T00:00:00"/>
    <s v="April"/>
    <s v="Spring"/>
    <d v="1899-12-30T00:29:00"/>
    <d v="1899-12-30T00:00:29"/>
    <x v="58"/>
    <s v="Partly cloudy"/>
    <x v="16"/>
    <s v="Foraging"/>
    <s v="NA"/>
    <s v="unknown"/>
    <n v="0"/>
    <n v="0"/>
    <m/>
    <s v="NA"/>
    <s v="NA"/>
    <s v="NA"/>
    <m/>
    <m/>
    <m/>
    <s v="NA"/>
    <s v="NA"/>
    <s v="NA"/>
    <s v="NA"/>
    <s v="NA"/>
    <s v="NA"/>
    <s v="NA"/>
    <m/>
    <n v="0"/>
    <n v="0"/>
    <n v="0"/>
    <n v="0"/>
    <n v="10"/>
    <m/>
    <n v="10"/>
    <s v="Searching"/>
    <m/>
    <m/>
    <m/>
  </r>
  <r>
    <s v="DSCN3148"/>
    <s v="M2370415_15"/>
    <n v="15"/>
    <n v="1"/>
    <x v="9"/>
    <d v="2019-04-15T00:00:00"/>
    <s v="April"/>
    <s v="Spring"/>
    <d v="1899-12-30T01:53:00"/>
    <d v="1899-12-30T00:01:53"/>
    <x v="117"/>
    <s v="Partly cloudy"/>
    <x v="16"/>
    <s v="Foraging"/>
    <s v="NA"/>
    <s v="unknown"/>
    <n v="0"/>
    <n v="0"/>
    <m/>
    <s v="NA"/>
    <s v="NA"/>
    <s v="NA"/>
    <m/>
    <m/>
    <m/>
    <s v="NA"/>
    <s v="NA"/>
    <s v="NA"/>
    <s v="NA"/>
    <s v="NA"/>
    <s v="NA"/>
    <s v="NA"/>
    <m/>
    <n v="0"/>
    <n v="0"/>
    <n v="0"/>
    <n v="0"/>
    <n v="71"/>
    <m/>
    <n v="71"/>
    <s v="Searching"/>
    <m/>
    <m/>
    <m/>
  </r>
  <r>
    <s v="DSCN3151"/>
    <s v="M2370415_16"/>
    <n v="16"/>
    <n v="1"/>
    <x v="9"/>
    <d v="2019-04-15T00:00:00"/>
    <s v="April"/>
    <s v="Spring"/>
    <d v="1899-12-30T00:47:00"/>
    <d v="1899-12-30T00:00:47"/>
    <x v="22"/>
    <s v="Partly cloudy"/>
    <x v="16"/>
    <s v="Foraging"/>
    <s v="NA"/>
    <s v="unknown"/>
    <n v="0"/>
    <n v="0"/>
    <m/>
    <s v="NA"/>
    <s v="NA"/>
    <s v="NA"/>
    <m/>
    <m/>
    <m/>
    <s v="NA"/>
    <s v="NA"/>
    <s v="NA"/>
    <s v="NA"/>
    <s v="NA"/>
    <s v="NA"/>
    <s v="NA"/>
    <m/>
    <n v="0"/>
    <n v="0"/>
    <n v="0"/>
    <n v="0"/>
    <n v="47"/>
    <m/>
    <n v="47"/>
    <s v="Searching"/>
    <m/>
    <m/>
    <m/>
  </r>
  <r>
    <s v="DSCN3153"/>
    <s v="M2370415_17"/>
    <n v="17"/>
    <n v="1"/>
    <x v="9"/>
    <d v="2019-04-15T00:00:00"/>
    <s v="April"/>
    <s v="Spring"/>
    <d v="1899-12-30T00:31:00"/>
    <d v="1899-12-30T00:00:31"/>
    <x v="45"/>
    <s v="Partly cloudy"/>
    <x v="16"/>
    <s v="Foraging"/>
    <s v="Spruce"/>
    <s v="unknown"/>
    <n v="0"/>
    <n v="0"/>
    <m/>
    <s v="NA"/>
    <s v="NA"/>
    <s v="NA"/>
    <m/>
    <m/>
    <m/>
    <s v="NA"/>
    <s v="NA"/>
    <s v="NA"/>
    <s v="NA"/>
    <s v="NA"/>
    <s v="NA"/>
    <s v="NA"/>
    <m/>
    <n v="6"/>
    <n v="0"/>
    <n v="6"/>
    <n v="0"/>
    <n v="0"/>
    <m/>
    <n v="6"/>
    <s v="Searching"/>
    <s v="Grabs a leaf and leaves.  Maybe B&amp;Ug inside?"/>
    <m/>
    <m/>
  </r>
  <r>
    <s v="DSCN3155"/>
    <s v="M2370415_19"/>
    <n v="19"/>
    <n v="1"/>
    <x v="9"/>
    <d v="2019-04-15T00:00:00"/>
    <s v="April"/>
    <s v="Spring"/>
    <d v="1899-12-30T00:22:00"/>
    <d v="1899-12-30T00:00:22"/>
    <x v="77"/>
    <s v="Partly cloudy"/>
    <x v="16"/>
    <s v="Foraging"/>
    <s v="NA"/>
    <s v="unknown"/>
    <n v="0"/>
    <n v="0"/>
    <m/>
    <s v="NA"/>
    <s v="NA"/>
    <s v="NA"/>
    <m/>
    <m/>
    <m/>
    <s v="NA"/>
    <s v="NA"/>
    <s v="NA"/>
    <s v="NA"/>
    <s v="NA"/>
    <s v="NA"/>
    <s v="NA"/>
    <m/>
    <n v="0"/>
    <n v="0"/>
    <n v="0"/>
    <n v="0"/>
    <n v="9"/>
    <m/>
    <n v="9"/>
    <s v="Searching"/>
    <m/>
    <m/>
    <m/>
  </r>
  <r>
    <s v="DSCN3132"/>
    <s v="M2370415_4"/>
    <n v="4"/>
    <n v="1"/>
    <x v="9"/>
    <d v="2019-04-15T00:00:00"/>
    <s v="April"/>
    <s v="Spring"/>
    <d v="1899-12-30T01:00:00"/>
    <d v="1899-12-30T00:01:00"/>
    <x v="79"/>
    <s v="Partly cloudy"/>
    <x v="16"/>
    <s v="Foraging"/>
    <s v="NA"/>
    <s v="unknown"/>
    <n v="0"/>
    <n v="0"/>
    <m/>
    <s v="NA"/>
    <s v="NA"/>
    <s v="NA"/>
    <m/>
    <m/>
    <m/>
    <s v="NA"/>
    <s v="NA"/>
    <s v="NA"/>
    <s v="NA"/>
    <s v="NA"/>
    <s v="NA"/>
    <s v="NA"/>
    <m/>
    <n v="0"/>
    <n v="0"/>
    <n v="0"/>
    <n v="0"/>
    <n v="3"/>
    <m/>
    <n v="3"/>
    <s v="Searching"/>
    <m/>
    <m/>
    <m/>
  </r>
  <r>
    <s v="DSCN3136"/>
    <s v="M2370415_6"/>
    <n v="6"/>
    <n v="1"/>
    <x v="9"/>
    <d v="2019-04-15T00:00:00"/>
    <s v="April"/>
    <s v="Spring"/>
    <d v="1899-12-30T00:31:00"/>
    <d v="1899-12-30T00:00:31"/>
    <x v="45"/>
    <s v="Partly cloudy"/>
    <x v="16"/>
    <s v="Foraging"/>
    <s v="NA"/>
    <s v="unknown"/>
    <n v="0"/>
    <n v="0"/>
    <m/>
    <s v="NA"/>
    <s v="NA"/>
    <s v="NA"/>
    <m/>
    <m/>
    <m/>
    <s v="NA"/>
    <s v="NA"/>
    <s v="NA"/>
    <s v="NA"/>
    <s v="NA"/>
    <s v="NA"/>
    <s v="NA"/>
    <m/>
    <n v="0"/>
    <n v="0"/>
    <n v="0"/>
    <n v="0"/>
    <n v="21"/>
    <m/>
    <n v="21"/>
    <s v="Searching"/>
    <m/>
    <m/>
    <m/>
  </r>
  <r>
    <s v="DSCN0023"/>
    <s v="WW0828_6"/>
    <n v="6"/>
    <n v="1"/>
    <x v="0"/>
    <d v="2018-08-28T00:00:00"/>
    <s v="August"/>
    <s v="Fall"/>
    <d v="1899-12-30T00:16:00"/>
    <d v="1899-12-30T00:00:16"/>
    <x v="47"/>
    <s v="Partly cloudy"/>
    <x v="0"/>
    <s v="Foraging"/>
    <s v="Spruce"/>
    <n v="1"/>
    <m/>
    <n v="0"/>
    <s v="Mushroom"/>
    <s v="Mushroom"/>
    <s v="Spruce exterior foliage"/>
    <s v="NA"/>
    <s v="NA"/>
    <s v="NA"/>
    <s v="NA"/>
    <m/>
    <m/>
    <s v="NA"/>
    <s v="NA"/>
    <m/>
    <m/>
    <m/>
    <m/>
    <n v="0"/>
    <n v="13"/>
    <n v="0"/>
    <n v="13"/>
    <n v="0"/>
    <n v="0"/>
    <n v="13"/>
    <s v="Attending known food item"/>
    <s v="First mushroom visit"/>
    <n v="0"/>
    <n v="0"/>
  </r>
  <r>
    <s v="DSCN0024"/>
    <s v="WW0828_5"/>
    <n v="5"/>
    <n v="1"/>
    <x v="0"/>
    <d v="2018-08-28T00:00:00"/>
    <s v="August"/>
    <s v="Fall"/>
    <d v="1899-12-30T01:07:00"/>
    <d v="1899-12-30T00:01:07"/>
    <x v="33"/>
    <s v="Partly cloudy"/>
    <x v="0"/>
    <s v="Foraging"/>
    <s v="Spruce"/>
    <n v="1"/>
    <m/>
    <n v="0"/>
    <s v="Mushroom"/>
    <s v="Mushroom"/>
    <s v="Spruce exterior foliage"/>
    <s v="NA"/>
    <s v="NA"/>
    <s v="NA"/>
    <s v="NA"/>
    <m/>
    <m/>
    <s v="NA"/>
    <s v="NA"/>
    <m/>
    <m/>
    <m/>
    <m/>
    <n v="0"/>
    <n v="18"/>
    <n v="0"/>
    <n v="18"/>
    <n v="0"/>
    <n v="0"/>
    <n v="18"/>
    <s v="Attending known food item"/>
    <s v="Second visit to mushroom that was cached in tree.  Original cacher unknown"/>
    <n v="0"/>
    <n v="0"/>
  </r>
  <r>
    <s v="DSCN0034"/>
    <s v="WW0828_11"/>
    <n v="11"/>
    <n v="1"/>
    <x v="0"/>
    <d v="2018-08-28T00:00:00"/>
    <s v="August"/>
    <s v="Fall"/>
    <d v="1899-12-30T00:33:00"/>
    <d v="1899-12-30T00:00:33"/>
    <x v="8"/>
    <s v="Partly cloudy"/>
    <x v="0"/>
    <s v="Foraging"/>
    <s v="Spruce"/>
    <s v="unknown"/>
    <m/>
    <n v="1"/>
    <s v="Unknown"/>
    <s v="unknown"/>
    <s v="Spruce trunk"/>
    <s v="Sprunce trunk at base of branch joint"/>
    <s v="Spruce"/>
    <s v="Trunk"/>
    <s v="Under bark"/>
    <m/>
    <m/>
    <n v="0"/>
    <s v="Did not mark (did not recognize as cache while in field)"/>
    <m/>
    <m/>
    <m/>
    <m/>
    <n v="11"/>
    <n v="0"/>
    <n v="11"/>
    <n v="0"/>
    <n v="0"/>
    <n v="0"/>
    <n v="11"/>
    <m/>
    <s v="Unclear if foraging or caching initially, B&amp;Ut then picks something off trunk and places it in another part of the tree. "/>
    <n v="0"/>
    <n v="5"/>
  </r>
  <r>
    <s v="DSCN0035"/>
    <s v="WW0828_12"/>
    <n v="12"/>
    <n v="1"/>
    <x v="0"/>
    <d v="2018-08-28T00:00:00"/>
    <s v="August"/>
    <s v="Fall"/>
    <d v="1899-12-30T00:59:00"/>
    <d v="1899-12-30T00:00:59"/>
    <x v="98"/>
    <s v="Partly cloudy"/>
    <x v="0"/>
    <s v="Foraging"/>
    <s v="Spruce"/>
    <s v="unknown"/>
    <m/>
    <n v="0"/>
    <m/>
    <s v="NA"/>
    <s v="NA"/>
    <s v="NA"/>
    <s v="NA"/>
    <s v="NA"/>
    <s v="NA"/>
    <m/>
    <m/>
    <s v="NA"/>
    <s v="NA"/>
    <m/>
    <m/>
    <m/>
    <m/>
    <n v="36"/>
    <n v="0"/>
    <n v="19"/>
    <n v="17"/>
    <n v="0"/>
    <n v="0"/>
    <n v="36"/>
    <s v="Gleaning"/>
    <s v="Pulls something and drops it.  "/>
    <n v="0"/>
    <n v="2"/>
  </r>
  <r>
    <s v="DSCN0075"/>
    <s v="WW0830_5"/>
    <n v="5"/>
    <n v="1"/>
    <x v="0"/>
    <d v="2018-08-30T00:00:00"/>
    <s v="August"/>
    <s v="Fall"/>
    <d v="1899-12-30T00:27:00"/>
    <d v="1899-12-30T00:00:27"/>
    <x v="52"/>
    <s v="Partly cloudy; light rain"/>
    <x v="0"/>
    <s v="Foraging"/>
    <s v="Spruce"/>
    <n v="1"/>
    <m/>
    <n v="1"/>
    <s v="Unknown"/>
    <s v="unknown"/>
    <s v="Ground"/>
    <s v="Exterior bare spruce branch under bark"/>
    <s v="Spruce"/>
    <s v="Exterior"/>
    <s v="Under bark"/>
    <m/>
    <m/>
    <n v="1"/>
    <s v="Did not mark (did not recognize as cache while in field)"/>
    <m/>
    <m/>
    <m/>
    <m/>
    <n v="6"/>
    <n v="0"/>
    <n v="0"/>
    <n v="6"/>
    <n v="11"/>
    <n v="0"/>
    <n v="17"/>
    <s v="unknown"/>
    <s v="Foraging followed by clear cache (spit visible)"/>
    <n v="0"/>
    <n v="0"/>
  </r>
  <r>
    <s v="DSCN0146"/>
    <s v="CC0831_1"/>
    <n v="1"/>
    <n v="1"/>
    <x v="4"/>
    <d v="2018-08-31T00:00:00"/>
    <s v="August"/>
    <s v="Fall"/>
    <d v="1899-12-30T00:24:00"/>
    <d v="1899-12-30T00:00:24"/>
    <x v="71"/>
    <m/>
    <x v="17"/>
    <s v="Foraging"/>
    <s v="Spruce"/>
    <s v="unknown"/>
    <m/>
    <n v="0"/>
    <m/>
    <s v="NA"/>
    <s v="NA"/>
    <s v="NA"/>
    <s v="NA"/>
    <s v="NA"/>
    <s v="NA"/>
    <m/>
    <m/>
    <s v="NA"/>
    <s v="NA"/>
    <m/>
    <m/>
    <m/>
    <m/>
    <n v="5"/>
    <n v="12"/>
    <n v="12"/>
    <n v="5"/>
    <n v="0"/>
    <n v="0"/>
    <n v="17"/>
    <s v="Searching"/>
    <n v="0"/>
    <n v="0"/>
    <m/>
  </r>
  <r>
    <s v="DSCN0147"/>
    <s v="CC0831_2"/>
    <n v="2"/>
    <n v="1"/>
    <x v="4"/>
    <d v="2018-08-31T00:00:00"/>
    <s v="August"/>
    <s v="Fall"/>
    <d v="1899-12-30T00:20:00"/>
    <d v="1899-12-30T00:00:20"/>
    <x v="38"/>
    <m/>
    <x v="17"/>
    <s v="Foraging/food handling"/>
    <s v="Spruce"/>
    <n v="1"/>
    <m/>
    <n v="0"/>
    <s v="Unknown"/>
    <s v="unknown"/>
    <s v="Spruce foliage"/>
    <s v="NA"/>
    <s v="NA"/>
    <s v="NA"/>
    <s v="NA"/>
    <m/>
    <m/>
    <s v="NA"/>
    <s v="NA"/>
    <m/>
    <m/>
    <m/>
    <m/>
    <n v="0"/>
    <n v="2"/>
    <n v="0"/>
    <n v="2"/>
    <n v="0"/>
    <n v="0"/>
    <n v="2"/>
    <m/>
    <s v="Recovered medium sized object and took it to tree interior and then shook it around.  Full throat pouch indicates it did not cache it.  "/>
    <m/>
    <m/>
  </r>
  <r>
    <s v="DSCN0149"/>
    <s v="CC0831_3"/>
    <n v="3"/>
    <n v="1"/>
    <x v="4"/>
    <d v="2018-08-31T00:00:00"/>
    <s v="August"/>
    <s v="Fall"/>
    <d v="1899-12-30T00:54:00"/>
    <d v="1899-12-30T00:00:54"/>
    <x v="96"/>
    <m/>
    <x v="17"/>
    <s v="Foraging"/>
    <s v="Spruce"/>
    <n v="1"/>
    <m/>
    <n v="0"/>
    <s v="Insect"/>
    <s v="Insect (Moth)"/>
    <s v="Spruce, exterior foliage"/>
    <s v="NA"/>
    <s v="NA"/>
    <s v="NA"/>
    <s v="NA"/>
    <m/>
    <m/>
    <s v="NA"/>
    <s v="NA"/>
    <m/>
    <m/>
    <m/>
    <m/>
    <n v="4"/>
    <n v="28"/>
    <n v="0"/>
    <n v="32"/>
    <n v="0"/>
    <n v="0"/>
    <n v="32"/>
    <s v="Gleaning"/>
    <m/>
    <n v="0"/>
    <n v="1"/>
  </r>
  <r>
    <s v="DSCN0157"/>
    <s v="CC0831_4"/>
    <n v="4"/>
    <n v="1"/>
    <x v="4"/>
    <d v="2018-08-31T00:00:00"/>
    <s v="August"/>
    <s v="Fall"/>
    <d v="1899-12-30T00:13:00"/>
    <d v="1899-12-30T00:00:13"/>
    <x v="64"/>
    <m/>
    <x v="17"/>
    <s v="Foraging"/>
    <s v="NA"/>
    <s v="unknown"/>
    <m/>
    <n v="0"/>
    <s v="Unknown"/>
    <s v="Unknown"/>
    <s v="NA"/>
    <s v="NA"/>
    <s v="NA"/>
    <s v="NA"/>
    <s v="NA"/>
    <m/>
    <m/>
    <s v="NA"/>
    <s v="NA"/>
    <m/>
    <m/>
    <m/>
    <m/>
    <n v="0"/>
    <n v="0"/>
    <n v="0"/>
    <n v="0"/>
    <n v="10"/>
    <n v="0"/>
    <n v="10"/>
    <s v="unknown"/>
    <m/>
    <n v="0"/>
    <n v="0"/>
  </r>
  <r>
    <s v="DSCN0158"/>
    <s v="CC0831_5"/>
    <n v="5"/>
    <n v="1"/>
    <x v="4"/>
    <d v="2018-08-31T00:00:00"/>
    <s v="August"/>
    <s v="Fall"/>
    <d v="1899-12-30T01:32:00"/>
    <d v="1899-12-30T00:01:32"/>
    <x v="73"/>
    <m/>
    <x v="17"/>
    <s v="Foraging"/>
    <s v="NA"/>
    <n v="1"/>
    <m/>
    <n v="0"/>
    <s v="Unknown"/>
    <s v="Unknown. Probably mushroom.  Something white. "/>
    <s v="Ground"/>
    <s v="NA"/>
    <s v="NA"/>
    <s v="NA"/>
    <s v="NA"/>
    <m/>
    <m/>
    <s v="NA"/>
    <s v="NA"/>
    <m/>
    <m/>
    <m/>
    <m/>
    <n v="0"/>
    <n v="0"/>
    <n v="0"/>
    <n v="0"/>
    <n v="10"/>
    <n v="0"/>
    <n v="10"/>
    <s v="unknown"/>
    <s v="Came from ground carrying white object. Danyan checked area and did not sign signs of eaten mushroom though. "/>
    <n v="0"/>
    <n v="0"/>
  </r>
  <r>
    <s v="DSCN0057"/>
    <s v="CC0829_4"/>
    <n v="4"/>
    <n v="1"/>
    <x v="4"/>
    <d v="2018-08-29T00:00:00"/>
    <s v="August"/>
    <s v="Fall"/>
    <d v="1899-12-30T00:28:00"/>
    <d v="1899-12-30T00:00:28"/>
    <x v="68"/>
    <s v="Partly cloudy"/>
    <x v="4"/>
    <s v="Foraging"/>
    <s v="NA"/>
    <s v="unknown"/>
    <m/>
    <n v="0"/>
    <m/>
    <s v="NA"/>
    <s v="NA"/>
    <s v="NA"/>
    <s v="NA"/>
    <s v="NA"/>
    <s v="NA"/>
    <m/>
    <m/>
    <s v="NA"/>
    <s v="NA"/>
    <m/>
    <m/>
    <m/>
    <m/>
    <n v="0"/>
    <n v="0"/>
    <n v="0"/>
    <n v="0"/>
    <n v="15"/>
    <n v="0"/>
    <n v="15"/>
    <s v="Searching "/>
    <m/>
    <n v="0"/>
    <n v="0"/>
  </r>
  <r>
    <s v="DSCN0059"/>
    <s v="CC0829_5"/>
    <n v="5"/>
    <n v="1"/>
    <x v="4"/>
    <d v="2018-08-29T00:00:00"/>
    <s v="August"/>
    <s v="Fall"/>
    <d v="1899-12-30T02:07:00"/>
    <d v="1899-12-30T00:02:07"/>
    <x v="100"/>
    <s v="Partly cloudy"/>
    <x v="4"/>
    <s v="Foraging"/>
    <s v="Spruce"/>
    <n v="1"/>
    <m/>
    <n v="0"/>
    <s v="Unknown"/>
    <s v="Unknown"/>
    <s v="Spruce trunk"/>
    <s v="NA"/>
    <s v="NA"/>
    <s v="NA"/>
    <s v="NA"/>
    <m/>
    <m/>
    <s v="NA"/>
    <s v="NA"/>
    <m/>
    <m/>
    <m/>
    <m/>
    <n v="30"/>
    <n v="0"/>
    <n v="20"/>
    <n v="10"/>
    <n v="71"/>
    <n v="0"/>
    <n v="101"/>
    <s v="Gleaning, searching "/>
    <m/>
    <n v="0"/>
    <n v="9"/>
  </r>
  <r>
    <s v="DSCN0059"/>
    <s v="CC0829_5"/>
    <n v="5"/>
    <n v="2"/>
    <x v="4"/>
    <d v="2018-08-29T00:00:00"/>
    <s v="August"/>
    <s v="Fall"/>
    <d v="1899-12-30T02:07:00"/>
    <d v="1899-12-30T00:02:07"/>
    <x v="100"/>
    <s v="Partly cloudy"/>
    <x v="4"/>
    <s v="Foraging"/>
    <s v="Spruce"/>
    <n v="1"/>
    <m/>
    <n v="0"/>
    <s v="Unknown"/>
    <s v="Unknown"/>
    <s v="Exterior bare spruce branch tips"/>
    <s v="NA"/>
    <s v="NA"/>
    <s v="NA"/>
    <s v="NA"/>
    <m/>
    <m/>
    <s v="NA"/>
    <s v="NA"/>
    <m/>
    <m/>
    <m/>
    <m/>
    <n v="0"/>
    <n v="0"/>
    <n v="0"/>
    <n v="0"/>
    <n v="0"/>
    <n v="0"/>
    <n v="0"/>
    <s v="Gleaning, searching "/>
    <m/>
    <n v="0"/>
    <n v="9"/>
  </r>
  <r>
    <s v="DSCN0060"/>
    <s v="CC0829_6"/>
    <n v="6"/>
    <n v="1"/>
    <x v="4"/>
    <d v="2018-08-29T00:00:00"/>
    <s v="August"/>
    <s v="Fall"/>
    <d v="1899-12-30T00:55:00"/>
    <d v="1899-12-30T00:00:55"/>
    <x v="51"/>
    <s v="Partly cloudy"/>
    <x v="4"/>
    <s v="Foraging/caching"/>
    <s v="Spruce"/>
    <n v="3"/>
    <m/>
    <n v="1"/>
    <s v="Berry"/>
    <s v="Berry (Blueberry)"/>
    <s v="Ground"/>
    <s v="Interior spruce branch in witch hair "/>
    <s v="Spruce"/>
    <s v="Interior"/>
    <s v="Branch under witch hair"/>
    <m/>
    <m/>
    <s v="unknown"/>
    <s v="Did not mark (were not marking at this time)"/>
    <m/>
    <m/>
    <m/>
    <m/>
    <n v="0"/>
    <n v="0"/>
    <n v="0"/>
    <n v="0"/>
    <n v="24"/>
    <n v="0"/>
    <n v="24"/>
    <s v="Searching "/>
    <s v="Aquired two berries, we watched it cache one in a tree, B&amp;Ut could not follow it for the second berry.  "/>
    <m/>
    <m/>
  </r>
  <r>
    <s v="DSCN0061"/>
    <s v="CC0829_7"/>
    <n v="7"/>
    <n v="1"/>
    <x v="4"/>
    <d v="2018-08-29T00:00:00"/>
    <s v="August"/>
    <s v="Fall"/>
    <d v="1899-12-30T00:20:00"/>
    <d v="1899-12-30T00:00:20"/>
    <x v="38"/>
    <s v="Partly cloudy"/>
    <x v="4"/>
    <s v="Caching/foraging"/>
    <s v="Spruce"/>
    <n v="0"/>
    <m/>
    <n v="1"/>
    <s v="Berry"/>
    <s v="Berry (Blueberry)"/>
    <s v="Ground"/>
    <s v="Exterior spruce branch in witch hair"/>
    <s v="Spruce"/>
    <s v="Exterior"/>
    <s v="Branch under witch hair"/>
    <m/>
    <m/>
    <s v="unknown"/>
    <s v="Did not mark (were not marking at this time)"/>
    <m/>
    <m/>
    <m/>
    <m/>
    <n v="0"/>
    <n v="0"/>
    <n v="0"/>
    <n v="0"/>
    <n v="0"/>
    <n v="0"/>
    <n v="0"/>
    <s v="NA"/>
    <m/>
    <m/>
    <m/>
  </r>
  <r>
    <s v="DSCN0028"/>
    <s v="WW0828_8"/>
    <n v="8"/>
    <n v="1"/>
    <x v="0"/>
    <d v="2018-08-28T00:00:00"/>
    <s v="August"/>
    <s v="Fall"/>
    <d v="1899-12-30T00:24:00"/>
    <d v="1899-12-30T00:00:24"/>
    <x v="71"/>
    <s v="Partly cloudy"/>
    <x v="18"/>
    <s v="Foraging"/>
    <s v="NA"/>
    <n v="1"/>
    <m/>
    <n v="0"/>
    <s v="Mushroom"/>
    <s v="Mushroom"/>
    <s v="Ground"/>
    <s v="NA"/>
    <s v="NA"/>
    <s v="NA"/>
    <s v="NA"/>
    <m/>
    <m/>
    <s v="NA"/>
    <s v="NA"/>
    <m/>
    <m/>
    <m/>
    <m/>
    <n v="0"/>
    <n v="0"/>
    <n v="0"/>
    <n v="0"/>
    <n v="10"/>
    <n v="0"/>
    <n v="10"/>
    <s v="Gleaning"/>
    <s v="White item from ground.  Maybe mushroom or flower"/>
    <m/>
    <n v="8"/>
  </r>
  <r>
    <s v="DSCN0031"/>
    <s v="WW0828_9"/>
    <n v="9"/>
    <n v="1"/>
    <x v="0"/>
    <d v="2018-08-28T00:00:00"/>
    <s v="August"/>
    <s v="Fall"/>
    <d v="1899-12-30T00:13:00"/>
    <d v="1899-12-30T00:00:13"/>
    <x v="64"/>
    <s v="Partly cloudy"/>
    <x v="18"/>
    <s v="Foraging"/>
    <s v="Spruce"/>
    <s v="unknown"/>
    <m/>
    <n v="0"/>
    <s v="Unknown"/>
    <s v="Unknown"/>
    <s v="Spruce, exterior foliage"/>
    <s v="NA"/>
    <s v="NA"/>
    <s v="NA"/>
    <s v="NA"/>
    <m/>
    <m/>
    <s v="NA"/>
    <s v="NA"/>
    <m/>
    <m/>
    <m/>
    <m/>
    <n v="0"/>
    <n v="7"/>
    <n v="0"/>
    <n v="7"/>
    <n v="0"/>
    <n v="0"/>
    <n v="7"/>
    <s v="Searching"/>
    <m/>
    <n v="0"/>
    <n v="0"/>
  </r>
  <r>
    <s v="DSCN0072"/>
    <s v="WW0830_2"/>
    <n v="2"/>
    <n v="1"/>
    <x v="0"/>
    <d v="2018-08-30T00:00:00"/>
    <s v="August"/>
    <s v="Fall"/>
    <d v="1899-12-30T00:31:00"/>
    <d v="1899-12-30T00:00:31"/>
    <x v="45"/>
    <s v="Partly cloudy; light rain"/>
    <x v="18"/>
    <s v="Foraging"/>
    <s v="Spruce"/>
    <n v="1"/>
    <m/>
    <s v="Unknown"/>
    <s v="Mushroom"/>
    <s v="Mushroom"/>
    <s v="spruce cache "/>
    <s v="NA"/>
    <m/>
    <m/>
    <m/>
    <m/>
    <m/>
    <s v="NA"/>
    <s v="NA"/>
    <m/>
    <m/>
    <m/>
    <m/>
    <n v="0"/>
    <n v="0"/>
    <n v="0"/>
    <n v="0"/>
    <n v="0"/>
    <n v="0"/>
    <n v="0"/>
    <s v="Food handling"/>
    <s v="Retrieved cached mushroom from bare branch of spruce tree. "/>
    <n v="0"/>
    <n v="0"/>
  </r>
  <r>
    <s v="DSCN0073"/>
    <s v="WW0830_3"/>
    <n v="3"/>
    <n v="1"/>
    <x v="0"/>
    <d v="2018-08-30T00:00:00"/>
    <s v="August"/>
    <s v="Fall"/>
    <d v="1899-12-30T00:12:00"/>
    <d v="1899-12-30T00:00:12"/>
    <x v="61"/>
    <s v="Partly cloudy; light rain"/>
    <x v="18"/>
    <s v="Food handling"/>
    <s v="Spruce"/>
    <n v="0"/>
    <m/>
    <n v="0"/>
    <s v="Mushroom"/>
    <s v="Mushroom"/>
    <s v="spruce cache "/>
    <s v="NA"/>
    <s v="NA"/>
    <s v="NA"/>
    <s v="NA"/>
    <m/>
    <m/>
    <s v="NA"/>
    <s v="NA"/>
    <m/>
    <m/>
    <m/>
    <m/>
    <n v="0"/>
    <n v="0"/>
    <n v="0"/>
    <n v="0"/>
    <n v="0"/>
    <n v="0"/>
    <n v="0"/>
    <s v="Food handling"/>
    <s v="Retrieved cached mushroom from bare branch of spruce tree (might have been the same mushroom from HS0830_2"/>
    <m/>
    <m/>
  </r>
  <r>
    <s v="DSCN0074"/>
    <s v="WW0830_4"/>
    <n v="4"/>
    <n v="1"/>
    <x v="0"/>
    <d v="2018-08-30T00:00:00"/>
    <s v="August"/>
    <s v="Fall"/>
    <d v="1899-12-30T00:34:00"/>
    <d v="1899-12-30T00:00:34"/>
    <x v="18"/>
    <s v="Partly cloudy; light rain"/>
    <x v="18"/>
    <s v="Food handling"/>
    <s v="Spruce"/>
    <n v="0"/>
    <m/>
    <n v="0"/>
    <s v="Mushroom"/>
    <s v="Mushroom"/>
    <s v="spruce cache "/>
    <s v="NA"/>
    <s v="NA"/>
    <s v="NA"/>
    <s v="NA"/>
    <m/>
    <m/>
    <s v="NA"/>
    <s v="NA"/>
    <m/>
    <m/>
    <m/>
    <m/>
    <n v="0"/>
    <n v="0"/>
    <n v="0"/>
    <n v="0"/>
    <n v="0"/>
    <n v="0"/>
    <n v="0"/>
    <s v="Food handling"/>
    <s v="Retrieved cached mushroom from bare branch of spruce tree (might have been the same mushroom from HS0830_2; WAS SAME FROM HS0830_3)"/>
    <m/>
    <m/>
  </r>
  <r>
    <s v="DSCN0076"/>
    <s v="WW0830_6"/>
    <n v="6"/>
    <n v="1"/>
    <x v="0"/>
    <d v="2018-08-30T00:00:00"/>
    <s v="August"/>
    <s v="Fall"/>
    <d v="1899-12-30T01:15:00"/>
    <d v="1899-12-30T00:01:15"/>
    <x v="108"/>
    <s v="Partly cloudy; light rain"/>
    <x v="18"/>
    <s v="Foraging"/>
    <s v="Spruce"/>
    <n v="1"/>
    <m/>
    <n v="0"/>
    <s v="Unknown"/>
    <s v="Unknown"/>
    <s v="Exterior bare spruce branch"/>
    <s v="NA"/>
    <s v="NA"/>
    <s v="NA"/>
    <s v="NA"/>
    <m/>
    <m/>
    <s v="NA"/>
    <s v="NA"/>
    <m/>
    <m/>
    <m/>
    <m/>
    <n v="4"/>
    <n v="0"/>
    <n v="0"/>
    <n v="4"/>
    <n v="26"/>
    <n v="0"/>
    <n v="30"/>
    <s v="appeared to fly directly to places where food was "/>
    <s v="Substance ID by Kaeli as slime mob.  A sample was collected in the field. "/>
    <n v="1"/>
    <n v="0"/>
  </r>
  <r>
    <s v="DSCN0076"/>
    <s v="WW0830_6"/>
    <n v="6"/>
    <n v="2"/>
    <x v="0"/>
    <d v="2018-08-30T00:00:00"/>
    <s v="August"/>
    <s v="Fall"/>
    <d v="1899-12-30T01:15:00"/>
    <d v="1899-12-30T00:01:15"/>
    <x v="108"/>
    <s v="Partly cloudy; light rain"/>
    <x v="18"/>
    <s v="Foraging"/>
    <s v="Spruce"/>
    <n v="1"/>
    <m/>
    <n v="0"/>
    <s v="Misc"/>
    <s v="Slime mold? "/>
    <s v="Ground"/>
    <s v="NA"/>
    <s v="NA"/>
    <s v="NA"/>
    <s v="NA"/>
    <m/>
    <m/>
    <s v="NA"/>
    <s v="NA"/>
    <m/>
    <m/>
    <m/>
    <m/>
    <n v="0"/>
    <n v="0"/>
    <n v="0"/>
    <n v="0"/>
    <n v="0"/>
    <n v="0"/>
    <n v="0"/>
    <s v="appeared to fly directly to places where food was "/>
    <s v="Substance ID by Kaeli as slime mob.  A sample was collected in the field. "/>
    <n v="1"/>
    <n v="0"/>
  </r>
  <r>
    <s v="DSCN0077"/>
    <s v="WW0830_7"/>
    <n v="7"/>
    <n v="1"/>
    <x v="0"/>
    <d v="2018-08-30T00:00:00"/>
    <s v="August"/>
    <s v="Fall"/>
    <d v="1899-12-30T00:40:00"/>
    <d v="1899-12-30T00:00:40"/>
    <x v="23"/>
    <s v="Partly cloudy; light rain"/>
    <x v="18"/>
    <s v="Foraging"/>
    <s v="NA"/>
    <n v="1"/>
    <m/>
    <n v="0"/>
    <s v="Misc"/>
    <s v="Slime mold?"/>
    <s v="Ground"/>
    <s v="NA"/>
    <s v="NA"/>
    <s v="NA"/>
    <s v="NA"/>
    <m/>
    <m/>
    <s v="NA"/>
    <s v="NA"/>
    <m/>
    <m/>
    <m/>
    <m/>
    <n v="0"/>
    <n v="0"/>
    <n v="0"/>
    <n v="0"/>
    <n v="0"/>
    <n v="0"/>
    <n v="0"/>
    <s v="9 second of feeding from slime mold"/>
    <s v="Substance ID by Kaeli as slime mob.  A sample was collected in the field. "/>
    <n v="0"/>
    <n v="0"/>
  </r>
  <r>
    <s v="DSCN0081"/>
    <s v="B&amp;U0830_1"/>
    <n v="1"/>
    <n v="1"/>
    <x v="5"/>
    <d v="2018-08-30T00:00:00"/>
    <s v="August"/>
    <s v="Fall"/>
    <d v="1899-12-30T00:38:00"/>
    <d v="1899-12-30T00:00:00"/>
    <x v="118"/>
    <s v="Partly cloudy; light rain"/>
    <x v="6"/>
    <s v="Foraging"/>
    <s v="Spruce"/>
    <s v="unknown"/>
    <m/>
    <s v="Unknown"/>
    <s v="Unknown"/>
    <s v="Unknown"/>
    <s v="unknown"/>
    <s v="unknown"/>
    <m/>
    <m/>
    <m/>
    <m/>
    <m/>
    <s v="NA"/>
    <s v="NA"/>
    <m/>
    <m/>
    <m/>
    <m/>
    <n v="0"/>
    <n v="24"/>
    <n v="24"/>
    <n v="0"/>
    <n v="0"/>
    <n v="0"/>
    <n v="24"/>
    <s v="Searching; unknown"/>
    <s v="Largley blocked by foliage B&amp;Ut it was obviously B&amp;Usy. "/>
    <n v="0"/>
    <n v="0"/>
  </r>
  <r>
    <s v="DSCN0089"/>
    <s v="B&amp;U0830_5"/>
    <n v="5"/>
    <n v="1"/>
    <x v="5"/>
    <d v="2018-08-30T00:00:00"/>
    <s v="August"/>
    <s v="Fall"/>
    <d v="1899-12-30T00:31:00"/>
    <d v="1899-12-30T00:00:38"/>
    <x v="55"/>
    <s v="Partly cloudy; light rain"/>
    <x v="6"/>
    <s v="Caching"/>
    <s v="Spruce"/>
    <n v="0"/>
    <m/>
    <n v="1"/>
    <s v="Mushroom"/>
    <s v="Mushroom"/>
    <s v="Spruce bare branch"/>
    <s v="Interior spruce foliage"/>
    <s v="Spruce"/>
    <s v="Interior"/>
    <s v="Foliage"/>
    <m/>
    <m/>
    <s v="unknown"/>
    <s v="Did not mark (were not marking at this time)"/>
    <m/>
    <m/>
    <m/>
    <m/>
    <n v="0"/>
    <n v="0"/>
    <n v="0"/>
    <n v="0"/>
    <n v="0"/>
    <n v="0"/>
    <n v="0"/>
    <s v="caching"/>
    <s v="Cached mushroom from B&amp;U0830_4"/>
    <n v="0"/>
    <n v="0"/>
  </r>
  <r>
    <s v="DSCN0090"/>
    <s v="B&amp;U0830_6"/>
    <n v="6"/>
    <n v="2"/>
    <x v="5"/>
    <d v="2018-08-30T00:00:00"/>
    <s v="August"/>
    <s v="Fall"/>
    <d v="1899-12-30T01:36:00"/>
    <d v="1899-12-30T00:01:36"/>
    <x v="81"/>
    <s v="Partly cloudy; light rain"/>
    <x v="6"/>
    <s v="Caching"/>
    <s v="Spruce"/>
    <n v="1"/>
    <m/>
    <n v="0"/>
    <s v="Unknown"/>
    <s v="Unknown"/>
    <s v="Exterior foliated spruce"/>
    <s v="NA"/>
    <s v="NA"/>
    <s v="NA"/>
    <s v="NA"/>
    <m/>
    <m/>
    <s v="NA"/>
    <s v="NA"/>
    <m/>
    <m/>
    <m/>
    <m/>
    <n v="0"/>
    <n v="0"/>
    <n v="0"/>
    <n v="0"/>
    <n v="0"/>
    <n v="0"/>
    <n v="0"/>
    <s v="Searching"/>
    <s v="Pulls something out of tree. Likely &quot;soft&quot;/temporary cache"/>
    <n v="0"/>
    <n v="0"/>
  </r>
  <r>
    <s v="DSCN0090"/>
    <s v="B&amp;U0830_6"/>
    <n v="6"/>
    <n v="1"/>
    <x v="5"/>
    <d v="2018-08-30T00:00:00"/>
    <s v="August"/>
    <s v="Fall"/>
    <d v="1899-12-30T01:36:00"/>
    <d v="1899-12-30T00:01:36"/>
    <x v="81"/>
    <s v="Partly cloudy; light rain"/>
    <x v="6"/>
    <s v="Caching"/>
    <s v="Spruce"/>
    <n v="0"/>
    <m/>
    <n v="1"/>
    <s v="Unknown"/>
    <s v="Unknown"/>
    <s v="unknown"/>
    <s v="Under bark of spruce trunk "/>
    <s v="Spruce"/>
    <s v="Trunk"/>
    <s v="Under bark"/>
    <m/>
    <m/>
    <s v="unknown"/>
    <s v="Did not mark (were not marking at this time)"/>
    <m/>
    <m/>
    <m/>
    <m/>
    <n v="6"/>
    <n v="25"/>
    <n v="16"/>
    <n v="15"/>
    <n v="0"/>
    <n v="0"/>
    <n v="31"/>
    <s v="Searching"/>
    <s v="Something happens at 0:10 mark B&amp;Ut unclear if foraging or caching. Following cache is very clear."/>
    <n v="0"/>
    <n v="0"/>
  </r>
  <r>
    <s v="DSCN0090"/>
    <s v="B&amp;U0830_6"/>
    <n v="6"/>
    <n v="3"/>
    <x v="5"/>
    <d v="2018-08-30T00:00:00"/>
    <s v="August"/>
    <s v="Fall"/>
    <d v="1899-12-30T01:36:00"/>
    <d v="1899-12-30T00:01:36"/>
    <x v="81"/>
    <s v="Partly cloudy; light rain"/>
    <x v="6"/>
    <s v="Caching"/>
    <s v="Spruce"/>
    <n v="0"/>
    <m/>
    <n v="1"/>
    <s v="Unknown"/>
    <s v="Unknown"/>
    <s v="Exterior foliated spruce"/>
    <s v="Exterior spruce branch under bark/witch hair"/>
    <s v="Spruce"/>
    <s v="Exterior"/>
    <s v="Branch under witch hair"/>
    <m/>
    <m/>
    <s v="unknown"/>
    <s v="Did not mark (were not marking at this time)"/>
    <m/>
    <m/>
    <m/>
    <m/>
    <n v="0"/>
    <n v="0"/>
    <n v="0"/>
    <n v="0"/>
    <n v="0"/>
    <n v="0"/>
    <n v="0"/>
    <s v="Searching"/>
    <s v="Caches item from earlier in clip. "/>
    <n v="0"/>
    <n v="0"/>
  </r>
  <r>
    <s v="DSCN0096"/>
    <s v="B&amp;U0830_9"/>
    <n v="9"/>
    <n v="1"/>
    <x v="5"/>
    <d v="2018-08-30T00:00:00"/>
    <s v="August"/>
    <s v="Fall"/>
    <d v="1899-12-30T00:51:00"/>
    <d v="1899-12-30T00:00:51"/>
    <x v="29"/>
    <s v="Partly cloudy; light rain"/>
    <x v="6"/>
    <s v="Caching/foraging"/>
    <s v="Spruce"/>
    <n v="1"/>
    <m/>
    <n v="1"/>
    <s v="Mushroom"/>
    <s v="Mushroom"/>
    <s v="Interior spruce tree"/>
    <s v="Interior spruce foliage"/>
    <s v="Spruce"/>
    <s v="Interior"/>
    <s v="Foliage"/>
    <m/>
    <m/>
    <s v="unknown"/>
    <s v="Did not mark (were not marking at this time)"/>
    <m/>
    <m/>
    <m/>
    <m/>
    <s v="unknown"/>
    <s v="unknown"/>
    <s v="unknown"/>
    <s v="unknown"/>
    <n v="8"/>
    <n v="0"/>
    <n v="8"/>
    <s v="unknown"/>
    <s v="Unclear if foraging or looking for cache location.  Was clearly manipulating food in bill. "/>
    <m/>
    <m/>
  </r>
  <r>
    <s v="DSCN0108"/>
    <s v="RC0831_1"/>
    <n v="1"/>
    <n v="1"/>
    <x v="10"/>
    <d v="2018-08-31T00:00:00"/>
    <s v="August"/>
    <s v="Fall"/>
    <d v="1899-12-30T00:26:00"/>
    <d v="1899-12-30T00:00:26"/>
    <x v="44"/>
    <m/>
    <x v="19"/>
    <s v="Foraging"/>
    <s v="NA"/>
    <n v="0"/>
    <m/>
    <n v="0"/>
    <m/>
    <s v="NA"/>
    <s v="NA"/>
    <s v="NA"/>
    <s v="NA"/>
    <s v="NA"/>
    <s v="NA"/>
    <m/>
    <m/>
    <s v="NA"/>
    <s v="NA"/>
    <m/>
    <m/>
    <m/>
    <m/>
    <n v="0"/>
    <n v="0"/>
    <n v="0"/>
    <n v="0"/>
    <n v="26"/>
    <n v="0"/>
    <n v="26"/>
    <s v="Searching"/>
    <s v="was searching a squirrel midden "/>
    <n v="0"/>
    <n v="0"/>
  </r>
  <r>
    <s v="DSCN0046"/>
    <s v="CC0829_1"/>
    <n v="1"/>
    <n v="1"/>
    <x v="4"/>
    <d v="2018-08-29T00:00:00"/>
    <s v="August"/>
    <s v="Fall"/>
    <d v="1899-12-30T00:10:00"/>
    <d v="1899-12-30T00:00:10"/>
    <x v="49"/>
    <s v="Partly cloudy"/>
    <x v="20"/>
    <s v="Foraging"/>
    <s v="Spruce"/>
    <s v="unknown"/>
    <m/>
    <n v="0"/>
    <m/>
    <s v="NA"/>
    <s v="NA"/>
    <s v="NA"/>
    <s v="NA"/>
    <s v="NA"/>
    <s v="NA"/>
    <m/>
    <m/>
    <s v="NA"/>
    <s v="NA"/>
    <m/>
    <m/>
    <m/>
    <m/>
    <n v="10"/>
    <n v="0"/>
    <n v="10"/>
    <n v="0"/>
    <n v="0"/>
    <n v="0"/>
    <n v="10"/>
    <s v="Searching "/>
    <m/>
    <n v="0"/>
    <n v="0"/>
  </r>
  <r>
    <s v="DSCN0013"/>
    <s v="WW0828_1"/>
    <n v="1"/>
    <n v="1"/>
    <x v="0"/>
    <d v="2018-08-28T00:00:00"/>
    <s v="August"/>
    <s v="Fall"/>
    <d v="1899-12-30T00:42:00"/>
    <d v="1899-12-30T00:00:42"/>
    <x v="26"/>
    <s v="Partly cloudy"/>
    <x v="11"/>
    <s v="Foraging"/>
    <s v="Spruce"/>
    <s v="unknown"/>
    <m/>
    <s v="Unknown"/>
    <s v="Unknown"/>
    <s v="Unknown"/>
    <s v="unknown"/>
    <s v="NA"/>
    <m/>
    <m/>
    <m/>
    <m/>
    <m/>
    <s v="NA"/>
    <s v="NA"/>
    <m/>
    <m/>
    <m/>
    <m/>
    <n v="0"/>
    <n v="44"/>
    <n v="26"/>
    <n v="18"/>
    <n v="0"/>
    <n v="0"/>
    <n v="44"/>
    <s v="Searching"/>
    <m/>
    <n v="0"/>
    <n v="0"/>
  </r>
  <r>
    <s v="DSCN0015"/>
    <s v="WW0828_2"/>
    <n v="2"/>
    <n v="1"/>
    <x v="0"/>
    <d v="2018-08-28T00:00:00"/>
    <s v="August"/>
    <s v="Fall"/>
    <d v="1899-12-30T00:11:00"/>
    <d v="1899-12-30T00:00:11"/>
    <x v="11"/>
    <s v="Partly cloudy"/>
    <x v="11"/>
    <s v="Foraging"/>
    <s v="Spruce"/>
    <s v="unknown"/>
    <m/>
    <n v="0"/>
    <s v="Unknown"/>
    <s v="Unknown"/>
    <s v="unknown"/>
    <s v="NA"/>
    <s v="NA"/>
    <s v="NA"/>
    <s v="NA"/>
    <m/>
    <m/>
    <s v="NA"/>
    <s v="NA"/>
    <m/>
    <m/>
    <m/>
    <m/>
    <n v="0"/>
    <n v="10"/>
    <n v="0"/>
    <n v="10"/>
    <n v="0"/>
    <n v="0"/>
    <n v="10"/>
    <s v="Gleaning"/>
    <m/>
    <n v="0"/>
    <n v="1"/>
  </r>
  <r>
    <s v="DSCN0020"/>
    <s v="WW0828_3"/>
    <n v="3"/>
    <n v="1"/>
    <x v="0"/>
    <d v="2018-08-28T00:00:00"/>
    <s v="August"/>
    <s v="Fall"/>
    <d v="1899-12-30T00:28:00"/>
    <d v="1899-12-30T00:00:28"/>
    <x v="68"/>
    <s v="Partly cloudy"/>
    <x v="11"/>
    <s v="Food handling"/>
    <s v="Spruce"/>
    <n v="1"/>
    <m/>
    <n v="0"/>
    <s v="Unknown"/>
    <s v="Unknown"/>
    <s v="unknown"/>
    <s v="NA"/>
    <s v="NA"/>
    <s v="NA"/>
    <s v="NA"/>
    <m/>
    <m/>
    <s v="NA"/>
    <s v="NA"/>
    <m/>
    <m/>
    <m/>
    <m/>
    <n v="21"/>
    <n v="0"/>
    <n v="0"/>
    <n v="21"/>
    <n v="0"/>
    <n v="0"/>
    <n v="21"/>
    <s v="Food handling"/>
    <s v="Best guess is dried animal product "/>
    <n v="0"/>
    <n v="0"/>
  </r>
  <r>
    <s v="DSCN0021"/>
    <s v="WW0828_4"/>
    <n v="4"/>
    <n v="1"/>
    <x v="0"/>
    <d v="2018-08-28T00:00:00"/>
    <s v="August"/>
    <s v="Fall"/>
    <d v="1899-12-30T00:33:00"/>
    <d v="1899-12-30T00:00:33"/>
    <x v="8"/>
    <s v="Partly cloudy"/>
    <x v="11"/>
    <s v="Caching, forgaging"/>
    <s v="Spruce"/>
    <s v="unknown"/>
    <m/>
    <n v="1"/>
    <s v="Unknown"/>
    <s v="Unknown"/>
    <s v="unknown"/>
    <s v="Spruce trunk under bark"/>
    <s v="Spruce"/>
    <s v="Trunk"/>
    <s v="Under bark"/>
    <m/>
    <m/>
    <s v="unknown"/>
    <s v="Did not mark (did not recognize as cache while in field)"/>
    <m/>
    <m/>
    <m/>
    <m/>
    <n v="33"/>
    <n v="0"/>
    <n v="33"/>
    <n v="0"/>
    <n v="0"/>
    <n v="0"/>
    <n v="33"/>
    <s v="Gleaning"/>
    <s v="Birds moves to other side of trunk and emerges with food.  Unclear if it got from from trunk or is just manipulating previously aquired food though so not counted as food acquisition. "/>
    <n v="0"/>
    <n v="0"/>
  </r>
  <r>
    <s v="DSCN0021"/>
    <s v="WW0828_4"/>
    <n v="4"/>
    <n v="2"/>
    <x v="0"/>
    <d v="2018-08-28T00:00:00"/>
    <s v="August"/>
    <s v="Fall"/>
    <d v="1899-12-30T00:33:00"/>
    <d v="1899-12-30T00:00:33"/>
    <x v="8"/>
    <s v="Partly cloudy"/>
    <x v="11"/>
    <s v="Foraging"/>
    <s v="Spruce"/>
    <s v="unknown"/>
    <m/>
    <n v="1"/>
    <s v="Unknown"/>
    <s v="Unknown"/>
    <s v="unknown"/>
    <s v="Interior bare spruce branch"/>
    <s v="Spruce"/>
    <s v="Interior"/>
    <s v="Branch"/>
    <m/>
    <m/>
    <s v="unknown"/>
    <s v="Did not mark (did not recognize as cache while in field)"/>
    <m/>
    <m/>
    <m/>
    <m/>
    <n v="0"/>
    <n v="0"/>
    <n v="0"/>
    <n v="0"/>
    <n v="0"/>
    <n v="0"/>
    <n v="0"/>
    <s v="Gleaning"/>
    <m/>
    <n v="0"/>
    <n v="0"/>
  </r>
  <r>
    <s v="DSCN0026"/>
    <s v="WW0828_7"/>
    <n v="7"/>
    <n v="1"/>
    <x v="0"/>
    <d v="2018-08-28T00:00:00"/>
    <s v="August"/>
    <s v="Fall"/>
    <d v="1899-12-30T00:21:00"/>
    <d v="1899-12-30T00:00:21"/>
    <x v="89"/>
    <s v="Partly cloudy"/>
    <x v="11"/>
    <s v="Foraging"/>
    <s v="NA"/>
    <s v="unknown"/>
    <m/>
    <n v="0"/>
    <s v="Unknown"/>
    <s v="Unknown"/>
    <s v="unknown"/>
    <s v="NA"/>
    <s v="NA"/>
    <s v="NA"/>
    <s v="NA"/>
    <m/>
    <m/>
    <s v="NA"/>
    <s v="NA"/>
    <m/>
    <m/>
    <m/>
    <m/>
    <n v="0"/>
    <n v="0"/>
    <n v="0"/>
    <n v="0"/>
    <n v="15"/>
    <n v="0"/>
    <n v="15"/>
    <s v="Searching/gleaning"/>
    <m/>
    <n v="0"/>
    <s v="unknown"/>
  </r>
  <r>
    <s v="DSCN0032"/>
    <s v="WW0828_10"/>
    <n v="10"/>
    <n v="1"/>
    <x v="0"/>
    <d v="2018-08-28T00:00:00"/>
    <s v="August"/>
    <s v="Fall"/>
    <d v="1899-12-30T00:41:00"/>
    <d v="1899-12-30T00:00:41"/>
    <x v="19"/>
    <s v="Partly cloudy"/>
    <x v="11"/>
    <s v="Foraging"/>
    <s v="Spruce"/>
    <n v="0"/>
    <m/>
    <n v="0"/>
    <m/>
    <s v="NA"/>
    <s v="NA"/>
    <s v="NA"/>
    <s v="NA"/>
    <s v="NA"/>
    <s v="NA"/>
    <m/>
    <m/>
    <s v="NA"/>
    <s v="NA"/>
    <m/>
    <m/>
    <m/>
    <m/>
    <n v="0"/>
    <n v="0"/>
    <n v="0"/>
    <n v="0"/>
    <n v="0"/>
    <n v="0"/>
    <n v="0"/>
    <s v="Searching"/>
    <s v="General searching from branch/perches"/>
    <n v="0"/>
    <n v="0"/>
  </r>
  <r>
    <s v="DSCN0037"/>
    <s v="WW0828_13"/>
    <n v="13"/>
    <n v="1"/>
    <x v="0"/>
    <d v="2018-08-28T00:00:00"/>
    <s v="August"/>
    <s v="Fall"/>
    <d v="1899-12-30T00:12:00"/>
    <d v="1899-12-30T00:00:12"/>
    <x v="61"/>
    <s v="Partly cloudy"/>
    <x v="11"/>
    <s v="Foraging"/>
    <s v="Spruce"/>
    <n v="1"/>
    <m/>
    <n v="0"/>
    <s v="Unknown"/>
    <s v="unknown food bolous (or berry?)"/>
    <s v="Interior spruce foliage"/>
    <s v="NA"/>
    <s v="NA"/>
    <s v="NA"/>
    <s v="NA"/>
    <m/>
    <m/>
    <s v="NA"/>
    <s v="NA"/>
    <m/>
    <m/>
    <m/>
    <m/>
    <n v="0"/>
    <n v="5"/>
    <n v="0"/>
    <n v="5"/>
    <n v="0"/>
    <n v="0"/>
    <n v="5"/>
    <s v="Gleaning"/>
    <s v="Looks like bolous"/>
    <n v="0"/>
    <n v="1"/>
  </r>
  <r>
    <s v="DSCN0043"/>
    <s v="B&amp;U0828_1"/>
    <n v="1"/>
    <n v="1"/>
    <x v="5"/>
    <d v="2018-08-28T00:00:00"/>
    <s v="August"/>
    <s v="Fall"/>
    <d v="1899-12-30T00:14:00"/>
    <d v="1899-12-30T00:00:14"/>
    <x v="59"/>
    <s v="Partly cloudy"/>
    <x v="11"/>
    <s v="Foraging"/>
    <s v="Spruce"/>
    <s v="unknown"/>
    <m/>
    <n v="0"/>
    <s v="Unknown"/>
    <s v="Unknown"/>
    <s v="NA"/>
    <s v="NA"/>
    <s v="NA"/>
    <s v="NA"/>
    <s v="NA"/>
    <m/>
    <m/>
    <s v="NA"/>
    <s v="NA"/>
    <m/>
    <m/>
    <m/>
    <m/>
    <n v="0"/>
    <n v="7"/>
    <n v="0"/>
    <n v="7"/>
    <n v="0"/>
    <n v="0"/>
    <n v="7"/>
    <s v="Gleaning"/>
    <m/>
    <n v="0"/>
    <n v="1"/>
  </r>
  <r>
    <s v="DSCN0055"/>
    <s v="CC0829_2"/>
    <n v="2"/>
    <n v="1"/>
    <x v="4"/>
    <d v="2018-08-29T00:00:00"/>
    <s v="August"/>
    <s v="Fall"/>
    <d v="1899-12-30T00:41:00"/>
    <d v="1899-12-30T00:00:41"/>
    <x v="19"/>
    <s v="Partly cloudy"/>
    <x v="11"/>
    <s v="Foraging"/>
    <s v="Spruce"/>
    <s v="unknown"/>
    <m/>
    <s v="Unknown"/>
    <s v="Unknown"/>
    <s v="Unknown"/>
    <s v="unknown"/>
    <s v="unknown"/>
    <m/>
    <m/>
    <m/>
    <m/>
    <m/>
    <s v="NA"/>
    <s v="NA"/>
    <m/>
    <m/>
    <m/>
    <m/>
    <n v="0"/>
    <n v="8"/>
    <n v="0"/>
    <n v="8"/>
    <n v="0"/>
    <n v="0"/>
    <n v="8"/>
    <s v="Gleaning"/>
    <m/>
    <n v="0"/>
    <n v="2"/>
  </r>
  <r>
    <s v="DSCN0065"/>
    <s v="WW0830_1"/>
    <n v="1"/>
    <n v="1"/>
    <x v="0"/>
    <d v="2018-08-30T00:00:00"/>
    <s v="August"/>
    <s v="Fall"/>
    <d v="1899-12-30T00:19:00"/>
    <d v="1899-12-30T00:00:19"/>
    <x v="17"/>
    <s v="Partly cloudy; light rain"/>
    <x v="11"/>
    <s v="Foraging/food handling"/>
    <s v="NA"/>
    <n v="1"/>
    <m/>
    <n v="0"/>
    <s v="Insect"/>
    <s v="Insect (slug)"/>
    <s v="ground"/>
    <s v="NA"/>
    <s v="NA"/>
    <s v="NA"/>
    <s v="NA"/>
    <m/>
    <m/>
    <s v="NA"/>
    <s v="NA"/>
    <m/>
    <m/>
    <m/>
    <m/>
    <n v="0"/>
    <n v="0"/>
    <n v="0"/>
    <n v="0"/>
    <n v="0"/>
    <n v="0"/>
    <n v="0"/>
    <s v="Food handling"/>
    <m/>
    <m/>
    <m/>
  </r>
  <r>
    <s v="DSCN0110"/>
    <s v="RC0831_2"/>
    <n v="2"/>
    <n v="1"/>
    <x v="10"/>
    <d v="2018-08-31T00:00:00"/>
    <s v="August"/>
    <s v="Fall"/>
    <d v="1899-12-30T00:37:00"/>
    <d v="1899-12-30T00:00:37"/>
    <x v="34"/>
    <m/>
    <x v="11"/>
    <s v="Foraging"/>
    <s v="NA"/>
    <n v="1"/>
    <m/>
    <n v="0"/>
    <s v="Berry"/>
    <s v="Berry (Blueberry)"/>
    <s v="Ground"/>
    <s v="NA"/>
    <s v="NA"/>
    <s v="NA"/>
    <s v="NA"/>
    <m/>
    <m/>
    <s v="NA"/>
    <s v="NA"/>
    <m/>
    <m/>
    <m/>
    <m/>
    <n v="0"/>
    <n v="0"/>
    <n v="0"/>
    <n v="0"/>
    <n v="6"/>
    <n v="0"/>
    <n v="6"/>
    <s v="plucking berries"/>
    <m/>
    <m/>
    <m/>
  </r>
  <r>
    <s v="DSCN0115"/>
    <s v="RC0831_3"/>
    <n v="3"/>
    <n v="1"/>
    <x v="10"/>
    <d v="2018-08-31T00:00:00"/>
    <s v="August"/>
    <s v="Fall"/>
    <d v="1899-12-30T00:55:00"/>
    <d v="1899-12-30T00:00:55"/>
    <x v="51"/>
    <m/>
    <x v="11"/>
    <s v="Foraging"/>
    <s v="Spruce"/>
    <n v="1"/>
    <m/>
    <n v="0"/>
    <s v="Unknown"/>
    <s v="Unknown"/>
    <s v="Ground"/>
    <s v="NA"/>
    <s v="NA"/>
    <s v="NA"/>
    <s v="NA"/>
    <m/>
    <m/>
    <s v="NA"/>
    <s v="NA"/>
    <m/>
    <m/>
    <m/>
    <m/>
    <n v="0"/>
    <n v="0"/>
    <n v="0"/>
    <n v="0"/>
    <n v="19"/>
    <n v="0"/>
    <n v="19"/>
    <s v="unknown"/>
    <s v="Has piece of food while in spruce tree, B&amp;Ut unclear where it got it from.  "/>
    <m/>
    <m/>
  </r>
  <r>
    <s v="DSCN0115"/>
    <s v="RC0831_3"/>
    <n v="3"/>
    <n v="2"/>
    <x v="10"/>
    <d v="2018-08-31T00:00:00"/>
    <s v="August"/>
    <s v="Fall"/>
    <d v="1899-12-30T00:55:00"/>
    <d v="1899-12-30T00:00:55"/>
    <x v="51"/>
    <m/>
    <x v="11"/>
    <s v="Foraging"/>
    <s v="Spruce"/>
    <n v="1"/>
    <m/>
    <n v="0"/>
    <s v="Unknown"/>
    <s v="Unknown"/>
    <s v="Ground"/>
    <s v="NA"/>
    <s v="NA"/>
    <s v="NA"/>
    <s v="NA"/>
    <m/>
    <m/>
    <s v="NA"/>
    <s v="NA"/>
    <m/>
    <m/>
    <m/>
    <m/>
    <n v="0"/>
    <n v="0"/>
    <n v="0"/>
    <n v="0"/>
    <n v="0"/>
    <n v="0"/>
    <n v="0"/>
    <s v="unknown"/>
    <s v="(foraging obscured by veg)"/>
    <m/>
    <m/>
  </r>
  <r>
    <s v="DSCN0123"/>
    <s v="M3.50831_1"/>
    <n v="1"/>
    <n v="1"/>
    <x v="11"/>
    <d v="2018-08-31T00:00:00"/>
    <s v="August"/>
    <s v="Fall"/>
    <d v="1899-12-30T00:33:00"/>
    <d v="1899-12-30T00:00:33"/>
    <x v="8"/>
    <m/>
    <x v="11"/>
    <s v="Foraging"/>
    <s v="Spruce"/>
    <s v="unknown"/>
    <m/>
    <s v="Unknown"/>
    <s v="Unknown"/>
    <s v="Unknown"/>
    <s v="NA"/>
    <s v="NA"/>
    <m/>
    <m/>
    <m/>
    <m/>
    <m/>
    <s v="NA"/>
    <s v="NA"/>
    <m/>
    <m/>
    <m/>
    <m/>
    <n v="33"/>
    <n v="0"/>
    <n v="33"/>
    <n v="0"/>
    <n v="0"/>
    <n v="0"/>
    <n v="33"/>
    <s v="unknown"/>
    <m/>
    <m/>
    <m/>
  </r>
  <r>
    <s v="DSCN0133"/>
    <s v="M3.50831_6"/>
    <n v="6"/>
    <n v="1"/>
    <x v="11"/>
    <d v="2018-08-31T00:00:00"/>
    <s v="August"/>
    <s v="Fall"/>
    <d v="1899-12-30T00:18:00"/>
    <d v="1899-12-30T00:00:18"/>
    <x v="13"/>
    <m/>
    <x v="11"/>
    <s v="Foraging"/>
    <s v="Spruce"/>
    <n v="1"/>
    <m/>
    <n v="0"/>
    <s v="Unknown"/>
    <s v="Unknown"/>
    <s v="Interior spruce foliage"/>
    <s v="NA"/>
    <s v="NA"/>
    <s v="NA"/>
    <s v="NA"/>
    <m/>
    <m/>
    <s v="NA"/>
    <s v="NA"/>
    <m/>
    <m/>
    <m/>
    <m/>
    <n v="0"/>
    <n v="0"/>
    <n v="0"/>
    <n v="0"/>
    <n v="0"/>
    <n v="0"/>
    <n v="0"/>
    <m/>
    <s v="recovered large (almond sized) object from spruce needles.  Possibly previous cache? "/>
    <m/>
    <m/>
  </r>
  <r>
    <s v="DSCN0126"/>
    <s v="M3.50831_2"/>
    <n v="2"/>
    <n v="1"/>
    <x v="11"/>
    <d v="2018-08-31T00:00:00"/>
    <s v="August"/>
    <s v="Fall"/>
    <d v="1899-12-30T00:07:00"/>
    <d v="1899-12-30T00:00:07"/>
    <x v="10"/>
    <m/>
    <x v="21"/>
    <s v="Foraging"/>
    <s v="Spruce"/>
    <s v="unknown"/>
    <m/>
    <s v="Unknown"/>
    <s v="Unknown"/>
    <s v="Unknown"/>
    <s v="NA"/>
    <s v="NA"/>
    <m/>
    <m/>
    <m/>
    <m/>
    <m/>
    <s v="NA"/>
    <s v="NA"/>
    <m/>
    <m/>
    <m/>
    <m/>
    <n v="0"/>
    <n v="7"/>
    <n v="0"/>
    <n v="7"/>
    <n v="0"/>
    <n v="0"/>
    <n v="7"/>
    <s v="Gleaning"/>
    <n v="0"/>
    <n v="0"/>
    <n v="5"/>
  </r>
  <r>
    <s v="DSCN0083"/>
    <s v="B&amp;U0830_2"/>
    <n v="2"/>
    <n v="1"/>
    <x v="5"/>
    <d v="2018-08-30T00:00:00"/>
    <s v="August"/>
    <s v="Fall"/>
    <d v="1899-12-30T00:45:00"/>
    <d v="1899-12-30T00:00:45"/>
    <x v="25"/>
    <s v="Partly cloudy; light rain"/>
    <x v="14"/>
    <s v="Unknown"/>
    <s v="Spruce"/>
    <s v="unknown"/>
    <m/>
    <s v="Unknown"/>
    <s v="Unknown"/>
    <s v="Unknown"/>
    <s v="unknown"/>
    <s v="unknown"/>
    <m/>
    <m/>
    <m/>
    <m/>
    <m/>
    <s v="NA"/>
    <s v="NA"/>
    <m/>
    <m/>
    <m/>
    <m/>
    <s v="unknown"/>
    <s v="unknown"/>
    <s v="unknown"/>
    <s v="unknown"/>
    <n v="0"/>
    <n v="0"/>
    <n v="0"/>
    <s v="unknown"/>
    <s v="Was doing something in the foliated interior of a spruce B&amp;Ut who knows what?! "/>
    <n v="0"/>
    <n v="0"/>
  </r>
  <r>
    <s v="DSCN0085"/>
    <s v="B&amp;U0830_3"/>
    <n v="3"/>
    <n v="1"/>
    <x v="5"/>
    <d v="2018-08-30T00:00:00"/>
    <s v="August"/>
    <s v="Fall"/>
    <d v="1899-12-30T00:51:00"/>
    <d v="1899-12-30T00:00:51"/>
    <x v="29"/>
    <s v="Partly cloudy; light rain"/>
    <x v="14"/>
    <s v="Foraging/unknown"/>
    <s v="Spruce"/>
    <s v="unknown"/>
    <m/>
    <s v="Unknown"/>
    <s v="Unknown"/>
    <s v="Unknown"/>
    <s v="NA"/>
    <s v="NA"/>
    <m/>
    <m/>
    <m/>
    <m/>
    <m/>
    <s v="NA"/>
    <s v="NA"/>
    <m/>
    <m/>
    <m/>
    <m/>
    <n v="23"/>
    <n v="0"/>
    <n v="0"/>
    <n v="23"/>
    <n v="0"/>
    <n v="0"/>
    <n v="23"/>
    <s v="Searching; unknown"/>
    <s v="Spent 22 second in interior on trunk doing something…"/>
    <n v="0"/>
    <n v="0"/>
  </r>
  <r>
    <s v="DSCN0088"/>
    <s v="B&amp;U0830_4"/>
    <n v="4"/>
    <n v="1"/>
    <x v="5"/>
    <d v="2018-08-30T00:00:00"/>
    <s v="August"/>
    <s v="Fall"/>
    <d v="1899-12-30T00:32:00"/>
    <d v="1899-12-30T00:00:32"/>
    <x v="21"/>
    <s v="Partly cloudy; light rain"/>
    <x v="14"/>
    <s v="Food handling"/>
    <s v="Spruce"/>
    <n v="1"/>
    <m/>
    <s v="Unknown"/>
    <s v="Mushroom"/>
    <s v="Mushroom"/>
    <s v="Unknown"/>
    <s v="NA"/>
    <m/>
    <m/>
    <m/>
    <m/>
    <m/>
    <s v="NA"/>
    <s v="NA"/>
    <m/>
    <m/>
    <m/>
    <m/>
    <n v="0"/>
    <n v="0"/>
    <n v="0"/>
    <n v="0"/>
    <n v="0"/>
    <n v="0"/>
    <n v="0"/>
    <s v="Food handling"/>
    <s v="Eating mushroom; two locations "/>
    <n v="0"/>
    <n v="0"/>
  </r>
  <r>
    <s v="DSCN0092"/>
    <s v="B&amp;U0830_7"/>
    <n v="7"/>
    <n v="1"/>
    <x v="5"/>
    <d v="2018-08-30T00:00:00"/>
    <s v="August"/>
    <s v="Fall"/>
    <d v="1899-12-30T00:28:00"/>
    <d v="1899-12-30T00:00:28"/>
    <x v="68"/>
    <s v="Partly cloudy; light rain"/>
    <x v="14"/>
    <s v="Unknown"/>
    <s v="Spruce"/>
    <s v="unknown"/>
    <m/>
    <s v="Unknown"/>
    <s v="Unknown"/>
    <s v="Unknown"/>
    <s v="unknown"/>
    <s v="unknown"/>
    <m/>
    <m/>
    <m/>
    <m/>
    <m/>
    <s v="NA"/>
    <s v="NA"/>
    <m/>
    <m/>
    <m/>
    <m/>
    <s v="unknown"/>
    <s v="unknown"/>
    <s v="unknown"/>
    <s v="unknown"/>
    <n v="0"/>
    <n v="0"/>
    <n v="0"/>
    <s v="unknown"/>
    <s v="Foraging? Looking for cache site? Unclear. "/>
    <n v="0"/>
    <n v="0"/>
  </r>
  <r>
    <s v="DSCN0094"/>
    <s v="B&amp;U0830_8"/>
    <n v="8"/>
    <n v="1"/>
    <x v="5"/>
    <d v="2018-08-30T00:00:00"/>
    <s v="August"/>
    <s v="Fall"/>
    <d v="1899-12-30T00:08:00"/>
    <d v="1899-12-30T00:00:08"/>
    <x v="67"/>
    <s v="Partly cloudy; light rain"/>
    <x v="14"/>
    <s v="Foraging"/>
    <s v="Spruce"/>
    <n v="1"/>
    <m/>
    <n v="0"/>
    <s v="Animal flesh"/>
    <s v="Animal/invert flesh "/>
    <s v="Spruce branch"/>
    <s v="NA"/>
    <s v="NA"/>
    <s v="NA"/>
    <s v="NA"/>
    <m/>
    <m/>
    <s v="NA"/>
    <s v="NA"/>
    <m/>
    <m/>
    <m/>
    <m/>
    <n v="0"/>
    <n v="0"/>
    <n v="0"/>
    <n v="0"/>
    <n v="0"/>
    <n v="0"/>
    <n v="0"/>
    <n v="0"/>
    <s v="Food handling only "/>
    <n v="0"/>
    <n v="0"/>
  </r>
  <r>
    <s v="DSCN0097"/>
    <s v="B&amp;U0830_10"/>
    <n v="10"/>
    <n v="1"/>
    <x v="5"/>
    <d v="2018-08-30T00:00:00"/>
    <s v="August"/>
    <s v="Fall"/>
    <d v="1899-12-30T00:30:00"/>
    <d v="1899-12-30T00:00:30"/>
    <x v="69"/>
    <s v="Partly cloudy; light rain"/>
    <x v="14"/>
    <s v="Foraging"/>
    <s v="NA"/>
    <n v="1"/>
    <m/>
    <n v="0"/>
    <s v="Berry"/>
    <s v="Berry (Blueberry)"/>
    <s v="Ground"/>
    <s v="NA"/>
    <s v="NA"/>
    <s v="NA"/>
    <s v="NA"/>
    <m/>
    <m/>
    <s v="NA"/>
    <s v="NA"/>
    <m/>
    <m/>
    <m/>
    <m/>
    <n v="0"/>
    <n v="0"/>
    <n v="0"/>
    <n v="0"/>
    <n v="20"/>
    <n v="0"/>
    <n v="20"/>
    <s v="Searching "/>
    <m/>
    <n v="0"/>
    <n v="0"/>
  </r>
  <r>
    <s v="DSCN0100"/>
    <s v="B&amp;U0830_11"/>
    <n v="11"/>
    <n v="1"/>
    <x v="5"/>
    <d v="2018-08-30T00:00:00"/>
    <s v="August"/>
    <s v="Fall"/>
    <d v="1899-12-30T01:54:00"/>
    <d v="1899-12-30T00:01:54"/>
    <x v="76"/>
    <s v="Partly cloudy; light rain"/>
    <x v="14"/>
    <s v="Foraging"/>
    <s v="Spruce"/>
    <n v="1"/>
    <m/>
    <n v="0"/>
    <s v="Unknown"/>
    <s v="Unknown"/>
    <s v="Spruce bare branch"/>
    <s v="NA"/>
    <s v="NA"/>
    <s v="NA"/>
    <s v="NA"/>
    <m/>
    <m/>
    <s v="NA"/>
    <s v="NA"/>
    <m/>
    <m/>
    <m/>
    <m/>
    <n v="18"/>
    <n v="0"/>
    <n v="0"/>
    <n v="18"/>
    <n v="0"/>
    <n v="0"/>
    <n v="18"/>
    <s v="Searching "/>
    <m/>
    <n v="0"/>
    <n v="0"/>
  </r>
  <r>
    <s v="DSCN0101"/>
    <s v="B&amp;U0830_12"/>
    <n v="12"/>
    <n v="1"/>
    <x v="5"/>
    <d v="2018-08-30T00:00:00"/>
    <s v="August"/>
    <s v="Fall"/>
    <d v="1899-12-30T00:35:00"/>
    <d v="1899-12-30T00:00:35"/>
    <x v="62"/>
    <s v="Partly cloudy; light rain"/>
    <x v="14"/>
    <s v="Foraging"/>
    <s v="Spruce"/>
    <s v="unknown"/>
    <m/>
    <n v="0"/>
    <s v="Unknown"/>
    <s v="Unknown"/>
    <s v="NA"/>
    <s v="NA"/>
    <s v="NA"/>
    <s v="NA"/>
    <s v="NA"/>
    <m/>
    <m/>
    <s v="NA"/>
    <s v="NA"/>
    <m/>
    <m/>
    <m/>
    <m/>
    <n v="18"/>
    <n v="0"/>
    <n v="18"/>
    <n v="0"/>
    <n v="0"/>
    <n v="0"/>
    <n v="18"/>
    <s v="Searching "/>
    <m/>
    <n v="0"/>
    <n v="1"/>
  </r>
  <r>
    <s v="DSCN0128"/>
    <s v="M3.50831_3"/>
    <n v="3"/>
    <n v="1"/>
    <x v="11"/>
    <d v="2018-08-31T00:00:00"/>
    <s v="August"/>
    <s v="Fall"/>
    <d v="1899-12-30T00:39:00"/>
    <d v="1899-12-30T00:00:39"/>
    <x v="1"/>
    <m/>
    <x v="22"/>
    <s v="Foraging or caching"/>
    <s v="Spruce"/>
    <s v="unknown"/>
    <m/>
    <s v="Unknown"/>
    <s v="Unknown"/>
    <s v="Unknown"/>
    <s v="NA"/>
    <s v="NA"/>
    <m/>
    <m/>
    <m/>
    <m/>
    <m/>
    <s v="NA"/>
    <s v="NA"/>
    <m/>
    <m/>
    <m/>
    <m/>
    <n v="34"/>
    <n v="0"/>
    <n v="0"/>
    <n v="34"/>
    <n v="0"/>
    <n v="0"/>
    <n v="34"/>
    <s v="Gleaning"/>
    <n v="0"/>
    <n v="0"/>
    <n v="5"/>
  </r>
  <r>
    <s v="DSCN0130"/>
    <s v="M3.50831_4"/>
    <n v="4"/>
    <n v="1"/>
    <x v="11"/>
    <d v="2018-08-31T00:00:00"/>
    <s v="August"/>
    <s v="Fall"/>
    <d v="1899-12-30T00:27:00"/>
    <d v="1899-12-30T00:00:27"/>
    <x v="52"/>
    <m/>
    <x v="22"/>
    <s v="Foraging"/>
    <s v="Spruce"/>
    <n v="1"/>
    <m/>
    <n v="0"/>
    <s v="Unknown"/>
    <s v="Unknown"/>
    <s v="Spruce foliage"/>
    <s v="NA"/>
    <s v="NA"/>
    <s v="NA"/>
    <s v="NA"/>
    <m/>
    <m/>
    <s v="NA"/>
    <s v="NA"/>
    <m/>
    <m/>
    <m/>
    <m/>
    <n v="0"/>
    <n v="21"/>
    <n v="0"/>
    <n v="21"/>
    <n v="0"/>
    <n v="0"/>
    <n v="21"/>
    <s v="Gleaning"/>
    <n v="0"/>
    <n v="3"/>
    <m/>
  </r>
  <r>
    <s v="DSCN0131"/>
    <s v="M3.50831_5"/>
    <n v="5"/>
    <n v="1"/>
    <x v="11"/>
    <d v="2018-08-31T00:00:00"/>
    <s v="August"/>
    <s v="Fall"/>
    <d v="1899-12-30T00:06:00"/>
    <d v="1899-12-30T00:00:06"/>
    <x v="94"/>
    <m/>
    <x v="22"/>
    <s v="Food handling"/>
    <s v="Spruce"/>
    <n v="1"/>
    <m/>
    <n v="0"/>
    <s v="Insect"/>
    <s v="Insect (grub of caterpillar)"/>
    <s v="unknown"/>
    <s v="NA"/>
    <s v="NA"/>
    <s v="NA"/>
    <s v="NA"/>
    <m/>
    <m/>
    <s v="NA"/>
    <s v="NA"/>
    <m/>
    <m/>
    <m/>
    <m/>
    <n v="0"/>
    <n v="0"/>
    <n v="0"/>
    <n v="0"/>
    <n v="0"/>
    <n v="0"/>
    <n v="0"/>
    <s v="NA"/>
    <s v="NA"/>
    <m/>
    <m/>
  </r>
  <r>
    <s v="DSCN0056"/>
    <s v="CC0829_3"/>
    <n v="3"/>
    <n v="1"/>
    <x v="4"/>
    <d v="2018-08-29T00:00:00"/>
    <s v="August"/>
    <s v="Fall"/>
    <d v="1899-12-30T00:27:00"/>
    <d v="1899-12-30T00:00:27"/>
    <x v="52"/>
    <s v="Partly cloudy"/>
    <x v="23"/>
    <s v="Foraging"/>
    <s v="Spruce"/>
    <s v="unknown"/>
    <m/>
    <s v="Unknown"/>
    <s v="Unknown"/>
    <s v="Unknown"/>
    <s v="unknown"/>
    <s v="unknown"/>
    <m/>
    <m/>
    <m/>
    <m/>
    <m/>
    <s v="NA"/>
    <s v="NA"/>
    <m/>
    <m/>
    <m/>
    <m/>
    <n v="24"/>
    <n v="0"/>
    <n v="24"/>
    <n v="0"/>
    <n v="0"/>
    <n v="0"/>
    <n v="24"/>
    <s v="Gleaning"/>
    <s v="Multiple birds "/>
    <n v="0"/>
    <s v="unknown"/>
  </r>
  <r>
    <s v="DSCN2562"/>
    <s v="WW0326_2"/>
    <n v="2"/>
    <n v="1"/>
    <x v="0"/>
    <d v="2019-03-26T00:00:00"/>
    <s v="March"/>
    <s v="Spring"/>
    <d v="1899-12-30T00:53:00"/>
    <d v="1899-12-30T00:00:53"/>
    <x v="75"/>
    <s v="Partly Sunny"/>
    <x v="0"/>
    <s v="Foraging"/>
    <s v="NA"/>
    <n v="1"/>
    <n v="0"/>
    <n v="0"/>
    <s v="Unknown"/>
    <s v="unknown"/>
    <s v="Ground"/>
    <s v="NA"/>
    <m/>
    <m/>
    <m/>
    <s v="NA"/>
    <s v="NA"/>
    <s v="NA"/>
    <s v="NA"/>
    <s v="NA"/>
    <m/>
    <m/>
    <m/>
    <n v="0"/>
    <n v="0"/>
    <n v="0"/>
    <n v="0"/>
    <n v="20"/>
    <m/>
    <n v="20"/>
    <s v="Searching"/>
    <m/>
    <m/>
    <m/>
  </r>
  <r>
    <s v="DSCN2563"/>
    <s v="WW0326_3"/>
    <n v="3"/>
    <n v="1"/>
    <x v="0"/>
    <d v="2019-03-26T00:00:00"/>
    <s v="March"/>
    <s v="Spring"/>
    <d v="1899-12-30T00:56:00"/>
    <d v="1899-12-30T00:00:56"/>
    <x v="46"/>
    <s v="Partly Sunny"/>
    <x v="0"/>
    <s v="Foraging/caching"/>
    <s v="Spruce"/>
    <n v="1"/>
    <n v="0"/>
    <n v="1"/>
    <s v="Berry"/>
    <s v="Berries (3)"/>
    <s v="Ground"/>
    <s v="Exterior spruce branch under witch hair"/>
    <s v="Spruce"/>
    <s v="Exterior"/>
    <s v="Under witchhair"/>
    <s v="N"/>
    <n v="335"/>
    <n v="3"/>
    <n v="63.73948"/>
    <n v="148.89815999999999"/>
    <m/>
    <m/>
    <m/>
    <n v="0"/>
    <n v="0"/>
    <n v="0"/>
    <n v="0"/>
    <n v="34"/>
    <m/>
    <n v="34"/>
    <m/>
    <s v="Food acquisition=3 berries B&amp;Ut presumable only cached one. "/>
    <m/>
    <m/>
  </r>
  <r>
    <s v="DSCN2561"/>
    <s v="WW0326_1"/>
    <n v="1"/>
    <n v="1"/>
    <x v="0"/>
    <d v="2019-03-26T00:00:00"/>
    <s v="March"/>
    <s v="Spring"/>
    <d v="1899-12-30T00:30:00"/>
    <d v="1899-12-30T00:00:30"/>
    <x v="69"/>
    <s v="Partly Sunny"/>
    <x v="0"/>
    <s v="Foraging"/>
    <s v="Spruce"/>
    <n v="1"/>
    <n v="1"/>
    <n v="0"/>
    <s v="Berry"/>
    <s v="Berry (cranberry)"/>
    <s v="Exterior spruce bare branch under bark"/>
    <s v="NA"/>
    <m/>
    <m/>
    <m/>
    <s v="NA"/>
    <s v="NA"/>
    <s v="NA"/>
    <s v="NA"/>
    <s v="NA"/>
    <m/>
    <m/>
    <m/>
    <n v="0"/>
    <n v="0"/>
    <n v="0"/>
    <n v="0"/>
    <n v="0"/>
    <m/>
    <n v="0"/>
    <s v="NA"/>
    <s v="Flew straight to cache from other branch"/>
    <m/>
    <m/>
  </r>
  <r>
    <s v="DSCN2701"/>
    <s v="WW0330_1"/>
    <n v="1"/>
    <n v="1"/>
    <x v="0"/>
    <d v="2019-03-30T00:00:00"/>
    <s v="March"/>
    <s v="Spring"/>
    <d v="1899-12-30T00:29:00"/>
    <d v="1899-12-30T00:00:29"/>
    <x v="58"/>
    <m/>
    <x v="0"/>
    <s v="Foraging"/>
    <s v="NA"/>
    <n v="1"/>
    <n v="0"/>
    <n v="0"/>
    <s v="Unknown"/>
    <s v="unknown"/>
    <s v="Ground"/>
    <s v="NA"/>
    <m/>
    <m/>
    <m/>
    <s v="NA"/>
    <s v="NA"/>
    <s v="NA"/>
    <s v="NA"/>
    <s v="NA"/>
    <s v="NA"/>
    <s v="NA"/>
    <m/>
    <n v="0"/>
    <n v="0"/>
    <n v="0"/>
    <n v="0"/>
    <n v="29"/>
    <m/>
    <n v="29"/>
    <s v="Searching"/>
    <m/>
    <m/>
    <m/>
  </r>
  <r>
    <s v="DSCN2707"/>
    <s v="WW0330_5"/>
    <n v="5"/>
    <n v="1"/>
    <x v="0"/>
    <d v="2019-03-30T00:00:00"/>
    <s v="March"/>
    <s v="Spring"/>
    <d v="1899-12-30T00:19:00"/>
    <d v="1899-12-30T00:00:19"/>
    <x v="17"/>
    <m/>
    <x v="0"/>
    <s v="Foraging"/>
    <s v="NA"/>
    <n v="1"/>
    <n v="0"/>
    <n v="0"/>
    <s v="Unknown"/>
    <s v="unknown"/>
    <s v="Ground"/>
    <s v="NA"/>
    <m/>
    <m/>
    <m/>
    <s v="NA"/>
    <s v="NA"/>
    <s v="NA"/>
    <s v="NA"/>
    <s v="NA"/>
    <s v="NA"/>
    <s v="NA"/>
    <m/>
    <n v="0"/>
    <n v="0"/>
    <n v="0"/>
    <n v="0"/>
    <n v="19"/>
    <m/>
    <n v="19"/>
    <s v="Searching"/>
    <m/>
    <m/>
    <m/>
  </r>
  <r>
    <s v="DSCN2713"/>
    <s v="WW0330_10"/>
    <n v="10"/>
    <n v="1"/>
    <x v="0"/>
    <d v="2019-03-30T00:00:00"/>
    <s v="March"/>
    <s v="Spring"/>
    <d v="1899-12-30T00:21:00"/>
    <d v="1899-12-30T00:00:21"/>
    <x v="89"/>
    <m/>
    <x v="0"/>
    <s v="Foraging"/>
    <s v="NA"/>
    <n v="2"/>
    <n v="0"/>
    <n v="0"/>
    <s v="Unknown"/>
    <s v="unknown"/>
    <s v="Ground"/>
    <s v="NA"/>
    <m/>
    <m/>
    <m/>
    <s v="NA"/>
    <s v="NA"/>
    <s v="NA"/>
    <s v="NA"/>
    <s v="NA"/>
    <s v="NA"/>
    <s v="NA"/>
    <m/>
    <n v="0"/>
    <n v="0"/>
    <n v="0"/>
    <n v="0"/>
    <n v="21"/>
    <m/>
    <n v="21"/>
    <s v="Searching"/>
    <m/>
    <m/>
    <m/>
  </r>
  <r>
    <s v="DSCN2709"/>
    <s v="WW0330_7"/>
    <n v="7"/>
    <n v="1"/>
    <x v="0"/>
    <d v="2019-03-30T00:00:00"/>
    <s v="March"/>
    <s v="Spring"/>
    <d v="1899-12-30T02:43:00"/>
    <d v="1899-12-30T00:02:43"/>
    <x v="119"/>
    <m/>
    <x v="0"/>
    <s v="Foraging"/>
    <s v="NA"/>
    <n v="2"/>
    <n v="0"/>
    <n v="0"/>
    <s v="Unknown"/>
    <s v="unknown"/>
    <s v="Ground"/>
    <s v="NA"/>
    <m/>
    <m/>
    <m/>
    <s v="NA"/>
    <s v="NA"/>
    <s v="NA"/>
    <s v="NA"/>
    <s v="NA"/>
    <s v="NA"/>
    <s v="NA"/>
    <m/>
    <n v="0"/>
    <n v="0"/>
    <n v="0"/>
    <n v="0"/>
    <n v="77"/>
    <m/>
    <n v="77"/>
    <s v="Searching"/>
    <m/>
    <m/>
    <m/>
  </r>
  <r>
    <s v="DSCN2718"/>
    <s v="WW0330_15"/>
    <n v="15"/>
    <n v="1"/>
    <x v="0"/>
    <d v="2019-03-30T00:00:00"/>
    <s v="March"/>
    <s v="Spring"/>
    <d v="1899-12-30T01:06:00"/>
    <d v="1899-12-30T00:01:06"/>
    <x v="70"/>
    <m/>
    <x v="0"/>
    <s v="Foraging"/>
    <s v="NA"/>
    <n v="3"/>
    <n v="0"/>
    <n v="0"/>
    <s v="Unknown"/>
    <s v="unknown (Probably B&amp;Ugs)"/>
    <s v="Ground"/>
    <s v="NA"/>
    <m/>
    <m/>
    <m/>
    <s v="NA"/>
    <s v="NA"/>
    <s v="NA"/>
    <s v="NA"/>
    <s v="NA"/>
    <s v="NA"/>
    <s v="NA"/>
    <m/>
    <n v="0"/>
    <n v="0"/>
    <n v="0"/>
    <n v="0"/>
    <n v="66"/>
    <m/>
    <n v="66"/>
    <s v="Searching"/>
    <m/>
    <m/>
    <m/>
  </r>
  <r>
    <s v="DSCN2717"/>
    <s v="WW0330_14"/>
    <n v="14"/>
    <n v="1"/>
    <x v="0"/>
    <d v="2019-03-30T00:00:00"/>
    <s v="March"/>
    <s v="Spring"/>
    <d v="1899-12-30T02:48:00"/>
    <d v="1899-12-30T00:02:48"/>
    <x v="120"/>
    <m/>
    <x v="0"/>
    <s v="Foraging"/>
    <s v="NA"/>
    <n v="4"/>
    <n v="0"/>
    <n v="0"/>
    <s v="Unknown"/>
    <s v="unknown"/>
    <s v="Ground"/>
    <s v="NA"/>
    <m/>
    <m/>
    <m/>
    <s v="NA"/>
    <s v="NA"/>
    <s v="NA"/>
    <s v="NA"/>
    <s v="NA"/>
    <s v="NA"/>
    <s v="NA"/>
    <m/>
    <n v="0"/>
    <n v="0"/>
    <n v="0"/>
    <n v="0"/>
    <n v="150"/>
    <m/>
    <n v="150"/>
    <s v="Searching"/>
    <m/>
    <m/>
    <m/>
  </r>
  <r>
    <s v="DSCN2712"/>
    <s v="WW0330_9"/>
    <n v="9"/>
    <n v="1"/>
    <x v="0"/>
    <d v="2019-03-30T00:00:00"/>
    <s v="March"/>
    <s v="Spring"/>
    <d v="1899-12-30T01:00:00"/>
    <d v="1899-12-30T00:01:00"/>
    <x v="79"/>
    <m/>
    <x v="0"/>
    <s v="Foraging"/>
    <s v="NA"/>
    <n v="4"/>
    <n v="0"/>
    <n v="0"/>
    <s v="Unknown"/>
    <s v="unknown"/>
    <s v="Ground"/>
    <s v="NA"/>
    <m/>
    <m/>
    <m/>
    <s v="NA"/>
    <s v="NA"/>
    <s v="NA"/>
    <s v="NA"/>
    <s v="NA"/>
    <s v="NA"/>
    <s v="NA"/>
    <m/>
    <n v="0"/>
    <n v="0"/>
    <n v="0"/>
    <n v="0"/>
    <n v="60"/>
    <m/>
    <n v="60"/>
    <s v="Searching"/>
    <m/>
    <m/>
    <m/>
  </r>
  <r>
    <s v="DSCN2716"/>
    <s v="WW0330_13"/>
    <n v="13"/>
    <n v="1"/>
    <x v="0"/>
    <d v="2019-03-30T00:00:00"/>
    <s v="March"/>
    <s v="Spring"/>
    <d v="1899-12-30T01:17:00"/>
    <d v="1899-12-30T00:01:17"/>
    <x v="0"/>
    <m/>
    <x v="0"/>
    <s v="Food handling/caching"/>
    <s v="NA"/>
    <n v="0"/>
    <n v="0"/>
    <n v="1"/>
    <s v="Insect"/>
    <s v="Insect (Balck caterpiller)"/>
    <s v="NA"/>
    <s v="Exterior spruce branch under witch hair"/>
    <s v="Spruce"/>
    <s v="Exterior"/>
    <s v="Under witchhair"/>
    <s v="W"/>
    <n v="280"/>
    <n v="19"/>
    <n v="63.740380000000002"/>
    <n v="148.90360999999999"/>
    <s v="NA"/>
    <s v="NA"/>
    <m/>
    <n v="0"/>
    <n v="0"/>
    <n v="0"/>
    <n v="0"/>
    <n v="0"/>
    <m/>
    <n v="0"/>
    <m/>
    <s v="Caching caterpillar from previous videos"/>
    <m/>
    <m/>
  </r>
  <r>
    <s v="DSCN2720"/>
    <s v="WW0330_17"/>
    <n v="17"/>
    <n v="1"/>
    <x v="0"/>
    <d v="2019-03-30T00:00:00"/>
    <s v="March"/>
    <s v="Spring"/>
    <d v="1899-12-30T00:09:00"/>
    <d v="1899-12-30T00:00:09"/>
    <x v="53"/>
    <m/>
    <x v="0"/>
    <s v="Caching"/>
    <s v="NA"/>
    <n v="0"/>
    <n v="0"/>
    <n v="1"/>
    <s v="Insect"/>
    <s v="Insect (caterpiller)"/>
    <s v="Ground"/>
    <s v="Exterior spruce branch under witch hair"/>
    <m/>
    <m/>
    <m/>
    <n v="315"/>
    <s v="NW"/>
    <n v="20"/>
    <n v="63.740479999999998"/>
    <n v="148.90235999999999"/>
    <s v="NA"/>
    <s v="NA"/>
    <m/>
    <n v="0"/>
    <n v="0"/>
    <n v="0"/>
    <n v="0"/>
    <n v="0"/>
    <m/>
    <n v="0"/>
    <m/>
    <s v="Cached caterpillar from previous row"/>
    <m/>
    <m/>
  </r>
  <r>
    <s v="DSCN2709"/>
    <s v="WW0330_7"/>
    <n v="7"/>
    <n v="2"/>
    <x v="0"/>
    <d v="2019-03-30T00:00:00"/>
    <s v="March"/>
    <s v="Spring"/>
    <d v="1899-12-30T02:43:00"/>
    <d v="1899-12-30T00:02:43"/>
    <x v="119"/>
    <m/>
    <x v="0"/>
    <s v="Foraging/caching"/>
    <s v="NA"/>
    <n v="1"/>
    <n v="0"/>
    <n v="1"/>
    <s v="Insect"/>
    <s v="Spider"/>
    <s v="Ground"/>
    <s v="Exterior spruce branch under witch hair"/>
    <s v="Spruce"/>
    <s v="Exterior"/>
    <s v="Under witchhair"/>
    <s v="NE"/>
    <n v="40"/>
    <s v="unknown"/>
    <n v="63.739150000000002"/>
    <n v="148.90440000000001"/>
    <s v="NA"/>
    <s v="NA"/>
    <m/>
    <n v="0"/>
    <n v="0"/>
    <n v="0"/>
    <n v="0"/>
    <n v="0"/>
    <m/>
    <n v="0"/>
    <s v="Searching"/>
    <s v="Did not cound any foraging time for this one because we don't know exactly when it grabbed it.  All foraging time counted in previous row. Put camera trap on cache tree."/>
    <m/>
    <m/>
  </r>
  <r>
    <s v="DSCN2714"/>
    <s v="WW0330_11"/>
    <n v="11"/>
    <n v="1"/>
    <x v="0"/>
    <d v="2019-03-30T00:00:00"/>
    <s v="March"/>
    <s v="Spring"/>
    <d v="1899-12-30T00:11:00"/>
    <d v="1899-12-30T00:00:11"/>
    <x v="11"/>
    <m/>
    <x v="0"/>
    <s v="Foraging"/>
    <s v="NA"/>
    <n v="1"/>
    <n v="0"/>
    <n v="0"/>
    <s v="Insect"/>
    <s v="Insect (Black caterpiller)"/>
    <s v="Ground"/>
    <s v="NA"/>
    <m/>
    <m/>
    <m/>
    <s v="NA"/>
    <s v="NA"/>
    <s v="NA"/>
    <s v="NA"/>
    <s v="NA"/>
    <s v="NA"/>
    <s v="NA"/>
    <m/>
    <n v="0"/>
    <n v="0"/>
    <n v="0"/>
    <n v="0"/>
    <n v="11"/>
    <m/>
    <n v="11"/>
    <s v="Searching"/>
    <m/>
    <m/>
    <m/>
  </r>
  <r>
    <s v="DSCN2719"/>
    <s v="WW0330_16"/>
    <n v="16"/>
    <n v="1"/>
    <x v="0"/>
    <d v="2019-03-30T00:00:00"/>
    <s v="March"/>
    <s v="Spring"/>
    <d v="1899-12-30T00:18:00"/>
    <d v="1899-12-30T00:00:18"/>
    <x v="13"/>
    <m/>
    <x v="0"/>
    <s v="Foraging"/>
    <s v="NA"/>
    <n v="1"/>
    <n v="0"/>
    <n v="0"/>
    <s v="Insect"/>
    <s v="Insect (caterpiller)"/>
    <s v="Ground"/>
    <s v="NA"/>
    <m/>
    <m/>
    <m/>
    <s v="NA"/>
    <s v="NA"/>
    <s v="NA"/>
    <s v="NA"/>
    <s v="NA"/>
    <s v="NA"/>
    <s v="NA"/>
    <m/>
    <n v="0"/>
    <n v="0"/>
    <n v="0"/>
    <n v="0"/>
    <n v="10"/>
    <m/>
    <n v="10"/>
    <s v="Searching"/>
    <m/>
    <m/>
    <m/>
  </r>
  <r>
    <s v="DSCN2706"/>
    <s v="WW0330_4"/>
    <n v="4"/>
    <n v="1"/>
    <x v="0"/>
    <d v="2019-03-30T00:00:00"/>
    <s v="March"/>
    <s v="Spring"/>
    <d v="1899-12-30T00:32:00"/>
    <d v="1899-12-30T00:00:32"/>
    <x v="21"/>
    <m/>
    <x v="0"/>
    <s v="Foraging"/>
    <s v="NA"/>
    <n v="1"/>
    <n v="0"/>
    <n v="0"/>
    <s v="Berry"/>
    <s v="Berry"/>
    <s v="Ground"/>
    <s v="NA"/>
    <m/>
    <m/>
    <m/>
    <s v="NA"/>
    <s v="NA"/>
    <s v="NA"/>
    <s v="NA"/>
    <s v="NA"/>
    <s v="NA"/>
    <s v="NA"/>
    <m/>
    <n v="0"/>
    <n v="0"/>
    <n v="0"/>
    <n v="0"/>
    <n v="32"/>
    <m/>
    <n v="32"/>
    <s v="Searching"/>
    <m/>
    <m/>
    <m/>
  </r>
  <r>
    <s v="DSCN2715"/>
    <s v="WW0330_12"/>
    <n v="12"/>
    <n v="1"/>
    <x v="0"/>
    <d v="2019-03-30T00:00:00"/>
    <s v="March"/>
    <s v="Spring"/>
    <d v="1899-12-30T00:18:00"/>
    <d v="1899-12-30T00:00:18"/>
    <x v="13"/>
    <m/>
    <x v="0"/>
    <s v="Food handling"/>
    <s v="NA"/>
    <n v="0"/>
    <n v="0"/>
    <n v="0"/>
    <s v="Insect"/>
    <s v="Insect (Black caterpiller)"/>
    <s v="NA"/>
    <s v="NA"/>
    <m/>
    <m/>
    <m/>
    <s v="NA"/>
    <s v="NA"/>
    <s v="NA"/>
    <s v="NA"/>
    <s v="NA"/>
    <s v="NA"/>
    <s v="NA"/>
    <m/>
    <n v="0"/>
    <n v="0"/>
    <n v="0"/>
    <n v="0"/>
    <n v="0"/>
    <m/>
    <n v="0"/>
    <m/>
    <s v="Processing kill"/>
    <m/>
    <m/>
  </r>
  <r>
    <s v="DSCN2707"/>
    <s v="WW0330_6"/>
    <n v="6"/>
    <n v="1"/>
    <x v="0"/>
    <d v="2019-03-30T00:00:00"/>
    <s v="March"/>
    <s v="Spring"/>
    <d v="1899-12-30T00:27:00"/>
    <d v="1899-12-30T00:00:27"/>
    <x v="52"/>
    <m/>
    <x v="0"/>
    <s v="Foraging"/>
    <s v="NA"/>
    <n v="0"/>
    <n v="0"/>
    <n v="0"/>
    <m/>
    <s v="NA"/>
    <s v="NA"/>
    <s v="NA"/>
    <m/>
    <m/>
    <m/>
    <s v="NA"/>
    <s v="NA"/>
    <s v="NA"/>
    <s v="NA"/>
    <s v="NA"/>
    <s v="NA"/>
    <s v="NA"/>
    <m/>
    <n v="0"/>
    <n v="0"/>
    <n v="0"/>
    <n v="0"/>
    <n v="27"/>
    <m/>
    <n v="27"/>
    <s v="Searching"/>
    <m/>
    <m/>
    <m/>
  </r>
  <r>
    <s v="DSCN2711"/>
    <s v="WW0330_8"/>
    <n v="8"/>
    <n v="1"/>
    <x v="0"/>
    <d v="2019-03-30T00:00:00"/>
    <s v="March"/>
    <s v="Spring"/>
    <d v="1899-12-30T00:20:00"/>
    <d v="1899-12-30T00:00:20"/>
    <x v="38"/>
    <m/>
    <x v="0"/>
    <s v="Foraging"/>
    <s v="NA"/>
    <n v="0"/>
    <n v="0"/>
    <n v="0"/>
    <m/>
    <s v="NA"/>
    <s v="NA"/>
    <s v="NA"/>
    <m/>
    <m/>
    <m/>
    <s v="NA"/>
    <s v="NA"/>
    <s v="NA"/>
    <s v="NA"/>
    <s v="NA"/>
    <s v="NA"/>
    <s v="NA"/>
    <m/>
    <n v="0"/>
    <n v="0"/>
    <n v="0"/>
    <n v="0"/>
    <n v="20"/>
    <m/>
    <n v="20"/>
    <s v="Searching"/>
    <m/>
    <m/>
    <m/>
  </r>
  <r>
    <s v="DSCN2567"/>
    <s v="WW0326_4"/>
    <n v="4"/>
    <n v="1"/>
    <x v="0"/>
    <d v="2019-03-26T00:00:00"/>
    <s v="March"/>
    <s v="Spring"/>
    <d v="1899-12-30T00:34:00"/>
    <d v="1899-12-30T00:00:34"/>
    <x v="18"/>
    <s v="Partly Sunny"/>
    <x v="0"/>
    <s v="Foraging"/>
    <s v="NA"/>
    <s v="unknown"/>
    <n v="0"/>
    <n v="0"/>
    <m/>
    <s v="NA"/>
    <s v="NA"/>
    <s v="NA"/>
    <m/>
    <m/>
    <m/>
    <s v="NA"/>
    <s v="NA"/>
    <s v="NA"/>
    <s v="NA"/>
    <s v="NA"/>
    <m/>
    <m/>
    <m/>
    <n v="0"/>
    <n v="0"/>
    <n v="0"/>
    <n v="0"/>
    <n v="27"/>
    <m/>
    <n v="27"/>
    <s v="Searching"/>
    <m/>
    <m/>
    <m/>
  </r>
  <r>
    <s v="DSCN2721"/>
    <s v="WW0330_18"/>
    <n v="18"/>
    <n v="1"/>
    <x v="0"/>
    <d v="2019-03-30T00:00:00"/>
    <s v="March"/>
    <s v="Spring"/>
    <d v="1899-12-30T00:24:00"/>
    <d v="1899-12-30T00:00:24"/>
    <x v="71"/>
    <m/>
    <x v="0"/>
    <s v="Foraging"/>
    <s v="NA"/>
    <s v="unknown"/>
    <n v="0"/>
    <n v="0"/>
    <m/>
    <s v="NA"/>
    <s v="NA"/>
    <s v="NA"/>
    <m/>
    <m/>
    <m/>
    <s v="NA"/>
    <s v="NA"/>
    <s v="NA"/>
    <s v="NA"/>
    <s v="NA"/>
    <s v="NA"/>
    <s v="NA"/>
    <m/>
    <n v="0"/>
    <n v="0"/>
    <n v="0"/>
    <n v="0"/>
    <n v="4"/>
    <m/>
    <n v="4"/>
    <s v="Searching"/>
    <m/>
    <m/>
    <m/>
  </r>
  <r>
    <s v="DSCN2702"/>
    <s v="WW0330_2"/>
    <n v="2"/>
    <n v="1"/>
    <x v="0"/>
    <d v="2019-03-30T00:00:00"/>
    <s v="March"/>
    <s v="Spring"/>
    <d v="1899-12-30T01:02:00"/>
    <d v="1899-12-30T00:01:02"/>
    <x v="63"/>
    <m/>
    <x v="0"/>
    <s v="Foraging"/>
    <s v="NA"/>
    <s v="unknown"/>
    <n v="0"/>
    <n v="0"/>
    <m/>
    <s v="NA"/>
    <s v="NA"/>
    <s v="NA"/>
    <m/>
    <m/>
    <m/>
    <s v="NA"/>
    <s v="NA"/>
    <s v="NA"/>
    <s v="NA"/>
    <s v="NA"/>
    <s v="NA"/>
    <s v="NA"/>
    <m/>
    <n v="0"/>
    <n v="0"/>
    <n v="0"/>
    <n v="0"/>
    <n v="62"/>
    <m/>
    <n v="62"/>
    <s v="Searching"/>
    <m/>
    <m/>
    <m/>
  </r>
  <r>
    <s v="DSCN2703"/>
    <s v="WW0330_3"/>
    <n v="3"/>
    <n v="1"/>
    <x v="0"/>
    <d v="2019-03-30T00:00:00"/>
    <s v="March"/>
    <s v="Spring"/>
    <d v="1899-12-30T00:40:00"/>
    <d v="1899-12-30T00:00:40"/>
    <x v="23"/>
    <m/>
    <x v="0"/>
    <s v="Foraging"/>
    <s v="NA"/>
    <s v="unknown"/>
    <n v="0"/>
    <n v="0"/>
    <m/>
    <s v="NA"/>
    <s v="NA"/>
    <s v="NA"/>
    <m/>
    <m/>
    <m/>
    <s v="NA"/>
    <s v="NA"/>
    <s v="NA"/>
    <s v="NA"/>
    <s v="NA"/>
    <s v="NA"/>
    <s v="NA"/>
    <m/>
    <n v="0"/>
    <n v="0"/>
    <n v="0"/>
    <n v="0"/>
    <n v="34"/>
    <m/>
    <n v="34"/>
    <s v="Searching"/>
    <m/>
    <m/>
    <m/>
  </r>
  <r>
    <s v="DSCN2497"/>
    <s v="CC0325_5"/>
    <n v="5"/>
    <n v="1"/>
    <x v="4"/>
    <d v="2019-03-25T00:00:00"/>
    <s v="March"/>
    <s v="Spring"/>
    <d v="1899-12-30T00:30:00"/>
    <d v="1899-12-30T00:00:30"/>
    <x v="69"/>
    <s v="Overcast"/>
    <x v="4"/>
    <s v="Foraging"/>
    <s v="NA"/>
    <n v="2"/>
    <n v="0"/>
    <n v="0"/>
    <s v="Berry"/>
    <s v="Berry"/>
    <s v="Ground"/>
    <s v="NA"/>
    <m/>
    <m/>
    <m/>
    <s v="NA"/>
    <s v="NA"/>
    <s v="NA"/>
    <s v="NA"/>
    <s v="NA"/>
    <m/>
    <m/>
    <m/>
    <n v="0"/>
    <n v="0"/>
    <n v="0"/>
    <n v="0"/>
    <n v="18"/>
    <m/>
    <n v="18"/>
    <s v="Searching"/>
    <s v="Missed initial acquisition"/>
    <m/>
    <m/>
  </r>
  <r>
    <s v="DSCN2495"/>
    <s v="CC0325_3"/>
    <n v="3"/>
    <n v="1"/>
    <x v="4"/>
    <d v="2019-03-25T00:00:00"/>
    <s v="March"/>
    <s v="Spring"/>
    <d v="1899-12-30T00:37:00"/>
    <d v="1899-12-30T00:00:37"/>
    <x v="34"/>
    <s v="Overcast"/>
    <x v="4"/>
    <s v="Foraging"/>
    <s v="Spruce"/>
    <n v="0"/>
    <n v="0"/>
    <n v="0"/>
    <m/>
    <s v="NA"/>
    <s v="NA"/>
    <s v="NA"/>
    <m/>
    <m/>
    <m/>
    <s v="NA"/>
    <s v="NA"/>
    <s v="NA"/>
    <s v="NA"/>
    <s v="NA"/>
    <m/>
    <m/>
    <m/>
    <n v="10"/>
    <n v="0"/>
    <n v="0"/>
    <n v="10"/>
    <n v="0"/>
    <m/>
    <n v="10"/>
    <s v="Searching"/>
    <s v="Suspected foraging"/>
    <m/>
    <m/>
  </r>
  <r>
    <s v="DSCN2496"/>
    <s v="CC0325_4"/>
    <n v="4"/>
    <n v="1"/>
    <x v="4"/>
    <d v="2019-03-25T00:00:00"/>
    <s v="March"/>
    <s v="Spring"/>
    <d v="1899-12-30T00:27:00"/>
    <d v="1899-12-30T00:00:27"/>
    <x v="52"/>
    <s v="Overcast"/>
    <x v="4"/>
    <s v="Foraging"/>
    <s v="NA"/>
    <n v="0"/>
    <n v="0"/>
    <n v="0"/>
    <m/>
    <s v="NA"/>
    <s v="NA"/>
    <s v="NA"/>
    <m/>
    <m/>
    <m/>
    <s v="NA"/>
    <s v="NA"/>
    <s v="NA"/>
    <s v="NA"/>
    <s v="NA"/>
    <m/>
    <m/>
    <m/>
    <n v="0"/>
    <n v="0"/>
    <n v="0"/>
    <n v="0"/>
    <n v="3"/>
    <m/>
    <n v="3"/>
    <m/>
    <m/>
    <m/>
    <m/>
  </r>
  <r>
    <s v="DSCN2500"/>
    <s v="CC0325_6"/>
    <n v="6"/>
    <n v="1"/>
    <x v="4"/>
    <d v="2019-03-25T00:00:00"/>
    <s v="March"/>
    <s v="Spring"/>
    <d v="1899-12-30T00:24:00"/>
    <d v="1899-12-30T00:00:24"/>
    <x v="71"/>
    <s v="Overcast"/>
    <x v="4"/>
    <s v="Foraging"/>
    <s v="NA"/>
    <n v="0"/>
    <n v="0"/>
    <n v="0"/>
    <m/>
    <s v="NA"/>
    <s v="NA"/>
    <s v="NA"/>
    <m/>
    <m/>
    <m/>
    <s v="NA"/>
    <s v="NA"/>
    <s v="NA"/>
    <s v="NA"/>
    <s v="NA"/>
    <m/>
    <m/>
    <m/>
    <n v="0"/>
    <n v="0"/>
    <n v="0"/>
    <n v="0"/>
    <n v="11"/>
    <m/>
    <n v="11"/>
    <s v="Searching"/>
    <m/>
    <m/>
    <m/>
  </r>
  <r>
    <s v="DSCN2490"/>
    <s v="CC0325_2"/>
    <n v="2"/>
    <n v="1"/>
    <x v="4"/>
    <d v="2019-03-25T00:00:00"/>
    <s v="March"/>
    <s v="Spring"/>
    <d v="1899-12-30T01:05:00"/>
    <d v="1899-12-30T00:01:05"/>
    <x v="87"/>
    <s v="Overcast"/>
    <x v="4"/>
    <s v="Foraging"/>
    <s v="NA"/>
    <n v="1"/>
    <n v="0"/>
    <n v="0"/>
    <s v="Berry"/>
    <s v="Berry (3 bluberries, 1 crowberry)"/>
    <s v="Ground"/>
    <s v="NA"/>
    <m/>
    <m/>
    <m/>
    <s v="NA"/>
    <s v="NA"/>
    <s v="NA"/>
    <s v="NA"/>
    <s v="NA"/>
    <m/>
    <m/>
    <m/>
    <n v="0"/>
    <n v="0"/>
    <n v="0"/>
    <n v="0"/>
    <n v="9"/>
    <m/>
    <n v="9"/>
    <s v="Searching"/>
    <m/>
    <m/>
    <m/>
  </r>
  <r>
    <s v="DSCN2501"/>
    <s v="CC0325_7"/>
    <n v="7"/>
    <n v="1"/>
    <x v="4"/>
    <d v="2019-03-25T00:00:00"/>
    <s v="March"/>
    <s v="Spring"/>
    <d v="1899-12-30T00:42:00"/>
    <d v="1899-12-30T00:00:42"/>
    <x v="26"/>
    <s v="Overcast"/>
    <x v="4"/>
    <s v="Foraging"/>
    <s v="NA"/>
    <s v="unknown"/>
    <s v="unknown"/>
    <s v="Unknown"/>
    <m/>
    <s v="NA"/>
    <s v="NA"/>
    <s v="NA"/>
    <m/>
    <m/>
    <m/>
    <s v="NA"/>
    <s v="NA"/>
    <s v="NA"/>
    <s v="NA"/>
    <s v="NA"/>
    <m/>
    <m/>
    <m/>
    <n v="35"/>
    <n v="0"/>
    <n v="35"/>
    <n v="0"/>
    <n v="0"/>
    <m/>
    <n v="35"/>
    <s v="Searching"/>
    <m/>
    <m/>
    <m/>
  </r>
  <r>
    <s v="DSCN2488"/>
    <s v="CC0325_1"/>
    <n v="1"/>
    <n v="1"/>
    <x v="4"/>
    <d v="2019-03-25T00:00:00"/>
    <s v="March"/>
    <s v="Spring"/>
    <d v="1899-12-30T00:13:00"/>
    <d v="1899-12-30T00:00:13"/>
    <x v="64"/>
    <s v="Overcast"/>
    <x v="4"/>
    <s v="Foraging"/>
    <s v="NA"/>
    <s v="unknown"/>
    <n v="0"/>
    <n v="0"/>
    <m/>
    <s v="NA"/>
    <s v="NA"/>
    <s v="NA"/>
    <m/>
    <m/>
    <m/>
    <s v="NA"/>
    <s v="NA"/>
    <s v="NA"/>
    <s v="NA"/>
    <s v="NA"/>
    <m/>
    <m/>
    <m/>
    <n v="0"/>
    <n v="0"/>
    <n v="0"/>
    <n v="0"/>
    <n v="3"/>
    <m/>
    <n v="3"/>
    <s v="Searching"/>
    <m/>
    <m/>
    <m/>
  </r>
  <r>
    <s v="DSCN2589"/>
    <s v="B&amp;U0327_7"/>
    <n v="7"/>
    <n v="1"/>
    <x v="5"/>
    <d v="2019-03-27T00:00:00"/>
    <s v="March"/>
    <s v="Spring"/>
    <d v="1899-12-30T00:18:00"/>
    <d v="1899-12-30T00:00:18"/>
    <x v="13"/>
    <s v="Overcast"/>
    <x v="6"/>
    <s v="Food handling"/>
    <s v="NA"/>
    <n v="1"/>
    <n v="0"/>
    <n v="0"/>
    <s v="Unknown"/>
    <s v="unknown"/>
    <s v="Ground"/>
    <s v="NA"/>
    <m/>
    <m/>
    <m/>
    <s v="NA"/>
    <s v="NA"/>
    <s v="NA"/>
    <s v="NA"/>
    <s v="NA"/>
    <s v="NA"/>
    <s v="NA"/>
    <m/>
    <n v="0"/>
    <n v="0"/>
    <n v="0"/>
    <n v="0"/>
    <n v="0"/>
    <m/>
    <n v="0"/>
    <s v="Searching"/>
    <s v="Missed acquisition"/>
    <m/>
    <m/>
  </r>
  <r>
    <s v="DSCN2584"/>
    <s v="B&amp;U0327_5"/>
    <n v="5"/>
    <n v="1"/>
    <x v="5"/>
    <d v="2019-03-27T00:00:00"/>
    <s v="March"/>
    <s v="Spring"/>
    <d v="1899-12-30T01:34:00"/>
    <d v="1899-12-30T00:01:34"/>
    <x v="57"/>
    <s v="Overcast"/>
    <x v="6"/>
    <s v="Foraging"/>
    <s v="Spruce"/>
    <n v="1"/>
    <n v="1"/>
    <n v="0"/>
    <s v="Unknown"/>
    <s v="unknown"/>
    <s v="Interior spruce branch under bark"/>
    <s v="NA"/>
    <m/>
    <m/>
    <m/>
    <s v="NA"/>
    <s v="NA"/>
    <s v="NA"/>
    <s v="NA"/>
    <s v="NA"/>
    <n v="63.726010000000002"/>
    <n v="148.96159"/>
    <m/>
    <n v="13"/>
    <n v="0"/>
    <n v="13"/>
    <n v="0"/>
    <n v="0"/>
    <m/>
    <n v="13"/>
    <s v="Searching"/>
    <m/>
    <m/>
    <m/>
  </r>
  <r>
    <s v="DSCN2583"/>
    <s v="B&amp;U0327_4"/>
    <n v="4"/>
    <n v="1"/>
    <x v="5"/>
    <d v="2019-03-27T00:00:00"/>
    <s v="March"/>
    <s v="Spring"/>
    <d v="1899-12-30T00:26:00"/>
    <d v="1899-12-30T00:00:26"/>
    <x v="44"/>
    <s v="Overcast"/>
    <x v="6"/>
    <s v="Foraging"/>
    <s v="NA"/>
    <n v="1"/>
    <n v="0"/>
    <n v="0"/>
    <s v="Berry"/>
    <s v="Berry"/>
    <s v="Ground"/>
    <s v="NA"/>
    <m/>
    <m/>
    <m/>
    <s v="NA"/>
    <s v="NA"/>
    <s v="NA"/>
    <s v="NA"/>
    <s v="NA"/>
    <s v="NA"/>
    <s v="NA"/>
    <m/>
    <n v="0"/>
    <n v="0"/>
    <n v="0"/>
    <n v="0"/>
    <n v="26"/>
    <m/>
    <n v="26"/>
    <s v="Searching"/>
    <m/>
    <m/>
    <m/>
  </r>
  <r>
    <s v="DSCN2584"/>
    <s v="B&amp;U0327_5"/>
    <n v="5"/>
    <n v="2"/>
    <x v="5"/>
    <d v="2019-03-27T00:00:00"/>
    <s v="March"/>
    <s v="Spring"/>
    <d v="1899-12-30T01:34:00"/>
    <d v="1899-12-30T00:01:34"/>
    <x v="57"/>
    <s v="Overcast"/>
    <x v="6"/>
    <s v="Foraging"/>
    <s v="Spruce"/>
    <n v="2"/>
    <n v="1"/>
    <n v="0"/>
    <s v="Berry"/>
    <s v="Berry"/>
    <s v="Ground"/>
    <s v="NA"/>
    <m/>
    <m/>
    <m/>
    <s v="NA"/>
    <s v="NA"/>
    <s v="NA"/>
    <s v="NA"/>
    <s v="NA"/>
    <s v="NA"/>
    <s v="NA"/>
    <m/>
    <n v="0"/>
    <n v="0"/>
    <n v="0"/>
    <n v="0"/>
    <n v="78"/>
    <m/>
    <n v="78"/>
    <s v="Searching"/>
    <s v="Berries aquired during two different foraging attempts"/>
    <m/>
    <m/>
  </r>
  <r>
    <s v="DSCN2580"/>
    <s v="B&amp;U0327_1"/>
    <n v="1"/>
    <n v="1"/>
    <x v="5"/>
    <d v="2019-03-27T00:00:00"/>
    <s v="March"/>
    <s v="Spring"/>
    <d v="1899-12-30T02:44:00"/>
    <d v="1899-12-30T00:02:44"/>
    <x v="121"/>
    <s v="Overcast"/>
    <x v="6"/>
    <s v="Food handling"/>
    <s v="Spruce"/>
    <n v="1"/>
    <n v="1"/>
    <n v="0"/>
    <s v="Animal flesh"/>
    <s v="Animal flesh (snowshoe hare)"/>
    <s v="Top of spruce foliage"/>
    <s v="NA"/>
    <m/>
    <m/>
    <m/>
    <s v="NA"/>
    <s v="NA"/>
    <s v="NA"/>
    <s v="NA"/>
    <s v="NA"/>
    <n v="63.725360000000002"/>
    <n v="148.95681999999999"/>
    <m/>
    <n v="0"/>
    <n v="0"/>
    <n v="0"/>
    <n v="0"/>
    <n v="0"/>
    <m/>
    <n v="0"/>
    <m/>
    <s v="Missed acquisition on film B&amp;Ut saw in person. "/>
    <m/>
    <m/>
  </r>
  <r>
    <s v="DSCN2582"/>
    <s v="B&amp;U0327_3"/>
    <n v="3"/>
    <n v="1"/>
    <x v="5"/>
    <d v="2019-03-27T00:00:00"/>
    <s v="March"/>
    <s v="Spring"/>
    <d v="1899-12-30T00:40:00"/>
    <d v="1899-12-30T00:00:40"/>
    <x v="23"/>
    <s v="Overcast"/>
    <x v="6"/>
    <s v="Food handling"/>
    <s v="Spruce"/>
    <n v="1"/>
    <n v="1"/>
    <n v="0"/>
    <s v="Animal flesh"/>
    <s v="Animal flesh (snowshoe hare)"/>
    <s v="Top of spruce foliage"/>
    <s v="NA"/>
    <m/>
    <m/>
    <m/>
    <s v="NA"/>
    <s v="NA"/>
    <s v="NA"/>
    <s v="NA"/>
    <s v="NA"/>
    <n v="63.725009999999997"/>
    <n v="148.95760999999999"/>
    <m/>
    <n v="0"/>
    <n v="0"/>
    <n v="0"/>
    <n v="0"/>
    <n v="0"/>
    <m/>
    <n v="0"/>
    <s v="Searching"/>
    <m/>
    <m/>
    <m/>
  </r>
  <r>
    <s v="DSCN2581"/>
    <s v="B&amp;U0327_2"/>
    <n v="2"/>
    <n v="1"/>
    <x v="5"/>
    <d v="2019-03-27T00:00:00"/>
    <s v="March"/>
    <s v="Spring"/>
    <d v="1899-12-30T00:18:00"/>
    <d v="1899-12-30T00:00:18"/>
    <x v="13"/>
    <s v="Overcast"/>
    <x v="6"/>
    <s v="Foraging"/>
    <s v="Spruce"/>
    <n v="0"/>
    <n v="0"/>
    <n v="0"/>
    <m/>
    <s v="NA"/>
    <s v="NA"/>
    <s v="NA"/>
    <m/>
    <m/>
    <m/>
    <s v="NA"/>
    <s v="NA"/>
    <s v="NA"/>
    <s v="NA"/>
    <s v="NA"/>
    <s v="NA"/>
    <s v="NA"/>
    <m/>
    <n v="0"/>
    <n v="15"/>
    <n v="0"/>
    <n v="15"/>
    <n v="0"/>
    <m/>
    <n v="15"/>
    <s v="Searching"/>
    <m/>
    <m/>
    <m/>
  </r>
  <r>
    <s v="DSCN2587"/>
    <s v="B&amp;U0327_6"/>
    <n v="6"/>
    <n v="1"/>
    <x v="5"/>
    <d v="2019-03-27T00:00:00"/>
    <s v="March"/>
    <s v="Spring"/>
    <d v="1899-12-30T00:07:00"/>
    <d v="1899-12-30T00:00:07"/>
    <x v="10"/>
    <s v="Overcast"/>
    <x v="6"/>
    <s v="Foraging"/>
    <s v="NA"/>
    <n v="0"/>
    <n v="0"/>
    <n v="0"/>
    <m/>
    <s v="NA"/>
    <s v="NA"/>
    <s v="NA"/>
    <m/>
    <m/>
    <m/>
    <s v="NA"/>
    <s v="NA"/>
    <s v="NA"/>
    <s v="NA"/>
    <s v="NA"/>
    <s v="NA"/>
    <s v="NA"/>
    <m/>
    <n v="0"/>
    <n v="0"/>
    <n v="0"/>
    <n v="0"/>
    <n v="7"/>
    <m/>
    <n v="7"/>
    <s v="Searching"/>
    <m/>
    <m/>
    <m/>
  </r>
  <r>
    <s v="DSCN2512"/>
    <s v="M4R0325_6"/>
    <n v="6"/>
    <n v="1"/>
    <x v="6"/>
    <d v="2019-03-25T00:00:00"/>
    <s v="March"/>
    <s v="Spring"/>
    <d v="1899-12-30T00:31:00"/>
    <d v="1899-12-30T00:00:31"/>
    <x v="45"/>
    <s v="Overcast"/>
    <x v="7"/>
    <s v="Caching"/>
    <s v="Spruce"/>
    <n v="0"/>
    <n v="0"/>
    <n v="1"/>
    <s v="Berry"/>
    <s v="Berry"/>
    <s v="Ground"/>
    <s v="Exterior spruce branch under witch hair"/>
    <s v="Spruce"/>
    <s v="Exterior"/>
    <s v="Under witchhair"/>
    <m/>
    <m/>
    <n v="10"/>
    <n v="63.72101"/>
    <n v="148.98340999999999"/>
    <m/>
    <m/>
    <m/>
    <n v="0"/>
    <n v="0"/>
    <n v="0"/>
    <n v="0"/>
    <n v="0"/>
    <m/>
    <n v="0"/>
    <m/>
    <s v="Acquisition on previous clip"/>
    <m/>
    <m/>
  </r>
  <r>
    <s v="DSCN2511"/>
    <s v="M4R0325_5"/>
    <n v="5"/>
    <n v="1"/>
    <x v="6"/>
    <d v="2019-03-25T00:00:00"/>
    <s v="March"/>
    <s v="Spring"/>
    <d v="1899-12-30T01:00:00"/>
    <d v="1899-12-30T00:01:00"/>
    <x v="79"/>
    <s v="Overcast"/>
    <x v="7"/>
    <s v="Foraging"/>
    <s v="NA"/>
    <n v="1"/>
    <n v="0"/>
    <n v="0"/>
    <s v="Berry"/>
    <s v="Berry"/>
    <s v="Ground"/>
    <s v="NA"/>
    <m/>
    <m/>
    <m/>
    <s v="NA"/>
    <s v="NA"/>
    <s v="NA"/>
    <s v="NA"/>
    <s v="NA"/>
    <m/>
    <m/>
    <m/>
    <n v="0"/>
    <n v="0"/>
    <n v="0"/>
    <n v="0"/>
    <n v="54"/>
    <m/>
    <n v="54"/>
    <s v="Searching"/>
    <m/>
    <m/>
    <m/>
  </r>
  <r>
    <s v="DSCN2533"/>
    <s v="M4R0325_19"/>
    <n v="19"/>
    <n v="1"/>
    <x v="6"/>
    <d v="2019-03-25T00:00:00"/>
    <s v="March"/>
    <s v="Spring"/>
    <d v="1899-12-30T00:15:00"/>
    <d v="1899-12-30T00:00:15"/>
    <x v="14"/>
    <s v="Mostly sunny"/>
    <x v="7"/>
    <s v="Foraging"/>
    <s v="Alder"/>
    <s v="unknown"/>
    <s v="unknown"/>
    <s v="Unknown"/>
    <m/>
    <s v="NA"/>
    <s v="NA"/>
    <s v="NA"/>
    <m/>
    <m/>
    <m/>
    <s v="NA"/>
    <s v="NA"/>
    <s v="NA"/>
    <s v="NA"/>
    <s v="NA"/>
    <m/>
    <m/>
    <m/>
    <n v="15"/>
    <n v="0"/>
    <n v="15"/>
    <n v="0"/>
    <n v="0"/>
    <m/>
    <n v="15"/>
    <s v="Searching"/>
    <m/>
    <m/>
    <m/>
  </r>
  <r>
    <s v="DSCN2595"/>
    <s v="M4R0327_2"/>
    <n v="2"/>
    <n v="1"/>
    <x v="6"/>
    <d v="2019-03-27T00:00:00"/>
    <s v="March"/>
    <s v="Spring"/>
    <d v="1899-12-30T00:28:00"/>
    <d v="1899-12-30T00:00:28"/>
    <x v="68"/>
    <s v="Overcast"/>
    <x v="7"/>
    <s v="Foraging"/>
    <s v="NA"/>
    <s v="unknown"/>
    <n v="0"/>
    <n v="0"/>
    <m/>
    <s v="NA"/>
    <s v="NA"/>
    <s v="NA"/>
    <m/>
    <m/>
    <m/>
    <s v="NA"/>
    <s v="NA"/>
    <s v="NA"/>
    <s v="NA"/>
    <s v="NA"/>
    <s v="NA"/>
    <s v="NA"/>
    <m/>
    <n v="0"/>
    <n v="0"/>
    <n v="0"/>
    <n v="0"/>
    <n v="28"/>
    <m/>
    <n v="28"/>
    <s v="Searching"/>
    <m/>
    <m/>
    <m/>
  </r>
  <r>
    <s v="DSCN2596"/>
    <s v="M4R0327_3"/>
    <n v="3"/>
    <n v="1"/>
    <x v="6"/>
    <d v="2019-03-27T00:00:00"/>
    <s v="March"/>
    <s v="Spring"/>
    <d v="1899-12-30T00:25:00"/>
    <d v="1899-12-30T00:00:25"/>
    <x v="15"/>
    <s v="Overcast"/>
    <x v="7"/>
    <s v="Foraging"/>
    <s v="NA"/>
    <s v="unknown"/>
    <n v="0"/>
    <n v="0"/>
    <m/>
    <s v="NA"/>
    <s v="NA"/>
    <s v="NA"/>
    <m/>
    <m/>
    <m/>
    <s v="NA"/>
    <s v="NA"/>
    <s v="NA"/>
    <s v="NA"/>
    <s v="NA"/>
    <s v="NA"/>
    <s v="NA"/>
    <m/>
    <n v="0"/>
    <n v="0"/>
    <n v="0"/>
    <n v="0"/>
    <n v="25"/>
    <m/>
    <n v="25"/>
    <s v="Searching"/>
    <m/>
    <m/>
    <m/>
  </r>
  <r>
    <s v="DSCN2396"/>
    <s v="TAI0320_13"/>
    <n v="13"/>
    <n v="1"/>
    <x v="12"/>
    <d v="2019-03-20T00:00:00"/>
    <s v="March"/>
    <s v="Spring"/>
    <d v="1899-12-30T00:26:00"/>
    <d v="1899-12-30T00:00:26"/>
    <x v="44"/>
    <s v="Partly cloudy"/>
    <x v="24"/>
    <s v="Foraging"/>
    <s v="Spruce"/>
    <n v="1"/>
    <s v="unknown"/>
    <s v="NA"/>
    <s v="Unknown"/>
    <s v="unknown"/>
    <s v="Under bark of spruce trunk"/>
    <s v="NA"/>
    <m/>
    <m/>
    <m/>
    <s v="NA"/>
    <s v="NA"/>
    <s v="NA"/>
    <s v="NA"/>
    <s v="NA"/>
    <m/>
    <m/>
    <m/>
    <n v="17"/>
    <n v="0"/>
    <n v="17"/>
    <n v="0"/>
    <n v="0"/>
    <m/>
    <n v="17"/>
    <s v="Searching/probing"/>
    <m/>
    <n v="2"/>
    <n v="0"/>
  </r>
  <r>
    <s v="DSCN2393"/>
    <s v="TAI0320_10"/>
    <n v="10"/>
    <n v="1"/>
    <x v="12"/>
    <d v="2019-03-20T00:00:00"/>
    <s v="March"/>
    <s v="Spring"/>
    <d v="1899-12-30T00:20:00"/>
    <d v="1899-12-30T00:00:20"/>
    <x v="38"/>
    <s v="Partly cloudy"/>
    <x v="24"/>
    <s v="Foraging"/>
    <s v="Spruce"/>
    <n v="1"/>
    <s v="unknown"/>
    <n v="0"/>
    <s v="Unknown"/>
    <s v="unknown"/>
    <s v="Bark of Spruce"/>
    <s v="NA"/>
    <m/>
    <m/>
    <m/>
    <s v="NA"/>
    <s v="NA"/>
    <s v="NA"/>
    <s v="NA"/>
    <s v="NA"/>
    <m/>
    <m/>
    <m/>
    <d v="1900-01-14T00:00:00"/>
    <n v="0"/>
    <n v="15"/>
    <n v="0"/>
    <n v="0"/>
    <m/>
    <n v="15"/>
    <s v="Searching"/>
    <m/>
    <n v="0"/>
    <n v="1"/>
  </r>
  <r>
    <s v="DSCN2394"/>
    <s v="TAI0320_11"/>
    <n v="11"/>
    <n v="1"/>
    <x v="12"/>
    <d v="2019-03-20T00:00:00"/>
    <s v="March"/>
    <s v="Spring"/>
    <d v="1899-12-30T00:52:00"/>
    <d v="1899-12-30T00:00:52"/>
    <x v="28"/>
    <s v="Partly cloudy"/>
    <x v="24"/>
    <s v="Foraging"/>
    <s v="Spruce"/>
    <n v="1"/>
    <s v="unknown"/>
    <n v="0"/>
    <s v="Unknown"/>
    <s v="unknown"/>
    <s v="Exterior foliage"/>
    <s v="NA"/>
    <m/>
    <m/>
    <m/>
    <s v="NA"/>
    <s v="NA"/>
    <s v="NA"/>
    <s v="NA"/>
    <s v="NA"/>
    <m/>
    <m/>
    <m/>
    <n v="17"/>
    <m/>
    <n v="17"/>
    <n v="0"/>
    <n v="0"/>
    <m/>
    <n v="17"/>
    <s v="Searching"/>
    <m/>
    <n v="0"/>
    <n v="0"/>
  </r>
  <r>
    <s v="DSCN2410"/>
    <s v="TAI0320_21"/>
    <n v="21"/>
    <n v="1"/>
    <x v="12"/>
    <d v="2019-03-20T00:00:00"/>
    <s v="March"/>
    <s v="Spring"/>
    <m/>
    <m/>
    <x v="122"/>
    <s v="Partly cloudy"/>
    <x v="24"/>
    <s v="Foraging"/>
    <s v="Spruce"/>
    <n v="1"/>
    <s v="unknown"/>
    <n v="0"/>
    <s v="Unknown"/>
    <s v="unknown"/>
    <s v="Exterior spruce bare branch under bark"/>
    <s v="NA"/>
    <m/>
    <m/>
    <m/>
    <s v="NA"/>
    <s v="NA"/>
    <s v="NA"/>
    <s v="NA"/>
    <s v="NA"/>
    <m/>
    <m/>
    <m/>
    <n v="28"/>
    <n v="0"/>
    <n v="16"/>
    <n v="12"/>
    <n v="0"/>
    <m/>
    <n v="28"/>
    <s v="Searching/ GLEAING"/>
    <m/>
    <n v="0"/>
    <n v="4"/>
  </r>
  <r>
    <s v="DSCN2394"/>
    <s v="TAI0320_11"/>
    <n v="11"/>
    <n v="2"/>
    <x v="12"/>
    <d v="2019-03-20T00:00:00"/>
    <s v="March"/>
    <s v="Spring"/>
    <d v="1899-12-30T00:52:00"/>
    <d v="1899-12-30T00:00:52"/>
    <x v="122"/>
    <s v="Partly cloudy"/>
    <x v="24"/>
    <s v="Foraging"/>
    <s v="NA"/>
    <n v="1"/>
    <n v="0"/>
    <n v="0"/>
    <s v="Unknown"/>
    <s v="unknown"/>
    <s v="Ground"/>
    <s v="NA"/>
    <m/>
    <m/>
    <m/>
    <s v="NA"/>
    <s v="NA"/>
    <s v="NA"/>
    <s v="NA"/>
    <s v="NA"/>
    <m/>
    <m/>
    <m/>
    <n v="0"/>
    <n v="0"/>
    <n v="0"/>
    <n v="0"/>
    <n v="5"/>
    <m/>
    <n v="5"/>
    <s v="Searching"/>
    <m/>
    <n v="0"/>
    <n v="0"/>
  </r>
  <r>
    <s v="DSCN2418"/>
    <s v="TAI0320_24"/>
    <n v="24"/>
    <n v="1"/>
    <x v="12"/>
    <d v="2019-03-20T00:00:00"/>
    <s v="March"/>
    <s v="Spring"/>
    <d v="1899-12-30T00:56:00"/>
    <d v="1899-12-30T00:00:56"/>
    <x v="122"/>
    <s v="Partly cloudy"/>
    <x v="24"/>
    <s v="Food handling"/>
    <s v="NA"/>
    <n v="1"/>
    <n v="0"/>
    <n v="0"/>
    <s v="Unknown"/>
    <s v="unknown"/>
    <s v="Ground"/>
    <s v="NA"/>
    <m/>
    <m/>
    <m/>
    <s v="NA"/>
    <s v="NA"/>
    <s v="NA"/>
    <s v="NA"/>
    <s v="NA"/>
    <m/>
    <m/>
    <m/>
    <n v="0"/>
    <n v="0"/>
    <n v="0"/>
    <n v="0"/>
    <n v="0"/>
    <m/>
    <n v="0"/>
    <s v="NA"/>
    <s v="Missed acquisition"/>
    <m/>
    <m/>
  </r>
  <r>
    <s v="DSCN2424"/>
    <s v="TAI0320_26"/>
    <n v="26"/>
    <n v="1"/>
    <x v="12"/>
    <d v="2019-03-20T00:00:00"/>
    <s v="March"/>
    <s v="Spring"/>
    <d v="1899-12-30T00:29:00"/>
    <d v="1899-12-30T00:00:29"/>
    <x v="122"/>
    <s v="Partly cloudy"/>
    <x v="24"/>
    <s v="Foraging"/>
    <s v="NA"/>
    <n v="1"/>
    <n v="0"/>
    <n v="0"/>
    <s v="Unknown"/>
    <s v="unknown"/>
    <s v="Ground"/>
    <s v="NA"/>
    <m/>
    <m/>
    <m/>
    <s v="NA"/>
    <s v="NA"/>
    <s v="NA"/>
    <s v="NA"/>
    <s v="NA"/>
    <m/>
    <m/>
    <m/>
    <n v="0"/>
    <n v="0"/>
    <n v="0"/>
    <n v="0"/>
    <n v="20"/>
    <m/>
    <n v="20"/>
    <s v="Searching"/>
    <m/>
    <m/>
    <m/>
  </r>
  <r>
    <s v="DSCN2428"/>
    <s v="TAI0320_28"/>
    <n v="28"/>
    <n v="1"/>
    <x v="12"/>
    <d v="2019-03-20T00:00:00"/>
    <s v="March"/>
    <s v="Spring"/>
    <d v="1899-12-30T00:11:00"/>
    <d v="1899-12-30T00:00:11"/>
    <x v="122"/>
    <s v="Partly cloudy"/>
    <x v="24"/>
    <s v="Food handling"/>
    <s v="Aspen"/>
    <n v="1"/>
    <n v="1"/>
    <n v="0"/>
    <s v="Unknown"/>
    <s v="unknown"/>
    <s v="Under bark of aspen trunk"/>
    <s v="NA"/>
    <m/>
    <m/>
    <m/>
    <s v="NA"/>
    <s v="NA"/>
    <s v="NA"/>
    <s v="NA"/>
    <s v="NA"/>
    <m/>
    <m/>
    <m/>
    <n v="0"/>
    <n v="0"/>
    <n v="0"/>
    <n v="0"/>
    <n v="0"/>
    <m/>
    <n v="0"/>
    <m/>
    <s v="Missed search. lOOKS ROUND LIKE A BERRY"/>
    <m/>
    <m/>
  </r>
  <r>
    <s v="DSCN2392"/>
    <s v="TAI0320_9"/>
    <n v="9"/>
    <n v="1"/>
    <x v="12"/>
    <d v="2019-03-20T00:00:00"/>
    <s v="March"/>
    <s v="Spring"/>
    <d v="1899-12-30T00:28:00"/>
    <d v="1899-12-30T00:00:28"/>
    <x v="122"/>
    <s v="Partly cloudy"/>
    <x v="24"/>
    <s v="Foraging"/>
    <s v="NA"/>
    <n v="2"/>
    <n v="0"/>
    <n v="0"/>
    <s v="Unknown"/>
    <s v="unknown"/>
    <s v="Ground"/>
    <n v="0"/>
    <m/>
    <m/>
    <m/>
    <n v="0"/>
    <s v="NA"/>
    <s v="NA"/>
    <s v="NA"/>
    <s v="NA"/>
    <m/>
    <m/>
    <m/>
    <n v="0"/>
    <n v="0"/>
    <n v="0"/>
    <n v="0"/>
    <d v="1900-01-27T00:00:00"/>
    <m/>
    <n v="28"/>
    <s v="Searching"/>
    <s v="Searching ground from tree. "/>
    <n v="0"/>
    <n v="0"/>
  </r>
  <r>
    <s v="DSCN2388"/>
    <s v="TAI0320_6"/>
    <n v="6"/>
    <n v="1"/>
    <x v="12"/>
    <d v="2019-03-20T00:00:00"/>
    <s v="March"/>
    <s v="Spring"/>
    <d v="1899-12-30T00:23:00"/>
    <d v="1899-12-30T00:00:23"/>
    <x v="122"/>
    <s v="Partly cloudy"/>
    <x v="24"/>
    <s v="Foraging"/>
    <s v="NA"/>
    <n v="3"/>
    <n v="0"/>
    <n v="0"/>
    <s v="Unknown"/>
    <s v="unknown"/>
    <s v="Ground"/>
    <s v="NA"/>
    <m/>
    <m/>
    <m/>
    <s v="NA"/>
    <s v="NA"/>
    <s v="NA"/>
    <s v="NA"/>
    <s v="NA"/>
    <m/>
    <m/>
    <m/>
    <n v="0"/>
    <n v="0"/>
    <n v="0"/>
    <n v="0"/>
    <n v="23"/>
    <m/>
    <n v="23"/>
    <s v="Searching"/>
    <m/>
    <n v="0"/>
    <n v="0"/>
  </r>
  <r>
    <s v="DSCN2395"/>
    <s v="TAI0320_12"/>
    <n v="12"/>
    <n v="1"/>
    <x v="12"/>
    <d v="2019-03-20T00:00:00"/>
    <s v="March"/>
    <s v="Spring"/>
    <d v="1899-12-30T00:25:00"/>
    <d v="1899-12-30T00:00:25"/>
    <x v="122"/>
    <s v="Partly cloudy"/>
    <x v="24"/>
    <s v="Foraging"/>
    <s v="NA"/>
    <n v="0"/>
    <n v="0"/>
    <n v="0"/>
    <m/>
    <s v="NA"/>
    <s v="NA"/>
    <s v="NA"/>
    <m/>
    <m/>
    <m/>
    <s v="NA"/>
    <s v="NA"/>
    <s v="NA"/>
    <s v="NA"/>
    <s v="NA"/>
    <m/>
    <m/>
    <m/>
    <n v="0"/>
    <n v="0"/>
    <n v="0"/>
    <n v="0"/>
    <n v="25"/>
    <m/>
    <n v="25"/>
    <s v="Searching"/>
    <m/>
    <n v="0"/>
    <n v="0"/>
  </r>
  <r>
    <s v="DSCN2391"/>
    <s v="TAI0320_8"/>
    <n v="8"/>
    <n v="1"/>
    <x v="12"/>
    <d v="2019-03-20T00:00:00"/>
    <s v="March"/>
    <s v="Spring"/>
    <d v="1899-12-30T00:22:00"/>
    <d v="1899-12-30T00:00:22"/>
    <x v="122"/>
    <s v="Partly cloudy"/>
    <x v="24"/>
    <s v="Foraging"/>
    <s v="Spruce"/>
    <n v="0"/>
    <n v="0"/>
    <n v="0"/>
    <m/>
    <s v="NA"/>
    <s v="NA"/>
    <s v="NA"/>
    <m/>
    <m/>
    <m/>
    <s v="NA"/>
    <s v="NA"/>
    <s v="NA"/>
    <s v="NA"/>
    <s v="NA"/>
    <m/>
    <m/>
    <m/>
    <n v="0"/>
    <n v="0"/>
    <n v="0"/>
    <n v="0"/>
    <n v="0"/>
    <m/>
    <n v="0"/>
    <s v="Searching"/>
    <s v="Perched in tree B&amp;Ut appears to be looking at ground.  Not sure how to label. "/>
    <n v="0"/>
    <n v="0"/>
  </r>
  <r>
    <s v="DSCN2413"/>
    <s v="TAI0320_22"/>
    <n v="22"/>
    <n v="1"/>
    <x v="12"/>
    <d v="2019-03-20T00:00:00"/>
    <s v="March"/>
    <s v="Spring"/>
    <d v="1899-12-30T00:13:00"/>
    <d v="1899-12-30T00:00:13"/>
    <x v="122"/>
    <s v="Partly cloudy"/>
    <x v="24"/>
    <s v="Foraging"/>
    <s v="NA"/>
    <n v="1"/>
    <n v="0"/>
    <n v="0"/>
    <s v="Unknown"/>
    <s v="unknown"/>
    <s v="Ground"/>
    <s v="NA"/>
    <m/>
    <m/>
    <m/>
    <s v="NA"/>
    <s v="NA"/>
    <s v="NA"/>
    <s v="NA"/>
    <s v="NA"/>
    <m/>
    <m/>
    <m/>
    <n v="0"/>
    <n v="0"/>
    <n v="0"/>
    <n v="0"/>
    <n v="13"/>
    <m/>
    <n v="13"/>
    <s v="Searching"/>
    <m/>
    <m/>
    <m/>
  </r>
  <r>
    <s v="DSCN2471"/>
    <s v="TAI0322_1"/>
    <n v="1"/>
    <n v="1"/>
    <x v="12"/>
    <d v="2019-03-22T00:00:00"/>
    <s v="March"/>
    <s v="Spring"/>
    <d v="1899-12-30T02:09:00"/>
    <d v="1899-12-30T00:02:09"/>
    <x v="122"/>
    <s v="Partly cloudy"/>
    <x v="24"/>
    <s v="Foraging"/>
    <s v="NA"/>
    <n v="1"/>
    <n v="0"/>
    <n v="0"/>
    <s v="Unknown"/>
    <s v="unknown"/>
    <s v="Ground"/>
    <s v="NA"/>
    <m/>
    <m/>
    <m/>
    <s v="NA"/>
    <s v="NA"/>
    <s v="NA"/>
    <s v="NA"/>
    <s v="NA"/>
    <m/>
    <m/>
    <m/>
    <n v="0"/>
    <n v="0"/>
    <n v="0"/>
    <n v="0"/>
    <n v="17"/>
    <m/>
    <n v="17"/>
    <s v="Searching"/>
    <m/>
    <m/>
    <m/>
  </r>
  <r>
    <s v="DSCN2401"/>
    <s v="TAI0320_15"/>
    <n v="15"/>
    <n v="1"/>
    <x v="12"/>
    <d v="2019-03-20T00:00:00"/>
    <s v="March"/>
    <s v="Spring"/>
    <d v="1899-12-30T00:39:00"/>
    <d v="1899-12-30T00:00:39"/>
    <x v="122"/>
    <s v="Partly cloudy"/>
    <x v="24"/>
    <s v="Unknown"/>
    <s v="Spruce"/>
    <s v="unknown"/>
    <n v="0"/>
    <s v="Unknown"/>
    <m/>
    <s v="unknown"/>
    <s v="uknown"/>
    <s v="NA"/>
    <m/>
    <m/>
    <m/>
    <s v="NA"/>
    <s v="NA"/>
    <s v="NA"/>
    <s v="NA"/>
    <s v="NA"/>
    <m/>
    <m/>
    <m/>
    <n v="0"/>
    <n v="0"/>
    <n v="0"/>
    <n v="0"/>
    <n v="0"/>
    <m/>
    <n v="0"/>
    <s v="Was it caching? Probing? IDK! "/>
    <m/>
    <m/>
    <m/>
  </r>
  <r>
    <s v="DSCN2415"/>
    <s v="TAI0320_23"/>
    <n v="23"/>
    <n v="1"/>
    <x v="12"/>
    <d v="2019-03-20T00:00:00"/>
    <s v="March"/>
    <s v="Spring"/>
    <d v="1899-12-30T00:27:00"/>
    <d v="1899-12-30T00:00:27"/>
    <x v="122"/>
    <s v="Partly cloudy"/>
    <x v="24"/>
    <s v="Foraging"/>
    <s v="NA"/>
    <s v="unknown"/>
    <n v="0"/>
    <n v="0"/>
    <m/>
    <s v="NA"/>
    <s v="NA"/>
    <s v="NA"/>
    <m/>
    <m/>
    <m/>
    <s v="NA"/>
    <s v="NA"/>
    <s v="NA"/>
    <s v="NA"/>
    <s v="NA"/>
    <m/>
    <m/>
    <m/>
    <n v="0"/>
    <n v="0"/>
    <n v="0"/>
    <n v="0"/>
    <n v="27"/>
    <m/>
    <n v="27"/>
    <s v="Searching"/>
    <m/>
    <m/>
    <m/>
  </r>
  <r>
    <s v="DSCN2427"/>
    <s v="TAI0320_27"/>
    <n v="27"/>
    <n v="1"/>
    <x v="12"/>
    <d v="2019-03-20T00:00:00"/>
    <s v="March"/>
    <s v="Spring"/>
    <d v="1899-12-30T00:23:00"/>
    <d v="1899-12-30T00:00:23"/>
    <x v="122"/>
    <s v="Partly cloudy"/>
    <x v="24"/>
    <s v="Foraging"/>
    <s v="NA"/>
    <s v="unknown"/>
    <n v="0"/>
    <n v="0"/>
    <m/>
    <s v="unknown"/>
    <s v="NA"/>
    <s v="NA"/>
    <m/>
    <m/>
    <m/>
    <s v="NA"/>
    <s v="NA"/>
    <s v="NA"/>
    <s v="NA"/>
    <s v="NA"/>
    <m/>
    <m/>
    <m/>
    <n v="0"/>
    <n v="0"/>
    <n v="0"/>
    <n v="0"/>
    <n v="23"/>
    <m/>
    <n v="23"/>
    <s v="Searching"/>
    <m/>
    <m/>
    <m/>
  </r>
  <r>
    <s v="DSCN2389"/>
    <s v="TAI0320_7"/>
    <n v="7"/>
    <n v="1"/>
    <x v="12"/>
    <d v="2019-03-20T00:00:00"/>
    <s v="March"/>
    <s v="Spring"/>
    <d v="1899-12-30T00:34:00"/>
    <d v="1899-12-30T00:00:34"/>
    <x v="122"/>
    <s v="Partly cloudy"/>
    <x v="24"/>
    <s v="Foraging"/>
    <s v="NA"/>
    <s v="unknown"/>
    <n v="0"/>
    <n v="0"/>
    <m/>
    <s v="NA"/>
    <s v="NA"/>
    <s v="NA"/>
    <m/>
    <m/>
    <m/>
    <s v="NA"/>
    <s v="NA"/>
    <s v="NA"/>
    <s v="NA"/>
    <s v="NA"/>
    <m/>
    <m/>
    <m/>
    <n v="0"/>
    <n v="0"/>
    <n v="0"/>
    <n v="0"/>
    <n v="34"/>
    <m/>
    <n v="34"/>
    <s v="Searching"/>
    <s v="Pecks several times B&amp;Ut no confirmed food.  Seems to spit something out at one point. "/>
    <n v="0"/>
    <n v="0"/>
  </r>
  <r>
    <s v="DSCN2625"/>
    <s v="UK0328_2"/>
    <n v="2"/>
    <n v="1"/>
    <x v="8"/>
    <d v="2019-03-28T00:00:00"/>
    <s v="March"/>
    <s v="Spring"/>
    <d v="1899-12-30T00:20:00"/>
    <d v="1899-12-30T00:00:20"/>
    <x v="122"/>
    <m/>
    <x v="25"/>
    <s v="Food handling"/>
    <s v="Spruce"/>
    <n v="1"/>
    <s v="unknown"/>
    <n v="0"/>
    <s v="Unknown"/>
    <s v="unknown"/>
    <s v="Exterior spruce foliage"/>
    <s v="NA"/>
    <m/>
    <m/>
    <m/>
    <s v="NA"/>
    <s v="NA"/>
    <s v="NA"/>
    <s v="NA"/>
    <s v="NA"/>
    <s v="NA"/>
    <s v="NA"/>
    <m/>
    <n v="0"/>
    <n v="0"/>
    <n v="0"/>
    <n v="0"/>
    <n v="0"/>
    <m/>
    <n v="0"/>
    <s v="Searching"/>
    <s v="Video starts just as bird extracts food."/>
    <n v="0"/>
    <n v="0"/>
  </r>
  <r>
    <s v="DSCN2624"/>
    <s v="UK0328_1"/>
    <n v="1"/>
    <n v="1"/>
    <x v="8"/>
    <d v="2019-03-28T00:00:00"/>
    <s v="March"/>
    <s v="Spring"/>
    <d v="1899-12-30T01:28:00"/>
    <d v="1899-12-30T00:01:28"/>
    <x v="122"/>
    <s v="Overcast"/>
    <x v="25"/>
    <s v="Foraging"/>
    <s v="Spruce"/>
    <n v="1"/>
    <s v="unknown"/>
    <n v="0"/>
    <s v="Unknown"/>
    <s v="unknown"/>
    <s v="Spruce trunk under bark"/>
    <s v="NA"/>
    <m/>
    <m/>
    <m/>
    <s v="NA"/>
    <s v="NA"/>
    <s v="NA"/>
    <s v="NA"/>
    <s v="NA"/>
    <s v="NA"/>
    <s v="NA"/>
    <m/>
    <n v="10"/>
    <n v="0"/>
    <n v="10"/>
    <n v="0"/>
    <n v="0"/>
    <m/>
    <n v="10"/>
    <s v="Searching/probing"/>
    <m/>
    <n v="2"/>
    <n v="0"/>
  </r>
  <r>
    <s v="DSCN2626"/>
    <s v="UK0328_3"/>
    <n v="3"/>
    <n v="1"/>
    <x v="8"/>
    <d v="2019-03-28T00:00:00"/>
    <s v="March"/>
    <s v="Spring"/>
    <d v="1899-12-30T00:45:00"/>
    <d v="1899-12-30T00:00:45"/>
    <x v="122"/>
    <m/>
    <x v="25"/>
    <s v="Foraging"/>
    <s v="Spruce"/>
    <s v="unknown"/>
    <s v="unknown"/>
    <s v="Unknown"/>
    <m/>
    <s v="NA"/>
    <s v="NA"/>
    <s v="NA"/>
    <m/>
    <m/>
    <m/>
    <s v="NA"/>
    <s v="NA"/>
    <s v="NA"/>
    <s v="NA"/>
    <s v="NA"/>
    <s v="NA"/>
    <s v="NA"/>
    <m/>
    <n v="20"/>
    <n v="0"/>
    <n v="20"/>
    <n v="0"/>
    <n v="0"/>
    <m/>
    <n v="20"/>
    <s v="Searching/probing"/>
    <m/>
    <n v="3"/>
    <n v="0"/>
  </r>
  <r>
    <s v="DSCN2444"/>
    <s v="BL0322_4"/>
    <n v="4"/>
    <n v="1"/>
    <x v="13"/>
    <d v="2019-03-22T00:00:00"/>
    <s v="March"/>
    <s v="Spring"/>
    <d v="1899-12-30T00:09:00"/>
    <d v="1899-12-30T00:00:09"/>
    <x v="122"/>
    <s v="Partly cloudy"/>
    <x v="26"/>
    <s v="Foraging"/>
    <s v="NA"/>
    <n v="1"/>
    <n v="0"/>
    <n v="0"/>
    <s v="Unknown"/>
    <s v="unknown"/>
    <s v="Ground"/>
    <s v="NA"/>
    <m/>
    <m/>
    <m/>
    <s v="NA"/>
    <s v="NA"/>
    <s v="NA"/>
    <s v="NA"/>
    <s v="NA"/>
    <m/>
    <m/>
    <m/>
    <n v="0"/>
    <n v="0"/>
    <n v="0"/>
    <n v="0"/>
    <n v="9"/>
    <m/>
    <n v="9"/>
    <s v="Searching"/>
    <m/>
    <m/>
    <m/>
  </r>
  <r>
    <s v="DSCN2572"/>
    <s v="AQ0326_1"/>
    <n v="1"/>
    <n v="1"/>
    <x v="7"/>
    <d v="2019-03-26T00:00:00"/>
    <s v="March"/>
    <s v="Spring"/>
    <d v="1899-12-30T00:07:00"/>
    <d v="1899-12-30T00:00:07"/>
    <x v="122"/>
    <s v="Mostly overcast"/>
    <x v="8"/>
    <s v="Food handling"/>
    <s v="NA"/>
    <n v="1"/>
    <n v="0"/>
    <n v="0"/>
    <s v="Unknown"/>
    <s v="unknown"/>
    <s v="Ground"/>
    <s v="NA"/>
    <m/>
    <m/>
    <m/>
    <s v="NA"/>
    <s v="NA"/>
    <s v="NA"/>
    <s v="NA"/>
    <s v="NA"/>
    <m/>
    <m/>
    <m/>
    <n v="0"/>
    <n v="0"/>
    <n v="0"/>
    <n v="0"/>
    <n v="0"/>
    <m/>
    <n v="0"/>
    <m/>
    <s v="Missed acquisition"/>
    <m/>
    <m/>
  </r>
  <r>
    <s v="DSCN2575"/>
    <s v="AQ0326_2"/>
    <n v="2"/>
    <n v="1"/>
    <x v="7"/>
    <d v="2019-03-26T00:00:00"/>
    <s v="March"/>
    <s v="Spring"/>
    <d v="1899-12-30T00:34:00"/>
    <d v="1899-12-30T00:00:34"/>
    <x v="122"/>
    <s v="Mostly overcast"/>
    <x v="8"/>
    <s v="Foraging"/>
    <s v="NA"/>
    <n v="0"/>
    <n v="0"/>
    <n v="0"/>
    <m/>
    <s v="NA"/>
    <s v="NA"/>
    <s v="NA"/>
    <m/>
    <m/>
    <m/>
    <s v="NA"/>
    <s v="NA"/>
    <s v="NA"/>
    <s v="NA"/>
    <s v="NA"/>
    <m/>
    <m/>
    <m/>
    <n v="0"/>
    <n v="0"/>
    <n v="0"/>
    <n v="0"/>
    <n v="34"/>
    <m/>
    <n v="34"/>
    <s v="Searching"/>
    <m/>
    <m/>
    <m/>
  </r>
  <r>
    <s v="DSCN2576"/>
    <s v="AQ0326_3"/>
    <n v="3"/>
    <n v="1"/>
    <x v="7"/>
    <d v="2019-03-26T00:00:00"/>
    <s v="March"/>
    <s v="Spring"/>
    <d v="1899-12-30T00:15:00"/>
    <d v="1899-12-30T00:00:15"/>
    <x v="122"/>
    <s v="Mostly overcast"/>
    <x v="8"/>
    <s v="Foraging"/>
    <s v="NA"/>
    <s v="unknown"/>
    <n v="0"/>
    <n v="0"/>
    <m/>
    <s v="NA"/>
    <s v="NA"/>
    <s v="NA"/>
    <m/>
    <m/>
    <m/>
    <s v="NA"/>
    <s v="NA"/>
    <s v="NA"/>
    <s v="NA"/>
    <s v="NA"/>
    <m/>
    <m/>
    <m/>
    <n v="0"/>
    <n v="0"/>
    <n v="0"/>
    <n v="0"/>
    <n v="8"/>
    <m/>
    <n v="8"/>
    <s v="Searching"/>
    <m/>
    <m/>
    <m/>
  </r>
  <r>
    <s v="DSCN2460"/>
    <s v="BL0322_10"/>
    <n v="10"/>
    <n v="1"/>
    <x v="13"/>
    <d v="2019-03-22T00:00:00"/>
    <s v="March"/>
    <s v="Spring"/>
    <d v="1899-12-30T00:40:00"/>
    <d v="1899-12-30T00:00:40"/>
    <x v="122"/>
    <s v="Partly cloudy"/>
    <x v="10"/>
    <s v="Foraging"/>
    <s v="NA"/>
    <n v="1"/>
    <n v="0"/>
    <n v="0"/>
    <s v="Unknown"/>
    <s v="unknown"/>
    <s v="Ground"/>
    <s v="NA"/>
    <m/>
    <m/>
    <m/>
    <s v="NA"/>
    <s v="NA"/>
    <s v="NA"/>
    <s v="NA"/>
    <s v="NA"/>
    <m/>
    <m/>
    <m/>
    <n v="0"/>
    <n v="0"/>
    <n v="0"/>
    <n v="0"/>
    <n v="8"/>
    <m/>
    <n v="8"/>
    <s v="Searching"/>
    <m/>
    <m/>
    <m/>
  </r>
  <r>
    <s v="DSCN2465"/>
    <s v="BL0322_14"/>
    <n v="14"/>
    <n v="1"/>
    <x v="13"/>
    <d v="2019-03-22T00:00:00"/>
    <s v="March"/>
    <s v="Spring"/>
    <d v="1899-12-30T00:20:00"/>
    <d v="1899-12-30T00:00:20"/>
    <x v="122"/>
    <s v="Partly cloudy"/>
    <x v="10"/>
    <s v="Foraging"/>
    <s v="NA"/>
    <n v="1"/>
    <n v="0"/>
    <n v="0"/>
    <s v="Unknown"/>
    <s v="unknown"/>
    <s v="Ground"/>
    <s v="NA"/>
    <m/>
    <m/>
    <m/>
    <s v="NA"/>
    <s v="NA"/>
    <s v="NA"/>
    <s v="NA"/>
    <s v="NA"/>
    <m/>
    <m/>
    <m/>
    <n v="0"/>
    <n v="0"/>
    <n v="0"/>
    <n v="0"/>
    <n v="20"/>
    <m/>
    <n v="20"/>
    <s v="Searching"/>
    <m/>
    <m/>
    <m/>
  </r>
  <r>
    <s v="DSCN2443"/>
    <s v="BL0322_3"/>
    <n v="3"/>
    <n v="1"/>
    <x v="13"/>
    <d v="2019-03-22T00:00:00"/>
    <s v="March"/>
    <s v="Spring"/>
    <d v="1899-12-30T00:14:00"/>
    <d v="1899-12-30T00:00:14"/>
    <x v="122"/>
    <s v="Partly cloudy"/>
    <x v="10"/>
    <s v="Foraging"/>
    <s v="NA"/>
    <n v="1"/>
    <n v="0"/>
    <n v="0"/>
    <s v="Unknown"/>
    <s v="unknown"/>
    <s v="Ground"/>
    <s v="NA"/>
    <m/>
    <m/>
    <m/>
    <s v="NA"/>
    <s v="NA"/>
    <s v="NA"/>
    <s v="NA"/>
    <s v="NA"/>
    <m/>
    <m/>
    <m/>
    <n v="0"/>
    <n v="0"/>
    <n v="0"/>
    <n v="0"/>
    <n v="14"/>
    <m/>
    <n v="14"/>
    <m/>
    <s v="Missed acquisition"/>
    <m/>
    <m/>
  </r>
  <r>
    <s v="DSCN2446"/>
    <s v="BL0322_5"/>
    <n v="5"/>
    <n v="1"/>
    <x v="13"/>
    <d v="2019-03-22T00:00:00"/>
    <s v="March"/>
    <s v="Spring"/>
    <d v="1899-12-30T00:20:00"/>
    <d v="1899-12-30T00:00:20"/>
    <x v="122"/>
    <s v="Partly cloudy"/>
    <x v="10"/>
    <s v="Foraging"/>
    <s v="NA"/>
    <n v="3"/>
    <n v="0"/>
    <n v="0"/>
    <s v="Unknown"/>
    <s v="unknown"/>
    <s v="Ground"/>
    <s v="NA"/>
    <m/>
    <m/>
    <m/>
    <s v="NA"/>
    <s v="NA"/>
    <s v="NA"/>
    <s v="NA"/>
    <s v="NA"/>
    <m/>
    <m/>
    <m/>
    <n v="0"/>
    <n v="0"/>
    <n v="0"/>
    <n v="0"/>
    <n v="20"/>
    <m/>
    <n v="20"/>
    <s v="Searching"/>
    <m/>
    <m/>
    <m/>
  </r>
  <r>
    <s v="DSCN2434"/>
    <s v="BL0322_1"/>
    <n v="1"/>
    <n v="1"/>
    <x v="13"/>
    <d v="2019-03-22T00:00:00"/>
    <s v="March"/>
    <s v="Spring"/>
    <d v="1899-12-30T00:28:00"/>
    <d v="1899-12-30T00:00:28"/>
    <x v="122"/>
    <s v="Partly cloudy"/>
    <x v="10"/>
    <s v="Foraging"/>
    <s v="NA"/>
    <n v="0"/>
    <n v="0"/>
    <n v="0"/>
    <m/>
    <s v="NA"/>
    <s v="NA"/>
    <s v="NA"/>
    <m/>
    <m/>
    <m/>
    <s v="NA"/>
    <s v="NA"/>
    <s v="NA"/>
    <s v="NA"/>
    <s v="NA"/>
    <m/>
    <m/>
    <m/>
    <n v="0"/>
    <n v="0"/>
    <n v="0"/>
    <n v="0"/>
    <n v="11"/>
    <m/>
    <n v="11"/>
    <s v="Picking"/>
    <m/>
    <m/>
    <m/>
  </r>
  <r>
    <s v="DSCN2461"/>
    <s v="BL0322_11"/>
    <n v="11"/>
    <n v="1"/>
    <x v="13"/>
    <d v="2019-03-22T00:00:00"/>
    <s v="March"/>
    <s v="Spring"/>
    <d v="1899-12-30T00:08:00"/>
    <d v="1899-12-30T00:00:08"/>
    <x v="122"/>
    <s v="Partly cloudy"/>
    <x v="10"/>
    <s v="Foraging"/>
    <s v="NA"/>
    <n v="0"/>
    <n v="0"/>
    <n v="0"/>
    <m/>
    <s v="NA"/>
    <s v="NA"/>
    <s v="NA"/>
    <m/>
    <m/>
    <m/>
    <s v="NA"/>
    <s v="NA"/>
    <s v="NA"/>
    <s v="NA"/>
    <s v="NA"/>
    <m/>
    <m/>
    <m/>
    <n v="0"/>
    <n v="0"/>
    <n v="0"/>
    <n v="0"/>
    <n v="8"/>
    <m/>
    <n v="8"/>
    <s v="Searching"/>
    <m/>
    <m/>
    <m/>
  </r>
  <r>
    <s v="DSCN2435"/>
    <s v="BL0322_2"/>
    <n v="2"/>
    <n v="1"/>
    <x v="13"/>
    <d v="2019-03-22T00:00:00"/>
    <s v="March"/>
    <s v="Spring"/>
    <d v="1899-12-30T01:09:00"/>
    <d v="1899-12-30T00:01:09"/>
    <x v="122"/>
    <s v="Partly cloudy"/>
    <x v="10"/>
    <s v="Foraging"/>
    <s v="Shrubs"/>
    <n v="0"/>
    <n v="0"/>
    <n v="0"/>
    <m/>
    <s v="NA"/>
    <s v="NA"/>
    <s v="NA"/>
    <m/>
    <m/>
    <m/>
    <s v="NA"/>
    <s v="NA"/>
    <s v="NA"/>
    <s v="NA"/>
    <s v="NA"/>
    <m/>
    <m/>
    <m/>
    <n v="10"/>
    <n v="0"/>
    <n v="10"/>
    <n v="0"/>
    <n v="21"/>
    <m/>
    <n v="31"/>
    <s v="Picking"/>
    <s v="Plucked a dried blueberry B&amp;Ut then spit it up.  It did not secure it to the branch nor did it look like typical cache behavior.  So I did not score it as a cache.  "/>
    <m/>
    <m/>
  </r>
  <r>
    <s v="DSCN2462"/>
    <s v="BL0322_12"/>
    <n v="12"/>
    <n v="1"/>
    <x v="13"/>
    <d v="2019-03-22T00:00:00"/>
    <s v="March"/>
    <s v="Spring"/>
    <d v="1899-12-30T00:18:00"/>
    <d v="1899-12-30T00:00:18"/>
    <x v="122"/>
    <s v="Partly cloudy"/>
    <x v="10"/>
    <s v="Foraging"/>
    <s v="NA"/>
    <n v="1"/>
    <n v="0"/>
    <n v="0"/>
    <s v="Berry"/>
    <s v="Berry (crowberry)"/>
    <s v="Ground"/>
    <s v="NA"/>
    <m/>
    <m/>
    <m/>
    <s v="NA"/>
    <s v="NA"/>
    <s v="NA"/>
    <s v="NA"/>
    <s v="NA"/>
    <m/>
    <m/>
    <m/>
    <n v="0"/>
    <n v="0"/>
    <n v="0"/>
    <n v="0"/>
    <n v="18"/>
    <m/>
    <n v="18"/>
    <s v="Searching"/>
    <m/>
    <m/>
    <m/>
  </r>
  <r>
    <s v="DSCN2464"/>
    <s v="BL0322_13"/>
    <n v="13"/>
    <n v="1"/>
    <x v="13"/>
    <d v="2019-03-22T00:00:00"/>
    <s v="March"/>
    <s v="Spring"/>
    <d v="1899-12-30T00:14:00"/>
    <d v="1899-12-30T00:00:14"/>
    <x v="122"/>
    <s v="Partly cloudy"/>
    <x v="10"/>
    <s v="Foraging"/>
    <s v="NA"/>
    <n v="1"/>
    <n v="0"/>
    <n v="0"/>
    <s v="Berry"/>
    <s v="Berry (crowberry)"/>
    <s v="Ground"/>
    <s v="NA"/>
    <m/>
    <m/>
    <m/>
    <s v="NA"/>
    <s v="NA"/>
    <s v="NA"/>
    <s v="NA"/>
    <s v="NA"/>
    <m/>
    <m/>
    <m/>
    <n v="0"/>
    <n v="0"/>
    <n v="0"/>
    <n v="0"/>
    <n v="14"/>
    <m/>
    <n v="14"/>
    <s v="Searching"/>
    <m/>
    <m/>
    <m/>
  </r>
  <r>
    <s v="DSCN2453"/>
    <s v="BL0322_7"/>
    <n v="7"/>
    <n v="1"/>
    <x v="13"/>
    <d v="2019-03-22T00:00:00"/>
    <s v="March"/>
    <s v="Spring"/>
    <d v="1899-12-30T00:33:00"/>
    <d v="1899-12-30T00:00:33"/>
    <x v="122"/>
    <s v="Partly cloudy"/>
    <x v="10"/>
    <s v="Foraging/food handling"/>
    <s v="NA"/>
    <n v="1"/>
    <n v="0"/>
    <n v="0"/>
    <s v="Insect"/>
    <s v="Insect (caterpiller)"/>
    <s v="Ground"/>
    <s v="unknown"/>
    <m/>
    <m/>
    <m/>
    <s v="NA"/>
    <s v="NA"/>
    <s v="NA"/>
    <s v="NA"/>
    <s v="NA"/>
    <m/>
    <m/>
    <m/>
    <n v="0"/>
    <n v="0"/>
    <n v="0"/>
    <n v="0"/>
    <n v="3"/>
    <m/>
    <n v="3"/>
    <s v="Searching"/>
    <m/>
    <m/>
    <m/>
  </r>
  <r>
    <s v="DSCN2447"/>
    <s v="BL0322_6"/>
    <n v="6"/>
    <n v="1"/>
    <x v="13"/>
    <d v="2019-03-22T00:00:00"/>
    <s v="March"/>
    <s v="Spring"/>
    <d v="1899-12-30T00:31:00"/>
    <d v="1899-12-30T00:00:31"/>
    <x v="122"/>
    <s v="Partly cloudy"/>
    <x v="10"/>
    <s v="Foraging"/>
    <s v="NA"/>
    <s v="unknown"/>
    <n v="0"/>
    <n v="0"/>
    <m/>
    <s v="NA"/>
    <s v="NA"/>
    <s v="NA"/>
    <m/>
    <m/>
    <m/>
    <s v="NA"/>
    <s v="NA"/>
    <s v="NA"/>
    <s v="NA"/>
    <s v="NA"/>
    <m/>
    <m/>
    <m/>
    <n v="0"/>
    <n v="0"/>
    <n v="0"/>
    <n v="0"/>
    <n v="31"/>
    <m/>
    <n v="31"/>
    <s v="Searching"/>
    <s v="Scanning ground from tree branches"/>
    <m/>
    <m/>
  </r>
  <r>
    <s v="DSCN2458"/>
    <s v="BL0322_8"/>
    <n v="8"/>
    <n v="1"/>
    <x v="13"/>
    <d v="2019-03-22T00:00:00"/>
    <s v="March"/>
    <s v="Spring"/>
    <d v="1899-12-30T00:16:00"/>
    <d v="1899-12-30T00:00:16"/>
    <x v="122"/>
    <s v="Partly cloudy"/>
    <x v="10"/>
    <s v="Foraging"/>
    <s v="NA"/>
    <s v="unknown"/>
    <n v="0"/>
    <n v="0"/>
    <m/>
    <s v="NA"/>
    <s v="NA"/>
    <s v="NA"/>
    <m/>
    <m/>
    <m/>
    <s v="NA"/>
    <s v="NA"/>
    <s v="NA"/>
    <s v="NA"/>
    <s v="NA"/>
    <m/>
    <m/>
    <m/>
    <n v="0"/>
    <n v="0"/>
    <n v="0"/>
    <n v="0"/>
    <n v="16"/>
    <m/>
    <n v="16"/>
    <s v="Searching"/>
    <m/>
    <m/>
    <m/>
  </r>
  <r>
    <s v="DSCN2459"/>
    <s v="BL0322_9"/>
    <n v="9"/>
    <n v="1"/>
    <x v="13"/>
    <d v="2019-03-22T00:00:00"/>
    <s v="March"/>
    <s v="Spring"/>
    <d v="1899-12-30T00:16:00"/>
    <d v="1899-12-30T00:00:16"/>
    <x v="122"/>
    <s v="Partly cloudy"/>
    <x v="10"/>
    <s v="Foraging"/>
    <s v="NA"/>
    <s v="unknown"/>
    <n v="0"/>
    <n v="0"/>
    <m/>
    <s v="NA"/>
    <s v="NA"/>
    <s v="NA"/>
    <m/>
    <m/>
    <m/>
    <s v="NA"/>
    <s v="NA"/>
    <s v="NA"/>
    <s v="NA"/>
    <s v="NA"/>
    <m/>
    <m/>
    <m/>
    <n v="0"/>
    <n v="0"/>
    <n v="0"/>
    <n v="0"/>
    <n v="16"/>
    <m/>
    <n v="16"/>
    <s v="Searching"/>
    <m/>
    <m/>
    <m/>
  </r>
  <r>
    <s v="DSCN2603"/>
    <s v="M4R0327_7"/>
    <n v="7"/>
    <n v="1"/>
    <x v="6"/>
    <d v="2019-03-27T00:00:00"/>
    <s v="March"/>
    <s v="Spring"/>
    <d v="1899-12-30T00:24:00"/>
    <d v="1899-12-30T00:00:24"/>
    <x v="122"/>
    <s v="Overcast"/>
    <x v="11"/>
    <s v="Foraging"/>
    <s v="NA"/>
    <s v="unknown"/>
    <n v="0"/>
    <n v="0"/>
    <m/>
    <s v="NA"/>
    <s v="NA"/>
    <s v="NA"/>
    <m/>
    <m/>
    <m/>
    <s v="NA"/>
    <s v="NA"/>
    <s v="NA"/>
    <s v="NA"/>
    <s v="NA"/>
    <s v="NA"/>
    <s v="NA"/>
    <m/>
    <n v="0"/>
    <n v="0"/>
    <n v="0"/>
    <n v="0"/>
    <n v="12"/>
    <m/>
    <n v="12"/>
    <s v="Searching"/>
    <m/>
    <m/>
    <m/>
  </r>
  <r>
    <s v="DSCN2484"/>
    <s v="MC0325_2"/>
    <n v="2"/>
    <n v="2"/>
    <x v="2"/>
    <d v="2019-03-25T00:00:00"/>
    <s v="March"/>
    <s v="Spring"/>
    <d v="1899-12-30T01:37:00"/>
    <d v="1899-12-30T00:01:37"/>
    <x v="122"/>
    <s v="Overcast"/>
    <x v="13"/>
    <s v="Foraging"/>
    <s v="Spruce"/>
    <n v="1"/>
    <n v="0"/>
    <n v="0"/>
    <s v="Mushroom"/>
    <s v="Mushroom (squirrel cache)"/>
    <s v="Exterior bare spruce branch"/>
    <s v="NA"/>
    <m/>
    <m/>
    <m/>
    <s v="NA"/>
    <s v="NA"/>
    <s v="NA"/>
    <s v="NA"/>
    <s v="NA"/>
    <m/>
    <m/>
    <m/>
    <n v="14"/>
    <n v="0"/>
    <n v="0"/>
    <n v="14"/>
    <n v="0"/>
    <m/>
    <n v="14"/>
    <s v="Searching"/>
    <s v="Grabbed squirrel cache and moved it to a new tree.  Did not take GPS since it did not appear to cache it itself. "/>
    <m/>
    <m/>
  </r>
  <r>
    <s v="DSCN2484"/>
    <s v="MC0325_2"/>
    <n v="2"/>
    <n v="1"/>
    <x v="2"/>
    <d v="2019-03-25T00:00:00"/>
    <s v="March"/>
    <s v="Spring"/>
    <d v="1899-12-30T01:37:00"/>
    <d v="1899-12-30T00:01:37"/>
    <x v="122"/>
    <s v="Overcast"/>
    <x v="13"/>
    <s v="Foraging"/>
    <s v="NA"/>
    <n v="1"/>
    <n v="0"/>
    <n v="0"/>
    <s v="Berry"/>
    <s v="Berry (2-crowberries)"/>
    <s v="Ground"/>
    <s v="NA"/>
    <m/>
    <m/>
    <m/>
    <s v="NA"/>
    <s v="NA"/>
    <s v="NA"/>
    <s v="NA"/>
    <s v="NA"/>
    <m/>
    <m/>
    <m/>
    <n v="0"/>
    <n v="0"/>
    <n v="0"/>
    <n v="0"/>
    <n v="11"/>
    <m/>
    <n v="11"/>
    <s v="Searching"/>
    <m/>
    <m/>
    <m/>
  </r>
  <r>
    <s v="DSCN2477"/>
    <s v="MC0325_1"/>
    <n v="1"/>
    <n v="1"/>
    <x v="2"/>
    <d v="2019-03-25T00:00:00"/>
    <s v="March"/>
    <s v="Spring"/>
    <d v="1899-12-30T00:09:00"/>
    <d v="1899-12-30T00:00:09"/>
    <x v="122"/>
    <s v="Overcast"/>
    <x v="13"/>
    <s v="Foraging"/>
    <s v="NA"/>
    <n v="0"/>
    <n v="0"/>
    <n v="0"/>
    <m/>
    <s v="NA"/>
    <s v="NA"/>
    <s v="NA"/>
    <m/>
    <m/>
    <m/>
    <s v="NA"/>
    <s v="NA"/>
    <s v="NA"/>
    <s v="NA"/>
    <s v="NA"/>
    <m/>
    <m/>
    <m/>
    <n v="0"/>
    <n v="0"/>
    <n v="0"/>
    <n v="0"/>
    <n v="9"/>
    <m/>
    <n v="9"/>
    <s v="Searching"/>
    <m/>
    <m/>
    <m/>
  </r>
  <r>
    <s v="DSCN2611"/>
    <s v="MC0327_1"/>
    <n v="1"/>
    <n v="1"/>
    <x v="6"/>
    <d v="2019-03-27T00:00:00"/>
    <s v="March"/>
    <s v="Spring"/>
    <d v="1899-12-30T00:41:00"/>
    <d v="1899-12-30T00:00:41"/>
    <x v="122"/>
    <s v="Partly cloudy"/>
    <x v="13"/>
    <s v="Foraging"/>
    <s v="Spruce"/>
    <n v="0"/>
    <n v="0"/>
    <n v="0"/>
    <m/>
    <s v="NA"/>
    <s v="NA"/>
    <s v="NA"/>
    <m/>
    <m/>
    <m/>
    <s v="NA"/>
    <s v="NA"/>
    <s v="NA"/>
    <s v="NA"/>
    <s v="NA"/>
    <s v="NA"/>
    <s v="NA"/>
    <m/>
    <n v="23"/>
    <n v="0"/>
    <n v="23"/>
    <n v="0"/>
    <n v="0"/>
    <m/>
    <n v="23"/>
    <s v="Searching"/>
    <m/>
    <m/>
    <m/>
  </r>
  <r>
    <s v="DSCN2612"/>
    <s v="MC0327_2"/>
    <n v="2"/>
    <n v="1"/>
    <x v="6"/>
    <d v="2019-03-27T00:00:00"/>
    <s v="March"/>
    <s v="Spring"/>
    <d v="1899-12-30T00:26:00"/>
    <d v="1899-12-30T00:00:26"/>
    <x v="122"/>
    <m/>
    <x v="13"/>
    <s v="Foraging"/>
    <s v="Spruce"/>
    <n v="0"/>
    <n v="0"/>
    <n v="0"/>
    <m/>
    <s v="NA"/>
    <s v="NA"/>
    <s v="NA"/>
    <m/>
    <m/>
    <m/>
    <s v="NA"/>
    <s v="NA"/>
    <s v="NA"/>
    <s v="NA"/>
    <s v="NA"/>
    <s v="NA"/>
    <s v="NA"/>
    <m/>
    <n v="0"/>
    <n v="26"/>
    <n v="0"/>
    <n v="26"/>
    <n v="0"/>
    <m/>
    <n v="26"/>
    <s v="Searching"/>
    <m/>
    <m/>
    <m/>
  </r>
  <r>
    <s v="DSCN2621"/>
    <s v="MC0327_3"/>
    <n v="3"/>
    <n v="1"/>
    <x v="6"/>
    <d v="2019-03-27T00:00:00"/>
    <s v="March"/>
    <s v="Spring"/>
    <d v="1899-12-30T00:31:00"/>
    <d v="1899-12-30T00:00:31"/>
    <x v="122"/>
    <m/>
    <x v="13"/>
    <s v="Foraging"/>
    <s v="NA"/>
    <n v="0"/>
    <n v="0"/>
    <n v="0"/>
    <m/>
    <s v="NA"/>
    <s v="NA"/>
    <s v="NA"/>
    <m/>
    <m/>
    <m/>
    <s v="NA"/>
    <s v="NA"/>
    <s v="NA"/>
    <s v="NA"/>
    <s v="NA"/>
    <s v="NA"/>
    <s v="NA"/>
    <m/>
    <n v="0"/>
    <n v="0"/>
    <n v="0"/>
    <n v="0"/>
    <n v="30"/>
    <m/>
    <n v="30"/>
    <s v="Searching"/>
    <m/>
    <m/>
    <m/>
  </r>
  <r>
    <s v="DSCN2622"/>
    <s v="MC0327_4"/>
    <n v="4"/>
    <n v="1"/>
    <x v="6"/>
    <d v="2019-03-27T00:00:00"/>
    <s v="March"/>
    <s v="Spring"/>
    <d v="1899-12-30T00:22:00"/>
    <d v="1899-12-30T00:00:22"/>
    <x v="122"/>
    <m/>
    <x v="13"/>
    <s v="Foraging"/>
    <s v="NA"/>
    <n v="0"/>
    <n v="0"/>
    <n v="0"/>
    <m/>
    <s v="NA"/>
    <s v="NA"/>
    <s v="NA"/>
    <m/>
    <m/>
    <m/>
    <s v="NA"/>
    <s v="NA"/>
    <s v="NA"/>
    <s v="NA"/>
    <s v="NA"/>
    <s v="NA"/>
    <s v="NA"/>
    <m/>
    <n v="0"/>
    <n v="0"/>
    <n v="0"/>
    <n v="0"/>
    <n v="10"/>
    <m/>
    <n v="10"/>
    <s v="Searching"/>
    <m/>
    <m/>
    <m/>
  </r>
  <r>
    <s v="DSCN2382"/>
    <s v="TAI0320_2"/>
    <n v="2"/>
    <n v="1"/>
    <x v="12"/>
    <d v="2019-03-20T00:00:00"/>
    <s v="March"/>
    <s v="Spring"/>
    <d v="1899-12-30T00:11:00"/>
    <d v="1899-12-30T00:00:11"/>
    <x v="122"/>
    <s v="Partly cloudy"/>
    <x v="27"/>
    <s v="Foraging"/>
    <s v="NA"/>
    <n v="1"/>
    <n v="0"/>
    <n v="0"/>
    <s v="Unknown"/>
    <s v="unknown"/>
    <s v="Ground"/>
    <s v="NA"/>
    <m/>
    <m/>
    <m/>
    <s v="NA"/>
    <s v="NA"/>
    <s v="NA"/>
    <s v="NA"/>
    <s v="NA"/>
    <m/>
    <m/>
    <m/>
    <n v="0"/>
    <n v="0"/>
    <n v="0"/>
    <n v="0"/>
    <n v="9"/>
    <m/>
    <n v="9"/>
    <s v="Searching"/>
    <m/>
    <n v="0"/>
    <n v="0"/>
  </r>
  <r>
    <s v="DSCN2408"/>
    <s v="TAI0320_20"/>
    <n v="20"/>
    <n v="1"/>
    <x v="12"/>
    <d v="2019-03-20T00:00:00"/>
    <s v="March"/>
    <s v="Spring"/>
    <d v="1899-12-30T00:38:00"/>
    <d v="1899-12-30T00:00:38"/>
    <x v="122"/>
    <s v="Partly cloudy"/>
    <x v="27"/>
    <s v="Foraging"/>
    <s v="NA"/>
    <n v="1"/>
    <n v="0"/>
    <n v="0"/>
    <s v="Unknown"/>
    <s v="unknown"/>
    <s v="Ground"/>
    <s v="NA"/>
    <m/>
    <m/>
    <m/>
    <s v="NA"/>
    <s v="MA"/>
    <s v="NA"/>
    <s v="NA"/>
    <s v="NA"/>
    <m/>
    <m/>
    <m/>
    <n v="0"/>
    <n v="0"/>
    <n v="0"/>
    <n v="0"/>
    <n v="12"/>
    <m/>
    <n v="12"/>
    <s v="Searching"/>
    <m/>
    <n v="0"/>
    <n v="0"/>
  </r>
  <r>
    <s v="DSCN2380"/>
    <s v="TAI0320_1"/>
    <n v="1"/>
    <n v="1"/>
    <x v="12"/>
    <d v="2019-03-20T00:00:00"/>
    <s v="March"/>
    <s v="Spring"/>
    <d v="1899-12-30T00:57:00"/>
    <d v="1899-12-30T00:00:57"/>
    <x v="122"/>
    <s v="Partly cloudy"/>
    <x v="27"/>
    <s v="Foraging"/>
    <s v="NA"/>
    <n v="3"/>
    <n v="0"/>
    <n v="0"/>
    <s v="Unknown"/>
    <s v="unknown"/>
    <s v="Ground"/>
    <s v="NA"/>
    <m/>
    <m/>
    <m/>
    <s v="NA"/>
    <s v="NA"/>
    <s v="NA"/>
    <s v="NA"/>
    <s v="NA"/>
    <m/>
    <m/>
    <m/>
    <n v="0"/>
    <n v="0"/>
    <n v="0"/>
    <n v="0"/>
    <n v="34"/>
    <m/>
    <n v="34"/>
    <s v="Searching"/>
    <s v="Did not count last acquisition since it might have been provided bread.  "/>
    <n v="0"/>
    <n v="0"/>
  </r>
  <r>
    <s v="DSCN2387"/>
    <s v="TAI0320_5"/>
    <n v="5"/>
    <n v="1"/>
    <x v="12"/>
    <d v="2019-03-20T00:00:00"/>
    <s v="March"/>
    <s v="Spring"/>
    <d v="1899-12-30T00:38:00"/>
    <d v="1899-12-30T00:00:38"/>
    <x v="122"/>
    <s v="Partly cloudy"/>
    <x v="27"/>
    <s v="Foraging"/>
    <s v="NA"/>
    <n v="5"/>
    <n v="0"/>
    <n v="0"/>
    <s v="Unknown"/>
    <s v="unknown"/>
    <s v="Ground"/>
    <s v="NA"/>
    <m/>
    <m/>
    <m/>
    <s v="NA"/>
    <s v="NA"/>
    <s v="NA"/>
    <s v="NA"/>
    <s v="NA"/>
    <m/>
    <m/>
    <m/>
    <n v="0"/>
    <n v="0"/>
    <n v="0"/>
    <n v="0"/>
    <n v="38"/>
    <m/>
    <n v="38"/>
    <s v="Searching"/>
    <m/>
    <n v="0"/>
    <n v="0"/>
  </r>
  <r>
    <s v="DSCN2398"/>
    <s v="TAI0320_14"/>
    <n v="14"/>
    <n v="1"/>
    <x v="12"/>
    <d v="2019-03-20T00:00:00"/>
    <s v="March"/>
    <s v="Spring"/>
    <d v="1899-12-30T00:06:00"/>
    <d v="1899-12-30T00:00:06"/>
    <x v="122"/>
    <s v="Partly cloudy"/>
    <x v="27"/>
    <s v="Caching"/>
    <s v="Spruce"/>
    <n v="1"/>
    <n v="0"/>
    <n v="1"/>
    <s v="Insect"/>
    <s v="Insect grub"/>
    <s v="Ground"/>
    <s v="Exterior spruce branch under witch hair"/>
    <s v="Spruce"/>
    <s v="Exterior"/>
    <s v="Under witchhair"/>
    <s v="East"/>
    <n v="82"/>
    <s v="unknown"/>
    <n v="63.739370000000001"/>
    <n v="148.91734"/>
    <m/>
    <m/>
    <m/>
    <n v="0"/>
    <n v="0"/>
    <n v="0"/>
    <n v="0"/>
    <n v="0"/>
    <m/>
    <n v="0"/>
    <s v="NA"/>
    <s v="Didn't catch foraging on camera.  Placed camera trap on cache.  "/>
    <m/>
    <m/>
  </r>
  <r>
    <s v="DSCN2405"/>
    <s v="TAI0320_18"/>
    <n v="18"/>
    <n v="1"/>
    <x v="12"/>
    <d v="2019-03-20T00:00:00"/>
    <s v="March"/>
    <s v="Spring"/>
    <d v="1899-12-30T00:28:00"/>
    <d v="1899-12-30T00:00:28"/>
    <x v="122"/>
    <s v="Partly cloudy"/>
    <x v="27"/>
    <s v="Foraging"/>
    <s v="NA"/>
    <n v="0"/>
    <n v="0"/>
    <n v="0"/>
    <m/>
    <s v="NA"/>
    <s v="NA"/>
    <s v="NA"/>
    <m/>
    <m/>
    <m/>
    <s v="NA"/>
    <s v="NA"/>
    <s v="NA"/>
    <s v="NA"/>
    <s v="NA"/>
    <m/>
    <m/>
    <m/>
    <n v="0"/>
    <n v="0"/>
    <n v="0"/>
    <n v="0"/>
    <n v="9"/>
    <m/>
    <n v="9"/>
    <s v="Searching"/>
    <m/>
    <n v="0"/>
    <n v="0"/>
  </r>
  <r>
    <s v="DSCN2420"/>
    <s v="TAI0320_25"/>
    <n v="25"/>
    <n v="1"/>
    <x v="12"/>
    <d v="2019-03-20T00:00:00"/>
    <s v="March"/>
    <s v="Spring"/>
    <d v="1899-12-30T00:17:00"/>
    <d v="1899-12-30T00:00:17"/>
    <x v="122"/>
    <s v="Partly cloudy"/>
    <x v="27"/>
    <s v="Food handling"/>
    <s v="NA"/>
    <n v="1"/>
    <n v="0"/>
    <n v="0"/>
    <s v="Insect"/>
    <s v="Insect grub"/>
    <s v="Ground"/>
    <s v="NA"/>
    <m/>
    <m/>
    <m/>
    <s v="NA"/>
    <s v="NA"/>
    <s v="NA"/>
    <s v="NA"/>
    <s v="NA"/>
    <m/>
    <m/>
    <m/>
    <n v="0"/>
    <n v="0"/>
    <n v="0"/>
    <n v="0"/>
    <n v="0"/>
    <m/>
    <n v="0"/>
    <s v="NA"/>
    <s v="Missed acquisition"/>
    <m/>
    <m/>
  </r>
  <r>
    <s v="DSCN2403"/>
    <s v="RAI0320_16"/>
    <n v="16"/>
    <n v="1"/>
    <x v="12"/>
    <d v="2019-03-20T00:00:00"/>
    <s v="March"/>
    <s v="Spring"/>
    <d v="1899-12-30T00:10:00"/>
    <d v="1899-12-30T00:00:10"/>
    <x v="122"/>
    <s v="Partly cloudy"/>
    <x v="27"/>
    <s v="Foraging"/>
    <s v="NA"/>
    <s v="unknown"/>
    <n v="0"/>
    <n v="0"/>
    <m/>
    <s v="unknown"/>
    <s v="NA"/>
    <s v="NA"/>
    <m/>
    <m/>
    <m/>
    <s v="NA"/>
    <s v="NA"/>
    <s v="NA"/>
    <s v="NA"/>
    <s v="NA"/>
    <m/>
    <m/>
    <m/>
    <n v="4"/>
    <n v="0"/>
    <n v="0"/>
    <n v="4"/>
    <n v="5"/>
    <m/>
    <n v="9"/>
    <s v="Searching/probing"/>
    <m/>
    <n v="1"/>
    <n v="0"/>
  </r>
  <r>
    <s v="DSCN2404"/>
    <s v="TAI0320_17"/>
    <n v="17"/>
    <n v="1"/>
    <x v="12"/>
    <d v="2019-03-20T00:00:00"/>
    <s v="March"/>
    <s v="Spring"/>
    <d v="1899-12-30T00:30:00"/>
    <d v="1899-12-30T00:00:30"/>
    <x v="122"/>
    <s v="Partly cloudy"/>
    <x v="27"/>
    <s v="Foraging"/>
    <s v="NA"/>
    <s v="unknown"/>
    <n v="0"/>
    <n v="0"/>
    <m/>
    <s v="NA"/>
    <s v="NA"/>
    <s v="NA"/>
    <m/>
    <m/>
    <m/>
    <s v="NA"/>
    <s v="NA"/>
    <s v="NA"/>
    <s v="NA"/>
    <s v="NA"/>
    <m/>
    <m/>
    <m/>
    <n v="0"/>
    <n v="0"/>
    <n v="0"/>
    <n v="0"/>
    <n v="22"/>
    <m/>
    <n v="22"/>
    <s v="Searching"/>
    <m/>
    <n v="0"/>
    <n v="0"/>
  </r>
  <r>
    <s v="DSCN2406"/>
    <s v="TAI0320_19"/>
    <n v="19"/>
    <n v="1"/>
    <x v="12"/>
    <d v="2019-03-20T00:00:00"/>
    <s v="March"/>
    <s v="Spring"/>
    <d v="1899-12-30T00:24:00"/>
    <d v="1899-12-30T00:00:24"/>
    <x v="122"/>
    <s v="Partly cloudy"/>
    <x v="27"/>
    <s v="Foraging"/>
    <s v="NA"/>
    <s v="unknown"/>
    <n v="0"/>
    <n v="0"/>
    <m/>
    <s v="NA"/>
    <s v="NA"/>
    <s v="NA"/>
    <m/>
    <m/>
    <m/>
    <s v="NA"/>
    <s v="NA"/>
    <s v="NA"/>
    <s v="NA"/>
    <s v="NA"/>
    <m/>
    <m/>
    <m/>
    <n v="0"/>
    <n v="0"/>
    <n v="0"/>
    <n v="0"/>
    <n v="24"/>
    <m/>
    <n v="24"/>
    <s v="Searching"/>
    <m/>
    <m/>
    <m/>
  </r>
  <r>
    <s v="DSCN2383"/>
    <s v="TAI0320_3"/>
    <n v="3"/>
    <n v="1"/>
    <x v="12"/>
    <d v="2019-03-20T00:00:00"/>
    <s v="March"/>
    <s v="Spring"/>
    <d v="1899-12-30T00:08:00"/>
    <d v="1899-12-30T00:00:08"/>
    <x v="122"/>
    <s v="Partly cloudy"/>
    <x v="27"/>
    <s v="Foraging"/>
    <s v="NA"/>
    <s v="unknown"/>
    <n v="0"/>
    <n v="0"/>
    <m/>
    <s v="NA"/>
    <s v="NA"/>
    <s v="NA"/>
    <m/>
    <m/>
    <m/>
    <s v="NA"/>
    <s v="NA"/>
    <s v="NA"/>
    <s v="NA"/>
    <s v="NA"/>
    <m/>
    <m/>
    <m/>
    <n v="0"/>
    <n v="0"/>
    <n v="0"/>
    <n v="0"/>
    <n v="3"/>
    <m/>
    <n v="3"/>
    <s v="Searching"/>
    <m/>
    <n v="0"/>
    <n v="0"/>
  </r>
  <r>
    <s v="DSCN2384"/>
    <s v="TAI0320_4"/>
    <n v="4"/>
    <n v="1"/>
    <x v="12"/>
    <d v="2019-03-20T00:00:00"/>
    <s v="March"/>
    <s v="Spring"/>
    <d v="1899-12-30T00:08:00"/>
    <d v="1899-12-30T00:00:08"/>
    <x v="122"/>
    <s v="Partly cloudy"/>
    <x v="27"/>
    <s v="Foraging"/>
    <s v="NA"/>
    <s v="unknown"/>
    <n v="0"/>
    <n v="0"/>
    <m/>
    <s v="NA"/>
    <s v="NA"/>
    <s v="NA"/>
    <m/>
    <m/>
    <m/>
    <s v="NA"/>
    <s v="NA"/>
    <s v="NA"/>
    <s v="NA"/>
    <s v="NA"/>
    <m/>
    <m/>
    <m/>
    <n v="0"/>
    <n v="0"/>
    <n v="0"/>
    <n v="0"/>
    <n v="4"/>
    <m/>
    <n v="4"/>
    <s v="Searching"/>
    <m/>
    <n v="0"/>
    <n v="0"/>
  </r>
  <r>
    <s v="DSCN2433"/>
    <s v="HS0321_1"/>
    <n v="1"/>
    <n v="1"/>
    <x v="14"/>
    <d v="2019-03-21T00:00:00"/>
    <s v="March"/>
    <s v="Spring"/>
    <d v="1899-12-30T00:30:00"/>
    <d v="1899-12-30T00:00:30"/>
    <x v="122"/>
    <s v="Partly cloudy"/>
    <x v="28"/>
    <s v="Food handling/Foraging"/>
    <s v="Spruce"/>
    <n v="1"/>
    <s v="unknown"/>
    <n v="0"/>
    <s v="Unknown"/>
    <s v="unknown"/>
    <s v="uknown"/>
    <s v="NA"/>
    <m/>
    <m/>
    <m/>
    <s v="NA"/>
    <s v="NA"/>
    <s v="NA"/>
    <s v="NA"/>
    <s v="NA"/>
    <m/>
    <m/>
    <m/>
    <n v="10"/>
    <n v="0"/>
    <n v="0"/>
    <n v="10"/>
    <n v="0"/>
    <m/>
    <n v="10"/>
    <s v="Picking"/>
    <s v="Missed acquisition. Picking at fallen stum/branch.  Not really interior or exterior"/>
    <m/>
    <m/>
  </r>
  <r>
    <s v="DSCN2467"/>
    <s v="HS0322_1"/>
    <n v="1"/>
    <n v="1"/>
    <x v="14"/>
    <d v="2019-03-22T00:00:00"/>
    <s v="March"/>
    <s v="Spring"/>
    <d v="1899-12-30T00:23:00"/>
    <d v="1899-12-30T00:00:23"/>
    <x v="122"/>
    <s v="Partly cloudy"/>
    <x v="28"/>
    <s v="Foraging"/>
    <s v="Spruce"/>
    <n v="1"/>
    <n v="0"/>
    <n v="1"/>
    <s v="Insect"/>
    <s v="Insect (grub)"/>
    <s v="Ground"/>
    <s v="Under bark of turned over spruce roots"/>
    <s v="Spruce"/>
    <s v="Exterior"/>
    <s v="Under bark"/>
    <s v="NE"/>
    <m/>
    <n v="1"/>
    <n v="63.738889999999998"/>
    <n v="148.9128"/>
    <m/>
    <m/>
    <m/>
    <n v="0"/>
    <n v="0"/>
    <n v="0"/>
    <n v="0"/>
    <n v="0"/>
    <m/>
    <n v="0"/>
    <m/>
    <s v="Missed acquisition"/>
    <m/>
    <m/>
  </r>
  <r>
    <s v="DSCN2524"/>
    <s v="M4R0325_14"/>
    <n v="14"/>
    <n v="1"/>
    <x v="6"/>
    <d v="2019-03-25T00:00:00"/>
    <s v="March"/>
    <s v="Spring"/>
    <d v="1899-12-30T00:43:00"/>
    <d v="1899-12-30T00:00:43"/>
    <x v="122"/>
    <s v="Mostly sunny"/>
    <x v="15"/>
    <s v="Foraging"/>
    <s v="NA"/>
    <n v="1"/>
    <n v="0"/>
    <n v="0"/>
    <s v="Unknown"/>
    <s v="unknown"/>
    <s v="Ground"/>
    <s v="NA"/>
    <m/>
    <m/>
    <m/>
    <s v="NA"/>
    <s v="NA"/>
    <s v="NA"/>
    <s v="NA"/>
    <s v="NA"/>
    <m/>
    <m/>
    <m/>
    <n v="0"/>
    <n v="0"/>
    <n v="0"/>
    <n v="0"/>
    <n v="13"/>
    <m/>
    <n v="13"/>
    <s v="Searching"/>
    <s v="Acquisition not recorded"/>
    <m/>
    <m/>
  </r>
  <r>
    <s v="DSCN2515"/>
    <s v="M4R0325_8"/>
    <n v="8"/>
    <n v="1"/>
    <x v="6"/>
    <d v="2019-03-25T00:00:00"/>
    <s v="March"/>
    <s v="Spring"/>
    <d v="1899-12-30T02:25:00"/>
    <d v="1899-12-30T00:02:25"/>
    <x v="122"/>
    <s v="Overcast"/>
    <x v="15"/>
    <s v="Foraging"/>
    <s v="NA"/>
    <n v="1"/>
    <n v="0"/>
    <n v="0"/>
    <s v="Insect"/>
    <s v="Insect (grub/caterpillar)"/>
    <s v="Ground"/>
    <s v="NA"/>
    <m/>
    <m/>
    <m/>
    <s v="NA"/>
    <s v="NA"/>
    <s v="NA"/>
    <s v="NA"/>
    <s v="NA"/>
    <m/>
    <m/>
    <m/>
    <n v="0"/>
    <n v="0"/>
    <n v="0"/>
    <n v="0"/>
    <n v="109"/>
    <m/>
    <n v="109"/>
    <s v="Searching"/>
    <s v="Checked possible cache tree B&amp;Ut did not see anything. "/>
    <m/>
    <m/>
  </r>
  <r>
    <s v="DSCN2505"/>
    <s v="M4R0325_1"/>
    <n v="1"/>
    <n v="1"/>
    <x v="6"/>
    <d v="2019-03-25T00:00:00"/>
    <s v="March"/>
    <s v="Spring"/>
    <d v="1899-12-30T00:45:00"/>
    <d v="1899-12-30T00:00:45"/>
    <x v="122"/>
    <s v="Overcast"/>
    <x v="15"/>
    <s v="Foraging"/>
    <s v="Spruce"/>
    <n v="0"/>
    <n v="0"/>
    <n v="0"/>
    <m/>
    <s v="NA"/>
    <s v="NA"/>
    <s v="NA"/>
    <m/>
    <m/>
    <m/>
    <s v="NA"/>
    <s v="NA"/>
    <s v="NA"/>
    <s v="NA"/>
    <s v="NA"/>
    <m/>
    <m/>
    <m/>
    <n v="13"/>
    <n v="0"/>
    <n v="0"/>
    <n v="13"/>
    <n v="0"/>
    <m/>
    <n v="13"/>
    <s v="Searching/probing"/>
    <m/>
    <n v="1"/>
    <n v="0"/>
  </r>
  <r>
    <s v="DSCN2517"/>
    <s v="M4R0325_10"/>
    <n v="10"/>
    <n v="1"/>
    <x v="6"/>
    <d v="2019-03-25T00:00:00"/>
    <s v="March"/>
    <s v="Spring"/>
    <d v="1899-12-30T00:54:00"/>
    <d v="1899-12-30T00:00:54"/>
    <x v="122"/>
    <s v="Mostly sunny"/>
    <x v="15"/>
    <s v="Foraging"/>
    <s v="NA"/>
    <n v="0"/>
    <n v="0"/>
    <n v="0"/>
    <m/>
    <s v="NA"/>
    <s v="NA"/>
    <s v="NA"/>
    <m/>
    <m/>
    <m/>
    <s v="NA"/>
    <s v="NA"/>
    <s v="NA"/>
    <s v="NA"/>
    <s v="NA"/>
    <m/>
    <m/>
    <m/>
    <n v="0"/>
    <n v="0"/>
    <n v="0"/>
    <n v="0"/>
    <n v="52"/>
    <m/>
    <n v="52"/>
    <s v="Searching"/>
    <m/>
    <m/>
    <m/>
  </r>
  <r>
    <s v="DSCN2527"/>
    <s v="M4R0325_16"/>
    <n v="16"/>
    <n v="1"/>
    <x v="6"/>
    <d v="2019-03-25T00:00:00"/>
    <s v="March"/>
    <s v="Spring"/>
    <d v="1899-12-30T00:18:00"/>
    <d v="1899-12-30T00:00:18"/>
    <x v="122"/>
    <s v="Mostly sunny"/>
    <x v="15"/>
    <s v="Foraging"/>
    <s v="NA"/>
    <n v="0"/>
    <n v="0"/>
    <n v="0"/>
    <m/>
    <s v="NA"/>
    <s v="NA"/>
    <s v="NA"/>
    <m/>
    <m/>
    <m/>
    <s v="NA"/>
    <s v="NA"/>
    <s v="NA"/>
    <s v="NA"/>
    <s v="NA"/>
    <m/>
    <m/>
    <m/>
    <n v="0"/>
    <n v="0"/>
    <n v="0"/>
    <n v="0"/>
    <n v="17"/>
    <m/>
    <n v="17"/>
    <s v="Searching"/>
    <m/>
    <m/>
    <m/>
  </r>
  <r>
    <s v="DSCN2529"/>
    <s v="M4R0325_17"/>
    <n v="17"/>
    <n v="1"/>
    <x v="6"/>
    <d v="2019-03-25T00:00:00"/>
    <s v="March"/>
    <s v="Spring"/>
    <d v="1899-12-30T00:28:00"/>
    <d v="1899-12-30T00:00:28"/>
    <x v="122"/>
    <s v="Mostly sunny"/>
    <x v="15"/>
    <s v="Foraging"/>
    <s v="NA"/>
    <n v="0"/>
    <n v="0"/>
    <n v="0"/>
    <m/>
    <s v="NA"/>
    <s v="NA"/>
    <s v="NA"/>
    <m/>
    <m/>
    <m/>
    <s v="NA"/>
    <s v="NA"/>
    <s v="NA"/>
    <s v="NA"/>
    <s v="NA"/>
    <m/>
    <m/>
    <m/>
    <n v="0"/>
    <n v="0"/>
    <n v="0"/>
    <n v="0"/>
    <n v="28"/>
    <m/>
    <n v="28"/>
    <s v="Searching"/>
    <m/>
    <m/>
    <m/>
  </r>
  <r>
    <s v="DSCN2506"/>
    <s v="M4R0325_2"/>
    <n v="2"/>
    <n v="1"/>
    <x v="6"/>
    <d v="2019-03-25T00:00:00"/>
    <s v="March"/>
    <s v="Spring"/>
    <d v="1899-12-30T01:49:00"/>
    <d v="1899-12-30T00:01:49"/>
    <x v="122"/>
    <s v="Overcast"/>
    <x v="15"/>
    <s v="Foraging"/>
    <s v="Spruce"/>
    <n v="0"/>
    <n v="0"/>
    <n v="0"/>
    <m/>
    <s v="NA"/>
    <s v="NA"/>
    <s v="NA"/>
    <m/>
    <m/>
    <m/>
    <s v="NA"/>
    <s v="NA"/>
    <s v="NA"/>
    <s v="NA"/>
    <s v="NA"/>
    <m/>
    <m/>
    <m/>
    <n v="15"/>
    <n v="0"/>
    <n v="11"/>
    <n v="4"/>
    <n v="19"/>
    <m/>
    <n v="34"/>
    <s v="Searching/probing"/>
    <m/>
    <n v="1"/>
    <n v="0"/>
  </r>
  <r>
    <s v="DSCN2508"/>
    <s v="M4R0325_4"/>
    <n v="4"/>
    <n v="1"/>
    <x v="6"/>
    <d v="2019-03-25T00:00:00"/>
    <s v="March"/>
    <s v="Spring"/>
    <d v="1899-12-30T01:20:00"/>
    <d v="1899-12-30T00:01:20"/>
    <x v="122"/>
    <s v="Overcast"/>
    <x v="15"/>
    <s v="Foraging"/>
    <s v="Spruce"/>
    <n v="0"/>
    <n v="0"/>
    <n v="0"/>
    <m/>
    <s v="NA"/>
    <s v="NA"/>
    <s v="NA"/>
    <m/>
    <m/>
    <m/>
    <s v="NA"/>
    <s v="NA"/>
    <s v="NA"/>
    <s v="NA"/>
    <s v="NA"/>
    <m/>
    <m/>
    <m/>
    <n v="21"/>
    <n v="0"/>
    <n v="21"/>
    <n v="0"/>
    <n v="0"/>
    <m/>
    <n v="21"/>
    <s v="Searching/probing"/>
    <s v="Searching in M4R1005_CT3"/>
    <n v="2"/>
    <n v="0"/>
  </r>
  <r>
    <s v="DSCN2514"/>
    <s v="M4R0325_7"/>
    <n v="7"/>
    <n v="1"/>
    <x v="6"/>
    <d v="2019-03-25T00:00:00"/>
    <s v="March"/>
    <s v="Spring"/>
    <d v="1899-12-30T00:07:00"/>
    <d v="1899-12-30T00:00:07"/>
    <x v="122"/>
    <s v="Overcast"/>
    <x v="15"/>
    <s v="Foraging"/>
    <s v="NA"/>
    <n v="0"/>
    <n v="0"/>
    <n v="0"/>
    <m/>
    <s v="NA"/>
    <s v="NA"/>
    <s v="NA"/>
    <m/>
    <m/>
    <m/>
    <s v="NA"/>
    <s v="NA"/>
    <s v="NA"/>
    <s v="NA"/>
    <s v="NA"/>
    <m/>
    <m/>
    <m/>
    <n v="0"/>
    <n v="0"/>
    <n v="0"/>
    <n v="0"/>
    <n v="7"/>
    <m/>
    <n v="7"/>
    <s v="Searching"/>
    <m/>
    <m/>
    <m/>
  </r>
  <r>
    <s v="DSCN2519"/>
    <s v="M4R0325_12"/>
    <n v="12"/>
    <n v="1"/>
    <x v="6"/>
    <d v="2019-03-25T00:00:00"/>
    <s v="March"/>
    <s v="Spring"/>
    <d v="1899-12-30T00:24:00"/>
    <d v="1899-12-30T00:00:24"/>
    <x v="122"/>
    <s v="Mostly sunny"/>
    <x v="15"/>
    <s v="Foraging"/>
    <s v="NA"/>
    <n v="1"/>
    <n v="0"/>
    <n v="0"/>
    <s v="Berry"/>
    <s v="Berry"/>
    <s v="Ground"/>
    <s v="NA"/>
    <m/>
    <m/>
    <m/>
    <s v="NA"/>
    <s v="NA"/>
    <s v="NA"/>
    <s v="NA"/>
    <s v="NA"/>
    <m/>
    <m/>
    <m/>
    <n v="0"/>
    <n v="0"/>
    <n v="0"/>
    <n v="0"/>
    <n v="24"/>
    <m/>
    <n v="24"/>
    <s v="Searching"/>
    <m/>
    <m/>
    <m/>
  </r>
  <r>
    <s v="DSCN2520"/>
    <s v="M4R0325_13"/>
    <n v="13"/>
    <n v="1"/>
    <x v="6"/>
    <d v="2019-03-25T00:00:00"/>
    <s v="March"/>
    <s v="Spring"/>
    <d v="1899-12-30T00:20:00"/>
    <d v="1899-12-30T00:00:20"/>
    <x v="122"/>
    <s v="Mostly sunny"/>
    <x v="15"/>
    <s v="Foraging"/>
    <s v="NA"/>
    <n v="1"/>
    <n v="0"/>
    <n v="0"/>
    <s v="Berry"/>
    <s v="Berry"/>
    <s v="NA"/>
    <s v="NA"/>
    <m/>
    <m/>
    <m/>
    <s v="NA"/>
    <s v="NA"/>
    <s v="NA"/>
    <s v="NA"/>
    <s v="NA"/>
    <m/>
    <m/>
    <m/>
    <n v="0"/>
    <n v="0"/>
    <n v="0"/>
    <n v="0"/>
    <n v="4"/>
    <m/>
    <n v="4"/>
    <s v="Searching"/>
    <s v="Acquisition reported on different video, B&amp;Ut part of this foraging sequence."/>
    <m/>
    <m/>
  </r>
  <r>
    <s v="DSCN2609"/>
    <s v="M4R0327_11"/>
    <n v="11"/>
    <n v="1"/>
    <x v="6"/>
    <d v="2019-03-27T00:00:00"/>
    <s v="March"/>
    <s v="Spring"/>
    <d v="1899-12-30T00:55:00"/>
    <d v="1899-12-30T00:00:55"/>
    <x v="122"/>
    <s v="Overcast"/>
    <x v="15"/>
    <s v="Foraging"/>
    <s v="NA"/>
    <n v="1"/>
    <n v="0"/>
    <n v="0"/>
    <s v="Unknown"/>
    <s v="unknown"/>
    <s v="Ground"/>
    <s v="NA"/>
    <m/>
    <m/>
    <m/>
    <s v="NA"/>
    <s v="NA"/>
    <s v="NA"/>
    <s v="NA"/>
    <s v="NA"/>
    <s v="NA"/>
    <s v="NA"/>
    <m/>
    <n v="0"/>
    <n v="0"/>
    <n v="0"/>
    <n v="0"/>
    <n v="55"/>
    <m/>
    <n v="55"/>
    <s v="Searching"/>
    <m/>
    <m/>
    <m/>
  </r>
  <r>
    <s v="DSCN2601"/>
    <s v="M4R0237_6"/>
    <n v="6"/>
    <n v="1"/>
    <x v="6"/>
    <d v="2019-03-27T00:00:00"/>
    <s v="March"/>
    <s v="Spring"/>
    <d v="1899-12-30T01:02:00"/>
    <d v="1899-12-30T00:01:02"/>
    <x v="122"/>
    <s v="Overcast"/>
    <x v="15"/>
    <s v="Food handling/Foraging"/>
    <s v="Spruce"/>
    <n v="1"/>
    <s v="unknown"/>
    <n v="0"/>
    <s v="Unknown"/>
    <s v="unknown"/>
    <s v="unknown"/>
    <s v="NA"/>
    <m/>
    <m/>
    <m/>
    <s v="NA"/>
    <s v="NA"/>
    <s v="NA"/>
    <s v="NA"/>
    <s v="NA"/>
    <s v="NA"/>
    <s v="NA"/>
    <m/>
    <n v="0"/>
    <n v="0"/>
    <n v="0"/>
    <n v="0"/>
    <n v="25"/>
    <m/>
    <n v="25"/>
    <s v="Searching"/>
    <m/>
    <m/>
    <m/>
  </r>
  <r>
    <s v="DSCN2600"/>
    <s v="M4R0327_5"/>
    <n v="5"/>
    <n v="2"/>
    <x v="6"/>
    <d v="2019-03-27T00:00:00"/>
    <s v="March"/>
    <s v="Spring"/>
    <d v="1899-12-30T01:38:00"/>
    <d v="1899-12-30T00:01:38"/>
    <x v="122"/>
    <s v="Overcast"/>
    <x v="15"/>
    <s v="Foraging"/>
    <s v="NA"/>
    <n v="3"/>
    <n v="0"/>
    <n v="0"/>
    <s v="Unknown"/>
    <s v="unknown"/>
    <s v="Ground"/>
    <s v="NA"/>
    <m/>
    <m/>
    <m/>
    <s v="NA"/>
    <s v="NA"/>
    <s v="NA"/>
    <s v="NA"/>
    <s v="NA"/>
    <s v="NA"/>
    <s v="NA"/>
    <m/>
    <n v="0"/>
    <n v="0"/>
    <n v="0"/>
    <n v="0"/>
    <n v="84"/>
    <m/>
    <n v="84"/>
    <s v="Searching"/>
    <m/>
    <m/>
    <m/>
  </r>
  <r>
    <s v="DSCN2600"/>
    <s v="M4R0327_5"/>
    <n v="5"/>
    <n v="1"/>
    <x v="6"/>
    <d v="2019-03-27T00:00:00"/>
    <s v="March"/>
    <s v="Spring"/>
    <d v="1899-12-30T01:38:00"/>
    <d v="1899-12-30T00:01:38"/>
    <x v="122"/>
    <s v="Overcast"/>
    <x v="15"/>
    <s v="Foraging"/>
    <s v="NA"/>
    <n v="1"/>
    <n v="0"/>
    <n v="0"/>
    <s v="Berry"/>
    <s v="Berry"/>
    <s v="Ground"/>
    <s v="NA"/>
    <m/>
    <m/>
    <m/>
    <s v="NA"/>
    <s v="NA"/>
    <s v="NA"/>
    <s v="NA"/>
    <s v="NA"/>
    <s v="NA"/>
    <s v="NA"/>
    <m/>
    <n v="0"/>
    <n v="0"/>
    <n v="0"/>
    <n v="0"/>
    <n v="2"/>
    <m/>
    <n v="2"/>
    <s v="Searching"/>
    <m/>
    <m/>
    <m/>
  </r>
  <r>
    <s v="DSCN2593"/>
    <s v="M4R0327_1"/>
    <n v="1"/>
    <n v="1"/>
    <x v="6"/>
    <d v="2019-03-27T00:00:00"/>
    <s v="March"/>
    <s v="Spring"/>
    <d v="1899-12-30T00:42:00"/>
    <d v="1899-12-30T00:00:42"/>
    <x v="122"/>
    <s v="Overcast"/>
    <x v="15"/>
    <s v="Food handling"/>
    <s v="Spruce"/>
    <n v="0"/>
    <n v="0"/>
    <n v="0"/>
    <m/>
    <s v="Feathers and bird shit"/>
    <s v="Interior sprice foliage in crown"/>
    <s v="NA"/>
    <m/>
    <m/>
    <m/>
    <s v="NA"/>
    <s v="NA"/>
    <s v="NA"/>
    <s v="NA"/>
    <s v="NA"/>
    <s v="NA"/>
    <s v="NA"/>
    <m/>
    <n v="0"/>
    <n v="0"/>
    <n v="0"/>
    <n v="0"/>
    <n v="0"/>
    <m/>
    <n v="0"/>
    <m/>
    <s v="Missed acquisition.  The bird appears to be eating it B&amp;Ut in slow motion it becomes evident that it is just flinging stuff away.  Because it's actually not food B&amp;Ut bird shit. "/>
    <m/>
    <m/>
  </r>
  <r>
    <s v="DSCN2598"/>
    <s v="M4R0327_4"/>
    <n v="4"/>
    <n v="1"/>
    <x v="6"/>
    <d v="2019-03-27T00:00:00"/>
    <s v="March"/>
    <s v="Spring"/>
    <d v="1899-12-30T00:19:00"/>
    <d v="1899-12-30T00:00:19"/>
    <x v="122"/>
    <s v="Overcast"/>
    <x v="15"/>
    <s v="Foraging"/>
    <s v="NA"/>
    <n v="0"/>
    <n v="0"/>
    <n v="0"/>
    <m/>
    <s v="NA"/>
    <s v="NA"/>
    <s v="NA"/>
    <m/>
    <m/>
    <m/>
    <s v="NA"/>
    <s v="NA"/>
    <s v="NA"/>
    <s v="NA"/>
    <s v="NA"/>
    <s v="NA"/>
    <s v="NA"/>
    <m/>
    <n v="0"/>
    <n v="0"/>
    <n v="0"/>
    <n v="0"/>
    <n v="19"/>
    <m/>
    <n v="19"/>
    <s v="Searching"/>
    <s v="Appears to collect something B&amp;Ut then drops it. "/>
    <m/>
    <m/>
  </r>
  <r>
    <s v="DSCN2531"/>
    <s v="M4R0325_18"/>
    <n v="18"/>
    <n v="1"/>
    <x v="6"/>
    <d v="2019-03-25T00:00:00"/>
    <s v="March"/>
    <s v="Spring"/>
    <d v="1899-12-30T00:09:00"/>
    <d v="1899-12-30T00:00:09"/>
    <x v="122"/>
    <s v="Mostly sunny"/>
    <x v="15"/>
    <s v="Foraging"/>
    <s v="Alder"/>
    <s v="unknown"/>
    <s v="unknown"/>
    <s v="Unknown"/>
    <m/>
    <s v="NA"/>
    <s v="NA"/>
    <s v="NA"/>
    <m/>
    <m/>
    <m/>
    <s v="NA"/>
    <s v="NA"/>
    <s v="NA"/>
    <s v="NA"/>
    <s v="NA"/>
    <m/>
    <m/>
    <m/>
    <n v="9"/>
    <n v="0"/>
    <n v="9"/>
    <n v="0"/>
    <n v="0"/>
    <m/>
    <n v="9"/>
    <s v="Searching"/>
    <m/>
    <m/>
    <m/>
  </r>
  <r>
    <s v="DSCN2518"/>
    <s v="M4R0325_11"/>
    <n v="11"/>
    <n v="1"/>
    <x v="6"/>
    <d v="2019-03-25T00:00:00"/>
    <s v="March"/>
    <s v="Spring"/>
    <d v="1899-12-30T00:29:00"/>
    <d v="1899-12-30T00:00:29"/>
    <x v="122"/>
    <s v="Mostly sunny"/>
    <x v="15"/>
    <s v="Foraging"/>
    <s v="NA"/>
    <s v="unknown"/>
    <n v="0"/>
    <n v="0"/>
    <m/>
    <s v="NA"/>
    <s v="NA"/>
    <s v="NA"/>
    <m/>
    <m/>
    <m/>
    <s v="NA"/>
    <s v="NA"/>
    <s v="NA"/>
    <s v="NA"/>
    <s v="NA"/>
    <m/>
    <m/>
    <m/>
    <n v="0"/>
    <n v="0"/>
    <n v="0"/>
    <n v="0"/>
    <n v="29"/>
    <m/>
    <n v="29"/>
    <s v="Searching"/>
    <m/>
    <m/>
    <m/>
  </r>
  <r>
    <s v="DSCN2526"/>
    <s v="M4R0325_15"/>
    <n v="15"/>
    <n v="1"/>
    <x v="6"/>
    <d v="2019-03-25T00:00:00"/>
    <s v="March"/>
    <s v="Spring"/>
    <d v="1899-12-30T00:13:00"/>
    <d v="1899-12-30T00:00:13"/>
    <x v="122"/>
    <s v="Mostly sunny"/>
    <x v="15"/>
    <s v="Foraging"/>
    <s v="NA"/>
    <s v="unknown"/>
    <n v="0"/>
    <n v="0"/>
    <m/>
    <s v="NA"/>
    <s v="NA"/>
    <s v="NA"/>
    <m/>
    <m/>
    <m/>
    <s v="NA"/>
    <s v="NA"/>
    <s v="NA"/>
    <s v="NA"/>
    <s v="NA"/>
    <m/>
    <m/>
    <m/>
    <n v="0"/>
    <n v="0"/>
    <n v="0"/>
    <n v="0"/>
    <n v="12"/>
    <m/>
    <n v="12"/>
    <s v="Searching"/>
    <m/>
    <m/>
    <m/>
  </r>
  <r>
    <s v="DSCN2507"/>
    <s v="M4R0325_3"/>
    <n v="3"/>
    <n v="1"/>
    <x v="6"/>
    <d v="2019-03-25T00:00:00"/>
    <s v="March"/>
    <s v="Spring"/>
    <d v="1899-12-30T00:55:00"/>
    <d v="1899-12-30T00:00:55"/>
    <x v="122"/>
    <s v="Overcast"/>
    <x v="15"/>
    <s v="Foraging"/>
    <s v="Spruce"/>
    <s v="unknown"/>
    <s v="unknown"/>
    <n v="0"/>
    <m/>
    <s v="NA"/>
    <s v="NA"/>
    <s v="NA"/>
    <m/>
    <m/>
    <m/>
    <s v="NA"/>
    <s v="NA"/>
    <s v="NA"/>
    <s v="NA"/>
    <s v="NA"/>
    <m/>
    <m/>
    <m/>
    <n v="14"/>
    <n v="0"/>
    <n v="14"/>
    <n v="0"/>
    <n v="0"/>
    <m/>
    <n v="14"/>
    <s v="Searching"/>
    <m/>
    <n v="0"/>
    <n v="0"/>
  </r>
  <r>
    <s v="DSCN2516"/>
    <s v="M4R0325_9"/>
    <n v="9"/>
    <n v="1"/>
    <x v="6"/>
    <d v="2019-03-25T00:00:00"/>
    <s v="March"/>
    <s v="Spring"/>
    <d v="1899-12-30T00:26:00"/>
    <d v="1899-12-30T00:00:26"/>
    <x v="122"/>
    <s v="Overcast"/>
    <x v="15"/>
    <s v="Foraging"/>
    <s v="NA"/>
    <s v="unknown"/>
    <n v="0"/>
    <n v="0"/>
    <m/>
    <s v="NA"/>
    <s v="NA"/>
    <s v="NA"/>
    <m/>
    <m/>
    <m/>
    <s v="NA"/>
    <s v="NA"/>
    <s v="NA"/>
    <s v="NA"/>
    <s v="NA"/>
    <m/>
    <m/>
    <m/>
    <n v="0"/>
    <n v="0"/>
    <n v="0"/>
    <n v="0"/>
    <n v="26"/>
    <m/>
    <n v="26"/>
    <s v="Searching"/>
    <m/>
    <m/>
    <m/>
  </r>
  <r>
    <s v="DSCN2607"/>
    <s v="M4R0327_10"/>
    <n v="10"/>
    <n v="1"/>
    <x v="6"/>
    <d v="2019-03-27T00:00:00"/>
    <s v="March"/>
    <s v="Spring"/>
    <d v="1899-12-30T00:38:00"/>
    <d v="1899-12-30T00:00:38"/>
    <x v="122"/>
    <s v="Overcast"/>
    <x v="15"/>
    <s v="Foraging"/>
    <s v="NA"/>
    <s v="unknown"/>
    <n v="0"/>
    <n v="0"/>
    <m/>
    <s v="NA"/>
    <s v="NA"/>
    <s v="NA"/>
    <m/>
    <m/>
    <m/>
    <s v="NA"/>
    <s v="NA"/>
    <s v="NA"/>
    <s v="NA"/>
    <s v="NA"/>
    <s v="NA"/>
    <s v="NA"/>
    <m/>
    <n v="0"/>
    <n v="0"/>
    <n v="0"/>
    <n v="0"/>
    <n v="38"/>
    <m/>
    <n v="38"/>
    <s v="Searching"/>
    <m/>
    <m/>
    <m/>
  </r>
  <r>
    <s v="DSCN2604"/>
    <s v="M4R0327_8"/>
    <n v="8"/>
    <n v="1"/>
    <x v="6"/>
    <d v="2019-03-27T00:00:00"/>
    <s v="March"/>
    <s v="Spring"/>
    <d v="1899-12-30T00:17:00"/>
    <d v="1899-12-30T00:00:17"/>
    <x v="122"/>
    <s v="Overcast"/>
    <x v="15"/>
    <s v="Foraging"/>
    <s v="NA"/>
    <s v="unknown"/>
    <n v="0"/>
    <n v="0"/>
    <m/>
    <s v="NA"/>
    <s v="NA"/>
    <s v="NA"/>
    <m/>
    <m/>
    <m/>
    <s v="NA"/>
    <s v="NA"/>
    <s v="NA"/>
    <s v="NA"/>
    <s v="NA"/>
    <s v="NA"/>
    <s v="NA"/>
    <m/>
    <n v="0"/>
    <n v="0"/>
    <n v="0"/>
    <n v="0"/>
    <n v="17"/>
    <m/>
    <n v="17"/>
    <s v="Searching"/>
    <m/>
    <m/>
    <m/>
  </r>
  <r>
    <s v="DSCN2606"/>
    <s v="M4R0327_9"/>
    <n v="9"/>
    <n v="1"/>
    <x v="6"/>
    <d v="2019-03-27T00:00:00"/>
    <s v="March"/>
    <s v="Spring"/>
    <d v="1899-12-30T00:34:00"/>
    <d v="1899-12-30T00:00:34"/>
    <x v="122"/>
    <s v="Overcast"/>
    <x v="15"/>
    <s v="Foraging"/>
    <s v="NA"/>
    <s v="unknown"/>
    <n v="0"/>
    <n v="0"/>
    <m/>
    <s v="NA"/>
    <s v="NA"/>
    <s v="NA"/>
    <m/>
    <m/>
    <m/>
    <s v="NA"/>
    <s v="NA"/>
    <s v="NA"/>
    <s v="NA"/>
    <s v="NA"/>
    <s v="NA"/>
    <s v="NA"/>
    <m/>
    <n v="0"/>
    <n v="0"/>
    <n v="0"/>
    <n v="0"/>
    <n v="32"/>
    <m/>
    <n v="32"/>
    <s v="Searching"/>
    <m/>
    <m/>
    <m/>
  </r>
  <r>
    <s v="DSCN2374"/>
    <s v="HS0320_1"/>
    <n v="1"/>
    <n v="1"/>
    <x v="14"/>
    <d v="2019-03-20T00:00:00"/>
    <s v="March"/>
    <s v="Spring"/>
    <d v="1899-12-30T00:21:00"/>
    <d v="1899-12-30T00:00:21"/>
    <x v="122"/>
    <s v="Mostly overcast"/>
    <x v="29"/>
    <s v="Foraging"/>
    <s v="Spruce"/>
    <n v="1"/>
    <s v="unknown"/>
    <n v="0"/>
    <s v="Unknown"/>
    <s v="unknown"/>
    <s v="Interior spruce foliage"/>
    <s v="NA"/>
    <m/>
    <m/>
    <m/>
    <s v="NA"/>
    <m/>
    <m/>
    <m/>
    <m/>
    <m/>
    <m/>
    <m/>
    <n v="0"/>
    <n v="0"/>
    <n v="0"/>
    <n v="0"/>
    <n v="0"/>
    <m/>
    <n v="0"/>
    <s v="NA"/>
    <s v="Didn't catch foraging only extraction"/>
    <n v="0"/>
    <n v="0"/>
  </r>
  <r>
    <s v="DSCN2541"/>
    <s v="M2370326_3"/>
    <n v="3"/>
    <n v="1"/>
    <x v="9"/>
    <d v="2019-03-26T00:00:00"/>
    <s v="March"/>
    <s v="Spring"/>
    <d v="1899-12-30T01:11:00"/>
    <d v="1899-12-30T00:01:11"/>
    <x v="122"/>
    <s v="Mostly sunny"/>
    <x v="16"/>
    <s v="Caching/foraging"/>
    <s v="Spruce"/>
    <n v="0"/>
    <n v="0"/>
    <n v="1"/>
    <s v="Unknown"/>
    <s v="unknown"/>
    <s v="uknown"/>
    <s v="Exterior spruce branch under witch hair"/>
    <s v="Spruce"/>
    <s v="Exterior"/>
    <s v="Under witchhair"/>
    <s v="N"/>
    <n v="0"/>
    <s v="unknown"/>
    <n v="63.723170000000003"/>
    <n v="148.89055999999999"/>
    <m/>
    <m/>
    <m/>
    <n v="0"/>
    <n v="0"/>
    <n v="0"/>
    <n v="0"/>
    <n v="0"/>
    <m/>
    <n v="0"/>
    <m/>
    <m/>
    <m/>
    <m/>
  </r>
  <r>
    <s v="DSCN2543"/>
    <s v="M2370326_5"/>
    <n v="5"/>
    <n v="2"/>
    <x v="9"/>
    <d v="2019-03-26T00:00:00"/>
    <s v="March"/>
    <s v="Spring"/>
    <d v="1899-12-30T01:06:00"/>
    <d v="1899-12-30T01:00:06"/>
    <x v="122"/>
    <s v="Mostly sunny"/>
    <x v="16"/>
    <s v="Foraging"/>
    <s v="Spruce"/>
    <n v="1"/>
    <n v="0"/>
    <n v="0"/>
    <s v="Unknown"/>
    <s v="unknown"/>
    <s v="Ground"/>
    <s v="NA"/>
    <m/>
    <m/>
    <m/>
    <s v="NA"/>
    <s v="NA"/>
    <s v="NA"/>
    <s v="NA"/>
    <s v="NA"/>
    <m/>
    <m/>
    <m/>
    <n v="0"/>
    <n v="0"/>
    <n v="0"/>
    <n v="0"/>
    <n v="29"/>
    <m/>
    <n v="29"/>
    <s v="Searching"/>
    <m/>
    <m/>
    <m/>
  </r>
  <r>
    <s v="DSCN2553"/>
    <s v="M2370326_7"/>
    <n v="7"/>
    <n v="1"/>
    <x v="9"/>
    <d v="2019-03-26T00:00:00"/>
    <s v="March"/>
    <s v="Spring"/>
    <d v="1899-12-30T00:50:00"/>
    <d v="1899-12-30T00:00:50"/>
    <x v="122"/>
    <s v="Mostly sunny"/>
    <x v="16"/>
    <s v="Foraging"/>
    <s v="NA"/>
    <n v="1"/>
    <n v="0"/>
    <n v="0"/>
    <s v="Unknown"/>
    <s v="unknown"/>
    <s v="Ground"/>
    <s v="NA"/>
    <m/>
    <m/>
    <m/>
    <s v="NA"/>
    <s v="NA"/>
    <s v="NA"/>
    <s v="NA"/>
    <s v="NA"/>
    <m/>
    <m/>
    <m/>
    <n v="0"/>
    <n v="0"/>
    <n v="0"/>
    <n v="0"/>
    <n v="50"/>
    <m/>
    <n v="50"/>
    <s v="Searching"/>
    <m/>
    <m/>
    <m/>
  </r>
  <r>
    <s v="DSCN2541"/>
    <s v="M2370326_3"/>
    <n v="3"/>
    <n v="2"/>
    <x v="9"/>
    <d v="2019-03-26T00:00:00"/>
    <s v="March"/>
    <s v="Spring"/>
    <d v="1899-12-30T01:11:00"/>
    <d v="1899-12-30T00:01:11"/>
    <x v="122"/>
    <s v="Mostly sunny"/>
    <x v="16"/>
    <s v="Caching/foraging"/>
    <s v="Spruce"/>
    <n v="1"/>
    <n v="0"/>
    <n v="0"/>
    <s v="Insect"/>
    <s v="Insect (grub/caterpillar)"/>
    <s v="Ground"/>
    <s v="NA"/>
    <m/>
    <m/>
    <m/>
    <s v="NA"/>
    <s v="NA"/>
    <s v="NA"/>
    <s v="NA"/>
    <s v="NA"/>
    <m/>
    <m/>
    <m/>
    <n v="0"/>
    <n v="0"/>
    <n v="0"/>
    <n v="0"/>
    <n v="5"/>
    <m/>
    <n v="5"/>
    <s v="Searching"/>
    <s v="One other possible cache B&amp;Ut unclear. "/>
    <m/>
    <m/>
  </r>
  <r>
    <s v="DSCN2554"/>
    <s v="M2370326_8"/>
    <n v="8"/>
    <n v="1"/>
    <x v="9"/>
    <d v="2019-03-26T00:00:00"/>
    <s v="March"/>
    <s v="Spring"/>
    <d v="1899-12-30T00:40:00"/>
    <d v="1899-12-30T00:00:40"/>
    <x v="122"/>
    <s v="Mostly sunny"/>
    <x v="16"/>
    <s v="Foraging"/>
    <s v="NA"/>
    <n v="1"/>
    <n v="0"/>
    <n v="0"/>
    <s v="Insect"/>
    <s v="Insect (unknown flying insect maybe brown lacewing)"/>
    <s v="Ground"/>
    <s v="NA"/>
    <m/>
    <m/>
    <m/>
    <s v="NA"/>
    <s v="NA"/>
    <s v="NA"/>
    <s v="NA"/>
    <s v="NA"/>
    <m/>
    <m/>
    <m/>
    <n v="0"/>
    <n v="0"/>
    <n v="0"/>
    <n v="0"/>
    <n v="40"/>
    <m/>
    <n v="40"/>
    <s v="Searching"/>
    <m/>
    <m/>
    <m/>
  </r>
  <r>
    <s v="DSCN2543"/>
    <s v="M2370326_5"/>
    <n v="5"/>
    <n v="1"/>
    <x v="9"/>
    <d v="2019-03-26T00:00:00"/>
    <s v="March"/>
    <s v="Spring"/>
    <d v="1899-12-30T01:06:00"/>
    <d v="1899-12-30T00:01:06"/>
    <x v="122"/>
    <s v="Mostly sunny"/>
    <x v="16"/>
    <s v="Foraging/caching"/>
    <s v="Spruce"/>
    <n v="1"/>
    <n v="0"/>
    <n v="1"/>
    <s v="Berry"/>
    <s v="Berry (cranberry)"/>
    <s v="Ground"/>
    <s v="Exterior spruce foliage"/>
    <s v="Spruce"/>
    <s v="Exterior"/>
    <s v="Foliage"/>
    <s v="W"/>
    <n v="270"/>
    <n v="10"/>
    <n v="63.723640000000003"/>
    <n v="148.89089999999999"/>
    <m/>
    <m/>
    <m/>
    <n v="0"/>
    <n v="0"/>
    <n v="0"/>
    <n v="0"/>
    <n v="4"/>
    <m/>
    <n v="4"/>
    <s v="Searching"/>
    <m/>
    <m/>
    <m/>
  </r>
  <r>
    <s v="DSCN2540"/>
    <s v="M2370326_2"/>
    <n v="2"/>
    <n v="1"/>
    <x v="9"/>
    <d v="2019-03-26T00:00:00"/>
    <s v="March"/>
    <s v="Spring"/>
    <d v="1899-12-30T00:35:00"/>
    <d v="1899-12-30T00:00:35"/>
    <x v="122"/>
    <s v="Mostly sunny"/>
    <x v="16"/>
    <s v="Caching/foraging"/>
    <s v="Aspen"/>
    <n v="0"/>
    <n v="0"/>
    <n v="2"/>
    <s v="Unknown"/>
    <s v="unknown"/>
    <s v="unknown"/>
    <s v="Exterior aspen branch under bark"/>
    <s v="Aspen"/>
    <s v="Exterior"/>
    <s v="Under bark"/>
    <s v="unknown"/>
    <s v="unknown"/>
    <s v="unknown"/>
    <s v="unknown"/>
    <s v="unknown"/>
    <m/>
    <m/>
    <m/>
    <n v="0"/>
    <n v="0"/>
    <n v="0"/>
    <n v="0"/>
    <n v="0"/>
    <m/>
    <n v="0"/>
    <m/>
    <s v="Did not recognize as cache while in field"/>
    <m/>
    <m/>
  </r>
  <r>
    <s v="DSCN2557"/>
    <s v="M2370326_11"/>
    <n v="11"/>
    <n v="1"/>
    <x v="9"/>
    <d v="2019-03-26T00:00:00"/>
    <s v="March"/>
    <s v="Spring"/>
    <d v="1899-12-30T00:15:00"/>
    <d v="1899-12-30T00:00:15"/>
    <x v="122"/>
    <s v="Mostly sunny"/>
    <x v="16"/>
    <s v="Foraging"/>
    <s v="NA"/>
    <n v="0"/>
    <n v="0"/>
    <n v="0"/>
    <m/>
    <s v="NA"/>
    <s v="NA"/>
    <s v="NA"/>
    <m/>
    <m/>
    <m/>
    <s v="NA"/>
    <s v="NA"/>
    <s v="NA"/>
    <s v="NA"/>
    <s v="NA"/>
    <m/>
    <m/>
    <m/>
    <n v="0"/>
    <n v="0"/>
    <n v="0"/>
    <n v="0"/>
    <n v="15"/>
    <m/>
    <n v="15"/>
    <s v="Searching"/>
    <m/>
    <m/>
    <m/>
  </r>
  <r>
    <s v="DSCN2558"/>
    <s v="M2370326_12"/>
    <n v="12"/>
    <n v="1"/>
    <x v="9"/>
    <d v="2019-03-26T00:00:00"/>
    <s v="March"/>
    <s v="Spring"/>
    <d v="1899-12-30T00:49:00"/>
    <d v="1899-12-30T00:00:49"/>
    <x v="122"/>
    <s v="Mostly sunny"/>
    <x v="16"/>
    <s v="Foraging"/>
    <s v="NA"/>
    <n v="0"/>
    <n v="0"/>
    <n v="0"/>
    <m/>
    <s v="NA"/>
    <s v="NA"/>
    <s v="NA"/>
    <m/>
    <m/>
    <m/>
    <s v="NA"/>
    <s v="NA"/>
    <s v="NA"/>
    <s v="NA"/>
    <s v="NA"/>
    <m/>
    <m/>
    <m/>
    <n v="0"/>
    <n v="0"/>
    <n v="0"/>
    <n v="0"/>
    <n v="37"/>
    <m/>
    <n v="37"/>
    <s v="Searching"/>
    <m/>
    <m/>
    <m/>
  </r>
  <r>
    <s v="DSCN2555"/>
    <s v="M2370326_9"/>
    <n v="9"/>
    <n v="1"/>
    <x v="9"/>
    <d v="2019-03-26T00:00:00"/>
    <s v="March"/>
    <s v="Spring"/>
    <d v="1899-12-30T00:23:00"/>
    <d v="1899-12-30T00:00:23"/>
    <x v="122"/>
    <s v="Mostly sunny"/>
    <x v="16"/>
    <s v="Foraging"/>
    <s v="NA"/>
    <n v="0"/>
    <n v="0"/>
    <n v="0"/>
    <m/>
    <s v="NA"/>
    <s v="NA"/>
    <s v="NA"/>
    <m/>
    <m/>
    <m/>
    <s v="NA"/>
    <s v="NA"/>
    <s v="NA"/>
    <s v="NA"/>
    <s v="NA"/>
    <m/>
    <m/>
    <m/>
    <n v="0"/>
    <n v="0"/>
    <n v="0"/>
    <n v="0"/>
    <n v="18"/>
    <m/>
    <n v="18"/>
    <s v="Searching"/>
    <m/>
    <m/>
    <m/>
  </r>
  <r>
    <s v="DSCN2668"/>
    <s v="M2370330_1"/>
    <n v="1"/>
    <n v="1"/>
    <x v="9"/>
    <d v="2019-03-30T00:00:00"/>
    <s v="March"/>
    <s v="Spring"/>
    <d v="1899-12-30T00:20:00"/>
    <d v="1899-12-30T00:00:20"/>
    <x v="122"/>
    <s v="Clear"/>
    <x v="16"/>
    <s v="Food handling"/>
    <s v="Aspen"/>
    <n v="1"/>
    <s v="unknown"/>
    <n v="0"/>
    <s v="Unknown"/>
    <s v="unknown"/>
    <s v="Aspen bare branch near joint. "/>
    <s v="NA"/>
    <m/>
    <m/>
    <m/>
    <s v="NA"/>
    <s v="NA"/>
    <s v="NA"/>
    <s v="NA"/>
    <s v="NA"/>
    <s v="NA"/>
    <s v="NA"/>
    <m/>
    <n v="0"/>
    <n v="0"/>
    <n v="0"/>
    <n v="0"/>
    <n v="0"/>
    <m/>
    <n v="0"/>
    <s v="Searching"/>
    <s v="Didn't get foraging on tape, just acquisition"/>
    <m/>
    <m/>
  </r>
  <r>
    <s v="DSCN2678"/>
    <s v="M2370330_8"/>
    <n v="8"/>
    <n v="1"/>
    <x v="9"/>
    <d v="2019-03-30T00:00:00"/>
    <s v="March"/>
    <s v="Spring"/>
    <d v="1899-12-30T00:35:00"/>
    <d v="1899-12-30T00:00:35"/>
    <x v="122"/>
    <m/>
    <x v="16"/>
    <s v="Food handling"/>
    <s v="Aspen"/>
    <n v="1"/>
    <s v="unknown"/>
    <n v="0"/>
    <s v="Unknown"/>
    <s v="unknown (maybe plant?)"/>
    <s v="Aspen branch in knotted wood"/>
    <s v="NA"/>
    <m/>
    <m/>
    <m/>
    <s v="NA"/>
    <s v="NA"/>
    <s v="NA"/>
    <s v="NA"/>
    <s v="NA"/>
    <n v="63.722999999999999"/>
    <n v="148.88878"/>
    <m/>
    <n v="0"/>
    <n v="0"/>
    <n v="0"/>
    <n v="0"/>
    <n v="0"/>
    <m/>
    <n v="0"/>
    <m/>
    <s v="Video starts after bird already pulled firs tfood bit out.  Not sure if cache or not so took point"/>
    <m/>
    <m/>
  </r>
  <r>
    <s v="DSCN2686"/>
    <s v="M2370330_11"/>
    <n v="11"/>
    <n v="1"/>
    <x v="9"/>
    <d v="2019-03-30T00:00:00"/>
    <s v="March"/>
    <s v="Spring"/>
    <d v="1899-12-30T00:55:00"/>
    <d v="1899-12-30T00:00:55"/>
    <x v="122"/>
    <m/>
    <x v="16"/>
    <s v="Foraging"/>
    <s v="NA"/>
    <n v="1"/>
    <n v="0"/>
    <n v="0"/>
    <s v="Unknown"/>
    <s v="unknown"/>
    <s v="Ground"/>
    <s v="NA"/>
    <m/>
    <m/>
    <m/>
    <s v="NA"/>
    <s v="NA"/>
    <s v="NA"/>
    <s v="NA"/>
    <s v="NA"/>
    <s v="NA"/>
    <s v="NA"/>
    <m/>
    <n v="0"/>
    <n v="0"/>
    <n v="0"/>
    <n v="0"/>
    <n v="53"/>
    <m/>
    <n v="53"/>
    <s v="Searching"/>
    <m/>
    <m/>
    <m/>
  </r>
  <r>
    <s v="DSCN2685"/>
    <s v="M2370330_17"/>
    <n v="17"/>
    <n v="1"/>
    <x v="9"/>
    <d v="2019-03-30T00:00:00"/>
    <s v="March"/>
    <s v="Spring"/>
    <d v="1899-12-30T00:20:00"/>
    <d v="1899-12-30T00:00:20"/>
    <x v="122"/>
    <m/>
    <x v="16"/>
    <s v="Foraging"/>
    <s v="NA"/>
    <n v="1"/>
    <n v="0"/>
    <n v="0"/>
    <s v="Unknown"/>
    <s v="unknown"/>
    <s v="Ground"/>
    <s v="NA"/>
    <m/>
    <m/>
    <m/>
    <s v="NA"/>
    <s v="NA"/>
    <s v="NA"/>
    <s v="NA"/>
    <s v="NA"/>
    <s v="NA"/>
    <s v="NA"/>
    <m/>
    <n v="0"/>
    <n v="0"/>
    <n v="0"/>
    <n v="0"/>
    <n v="17"/>
    <m/>
    <n v="17"/>
    <s v="Searching"/>
    <m/>
    <m/>
    <m/>
  </r>
  <r>
    <s v="DSCN2696"/>
    <s v="M2370330_18"/>
    <n v="18"/>
    <n v="1"/>
    <x v="9"/>
    <d v="2019-03-30T00:00:00"/>
    <s v="March"/>
    <s v="Spring"/>
    <d v="1899-12-30T00:46:00"/>
    <d v="1899-12-30T00:00:46"/>
    <x v="122"/>
    <m/>
    <x v="16"/>
    <s v="Foraging"/>
    <s v="NA"/>
    <n v="1"/>
    <n v="0"/>
    <n v="0"/>
    <s v="Unknown"/>
    <s v="unknown"/>
    <s v="Ground"/>
    <s v="NA"/>
    <m/>
    <m/>
    <m/>
    <s v="NA"/>
    <s v="NA"/>
    <s v="NA"/>
    <s v="NA"/>
    <s v="NA"/>
    <s v="NA"/>
    <s v="NA"/>
    <m/>
    <n v="0"/>
    <n v="0"/>
    <n v="0"/>
    <n v="0"/>
    <n v="30"/>
    <m/>
    <n v="30"/>
    <s v="Searching"/>
    <m/>
    <m/>
    <m/>
  </r>
  <r>
    <s v="DSCN2674"/>
    <s v="M2370330_5"/>
    <n v="5"/>
    <n v="1"/>
    <x v="9"/>
    <d v="2019-03-30T00:00:00"/>
    <s v="March"/>
    <s v="Spring"/>
    <d v="1899-12-30T00:31:00"/>
    <d v="1899-12-30T00:00:31"/>
    <x v="122"/>
    <m/>
    <x v="16"/>
    <s v="Foraging"/>
    <s v="Spruce"/>
    <n v="1"/>
    <s v="unknown"/>
    <n v="0"/>
    <s v="Unknown"/>
    <s v="unknown"/>
    <s v="Interior spruce foliage near crown"/>
    <s v="NA"/>
    <m/>
    <m/>
    <m/>
    <s v="NA"/>
    <s v="NA"/>
    <s v="NA"/>
    <s v="NA"/>
    <s v="NA"/>
    <s v="NA"/>
    <s v="NA"/>
    <m/>
    <n v="0"/>
    <n v="6"/>
    <n v="6"/>
    <n v="0"/>
    <n v="0"/>
    <m/>
    <n v="6"/>
    <s v="Searching"/>
    <m/>
    <m/>
    <m/>
  </r>
  <r>
    <s v="DSCN2671"/>
    <s v="M2370330_2"/>
    <n v="2"/>
    <n v="1"/>
    <x v="9"/>
    <d v="2019-03-30T00:00:00"/>
    <s v="March"/>
    <s v="Spring"/>
    <d v="1899-12-30T00:28:00"/>
    <d v="1899-12-30T00:00:28"/>
    <x v="122"/>
    <m/>
    <x v="16"/>
    <s v="Foraging"/>
    <s v="Spruce"/>
    <n v="1"/>
    <s v="unknown"/>
    <n v="0"/>
    <s v="Unknown"/>
    <s v="unknown"/>
    <s v="Spruce trunk"/>
    <s v="NA"/>
    <m/>
    <m/>
    <m/>
    <s v="NA"/>
    <s v="NA"/>
    <s v="NA"/>
    <s v="NA"/>
    <s v="NA"/>
    <s v="NA"/>
    <s v="NA"/>
    <m/>
    <n v="19"/>
    <n v="0"/>
    <n v="19"/>
    <n v="0"/>
    <n v="0"/>
    <m/>
    <n v="19"/>
    <s v="Searching"/>
    <m/>
    <m/>
    <m/>
  </r>
  <r>
    <s v="DSCN2677"/>
    <s v="M2370330_7"/>
    <n v="7"/>
    <n v="1"/>
    <x v="9"/>
    <d v="2019-03-30T00:00:00"/>
    <s v="March"/>
    <s v="Spring"/>
    <d v="1899-12-30T00:06:00"/>
    <d v="1899-12-30T00:00:06"/>
    <x v="122"/>
    <m/>
    <x v="16"/>
    <s v="Food handling"/>
    <s v="Aspen"/>
    <n v="1"/>
    <n v="0"/>
    <n v="0"/>
    <s v="Unknown"/>
    <s v="unknown"/>
    <s v="unknown"/>
    <s v="NA"/>
    <m/>
    <m/>
    <m/>
    <s v="NA"/>
    <s v="NA"/>
    <s v="NA"/>
    <s v="NA"/>
    <s v="NA"/>
    <s v="NA"/>
    <s v="NA"/>
    <m/>
    <n v="0"/>
    <n v="0"/>
    <n v="0"/>
    <n v="0"/>
    <n v="0"/>
    <m/>
    <n v="0"/>
    <m/>
    <s v="Bird arrived with food, not sure where it came from."/>
    <m/>
    <m/>
  </r>
  <r>
    <s v="DSCN2700"/>
    <s v="M2370330_22"/>
    <n v="22"/>
    <n v="1"/>
    <x v="9"/>
    <d v="2019-03-30T00:00:00"/>
    <s v="March"/>
    <s v="Spring"/>
    <d v="1899-12-30T00:40:00"/>
    <d v="1899-12-30T00:00:40"/>
    <x v="122"/>
    <m/>
    <x v="16"/>
    <s v="Foraging"/>
    <s v="NA"/>
    <n v="2"/>
    <n v="0"/>
    <n v="0"/>
    <s v="Unknown"/>
    <s v="unknown (Probably B&amp;Ugs)"/>
    <s v="Ground"/>
    <s v="NA"/>
    <m/>
    <m/>
    <m/>
    <s v="NA"/>
    <s v="NA"/>
    <s v="NA"/>
    <s v="NA"/>
    <s v="NA"/>
    <s v="NA"/>
    <s v="NA"/>
    <m/>
    <n v="0"/>
    <n v="0"/>
    <n v="0"/>
    <n v="0"/>
    <n v="38"/>
    <m/>
    <n v="38"/>
    <s v="Searching"/>
    <m/>
    <m/>
    <m/>
  </r>
  <r>
    <s v="DSCN2674"/>
    <s v="M2370330_5"/>
    <n v="5"/>
    <n v="2"/>
    <x v="9"/>
    <d v="2019-03-30T00:00:00"/>
    <s v="March"/>
    <s v="Spring"/>
    <d v="1899-12-30T00:31:00"/>
    <d v="1899-12-30T00:00:31"/>
    <x v="122"/>
    <m/>
    <x v="16"/>
    <s v="Foraging"/>
    <s v="Spruce"/>
    <n v="1"/>
    <n v="0"/>
    <n v="0"/>
    <s v="Misc"/>
    <s v="Spruce cone"/>
    <s v="Exterior spruce foliage"/>
    <s v="NA"/>
    <m/>
    <m/>
    <m/>
    <s v="NA"/>
    <s v="NA"/>
    <s v="NA"/>
    <s v="NA"/>
    <s v="NA"/>
    <s v="NA"/>
    <s v="NA"/>
    <m/>
    <n v="0"/>
    <n v="25"/>
    <n v="0"/>
    <n v="25"/>
    <n v="0"/>
    <m/>
    <n v="25"/>
    <s v="Searching"/>
    <s v="Grabbed cone and seemed to hammer at it. "/>
    <m/>
    <m/>
  </r>
  <r>
    <s v="DSCN2682"/>
    <s v="M2370330_9"/>
    <n v="9"/>
    <n v="1"/>
    <x v="9"/>
    <d v="2019-03-30T00:00:00"/>
    <s v="March"/>
    <s v="Spring"/>
    <d v="1899-12-30T00:28:00"/>
    <d v="1899-12-30T00:00:28"/>
    <x v="122"/>
    <m/>
    <x v="16"/>
    <s v="Foraging"/>
    <s v="Spruce"/>
    <n v="1"/>
    <n v="0"/>
    <n v="0"/>
    <s v="Insect"/>
    <s v="Insect (flying insect)"/>
    <s v="Exterior foliate spruce branch"/>
    <s v="NA"/>
    <m/>
    <m/>
    <m/>
    <s v="NA"/>
    <s v="NA"/>
    <s v="NA"/>
    <s v="NA"/>
    <s v="NA"/>
    <s v="NA"/>
    <s v="NA"/>
    <m/>
    <n v="4"/>
    <n v="0"/>
    <n v="0"/>
    <n v="4"/>
    <n v="0"/>
    <m/>
    <n v="4"/>
    <s v="Searching"/>
    <s v="There's one frame where you can see the food item.  It is a dark glossy black B&amp;Ut doesn't look like a berry.  Looks like a B&amp;Ug"/>
    <m/>
    <m/>
  </r>
  <r>
    <s v="DSCN2683"/>
    <s v="M2370330_10"/>
    <n v="10"/>
    <n v="1"/>
    <x v="9"/>
    <d v="2019-03-30T00:00:00"/>
    <s v="March"/>
    <s v="Spring"/>
    <d v="1899-12-30T00:22:00"/>
    <d v="1899-12-30T00:00:22"/>
    <x v="122"/>
    <m/>
    <x v="16"/>
    <s v="Foraging"/>
    <s v="Aspen"/>
    <n v="0"/>
    <n v="0"/>
    <n v="0"/>
    <m/>
    <s v="NA"/>
    <s v="NA"/>
    <s v="NA"/>
    <m/>
    <m/>
    <m/>
    <s v="NA"/>
    <s v="NA"/>
    <s v="NA"/>
    <s v="NA"/>
    <s v="NA"/>
    <s v="NA"/>
    <s v="NA"/>
    <m/>
    <n v="15"/>
    <n v="0"/>
    <n v="0"/>
    <n v="15"/>
    <n v="0"/>
    <m/>
    <n v="15"/>
    <s v="Searching"/>
    <m/>
    <m/>
    <m/>
  </r>
  <r>
    <s v="DSCN2688"/>
    <s v="M2370330_13"/>
    <n v="13"/>
    <n v="1"/>
    <x v="9"/>
    <d v="2019-03-30T00:00:00"/>
    <s v="March"/>
    <s v="Spring"/>
    <d v="1899-12-30T00:35:00"/>
    <d v="1899-12-30T00:00:35"/>
    <x v="122"/>
    <m/>
    <x v="16"/>
    <s v="Foraging"/>
    <s v="NA"/>
    <n v="0"/>
    <n v="0"/>
    <n v="0"/>
    <m/>
    <s v="NA"/>
    <s v="NA"/>
    <s v="NA"/>
    <m/>
    <m/>
    <m/>
    <s v="NA"/>
    <s v="NA"/>
    <s v="NA"/>
    <s v="NA"/>
    <s v="NA"/>
    <s v="NA"/>
    <s v="NA"/>
    <m/>
    <n v="0"/>
    <n v="0"/>
    <n v="0"/>
    <n v="0"/>
    <n v="35"/>
    <m/>
    <n v="35"/>
    <s v="Searching"/>
    <m/>
    <m/>
    <m/>
  </r>
  <r>
    <s v="DSCN2689"/>
    <s v="M2370330_14"/>
    <n v="14"/>
    <n v="1"/>
    <x v="9"/>
    <d v="2019-03-30T00:00:00"/>
    <s v="March"/>
    <s v="Spring"/>
    <d v="1899-12-30T00:06:00"/>
    <d v="1899-12-30T00:00:06"/>
    <x v="122"/>
    <m/>
    <x v="16"/>
    <s v="Foraging"/>
    <s v="NA"/>
    <n v="0"/>
    <n v="0"/>
    <n v="0"/>
    <m/>
    <s v="NA"/>
    <s v="NA"/>
    <s v="NA"/>
    <m/>
    <m/>
    <m/>
    <s v="NA"/>
    <s v="NA"/>
    <s v="NA"/>
    <s v="NA"/>
    <s v="NA"/>
    <s v="NA"/>
    <s v="NA"/>
    <m/>
    <n v="0"/>
    <n v="0"/>
    <n v="0"/>
    <n v="0"/>
    <n v="4"/>
    <m/>
    <n v="4"/>
    <s v="Searching"/>
    <m/>
    <m/>
    <m/>
  </r>
  <r>
    <s v="DSCN2673"/>
    <s v="M2370330_4"/>
    <n v="4"/>
    <n v="1"/>
    <x v="9"/>
    <d v="2019-03-30T00:00:00"/>
    <s v="March"/>
    <s v="Spring"/>
    <d v="1899-12-30T00:23:00"/>
    <d v="1899-12-30T00:00:23"/>
    <x v="122"/>
    <m/>
    <x v="16"/>
    <s v="Foraging"/>
    <s v="Spruce"/>
    <n v="0"/>
    <n v="0"/>
    <n v="0"/>
    <m/>
    <s v="NA"/>
    <s v="NA"/>
    <s v="NA"/>
    <m/>
    <m/>
    <m/>
    <s v="NA"/>
    <s v="NA"/>
    <s v="NA"/>
    <s v="NA"/>
    <s v="NA"/>
    <s v="NA"/>
    <s v="NA"/>
    <m/>
    <n v="0"/>
    <n v="10"/>
    <n v="0"/>
    <n v="10"/>
    <n v="0"/>
    <m/>
    <n v="10"/>
    <m/>
    <m/>
    <m/>
    <m/>
  </r>
  <r>
    <s v="DSCN2676"/>
    <s v="M2370330_6"/>
    <n v="6"/>
    <n v="1"/>
    <x v="9"/>
    <d v="2019-03-30T00:00:00"/>
    <s v="March"/>
    <s v="Spring"/>
    <d v="1899-12-30T00:08:00"/>
    <d v="1899-12-30T00:00:08"/>
    <x v="122"/>
    <m/>
    <x v="16"/>
    <s v="Foraging"/>
    <s v="Spruce"/>
    <n v="0"/>
    <n v="0"/>
    <n v="0"/>
    <m/>
    <s v="NA"/>
    <s v="NA"/>
    <s v="NA"/>
    <m/>
    <m/>
    <m/>
    <s v="NA"/>
    <s v="NA"/>
    <s v="NA"/>
    <s v="NA"/>
    <s v="NA"/>
    <s v="NA"/>
    <s v="NA"/>
    <m/>
    <n v="6"/>
    <n v="0"/>
    <n v="6"/>
    <n v="0"/>
    <n v="0"/>
    <m/>
    <n v="6"/>
    <s v="Searching"/>
    <m/>
    <m/>
    <m/>
  </r>
  <r>
    <s v="DSCN2542"/>
    <s v="M2370326_4"/>
    <n v="4"/>
    <n v="1"/>
    <x v="9"/>
    <d v="2019-03-26T00:00:00"/>
    <s v="March"/>
    <s v="Spring"/>
    <d v="1899-12-30T00:14:00"/>
    <d v="1899-12-30T00:00:14"/>
    <x v="122"/>
    <s v="Mostly sunny"/>
    <x v="16"/>
    <s v="Unknown"/>
    <s v="Aspen"/>
    <s v="unknown"/>
    <s v="unknown"/>
    <s v="Unknown"/>
    <m/>
    <s v="NA"/>
    <s v="NA"/>
    <s v="NA"/>
    <m/>
    <m/>
    <m/>
    <s v="NA"/>
    <s v="NA"/>
    <s v="NA"/>
    <s v="NA"/>
    <s v="NA"/>
    <m/>
    <m/>
    <m/>
    <m/>
    <m/>
    <m/>
    <m/>
    <m/>
    <m/>
    <n v="0"/>
    <m/>
    <m/>
    <m/>
    <m/>
  </r>
  <r>
    <s v="DSCN2672"/>
    <s v="M2370330_3"/>
    <n v="3"/>
    <n v="1"/>
    <x v="9"/>
    <d v="2019-03-30T00:00:00"/>
    <s v="March"/>
    <s v="Spring"/>
    <d v="1899-12-30T00:13:00"/>
    <d v="1899-12-30T00:00:13"/>
    <x v="122"/>
    <m/>
    <x v="16"/>
    <s v="Foraging"/>
    <s v="Spruce"/>
    <s v="unknown"/>
    <s v="unknown"/>
    <s v="Unknown"/>
    <m/>
    <s v="NA"/>
    <s v="NA"/>
    <s v="NA"/>
    <m/>
    <m/>
    <m/>
    <s v="NA"/>
    <s v="NA"/>
    <s v="NA"/>
    <s v="NA"/>
    <s v="NA"/>
    <s v="NA"/>
    <s v="NA"/>
    <m/>
    <n v="0"/>
    <n v="13"/>
    <n v="0"/>
    <n v="13"/>
    <n v="0"/>
    <m/>
    <n v="13"/>
    <s v="Searching"/>
    <m/>
    <m/>
    <m/>
  </r>
  <r>
    <s v="DSCN2536"/>
    <s v="M2370326_1"/>
    <n v="1"/>
    <n v="1"/>
    <x v="9"/>
    <d v="2019-03-26T00:00:00"/>
    <s v="March"/>
    <s v="Spring"/>
    <d v="1899-12-30T01:15:00"/>
    <d v="1899-12-30T00:01:15"/>
    <x v="122"/>
    <s v="Mostly sunny"/>
    <x v="16"/>
    <s v="Foraging"/>
    <s v="NA"/>
    <s v="unknown"/>
    <n v="0"/>
    <n v="0"/>
    <m/>
    <s v="NA"/>
    <s v="NA"/>
    <s v="NA"/>
    <m/>
    <m/>
    <m/>
    <s v="NA"/>
    <s v="NA"/>
    <s v="NA"/>
    <s v="NA"/>
    <s v="NA"/>
    <m/>
    <m/>
    <m/>
    <n v="0"/>
    <n v="0"/>
    <n v="0"/>
    <n v="0"/>
    <n v="37"/>
    <m/>
    <n v="37"/>
    <s v="Searching"/>
    <m/>
    <m/>
    <m/>
  </r>
  <r>
    <s v="DSCN2556"/>
    <s v="M2370326_10"/>
    <n v="10"/>
    <n v="1"/>
    <x v="9"/>
    <d v="2019-03-26T00:00:00"/>
    <s v="March"/>
    <s v="Spring"/>
    <d v="1899-12-30T00:55:00"/>
    <d v="1899-12-30T00:00:55"/>
    <x v="122"/>
    <s v="Mostly sunny"/>
    <x v="16"/>
    <s v="Foraging"/>
    <s v="NA"/>
    <s v="unknown"/>
    <n v="0"/>
    <n v="0"/>
    <m/>
    <s v="NA"/>
    <s v="NA"/>
    <s v="NA"/>
    <m/>
    <m/>
    <m/>
    <s v="NA"/>
    <s v="NA"/>
    <s v="NA"/>
    <s v="NA"/>
    <s v="NA"/>
    <m/>
    <m/>
    <m/>
    <n v="0"/>
    <n v="0"/>
    <n v="0"/>
    <n v="0"/>
    <n v="55"/>
    <m/>
    <n v="55"/>
    <s v="Searching"/>
    <m/>
    <m/>
    <m/>
  </r>
  <r>
    <s v="DSCN2550"/>
    <s v="M2370326_6"/>
    <n v="6"/>
    <n v="1"/>
    <x v="9"/>
    <d v="2019-03-26T00:00:00"/>
    <s v="March"/>
    <s v="Spring"/>
    <d v="1899-12-30T00:47:00"/>
    <d v="1899-12-30T00:00:47"/>
    <x v="122"/>
    <s v="Mostly sunny"/>
    <x v="16"/>
    <s v="Foraging"/>
    <s v="NA"/>
    <s v="unknown"/>
    <n v="0"/>
    <n v="0"/>
    <m/>
    <s v="NA"/>
    <s v="NA"/>
    <s v="NA"/>
    <m/>
    <m/>
    <m/>
    <s v="NA"/>
    <s v="NA"/>
    <s v="NA"/>
    <s v="NA"/>
    <s v="NA"/>
    <m/>
    <m/>
    <m/>
    <n v="0"/>
    <n v="0"/>
    <n v="0"/>
    <n v="0"/>
    <n v="39"/>
    <m/>
    <n v="39"/>
    <s v="Searching"/>
    <m/>
    <m/>
    <m/>
  </r>
  <r>
    <s v="DSCN2687"/>
    <s v="M2370330_12"/>
    <n v="12"/>
    <n v="1"/>
    <x v="9"/>
    <d v="2019-03-30T00:00:00"/>
    <s v="March"/>
    <s v="Spring"/>
    <d v="1899-12-30T00:20:00"/>
    <d v="1899-12-30T00:00:20"/>
    <x v="122"/>
    <m/>
    <x v="16"/>
    <s v="Foraging"/>
    <s v="NA"/>
    <s v="unknown"/>
    <n v="0"/>
    <n v="0"/>
    <m/>
    <s v="NA"/>
    <s v="NA"/>
    <s v="NA"/>
    <m/>
    <m/>
    <m/>
    <s v="NA"/>
    <s v="NA"/>
    <s v="NA"/>
    <s v="NA"/>
    <s v="NA"/>
    <s v="NA"/>
    <s v="NA"/>
    <m/>
    <n v="0"/>
    <n v="0"/>
    <n v="0"/>
    <n v="0"/>
    <n v="20"/>
    <m/>
    <n v="20"/>
    <s v="Searching"/>
    <m/>
    <m/>
    <m/>
  </r>
  <r>
    <s v="DSCN2691"/>
    <s v="M2370330_15"/>
    <n v="15"/>
    <n v="1"/>
    <x v="9"/>
    <d v="2019-03-30T00:00:00"/>
    <s v="March"/>
    <s v="Spring"/>
    <d v="1899-12-30T00:24:00"/>
    <d v="1899-12-30T00:00:24"/>
    <x v="122"/>
    <m/>
    <x v="16"/>
    <s v="Foraging"/>
    <s v="NA"/>
    <s v="unknown"/>
    <n v="0"/>
    <n v="0"/>
    <m/>
    <s v="NA"/>
    <s v="NA"/>
    <s v="NA"/>
    <m/>
    <m/>
    <m/>
    <s v="NA"/>
    <s v="NA"/>
    <s v="NA"/>
    <s v="NA"/>
    <s v="NA"/>
    <s v="NA"/>
    <s v="NA"/>
    <m/>
    <n v="0"/>
    <n v="0"/>
    <n v="0"/>
    <n v="0"/>
    <n v="7"/>
    <m/>
    <n v="7"/>
    <s v="Searching"/>
    <m/>
    <m/>
    <m/>
  </r>
  <r>
    <s v="DSCN2694"/>
    <s v="M2370330_16"/>
    <n v="16"/>
    <n v="1"/>
    <x v="9"/>
    <d v="2019-03-30T00:00:00"/>
    <s v="March"/>
    <s v="Spring"/>
    <d v="1899-12-30T00:08:00"/>
    <d v="1899-12-30T00:00:08"/>
    <x v="122"/>
    <m/>
    <x v="16"/>
    <s v="Foraging"/>
    <s v="NA"/>
    <s v="unknown"/>
    <n v="0"/>
    <n v="0"/>
    <m/>
    <s v="NA"/>
    <s v="NA"/>
    <s v="NA"/>
    <m/>
    <m/>
    <m/>
    <s v="NA"/>
    <s v="NA"/>
    <s v="NA"/>
    <s v="NA"/>
    <s v="NA"/>
    <s v="NA"/>
    <s v="NA"/>
    <m/>
    <n v="0"/>
    <n v="0"/>
    <n v="0"/>
    <n v="0"/>
    <n v="8"/>
    <m/>
    <n v="8"/>
    <s v="Searching"/>
    <m/>
    <m/>
    <m/>
  </r>
  <r>
    <s v="DSCN2697"/>
    <s v="M2370330_19"/>
    <n v="19"/>
    <n v="1"/>
    <x v="9"/>
    <d v="2019-03-30T00:00:00"/>
    <s v="March"/>
    <s v="Spring"/>
    <d v="1899-12-30T00:20:00"/>
    <d v="1899-12-30T00:00:20"/>
    <x v="122"/>
    <m/>
    <x v="16"/>
    <s v="Foraging"/>
    <s v="NA"/>
    <s v="unknown"/>
    <n v="0"/>
    <n v="0"/>
    <m/>
    <s v="NA"/>
    <s v="NA"/>
    <s v="NA"/>
    <m/>
    <m/>
    <m/>
    <s v="NA"/>
    <s v="NA"/>
    <s v="NA"/>
    <s v="NA"/>
    <s v="NA"/>
    <s v="NA"/>
    <s v="NA"/>
    <m/>
    <n v="0"/>
    <n v="0"/>
    <n v="0"/>
    <n v="0"/>
    <n v="7"/>
    <m/>
    <n v="7"/>
    <s v="Searching"/>
    <m/>
    <m/>
    <m/>
  </r>
  <r>
    <s v="DSCN2698"/>
    <s v="M2370330_20"/>
    <n v="20"/>
    <n v="1"/>
    <x v="9"/>
    <d v="2019-03-30T00:00:00"/>
    <s v="March"/>
    <s v="Spring"/>
    <d v="1899-12-30T00:17:00"/>
    <d v="1899-12-30T00:00:17"/>
    <x v="122"/>
    <m/>
    <x v="16"/>
    <s v="Foraging"/>
    <s v="NA"/>
    <s v="unknown"/>
    <n v="0"/>
    <n v="0"/>
    <m/>
    <s v="NA"/>
    <s v="NA"/>
    <s v="NA"/>
    <m/>
    <m/>
    <m/>
    <s v="NA"/>
    <s v="NA"/>
    <s v="NA"/>
    <s v="NA"/>
    <s v="NA"/>
    <s v="NA"/>
    <s v="NA"/>
    <m/>
    <n v="0"/>
    <n v="0"/>
    <n v="0"/>
    <n v="0"/>
    <n v="16"/>
    <m/>
    <n v="16"/>
    <s v="Searching"/>
    <m/>
    <m/>
    <m/>
  </r>
  <r>
    <s v="DSCN2699"/>
    <s v="M2370330_21"/>
    <n v="21"/>
    <n v="1"/>
    <x v="9"/>
    <d v="2019-03-30T00:00:00"/>
    <s v="March"/>
    <s v="Spring"/>
    <d v="1899-12-30T00:39:00"/>
    <d v="1899-12-30T00:00:39"/>
    <x v="122"/>
    <m/>
    <x v="16"/>
    <s v="Foraging"/>
    <s v="NA"/>
    <s v="unknown"/>
    <n v="0"/>
    <n v="0"/>
    <m/>
    <s v="NA"/>
    <s v="NA"/>
    <s v="NA"/>
    <m/>
    <m/>
    <m/>
    <s v="NA"/>
    <s v="NA"/>
    <s v="NA"/>
    <s v="NA"/>
    <s v="NA"/>
    <s v="NA"/>
    <s v="NA"/>
    <m/>
    <n v="0"/>
    <n v="0"/>
    <n v="0"/>
    <n v="0"/>
    <n v="39"/>
    <m/>
    <n v="39"/>
    <s v="Searching"/>
    <m/>
    <m/>
    <m/>
  </r>
  <r>
    <s v="DSCN3852"/>
    <s v="WW0503_1"/>
    <n v="1"/>
    <n v="1"/>
    <x v="0"/>
    <d v="2019-05-03T00:00:00"/>
    <s v="May"/>
    <s v="Spring"/>
    <d v="1899-12-30T00:29:00"/>
    <d v="1899-12-30T00:00:29"/>
    <x v="122"/>
    <s v="Mostly cloudy"/>
    <x v="0"/>
    <s v="Foraging"/>
    <s v="NA"/>
    <n v="1"/>
    <n v="0"/>
    <n v="0"/>
    <s v="Unknown"/>
    <s v="unknown"/>
    <s v="Ground"/>
    <s v="NA"/>
    <m/>
    <m/>
    <m/>
    <s v="NA"/>
    <s v="NA"/>
    <s v="NA"/>
    <s v="NA"/>
    <s v="NA"/>
    <s v="NA"/>
    <s v="NA"/>
    <s v="NA"/>
    <n v="0"/>
    <n v="0"/>
    <n v="0"/>
    <n v="0"/>
    <n v="29"/>
    <m/>
    <n v="29"/>
    <s v="Searching"/>
    <m/>
    <m/>
    <m/>
  </r>
  <r>
    <s v="DSCN3853"/>
    <s v="WW0503_2"/>
    <n v="2"/>
    <n v="1"/>
    <x v="0"/>
    <d v="2019-05-03T00:00:00"/>
    <s v="May"/>
    <s v="Spring"/>
    <d v="1899-12-30T00:27:00"/>
    <d v="1899-12-30T00:00:27"/>
    <x v="122"/>
    <s v="Mostly cloudy"/>
    <x v="0"/>
    <s v="Foraging"/>
    <s v="NA"/>
    <n v="2"/>
    <n v="0"/>
    <n v="0"/>
    <s v="Unknown"/>
    <s v="unknown"/>
    <s v="Ground"/>
    <s v="NA"/>
    <m/>
    <m/>
    <m/>
    <s v="NA"/>
    <s v="NA"/>
    <s v="NA"/>
    <s v="NA"/>
    <s v="NA"/>
    <s v="NA"/>
    <s v="NA"/>
    <s v="NA"/>
    <n v="0"/>
    <n v="0"/>
    <n v="0"/>
    <n v="0"/>
    <n v="25"/>
    <m/>
    <n v="25"/>
    <s v="Searching"/>
    <m/>
    <m/>
    <m/>
  </r>
  <r>
    <s v="DSCN3757"/>
    <s v="MC0502_3"/>
    <n v="3"/>
    <n v="1"/>
    <x v="2"/>
    <d v="2019-05-02T00:00:00"/>
    <s v="May"/>
    <s v="Spring"/>
    <d v="1899-12-30T00:31:00"/>
    <d v="1899-12-30T00:00:31"/>
    <x v="122"/>
    <s v="Mostly cloudy"/>
    <x v="2"/>
    <s v="Foraging"/>
    <s v="NA"/>
    <n v="1"/>
    <n v="0"/>
    <n v="0"/>
    <s v="Unknown"/>
    <s v="unknown"/>
    <s v="NA"/>
    <s v="NA"/>
    <m/>
    <m/>
    <m/>
    <s v="NA"/>
    <s v="NA"/>
    <s v="NA"/>
    <s v="NA"/>
    <s v="NA"/>
    <s v="NA"/>
    <s v="NA"/>
    <s v="NA"/>
    <n v="0"/>
    <n v="0"/>
    <n v="0"/>
    <n v="0"/>
    <n v="31"/>
    <m/>
    <n v="31"/>
    <s v="Searching"/>
    <m/>
    <m/>
    <m/>
  </r>
  <r>
    <s v="DSCN3886"/>
    <s v="MC0506_4"/>
    <n v="4"/>
    <n v="1"/>
    <x v="2"/>
    <d v="2019-05-06T00:00:00"/>
    <s v="May"/>
    <s v="Spring"/>
    <d v="1899-12-30T01:08:00"/>
    <d v="1899-12-30T00:01:08"/>
    <x v="122"/>
    <s v="Mostly cloudy"/>
    <x v="2"/>
    <s v="Foraging"/>
    <s v="NA"/>
    <n v="1"/>
    <n v="0"/>
    <n v="0"/>
    <s v="Unknown"/>
    <s v="unknown"/>
    <s v="Ground"/>
    <s v="NA"/>
    <m/>
    <m/>
    <m/>
    <s v="NA"/>
    <s v="NA"/>
    <s v="NA"/>
    <s v="NA"/>
    <s v="NA"/>
    <s v="NA"/>
    <s v="NA"/>
    <s v="NA"/>
    <n v="0"/>
    <n v="0"/>
    <n v="0"/>
    <n v="0"/>
    <n v="66"/>
    <m/>
    <n v="66"/>
    <s v="Searching"/>
    <m/>
    <m/>
    <m/>
  </r>
  <r>
    <s v="DSCN3887"/>
    <s v="MC0506_5"/>
    <n v="5"/>
    <n v="1"/>
    <x v="2"/>
    <d v="2019-05-06T00:00:00"/>
    <s v="May"/>
    <s v="Spring"/>
    <d v="1899-12-30T00:12:00"/>
    <d v="1899-12-30T00:00:12"/>
    <x v="122"/>
    <s v="Mostly cloudy"/>
    <x v="2"/>
    <s v="Foraging"/>
    <s v="NA"/>
    <n v="1"/>
    <n v="0"/>
    <n v="0"/>
    <s v="Unknown"/>
    <s v="unknown"/>
    <s v="Ground"/>
    <s v="NA"/>
    <m/>
    <m/>
    <m/>
    <s v="NA"/>
    <s v="NA"/>
    <s v="NA"/>
    <s v="NA"/>
    <s v="NA"/>
    <s v="NA"/>
    <s v="NA"/>
    <s v="NA"/>
    <n v="0"/>
    <n v="0"/>
    <n v="0"/>
    <n v="0"/>
    <n v="12"/>
    <m/>
    <n v="12"/>
    <s v="Searching"/>
    <m/>
    <m/>
    <m/>
  </r>
  <r>
    <s v="DSCN3873"/>
    <s v="MC0506_1"/>
    <n v="1"/>
    <n v="1"/>
    <x v="2"/>
    <d v="2019-05-06T00:00:00"/>
    <s v="May"/>
    <s v="Spring"/>
    <d v="1899-12-30T00:43:00"/>
    <d v="1899-12-30T00:00:43"/>
    <x v="122"/>
    <s v="Mostly cloudy"/>
    <x v="2"/>
    <s v="Foraging"/>
    <s v="Spruce"/>
    <n v="1"/>
    <s v="unknown"/>
    <n v="0"/>
    <s v="Unknown"/>
    <s v="unknown"/>
    <s v="Spruce trunk under bark"/>
    <s v="NA"/>
    <m/>
    <m/>
    <m/>
    <s v="NA"/>
    <s v="NA"/>
    <s v="NA"/>
    <s v="NA"/>
    <s v="NA"/>
    <s v="NA"/>
    <s v="NA"/>
    <s v="NA"/>
    <n v="0"/>
    <n v="0"/>
    <n v="0"/>
    <n v="0"/>
    <n v="33"/>
    <m/>
    <n v="33"/>
    <s v="Searching"/>
    <m/>
    <m/>
    <m/>
  </r>
  <r>
    <s v="DSCN3885"/>
    <s v="MC0506_3"/>
    <n v="3"/>
    <n v="1"/>
    <x v="2"/>
    <d v="2019-05-06T00:00:00"/>
    <s v="May"/>
    <s v="Spring"/>
    <d v="1899-12-30T02:22:00"/>
    <d v="1899-12-30T00:02:22"/>
    <x v="122"/>
    <s v="Mostly cloudy"/>
    <x v="2"/>
    <s v="Foraging"/>
    <s v="NA"/>
    <n v="3"/>
    <n v="0"/>
    <n v="0"/>
    <s v="Unknown"/>
    <s v="unknown"/>
    <s v="Ground"/>
    <s v="NA"/>
    <m/>
    <m/>
    <m/>
    <s v="NA"/>
    <s v="NA"/>
    <s v="NA"/>
    <s v="NA"/>
    <s v="NA"/>
    <s v="NA"/>
    <s v="NA"/>
    <s v="NA"/>
    <n v="0"/>
    <n v="0"/>
    <n v="0"/>
    <n v="0"/>
    <n v="144"/>
    <m/>
    <n v="144"/>
    <s v="Searching"/>
    <m/>
    <m/>
    <m/>
  </r>
  <r>
    <s v="DSCN3894"/>
    <s v="MC0506_7"/>
    <n v="7"/>
    <n v="1"/>
    <x v="2"/>
    <d v="2019-05-06T00:00:00"/>
    <s v="May"/>
    <s v="Spring"/>
    <d v="1899-12-30T00:26:00"/>
    <d v="1899-12-30T00:00:26"/>
    <x v="122"/>
    <s v="Mostly cloudy"/>
    <x v="2"/>
    <s v="Food handling"/>
    <s v="NA"/>
    <n v="1"/>
    <n v="0"/>
    <n v="0"/>
    <s v="Insect"/>
    <s v="Insect (Black caterpiller)"/>
    <s v="Ground"/>
    <s v="NA"/>
    <m/>
    <m/>
    <m/>
    <s v="NA"/>
    <s v="NA"/>
    <s v="NA"/>
    <s v="NA"/>
    <s v="NA"/>
    <s v="NA"/>
    <s v="NA"/>
    <s v="NA"/>
    <n v="0"/>
    <n v="0"/>
    <n v="0"/>
    <n v="0"/>
    <n v="0"/>
    <m/>
    <n v="0"/>
    <m/>
    <m/>
    <m/>
    <m/>
  </r>
  <r>
    <s v="DSCN3896"/>
    <s v="MC0506_9"/>
    <n v="9"/>
    <n v="1"/>
    <x v="2"/>
    <d v="2019-05-06T00:00:00"/>
    <s v="May"/>
    <s v="Spring"/>
    <d v="1899-12-30T01:21:00"/>
    <d v="1899-12-30T00:01:21"/>
    <x v="122"/>
    <s v="Mostly cloudy"/>
    <x v="2"/>
    <s v="Foraging"/>
    <s v="NA"/>
    <n v="1"/>
    <n v="0"/>
    <n v="0"/>
    <s v="Berry"/>
    <s v="Berry (cranberry)"/>
    <s v="Ground"/>
    <s v="NA"/>
    <m/>
    <m/>
    <m/>
    <s v="NA"/>
    <s v="NA"/>
    <s v="NA"/>
    <s v="NA"/>
    <s v="NA"/>
    <s v="NA"/>
    <s v="NA"/>
    <s v="NA"/>
    <n v="0"/>
    <n v="0"/>
    <n v="0"/>
    <n v="0"/>
    <n v="70"/>
    <m/>
    <n v="70"/>
    <s v="Searching"/>
    <m/>
    <m/>
    <m/>
  </r>
  <r>
    <s v="DSCN3895"/>
    <s v="MC0506_8"/>
    <n v="8"/>
    <n v="1"/>
    <x v="2"/>
    <d v="2019-05-06T00:00:00"/>
    <s v="May"/>
    <s v="Spring"/>
    <d v="1899-12-30T00:28:00"/>
    <d v="1899-12-30T00:00:28"/>
    <x v="122"/>
    <s v="Mostly cloudy"/>
    <x v="2"/>
    <s v="Foraging"/>
    <s v="NA"/>
    <n v="0"/>
    <n v="0"/>
    <n v="0"/>
    <m/>
    <s v="NA"/>
    <s v="NA"/>
    <s v="NA"/>
    <m/>
    <m/>
    <m/>
    <s v="NA"/>
    <s v="NA"/>
    <s v="NA"/>
    <s v="NA"/>
    <s v="NA"/>
    <s v="NA"/>
    <s v="NA"/>
    <s v="NA"/>
    <n v="0"/>
    <n v="0"/>
    <n v="0"/>
    <n v="0"/>
    <n v="12"/>
    <m/>
    <n v="12"/>
    <s v="Searching"/>
    <m/>
    <m/>
    <m/>
  </r>
  <r>
    <s v="DSCN3889"/>
    <s v="MC0506_6"/>
    <n v="6"/>
    <n v="1"/>
    <x v="2"/>
    <d v="2019-05-06T00:00:00"/>
    <s v="May"/>
    <s v="Spring"/>
    <d v="1899-12-30T01:47:00"/>
    <d v="1899-12-30T00:01:47"/>
    <x v="122"/>
    <s v="Mostly cloudy"/>
    <x v="2"/>
    <s v="Foraging"/>
    <s v="NA"/>
    <n v="0"/>
    <n v="0"/>
    <n v="0"/>
    <s v="Unknown"/>
    <s v="unknown"/>
    <s v="unknown"/>
    <s v="unknown"/>
    <m/>
    <m/>
    <m/>
    <s v="unknown"/>
    <s v="unknown"/>
    <s v="unknown"/>
    <s v="unknown"/>
    <s v="unknown"/>
    <s v="unknown"/>
    <s v="unknown"/>
    <s v="unknown"/>
    <n v="0"/>
    <n v="0"/>
    <n v="0"/>
    <n v="0"/>
    <n v="31"/>
    <m/>
    <n v="31"/>
    <s v="Searching"/>
    <m/>
    <m/>
    <m/>
  </r>
  <r>
    <s v="DSCN3755"/>
    <s v="MC0502_1"/>
    <n v="1"/>
    <n v="1"/>
    <x v="2"/>
    <d v="2019-05-02T00:00:00"/>
    <s v="May"/>
    <s v="Spring"/>
    <d v="1899-12-30T00:45:00"/>
    <d v="1899-12-30T00:00:45"/>
    <x v="122"/>
    <s v="Mostly cloudy"/>
    <x v="2"/>
    <s v="Foraging"/>
    <s v="NA"/>
    <s v="unknown"/>
    <n v="0"/>
    <n v="0"/>
    <m/>
    <s v="NA"/>
    <s v="NA"/>
    <s v="NA"/>
    <m/>
    <m/>
    <m/>
    <s v="NA"/>
    <s v="NA"/>
    <s v="NA"/>
    <s v="NA"/>
    <s v="NA"/>
    <s v="NA"/>
    <s v="NA"/>
    <s v="NA"/>
    <n v="0"/>
    <n v="0"/>
    <n v="0"/>
    <n v="0"/>
    <n v="45"/>
    <m/>
    <n v="45"/>
    <s v="Searching"/>
    <m/>
    <m/>
    <m/>
  </r>
  <r>
    <s v="DSCN3756"/>
    <s v="MC0502_2"/>
    <n v="2"/>
    <n v="1"/>
    <x v="2"/>
    <d v="2019-05-02T00:00:00"/>
    <s v="May"/>
    <s v="Spring"/>
    <d v="1899-12-30T00:55:00"/>
    <d v="1899-12-30T00:00:55"/>
    <x v="122"/>
    <s v="Mostly cloudy"/>
    <x v="2"/>
    <s v="Foraging"/>
    <s v="NA"/>
    <s v="unknown"/>
    <n v="0"/>
    <n v="0"/>
    <m/>
    <s v="NA"/>
    <s v="NA"/>
    <s v="NA"/>
    <m/>
    <m/>
    <m/>
    <s v="NA"/>
    <s v="NA"/>
    <s v="NA"/>
    <s v="NA"/>
    <s v="NA"/>
    <s v="NA"/>
    <s v="NA"/>
    <s v="NA"/>
    <n v="0"/>
    <n v="0"/>
    <n v="0"/>
    <n v="0"/>
    <n v="19"/>
    <m/>
    <n v="19"/>
    <s v="Searching"/>
    <m/>
    <m/>
    <m/>
  </r>
  <r>
    <s v="DSCN3884"/>
    <s v="MC0506_2"/>
    <n v="2"/>
    <n v="1"/>
    <x v="2"/>
    <d v="2019-05-06T00:00:00"/>
    <s v="May"/>
    <s v="Spring"/>
    <d v="1899-12-30T00:29:00"/>
    <d v="1899-12-30T00:00:29"/>
    <x v="122"/>
    <s v="Mostly cloudy"/>
    <x v="2"/>
    <s v="Foraging"/>
    <s v="NA"/>
    <s v="unknown"/>
    <n v="0"/>
    <n v="0"/>
    <m/>
    <s v="NA"/>
    <s v="NA"/>
    <s v="NA"/>
    <m/>
    <m/>
    <m/>
    <s v="NA"/>
    <s v="NA"/>
    <s v="NA"/>
    <s v="NA"/>
    <s v="NA"/>
    <s v="NA"/>
    <s v="NA"/>
    <s v="NA"/>
    <n v="0"/>
    <n v="0"/>
    <n v="0"/>
    <n v="0"/>
    <n v="29"/>
    <m/>
    <n v="29"/>
    <s v="Searching"/>
    <m/>
    <m/>
    <m/>
  </r>
  <r>
    <s v="DSCN3834"/>
    <s v="CC0503_14"/>
    <n v="14"/>
    <n v="2"/>
    <x v="4"/>
    <d v="2019-05-03T00:00:00"/>
    <s v="May"/>
    <s v="Spring"/>
    <d v="1899-12-30T01:43:00"/>
    <d v="1899-12-30T00:01:43"/>
    <x v="122"/>
    <s v="Overcast, light snow"/>
    <x v="4"/>
    <s v="Foraging"/>
    <s v="NA"/>
    <n v="1"/>
    <n v="0"/>
    <n v="0"/>
    <s v="Unknown"/>
    <s v="unknown"/>
    <s v="Ground"/>
    <s v="NA"/>
    <m/>
    <m/>
    <m/>
    <s v="NA"/>
    <s v="NA"/>
    <s v="NA"/>
    <s v="NA"/>
    <s v="NA"/>
    <s v="NA"/>
    <s v="NA"/>
    <s v="NA"/>
    <n v="0"/>
    <n v="0"/>
    <n v="0"/>
    <n v="0"/>
    <n v="92"/>
    <m/>
    <n v="92"/>
    <s v="Searching"/>
    <m/>
    <m/>
    <m/>
  </r>
  <r>
    <s v="DSCN3839"/>
    <s v="CC0503_19"/>
    <n v="19"/>
    <n v="1"/>
    <x v="4"/>
    <d v="2019-05-03T00:00:00"/>
    <s v="May"/>
    <s v="Spring"/>
    <d v="1899-12-30T01:01:00"/>
    <d v="1899-12-30T00:01:01"/>
    <x v="122"/>
    <s v="Overcast, light snow"/>
    <x v="4"/>
    <s v="Foraging"/>
    <s v="NA"/>
    <n v="1"/>
    <n v="0"/>
    <n v="0"/>
    <s v="Unknown"/>
    <s v="unknown"/>
    <s v="Ground"/>
    <s v="NA"/>
    <m/>
    <m/>
    <m/>
    <s v="NA"/>
    <s v="NA"/>
    <s v="NA"/>
    <s v="NA"/>
    <s v="NA"/>
    <s v="NA"/>
    <s v="NA"/>
    <s v="NA"/>
    <n v="0"/>
    <n v="0"/>
    <n v="0"/>
    <n v="0"/>
    <n v="54"/>
    <m/>
    <n v="54"/>
    <s v="Searching"/>
    <m/>
    <m/>
    <m/>
  </r>
  <r>
    <s v="DSCN3836"/>
    <s v="CC0503_16"/>
    <n v="16"/>
    <n v="1"/>
    <x v="4"/>
    <d v="2019-05-03T00:00:00"/>
    <s v="May"/>
    <s v="Spring"/>
    <d v="1899-12-30T00:38:00"/>
    <d v="1899-12-30T00:00:38"/>
    <x v="122"/>
    <s v="Overcast, light snow"/>
    <x v="4"/>
    <s v="Foraging/caching"/>
    <s v="Spruce"/>
    <n v="1"/>
    <n v="0"/>
    <n v="1"/>
    <s v="Insect"/>
    <s v="Insect (caterpiller)"/>
    <s v="Ground"/>
    <s v="Interior spruce foliage"/>
    <s v="Spruce"/>
    <s v="Interior"/>
    <s v="Foliage"/>
    <s v="S"/>
    <n v="165"/>
    <n v="5"/>
    <n v="63.722900000000003"/>
    <n v="148.94708"/>
    <m/>
    <s v="NA"/>
    <s v="NA"/>
    <n v="0"/>
    <n v="0"/>
    <n v="0"/>
    <n v="0"/>
    <n v="23"/>
    <m/>
    <n v="23"/>
    <s v="Searching"/>
    <m/>
    <m/>
    <m/>
  </r>
  <r>
    <s v="DSCN3814"/>
    <s v="CC0503_4"/>
    <n v="4"/>
    <n v="1"/>
    <x v="4"/>
    <d v="2019-05-03T00:00:00"/>
    <s v="May"/>
    <s v="Spring"/>
    <d v="1899-12-30T00:10:00"/>
    <d v="1899-12-30T00:00:10"/>
    <x v="122"/>
    <s v="Overcast, light snow"/>
    <x v="4"/>
    <s v="Food handling/caching"/>
    <s v="Spruce"/>
    <n v="1"/>
    <n v="0"/>
    <n v="1"/>
    <s v="Insect"/>
    <s v="Insect (caterpille/worm/slug-grub. IDK)"/>
    <s v="Ground"/>
    <s v="Interior spruce foliage"/>
    <s v="Spruce"/>
    <s v="Interior"/>
    <s v="Foliage"/>
    <s v="SE"/>
    <n v="115"/>
    <n v="10"/>
    <n v="63.722990000000003"/>
    <n v="148.94640999999999"/>
    <s v="NA"/>
    <s v="NA"/>
    <s v="NA"/>
    <n v="0"/>
    <n v="0"/>
    <n v="0"/>
    <n v="0"/>
    <n v="0"/>
    <m/>
    <n v="0"/>
    <m/>
    <s v="Missed initial acquisition, B&amp;Ut it caught it near where video picks up.  We are not 100% confident about cache, B&amp;Ut &quot;post-cache&quot; behavior and bill load suggests it cached it. "/>
    <m/>
    <m/>
  </r>
  <r>
    <s v="DSCN3812"/>
    <s v="CC0503_3"/>
    <n v="3"/>
    <n v="1"/>
    <x v="4"/>
    <d v="2019-05-03T00:00:00"/>
    <s v="May"/>
    <s v="Spring"/>
    <d v="1899-12-30T00:03:00"/>
    <d v="1899-12-30T00:00:03"/>
    <x v="122"/>
    <s v="Overcast, light snow"/>
    <x v="4"/>
    <s v="Food handling"/>
    <s v="NA"/>
    <n v="1"/>
    <n v="0"/>
    <n v="0"/>
    <s v="Insect"/>
    <s v="Insect (caterpiller)"/>
    <s v="Ground"/>
    <s v="NA"/>
    <m/>
    <m/>
    <m/>
    <s v="NA"/>
    <s v="NA"/>
    <s v="NA"/>
    <s v="NA"/>
    <s v="NA"/>
    <s v="NA"/>
    <s v="NA"/>
    <s v="NA"/>
    <n v="0"/>
    <n v="0"/>
    <n v="0"/>
    <n v="0"/>
    <n v="0"/>
    <m/>
    <n v="0"/>
    <s v="Searching"/>
    <m/>
    <m/>
    <m/>
  </r>
  <r>
    <s v="DSCN3819"/>
    <s v="CC0503_6"/>
    <n v="6"/>
    <n v="1"/>
    <x v="4"/>
    <d v="2019-05-03T00:00:00"/>
    <s v="May"/>
    <s v="Spring"/>
    <d v="1899-12-30T00:47:00"/>
    <d v="1899-12-30T00:00:47"/>
    <x v="122"/>
    <s v="Overcast, light snow"/>
    <x v="4"/>
    <s v="Foraging"/>
    <s v="NA"/>
    <n v="1"/>
    <n v="0"/>
    <n v="0"/>
    <s v="Insect"/>
    <s v="Insect (caterpiller)"/>
    <s v="Ground"/>
    <s v="NA"/>
    <m/>
    <m/>
    <m/>
    <s v="NA"/>
    <s v="NA"/>
    <s v="NA"/>
    <s v="NA"/>
    <s v="NA"/>
    <s v="NA"/>
    <s v="NA"/>
    <s v="NA"/>
    <n v="0"/>
    <n v="0"/>
    <n v="0"/>
    <n v="0"/>
    <n v="20"/>
    <m/>
    <n v="20"/>
    <s v="Searching"/>
    <m/>
    <m/>
    <m/>
  </r>
  <r>
    <s v="DSCN3834"/>
    <s v="CC0503_14"/>
    <n v="14"/>
    <n v="1"/>
    <x v="4"/>
    <d v="2019-05-03T00:00:00"/>
    <s v="May"/>
    <s v="Spring"/>
    <d v="1899-12-30T01:43:00"/>
    <d v="1899-12-30T00:01:43"/>
    <x v="122"/>
    <s v="Overcast, light snow"/>
    <x v="4"/>
    <s v="Foraging"/>
    <s v="NA"/>
    <n v="1"/>
    <n v="0"/>
    <n v="0"/>
    <s v="Insect"/>
    <s v="Insect (caterpiller)"/>
    <s v="Ground"/>
    <s v="NA"/>
    <m/>
    <m/>
    <m/>
    <s v="NA"/>
    <s v="NA"/>
    <s v="NA"/>
    <s v="NA"/>
    <s v="NA"/>
    <s v="NA"/>
    <s v="NA"/>
    <s v="NA"/>
    <n v="0"/>
    <n v="0"/>
    <n v="0"/>
    <n v="0"/>
    <n v="11"/>
    <m/>
    <n v="11"/>
    <s v="Searching"/>
    <m/>
    <m/>
    <m/>
  </r>
  <r>
    <s v="DSCN3838"/>
    <s v="CC0503_18"/>
    <n v="18"/>
    <n v="1"/>
    <x v="4"/>
    <d v="2019-05-03T00:00:00"/>
    <s v="May"/>
    <s v="Spring"/>
    <d v="1899-12-30T00:16:00"/>
    <d v="1899-12-30T00:00:16"/>
    <x v="122"/>
    <s v="Overcast, light snow"/>
    <x v="4"/>
    <s v="Foraging"/>
    <s v="NA"/>
    <n v="1"/>
    <n v="0"/>
    <n v="0"/>
    <s v="Insect"/>
    <s v="Insect (caterpiller)"/>
    <s v="Ground"/>
    <s v="NA"/>
    <m/>
    <m/>
    <m/>
    <s v="NA"/>
    <s v="NA"/>
    <s v="NA"/>
    <s v="NA"/>
    <s v="NA"/>
    <s v="NA"/>
    <s v="NA"/>
    <s v="NA"/>
    <n v="0"/>
    <n v="0"/>
    <n v="0"/>
    <n v="0"/>
    <n v="16"/>
    <m/>
    <n v="16"/>
    <s v="Searching"/>
    <m/>
    <m/>
    <m/>
  </r>
  <r>
    <s v="DSCN3821"/>
    <s v="CC0503_7"/>
    <n v="7"/>
    <n v="1"/>
    <x v="4"/>
    <d v="2019-05-03T00:00:00"/>
    <s v="May"/>
    <s v="Spring"/>
    <d v="1899-12-30T00:40:00"/>
    <d v="1899-12-30T00:00:40"/>
    <x v="122"/>
    <s v="Overcast, light snow"/>
    <x v="4"/>
    <s v="Foraging"/>
    <s v="NA"/>
    <n v="0"/>
    <n v="0"/>
    <n v="0"/>
    <m/>
    <s v="NA"/>
    <s v="NA"/>
    <s v="NA"/>
    <m/>
    <m/>
    <m/>
    <s v="NA"/>
    <s v="NA"/>
    <s v="NA"/>
    <s v="NA"/>
    <s v="NA"/>
    <s v="NA"/>
    <s v="NA"/>
    <s v="NA"/>
    <n v="0"/>
    <n v="0"/>
    <n v="0"/>
    <n v="0"/>
    <n v="40"/>
    <m/>
    <n v="40"/>
    <s v="Searching"/>
    <m/>
    <m/>
    <m/>
  </r>
  <r>
    <s v="DSCN3833"/>
    <s v="CC0503_13"/>
    <n v="13"/>
    <n v="1"/>
    <x v="4"/>
    <d v="2019-05-04T00:00:00"/>
    <s v="May"/>
    <s v="Spring"/>
    <d v="1899-12-30T00:15:00"/>
    <d v="1899-12-30T00:00:25"/>
    <x v="122"/>
    <s v="Overcast, light snow"/>
    <x v="4"/>
    <s v="Foraging"/>
    <s v=" NA"/>
    <n v="0"/>
    <n v="0"/>
    <n v="0"/>
    <m/>
    <s v="NA"/>
    <s v="NA"/>
    <s v="NA"/>
    <m/>
    <m/>
    <m/>
    <s v="NA"/>
    <s v="NA"/>
    <s v="NA"/>
    <s v="NA"/>
    <s v="NA"/>
    <s v="NA"/>
    <s v="NA"/>
    <s v="NA"/>
    <n v="0"/>
    <n v="0"/>
    <n v="0"/>
    <n v="0"/>
    <n v="15"/>
    <m/>
    <n v="15"/>
    <s v="Searching"/>
    <m/>
    <m/>
    <m/>
  </r>
  <r>
    <s v="DSCN3835"/>
    <s v="CC0503_15"/>
    <n v="15"/>
    <n v="1"/>
    <x v="4"/>
    <d v="2019-05-05T00:00:00"/>
    <s v="May"/>
    <s v="Spring"/>
    <d v="1899-12-30T02:02:00"/>
    <d v="1899-12-30T00:02:02"/>
    <x v="122"/>
    <s v="Overcast, light snow"/>
    <x v="4"/>
    <s v="Caching"/>
    <s v="Spruce"/>
    <n v="0"/>
    <n v="0"/>
    <n v="1"/>
    <s v="Insect"/>
    <s v="Insect (caterpiller)"/>
    <s v="NA"/>
    <s v="Spruce trunk"/>
    <s v="Spruce"/>
    <s v="Trunk"/>
    <s v="Under bark"/>
    <s v="Unknown, did not recognize as cache in field"/>
    <s v="Unknown, did not recognize as cache in field"/>
    <s v="Unknown, did not recognize as cache in field"/>
    <s v="Unknown, did not recognize as cache in field"/>
    <s v="Unknown, did not recognize as cache in field"/>
    <s v="NA"/>
    <s v="NA"/>
    <s v="NA"/>
    <n v="0"/>
    <n v="0"/>
    <n v="0"/>
    <n v="0"/>
    <n v="0"/>
    <m/>
    <n v="0"/>
    <m/>
    <m/>
    <m/>
    <m/>
  </r>
  <r>
    <s v="DSCN3872"/>
    <s v="CC0506_4"/>
    <n v="4"/>
    <n v="1"/>
    <x v="4"/>
    <d v="2019-05-06T00:00:00"/>
    <s v="May"/>
    <s v="Spring"/>
    <d v="1899-12-30T01:49:00"/>
    <d v="1899-12-30T00:01:49"/>
    <x v="122"/>
    <s v="Mostly cloudy"/>
    <x v="4"/>
    <s v="Foraging"/>
    <s v="NA"/>
    <n v="0"/>
    <n v="0"/>
    <n v="3"/>
    <s v="Unknown"/>
    <s v="unknown"/>
    <s v="unknown"/>
    <s v="Exterior spruce branch under witch hair"/>
    <s v="Spruce"/>
    <s v="Exterior"/>
    <s v="Under witchhair"/>
    <s v="SW"/>
    <n v="230"/>
    <s v="unknown"/>
    <n v="63.72392"/>
    <n v="148.95093"/>
    <s v="NA"/>
    <s v="NA"/>
    <s v="NA"/>
    <n v="0"/>
    <n v="0"/>
    <n v="0"/>
    <n v="0"/>
    <n v="0"/>
    <m/>
    <n v="0"/>
    <m/>
    <s v="3 Cached all in the same area on a single tree. "/>
    <m/>
    <m/>
  </r>
  <r>
    <s v="DSCN3870"/>
    <s v="CC0506_2"/>
    <n v="2"/>
    <n v="1"/>
    <x v="4"/>
    <d v="2019-05-06T00:00:00"/>
    <s v="May"/>
    <s v="Spring"/>
    <d v="1899-12-30T00:13:00"/>
    <d v="1899-12-30T00:00:13"/>
    <x v="122"/>
    <s v="Mostly cloudy"/>
    <x v="4"/>
    <s v="Foraging"/>
    <s v="NA"/>
    <n v="1"/>
    <n v="0"/>
    <n v="0"/>
    <s v="Insect"/>
    <s v="Insect (caterpiller)"/>
    <s v="Ground"/>
    <s v="NA"/>
    <m/>
    <m/>
    <m/>
    <s v="NA"/>
    <s v="NA"/>
    <s v="NA"/>
    <s v="NA"/>
    <s v="NA"/>
    <s v="NA"/>
    <s v="NA"/>
    <s v="NA"/>
    <n v="0"/>
    <n v="0"/>
    <n v="0"/>
    <n v="0"/>
    <n v="13"/>
    <m/>
    <n v="13"/>
    <s v="Searching"/>
    <m/>
    <m/>
    <m/>
  </r>
  <r>
    <s v="DSCN3837"/>
    <s v="CC0503_17"/>
    <n v="17"/>
    <n v="1"/>
    <x v="4"/>
    <d v="2019-05-06T00:00:00"/>
    <s v="May"/>
    <s v="Spring"/>
    <d v="1899-12-30T00:58:00"/>
    <d v="1899-12-30T00:00:58"/>
    <x v="122"/>
    <s v="Overcast, light snow"/>
    <x v="4"/>
    <s v="Foraging"/>
    <s v="NA"/>
    <n v="0"/>
    <n v="0"/>
    <n v="0"/>
    <m/>
    <s v="NA"/>
    <s v="NA"/>
    <s v="NA"/>
    <m/>
    <m/>
    <m/>
    <s v="NA"/>
    <s v="NA"/>
    <s v="NA"/>
    <s v="NA"/>
    <s v="NA"/>
    <s v="NA"/>
    <s v="NA"/>
    <s v="NA"/>
    <n v="0"/>
    <n v="0"/>
    <n v="0"/>
    <n v="0"/>
    <n v="58"/>
    <m/>
    <n v="58"/>
    <s v="Searching"/>
    <m/>
    <m/>
    <m/>
  </r>
  <r>
    <s v="DSCN3871"/>
    <s v="CC0506_3"/>
    <n v="3"/>
    <n v="1"/>
    <x v="4"/>
    <d v="2019-05-06T00:00:00"/>
    <s v="May"/>
    <s v="Spring"/>
    <d v="1899-12-30T01:15:00"/>
    <d v="1899-12-30T00:01:15"/>
    <x v="122"/>
    <s v="Mostly cloudy"/>
    <x v="4"/>
    <s v="Foraging"/>
    <s v="NA"/>
    <n v="0"/>
    <n v="0"/>
    <n v="0"/>
    <m/>
    <s v="NA"/>
    <s v="NA"/>
    <s v="NA"/>
    <m/>
    <m/>
    <m/>
    <s v="NA"/>
    <s v="NA"/>
    <s v="NA"/>
    <s v="NA"/>
    <s v="NA"/>
    <s v="NA"/>
    <s v="NA"/>
    <s v="NA"/>
    <n v="0"/>
    <n v="0"/>
    <n v="0"/>
    <n v="0"/>
    <n v="45"/>
    <m/>
    <n v="45"/>
    <s v="Searching"/>
    <m/>
    <m/>
    <m/>
  </r>
  <r>
    <s v="DSCN3810"/>
    <s v="CC0503_1"/>
    <n v="1"/>
    <n v="1"/>
    <x v="4"/>
    <d v="2019-05-07T00:00:00"/>
    <s v="May"/>
    <s v="Spring"/>
    <d v="1899-12-30T00:36:00"/>
    <d v="1899-12-30T00:00:36"/>
    <x v="122"/>
    <s v="Overcast, light snow"/>
    <x v="4"/>
    <s v="Foraging"/>
    <s v="NA"/>
    <n v="1"/>
    <n v="0"/>
    <n v="0"/>
    <s v="Unknown"/>
    <s v="unknown"/>
    <s v="Ground"/>
    <s v="NA"/>
    <m/>
    <m/>
    <m/>
    <s v="NA"/>
    <s v="NA"/>
    <s v="NA"/>
    <s v="NA"/>
    <s v="NA"/>
    <s v="NA"/>
    <s v="NA"/>
    <s v="NA"/>
    <n v="0"/>
    <n v="0"/>
    <n v="0"/>
    <n v="0"/>
    <n v="36"/>
    <m/>
    <n v="36"/>
    <s v="Searching"/>
    <m/>
    <m/>
    <m/>
  </r>
  <r>
    <s v="DSCN3811"/>
    <s v="CC0503_2"/>
    <n v="2"/>
    <n v="1"/>
    <x v="4"/>
    <d v="2019-05-08T00:00:00"/>
    <s v="May"/>
    <s v="Spring"/>
    <d v="1899-12-30T00:20:00"/>
    <d v="1899-12-30T00:00:20"/>
    <x v="122"/>
    <s v="Overcast, light snow"/>
    <x v="4"/>
    <s v="Foraging"/>
    <s v="NA"/>
    <n v="1"/>
    <n v="0"/>
    <n v="0"/>
    <s v="Unknown"/>
    <s v="unknown"/>
    <s v="Ground"/>
    <s v="NA"/>
    <m/>
    <m/>
    <m/>
    <s v="NA"/>
    <s v="NA"/>
    <s v="NA"/>
    <s v="NA"/>
    <s v="NA"/>
    <s v="NA"/>
    <s v="NA"/>
    <s v="NA"/>
    <n v="0"/>
    <n v="0"/>
    <n v="0"/>
    <n v="0"/>
    <n v="20"/>
    <m/>
    <n v="20"/>
    <s v="Searching"/>
    <m/>
    <m/>
    <m/>
  </r>
  <r>
    <s v="DSCN3826"/>
    <s v="CC0503_10"/>
    <n v="10"/>
    <n v="1"/>
    <x v="4"/>
    <d v="2019-05-03T00:00:00"/>
    <s v="May"/>
    <s v="Spring"/>
    <d v="1899-12-30T00:11:00"/>
    <d v="1899-12-30T00:00:11"/>
    <x v="122"/>
    <s v="Overcast, light snow"/>
    <x v="4"/>
    <s v="Foraging"/>
    <s v="NA"/>
    <s v="unknown"/>
    <n v="0"/>
    <n v="0"/>
    <m/>
    <s v="NA"/>
    <s v="NA"/>
    <s v="NA"/>
    <m/>
    <m/>
    <m/>
    <s v="NA"/>
    <s v="NA"/>
    <s v="NA"/>
    <s v="NA"/>
    <s v="NA"/>
    <s v="NA"/>
    <s v="NA"/>
    <s v="NA"/>
    <n v="0"/>
    <n v="0"/>
    <n v="0"/>
    <n v="0"/>
    <n v="11"/>
    <m/>
    <n v="11"/>
    <s v="Searching"/>
    <m/>
    <m/>
    <m/>
  </r>
  <r>
    <s v="DSCN3828"/>
    <s v="CC0503_11"/>
    <n v="11"/>
    <n v="1"/>
    <x v="4"/>
    <d v="2019-05-03T00:00:00"/>
    <s v="May"/>
    <s v="Spring"/>
    <d v="1899-12-30T00:15:00"/>
    <d v="1899-12-30T00:00:15"/>
    <x v="122"/>
    <s v="Overcast, light snow"/>
    <x v="4"/>
    <s v="Foraging"/>
    <s v="NA"/>
    <s v="unknown"/>
    <n v="0"/>
    <n v="0"/>
    <m/>
    <s v="NA"/>
    <s v="NA"/>
    <s v="NA"/>
    <m/>
    <m/>
    <m/>
    <s v="NA"/>
    <s v="NA"/>
    <s v="NA"/>
    <s v="NA"/>
    <s v="NA"/>
    <s v="NA"/>
    <s v="NA"/>
    <s v="NA"/>
    <n v="0"/>
    <n v="0"/>
    <n v="0"/>
    <n v="0"/>
    <n v="15"/>
    <m/>
    <n v="15"/>
    <s v="Searching"/>
    <m/>
    <m/>
    <m/>
  </r>
  <r>
    <s v="DSCN3831"/>
    <s v="CC0503_12"/>
    <n v="12"/>
    <n v="1"/>
    <x v="4"/>
    <d v="2019-05-03T00:00:00"/>
    <s v="May"/>
    <s v="Spring"/>
    <d v="1899-12-30T00:34:00"/>
    <d v="1899-12-30T00:00:34"/>
    <x v="122"/>
    <s v="Overcast, light snow"/>
    <x v="4"/>
    <s v="Foraging"/>
    <s v="NA"/>
    <s v="unknown"/>
    <n v="0"/>
    <n v="0"/>
    <m/>
    <s v="NA"/>
    <s v="NA"/>
    <s v="NA"/>
    <m/>
    <m/>
    <m/>
    <s v="NA"/>
    <s v="NA"/>
    <s v="NA"/>
    <s v="NA"/>
    <s v="NA"/>
    <s v="NA"/>
    <s v="NA"/>
    <s v="NA"/>
    <n v="0"/>
    <n v="0"/>
    <n v="0"/>
    <n v="0"/>
    <n v="34"/>
    <m/>
    <n v="34"/>
    <s v="Searching"/>
    <m/>
    <m/>
    <m/>
  </r>
  <r>
    <s v="DSCN3930"/>
    <s v="M2370508_2"/>
    <n v="2"/>
    <n v="1"/>
    <x v="9"/>
    <d v="2019-05-08T00:00:00"/>
    <s v="May"/>
    <s v="Spring"/>
    <d v="1899-12-30T00:22:00"/>
    <d v="1899-12-30T00:00:22"/>
    <x v="122"/>
    <s v="Overcast"/>
    <x v="30"/>
    <s v="Foraging"/>
    <s v="NA"/>
    <n v="5"/>
    <n v="0"/>
    <n v="0"/>
    <s v="Unknown"/>
    <s v="unknown (Probably B&amp;Ugs)"/>
    <s v="Ground"/>
    <s v="NA"/>
    <m/>
    <m/>
    <m/>
    <s v="NA"/>
    <s v="NA"/>
    <s v="NA"/>
    <s v="NA"/>
    <s v="NA"/>
    <s v="NA"/>
    <s v="NA"/>
    <s v="NA"/>
    <n v="0"/>
    <n v="0"/>
    <n v="0"/>
    <n v="0"/>
    <n v="22"/>
    <m/>
    <n v="22"/>
    <s v="Searching"/>
    <m/>
    <m/>
    <m/>
  </r>
  <r>
    <s v="DSCN3929"/>
    <s v="M2370508_1"/>
    <n v="1"/>
    <n v="1"/>
    <x v="9"/>
    <d v="2019-05-08T00:00:00"/>
    <s v="May"/>
    <s v="Spring"/>
    <d v="1899-12-30T00:45:00"/>
    <d v="1899-12-30T00:00:45"/>
    <x v="122"/>
    <s v="Overcast"/>
    <x v="30"/>
    <s v="Foraging"/>
    <s v="NA"/>
    <n v="0"/>
    <n v="0"/>
    <n v="0"/>
    <m/>
    <s v="NA"/>
    <s v="NA"/>
    <s v="NA"/>
    <m/>
    <m/>
    <m/>
    <s v="NA"/>
    <s v="NA"/>
    <s v="NA"/>
    <s v="NA"/>
    <s v="NA"/>
    <s v="NA"/>
    <s v="NA"/>
    <s v="NA"/>
    <n v="0"/>
    <n v="0"/>
    <n v="0"/>
    <n v="0"/>
    <n v="45"/>
    <m/>
    <n v="45"/>
    <s v="Searching"/>
    <m/>
    <m/>
    <m/>
  </r>
  <r>
    <s v="DSCN3817"/>
    <s v="CC0503_5"/>
    <n v="5"/>
    <n v="1"/>
    <x v="4"/>
    <d v="2019-05-03T00:00:00"/>
    <s v="May"/>
    <s v="Spring"/>
    <d v="1899-12-30T00:54:00"/>
    <d v="1899-12-30T00:00:54"/>
    <x v="122"/>
    <s v="Overcast, light snow"/>
    <x v="5"/>
    <s v="Foraging"/>
    <s v="NA"/>
    <n v="1"/>
    <n v="0"/>
    <n v="0"/>
    <s v="Unknown"/>
    <s v="unknown"/>
    <s v="Ground"/>
    <s v="NA"/>
    <m/>
    <m/>
    <m/>
    <s v="NA"/>
    <s v="NA"/>
    <s v="NA"/>
    <s v="NA"/>
    <s v="NA"/>
    <s v="NA"/>
    <s v="NA"/>
    <s v="NA"/>
    <n v="0"/>
    <n v="0"/>
    <n v="0"/>
    <n v="0"/>
    <n v="54"/>
    <m/>
    <n v="54"/>
    <s v="Searching"/>
    <m/>
    <m/>
    <m/>
  </r>
  <r>
    <s v="DSCN3840"/>
    <s v="CC0503_20"/>
    <n v="20"/>
    <n v="1"/>
    <x v="4"/>
    <d v="2019-05-03T00:00:00"/>
    <s v="May"/>
    <s v="Spring"/>
    <d v="1899-12-30T00:17:00"/>
    <d v="1899-12-30T00:00:17"/>
    <x v="122"/>
    <s v="Overcast, light snow"/>
    <x v="5"/>
    <s v="Foraging"/>
    <s v="NA"/>
    <n v="1"/>
    <n v="0"/>
    <n v="0"/>
    <s v="Unknown"/>
    <s v="unknown"/>
    <s v="Ground"/>
    <s v="NA"/>
    <m/>
    <m/>
    <m/>
    <s v="NA"/>
    <s v="NA"/>
    <s v="NA"/>
    <s v="NA"/>
    <s v="NA"/>
    <s v="NA"/>
    <s v="NA"/>
    <s v="NA"/>
    <n v="0"/>
    <n v="0"/>
    <n v="0"/>
    <n v="0"/>
    <n v="17"/>
    <m/>
    <n v="17"/>
    <s v="Searching"/>
    <m/>
    <m/>
    <m/>
  </r>
  <r>
    <s v="DSCN3841"/>
    <s v="CC0503_21"/>
    <n v="21"/>
    <n v="1"/>
    <x v="4"/>
    <d v="2019-05-03T00:00:00"/>
    <s v="May"/>
    <s v="Spring"/>
    <d v="1899-12-30T00:31:00"/>
    <d v="1899-12-30T00:00:31"/>
    <x v="122"/>
    <s v="Overcast, light snow"/>
    <x v="5"/>
    <s v="Foraging"/>
    <s v="NA"/>
    <n v="1"/>
    <n v="0"/>
    <n v="0"/>
    <s v="Unknown"/>
    <s v="unknown"/>
    <s v="Ground"/>
    <s v="NA"/>
    <m/>
    <m/>
    <m/>
    <s v="NA"/>
    <s v="NA"/>
    <s v="NA"/>
    <s v="NA"/>
    <s v="NA"/>
    <s v="NA"/>
    <s v="NA"/>
    <s v="NA"/>
    <n v="0"/>
    <n v="0"/>
    <n v="0"/>
    <n v="0"/>
    <n v="31"/>
    <m/>
    <n v="31"/>
    <s v="Searching"/>
    <m/>
    <m/>
    <m/>
  </r>
  <r>
    <s v="DSCN3869"/>
    <s v="CC0506_1"/>
    <n v="1"/>
    <n v="1"/>
    <x v="4"/>
    <d v="2019-05-06T00:00:00"/>
    <s v="May"/>
    <s v="Spring"/>
    <d v="1899-12-30T00:24:00"/>
    <d v="1899-12-30T00:00:24"/>
    <x v="122"/>
    <s v="Mostly cloudy"/>
    <x v="5"/>
    <s v="Foraging"/>
    <s v="NA"/>
    <n v="0"/>
    <n v="0"/>
    <n v="0"/>
    <m/>
    <s v="NA"/>
    <s v="NA"/>
    <s v="NA"/>
    <m/>
    <m/>
    <m/>
    <s v="NA"/>
    <s v="NA"/>
    <s v="NA"/>
    <s v="NA"/>
    <s v="NA"/>
    <s v="NA"/>
    <s v="NA"/>
    <s v="NA"/>
    <n v="0"/>
    <n v="0"/>
    <n v="0"/>
    <n v="0"/>
    <n v="24"/>
    <m/>
    <n v="24"/>
    <s v="Searching"/>
    <m/>
    <m/>
    <m/>
  </r>
  <r>
    <s v="DSCN3824"/>
    <s v="CC0503_8"/>
    <n v="8"/>
    <n v="1"/>
    <x v="4"/>
    <d v="2019-05-03T00:00:00"/>
    <s v="May"/>
    <s v="Spring"/>
    <d v="1899-12-30T00:48:00"/>
    <d v="1899-12-30T00:00:48"/>
    <x v="122"/>
    <s v="Overcast, light snow"/>
    <x v="5"/>
    <s v="Foraging"/>
    <s v="NA"/>
    <s v="unknown"/>
    <n v="0"/>
    <n v="0"/>
    <m/>
    <s v="NA"/>
    <s v="NA"/>
    <s v="NA"/>
    <m/>
    <m/>
    <m/>
    <s v="NA"/>
    <s v="NA"/>
    <s v="NA"/>
    <s v="NA"/>
    <s v="NA"/>
    <s v="NA"/>
    <s v="NA"/>
    <s v="NA"/>
    <n v="0"/>
    <n v="0"/>
    <n v="0"/>
    <n v="0"/>
    <n v="20"/>
    <m/>
    <n v="20"/>
    <s v="Searching"/>
    <m/>
    <m/>
    <m/>
  </r>
  <r>
    <s v="DSCN3825"/>
    <s v="CC0503_9"/>
    <n v="9"/>
    <n v="1"/>
    <x v="4"/>
    <d v="2019-05-03T00:00:00"/>
    <s v="May"/>
    <s v="Spring"/>
    <d v="1899-12-30T00:07:00"/>
    <d v="1899-12-30T00:00:07"/>
    <x v="122"/>
    <s v="Overcast, light snow"/>
    <x v="5"/>
    <s v="Foraging"/>
    <s v="NA"/>
    <s v="unknown"/>
    <n v="0"/>
    <n v="0"/>
    <m/>
    <s v="NA"/>
    <s v="NA"/>
    <s v="NA"/>
    <m/>
    <m/>
    <m/>
    <s v="NA"/>
    <s v="NA"/>
    <s v="NA"/>
    <s v="NA"/>
    <s v="NA"/>
    <s v="NA"/>
    <s v="NA"/>
    <s v="NA"/>
    <n v="0"/>
    <n v="0"/>
    <n v="0"/>
    <n v="0"/>
    <n v="7"/>
    <m/>
    <n v="7"/>
    <s v="Searching"/>
    <m/>
    <m/>
    <m/>
  </r>
  <r>
    <s v="DSCN3842"/>
    <s v="CC0503_22"/>
    <n v="22"/>
    <n v="1"/>
    <x v="4"/>
    <d v="2019-05-03T00:00:00"/>
    <s v="May"/>
    <s v="Spring"/>
    <d v="1899-12-30T01:39:00"/>
    <d v="1899-12-30T00:01:39"/>
    <x v="122"/>
    <s v="Overcast, light snow"/>
    <x v="5"/>
    <s v="Foraging"/>
    <s v="NA"/>
    <s v="unknown"/>
    <n v="0"/>
    <n v="0"/>
    <m/>
    <s v="NA"/>
    <s v="NA"/>
    <s v="NA"/>
    <m/>
    <m/>
    <m/>
    <s v="NA"/>
    <s v="NA"/>
    <s v="NA"/>
    <s v="NA"/>
    <s v="NA"/>
    <s v="NA"/>
    <s v="NA"/>
    <s v="NA"/>
    <n v="0"/>
    <n v="0"/>
    <n v="0"/>
    <n v="0"/>
    <n v="99"/>
    <m/>
    <n v="99"/>
    <s v="Searching"/>
    <m/>
    <m/>
    <m/>
  </r>
  <r>
    <s v="DSCN3777"/>
    <s v="B&amp;U0502_1"/>
    <n v="1"/>
    <n v="1"/>
    <x v="5"/>
    <d v="2019-05-02T00:00:00"/>
    <s v="May"/>
    <s v="Spring"/>
    <d v="1899-12-30T00:20:00"/>
    <d v="1899-12-30T00:00:20"/>
    <x v="122"/>
    <s v="Mostly cloudy"/>
    <x v="6"/>
    <s v="Foraging"/>
    <s v="Spruce"/>
    <n v="1"/>
    <n v="1"/>
    <n v="0"/>
    <s v="Unknown"/>
    <s v="unknown"/>
    <s v="Interior spruce foliage "/>
    <s v="NA"/>
    <m/>
    <m/>
    <m/>
    <s v="NA"/>
    <s v="NA"/>
    <s v="NA"/>
    <s v="NA"/>
    <s v="NA"/>
    <n v="63.726010000000002"/>
    <n v="148.95821000000001"/>
    <s v="NA"/>
    <n v="0"/>
    <n v="0"/>
    <n v="0"/>
    <n v="0"/>
    <n v="0"/>
    <m/>
    <n v="0"/>
    <m/>
    <s v="Missed initial acquisition"/>
    <m/>
    <m/>
  </r>
  <r>
    <s v="DSCN3861"/>
    <s v="B&amp;U0505_3"/>
    <n v="3"/>
    <n v="1"/>
    <x v="5"/>
    <d v="2019-05-05T00:00:00"/>
    <s v="May"/>
    <s v="Spring"/>
    <d v="1899-12-30T00:58:00"/>
    <d v="1899-12-30T00:00:58"/>
    <x v="122"/>
    <s v="Mostly cloudy"/>
    <x v="6"/>
    <s v="Foraging"/>
    <s v="NA"/>
    <n v="1"/>
    <n v="0"/>
    <n v="0"/>
    <s v="Unknown"/>
    <s v="unknown"/>
    <s v="Ground"/>
    <s v="NA"/>
    <m/>
    <m/>
    <m/>
    <s v="NA"/>
    <s v="NA"/>
    <s v="NA"/>
    <s v="NA"/>
    <s v="NA"/>
    <s v="NA"/>
    <s v="NA"/>
    <s v="NA"/>
    <n v="0"/>
    <n v="0"/>
    <n v="0"/>
    <n v="0"/>
    <n v="54"/>
    <m/>
    <n v="54"/>
    <s v="Searching"/>
    <s v="We could not find a cache"/>
    <m/>
    <m/>
  </r>
  <r>
    <s v="DSCN3779"/>
    <s v="B&amp;U0502_2"/>
    <n v="2"/>
    <n v="1"/>
    <x v="5"/>
    <d v="2019-05-02T00:00:00"/>
    <s v="May"/>
    <s v="Spring"/>
    <d v="1899-12-30T01:48:00"/>
    <d v="1899-12-30T00:01:48"/>
    <x v="122"/>
    <s v="Mostly cloudy"/>
    <x v="6"/>
    <s v="Foraging"/>
    <s v="NA"/>
    <s v="unknown"/>
    <n v="0"/>
    <n v="0"/>
    <m/>
    <s v="NA"/>
    <s v="NA"/>
    <s v="NA"/>
    <m/>
    <m/>
    <m/>
    <s v="NA"/>
    <s v="NA"/>
    <s v="NA"/>
    <s v="NA"/>
    <s v="NA"/>
    <s v="NA"/>
    <s v="NA"/>
    <s v="NA"/>
    <n v="0"/>
    <n v="0"/>
    <n v="0"/>
    <n v="0"/>
    <n v="73"/>
    <m/>
    <n v="73"/>
    <s v="Searching"/>
    <m/>
    <m/>
    <m/>
  </r>
  <r>
    <s v="DSCN3862"/>
    <s v="B&amp;U0505_4"/>
    <n v="4"/>
    <n v="1"/>
    <x v="5"/>
    <d v="2019-05-05T00:00:00"/>
    <s v="May"/>
    <s v="Spring"/>
    <d v="1899-12-30T00:34:00"/>
    <d v="1899-12-30T00:00:34"/>
    <x v="122"/>
    <s v="Mostly cloudy"/>
    <x v="6"/>
    <s v="Foraging"/>
    <s v="NA"/>
    <s v="unknown"/>
    <n v="0"/>
    <n v="0"/>
    <m/>
    <s v="NA"/>
    <s v="NA"/>
    <s v="NA"/>
    <m/>
    <m/>
    <m/>
    <s v="NA"/>
    <s v="NA"/>
    <s v="NA"/>
    <s v="NA"/>
    <s v="NA"/>
    <s v="NA"/>
    <s v="NA"/>
    <s v="NA"/>
    <n v="0"/>
    <n v="0"/>
    <n v="0"/>
    <n v="0"/>
    <n v="34"/>
    <m/>
    <n v="34"/>
    <s v="Searching"/>
    <m/>
    <m/>
    <m/>
  </r>
  <r>
    <s v="DSCN3863"/>
    <s v="B&amp;U0505_5"/>
    <n v="5"/>
    <n v="1"/>
    <x v="5"/>
    <d v="2019-05-05T00:00:00"/>
    <s v="May"/>
    <s v="Spring"/>
    <d v="1899-12-30T00:18:00"/>
    <d v="1899-12-30T00:00:18"/>
    <x v="122"/>
    <s v="Mostly cloudy"/>
    <x v="6"/>
    <s v="Foraging"/>
    <s v="NA"/>
    <s v="unknown"/>
    <n v="0"/>
    <n v="0"/>
    <m/>
    <s v="NA"/>
    <s v="NA"/>
    <s v="NA"/>
    <m/>
    <m/>
    <m/>
    <s v="NA"/>
    <s v="NA"/>
    <s v="NA"/>
    <s v="NA"/>
    <s v="NA"/>
    <s v="NA"/>
    <s v="NA"/>
    <s v="NA"/>
    <n v="0"/>
    <n v="0"/>
    <n v="0"/>
    <n v="0"/>
    <n v="18"/>
    <m/>
    <n v="18"/>
    <s v="Searching"/>
    <m/>
    <m/>
    <m/>
  </r>
  <r>
    <s v="DSCN3864"/>
    <s v="B&amp;U0505_6"/>
    <n v="6"/>
    <n v="1"/>
    <x v="5"/>
    <d v="2019-05-05T00:00:00"/>
    <s v="May"/>
    <s v="Spring"/>
    <d v="1899-12-30T00:38:00"/>
    <d v="1899-12-30T00:00:38"/>
    <x v="122"/>
    <s v="Mostly cloudy"/>
    <x v="6"/>
    <s v="Foraging"/>
    <s v="NA"/>
    <s v="unknown"/>
    <n v="0"/>
    <n v="0"/>
    <m/>
    <s v="NA"/>
    <s v="NA"/>
    <s v="NA"/>
    <m/>
    <m/>
    <m/>
    <s v="NA"/>
    <s v="NA"/>
    <s v="NA"/>
    <s v="NA"/>
    <s v="NA"/>
    <s v="NA"/>
    <s v="NA"/>
    <s v="NA"/>
    <n v="0"/>
    <n v="0"/>
    <n v="0"/>
    <n v="0"/>
    <n v="38"/>
    <m/>
    <n v="38"/>
    <s v="Searching"/>
    <m/>
    <m/>
    <m/>
  </r>
  <r>
    <s v="DSCN3768"/>
    <s v="TC0502_1"/>
    <n v="1"/>
    <n v="1"/>
    <x v="15"/>
    <d v="2019-05-02T00:00:00"/>
    <s v="May"/>
    <s v="Spring"/>
    <d v="1899-12-30T00:08:00"/>
    <d v="1899-12-30T00:00:08"/>
    <x v="122"/>
    <s v="Mostly cloudy"/>
    <x v="31"/>
    <s v="Foraging"/>
    <s v="NA"/>
    <n v="1"/>
    <n v="0"/>
    <n v="0"/>
    <s v="Unknown"/>
    <s v="unknown"/>
    <s v="NA"/>
    <s v="NA"/>
    <m/>
    <m/>
    <m/>
    <s v="NA"/>
    <s v="NA"/>
    <s v="NA"/>
    <s v="NA"/>
    <s v="NA"/>
    <s v="NA"/>
    <s v="NA"/>
    <s v="NA"/>
    <n v="0"/>
    <n v="0"/>
    <n v="0"/>
    <n v="0"/>
    <n v="8"/>
    <m/>
    <n v="8"/>
    <s v="Searching"/>
    <m/>
    <m/>
    <m/>
  </r>
  <r>
    <s v="DSCN3774"/>
    <s v="TC0502_4"/>
    <n v="4"/>
    <n v="1"/>
    <x v="15"/>
    <d v="2019-05-02T00:00:00"/>
    <s v="May"/>
    <s v="Spring"/>
    <d v="1899-12-30T00:39:00"/>
    <d v="1899-12-30T00:00:39"/>
    <x v="122"/>
    <s v="Mostly cloudy"/>
    <x v="31"/>
    <s v="Caching"/>
    <s v="Spruce"/>
    <n v="0"/>
    <n v="0"/>
    <n v="1"/>
    <s v="Insect"/>
    <s v="Insect (Black caterpiller)"/>
    <s v="NA"/>
    <s v="Exterior spruce branch under witch hair"/>
    <s v="Spruce"/>
    <s v="Exterior"/>
    <s v="Under witchhair"/>
    <s v="NW"/>
    <n v="220"/>
    <n v="20"/>
    <n v="63.733550000000001"/>
    <n v="148.90380999999999"/>
    <s v="NA"/>
    <s v="NA"/>
    <s v="NA"/>
    <n v="0"/>
    <n v="0"/>
    <n v="0"/>
    <n v="0"/>
    <n v="0"/>
    <m/>
    <n v="0"/>
    <m/>
    <m/>
    <m/>
    <m/>
  </r>
  <r>
    <s v="DSCN3774"/>
    <s v="TC0502_4"/>
    <n v="4"/>
    <n v="2"/>
    <x v="15"/>
    <d v="2019-05-02T00:00:00"/>
    <s v="May"/>
    <s v="Spring"/>
    <d v="1899-12-30T00:39:00"/>
    <d v="1899-12-30T00:00:39"/>
    <x v="122"/>
    <s v="Mostly cloudy"/>
    <x v="31"/>
    <s v="Caching"/>
    <s v="Spruce"/>
    <n v="0"/>
    <n v="0"/>
    <n v="1"/>
    <s v="Insect"/>
    <s v="Insect (Black caterpiller)"/>
    <s v="NA"/>
    <s v="Exterior spruce branch under witch hair"/>
    <s v="Spruce"/>
    <s v="Exterior"/>
    <s v="Under witchhair"/>
    <s v="NW"/>
    <n v="240"/>
    <n v="20"/>
    <n v="63.733550000000001"/>
    <n v="148.90380999999999"/>
    <s v="NA"/>
    <s v="NA"/>
    <s v="NA"/>
    <n v="0"/>
    <n v="0"/>
    <n v="0"/>
    <n v="0"/>
    <n v="0"/>
    <m/>
    <n v="0"/>
    <m/>
    <s v="Different tree from first cache B&amp;Ut same GPS"/>
    <m/>
    <m/>
  </r>
  <r>
    <s v="DSCN3772"/>
    <s v="TC0502_3"/>
    <n v="3"/>
    <n v="1"/>
    <x v="15"/>
    <d v="2019-05-02T00:00:00"/>
    <s v="May"/>
    <s v="Spring"/>
    <d v="1899-12-30T00:21:00"/>
    <d v="1899-12-30T00:00:21"/>
    <x v="122"/>
    <s v="Mostly cloudy"/>
    <x v="31"/>
    <s v="Food handling"/>
    <s v="NA"/>
    <n v="1"/>
    <n v="0"/>
    <n v="0"/>
    <s v="Insect"/>
    <s v="Insect (Black caterpiller)"/>
    <s v="Ground"/>
    <s v="NA"/>
    <m/>
    <m/>
    <m/>
    <s v="NA"/>
    <s v="NA"/>
    <s v="NA"/>
    <s v="NA"/>
    <s v="NA"/>
    <s v="NA"/>
    <s v="NA"/>
    <s v="NA"/>
    <n v="0"/>
    <n v="0"/>
    <n v="0"/>
    <n v="0"/>
    <n v="0"/>
    <m/>
    <n v="0"/>
    <s v="Searching"/>
    <s v="Missed initial acquisition"/>
    <m/>
    <m/>
  </r>
  <r>
    <s v="DSCN3768"/>
    <s v="TC0502_2"/>
    <n v="2"/>
    <n v="1"/>
    <x v="15"/>
    <d v="2019-05-02T00:00:00"/>
    <s v="May"/>
    <s v="Spring"/>
    <d v="1899-12-30T00:15:00"/>
    <d v="1899-12-30T00:00:15"/>
    <x v="122"/>
    <s v="Mostly cloudy"/>
    <x v="31"/>
    <s v="Foraging"/>
    <s v="NA"/>
    <n v="0"/>
    <n v="0"/>
    <n v="0"/>
    <s v="Unknown"/>
    <s v="unknown"/>
    <s v="NA"/>
    <s v="NA"/>
    <m/>
    <m/>
    <m/>
    <s v="NA"/>
    <s v="NA"/>
    <s v="NA"/>
    <s v="NA"/>
    <s v="NA"/>
    <s v="NA"/>
    <s v="NA"/>
    <s v="NA"/>
    <n v="0"/>
    <n v="0"/>
    <n v="0"/>
    <n v="0"/>
    <n v="7"/>
    <m/>
    <n v="7"/>
    <s v="Searching"/>
    <m/>
    <m/>
    <m/>
  </r>
  <r>
    <s v="DSCN3899"/>
    <s v="MC0506_10"/>
    <n v="10"/>
    <n v="1"/>
    <x v="2"/>
    <d v="2019-05-06T00:00:00"/>
    <s v="May"/>
    <s v="Spring"/>
    <d v="1899-12-30T00:12:00"/>
    <d v="1899-12-30T00:00:12"/>
    <x v="122"/>
    <s v="Mostly cloudy"/>
    <x v="13"/>
    <s v="Foraging"/>
    <s v="Spruce"/>
    <n v="1"/>
    <s v="unknown"/>
    <n v="0"/>
    <s v="Unknown"/>
    <s v="unknown"/>
    <s v="Interior spruce dense twigs"/>
    <s v="NA"/>
    <m/>
    <m/>
    <m/>
    <s v="NA"/>
    <s v="NA"/>
    <s v="NA"/>
    <s v="NA"/>
    <s v="NA"/>
    <s v="NA"/>
    <s v="NA"/>
    <s v="NA"/>
    <n v="0"/>
    <n v="0"/>
    <n v="0"/>
    <n v="0"/>
    <n v="0"/>
    <m/>
    <n v="0"/>
    <m/>
    <s v="Missed initial acquisition"/>
    <m/>
    <m/>
  </r>
  <r>
    <s v="DSCN3902"/>
    <s v="MC0506_13"/>
    <n v="13"/>
    <n v="1"/>
    <x v="2"/>
    <d v="2019-05-06T00:00:00"/>
    <s v="May"/>
    <s v="Spring"/>
    <d v="1899-12-30T00:13:00"/>
    <d v="1899-12-30T00:00:13"/>
    <x v="122"/>
    <s v="Mostly cloudy"/>
    <x v="13"/>
    <s v="Caching"/>
    <s v="Spruce"/>
    <n v="0"/>
    <n v="0"/>
    <n v="1"/>
    <s v="Insect"/>
    <s v="Insect (Black caterpiller)"/>
    <s v="NA"/>
    <s v="Interior spruce foliage"/>
    <s v="Spruce"/>
    <s v="Interior"/>
    <s v="Foliage"/>
    <s v="E"/>
    <n v="95"/>
    <n v="21"/>
    <n v="63.736319999999999"/>
    <n v="148.90260000000001"/>
    <s v="NA"/>
    <s v="NA"/>
    <s v="NA"/>
    <n v="0"/>
    <n v="0"/>
    <n v="0"/>
    <n v="0"/>
    <n v="0"/>
    <m/>
    <n v="0"/>
    <m/>
    <s v="Deployed camera on cache site"/>
    <m/>
    <m/>
  </r>
  <r>
    <s v="DSCN3903"/>
    <s v="MC0506_14"/>
    <n v="14"/>
    <n v="1"/>
    <x v="2"/>
    <d v="2019-05-06T00:00:00"/>
    <s v="May"/>
    <s v="Spring"/>
    <d v="1899-12-30T00:10:00"/>
    <d v="1899-12-30T00:00:10"/>
    <x v="122"/>
    <s v="Mostly cloudy"/>
    <x v="13"/>
    <s v="Caching"/>
    <s v="Spruce"/>
    <n v="1"/>
    <n v="0"/>
    <n v="1"/>
    <s v="Insect"/>
    <s v="Insect (caterpiller)"/>
    <s v="unknown"/>
    <s v="Exterior spruce branch on bark"/>
    <s v="Spruce"/>
    <s v="Exterior"/>
    <s v="On branch"/>
    <s v="NE"/>
    <n v="39"/>
    <s v="unknown"/>
    <n v="63.736240000000002"/>
    <n v="148.90282999999999"/>
    <s v="NA"/>
    <s v="NA"/>
    <s v="NA"/>
    <n v="0"/>
    <n v="0"/>
    <n v="0"/>
    <n v="0"/>
    <n v="0"/>
    <m/>
    <n v="0"/>
    <m/>
    <s v="Deployed camera on cache site"/>
    <m/>
    <m/>
  </r>
  <r>
    <s v="DSCN3901"/>
    <s v="MC0506_12"/>
    <n v="12"/>
    <n v="1"/>
    <x v="2"/>
    <d v="2019-05-06T00:00:00"/>
    <s v="May"/>
    <s v="Spring"/>
    <d v="1899-12-30T00:54:00"/>
    <d v="1899-12-30T00:00:54"/>
    <x v="122"/>
    <s v="Mostly cloudy"/>
    <x v="13"/>
    <s v="Foraging"/>
    <s v="NA"/>
    <n v="1"/>
    <n v="0"/>
    <n v="0"/>
    <s v="Insect"/>
    <s v="Insect (Black caterpiller)"/>
    <s v="NA"/>
    <s v="NA"/>
    <m/>
    <m/>
    <m/>
    <s v="NA"/>
    <s v="NA"/>
    <s v="NA"/>
    <s v="NA"/>
    <s v="NA"/>
    <s v="NA"/>
    <s v="NA"/>
    <s v="NA"/>
    <n v="0"/>
    <n v="0"/>
    <n v="0"/>
    <n v="0"/>
    <n v="54"/>
    <m/>
    <n v="54"/>
    <s v="Searching"/>
    <m/>
    <m/>
    <m/>
  </r>
  <r>
    <s v="DSCN3900"/>
    <s v="MC0506_11"/>
    <n v="11"/>
    <n v="1"/>
    <x v="2"/>
    <d v="2019-05-06T00:00:00"/>
    <s v="May"/>
    <s v="Spring"/>
    <d v="1899-12-30T00:15:00"/>
    <d v="1899-12-30T00:00:15"/>
    <x v="122"/>
    <s v="Mostly cloudy"/>
    <x v="13"/>
    <s v="Foraging"/>
    <s v="NA"/>
    <s v="unknown"/>
    <n v="0"/>
    <n v="0"/>
    <m/>
    <s v="NA"/>
    <s v="NA"/>
    <s v="NA"/>
    <m/>
    <m/>
    <m/>
    <s v="NA"/>
    <s v="NA"/>
    <s v="NA"/>
    <s v="NA"/>
    <s v="NA"/>
    <s v="NA"/>
    <s v="NA"/>
    <s v="NA"/>
    <n v="0"/>
    <n v="0"/>
    <n v="0"/>
    <n v="0"/>
    <n v="15"/>
    <m/>
    <n v="15"/>
    <s v="Searching"/>
    <m/>
    <m/>
    <m/>
  </r>
  <r>
    <s v="DSCN3785"/>
    <s v="B&amp;U0502_6"/>
    <n v="6"/>
    <n v="1"/>
    <x v="5"/>
    <d v="2019-05-02T00:00:00"/>
    <s v="May"/>
    <s v="Spring"/>
    <d v="1899-12-30T00:15:00"/>
    <d v="1899-12-30T00:00:15"/>
    <x v="122"/>
    <s v="Mostly cloudy"/>
    <x v="14"/>
    <s v="Foraging"/>
    <s v="Spruce"/>
    <n v="1"/>
    <n v="0"/>
    <n v="0"/>
    <s v="Insect"/>
    <s v="Insect"/>
    <s v="Exterior spruce"/>
    <s v="NA"/>
    <m/>
    <m/>
    <m/>
    <s v="NA"/>
    <s v="NA"/>
    <s v="NA"/>
    <s v="NA"/>
    <s v="NA"/>
    <s v="NA"/>
    <s v="NA"/>
    <s v="NA"/>
    <n v="0"/>
    <n v="5"/>
    <n v="0"/>
    <n v="5"/>
    <n v="5"/>
    <m/>
    <n v="10"/>
    <s v="Fly catching/Searching"/>
    <s v="Wacthed her leap up and grab something so assuming it was an insect based on her behavior.  "/>
    <m/>
    <m/>
  </r>
  <r>
    <s v="DSCN3909"/>
    <s v="B&amp;U0508_3"/>
    <n v="3"/>
    <n v="1"/>
    <x v="5"/>
    <d v="2019-05-08T00:00:00"/>
    <s v="May"/>
    <s v="Spring"/>
    <d v="1899-12-30T00:45:00"/>
    <d v="1899-12-30T00:00:45"/>
    <x v="122"/>
    <s v="Overcast, light rain"/>
    <x v="14"/>
    <s v="Foraging"/>
    <s v="NA"/>
    <n v="1"/>
    <n v="0"/>
    <n v="0"/>
    <s v="Unknown"/>
    <s v="unknown"/>
    <s v="Ground"/>
    <s v="NA"/>
    <m/>
    <m/>
    <m/>
    <s v="NA"/>
    <s v="NA"/>
    <s v="NA"/>
    <s v="NA"/>
    <s v="NA"/>
    <s v="NA"/>
    <s v="NA"/>
    <s v="NA"/>
    <n v="0"/>
    <n v="0"/>
    <n v="0"/>
    <n v="0"/>
    <n v="45"/>
    <m/>
    <n v="45"/>
    <s v="Searching"/>
    <m/>
    <m/>
    <m/>
  </r>
  <r>
    <s v="DSCN3907"/>
    <s v="B&amp;U0508_2"/>
    <n v="2"/>
    <n v="1"/>
    <x v="5"/>
    <d v="2019-05-08T00:00:00"/>
    <s v="May"/>
    <s v="Spring"/>
    <d v="1899-12-30T00:11:00"/>
    <d v="1899-12-30T00:00:11"/>
    <x v="122"/>
    <s v="Overcast, light rain"/>
    <x v="14"/>
    <s v="Foraging"/>
    <s v="NA"/>
    <n v="0"/>
    <n v="0"/>
    <n v="0"/>
    <m/>
    <s v="NA"/>
    <s v="NA"/>
    <s v="NA"/>
    <m/>
    <m/>
    <m/>
    <s v="NA"/>
    <s v="NA"/>
    <s v="NA"/>
    <s v="NA"/>
    <s v="NA"/>
    <s v="NA"/>
    <s v="NA"/>
    <s v="NA"/>
    <n v="0"/>
    <n v="0"/>
    <n v="0"/>
    <m/>
    <n v="11"/>
    <m/>
    <n v="11"/>
    <s v="Searching"/>
    <m/>
    <m/>
    <m/>
  </r>
  <r>
    <s v="DSCN3782"/>
    <s v="B&amp;U0502_3"/>
    <n v="3"/>
    <n v="1"/>
    <x v="5"/>
    <d v="2019-05-02T00:00:00"/>
    <s v="May"/>
    <s v="Spring"/>
    <d v="1899-12-30T00:56:00"/>
    <d v="1899-12-30T00:00:56"/>
    <x v="122"/>
    <s v="Mostly cloudy"/>
    <x v="14"/>
    <s v="Foraging/caching"/>
    <s v="Spruce"/>
    <s v="unknown"/>
    <n v="0"/>
    <n v="1"/>
    <s v="Unknown"/>
    <s v="unknown"/>
    <s v="unknown"/>
    <s v="interior bare spruce"/>
    <s v="Spruce"/>
    <s v="Interior"/>
    <s v="On branch"/>
    <s v="NE"/>
    <n v="32"/>
    <s v="unknown"/>
    <n v="63.72598"/>
    <n v="148.96046000000001"/>
    <s v="NA"/>
    <s v="NA"/>
    <s v="NA"/>
    <n v="0"/>
    <n v="0"/>
    <n v="0"/>
    <n v="0"/>
    <n v="54"/>
    <m/>
    <n v="54"/>
    <s v="Searching"/>
    <s v="Deployed camera. Insect suspended from witch hair on underside of twig"/>
    <m/>
    <m/>
  </r>
  <r>
    <s v="DSCN3858"/>
    <s v="B&amp;U0505_2"/>
    <n v="2"/>
    <n v="1"/>
    <x v="5"/>
    <d v="2019-05-05T00:00:00"/>
    <s v="May"/>
    <s v="Spring"/>
    <d v="1899-12-30T00:48:00"/>
    <d v="1899-12-30T00:00:48"/>
    <x v="122"/>
    <s v="Mostly cloudy"/>
    <x v="14"/>
    <s v="Foraging/caching"/>
    <s v="NA"/>
    <s v="unknown"/>
    <n v="0"/>
    <n v="1"/>
    <s v="Insect"/>
    <s v="Insect (caterpiller)"/>
    <s v="unknown"/>
    <s v="Interior spruce branch in witch hair"/>
    <s v="Spruce"/>
    <s v="Interior"/>
    <s v="Under witchhair"/>
    <s v="N"/>
    <n v="355"/>
    <s v="unknown"/>
    <n v="63.72616"/>
    <n v="148.96205"/>
    <s v="NA"/>
    <s v="NA"/>
    <s v="NA"/>
    <n v="0"/>
    <n v="0"/>
    <n v="0"/>
    <n v="0"/>
    <n v="44"/>
    <m/>
    <n v="44"/>
    <s v="Searching"/>
    <m/>
    <m/>
    <m/>
  </r>
  <r>
    <s v="DSCN3783"/>
    <s v="B&amp;U0502_4"/>
    <n v="4"/>
    <n v="1"/>
    <x v="5"/>
    <d v="2019-05-02T00:00:00"/>
    <s v="May"/>
    <s v="Spring"/>
    <d v="1899-12-30T00:40:00"/>
    <d v="1899-12-30T00:00:40"/>
    <x v="122"/>
    <s v="Mostly cloudy"/>
    <x v="14"/>
    <s v="Foraging"/>
    <s v="NA"/>
    <s v="unknown"/>
    <n v="0"/>
    <n v="0"/>
    <m/>
    <s v="NA"/>
    <s v="NA"/>
    <s v="NA"/>
    <m/>
    <m/>
    <m/>
    <s v="NA"/>
    <s v="NA"/>
    <s v="NA"/>
    <s v="NA"/>
    <s v="NA"/>
    <s v="NA"/>
    <s v="NA"/>
    <s v="NA"/>
    <n v="0"/>
    <n v="0"/>
    <n v="0"/>
    <n v="0"/>
    <n v="40"/>
    <m/>
    <n v="40"/>
    <s v="Searching"/>
    <m/>
    <m/>
    <m/>
  </r>
  <r>
    <s v="DSCN3784"/>
    <s v="B&amp;U0502_5"/>
    <n v="5"/>
    <n v="1"/>
    <x v="5"/>
    <d v="2019-05-02T00:00:00"/>
    <s v="May"/>
    <s v="Spring"/>
    <d v="1899-12-30T00:43:00"/>
    <d v="1899-12-30T00:00:43"/>
    <x v="122"/>
    <s v="Mostly cloudy"/>
    <x v="14"/>
    <s v="Foraging"/>
    <s v="NA"/>
    <s v="unknown"/>
    <n v="0"/>
    <n v="0"/>
    <m/>
    <s v="NA"/>
    <s v="NA"/>
    <s v="NA"/>
    <m/>
    <m/>
    <m/>
    <s v="NA"/>
    <s v="NA"/>
    <s v="NA"/>
    <s v="NA"/>
    <s v="NA"/>
    <s v="NA"/>
    <s v="NA"/>
    <s v="NA"/>
    <n v="0"/>
    <n v="0"/>
    <n v="0"/>
    <n v="0"/>
    <n v="43"/>
    <m/>
    <n v="43"/>
    <s v="Searching"/>
    <m/>
    <m/>
    <m/>
  </r>
  <r>
    <s v="DSCN3857"/>
    <s v="B&amp;U0505_1"/>
    <n v="1"/>
    <n v="1"/>
    <x v="5"/>
    <d v="2019-05-05T00:00:00"/>
    <s v="May"/>
    <s v="Spring"/>
    <d v="1899-12-30T00:49:00"/>
    <d v="1899-12-30T00:00:49"/>
    <x v="122"/>
    <s v="Mostly cloudy"/>
    <x v="14"/>
    <s v="Foraging"/>
    <s v="NA"/>
    <s v="unknown"/>
    <n v="0"/>
    <n v="0"/>
    <m/>
    <s v="NA"/>
    <s v="NA"/>
    <s v="NA"/>
    <m/>
    <m/>
    <m/>
    <s v="NA"/>
    <s v="NA"/>
    <s v="NA"/>
    <s v="NA"/>
    <s v="NA"/>
    <s v="NA"/>
    <s v="NA"/>
    <s v="NA"/>
    <n v="0"/>
    <n v="0"/>
    <n v="0"/>
    <n v="0"/>
    <n v="49"/>
    <m/>
    <n v="49"/>
    <s v="Searching"/>
    <m/>
    <m/>
    <m/>
  </r>
  <r>
    <s v="DSCN3906"/>
    <s v="B&amp;U0508_1"/>
    <n v="1"/>
    <n v="1"/>
    <x v="5"/>
    <d v="2019-05-08T00:00:00"/>
    <s v="May"/>
    <s v="Spring"/>
    <d v="1899-12-30T00:27:00"/>
    <d v="1899-12-30T00:00:27"/>
    <x v="122"/>
    <s v="Overcast, light rain"/>
    <x v="14"/>
    <s v="Foraging"/>
    <s v="NA"/>
    <s v="unknown"/>
    <n v="0"/>
    <n v="0"/>
    <m/>
    <s v="NA"/>
    <s v="NA"/>
    <s v="NA"/>
    <m/>
    <m/>
    <m/>
    <s v="NA"/>
    <s v="NA"/>
    <s v="NA"/>
    <s v="NA"/>
    <s v="NA"/>
    <s v="NA"/>
    <s v="NA"/>
    <s v="NA"/>
    <n v="0"/>
    <n v="0"/>
    <n v="0"/>
    <n v="0"/>
    <n v="27"/>
    <m/>
    <n v="27"/>
    <s v="Searching"/>
    <m/>
    <m/>
    <m/>
  </r>
  <r>
    <s v="DSCN3912"/>
    <s v="B&amp;U0508_4"/>
    <n v="4"/>
    <n v="1"/>
    <x v="5"/>
    <d v="2019-05-08T00:00:00"/>
    <s v="May"/>
    <s v="Spring"/>
    <d v="1899-12-30T00:13:00"/>
    <d v="1899-12-30T00:00:13"/>
    <x v="122"/>
    <s v="Overcast, light rain"/>
    <x v="14"/>
    <s v="Foraging"/>
    <s v="NA"/>
    <s v="unknown"/>
    <n v="0"/>
    <n v="0"/>
    <m/>
    <s v="NA"/>
    <s v="NA"/>
    <s v="NA"/>
    <m/>
    <m/>
    <m/>
    <s v="NA"/>
    <s v="NA"/>
    <s v="NA"/>
    <s v="NA"/>
    <s v="NA"/>
    <s v="NA"/>
    <s v="NA"/>
    <s v="NA"/>
    <n v="0"/>
    <n v="0"/>
    <n v="0"/>
    <n v="0"/>
    <n v="13"/>
    <m/>
    <n v="13"/>
    <s v="Searching"/>
    <m/>
    <m/>
    <m/>
  </r>
  <r>
    <s v="DSCN3913"/>
    <s v="B&amp;U0508_5"/>
    <n v="5"/>
    <n v="1"/>
    <x v="5"/>
    <d v="2019-05-08T00:00:00"/>
    <s v="May"/>
    <s v="Spring"/>
    <d v="1899-12-30T01:04:00"/>
    <d v="1899-12-30T00:01:04"/>
    <x v="122"/>
    <s v="Overcast, light rain"/>
    <x v="14"/>
    <s v="Foraging"/>
    <s v="NA"/>
    <s v="unknown"/>
    <n v="0"/>
    <n v="0"/>
    <m/>
    <s v="NA"/>
    <s v="NA"/>
    <s v="NA"/>
    <m/>
    <m/>
    <m/>
    <s v="NA"/>
    <s v="NA"/>
    <s v="NA"/>
    <s v="NA"/>
    <s v="NA"/>
    <s v="NA"/>
    <s v="NA"/>
    <s v="NA"/>
    <n v="0"/>
    <n v="0"/>
    <n v="0"/>
    <n v="0"/>
    <n v="64"/>
    <m/>
    <n v="64"/>
    <s v="Searching"/>
    <m/>
    <m/>
    <m/>
  </r>
  <r>
    <s v="DSCN3936"/>
    <s v="M2370508_6"/>
    <n v="6"/>
    <n v="1"/>
    <x v="9"/>
    <d v="2019-05-08T00:00:00"/>
    <s v="May"/>
    <s v="Spring"/>
    <d v="1899-12-30T01:22:00"/>
    <d v="1899-12-30T00:01:22"/>
    <x v="122"/>
    <s v="Overcast"/>
    <x v="16"/>
    <s v="Foraging"/>
    <s v="NA"/>
    <n v="1"/>
    <s v="unknown"/>
    <n v="0"/>
    <s v="Unknown"/>
    <s v="unknown"/>
    <s v="Exterior spruce branch Under bark"/>
    <s v="NA"/>
    <m/>
    <m/>
    <m/>
    <s v="NA"/>
    <s v="NA"/>
    <s v="NA"/>
    <s v="NA"/>
    <s v="NA"/>
    <s v="NA"/>
    <s v="NA"/>
    <s v="NA"/>
    <n v="72"/>
    <n v="0"/>
    <n v="48"/>
    <n v="24"/>
    <n v="10"/>
    <m/>
    <n v="82"/>
    <s v="Searching/probing"/>
    <m/>
    <m/>
    <m/>
  </r>
  <r>
    <s v="DSCN3935"/>
    <s v="M2370508_5"/>
    <n v="5"/>
    <n v="1"/>
    <x v="9"/>
    <d v="2019-05-08T00:00:00"/>
    <s v="May"/>
    <s v="Spring"/>
    <d v="1899-12-30T00:24:00"/>
    <d v="1899-12-30T00:00:24"/>
    <x v="122"/>
    <s v="Overcast"/>
    <x v="16"/>
    <s v="Foraging"/>
    <s v="NA"/>
    <n v="1"/>
    <n v="0"/>
    <n v="0"/>
    <s v="Unknown"/>
    <s v="unknown"/>
    <s v="Ground"/>
    <s v="NA"/>
    <m/>
    <m/>
    <m/>
    <s v="NA"/>
    <s v="NA"/>
    <s v="NA"/>
    <s v="NA"/>
    <s v="NA"/>
    <s v="NA"/>
    <s v="NA"/>
    <s v="NA"/>
    <n v="0"/>
    <n v="0"/>
    <n v="0"/>
    <n v="0"/>
    <n v="25"/>
    <m/>
    <n v="25"/>
    <m/>
    <s v="We didn't count the other two acquisitions as food because we suspected he was drinking. "/>
    <m/>
    <m/>
  </r>
  <r>
    <s v="DSCN3933"/>
    <s v="M2370508_3"/>
    <n v="3"/>
    <n v="1"/>
    <x v="9"/>
    <d v="2019-05-08T00:00:00"/>
    <s v="May"/>
    <s v="Spring"/>
    <d v="1899-12-30T00:31:00"/>
    <d v="1899-12-30T00:00:31"/>
    <x v="122"/>
    <s v="Overcast"/>
    <x v="16"/>
    <s v="Foraging"/>
    <s v="NA"/>
    <n v="4"/>
    <n v="0"/>
    <n v="0"/>
    <s v="Unknown"/>
    <s v="unknown"/>
    <s v="Ground"/>
    <s v="NA"/>
    <m/>
    <m/>
    <m/>
    <s v="NA"/>
    <s v="NA"/>
    <s v="NA"/>
    <s v="NA"/>
    <s v="NA"/>
    <s v="NA"/>
    <s v="NA"/>
    <s v="NA"/>
    <n v="0"/>
    <n v="0"/>
    <n v="0"/>
    <n v="0"/>
    <n v="29"/>
    <m/>
    <n v="29"/>
    <s v="Searching"/>
    <m/>
    <m/>
    <m/>
  </r>
  <r>
    <s v="DSCN3934"/>
    <s v="M2370508_4"/>
    <n v="4"/>
    <n v="1"/>
    <x v="9"/>
    <d v="2019-05-08T00:00:00"/>
    <s v="May"/>
    <s v="Spring"/>
    <d v="1899-12-30T00:06:00"/>
    <d v="1899-12-30T00:00:06"/>
    <x v="122"/>
    <s v="Overcast"/>
    <x v="16"/>
    <s v="Foraging"/>
    <s v="NA"/>
    <s v="unknown"/>
    <n v="0"/>
    <n v="0"/>
    <m/>
    <s v="NA"/>
    <s v="NA"/>
    <s v="NA"/>
    <m/>
    <m/>
    <m/>
    <s v="NA"/>
    <s v="NA"/>
    <s v="NA"/>
    <s v="NA"/>
    <s v="NA"/>
    <s v="NA"/>
    <s v="NA"/>
    <s v="NA"/>
    <n v="6"/>
    <n v="0"/>
    <n v="6"/>
    <n v="0"/>
    <n v="0"/>
    <m/>
    <n v="6"/>
    <s v="Probing"/>
    <m/>
    <n v="1"/>
    <n v="0"/>
  </r>
  <r>
    <s v="DSCN2340"/>
    <s v="TC1031_3"/>
    <n v="3"/>
    <n v="1"/>
    <x v="16"/>
    <d v="2018-10-31T00:00:00"/>
    <s v="October"/>
    <s v="Fall"/>
    <d v="1899-12-30T00:06:00"/>
    <d v="1899-12-30T00:00:06"/>
    <x v="122"/>
    <s v="Partly cloudy, snowing"/>
    <x v="32"/>
    <s v="Foraging"/>
    <s v="Aspen"/>
    <n v="1"/>
    <m/>
    <n v="0"/>
    <s v="Unknown"/>
    <s v="Unknown"/>
    <s v="Exterior Aspen bare branch"/>
    <s v="NA"/>
    <s v="NA"/>
    <s v="NA"/>
    <s v="NA"/>
    <m/>
    <m/>
    <s v="NA"/>
    <s v="NA"/>
    <m/>
    <m/>
    <m/>
    <m/>
    <n v="0"/>
    <n v="0"/>
    <n v="0"/>
    <n v="0"/>
    <n v="0"/>
    <n v="0"/>
    <n v="0"/>
    <m/>
    <s v="Didn't catch foraging event "/>
    <m/>
    <m/>
  </r>
  <r>
    <s v="DSCN2341"/>
    <s v="TC1031_4"/>
    <n v="4"/>
    <n v="1"/>
    <x v="16"/>
    <d v="2018-10-31T00:00:00"/>
    <s v="October"/>
    <s v="Fall"/>
    <d v="1899-12-30T00:51:00"/>
    <d v="1899-12-30T00:00:51"/>
    <x v="122"/>
    <s v="Partly cloudy, snowing"/>
    <x v="32"/>
    <s v="Caching"/>
    <s v="Aspen"/>
    <n v="0"/>
    <m/>
    <n v="1"/>
    <s v="Unknown"/>
    <s v="Unknown"/>
    <s v="unknown"/>
    <s v="Exterior aspen branch under bark"/>
    <s v="Aspen"/>
    <s v="Exterior"/>
    <s v="Under bark"/>
    <m/>
    <m/>
    <s v="unknown"/>
    <n v="63.73142"/>
    <n v="148.89966999999999"/>
    <m/>
    <m/>
    <m/>
    <n v="0"/>
    <n v="0"/>
    <n v="0"/>
    <n v="0"/>
    <n v="0"/>
    <n v="0"/>
    <n v="0"/>
    <m/>
    <s v="Good caching video "/>
    <m/>
    <m/>
  </r>
  <r>
    <s v="DSCN2361"/>
    <s v="TC1031_11"/>
    <n v="11"/>
    <n v="1"/>
    <x v="16"/>
    <d v="2018-10-31T00:00:00"/>
    <s v="October"/>
    <s v="Fall"/>
    <d v="1899-12-30T00:14:00"/>
    <d v="1899-12-30T00:00:14"/>
    <x v="122"/>
    <s v="Partly cloudy, snowing"/>
    <x v="32"/>
    <s v="Foraging"/>
    <s v="Spruce"/>
    <n v="0"/>
    <m/>
    <n v="0"/>
    <m/>
    <s v="NA"/>
    <s v="NA"/>
    <s v="NA"/>
    <s v="NA"/>
    <s v="NA"/>
    <s v="NA"/>
    <m/>
    <m/>
    <s v="NA"/>
    <s v="NA"/>
    <m/>
    <m/>
    <m/>
    <m/>
    <n v="14"/>
    <n v="0"/>
    <n v="14"/>
    <n v="0"/>
    <n v="0"/>
    <n v="0"/>
    <n v="14"/>
    <s v="Searching"/>
    <m/>
    <m/>
    <m/>
  </r>
  <r>
    <s v="DSCN2364"/>
    <s v="TC1031_14"/>
    <n v="14"/>
    <n v="1"/>
    <x v="16"/>
    <d v="2018-10-31T00:00:00"/>
    <s v="October"/>
    <s v="Fall"/>
    <d v="1899-12-30T00:07:00"/>
    <d v="1899-12-30T00:00:07"/>
    <x v="122"/>
    <s v="Partly cloudy, snowing"/>
    <x v="32"/>
    <s v="Foraging"/>
    <s v="Aspen"/>
    <n v="1"/>
    <m/>
    <n v="0"/>
    <s v="Unknown"/>
    <s v="Unknown"/>
    <s v="Exterior Aspen bare branch"/>
    <s v="NA"/>
    <s v="NA"/>
    <s v="NA"/>
    <s v="NA"/>
    <m/>
    <m/>
    <s v="NA"/>
    <s v="NA"/>
    <m/>
    <m/>
    <m/>
    <m/>
    <n v="0"/>
    <n v="0"/>
    <n v="0"/>
    <n v="0"/>
    <n v="0"/>
    <n v="0"/>
    <n v="0"/>
    <m/>
    <s v="Didn't catch foraging on film"/>
    <m/>
    <m/>
  </r>
  <r>
    <s v="DSCN1339"/>
    <s v="ww1005_1"/>
    <n v="1"/>
    <n v="1"/>
    <x v="0"/>
    <d v="2018-10-05T00:00:00"/>
    <s v="October"/>
    <s v="Fall"/>
    <d v="1899-12-30T01:15:00"/>
    <d v="1899-12-30T00:01:15"/>
    <x v="122"/>
    <s v="Partly Sunny"/>
    <x v="0"/>
    <s v="Foraging"/>
    <s v="Spruce"/>
    <n v="0"/>
    <m/>
    <n v="0"/>
    <m/>
    <s v="NA"/>
    <s v="NA"/>
    <s v="NA"/>
    <s v="NA"/>
    <s v="NA"/>
    <s v="NA"/>
    <m/>
    <m/>
    <s v="NA"/>
    <s v="NA"/>
    <m/>
    <m/>
    <m/>
    <m/>
    <n v="0"/>
    <n v="8"/>
    <n v="0"/>
    <n v="8"/>
    <n v="23"/>
    <n v="0"/>
    <n v="31"/>
    <m/>
    <s v="Was seaching ground B&amp;Ut from low branch"/>
    <m/>
    <m/>
  </r>
  <r>
    <s v="DSCN1340"/>
    <s v="WW1005_2"/>
    <n v="2"/>
    <n v="1"/>
    <x v="0"/>
    <d v="2018-10-05T00:00:00"/>
    <s v="October"/>
    <s v="Fall"/>
    <d v="1899-12-30T00:38:00"/>
    <d v="1899-12-30T00:00:38"/>
    <x v="122"/>
    <s v="Partly Sunny"/>
    <x v="0"/>
    <s v="Foraging"/>
    <s v="NA"/>
    <n v="0"/>
    <m/>
    <n v="0"/>
    <m/>
    <s v="NA"/>
    <s v="NA"/>
    <s v="NA"/>
    <s v="NA"/>
    <s v="NA"/>
    <s v="NA"/>
    <m/>
    <m/>
    <s v="NA"/>
    <s v="NA"/>
    <m/>
    <m/>
    <m/>
    <m/>
    <n v="0"/>
    <n v="0"/>
    <n v="0"/>
    <n v="0"/>
    <n v="20"/>
    <n v="0"/>
    <n v="20"/>
    <m/>
    <m/>
    <m/>
    <m/>
  </r>
  <r>
    <s v="DSCN1343"/>
    <s v="WW1005_3"/>
    <n v="3"/>
    <n v="1"/>
    <x v="0"/>
    <d v="2018-10-05T00:00:00"/>
    <s v="October"/>
    <s v="Fall"/>
    <d v="1899-12-30T00:32:00"/>
    <d v="1899-12-30T00:00:32"/>
    <x v="122"/>
    <s v="Partly Sunny"/>
    <x v="0"/>
    <s v="Foraging/cache retrieval"/>
    <s v="Spruce"/>
    <n v="1"/>
    <m/>
    <n v="0"/>
    <s v="Unknown"/>
    <s v="Unknown probably berry"/>
    <s v="Ground"/>
    <s v="NA"/>
    <s v="NA"/>
    <s v="NA"/>
    <s v="NA"/>
    <m/>
    <m/>
    <s v="NA"/>
    <s v="NA"/>
    <m/>
    <m/>
    <m/>
    <m/>
    <n v="0"/>
    <n v="2"/>
    <n v="0"/>
    <n v="2"/>
    <n v="12"/>
    <n v="0"/>
    <n v="14"/>
    <m/>
    <s v="Counted as cache retrieval due to location of food (exterior spruce foliage) and speed at which bird got it. "/>
    <m/>
    <m/>
  </r>
  <r>
    <s v="DSCN1343"/>
    <s v="WW1005_3"/>
    <n v="3"/>
    <n v="2"/>
    <x v="0"/>
    <d v="2018-10-05T00:00:00"/>
    <s v="October"/>
    <s v="Fall"/>
    <d v="1899-12-30T00:32:00"/>
    <d v="1899-12-30T00:00:31"/>
    <x v="122"/>
    <s v="Partly Sunny"/>
    <x v="0"/>
    <s v="Foraging/cache retrieval"/>
    <s v="Spruce"/>
    <n v="1"/>
    <m/>
    <n v="0"/>
    <s v="Unknown"/>
    <s v="Unknown"/>
    <s v="Exterior spruce foliage"/>
    <s v="NA"/>
    <s v="NA"/>
    <s v="NA"/>
    <s v="NA"/>
    <m/>
    <m/>
    <s v="NA"/>
    <s v="NA"/>
    <m/>
    <m/>
    <m/>
    <m/>
    <n v="0"/>
    <n v="0"/>
    <n v="0"/>
    <n v="0"/>
    <n v="0"/>
    <n v="0"/>
    <n v="0"/>
    <m/>
    <s v="Counted as cache retrieval due to location of food (exterior spruce foliage) and speed at which bird got it. "/>
    <m/>
    <m/>
  </r>
  <r>
    <s v="DSCN1344"/>
    <s v="WW1005_4"/>
    <n v="4"/>
    <n v="1"/>
    <x v="0"/>
    <d v="2018-10-05T00:00:00"/>
    <s v="October"/>
    <s v="Fall"/>
    <d v="1899-12-30T00:17:00"/>
    <d v="1899-12-30T00:00:17"/>
    <x v="122"/>
    <s v="Partly Sunny"/>
    <x v="0"/>
    <s v="Foraging"/>
    <s v="NA"/>
    <s v="unknown"/>
    <m/>
    <n v="0"/>
    <s v="Unknown"/>
    <s v="Unknown"/>
    <s v="NA"/>
    <s v="NA"/>
    <s v="NA"/>
    <s v="NA"/>
    <s v="NA"/>
    <m/>
    <m/>
    <s v="NA"/>
    <s v="NA"/>
    <m/>
    <m/>
    <m/>
    <m/>
    <n v="0"/>
    <n v="0"/>
    <n v="0"/>
    <n v="0"/>
    <n v="3"/>
    <n v="0"/>
    <n v="3"/>
    <m/>
    <m/>
    <m/>
    <m/>
  </r>
  <r>
    <s v="DSCN1345"/>
    <s v="WW1005_5"/>
    <n v="5"/>
    <n v="1"/>
    <x v="0"/>
    <d v="2018-10-05T00:00:00"/>
    <s v="October"/>
    <s v="Fall"/>
    <d v="1899-12-30T00:19:00"/>
    <d v="1899-12-30T00:00:19"/>
    <x v="122"/>
    <s v="Partly Sunny"/>
    <x v="0"/>
    <s v="Caching"/>
    <s v="Spruce"/>
    <n v="1"/>
    <m/>
    <n v="1"/>
    <s v="Unknown"/>
    <s v="Unknown"/>
    <s v="Ground"/>
    <s v="Spruce trunk"/>
    <s v="Spruce"/>
    <s v="Trunk"/>
    <s v="Under bark"/>
    <m/>
    <m/>
    <s v="unknown"/>
    <n v="63.738579999999999"/>
    <n v="148.90271000000001"/>
    <m/>
    <m/>
    <m/>
    <n v="0"/>
    <n v="0"/>
    <n v="0"/>
    <n v="0"/>
    <n v="0"/>
    <n v="0"/>
    <n v="0"/>
    <m/>
    <s v="Both suspected B&amp;Ut unconfirmed cahces"/>
    <m/>
    <m/>
  </r>
  <r>
    <s v="DSCN1345"/>
    <s v="WW1005_5"/>
    <n v="5"/>
    <n v="2"/>
    <x v="0"/>
    <d v="2018-10-05T00:00:00"/>
    <s v="October"/>
    <s v="Fall"/>
    <d v="1899-12-30T00:19:00"/>
    <d v="1899-12-30T00:00:19"/>
    <x v="122"/>
    <s v="Partly Sunny"/>
    <x v="0"/>
    <s v="Caching"/>
    <s v="Spruce"/>
    <n v="0"/>
    <m/>
    <n v="1"/>
    <s v="Unknown"/>
    <s v="Unknown"/>
    <s v="Ground"/>
    <s v="Exterior spruce foliage"/>
    <s v="Spruce"/>
    <s v="Exterior"/>
    <s v="Foliage"/>
    <m/>
    <m/>
    <s v="unknown"/>
    <n v="63.738619999999997"/>
    <n v="148.90286"/>
    <m/>
    <m/>
    <m/>
    <n v="0"/>
    <n v="0"/>
    <n v="0"/>
    <n v="0"/>
    <n v="0"/>
    <n v="0"/>
    <n v="0"/>
    <m/>
    <s v="Both suspected B&amp;Ut unconfirmed cahces"/>
    <m/>
    <m/>
  </r>
  <r>
    <s v="DSCN1346"/>
    <s v="WW1005_6"/>
    <n v="6"/>
    <n v="1"/>
    <x v="0"/>
    <d v="2018-10-05T00:00:00"/>
    <s v="October"/>
    <s v="Fall"/>
    <d v="1899-12-30T00:05:00"/>
    <d v="1899-12-30T00:00:05"/>
    <x v="122"/>
    <s v="Partly Sunny"/>
    <x v="0"/>
    <s v="Caching/foraging"/>
    <s v="Spruce"/>
    <n v="0"/>
    <m/>
    <n v="1"/>
    <s v="Unknown"/>
    <s v="Unknown"/>
    <s v="unknown"/>
    <s v="Exterior bare spruce branch"/>
    <s v="Spruce"/>
    <s v="Exterior"/>
    <s v="Branch"/>
    <m/>
    <m/>
    <s v="unknown"/>
    <n v="63.738590000000002"/>
    <n v="148.90305000000001"/>
    <m/>
    <m/>
    <m/>
    <n v="0"/>
    <n v="0"/>
    <n v="0"/>
    <n v="0"/>
    <n v="2"/>
    <n v="0"/>
    <n v="2"/>
    <m/>
    <s v="Confirmed naked eye cache by KS"/>
    <m/>
    <m/>
  </r>
  <r>
    <s v="DSCN1348"/>
    <s v="WW1005_7"/>
    <n v="7"/>
    <n v="1"/>
    <x v="0"/>
    <d v="2018-10-05T00:00:00"/>
    <s v="October"/>
    <s v="Fall"/>
    <d v="1899-12-30T00:32:00"/>
    <d v="1899-12-30T00:00:32"/>
    <x v="122"/>
    <s v="Partly Sunny"/>
    <x v="0"/>
    <s v="Foraging"/>
    <s v="NA"/>
    <n v="1"/>
    <m/>
    <n v="0"/>
    <s v="Unknown"/>
    <s v="Unknown. Something attached to a plant (berry? B&amp;Ug?)"/>
    <s v="Ground"/>
    <s v="NA"/>
    <s v="NA"/>
    <s v="NA"/>
    <s v="NA"/>
    <m/>
    <m/>
    <s v="NA"/>
    <s v="NA"/>
    <m/>
    <m/>
    <m/>
    <m/>
    <n v="0"/>
    <n v="0"/>
    <n v="0"/>
    <n v="0"/>
    <n v="28"/>
    <n v="0"/>
    <n v="28"/>
    <m/>
    <m/>
    <m/>
    <m/>
  </r>
  <r>
    <s v="DSCN1810"/>
    <s v="WW1016_1"/>
    <n v="1"/>
    <n v="1"/>
    <x v="0"/>
    <d v="2018-10-16T00:00:00"/>
    <s v="October"/>
    <s v="Fall"/>
    <d v="1899-12-30T00:35:00"/>
    <d v="1899-12-30T00:00:35"/>
    <x v="122"/>
    <s v="Overcast"/>
    <x v="0"/>
    <s v="Foraging/caching"/>
    <s v="Spruce"/>
    <s v="unknown"/>
    <m/>
    <n v="1"/>
    <s v="Unknown"/>
    <s v="Unknown"/>
    <s v="unknown"/>
    <s v="Interior bare spruce branch under bark"/>
    <s v="Spruce"/>
    <s v="Interior"/>
    <s v="Under bark"/>
    <m/>
    <m/>
    <s v="unknown"/>
    <n v="63.738300000000002"/>
    <n v="148.90355"/>
    <m/>
    <m/>
    <m/>
    <n v="26"/>
    <n v="0"/>
    <n v="26"/>
    <n v="0"/>
    <n v="0"/>
    <n v="0"/>
    <n v="26"/>
    <s v="Probing"/>
    <m/>
    <n v="3"/>
    <n v="0"/>
  </r>
  <r>
    <s v="DSCN1811"/>
    <s v="WW1016_2"/>
    <n v="2"/>
    <n v="1"/>
    <x v="0"/>
    <d v="2018-10-16T00:00:00"/>
    <s v="October"/>
    <s v="Fall"/>
    <d v="1899-12-30T00:21:00"/>
    <d v="1899-12-30T00:00:21"/>
    <x v="122"/>
    <s v="Overcast"/>
    <x v="0"/>
    <s v="Foraging"/>
    <s v="Spruce"/>
    <n v="1"/>
    <m/>
    <n v="0"/>
    <s v="Unknown"/>
    <s v="Unkown (maybe spruce seed)"/>
    <s v="Spruce cone"/>
    <s v="NA"/>
    <s v="NA"/>
    <s v="NA"/>
    <s v="NA"/>
    <m/>
    <m/>
    <s v="NA"/>
    <s v="NA"/>
    <m/>
    <m/>
    <m/>
    <m/>
    <n v="0"/>
    <n v="10"/>
    <n v="0"/>
    <n v="10"/>
    <n v="0"/>
    <n v="0"/>
    <n v="10"/>
    <m/>
    <m/>
    <m/>
    <m/>
  </r>
  <r>
    <s v="DSCN1812"/>
    <s v="WW1016_3"/>
    <n v="3"/>
    <n v="1"/>
    <x v="0"/>
    <d v="2018-10-16T00:00:00"/>
    <s v="October"/>
    <s v="Fall"/>
    <d v="1899-12-30T01:10:00"/>
    <d v="1899-12-30T00:01:10"/>
    <x v="122"/>
    <s v="Overcast"/>
    <x v="0"/>
    <s v="Foraging/caching"/>
    <s v="Spruce"/>
    <n v="1"/>
    <m/>
    <n v="1"/>
    <s v="Unknown"/>
    <s v="Unknown"/>
    <s v="Top of sappling from foliage"/>
    <s v="Interior spruce foliage "/>
    <s v="Spruce"/>
    <s v="Interior"/>
    <s v="Foliage"/>
    <m/>
    <m/>
    <n v="7"/>
    <n v="63.738460000000003"/>
    <n v="148.90312"/>
    <m/>
    <m/>
    <m/>
    <n v="0"/>
    <n v="0"/>
    <n v="0"/>
    <n v="0"/>
    <n v="7"/>
    <n v="0"/>
    <n v="7"/>
    <m/>
    <s v="Get plucked food from tree, no foraging time.  "/>
    <m/>
    <m/>
  </r>
  <r>
    <s v="DSCN1812"/>
    <s v="WW1016_3"/>
    <n v="3"/>
    <n v="2"/>
    <x v="0"/>
    <d v="2018-10-16T00:00:00"/>
    <s v="October"/>
    <s v="Fall"/>
    <d v="1899-12-30T01:10:00"/>
    <d v="1899-12-30T00:01:10"/>
    <x v="122"/>
    <s v="Overcast"/>
    <x v="0"/>
    <s v="Foraging"/>
    <s v="Spruce"/>
    <n v="1"/>
    <m/>
    <n v="0"/>
    <s v="Berry"/>
    <s v="Berry"/>
    <s v="Ground"/>
    <s v="NA"/>
    <s v="NA"/>
    <s v="NA"/>
    <s v="NA"/>
    <m/>
    <m/>
    <s v="NA"/>
    <s v="NA"/>
    <m/>
    <m/>
    <m/>
    <m/>
    <n v="0"/>
    <n v="0"/>
    <n v="0"/>
    <n v="0"/>
    <n v="0"/>
    <n v="0"/>
    <n v="0"/>
    <m/>
    <s v="Get plucked food from tree, no foraging time.  "/>
    <m/>
    <m/>
  </r>
  <r>
    <s v="DSCN1823"/>
    <s v="WW1016_4"/>
    <n v="4"/>
    <n v="1"/>
    <x v="0"/>
    <d v="2018-10-16T00:00:00"/>
    <s v="October"/>
    <s v="Fall"/>
    <d v="1899-12-30T00:34:00"/>
    <d v="1899-12-30T00:00:34"/>
    <x v="122"/>
    <s v="Overcast"/>
    <x v="0"/>
    <s v="Foraging"/>
    <s v="NA"/>
    <n v="1"/>
    <m/>
    <n v="0"/>
    <s v="Unknown"/>
    <s v="Unknown"/>
    <s v="Interior spruce foliage"/>
    <s v="NA"/>
    <s v="NA"/>
    <s v="NA"/>
    <s v="NA"/>
    <m/>
    <m/>
    <s v="NA"/>
    <s v="NA"/>
    <m/>
    <m/>
    <m/>
    <m/>
    <n v="0"/>
    <n v="0"/>
    <n v="0"/>
    <n v="0"/>
    <n v="0"/>
    <n v="0"/>
    <n v="0"/>
    <m/>
    <s v="Some kind of orange stringy thing.  Missed acquisition on camera B&amp;Ut witnessed in person. "/>
    <m/>
    <m/>
  </r>
  <r>
    <s v="DSCN1824"/>
    <s v="WW1016_5"/>
    <n v="5"/>
    <n v="1"/>
    <x v="0"/>
    <d v="2018-10-16T00:00:00"/>
    <s v="October"/>
    <s v="Fall"/>
    <d v="1899-12-30T00:17:00"/>
    <d v="1899-12-30T00:00:07"/>
    <x v="122"/>
    <s v="Overcast"/>
    <x v="0"/>
    <s v="Caching"/>
    <s v="Spruce"/>
    <n v="0"/>
    <m/>
    <n v="1"/>
    <s v="Unknown"/>
    <s v="Unknown"/>
    <s v="unknown"/>
    <s v="Spruce trunk"/>
    <s v="Spruce"/>
    <s v="Trunk"/>
    <s v="Under bark"/>
    <m/>
    <m/>
    <s v="unknown"/>
    <n v="63.739269999999998"/>
    <n v="148.98978"/>
    <m/>
    <m/>
    <m/>
    <n v="0"/>
    <n v="0"/>
    <n v="0"/>
    <n v="0"/>
    <n v="0"/>
    <n v="0"/>
    <n v="0"/>
    <m/>
    <m/>
    <m/>
    <m/>
  </r>
  <r>
    <s v="DSCN2083"/>
    <s v="WW1024_1"/>
    <n v="1"/>
    <n v="1"/>
    <x v="0"/>
    <d v="2018-10-24T00:00:00"/>
    <s v="October"/>
    <s v="Fall"/>
    <d v="1899-12-30T00:25:00"/>
    <d v="1899-12-30T00:00:25"/>
    <x v="122"/>
    <m/>
    <x v="0"/>
    <s v="Foraging"/>
    <s v="Spruce"/>
    <n v="1"/>
    <m/>
    <n v="0"/>
    <s v="Unknown"/>
    <s v="Unknown"/>
    <s v="Interior spruce near trunk behind foliage"/>
    <s v="NA"/>
    <s v="NA"/>
    <s v="NA"/>
    <s v="NA"/>
    <m/>
    <m/>
    <s v="NA"/>
    <s v="NA"/>
    <m/>
    <m/>
    <m/>
    <m/>
    <n v="7"/>
    <n v="0"/>
    <n v="7"/>
    <n v="0"/>
    <n v="0"/>
    <n v="0"/>
    <n v="7"/>
    <s v="Searching"/>
    <m/>
    <m/>
    <m/>
  </r>
  <r>
    <s v="DSCN2084"/>
    <s v="WW1024_2"/>
    <n v="2"/>
    <n v="1"/>
    <x v="0"/>
    <d v="2018-10-24T00:00:00"/>
    <s v="October"/>
    <s v="Fall"/>
    <d v="1899-12-30T00:10:00"/>
    <d v="1899-12-30T00:00:10"/>
    <x v="122"/>
    <m/>
    <x v="0"/>
    <s v="Foraging"/>
    <s v="Spruce"/>
    <n v="0"/>
    <m/>
    <n v="0"/>
    <m/>
    <s v="NA"/>
    <s v="NA"/>
    <s v="NA"/>
    <s v="NA"/>
    <s v="NA"/>
    <s v="NA"/>
    <m/>
    <m/>
    <s v="NA"/>
    <s v="NA"/>
    <m/>
    <m/>
    <m/>
    <m/>
    <n v="0"/>
    <n v="8"/>
    <n v="0"/>
    <n v="8"/>
    <n v="0"/>
    <n v="0"/>
    <n v="8"/>
    <s v="Searching"/>
    <m/>
    <m/>
    <m/>
  </r>
  <r>
    <s v="DSCN2090"/>
    <s v="WW1024_3"/>
    <n v="3"/>
    <n v="1"/>
    <x v="0"/>
    <d v="2018-10-24T00:00:00"/>
    <s v="October"/>
    <s v="Fall"/>
    <d v="1899-12-30T00:16:00"/>
    <d v="1899-12-30T00:00:16"/>
    <x v="122"/>
    <m/>
    <x v="0"/>
    <s v="Foraging (Cache recovery)"/>
    <s v="Spruce"/>
    <n v="1"/>
    <m/>
    <n v="0"/>
    <s v="Berry"/>
    <s v="Berry (Blueberry)"/>
    <s v="interior spruce foliage "/>
    <s v="NA"/>
    <s v="NA"/>
    <s v="NA"/>
    <s v="NA"/>
    <m/>
    <m/>
    <s v="NA"/>
    <s v="NA"/>
    <m/>
    <m/>
    <m/>
    <m/>
    <n v="0"/>
    <n v="0"/>
    <n v="0"/>
    <n v="0"/>
    <n v="0"/>
    <n v="0"/>
    <n v="0"/>
    <m/>
    <s v="Video start after bird finished foraging. "/>
    <m/>
    <m/>
  </r>
  <r>
    <s v="DSCN2091"/>
    <s v="WW1024_4"/>
    <n v="4"/>
    <n v="1"/>
    <x v="0"/>
    <d v="2018-10-24T00:00:00"/>
    <s v="October"/>
    <s v="Fall"/>
    <d v="1899-12-30T00:30:00"/>
    <d v="1899-12-30T00:00:30"/>
    <x v="122"/>
    <m/>
    <x v="0"/>
    <s v="Foraging"/>
    <s v="Spruce"/>
    <s v="1 possible"/>
    <m/>
    <n v="0"/>
    <s v="Unknown"/>
    <s v="Unknown"/>
    <s v="Exterior dense foliage of spruce"/>
    <s v="NA"/>
    <s v="NA"/>
    <s v="NA"/>
    <s v="NA"/>
    <m/>
    <m/>
    <s v="NA"/>
    <s v="NA"/>
    <m/>
    <m/>
    <m/>
    <m/>
    <n v="11"/>
    <n v="9"/>
    <n v="11"/>
    <n v="9"/>
    <n v="0"/>
    <n v="0"/>
    <n v="20"/>
    <m/>
    <s v="Didn't see forage B&amp;Ut saw bird smacking.  "/>
    <m/>
    <m/>
  </r>
  <r>
    <s v="DSCN2092"/>
    <s v="WW1024_5"/>
    <n v="5"/>
    <n v="1"/>
    <x v="0"/>
    <d v="2018-10-24T00:00:00"/>
    <s v="October"/>
    <s v="Fall"/>
    <d v="1899-12-30T00:10:00"/>
    <d v="1899-12-30T00:00:10"/>
    <x v="122"/>
    <m/>
    <x v="0"/>
    <s v="Foraging (Cache recovery)"/>
    <s v="Spruce"/>
    <n v="1"/>
    <m/>
    <n v="0"/>
    <s v="Berry"/>
    <s v="Berry (Blueberry)"/>
    <s v="Spruce trunk under bark"/>
    <s v="NA"/>
    <s v="NA"/>
    <s v="NA"/>
    <s v="NA"/>
    <m/>
    <m/>
    <s v="NA"/>
    <s v="NA"/>
    <m/>
    <m/>
    <m/>
    <m/>
    <n v="6"/>
    <n v="2"/>
    <n v="6"/>
    <n v="2"/>
    <n v="0"/>
    <n v="0"/>
    <n v="8"/>
    <m/>
    <m/>
    <m/>
    <m/>
  </r>
  <r>
    <s v="DSCN2096"/>
    <s v="WW1024_6"/>
    <n v="6"/>
    <n v="1"/>
    <x v="0"/>
    <d v="2018-10-24T00:00:00"/>
    <s v="October"/>
    <s v="Fall"/>
    <d v="1899-12-30T00:56:00"/>
    <d v="1899-12-30T00:00:56"/>
    <x v="122"/>
    <m/>
    <x v="0"/>
    <s v="Foraging"/>
    <s v="Spruce"/>
    <n v="1"/>
    <m/>
    <n v="0"/>
    <s v="Unknown"/>
    <s v="Unknown"/>
    <s v="Spruce trunk of sapplng"/>
    <s v="NA"/>
    <s v="NA"/>
    <s v="NA"/>
    <s v="NA"/>
    <m/>
    <m/>
    <s v="NA"/>
    <s v="NA"/>
    <m/>
    <m/>
    <m/>
    <m/>
    <n v="0"/>
    <n v="0"/>
    <n v="0"/>
    <n v="0"/>
    <n v="28"/>
    <n v="0"/>
    <n v="28"/>
    <m/>
    <m/>
    <m/>
    <m/>
  </r>
  <r>
    <s v="DSCN2096"/>
    <s v="WW1024_6"/>
    <n v="6"/>
    <n v="2"/>
    <x v="0"/>
    <d v="2018-10-24T00:00:00"/>
    <s v="October"/>
    <s v="Fall"/>
    <d v="1899-12-30T00:56:00"/>
    <d v="1899-12-30T00:00:56"/>
    <x v="122"/>
    <m/>
    <x v="0"/>
    <s v="Foraging"/>
    <s v="Spruce"/>
    <n v="1"/>
    <m/>
    <n v="0"/>
    <s v="Unknown"/>
    <s v="Unknown"/>
    <s v="Ground"/>
    <s v="NA"/>
    <s v="NA"/>
    <s v="NA"/>
    <s v="NA"/>
    <m/>
    <m/>
    <s v="NA"/>
    <s v="NA"/>
    <m/>
    <m/>
    <m/>
    <m/>
    <n v="0"/>
    <n v="0"/>
    <n v="0"/>
    <n v="0"/>
    <n v="0"/>
    <n v="0"/>
    <n v="0"/>
    <m/>
    <m/>
    <m/>
    <m/>
  </r>
  <r>
    <s v="DSCN2097"/>
    <s v="WW1024_7"/>
    <n v="7"/>
    <n v="1"/>
    <x v="0"/>
    <d v="2018-10-24T00:00:00"/>
    <s v="October"/>
    <s v="Fall"/>
    <d v="1899-12-30T00:33:00"/>
    <d v="1899-12-30T00:00:33"/>
    <x v="122"/>
    <m/>
    <x v="0"/>
    <s v="Foraging"/>
    <s v="Spruce"/>
    <n v="0"/>
    <m/>
    <n v="0"/>
    <m/>
    <s v="NA"/>
    <s v="NA"/>
    <s v="NA"/>
    <s v="NA"/>
    <s v="NA"/>
    <s v="NA"/>
    <m/>
    <m/>
    <s v="NA"/>
    <s v="NA"/>
    <m/>
    <m/>
    <m/>
    <m/>
    <n v="0"/>
    <n v="33"/>
    <n v="0"/>
    <n v="33"/>
    <n v="0"/>
    <n v="0"/>
    <n v="33"/>
    <s v="Searching"/>
    <m/>
    <m/>
    <m/>
  </r>
  <r>
    <s v="DSCN1533"/>
    <s v="MC1012_1"/>
    <n v="1"/>
    <n v="1"/>
    <x v="2"/>
    <d v="2018-10-12T00:00:00"/>
    <s v="October"/>
    <s v="Fall"/>
    <d v="1899-12-30T00:17:00"/>
    <d v="1899-12-30T00:00:17"/>
    <x v="122"/>
    <s v="Overcast"/>
    <x v="2"/>
    <s v="Caching"/>
    <s v="Spruce"/>
    <n v="0"/>
    <m/>
    <n v="1"/>
    <s v="Unknown"/>
    <s v="Unknown"/>
    <s v="unknown"/>
    <s v="Spruce trunk under bark"/>
    <s v="Spruce"/>
    <s v="Trunk"/>
    <s v="Under bark"/>
    <m/>
    <m/>
    <s v="unknown"/>
    <n v="63.733600000000003"/>
    <n v="148.89886000000001"/>
    <m/>
    <m/>
    <m/>
    <n v="0"/>
    <n v="0"/>
    <n v="0"/>
    <n v="0"/>
    <n v="0"/>
    <n v="0"/>
    <n v="0"/>
    <m/>
    <m/>
    <m/>
    <m/>
  </r>
  <r>
    <s v="DSCN1535"/>
    <s v="MC1012_2"/>
    <n v="2"/>
    <n v="1"/>
    <x v="2"/>
    <d v="2018-10-12T00:00:00"/>
    <s v="October"/>
    <s v="Fall"/>
    <d v="1899-12-30T00:17:00"/>
    <d v="1899-12-30T00:00:17"/>
    <x v="122"/>
    <s v="Overcast"/>
    <x v="2"/>
    <s v="Foraging"/>
    <s v="NA"/>
    <n v="1"/>
    <m/>
    <n v="0"/>
    <s v="Berry"/>
    <s v="Berry (Blueberry)"/>
    <s v="Ground"/>
    <s v="NA"/>
    <s v="NA"/>
    <s v="NA"/>
    <s v="NA"/>
    <m/>
    <m/>
    <s v="NA"/>
    <s v="NA"/>
    <m/>
    <m/>
    <m/>
    <m/>
    <n v="0"/>
    <n v="0"/>
    <n v="0"/>
    <n v="0"/>
    <n v="13"/>
    <n v="0"/>
    <n v="13"/>
    <m/>
    <m/>
    <m/>
    <m/>
  </r>
  <r>
    <s v="DSCN1536"/>
    <s v="MC1012_3"/>
    <n v="3"/>
    <n v="1"/>
    <x v="2"/>
    <d v="2018-10-12T00:00:00"/>
    <s v="October"/>
    <s v="Fall"/>
    <d v="1899-12-30T00:40:00"/>
    <d v="1899-12-30T00:00:40"/>
    <x v="122"/>
    <s v="Overcast"/>
    <x v="2"/>
    <s v="Caching"/>
    <s v="Spruce"/>
    <n v="0"/>
    <m/>
    <n v="2"/>
    <s v="Berry"/>
    <s v="Berry (Blueberry)"/>
    <s v="Ground"/>
    <s v="Interior spruce foliage"/>
    <s v="Spruce"/>
    <s v="Interior"/>
    <s v="Foliage"/>
    <m/>
    <m/>
    <n v="4"/>
    <n v="63.732779999999998"/>
    <n v="148.89912000000001"/>
    <m/>
    <m/>
    <m/>
    <n v="0"/>
    <n v="0"/>
    <n v="0"/>
    <n v="0"/>
    <n v="0"/>
    <n v="0"/>
    <n v="0"/>
    <m/>
    <m/>
    <m/>
    <m/>
  </r>
  <r>
    <s v="DSCN1536"/>
    <s v="MC1012_3"/>
    <n v="3"/>
    <n v="2"/>
    <x v="2"/>
    <d v="2018-10-12T00:00:00"/>
    <s v="October"/>
    <s v="Fall"/>
    <d v="1899-12-30T00:40:00"/>
    <d v="1899-12-30T00:00:40"/>
    <x v="122"/>
    <s v="Overcast"/>
    <x v="2"/>
    <s v="Caching"/>
    <s v="Spruce"/>
    <n v="0"/>
    <m/>
    <n v="1"/>
    <s v="Berry"/>
    <s v="Berry (Blueberry)"/>
    <s v="Ground"/>
    <s v="Exterior spruce foliage at tippy top of tree"/>
    <s v="Spruce"/>
    <s v="Exterior"/>
    <s v="Foliage"/>
    <m/>
    <m/>
    <n v="11"/>
    <n v="63.732810000000001"/>
    <n v="148.89922999999999"/>
    <m/>
    <m/>
    <m/>
    <n v="0"/>
    <n v="0"/>
    <n v="0"/>
    <n v="0"/>
    <n v="0"/>
    <n v="0"/>
    <n v="0"/>
    <m/>
    <m/>
    <m/>
    <m/>
  </r>
  <r>
    <s v="DSCN1537"/>
    <s v="MC1012_4"/>
    <n v="4"/>
    <n v="1"/>
    <x v="2"/>
    <d v="2018-10-12T00:00:00"/>
    <s v="October"/>
    <s v="Fall"/>
    <d v="1899-12-30T00:33:00"/>
    <d v="1899-12-30T00:00:33"/>
    <x v="122"/>
    <s v="Overcast"/>
    <x v="2"/>
    <s v="Caching"/>
    <s v="Aspen and spruce"/>
    <n v="0"/>
    <m/>
    <n v="1"/>
    <s v="Berry"/>
    <s v="Berry (Blueberry)"/>
    <s v="Ground"/>
    <s v="Exterior aspen branch"/>
    <s v="Aspen"/>
    <s v="Exterior"/>
    <s v="On bark"/>
    <m/>
    <m/>
    <n v="35"/>
    <n v="63.73254"/>
    <n v="148.89954"/>
    <m/>
    <m/>
    <m/>
    <n v="0"/>
    <n v="0"/>
    <n v="0"/>
    <n v="0"/>
    <n v="0"/>
    <n v="0"/>
    <n v="0"/>
    <m/>
    <m/>
    <m/>
    <m/>
  </r>
  <r>
    <s v="DSCN1537"/>
    <s v="MC1012_4"/>
    <n v="4"/>
    <n v="2"/>
    <x v="2"/>
    <d v="2018-10-12T00:00:00"/>
    <s v="October"/>
    <s v="Fall"/>
    <d v="1899-12-30T00:33:00"/>
    <d v="1899-12-30T00:00:33"/>
    <x v="122"/>
    <s v="Overcast"/>
    <x v="2"/>
    <s v="Caching"/>
    <s v="Aspen and spruce"/>
    <n v="0"/>
    <m/>
    <n v="1"/>
    <s v="Berry"/>
    <s v="Berry (Blueberry)"/>
    <s v="Ground"/>
    <s v="Exterior spruce branch under witch hair"/>
    <s v="Spruce"/>
    <s v="Exterior"/>
    <s v="Branch under witch hair"/>
    <m/>
    <m/>
    <n v="45"/>
    <n v="63.73245"/>
    <n v="148.89957000000001"/>
    <m/>
    <m/>
    <m/>
    <n v="0"/>
    <n v="0"/>
    <n v="0"/>
    <n v="0"/>
    <n v="0"/>
    <n v="0"/>
    <n v="0"/>
    <m/>
    <m/>
    <m/>
    <m/>
  </r>
  <r>
    <s v="DSCN1546"/>
    <s v="MC1012_6"/>
    <n v="6"/>
    <n v="1"/>
    <x v="2"/>
    <d v="2018-10-12T00:00:00"/>
    <s v="October"/>
    <s v="Fall"/>
    <d v="1899-12-30T00:29:00"/>
    <d v="1899-12-30T00:00:29"/>
    <x v="122"/>
    <s v="Overcast"/>
    <x v="2"/>
    <s v="Foraging"/>
    <s v="Aspen"/>
    <n v="0"/>
    <m/>
    <n v="0"/>
    <m/>
    <s v="NA"/>
    <s v="NA"/>
    <s v="NA"/>
    <s v="NA"/>
    <s v="NA"/>
    <s v="NA"/>
    <m/>
    <m/>
    <s v="NA"/>
    <s v="NA"/>
    <m/>
    <m/>
    <m/>
    <m/>
    <n v="7"/>
    <n v="7"/>
    <n v="0"/>
    <n v="14"/>
    <n v="0"/>
    <n v="0"/>
    <n v="14"/>
    <s v="Probing"/>
    <m/>
    <n v="1"/>
    <n v="0"/>
  </r>
  <r>
    <s v="DSCN1555"/>
    <s v="MC1012_9"/>
    <n v="9"/>
    <n v="1"/>
    <x v="2"/>
    <d v="2018-10-12T00:00:00"/>
    <s v="October"/>
    <s v="Fall"/>
    <d v="1899-12-30T00:07:00"/>
    <d v="1899-12-30T00:00:07"/>
    <x v="122"/>
    <s v="Overcast"/>
    <x v="2"/>
    <s v="Foraging"/>
    <s v="NA"/>
    <n v="1"/>
    <m/>
    <n v="0"/>
    <s v="Berry"/>
    <s v="Berry (Cranberry)"/>
    <s v="Ground"/>
    <s v="NA"/>
    <s v="NA"/>
    <s v="NA"/>
    <s v="NA"/>
    <m/>
    <m/>
    <s v="NA"/>
    <s v="NA"/>
    <m/>
    <m/>
    <m/>
    <m/>
    <n v="0"/>
    <n v="0"/>
    <n v="0"/>
    <n v="0"/>
    <n v="5"/>
    <n v="0"/>
    <n v="5"/>
    <m/>
    <m/>
    <m/>
    <m/>
  </r>
  <r>
    <s v="DSCN1898"/>
    <s v="MC1019_3"/>
    <n v="3"/>
    <n v="1"/>
    <x v="2"/>
    <d v="2018-10-19T00:00:00"/>
    <s v="October"/>
    <s v="Fall"/>
    <d v="1899-12-30T00:57:00"/>
    <d v="1899-12-30T00:00:57"/>
    <x v="122"/>
    <m/>
    <x v="2"/>
    <s v="Foraging"/>
    <s v="Aspen"/>
    <n v="4"/>
    <m/>
    <n v="0"/>
    <s v="Unknown"/>
    <s v="Unknown"/>
    <s v="bare aspen branch"/>
    <s v="NA"/>
    <s v="NA"/>
    <s v="NA"/>
    <s v="NA"/>
    <m/>
    <m/>
    <s v="NA"/>
    <s v="NA"/>
    <m/>
    <m/>
    <m/>
    <m/>
    <n v="57"/>
    <n v="0"/>
    <n v="0"/>
    <n v="57"/>
    <n v="0"/>
    <n v="0"/>
    <n v="57"/>
    <s v="Searching/gleaning"/>
    <m/>
    <m/>
    <m/>
  </r>
  <r>
    <s v="DSCN1907"/>
    <s v="MC1019_7"/>
    <n v="7"/>
    <n v="1"/>
    <x v="2"/>
    <d v="2018-10-19T00:00:00"/>
    <s v="October"/>
    <s v="Fall"/>
    <d v="1899-12-30T00:26:00"/>
    <d v="1899-12-30T00:00:26"/>
    <x v="122"/>
    <m/>
    <x v="2"/>
    <s v="Foraging"/>
    <s v="NA"/>
    <n v="1"/>
    <m/>
    <n v="0"/>
    <s v="Human food"/>
    <s v="Human food"/>
    <s v="Picinic table"/>
    <s v="NA"/>
    <s v="NA"/>
    <s v="NA"/>
    <s v="NA"/>
    <m/>
    <m/>
    <s v="NA"/>
    <s v="NA"/>
    <m/>
    <m/>
    <m/>
    <m/>
    <n v="0"/>
    <n v="0"/>
    <n v="0"/>
    <n v="0"/>
    <n v="0"/>
    <n v="22"/>
    <n v="22"/>
    <m/>
    <s v="Campt stove and picinic table"/>
    <m/>
    <m/>
  </r>
  <r>
    <s v="DSCN1913"/>
    <s v="MC1019_8"/>
    <n v="8"/>
    <n v="1"/>
    <x v="2"/>
    <d v="2018-10-19T00:00:00"/>
    <s v="October"/>
    <s v="Fall"/>
    <d v="1899-12-30T00:20:00"/>
    <d v="1899-12-30T00:00:20"/>
    <x v="122"/>
    <m/>
    <x v="2"/>
    <s v="Foraging"/>
    <s v="Spruce"/>
    <n v="0"/>
    <m/>
    <n v="0"/>
    <m/>
    <s v="NA"/>
    <s v="NA"/>
    <s v="NA"/>
    <s v="NA"/>
    <s v="NA"/>
    <s v="NA"/>
    <m/>
    <m/>
    <s v="NA"/>
    <s v="NA"/>
    <m/>
    <m/>
    <m/>
    <m/>
    <n v="5"/>
    <n v="9"/>
    <n v="5"/>
    <n v="9"/>
    <n v="0"/>
    <n v="0"/>
    <n v="14"/>
    <s v="Searching"/>
    <m/>
    <m/>
    <m/>
  </r>
  <r>
    <s v="DSCN1918"/>
    <s v="MC1019_9"/>
    <n v="9"/>
    <n v="1"/>
    <x v="2"/>
    <d v="2018-10-19T00:00:00"/>
    <s v="October"/>
    <s v="Fall"/>
    <d v="1899-12-30T00:54:00"/>
    <d v="1899-12-30T00:00:54"/>
    <x v="122"/>
    <m/>
    <x v="2"/>
    <s v="Foraging"/>
    <s v="Aspen and spruce"/>
    <n v="1"/>
    <m/>
    <n v="0"/>
    <s v="Insect"/>
    <s v="Insect"/>
    <s v="Curled up aspen leaf"/>
    <s v="NA"/>
    <s v="NA"/>
    <s v="NA"/>
    <s v="NA"/>
    <m/>
    <m/>
    <s v="NA"/>
    <s v="NA"/>
    <m/>
    <m/>
    <m/>
    <m/>
    <n v="10"/>
    <n v="0"/>
    <n v="0"/>
    <n v="10"/>
    <n v="0"/>
    <n v="0"/>
    <n v="10"/>
    <m/>
    <m/>
    <m/>
    <m/>
  </r>
  <r>
    <s v="DSCN1919"/>
    <s v="MC1019_10"/>
    <n v="10"/>
    <n v="1"/>
    <x v="2"/>
    <d v="2018-10-19T00:00:00"/>
    <s v="October"/>
    <s v="Fall"/>
    <d v="1899-12-30T00:19:00"/>
    <d v="1899-12-30T00:00:19"/>
    <x v="122"/>
    <m/>
    <x v="2"/>
    <s v="Foraging"/>
    <s v="Aspen and spruce"/>
    <s v="unknown"/>
    <m/>
    <s v="Unknown"/>
    <s v="Unknown"/>
    <s v="Unknown"/>
    <s v="NA"/>
    <s v="NA"/>
    <m/>
    <m/>
    <m/>
    <m/>
    <m/>
    <s v="NA"/>
    <s v="NA"/>
    <m/>
    <m/>
    <m/>
    <m/>
    <n v="19"/>
    <n v="0"/>
    <n v="13"/>
    <n v="6"/>
    <n v="0"/>
    <n v="0"/>
    <n v="19"/>
    <m/>
    <m/>
    <m/>
    <m/>
  </r>
  <r>
    <s v="DSCN1920"/>
    <s v="MC1019_11"/>
    <n v="11"/>
    <n v="1"/>
    <x v="2"/>
    <d v="2018-10-19T00:00:00"/>
    <s v="October"/>
    <s v="Fall"/>
    <d v="1899-12-30T00:57:00"/>
    <d v="1899-12-30T00:00:57"/>
    <x v="122"/>
    <m/>
    <x v="2"/>
    <s v="Foraging"/>
    <s v="Aspen"/>
    <n v="2"/>
    <m/>
    <n v="0"/>
    <s v="Unknown"/>
    <s v="Unknown"/>
    <s v="Under aspen bark"/>
    <s v="NA"/>
    <s v="NA"/>
    <s v="NA"/>
    <s v="NA"/>
    <m/>
    <m/>
    <s v="NA"/>
    <s v="NA"/>
    <m/>
    <m/>
    <m/>
    <m/>
    <n v="40"/>
    <n v="0"/>
    <n v="36"/>
    <n v="4"/>
    <n v="0"/>
    <n v="0"/>
    <n v="40"/>
    <s v="Probing"/>
    <m/>
    <n v="4"/>
    <n v="0"/>
  </r>
  <r>
    <s v="DSCN1925"/>
    <s v="MC1019_13"/>
    <n v="13"/>
    <n v="1"/>
    <x v="2"/>
    <d v="2018-10-19T00:00:00"/>
    <s v="October"/>
    <s v="Fall"/>
    <d v="1899-12-30T00:26:00"/>
    <d v="1899-12-30T00:00:26"/>
    <x v="122"/>
    <m/>
    <x v="2"/>
    <s v="Foraging"/>
    <s v="Spruce, Aspen"/>
    <n v="0"/>
    <m/>
    <n v="0"/>
    <m/>
    <s v="NA"/>
    <s v="NA"/>
    <s v="NA"/>
    <s v="NA"/>
    <s v="NA"/>
    <s v="NA"/>
    <m/>
    <m/>
    <s v="NA"/>
    <s v="NA"/>
    <m/>
    <m/>
    <m/>
    <m/>
    <n v="5"/>
    <n v="13"/>
    <n v="0"/>
    <n v="18"/>
    <n v="0"/>
    <n v="0"/>
    <n v="18"/>
    <s v="Searching "/>
    <m/>
    <m/>
    <m/>
  </r>
  <r>
    <s v="DSCN1926"/>
    <s v="MC1019_14"/>
    <n v="14"/>
    <n v="1"/>
    <x v="2"/>
    <d v="2018-10-19T00:00:00"/>
    <s v="October"/>
    <s v="Fall"/>
    <d v="1899-12-30T00:33:00"/>
    <d v="1899-12-30T00:00:33"/>
    <x v="122"/>
    <m/>
    <x v="2"/>
    <s v="Foraging"/>
    <s v="Aspen"/>
    <n v="0"/>
    <m/>
    <n v="0"/>
    <m/>
    <s v="NA"/>
    <s v="NA"/>
    <s v="NA"/>
    <s v="NA"/>
    <s v="NA"/>
    <s v="NA"/>
    <m/>
    <m/>
    <s v="NA"/>
    <s v="NA"/>
    <m/>
    <m/>
    <m/>
    <m/>
    <n v="29"/>
    <n v="0"/>
    <n v="0"/>
    <n v="29"/>
    <n v="0"/>
    <n v="0"/>
    <n v="29"/>
    <s v="Searching"/>
    <m/>
    <m/>
    <m/>
  </r>
  <r>
    <s v="DSCN1928"/>
    <s v="MC1019_15"/>
    <n v="15"/>
    <n v="1"/>
    <x v="2"/>
    <d v="2018-10-19T00:00:00"/>
    <s v="October"/>
    <s v="Fall"/>
    <d v="1899-12-30T00:42:00"/>
    <d v="1899-12-30T00:00:42"/>
    <x v="122"/>
    <m/>
    <x v="2"/>
    <s v="Foraging"/>
    <s v="Spruce"/>
    <n v="1"/>
    <m/>
    <n v="0"/>
    <s v="Unknown"/>
    <s v="Unknown"/>
    <s v="bare aspen branch"/>
    <s v="NA"/>
    <s v="NA"/>
    <s v="NA"/>
    <s v="NA"/>
    <m/>
    <m/>
    <s v="NA"/>
    <s v="NA"/>
    <m/>
    <m/>
    <m/>
    <m/>
    <n v="0"/>
    <n v="20"/>
    <n v="0"/>
    <n v="20"/>
    <n v="0"/>
    <n v="0"/>
    <n v="20"/>
    <s v="Searching"/>
    <m/>
    <m/>
    <m/>
  </r>
  <r>
    <s v="DSCN1930"/>
    <s v="MC1019_16"/>
    <n v="16"/>
    <n v="1"/>
    <x v="2"/>
    <d v="2018-10-19T00:00:00"/>
    <s v="October"/>
    <s v="Fall"/>
    <d v="1899-12-30T00:10:00"/>
    <d v="1899-12-30T00:00:10"/>
    <x v="122"/>
    <m/>
    <x v="2"/>
    <s v="Foraging"/>
    <s v="NA"/>
    <n v="1"/>
    <m/>
    <n v="0"/>
    <s v="Unknown"/>
    <s v="Unknown"/>
    <s v="Ground"/>
    <s v="NA"/>
    <s v="NA"/>
    <s v="NA"/>
    <s v="NA"/>
    <m/>
    <m/>
    <s v="NA"/>
    <s v="NA"/>
    <m/>
    <m/>
    <m/>
    <m/>
    <n v="0"/>
    <n v="0"/>
    <n v="0"/>
    <n v="0"/>
    <n v="0"/>
    <n v="0"/>
    <n v="0"/>
    <m/>
    <s v="Starting filimg after it pcked it up "/>
    <m/>
    <m/>
  </r>
  <r>
    <s v="DSCN1931"/>
    <s v="MC1019_17"/>
    <n v="17"/>
    <n v="1"/>
    <x v="2"/>
    <d v="2018-10-19T00:00:00"/>
    <s v="October"/>
    <s v="Fall"/>
    <d v="1899-12-30T00:25:00"/>
    <d v="1899-12-30T00:00:25"/>
    <x v="122"/>
    <m/>
    <x v="2"/>
    <s v="Foraging or caching"/>
    <s v="Spruce"/>
    <s v="unknown"/>
    <m/>
    <s v="Unknown"/>
    <s v="Unknown"/>
    <s v="Unknown"/>
    <s v="NA"/>
    <s v="NA"/>
    <m/>
    <m/>
    <m/>
    <m/>
    <m/>
    <s v="NA"/>
    <s v="NA"/>
    <m/>
    <m/>
    <m/>
    <m/>
    <n v="15"/>
    <n v="0"/>
    <n v="10"/>
    <n v="5"/>
    <n v="0"/>
    <n v="0"/>
    <n v="15"/>
    <s v="Searching"/>
    <s v="Was wither foraging or caching.  Provided foraging time just in case. "/>
    <m/>
    <m/>
  </r>
  <r>
    <s v="DSCN1932"/>
    <s v="MC1019_18"/>
    <n v="18"/>
    <n v="1"/>
    <x v="2"/>
    <d v="2018-10-19T00:00:00"/>
    <s v="October"/>
    <s v="Fall"/>
    <d v="1899-12-30T00:10:00"/>
    <d v="1899-12-30T00:00:10"/>
    <x v="122"/>
    <m/>
    <x v="2"/>
    <s v="Foraging or caching"/>
    <s v="Spruce"/>
    <s v="unknown"/>
    <m/>
    <s v="Unknown"/>
    <s v="Unknown"/>
    <s v="Unknown"/>
    <s v="NA"/>
    <s v="NA"/>
    <m/>
    <m/>
    <m/>
    <m/>
    <m/>
    <s v="NA"/>
    <s v="NA"/>
    <m/>
    <m/>
    <m/>
    <m/>
    <n v="10"/>
    <n v="0"/>
    <n v="10"/>
    <n v="0"/>
    <n v="0"/>
    <n v="0"/>
    <n v="10"/>
    <m/>
    <m/>
    <m/>
    <m/>
  </r>
  <r>
    <s v="DSCN1934"/>
    <s v="MC1019_19"/>
    <n v="19"/>
    <n v="1"/>
    <x v="2"/>
    <d v="2018-10-19T00:00:00"/>
    <s v="October"/>
    <s v="Fall"/>
    <d v="1899-12-30T00:16:00"/>
    <d v="1899-12-30T00:00:16"/>
    <x v="122"/>
    <m/>
    <x v="2"/>
    <s v="Caching"/>
    <s v="Spruce"/>
    <n v="0"/>
    <m/>
    <n v="1"/>
    <s v="Unknown"/>
    <s v="Unknown"/>
    <s v="unknown"/>
    <s v="Exterior spruce tree in mistletoe"/>
    <s v="Spruce"/>
    <s v="Exterior"/>
    <s v="Under bark"/>
    <m/>
    <m/>
    <s v="unknown"/>
    <n v="63.735639999999997"/>
    <n v="148.89315999999999"/>
    <m/>
    <m/>
    <m/>
    <n v="0"/>
    <n v="0"/>
    <n v="0"/>
    <n v="0"/>
    <n v="0"/>
    <n v="0"/>
    <n v="0"/>
    <m/>
    <m/>
    <m/>
    <m/>
  </r>
  <r>
    <s v="DSCN1937"/>
    <s v="MC1019_21"/>
    <n v="21"/>
    <n v="1"/>
    <x v="2"/>
    <d v="2018-10-19T00:00:00"/>
    <s v="October"/>
    <s v="Fall"/>
    <d v="1899-12-30T00:54:00"/>
    <d v="1899-12-30T00:00:54"/>
    <x v="122"/>
    <m/>
    <x v="2"/>
    <s v="Foraging"/>
    <s v="Spruce"/>
    <n v="0"/>
    <m/>
    <n v="0"/>
    <m/>
    <s v="NA"/>
    <s v="NA"/>
    <s v="NA"/>
    <s v="NA"/>
    <s v="NA"/>
    <s v="NA"/>
    <m/>
    <m/>
    <s v="NA"/>
    <s v="NA"/>
    <m/>
    <m/>
    <m/>
    <m/>
    <n v="7"/>
    <n v="0"/>
    <n v="7"/>
    <n v="0"/>
    <n v="0"/>
    <n v="0"/>
    <n v="7"/>
    <s v="Probing"/>
    <s v="Had a leaf at the start of the video B&amp;Ut no telling if there was food in it or not"/>
    <n v="3"/>
    <n v="0"/>
  </r>
  <r>
    <s v="DSCN1939"/>
    <s v="MC1019_23"/>
    <n v="23"/>
    <n v="1"/>
    <x v="2"/>
    <d v="2018-10-19T00:00:00"/>
    <s v="October"/>
    <s v="Fall"/>
    <d v="1899-12-30T00:13:00"/>
    <d v="1899-12-30T00:00:13"/>
    <x v="122"/>
    <m/>
    <x v="2"/>
    <s v="Foraging"/>
    <s v="Spruce"/>
    <n v="0"/>
    <m/>
    <n v="0"/>
    <m/>
    <s v="NA"/>
    <s v="NA"/>
    <s v="NA"/>
    <s v="NA"/>
    <s v="NA"/>
    <s v="NA"/>
    <m/>
    <m/>
    <s v="NA"/>
    <s v="NA"/>
    <m/>
    <m/>
    <m/>
    <m/>
    <n v="0"/>
    <n v="13"/>
    <n v="0"/>
    <n v="13"/>
    <n v="0"/>
    <n v="0"/>
    <n v="13"/>
    <s v="Searching"/>
    <m/>
    <m/>
    <m/>
  </r>
  <r>
    <s v="DSCN1942"/>
    <s v="MC1019_25"/>
    <n v="25"/>
    <n v="1"/>
    <x v="2"/>
    <d v="2018-10-19T00:00:00"/>
    <s v="October"/>
    <s v="Fall"/>
    <d v="1899-12-30T00:16:00"/>
    <d v="1899-12-30T00:00:16"/>
    <x v="122"/>
    <m/>
    <x v="2"/>
    <s v="Foraging"/>
    <s v="Aspen"/>
    <n v="0"/>
    <m/>
    <n v="0"/>
    <m/>
    <s v="NA"/>
    <s v="NA"/>
    <s v="NA"/>
    <s v="NA"/>
    <s v="NA"/>
    <s v="NA"/>
    <m/>
    <m/>
    <s v="NA"/>
    <s v="NA"/>
    <m/>
    <m/>
    <m/>
    <m/>
    <n v="13"/>
    <n v="0"/>
    <n v="0"/>
    <n v="13"/>
    <n v="0"/>
    <n v="0"/>
    <n v="13"/>
    <s v="Probing"/>
    <m/>
    <n v="1"/>
    <n v="0"/>
  </r>
  <r>
    <s v="DSCN1944"/>
    <s v="MC1019_26"/>
    <n v="26"/>
    <n v="1"/>
    <x v="2"/>
    <d v="2018-10-19T00:00:00"/>
    <s v="October"/>
    <s v="Fall"/>
    <d v="1899-12-30T00:19:00"/>
    <d v="1899-12-30T00:00:19"/>
    <x v="122"/>
    <m/>
    <x v="2"/>
    <s v="Foraging"/>
    <s v="Spruce"/>
    <n v="1"/>
    <m/>
    <n v="0"/>
    <s v="Unknown"/>
    <s v="Unknown"/>
    <s v="Spruce trunk)"/>
    <s v="NA"/>
    <s v="NA"/>
    <s v="NA"/>
    <s v="NA"/>
    <m/>
    <m/>
    <s v="NA"/>
    <s v="NA"/>
    <m/>
    <m/>
    <m/>
    <m/>
    <n v="19"/>
    <n v="0"/>
    <n v="19"/>
    <n v="0"/>
    <n v="0"/>
    <n v="0"/>
    <n v="19"/>
    <s v="Gleaning"/>
    <m/>
    <n v="0"/>
    <n v="2"/>
  </r>
  <r>
    <s v="DSCN1944"/>
    <s v="MC1019_26"/>
    <n v="26"/>
    <n v="2"/>
    <x v="2"/>
    <d v="2018-10-19T00:00:00"/>
    <s v="October"/>
    <s v="Fall"/>
    <d v="1899-12-30T00:19:00"/>
    <d v="1899-12-30T00:00:19"/>
    <x v="122"/>
    <m/>
    <x v="2"/>
    <s v="Foraging"/>
    <s v="Spruce"/>
    <n v="1"/>
    <m/>
    <n v="0"/>
    <s v="Insect"/>
    <s v="Insect (worm or caterpillar)"/>
    <s v="Spruce trunk"/>
    <s v="NA"/>
    <s v="NA"/>
    <s v="NA"/>
    <s v="NA"/>
    <m/>
    <m/>
    <s v="NA"/>
    <s v="NA"/>
    <m/>
    <m/>
    <m/>
    <m/>
    <n v="0"/>
    <n v="0"/>
    <n v="0"/>
    <n v="0"/>
    <n v="0"/>
    <n v="0"/>
    <n v="0"/>
    <s v="Gleaning"/>
    <m/>
    <n v="0"/>
    <n v="2"/>
  </r>
  <r>
    <s v="DSCN1950"/>
    <s v="MC1019_27"/>
    <n v="27"/>
    <n v="1"/>
    <x v="2"/>
    <d v="2018-10-19T00:00:00"/>
    <s v="October"/>
    <s v="Fall"/>
    <d v="1899-12-30T00:22:00"/>
    <d v="1899-12-30T00:00:22"/>
    <x v="122"/>
    <m/>
    <x v="2"/>
    <s v="Foraging"/>
    <s v="Aspen and spruce"/>
    <s v="unknown"/>
    <m/>
    <n v="0"/>
    <m/>
    <s v="NA"/>
    <s v="NA"/>
    <s v="NA"/>
    <s v="NA"/>
    <s v="NA"/>
    <s v="NA"/>
    <m/>
    <m/>
    <s v="NA"/>
    <s v="NA"/>
    <m/>
    <m/>
    <m/>
    <m/>
    <n v="9"/>
    <n v="2"/>
    <n v="0"/>
    <n v="11"/>
    <n v="0"/>
    <n v="0"/>
    <n v="11"/>
    <s v="Searching"/>
    <m/>
    <m/>
    <m/>
  </r>
  <r>
    <s v="DSCN1954"/>
    <s v="MC1019_28"/>
    <n v="28"/>
    <n v="1"/>
    <x v="2"/>
    <d v="2018-10-19T00:00:00"/>
    <s v="October"/>
    <s v="Fall"/>
    <d v="1899-12-30T00:14:00"/>
    <d v="1899-12-30T00:00:14"/>
    <x v="122"/>
    <m/>
    <x v="2"/>
    <s v="Foraging"/>
    <s v="NA"/>
    <n v="1"/>
    <m/>
    <n v="0"/>
    <s v="Unknown"/>
    <s v="Unknown"/>
    <s v="Ground"/>
    <s v="NA"/>
    <s v="NA"/>
    <s v="NA"/>
    <s v="NA"/>
    <m/>
    <m/>
    <s v="NA"/>
    <s v="NA"/>
    <m/>
    <m/>
    <m/>
    <m/>
    <n v="0"/>
    <n v="0"/>
    <n v="0"/>
    <n v="0"/>
    <n v="8"/>
    <n v="0"/>
    <n v="8"/>
    <m/>
    <m/>
    <m/>
    <m/>
  </r>
  <r>
    <s v="DSCN2058"/>
    <s v="MC1024_1"/>
    <n v="1"/>
    <n v="1"/>
    <x v="2"/>
    <d v="2018-10-24T00:00:00"/>
    <s v="October"/>
    <s v="Fall"/>
    <d v="1899-12-30T00:16:00"/>
    <d v="1899-12-30T00:00:16"/>
    <x v="122"/>
    <s v="Overcast"/>
    <x v="2"/>
    <s v="Foraging"/>
    <s v="Spruce"/>
    <n v="1"/>
    <m/>
    <n v="0"/>
    <s v="Unknown"/>
    <s v="Unknown"/>
    <s v="Exterior dense foliage of spruce"/>
    <s v="NA"/>
    <s v="NA"/>
    <s v="NA"/>
    <s v="NA"/>
    <m/>
    <m/>
    <s v="NA"/>
    <s v="NA"/>
    <m/>
    <m/>
    <m/>
    <m/>
    <n v="0"/>
    <n v="6"/>
    <n v="0"/>
    <n v="6"/>
    <n v="0"/>
    <n v="0"/>
    <n v="6"/>
    <s v="Searching"/>
    <m/>
    <m/>
    <m/>
  </r>
  <r>
    <s v="DSCN2059"/>
    <s v="MC1024_2"/>
    <n v="2"/>
    <n v="1"/>
    <x v="2"/>
    <d v="2018-10-24T00:00:00"/>
    <s v="October"/>
    <s v="Fall"/>
    <d v="1899-12-30T00:17:00"/>
    <d v="1899-12-30T00:00:17"/>
    <x v="122"/>
    <m/>
    <x v="2"/>
    <s v="Caching"/>
    <s v="Spruce"/>
    <n v="0"/>
    <m/>
    <n v="1"/>
    <s v="Unknown"/>
    <s v="Unknown"/>
    <s v="Exterior dense foliage of spruce"/>
    <s v="Exterior spruce foliage"/>
    <s v="Spruce"/>
    <s v="Exterior"/>
    <s v="Foliage"/>
    <m/>
    <m/>
    <n v="5"/>
    <n v="63.736159999999998"/>
    <n v="148.89746"/>
    <m/>
    <m/>
    <m/>
    <n v="0"/>
    <n v="0"/>
    <n v="0"/>
    <n v="0"/>
    <n v="0"/>
    <n v="0"/>
    <n v="0"/>
    <m/>
    <m/>
    <m/>
    <m/>
  </r>
  <r>
    <s v="DSCN2156"/>
    <s v="MC1025_4"/>
    <n v="4"/>
    <n v="1"/>
    <x v="2"/>
    <d v="2018-10-25T00:00:00"/>
    <s v="October"/>
    <s v="Fall"/>
    <d v="1899-12-30T00:38:00"/>
    <d v="1899-12-30T00:00:38"/>
    <x v="122"/>
    <m/>
    <x v="2"/>
    <s v="Foraging"/>
    <s v="Spruce, Aspen"/>
    <n v="0"/>
    <m/>
    <n v="0"/>
    <m/>
    <s v="NA"/>
    <s v="NA"/>
    <s v="NA"/>
    <s v="NA"/>
    <s v="NA"/>
    <s v="NA"/>
    <m/>
    <m/>
    <s v="NA"/>
    <s v="NA"/>
    <m/>
    <m/>
    <m/>
    <m/>
    <n v="19"/>
    <n v="8"/>
    <n v="8"/>
    <n v="19"/>
    <n v="0"/>
    <n v="0"/>
    <n v="27"/>
    <s v="Probing"/>
    <m/>
    <n v="1"/>
    <n v="0"/>
  </r>
  <r>
    <s v="DSCN2158"/>
    <s v="MC1025_6"/>
    <n v="6"/>
    <n v="1"/>
    <x v="2"/>
    <d v="2018-10-25T00:00:00"/>
    <s v="October"/>
    <s v="Fall"/>
    <d v="1899-12-30T00:16:00"/>
    <d v="1899-12-30T00:00:16"/>
    <x v="122"/>
    <m/>
    <x v="2"/>
    <s v="Foraging"/>
    <s v="Spruce"/>
    <n v="0"/>
    <m/>
    <n v="0"/>
    <m/>
    <s v="NA"/>
    <s v="NA"/>
    <s v="NA"/>
    <s v="NA"/>
    <s v="NA"/>
    <s v="NA"/>
    <m/>
    <m/>
    <s v="NA"/>
    <s v="NA"/>
    <m/>
    <m/>
    <m/>
    <m/>
    <n v="11"/>
    <n v="0"/>
    <n v="11"/>
    <n v="0"/>
    <n v="6"/>
    <n v="0"/>
    <n v="17"/>
    <m/>
    <m/>
    <m/>
    <m/>
  </r>
  <r>
    <s v="DSCN2163"/>
    <s v="MC1025_8"/>
    <n v="8"/>
    <n v="1"/>
    <x v="2"/>
    <d v="2018-10-25T00:00:00"/>
    <s v="October"/>
    <s v="Fall"/>
    <d v="1899-12-30T00:08:00"/>
    <d v="1899-12-30T00:00:08"/>
    <x v="122"/>
    <m/>
    <x v="2"/>
    <s v="Food handling"/>
    <s v="Spruce"/>
    <n v="1"/>
    <m/>
    <n v="0"/>
    <s v="Unknown"/>
    <s v="Unknown"/>
    <s v="unknown"/>
    <s v="NA"/>
    <s v="NA"/>
    <s v="NA"/>
    <s v="NA"/>
    <m/>
    <m/>
    <s v="NA"/>
    <s v="NA"/>
    <m/>
    <m/>
    <m/>
    <m/>
    <n v="0"/>
    <n v="0"/>
    <n v="0"/>
    <n v="0"/>
    <n v="0"/>
    <n v="0"/>
    <n v="0"/>
    <m/>
    <s v="Could not find cache so did not mark. "/>
    <m/>
    <m/>
  </r>
  <r>
    <s v="DSCN2166"/>
    <s v="MC1025_9"/>
    <n v="9"/>
    <n v="1"/>
    <x v="2"/>
    <d v="2018-10-25T00:00:00"/>
    <s v="October"/>
    <s v="Fall"/>
    <d v="1899-12-30T00:49:00"/>
    <d v="1899-12-30T00:00:49"/>
    <x v="122"/>
    <m/>
    <x v="2"/>
    <s v="Foraging"/>
    <s v="Spruce"/>
    <n v="0"/>
    <m/>
    <n v="0"/>
    <m/>
    <s v="NA"/>
    <s v="NA"/>
    <s v="NA"/>
    <s v="NA"/>
    <s v="NA"/>
    <s v="NA"/>
    <m/>
    <m/>
    <s v="NA"/>
    <s v="NA"/>
    <m/>
    <m/>
    <m/>
    <m/>
    <n v="8"/>
    <n v="2"/>
    <n v="2"/>
    <n v="8"/>
    <n v="0"/>
    <n v="0"/>
    <n v="10"/>
    <m/>
    <m/>
    <m/>
    <m/>
  </r>
  <r>
    <s v="DSCN2168"/>
    <s v="MC1025_10"/>
    <n v="10"/>
    <n v="1"/>
    <x v="2"/>
    <d v="2018-10-25T00:00:00"/>
    <s v="October"/>
    <s v="Fall"/>
    <d v="1899-12-30T01:35:00"/>
    <d v="1899-12-30T00:01:35"/>
    <x v="122"/>
    <m/>
    <x v="2"/>
    <s v="Foraging"/>
    <s v="Spruce"/>
    <n v="1"/>
    <m/>
    <n v="1"/>
    <s v="Animal flesh"/>
    <s v="Animal flesh (Snowshoe hare)"/>
    <s v="Ground"/>
    <s v="Interior bare spruce branch "/>
    <s v="Spruce"/>
    <s v="Interior"/>
    <s v="Branch"/>
    <m/>
    <m/>
    <n v="9"/>
    <n v="63.732770000000002"/>
    <n v="148.89867000000001"/>
    <m/>
    <m/>
    <m/>
    <n v="0"/>
    <n v="0"/>
    <n v="0"/>
    <n v="0"/>
    <n v="0"/>
    <n v="0"/>
    <n v="0"/>
    <m/>
    <m/>
    <m/>
    <m/>
  </r>
  <r>
    <s v="DSCN2168"/>
    <s v="MC1025_10"/>
    <n v="10"/>
    <n v="2"/>
    <x v="2"/>
    <d v="2018-10-25T00:00:00"/>
    <s v="October"/>
    <s v="Fall"/>
    <d v="1899-12-30T01:35:00"/>
    <d v="1899-12-30T00:01:35"/>
    <x v="122"/>
    <m/>
    <x v="2"/>
    <s v="Foraging"/>
    <s v="Spruce"/>
    <n v="1"/>
    <m/>
    <n v="1"/>
    <s v="Animal flesh"/>
    <s v="Animal flesh (Snowshoe hare)"/>
    <s v="Ground"/>
    <s v="Exterior spruce foliage"/>
    <s v="Spruce"/>
    <s v="Exterior"/>
    <s v="Foliage"/>
    <m/>
    <m/>
    <n v="9"/>
    <n v="63.732770000000002"/>
    <n v="148.89867000000001"/>
    <m/>
    <m/>
    <m/>
    <n v="0"/>
    <n v="0"/>
    <n v="0"/>
    <n v="0"/>
    <n v="0"/>
    <n v="0"/>
    <n v="0"/>
    <s v="Same tree as previous cache"/>
    <m/>
    <m/>
    <m/>
  </r>
  <r>
    <s v="DSCN2169"/>
    <s v="MC1025_11"/>
    <n v="11"/>
    <n v="1"/>
    <x v="2"/>
    <d v="2018-10-25T00:00:00"/>
    <s v="October"/>
    <s v="Fall"/>
    <d v="1899-12-30T00:28:00"/>
    <d v="1899-12-30T00:00:28"/>
    <x v="122"/>
    <m/>
    <x v="2"/>
    <s v="Caching"/>
    <s v="Spruce"/>
    <n v="0"/>
    <m/>
    <n v="1"/>
    <s v="Animal flesh"/>
    <s v="Animal flesh (Snowshoe hare)"/>
    <s v="Ground"/>
    <s v="Exterior spruce foliage"/>
    <s v="Spruce"/>
    <s v="Exterior"/>
    <s v="Foliage"/>
    <m/>
    <m/>
    <n v="25"/>
    <n v="63.733040000000003"/>
    <n v="148.89887999999999"/>
    <m/>
    <m/>
    <m/>
    <n v="0"/>
    <n v="0"/>
    <n v="0"/>
    <n v="0"/>
    <n v="0"/>
    <n v="0"/>
    <n v="0"/>
    <m/>
    <s v="Same hare as before "/>
    <m/>
    <m/>
  </r>
  <r>
    <s v="DSCN2170"/>
    <s v="MC1025_12"/>
    <n v="12"/>
    <n v="1"/>
    <x v="2"/>
    <d v="2018-10-25T00:00:00"/>
    <s v="October"/>
    <s v="Fall"/>
    <d v="1899-12-30T00:50:00"/>
    <d v="1899-12-30T00:00:05"/>
    <x v="122"/>
    <m/>
    <x v="2"/>
    <s v="Caching"/>
    <s v="Spruce"/>
    <n v="0"/>
    <m/>
    <n v="1"/>
    <s v="Animal flesh"/>
    <s v="Animal flesh (Snowshoe hare)"/>
    <s v="Ground"/>
    <s v="Exterior spruce foliage"/>
    <s v="Spruce"/>
    <s v="Exterior"/>
    <s v="Foliage"/>
    <m/>
    <m/>
    <n v="30"/>
    <n v="63.733040000000003"/>
    <n v="148.89893000000001"/>
    <m/>
    <m/>
    <m/>
    <n v="0"/>
    <n v="0"/>
    <n v="0"/>
    <n v="0"/>
    <n v="0"/>
    <n v="0"/>
    <n v="0"/>
    <m/>
    <s v="Caching from piece of hare it took earlier"/>
    <m/>
    <m/>
  </r>
  <r>
    <s v="DSCN2170"/>
    <s v="MC1025_12"/>
    <n v="12"/>
    <n v="2"/>
    <x v="2"/>
    <d v="2018-10-25T00:00:00"/>
    <s v="October"/>
    <s v="Fall"/>
    <d v="1899-12-30T00:50:00"/>
    <d v="1899-12-30T00:00:05"/>
    <x v="122"/>
    <m/>
    <x v="2"/>
    <s v="Caching"/>
    <s v="Spruce"/>
    <n v="0"/>
    <m/>
    <n v="1"/>
    <s v="Animal flesh"/>
    <s v="Animal flesh (Snowshoe hare)"/>
    <s v="Ground"/>
    <s v="Exterior spruce foliage"/>
    <s v="Spruce"/>
    <s v="Exterior"/>
    <s v="Foliage"/>
    <m/>
    <m/>
    <n v="30"/>
    <n v="63.733020000000003"/>
    <n v="148.89896999999999"/>
    <m/>
    <m/>
    <m/>
    <n v="0"/>
    <n v="0"/>
    <n v="0"/>
    <n v="0"/>
    <n v="0"/>
    <n v="0"/>
    <n v="0"/>
    <m/>
    <s v="Caching from piece of hare it took earlier"/>
    <m/>
    <m/>
  </r>
  <r>
    <s v="DSCN2257"/>
    <s v="MC1029_1"/>
    <n v="1"/>
    <n v="1"/>
    <x v="2"/>
    <d v="2018-10-29T00:00:00"/>
    <s v="October"/>
    <s v="Fall"/>
    <d v="1899-12-30T00:39:00"/>
    <d v="1899-12-30T00:00:39"/>
    <x v="122"/>
    <s v="Clear"/>
    <x v="2"/>
    <s v="Foraging"/>
    <s v="NA"/>
    <n v="1"/>
    <m/>
    <n v="0"/>
    <s v="Berry"/>
    <s v="Berry"/>
    <s v="Ground"/>
    <s v="NA"/>
    <s v="NA"/>
    <s v="NA"/>
    <s v="NA"/>
    <m/>
    <m/>
    <s v="NA"/>
    <s v="NA"/>
    <m/>
    <m/>
    <m/>
    <m/>
    <n v="0"/>
    <n v="0"/>
    <n v="0"/>
    <n v="0"/>
    <n v="12"/>
    <n v="0"/>
    <n v="12"/>
    <m/>
    <m/>
    <m/>
    <m/>
  </r>
  <r>
    <s v="DSCN2258"/>
    <s v="MC1029_2"/>
    <n v="2"/>
    <n v="1"/>
    <x v="2"/>
    <d v="2018-10-29T00:00:00"/>
    <s v="October"/>
    <s v="Fall"/>
    <d v="1899-12-30T00:08:00"/>
    <d v="1899-12-30T00:00:08"/>
    <x v="122"/>
    <s v="Clear"/>
    <x v="2"/>
    <s v="Foraging"/>
    <s v="NA"/>
    <s v="unknown"/>
    <m/>
    <n v="0"/>
    <m/>
    <s v="NA"/>
    <s v="NA"/>
    <s v="NA"/>
    <s v="NA"/>
    <s v="NA"/>
    <s v="NA"/>
    <m/>
    <m/>
    <s v="NA"/>
    <s v="NA"/>
    <m/>
    <m/>
    <m/>
    <m/>
    <n v="0"/>
    <n v="0"/>
    <n v="0"/>
    <n v="0"/>
    <n v="4"/>
    <n v="0"/>
    <n v="4"/>
    <m/>
    <m/>
    <m/>
    <m/>
  </r>
  <r>
    <s v="DSCN2259"/>
    <s v="MC1029_3"/>
    <n v="3"/>
    <n v="1"/>
    <x v="2"/>
    <d v="2018-10-29T00:00:00"/>
    <s v="October"/>
    <s v="Fall"/>
    <d v="1899-12-30T00:47:00"/>
    <d v="1899-12-30T00:00:47"/>
    <x v="122"/>
    <s v="Clear"/>
    <x v="2"/>
    <s v="Foraging (Cache recovery)"/>
    <s v="Spruce"/>
    <n v="1"/>
    <m/>
    <n v="0"/>
    <s v="Berry"/>
    <s v="Berry (Blueberry)"/>
    <s v="Exterior spruce foliage"/>
    <s v="NA"/>
    <s v="NA"/>
    <s v="NA"/>
    <s v="NA"/>
    <m/>
    <m/>
    <s v="NA"/>
    <s v="NA"/>
    <m/>
    <m/>
    <m/>
    <m/>
    <n v="0"/>
    <n v="0"/>
    <n v="0"/>
    <n v="0"/>
    <n v="0"/>
    <n v="0"/>
    <n v="0"/>
    <m/>
    <s v="Video starts after it already got berry"/>
    <m/>
    <m/>
  </r>
  <r>
    <s v="DSCN2260"/>
    <s v="MC1029_4"/>
    <n v="4"/>
    <n v="1"/>
    <x v="2"/>
    <d v="2018-10-29T00:00:00"/>
    <s v="October"/>
    <s v="Fall"/>
    <d v="1899-12-30T00:24:00"/>
    <d v="1899-12-30T00:00:24"/>
    <x v="122"/>
    <s v="Clear"/>
    <x v="2"/>
    <s v="Foraging"/>
    <s v="NA"/>
    <n v="1"/>
    <m/>
    <n v="0"/>
    <s v="Berry"/>
    <s v="Berry (Blueberry)"/>
    <s v="Ground"/>
    <s v="NA"/>
    <s v="NA"/>
    <s v="NA"/>
    <s v="NA"/>
    <m/>
    <m/>
    <s v="NA"/>
    <s v="NA"/>
    <m/>
    <m/>
    <m/>
    <m/>
    <n v="0"/>
    <n v="0"/>
    <n v="0"/>
    <n v="0"/>
    <n v="23"/>
    <n v="0"/>
    <n v="23"/>
    <m/>
    <m/>
    <m/>
    <m/>
  </r>
  <r>
    <s v="DSCN2261"/>
    <s v="MC1029_5"/>
    <n v="5"/>
    <n v="1"/>
    <x v="2"/>
    <d v="2018-10-29T00:00:00"/>
    <s v="October"/>
    <s v="Fall"/>
    <d v="1899-12-30T00:41:00"/>
    <d v="1899-12-30T00:00:41"/>
    <x v="122"/>
    <s v="Clear"/>
    <x v="2"/>
    <s v="Foraging"/>
    <s v="NA"/>
    <s v="unknown"/>
    <m/>
    <s v="Unknown"/>
    <s v="Unknown"/>
    <s v="Unknown"/>
    <s v="NA"/>
    <s v="NA"/>
    <m/>
    <m/>
    <m/>
    <m/>
    <m/>
    <s v="NA"/>
    <s v="NA"/>
    <m/>
    <m/>
    <m/>
    <m/>
    <n v="0"/>
    <n v="41"/>
    <n v="0"/>
    <n v="41"/>
    <n v="0"/>
    <n v="0"/>
    <n v="41"/>
    <m/>
    <m/>
    <m/>
    <m/>
  </r>
  <r>
    <s v="DSCB1853"/>
    <s v="RC1017_5"/>
    <n v="5"/>
    <n v="1"/>
    <x v="4"/>
    <d v="2018-10-17T00:00:00"/>
    <s v="October"/>
    <s v="Fall"/>
    <d v="1899-12-30T00:16:00"/>
    <d v="1899-12-30T00:00:16"/>
    <x v="122"/>
    <s v="Overcast"/>
    <x v="4"/>
    <s v="Foraging"/>
    <s v="Spruce"/>
    <s v="unknown"/>
    <m/>
    <n v="0"/>
    <m/>
    <s v="NA"/>
    <s v="NA"/>
    <s v="NA"/>
    <s v="NA"/>
    <s v="NA"/>
    <s v="NA"/>
    <m/>
    <m/>
    <s v="NA"/>
    <s v="NA"/>
    <m/>
    <m/>
    <m/>
    <m/>
    <n v="0"/>
    <n v="16"/>
    <n v="0"/>
    <n v="16"/>
    <n v="0"/>
    <n v="0"/>
    <n v="16"/>
    <m/>
    <m/>
    <m/>
    <m/>
  </r>
  <r>
    <s v="DSCN1432"/>
    <s v="RC1008_1"/>
    <n v="1"/>
    <n v="1"/>
    <x v="4"/>
    <d v="2018-10-08T00:00:00"/>
    <s v="October"/>
    <s v="Fall"/>
    <d v="1899-12-30T00:34:00"/>
    <d v="1899-12-30T00:00:34"/>
    <x v="122"/>
    <s v="Partly cloudy"/>
    <x v="4"/>
    <s v="Foraging/caching"/>
    <s v="Spruce"/>
    <n v="1"/>
    <m/>
    <n v="1"/>
    <s v="Unknown"/>
    <s v="Unknown"/>
    <s v="Ground"/>
    <s v="Interior bare spruce branch under bark"/>
    <s v="Spruce"/>
    <s v="Interior"/>
    <s v="Under bark"/>
    <m/>
    <m/>
    <n v="5"/>
    <n v="63.7239"/>
    <n v="148.94981000000001"/>
    <m/>
    <m/>
    <m/>
    <n v="0"/>
    <n v="0"/>
    <n v="0"/>
    <n v="0"/>
    <n v="2"/>
    <n v="0"/>
    <n v="2"/>
    <m/>
    <m/>
    <m/>
    <m/>
  </r>
  <r>
    <s v="DSCN1433"/>
    <s v="RC1008_2"/>
    <n v="2"/>
    <n v="1"/>
    <x v="4"/>
    <d v="2018-10-08T00:00:00"/>
    <s v="October"/>
    <s v="Fall"/>
    <d v="1899-12-30T00:08:00"/>
    <d v="1899-12-30T00:00:08"/>
    <x v="122"/>
    <s v="Mostly sunny"/>
    <x v="4"/>
    <s v="Foraging"/>
    <s v="Spruce"/>
    <n v="1"/>
    <m/>
    <n v="0"/>
    <s v="Insect"/>
    <s v="Insect (worm or caterpillar)"/>
    <s v="Exterior bare spruce branch"/>
    <s v="NA"/>
    <s v="NA"/>
    <s v="NA"/>
    <s v="NA"/>
    <m/>
    <m/>
    <s v="NA"/>
    <s v="NA"/>
    <m/>
    <m/>
    <m/>
    <m/>
    <n v="5"/>
    <n v="0"/>
    <n v="0"/>
    <n v="5"/>
    <n v="0"/>
    <n v="0"/>
    <n v="5"/>
    <m/>
    <m/>
    <m/>
    <m/>
  </r>
  <r>
    <s v="DSCN1435"/>
    <s v="RC1008_3"/>
    <n v="3"/>
    <n v="1"/>
    <x v="4"/>
    <d v="2018-10-08T00:00:00"/>
    <s v="October"/>
    <s v="Fall"/>
    <d v="1899-12-30T00:16:00"/>
    <d v="1899-12-30T00:00:16"/>
    <x v="122"/>
    <s v="Mostly sunny"/>
    <x v="4"/>
    <s v="Foraging/caching"/>
    <s v="Willow"/>
    <n v="1"/>
    <m/>
    <n v="1"/>
    <s v="Berry"/>
    <s v="Berry (Blueberry)"/>
    <s v="Ground"/>
    <s v="Dead shrub, maybe an alder"/>
    <s v="Shrub"/>
    <s v="Exterior"/>
    <s v="Under bark"/>
    <m/>
    <m/>
    <n v="5"/>
    <n v="63.724020000000003"/>
    <n v="148.95114000000001"/>
    <m/>
    <m/>
    <m/>
    <n v="0"/>
    <n v="0"/>
    <n v="0"/>
    <n v="0"/>
    <n v="0"/>
    <n v="0"/>
    <n v="0"/>
    <m/>
    <s v="Foraging not caught on tape. "/>
    <m/>
    <m/>
  </r>
  <r>
    <s v="DSCN1438"/>
    <s v="RC1008_4"/>
    <n v="4"/>
    <n v="1"/>
    <x v="4"/>
    <d v="2018-10-08T00:00:00"/>
    <s v="October"/>
    <s v="Fall"/>
    <d v="1899-12-30T00:33:00"/>
    <d v="1899-12-30T00:00:33"/>
    <x v="122"/>
    <s v="Mostly sunny"/>
    <x v="4"/>
    <s v="Caching"/>
    <s v="Spruce"/>
    <n v="1"/>
    <m/>
    <n v="1"/>
    <s v="Unknown"/>
    <s v="Unknown"/>
    <s v="Ground"/>
    <s v="Interior bare spruce branch under bark"/>
    <s v="Spruce"/>
    <s v="Interior"/>
    <s v="Under bark"/>
    <m/>
    <m/>
    <n v="2"/>
    <n v="63.723999999999997"/>
    <n v="148.94900999999999"/>
    <m/>
    <m/>
    <m/>
    <n v="0"/>
    <n v="0"/>
    <n v="0"/>
    <n v="0"/>
    <n v="0"/>
    <n v="0"/>
    <n v="0"/>
    <m/>
    <s v="Foraging not caught on tape. "/>
    <m/>
    <m/>
  </r>
  <r>
    <s v="DSCN1439"/>
    <s v="RC1008_5"/>
    <n v="5"/>
    <n v="1"/>
    <x v="4"/>
    <d v="2018-10-08T00:00:00"/>
    <s v="October"/>
    <s v="Fall"/>
    <d v="1899-12-30T00:41:00"/>
    <d v="1899-12-30T00:00:41"/>
    <x v="122"/>
    <s v="Mostly sunny"/>
    <x v="4"/>
    <s v="Foraging"/>
    <s v="NA"/>
    <n v="1"/>
    <m/>
    <n v="0"/>
    <s v="Unknown"/>
    <s v="Unknown"/>
    <s v="Ground"/>
    <s v="NA"/>
    <s v="NA"/>
    <s v="NA"/>
    <s v="NA"/>
    <m/>
    <m/>
    <s v="NA"/>
    <s v="NA"/>
    <m/>
    <m/>
    <m/>
    <m/>
    <n v="0"/>
    <n v="0"/>
    <n v="0"/>
    <n v="0"/>
    <n v="29"/>
    <n v="0"/>
    <n v="29"/>
    <m/>
    <m/>
    <m/>
    <m/>
  </r>
  <r>
    <s v="DSCN1441"/>
    <s v="RC1008_6"/>
    <n v="6"/>
    <n v="1"/>
    <x v="4"/>
    <d v="2018-10-08T00:00:00"/>
    <s v="October"/>
    <s v="Fall"/>
    <d v="1899-12-30T00:25:00"/>
    <d v="1899-12-30T00:00:25"/>
    <x v="122"/>
    <s v="Mostly sunny"/>
    <x v="4"/>
    <s v="Foraging"/>
    <s v="NA"/>
    <n v="1"/>
    <m/>
    <n v="0"/>
    <s v="Unknown"/>
    <s v="Unknown"/>
    <s v="Ground"/>
    <s v="NA"/>
    <s v="NA"/>
    <s v="NA"/>
    <s v="NA"/>
    <m/>
    <m/>
    <s v="NA"/>
    <s v="NA"/>
    <m/>
    <m/>
    <m/>
    <m/>
    <n v="0"/>
    <n v="0"/>
    <n v="0"/>
    <n v="0"/>
    <n v="2"/>
    <n v="0"/>
    <n v="2"/>
    <m/>
    <m/>
    <m/>
    <m/>
  </r>
  <r>
    <s v="DSCN1442"/>
    <s v="RC1008_7"/>
    <n v="7"/>
    <n v="1"/>
    <x v="4"/>
    <d v="2018-10-08T00:00:00"/>
    <s v="October"/>
    <s v="Fall"/>
    <d v="1899-12-30T00:33:00"/>
    <d v="1899-12-30T00:00:33"/>
    <x v="122"/>
    <s v="Mostly sunny"/>
    <x v="4"/>
    <s v="Caching"/>
    <s v="Spruce"/>
    <n v="0"/>
    <m/>
    <n v="1"/>
    <s v="Unknown"/>
    <s v="Unknown"/>
    <s v="Ground"/>
    <s v="Interior bare spruce branch under bark"/>
    <s v="Spruce"/>
    <s v="Interior"/>
    <s v="Under bark"/>
    <m/>
    <m/>
    <n v="7"/>
    <n v="63.724110000000003"/>
    <n v="148.95033000000001"/>
    <m/>
    <m/>
    <m/>
    <n v="0"/>
    <n v="0"/>
    <n v="0"/>
    <n v="0"/>
    <n v="0"/>
    <n v="0"/>
    <n v="0"/>
    <m/>
    <s v="cache from previous video. "/>
    <m/>
    <m/>
  </r>
  <r>
    <s v="DSCN1443"/>
    <s v="RC1008_8"/>
    <n v="8"/>
    <n v="1"/>
    <x v="4"/>
    <d v="2018-10-08T00:00:00"/>
    <s v="October"/>
    <s v="Fall"/>
    <d v="1899-12-30T01:18:00"/>
    <d v="1899-12-30T00:01:18"/>
    <x v="122"/>
    <s v="Mostly sunny"/>
    <x v="4"/>
    <s v="Foraging/caching"/>
    <s v="Spruce"/>
    <n v="1"/>
    <m/>
    <n v="1"/>
    <s v="Unknown"/>
    <s v="Unknown"/>
    <s v="Ground"/>
    <s v="Interior bare spruce branch under bark"/>
    <s v="Spruce"/>
    <s v="Interior"/>
    <s v="Under bark"/>
    <m/>
    <m/>
    <n v="9"/>
    <n v="63.723779999999998"/>
    <n v="148.95067"/>
    <m/>
    <m/>
    <m/>
    <n v="0"/>
    <n v="0"/>
    <n v="0"/>
    <n v="0"/>
    <n v="30"/>
    <n v="0"/>
    <n v="30"/>
    <m/>
    <m/>
    <m/>
    <m/>
  </r>
  <r>
    <s v="DSCN1445"/>
    <s v="RC1008_9"/>
    <n v="9"/>
    <n v="1"/>
    <x v="4"/>
    <d v="2018-10-08T00:00:00"/>
    <s v="October"/>
    <s v="Fall"/>
    <d v="1899-12-30T00:14:00"/>
    <d v="1899-12-30T00:00:14"/>
    <x v="122"/>
    <s v="Mostly sunny"/>
    <x v="4"/>
    <s v="Foraging"/>
    <s v="NA"/>
    <s v="unknown"/>
    <m/>
    <n v="0"/>
    <s v="Unknown"/>
    <s v="Unknown"/>
    <s v="NA"/>
    <s v="NA"/>
    <s v="NA"/>
    <s v="NA"/>
    <s v="NA"/>
    <m/>
    <m/>
    <s v="NA"/>
    <s v="NA"/>
    <m/>
    <m/>
    <m/>
    <m/>
    <n v="0"/>
    <n v="0"/>
    <n v="0"/>
    <n v="0"/>
    <n v="14"/>
    <n v="0"/>
    <n v="14"/>
    <m/>
    <m/>
    <m/>
    <m/>
  </r>
  <r>
    <s v="DSCN1446"/>
    <s v="RC1008_10"/>
    <n v="10"/>
    <n v="1"/>
    <x v="4"/>
    <d v="2018-10-08T00:00:00"/>
    <s v="October"/>
    <s v="Fall"/>
    <d v="1899-12-30T00:52:00"/>
    <d v="1899-12-30T00:00:52"/>
    <x v="122"/>
    <s v="Mostly sunny"/>
    <x v="4"/>
    <s v="Foraging"/>
    <s v="NA"/>
    <n v="1"/>
    <m/>
    <n v="0"/>
    <s v="Unknown"/>
    <s v="Unknown"/>
    <s v="Ground"/>
    <s v="NA"/>
    <s v="NA"/>
    <s v="NA"/>
    <s v="NA"/>
    <m/>
    <m/>
    <s v="NA"/>
    <s v="NA"/>
    <m/>
    <m/>
    <m/>
    <m/>
    <n v="0"/>
    <n v="0"/>
    <n v="0"/>
    <n v="0"/>
    <n v="16"/>
    <n v="0"/>
    <n v="16"/>
    <m/>
    <m/>
    <m/>
    <m/>
  </r>
  <r>
    <s v="DSCN1465"/>
    <s v="RC1009_2"/>
    <n v="2"/>
    <n v="1"/>
    <x v="4"/>
    <d v="2018-10-09T00:00:00"/>
    <s v="October"/>
    <s v="Fall"/>
    <d v="1899-12-30T00:18:00"/>
    <d v="1899-12-30T00:00:18"/>
    <x v="122"/>
    <s v="Mostly cloudy"/>
    <x v="4"/>
    <s v="Foraging"/>
    <s v="NA"/>
    <n v="1"/>
    <m/>
    <n v="0"/>
    <s v="Berry"/>
    <s v="Berry (Soapberry)"/>
    <s v="Ground"/>
    <s v="NA"/>
    <s v="NA"/>
    <s v="NA"/>
    <s v="NA"/>
    <m/>
    <m/>
    <s v="NA"/>
    <s v="NA"/>
    <m/>
    <m/>
    <m/>
    <m/>
    <n v="0"/>
    <n v="0"/>
    <n v="0"/>
    <n v="0"/>
    <n v="15"/>
    <n v="0"/>
    <n v="15"/>
    <m/>
    <m/>
    <m/>
    <m/>
  </r>
  <r>
    <s v="DSCN1473"/>
    <s v="RC1009_4"/>
    <n v="4"/>
    <n v="1"/>
    <x v="4"/>
    <d v="2018-10-09T00:00:00"/>
    <s v="October"/>
    <s v="Fall"/>
    <d v="1899-12-30T00:10:00"/>
    <d v="1899-12-30T00:00:10"/>
    <x v="122"/>
    <s v="Mostly cloudy"/>
    <x v="4"/>
    <s v="Caching"/>
    <s v="Spruce"/>
    <n v="0"/>
    <m/>
    <n v="1"/>
    <s v="Unknown"/>
    <s v="Unknown"/>
    <s v="unknown"/>
    <s v="Witch broom in exterior spruce"/>
    <s v="Spruce"/>
    <s v="Exterior"/>
    <s v="In mistoe"/>
    <m/>
    <m/>
    <s v="unknown"/>
    <n v="63.724910000000001"/>
    <n v="148.94807"/>
    <m/>
    <m/>
    <m/>
    <n v="0"/>
    <n v="0"/>
    <n v="0"/>
    <n v="0"/>
    <n v="0"/>
    <n v="0"/>
    <n v="0"/>
    <m/>
    <m/>
    <m/>
    <m/>
  </r>
  <r>
    <s v="DSCN1474"/>
    <s v="RC1009_5"/>
    <n v="5"/>
    <n v="1"/>
    <x v="4"/>
    <d v="2018-10-09T00:00:00"/>
    <s v="October"/>
    <s v="Fall"/>
    <d v="1899-12-30T00:14:00"/>
    <d v="1899-12-30T00:00:14"/>
    <x v="122"/>
    <s v="Mostly cloudy"/>
    <x v="4"/>
    <s v="Caching"/>
    <s v="Spruce"/>
    <n v="0"/>
    <m/>
    <n v="1"/>
    <s v="Unknown"/>
    <s v="Unknown"/>
    <s v="unknown"/>
    <s v="Interior bare spruce branch under bark"/>
    <s v="Spruce"/>
    <s v="Interior"/>
    <s v="Under bark"/>
    <m/>
    <m/>
    <s v="unknown"/>
    <n v="63.724910000000001"/>
    <n v="148.94807"/>
    <m/>
    <m/>
    <m/>
    <n v="0"/>
    <n v="0"/>
    <n v="0"/>
    <n v="0"/>
    <n v="0"/>
    <n v="0"/>
    <n v="0"/>
    <m/>
    <s v="Possible second cache from tree in previous video.  "/>
    <m/>
    <m/>
  </r>
  <r>
    <s v="DSCN1485"/>
    <s v="RC1009_7"/>
    <n v="7"/>
    <n v="1"/>
    <x v="4"/>
    <d v="2018-10-09T00:00:00"/>
    <s v="October"/>
    <s v="Fall"/>
    <d v="1899-12-30T00:14:00"/>
    <d v="1899-12-30T00:00:14"/>
    <x v="122"/>
    <s v="Mostly cloudy"/>
    <x v="4"/>
    <s v="Foraging"/>
    <s v="Spruce"/>
    <n v="0"/>
    <m/>
    <n v="0"/>
    <m/>
    <s v="NA"/>
    <s v="NA"/>
    <s v="NA"/>
    <s v="NA"/>
    <s v="NA"/>
    <s v="NA"/>
    <m/>
    <m/>
    <s v="NA"/>
    <s v="NA"/>
    <m/>
    <m/>
    <m/>
    <m/>
    <n v="14"/>
    <n v="0"/>
    <n v="14"/>
    <n v="0"/>
    <n v="0"/>
    <n v="0"/>
    <n v="14"/>
    <s v="Probing"/>
    <s v="Called cachiing in video, B&amp;Ut after being unable to locate what should have been a very obvious  cache we concluded it was more likely foraging.  "/>
    <n v="1"/>
    <n v="0"/>
  </r>
  <r>
    <s v="DSCN1487"/>
    <s v="RC1009_8"/>
    <n v="8"/>
    <n v="1"/>
    <x v="4"/>
    <d v="2018-10-09T00:00:00"/>
    <s v="October"/>
    <s v="Fall"/>
    <d v="1899-12-30T00:03:00"/>
    <d v="1899-12-30T00:00:03"/>
    <x v="122"/>
    <s v="Mostly cloudy"/>
    <x v="4"/>
    <s v="Foraging"/>
    <s v="NA"/>
    <n v="1"/>
    <m/>
    <n v="0"/>
    <s v="Unknown"/>
    <s v="Unknown"/>
    <s v="Ground"/>
    <s v="NA"/>
    <s v="NA"/>
    <s v="NA"/>
    <s v="NA"/>
    <m/>
    <m/>
    <s v="NA"/>
    <s v="NA"/>
    <m/>
    <m/>
    <m/>
    <m/>
    <n v="0"/>
    <n v="0"/>
    <n v="0"/>
    <n v="0"/>
    <n v="10"/>
    <n v="0"/>
    <n v="10"/>
    <m/>
    <s v="Video clip is 3sec, B&amp;Ut total foraging time as calculated in the field was 10.  "/>
    <m/>
    <m/>
  </r>
  <r>
    <s v="DSCN1488"/>
    <s v="RC1009_9"/>
    <n v="9"/>
    <n v="1"/>
    <x v="4"/>
    <d v="2018-10-09T00:00:00"/>
    <s v="October"/>
    <s v="Fall"/>
    <d v="1899-12-30T00:12:00"/>
    <d v="1899-12-30T00:00:12"/>
    <x v="122"/>
    <s v="Mostly cloudy"/>
    <x v="4"/>
    <s v="Foraging"/>
    <s v="NA"/>
    <n v="1"/>
    <m/>
    <n v="0"/>
    <s v="Unknown"/>
    <s v="Unknown"/>
    <s v="Ground"/>
    <s v="NA"/>
    <s v="NA"/>
    <s v="NA"/>
    <s v="NA"/>
    <m/>
    <m/>
    <s v="NA"/>
    <s v="NA"/>
    <m/>
    <m/>
    <m/>
    <m/>
    <n v="0"/>
    <n v="0"/>
    <n v="0"/>
    <n v="0"/>
    <n v="9"/>
    <n v="0"/>
    <n v="9"/>
    <m/>
    <m/>
    <m/>
    <m/>
  </r>
  <r>
    <s v="DSCN1489"/>
    <s v="RC1009_10"/>
    <n v="10"/>
    <n v="1"/>
    <x v="4"/>
    <d v="2018-10-09T00:00:00"/>
    <s v="October"/>
    <s v="Fall"/>
    <d v="1899-12-30T00:05:00"/>
    <d v="1899-12-30T00:00:05"/>
    <x v="122"/>
    <s v="Mostly cloudy"/>
    <x v="4"/>
    <s v="Foraging"/>
    <s v="Spruce"/>
    <s v="unknown"/>
    <m/>
    <n v="0"/>
    <s v="Unknown"/>
    <s v="Unknown"/>
    <s v="NA"/>
    <s v="NA"/>
    <s v="NA"/>
    <s v="NA"/>
    <s v="NA"/>
    <m/>
    <m/>
    <s v="NA"/>
    <s v="NA"/>
    <m/>
    <m/>
    <m/>
    <m/>
    <n v="5"/>
    <n v="0"/>
    <n v="5"/>
    <n v="0"/>
    <n v="0"/>
    <n v="0"/>
    <n v="5"/>
    <s v="Probing"/>
    <s v="Called cachiing in video, B&amp;Ut after being unable to locate what should have been a very obvious  cache we concluded it was more likely foraging.  "/>
    <n v="2"/>
    <n v="0"/>
  </r>
  <r>
    <s v="DSCN1490"/>
    <s v="RC1009_11"/>
    <n v="11"/>
    <n v="1"/>
    <x v="4"/>
    <d v="2018-10-09T00:00:00"/>
    <s v="October"/>
    <s v="Fall"/>
    <d v="1899-12-30T00:29:00"/>
    <d v="1899-12-30T00:00:29"/>
    <x v="122"/>
    <s v="Mostly cloudy"/>
    <x v="4"/>
    <s v="Foraging"/>
    <s v="NA"/>
    <s v="unknown"/>
    <m/>
    <n v="0"/>
    <s v="Unknown"/>
    <s v="Unknown"/>
    <s v="NA"/>
    <s v="NA"/>
    <s v="NA"/>
    <s v="NA"/>
    <s v="NA"/>
    <m/>
    <m/>
    <s v="NA"/>
    <s v="NA"/>
    <m/>
    <m/>
    <m/>
    <m/>
    <n v="0"/>
    <n v="0"/>
    <n v="0"/>
    <n v="0"/>
    <n v="21"/>
    <n v="0"/>
    <n v="21"/>
    <m/>
    <m/>
    <m/>
    <m/>
  </r>
  <r>
    <s v="DSCN1491"/>
    <s v="RC1009_12"/>
    <n v="12"/>
    <n v="1"/>
    <x v="4"/>
    <d v="2018-10-09T00:00:00"/>
    <s v="October"/>
    <s v="Fall"/>
    <d v="1899-12-30T00:35:00"/>
    <d v="1899-12-30T00:00:35"/>
    <x v="122"/>
    <s v="Mostly cloudy"/>
    <x v="4"/>
    <s v="Foraging"/>
    <s v="Spruce"/>
    <s v="unknown"/>
    <m/>
    <n v="0"/>
    <s v="Unknown"/>
    <s v="Unknown"/>
    <s v="NA"/>
    <s v="NA"/>
    <s v="NA"/>
    <s v="NA"/>
    <s v="NA"/>
    <m/>
    <m/>
    <s v="NA"/>
    <s v="NA"/>
    <m/>
    <m/>
    <m/>
    <m/>
    <n v="13"/>
    <n v="0"/>
    <n v="13"/>
    <n v="0"/>
    <n v="0"/>
    <n v="0"/>
    <n v="13"/>
    <s v="Probing"/>
    <s v="Called cachiing in video, B&amp;Ut after being unable to locate what should have been a very obvious  cache we concluded it was more likely foraging.  "/>
    <n v="4"/>
    <n v="0"/>
  </r>
  <r>
    <s v="DSCN1492"/>
    <s v="RC1009_13"/>
    <n v="13"/>
    <n v="1"/>
    <x v="4"/>
    <d v="2018-10-09T00:00:00"/>
    <s v="October"/>
    <s v="Fall"/>
    <d v="1899-12-30T00:27:00"/>
    <d v="1899-12-30T00:00:27"/>
    <x v="122"/>
    <s v="Mostly cloudy"/>
    <x v="4"/>
    <s v="Foraging"/>
    <s v="Spruce"/>
    <n v="1"/>
    <m/>
    <n v="0"/>
    <s v="Unknown"/>
    <s v="Unknown"/>
    <s v="Exterior bare branch in witch hair"/>
    <s v="NA"/>
    <s v="NA"/>
    <s v="NA"/>
    <s v="NA"/>
    <m/>
    <m/>
    <s v="NA"/>
    <s v="NA"/>
    <m/>
    <m/>
    <m/>
    <m/>
    <n v="27"/>
    <n v="0"/>
    <n v="0"/>
    <n v="27"/>
    <n v="0"/>
    <n v="0"/>
    <n v="27"/>
    <s v="Gleaning"/>
    <m/>
    <n v="0"/>
    <n v="5"/>
  </r>
  <r>
    <s v="DSCN1493"/>
    <s v="RC1009_14"/>
    <n v="14"/>
    <n v="1"/>
    <x v="4"/>
    <d v="2018-10-09T00:00:00"/>
    <s v="October"/>
    <s v="Fall"/>
    <d v="1899-12-30T02:25:00"/>
    <d v="1899-12-30T00:02:25"/>
    <x v="122"/>
    <s v="Mostly cloudy"/>
    <x v="4"/>
    <s v="Foraging"/>
    <s v="Spruce"/>
    <n v="1"/>
    <m/>
    <n v="0"/>
    <s v="Unknown"/>
    <s v="unknown, looked like a previsouly cached bolus"/>
    <s v="Exterior bare branch under bark"/>
    <s v="na"/>
    <s v="NA"/>
    <s v="NA"/>
    <s v="NA"/>
    <m/>
    <m/>
    <s v="NA"/>
    <s v="NA"/>
    <m/>
    <m/>
    <m/>
    <m/>
    <n v="45"/>
    <n v="38"/>
    <n v="0"/>
    <n v="83"/>
    <n v="0"/>
    <n v="0"/>
    <n v="83"/>
    <s v="Probing"/>
    <m/>
    <n v="3"/>
    <n v="0"/>
  </r>
  <r>
    <s v="DSCN1562"/>
    <s v="RC1012_5"/>
    <n v="5"/>
    <n v="1"/>
    <x v="4"/>
    <d v="2018-10-12T00:00:00"/>
    <s v="October"/>
    <s v="Fall"/>
    <d v="1899-12-30T00:48:00"/>
    <d v="1899-12-30T00:00:48"/>
    <x v="122"/>
    <s v="Overcast"/>
    <x v="4"/>
    <s v="Foraging"/>
    <s v="NA"/>
    <n v="1"/>
    <m/>
    <n v="0"/>
    <s v="Berry"/>
    <s v="Berry (Blueberry)"/>
    <s v="Ground"/>
    <s v="NA"/>
    <s v="NA"/>
    <s v="NA"/>
    <s v="NA"/>
    <m/>
    <m/>
    <s v="NA"/>
    <s v="NA"/>
    <m/>
    <m/>
    <m/>
    <m/>
    <n v="0"/>
    <n v="0"/>
    <n v="0"/>
    <n v="0"/>
    <n v="16"/>
    <n v="0"/>
    <n v="16"/>
    <m/>
    <m/>
    <m/>
    <m/>
  </r>
  <r>
    <s v="DSCN1563"/>
    <s v="RC1012_6"/>
    <n v="6"/>
    <n v="1"/>
    <x v="4"/>
    <d v="2018-10-12T00:00:00"/>
    <s v="October"/>
    <s v="Fall"/>
    <d v="1899-12-30T00:16:00"/>
    <d v="1899-12-30T00:00:16"/>
    <x v="122"/>
    <s v="Overcast"/>
    <x v="4"/>
    <s v="Caching"/>
    <s v="Spruce"/>
    <n v="0"/>
    <m/>
    <n v="1"/>
    <s v="Berry"/>
    <s v="Berry (Blueberry)"/>
    <s v="Ground"/>
    <s v="Exterior spruce branch under bark/witch hair"/>
    <s v="Spruce"/>
    <s v="Exterior"/>
    <s v="Under bark and witch hair "/>
    <m/>
    <m/>
    <s v="unknown-didn't record in field"/>
    <n v="63.722360000000002"/>
    <s v="148. 94931"/>
    <m/>
    <m/>
    <m/>
    <n v="0"/>
    <n v="0"/>
    <n v="0"/>
    <n v="0"/>
    <n v="0"/>
    <n v="0"/>
    <n v="0"/>
    <m/>
    <m/>
    <m/>
    <m/>
  </r>
  <r>
    <s v="DSCN1850"/>
    <s v="RC1017_4"/>
    <n v="4"/>
    <n v="1"/>
    <x v="4"/>
    <d v="2018-10-17T00:00:00"/>
    <s v="October"/>
    <s v="Fall"/>
    <d v="1899-12-30T00:12:00"/>
    <d v="1899-12-30T00:00:12"/>
    <x v="122"/>
    <s v="Overcast"/>
    <x v="4"/>
    <s v="Foraging"/>
    <s v="NA"/>
    <n v="1"/>
    <m/>
    <n v="0"/>
    <s v="Unknown"/>
    <s v="Unknown"/>
    <s v="Ground"/>
    <s v="NA"/>
    <s v="NA"/>
    <s v="NA"/>
    <s v="NA"/>
    <m/>
    <m/>
    <s v="NA"/>
    <s v="NA"/>
    <m/>
    <m/>
    <m/>
    <m/>
    <n v="0"/>
    <n v="0"/>
    <n v="0"/>
    <n v="0"/>
    <n v="9"/>
    <n v="0"/>
    <n v="9"/>
    <m/>
    <s v="Foraging on gravel"/>
    <m/>
    <m/>
  </r>
  <r>
    <s v="DSCN1854"/>
    <s v="RC1017_6"/>
    <n v="6"/>
    <n v="1"/>
    <x v="4"/>
    <d v="2018-10-17T00:00:00"/>
    <s v="October"/>
    <s v="Fall"/>
    <d v="1899-12-30T00:13:00"/>
    <d v="1899-12-30T00:00:13"/>
    <x v="122"/>
    <s v="Overcast"/>
    <x v="4"/>
    <s v="Foraging"/>
    <s v="Spruce"/>
    <n v="1"/>
    <m/>
    <n v="0"/>
    <s v="Unknown"/>
    <s v="unknown. Maybe cached mushroom"/>
    <s v="Exterior dense foliage of spruce"/>
    <s v="NA"/>
    <s v="NA"/>
    <s v="NA"/>
    <s v="NA"/>
    <m/>
    <m/>
    <s v="NA"/>
    <s v="NA"/>
    <m/>
    <m/>
    <m/>
    <m/>
    <n v="0"/>
    <n v="10"/>
    <n v="0"/>
    <n v="10"/>
    <n v="0"/>
    <n v="0"/>
    <n v="10"/>
    <m/>
    <m/>
    <m/>
    <m/>
  </r>
  <r>
    <s v="DSCN1855"/>
    <s v="RC1017_7"/>
    <n v="7"/>
    <n v="1"/>
    <x v="4"/>
    <d v="2018-10-17T00:00:00"/>
    <s v="October"/>
    <s v="Fall"/>
    <d v="1899-12-30T00:41:00"/>
    <d v="1899-12-30T00:00:41"/>
    <x v="122"/>
    <s v="Overcast"/>
    <x v="4"/>
    <s v="Foraging"/>
    <s v="Spruce"/>
    <s v="unknown"/>
    <m/>
    <n v="0"/>
    <m/>
    <s v="NA"/>
    <s v="NA"/>
    <s v="NA"/>
    <s v="NA"/>
    <s v="NA"/>
    <s v="NA"/>
    <m/>
    <m/>
    <s v="NA"/>
    <s v="NA"/>
    <m/>
    <m/>
    <m/>
    <m/>
    <n v="5"/>
    <n v="26"/>
    <n v="0"/>
    <n v="31"/>
    <n v="0"/>
    <n v="0"/>
    <n v="31"/>
    <m/>
    <m/>
    <m/>
    <m/>
  </r>
  <r>
    <s v="DSCN2101"/>
    <s v="RC1024_1"/>
    <n v="1"/>
    <n v="1"/>
    <x v="4"/>
    <d v="2018-10-24T00:00:00"/>
    <s v="October"/>
    <s v="Fall"/>
    <d v="1899-12-30T01:37:00"/>
    <d v="1899-12-30T00:01:37"/>
    <x v="122"/>
    <m/>
    <x v="4"/>
    <s v="Foraging"/>
    <s v="Spruce"/>
    <s v="unknown"/>
    <m/>
    <n v="0"/>
    <m/>
    <s v="NA"/>
    <s v="NA"/>
    <s v="NA"/>
    <s v="NA"/>
    <s v="NA"/>
    <s v="NA"/>
    <m/>
    <m/>
    <s v="NA"/>
    <s v="NA"/>
    <m/>
    <m/>
    <m/>
    <m/>
    <n v="20"/>
    <n v="17"/>
    <n v="20"/>
    <n v="17"/>
    <n v="0"/>
    <n v="0"/>
    <n v="37"/>
    <s v="Gleaning"/>
    <m/>
    <n v="0"/>
    <n v="1"/>
  </r>
  <r>
    <s v="DSCN2102"/>
    <s v="RC1024_2"/>
    <n v="2"/>
    <n v="1"/>
    <x v="4"/>
    <d v="2018-10-24T00:00:00"/>
    <s v="October"/>
    <s v="Fall"/>
    <d v="1899-12-30T00:11:00"/>
    <d v="1899-12-30T00:00:11"/>
    <x v="122"/>
    <m/>
    <x v="4"/>
    <s v="Foraging"/>
    <s v="Spruce"/>
    <n v="0"/>
    <m/>
    <n v="0"/>
    <m/>
    <s v="NA"/>
    <s v="NA"/>
    <s v="NA"/>
    <s v="NA"/>
    <s v="NA"/>
    <s v="NA"/>
    <m/>
    <m/>
    <s v="NA"/>
    <s v="NA"/>
    <m/>
    <m/>
    <m/>
    <m/>
    <n v="8"/>
    <n v="0"/>
    <n v="8"/>
    <n v="0"/>
    <n v="0"/>
    <n v="0"/>
    <n v="8"/>
    <s v="Searching"/>
    <m/>
    <m/>
    <m/>
  </r>
  <r>
    <s v="DSCN2103"/>
    <s v="RC1024_3"/>
    <n v="3"/>
    <n v="1"/>
    <x v="4"/>
    <d v="2018-10-24T00:00:00"/>
    <s v="October"/>
    <s v="Fall"/>
    <d v="1899-12-30T00:25:00"/>
    <d v="1899-12-30T00:00:25"/>
    <x v="122"/>
    <m/>
    <x v="4"/>
    <s v="Foraging"/>
    <s v="Spruce"/>
    <s v="unknown"/>
    <m/>
    <n v="0"/>
    <m/>
    <s v="NA"/>
    <s v="NA"/>
    <s v="NA"/>
    <s v="NA"/>
    <s v="NA"/>
    <s v="NA"/>
    <m/>
    <m/>
    <s v="NA"/>
    <s v="NA"/>
    <m/>
    <m/>
    <m/>
    <m/>
    <n v="0"/>
    <n v="21"/>
    <n v="0"/>
    <n v="21"/>
    <n v="0"/>
    <n v="0"/>
    <n v="21"/>
    <s v="Searching"/>
    <m/>
    <m/>
    <m/>
  </r>
  <r>
    <s v="DSCN2104"/>
    <s v="RC1024_4"/>
    <n v="4"/>
    <n v="1"/>
    <x v="4"/>
    <d v="2018-10-24T00:00:00"/>
    <s v="October"/>
    <s v="Fall"/>
    <d v="1899-12-30T00:21:00"/>
    <d v="1899-12-30T00:00:21"/>
    <x v="122"/>
    <m/>
    <x v="4"/>
    <s v="Foraging"/>
    <s v="Spruce"/>
    <n v="0"/>
    <m/>
    <n v="0"/>
    <m/>
    <s v="NA"/>
    <s v="NA"/>
    <s v="NA"/>
    <s v="NA"/>
    <s v="NA"/>
    <s v="NA"/>
    <m/>
    <m/>
    <s v="NA"/>
    <s v="NA"/>
    <m/>
    <m/>
    <m/>
    <m/>
    <n v="0"/>
    <n v="20"/>
    <n v="0"/>
    <n v="20"/>
    <n v="0"/>
    <n v="0"/>
    <n v="20"/>
    <s v="Searching "/>
    <m/>
    <m/>
    <m/>
  </r>
  <r>
    <s v="DSCN2107"/>
    <s v="RC1024_7"/>
    <n v="7"/>
    <n v="1"/>
    <x v="4"/>
    <d v="2018-10-24T00:00:00"/>
    <s v="October"/>
    <s v="Fall"/>
    <d v="1899-12-30T00:10:00"/>
    <d v="1899-12-30T00:00:10"/>
    <x v="122"/>
    <m/>
    <x v="4"/>
    <s v="Foraging"/>
    <s v="Spruce"/>
    <n v="0"/>
    <m/>
    <n v="0"/>
    <m/>
    <s v="NA"/>
    <s v="NA"/>
    <s v="NA"/>
    <s v="NA"/>
    <s v="NA"/>
    <s v="NA"/>
    <m/>
    <m/>
    <s v="NA"/>
    <s v="NA"/>
    <m/>
    <m/>
    <m/>
    <m/>
    <n v="0"/>
    <n v="10"/>
    <n v="0"/>
    <n v="10"/>
    <n v="0"/>
    <n v="0"/>
    <n v="10"/>
    <s v="Searching"/>
    <m/>
    <m/>
    <m/>
  </r>
  <r>
    <s v="DSCN2320"/>
    <s v="RC1031_5"/>
    <n v="5"/>
    <n v="1"/>
    <x v="4"/>
    <d v="2018-10-31T00:00:00"/>
    <s v="October"/>
    <s v="Fall"/>
    <d v="1899-12-30T00:51:00"/>
    <d v="1899-12-30T00:00:51"/>
    <x v="122"/>
    <s v="Partly cloudy"/>
    <x v="4"/>
    <s v="Foraging"/>
    <s v="Spruce"/>
    <s v="unknown"/>
    <m/>
    <s v="Unknown"/>
    <s v="Unknown"/>
    <s v="Unknown"/>
    <s v="NA"/>
    <s v="NA"/>
    <m/>
    <m/>
    <m/>
    <m/>
    <m/>
    <s v="NA"/>
    <s v="NA"/>
    <m/>
    <m/>
    <m/>
    <m/>
    <n v="0"/>
    <n v="51"/>
    <n v="0"/>
    <n v="51"/>
    <n v="0"/>
    <n v="0"/>
    <n v="51"/>
    <m/>
    <m/>
    <m/>
    <m/>
  </r>
  <r>
    <s v="DSCN2327"/>
    <s v="RC1031_7"/>
    <n v="7"/>
    <n v="1"/>
    <x v="4"/>
    <d v="2018-10-31T00:00:00"/>
    <s v="October"/>
    <s v="Fall"/>
    <d v="1899-12-30T00:18:00"/>
    <d v="1899-12-30T00:00:18"/>
    <x v="122"/>
    <s v="Partly cloudy"/>
    <x v="4"/>
    <s v="Foraging"/>
    <s v="NA"/>
    <n v="0"/>
    <m/>
    <n v="0"/>
    <m/>
    <s v="NA"/>
    <s v="NA"/>
    <s v="NA"/>
    <s v="NA"/>
    <s v="NA"/>
    <s v="NA"/>
    <m/>
    <m/>
    <s v="NA"/>
    <s v="NA"/>
    <m/>
    <m/>
    <m/>
    <m/>
    <n v="0"/>
    <n v="0"/>
    <n v="0"/>
    <n v="0"/>
    <n v="10"/>
    <n v="0"/>
    <n v="10"/>
    <m/>
    <m/>
    <m/>
    <m/>
  </r>
  <r>
    <s v="DSCN2328"/>
    <s v="RC1031_8"/>
    <n v="8"/>
    <n v="1"/>
    <x v="4"/>
    <d v="2018-10-31T00:00:00"/>
    <s v="October"/>
    <s v="Fall"/>
    <d v="1899-12-30T00:14:00"/>
    <d v="1899-12-30T00:00:14"/>
    <x v="122"/>
    <s v="Partly cloudy"/>
    <x v="4"/>
    <s v="Foraging"/>
    <s v="Spruce"/>
    <s v="unknown"/>
    <m/>
    <n v="0"/>
    <m/>
    <s v="NA"/>
    <s v="NA"/>
    <s v="NA"/>
    <s v="NA"/>
    <s v="NA"/>
    <s v="NA"/>
    <m/>
    <m/>
    <s v="NA"/>
    <s v="NA"/>
    <m/>
    <m/>
    <m/>
    <m/>
    <n v="8"/>
    <n v="0"/>
    <n v="0"/>
    <n v="8"/>
    <n v="4"/>
    <n v="0"/>
    <n v="12"/>
    <s v="Searching"/>
    <m/>
    <m/>
    <m/>
  </r>
  <r>
    <s v="No video"/>
    <m/>
    <m/>
    <n v="1"/>
    <x v="4"/>
    <d v="2018-10-09T00:00:00"/>
    <s v="October"/>
    <s v="Fall"/>
    <m/>
    <m/>
    <x v="122"/>
    <s v="Mostly cloudy"/>
    <x v="4"/>
    <s v="Caching"/>
    <s v="Aspen"/>
    <n v="0"/>
    <m/>
    <n v="1"/>
    <s v="Unknown"/>
    <s v="Unknown"/>
    <s v="unknown"/>
    <s v="unknown"/>
    <s v="Unknown"/>
    <s v="Unknown"/>
    <s v="Unknown"/>
    <m/>
    <m/>
    <s v="unknown"/>
    <n v="63.723750000000003"/>
    <n v="148.95131000000001"/>
    <m/>
    <m/>
    <m/>
    <n v="0"/>
    <n v="0"/>
    <n v="0"/>
    <n v="0"/>
    <n v="0"/>
    <n v="0"/>
    <n v="0"/>
    <m/>
    <s v="Observed by KS.  B&amp;Ut she can't remember any details about the cache :( "/>
    <m/>
    <m/>
  </r>
  <r>
    <s v="DSCN1206"/>
    <s v="M2371011_3"/>
    <n v="3"/>
    <n v="1"/>
    <x v="9"/>
    <d v="2018-10-11T00:00:00"/>
    <s v="October"/>
    <s v="Fall"/>
    <d v="1899-12-30T00:26:00"/>
    <d v="1899-12-30T00:00:26"/>
    <x v="122"/>
    <m/>
    <x v="30"/>
    <s v="Foraging or caching"/>
    <s v="Aspen"/>
    <s v="unknown"/>
    <m/>
    <s v="Unknown"/>
    <s v="Unknown"/>
    <s v="Unknown"/>
    <s v="Under bare spruce branch bark"/>
    <s v="Under bare spruce branch bark"/>
    <m/>
    <m/>
    <m/>
    <m/>
    <m/>
    <s v="unknown"/>
    <n v="63.724080000000001"/>
    <n v="148.88910000000001"/>
    <m/>
    <m/>
    <m/>
    <n v="0"/>
    <n v="0"/>
    <n v="0"/>
    <n v="0"/>
    <n v="0"/>
    <n v="0"/>
    <n v="0"/>
    <m/>
    <s v="Was either obtaining food from branch or placing it there.  Impossible to tell. "/>
    <m/>
    <m/>
  </r>
  <r>
    <s v="DSCN1502"/>
    <s v="M2371011_1"/>
    <n v="1"/>
    <n v="1"/>
    <x v="9"/>
    <d v="2018-10-11T00:00:00"/>
    <s v="October"/>
    <s v="Fall"/>
    <d v="1899-12-30T00:01:00"/>
    <d v="1899-12-30T00:00:01"/>
    <x v="122"/>
    <s v="Overcast, light rain"/>
    <x v="30"/>
    <s v="Food handling"/>
    <s v="Spruce"/>
    <n v="1"/>
    <m/>
    <n v="0"/>
    <s v="Insect"/>
    <s v="Insect (Beetle grub)"/>
    <s v="unknown"/>
    <s v="NA"/>
    <s v="NA"/>
    <s v="NA"/>
    <s v="NA"/>
    <m/>
    <m/>
    <s v="NA"/>
    <s v="NA"/>
    <m/>
    <m/>
    <m/>
    <m/>
    <n v="0"/>
    <n v="0"/>
    <n v="0"/>
    <n v="0"/>
    <n v="0"/>
    <n v="0"/>
    <n v="0"/>
    <m/>
    <s v="Seen holding grub"/>
    <m/>
    <m/>
  </r>
  <r>
    <s v="DSCN1503"/>
    <s v="M2371011_2"/>
    <n v="2"/>
    <n v="1"/>
    <x v="9"/>
    <d v="2018-10-11T00:00:00"/>
    <s v="October"/>
    <s v="Fall"/>
    <d v="1899-12-30T00:07:00"/>
    <d v="1899-12-30T00:07:00"/>
    <x v="122"/>
    <m/>
    <x v="30"/>
    <s v="Caching"/>
    <s v="NA"/>
    <n v="0"/>
    <m/>
    <n v="1"/>
    <s v="Insect"/>
    <s v="Insect (Beetle grub)"/>
    <s v="unknown"/>
    <s v="Under bark/witch hair in dead shrub branch.  "/>
    <s v="Shrub"/>
    <s v="Exterior"/>
    <s v="Under bark and witch hair "/>
    <m/>
    <m/>
    <s v="unknown"/>
    <n v="63.725389999999997"/>
    <n v="148.88972000000001"/>
    <m/>
    <m/>
    <m/>
    <n v="0"/>
    <n v="0"/>
    <n v="0"/>
    <n v="0"/>
    <n v="0"/>
    <n v="0"/>
    <n v="0"/>
    <m/>
    <s v="Cached food from previous video. Put camera on this cache site "/>
    <m/>
    <m/>
  </r>
  <r>
    <s v="DSCN1526"/>
    <s v="M2371011_5"/>
    <n v="5"/>
    <n v="1"/>
    <x v="9"/>
    <d v="2018-10-11T00:00:00"/>
    <s v="October"/>
    <s v="Fall"/>
    <d v="1899-12-30T00:19:00"/>
    <d v="1899-12-30T00:00:19"/>
    <x v="122"/>
    <s v="Overcast"/>
    <x v="30"/>
    <s v="Caching"/>
    <s v="Spruce"/>
    <n v="0"/>
    <m/>
    <n v="1"/>
    <s v="Unknown"/>
    <s v="Unknown"/>
    <s v="Ground"/>
    <s v="Exterior spruce branch under bark/witch hair"/>
    <s v="Spruce"/>
    <s v="Exterior"/>
    <s v="Under bark and witch hair "/>
    <m/>
    <m/>
    <n v="101"/>
    <n v="63.72372"/>
    <n v="148.88693000000001"/>
    <m/>
    <m/>
    <m/>
    <n v="0"/>
    <n v="0"/>
    <n v="0"/>
    <n v="0"/>
    <n v="0"/>
    <n v="0"/>
    <n v="0"/>
    <m/>
    <s v="Observed by TG.  "/>
    <m/>
    <m/>
  </r>
  <r>
    <s v="DSCN1778"/>
    <s v="M2371016_1"/>
    <n v="1"/>
    <n v="1"/>
    <x v="9"/>
    <d v="2018-10-16T00:00:00"/>
    <s v="October"/>
    <s v="Fall"/>
    <d v="1899-12-30T00:09:00"/>
    <d v="1899-12-30T00:00:09"/>
    <x v="122"/>
    <s v="Overcast, light rain"/>
    <x v="30"/>
    <s v="Foraging"/>
    <s v="NA"/>
    <n v="1"/>
    <m/>
    <n v="0"/>
    <s v="Unknown"/>
    <s v="Unknown"/>
    <s v="Ground"/>
    <s v="NA"/>
    <s v="NA"/>
    <s v="NA"/>
    <s v="NA"/>
    <m/>
    <m/>
    <s v="NA"/>
    <s v="NA"/>
    <m/>
    <m/>
    <m/>
    <m/>
    <n v="0"/>
    <n v="0"/>
    <n v="0"/>
    <n v="0"/>
    <n v="9"/>
    <n v="0"/>
    <n v="9"/>
    <m/>
    <s v="Foraging on trail.  Picking things out of gravel. "/>
    <m/>
    <m/>
  </r>
  <r>
    <s v="DSCN1780"/>
    <s v="M2371016_2"/>
    <n v="2"/>
    <n v="1"/>
    <x v="9"/>
    <d v="2018-10-16T00:00:00"/>
    <s v="October"/>
    <s v="Fall"/>
    <d v="1899-12-30T00:58:00"/>
    <d v="1899-12-30T00:00:58"/>
    <x v="122"/>
    <s v="Overcast"/>
    <x v="30"/>
    <s v="Foraging"/>
    <s v="NA"/>
    <n v="2"/>
    <m/>
    <n v="0"/>
    <s v="Unknown"/>
    <s v="Unknown"/>
    <s v="Ground"/>
    <s v="NA"/>
    <s v="NA"/>
    <s v="NA"/>
    <s v="NA"/>
    <m/>
    <m/>
    <s v="NA"/>
    <s v="NA"/>
    <m/>
    <m/>
    <m/>
    <m/>
    <n v="0"/>
    <n v="0"/>
    <n v="0"/>
    <n v="0"/>
    <n v="58"/>
    <n v="0"/>
    <n v="58"/>
    <m/>
    <s v="Foraging on trail.  Picking things out of gravel. "/>
    <m/>
    <m/>
  </r>
  <r>
    <s v="DSCN1780"/>
    <s v="M2371016_2"/>
    <n v="2"/>
    <n v="1"/>
    <x v="9"/>
    <d v="2018-10-16T00:00:00"/>
    <s v="October"/>
    <s v="Fall"/>
    <d v="1899-12-30T00:58:00"/>
    <d v="1899-12-30T00:00:58"/>
    <x v="122"/>
    <s v="Overcast"/>
    <x v="30"/>
    <s v="Foraging"/>
    <s v="NA"/>
    <n v="2"/>
    <m/>
    <n v="0"/>
    <s v="Unknown"/>
    <s v="Unknown"/>
    <s v="Ground"/>
    <s v="NA"/>
    <s v="NA"/>
    <s v="NA"/>
    <s v="NA"/>
    <m/>
    <m/>
    <s v="NA"/>
    <s v="NA"/>
    <m/>
    <m/>
    <m/>
    <m/>
    <n v="0"/>
    <n v="0"/>
    <n v="0"/>
    <n v="0"/>
    <n v="58"/>
    <n v="0"/>
    <n v="58"/>
    <m/>
    <s v="Foraging on trail.  Picking things out of gravel. "/>
    <m/>
    <m/>
  </r>
  <r>
    <s v="DSCN1787"/>
    <s v="M2371016_7"/>
    <n v="7"/>
    <n v="1"/>
    <x v="9"/>
    <d v="2018-10-16T00:00:00"/>
    <s v="October"/>
    <s v="Fall"/>
    <d v="1899-12-30T00:15:00"/>
    <d v="1899-12-30T00:00:15"/>
    <x v="122"/>
    <s v="Overcast"/>
    <x v="30"/>
    <s v="Foraging"/>
    <s v="NA"/>
    <n v="1"/>
    <m/>
    <n v="0"/>
    <s v="Unknown"/>
    <s v="Unknown"/>
    <s v="Ground"/>
    <s v="NA"/>
    <s v="NA"/>
    <s v="NA"/>
    <s v="NA"/>
    <m/>
    <m/>
    <s v="NA"/>
    <s v="NA"/>
    <m/>
    <m/>
    <m/>
    <m/>
    <n v="0"/>
    <n v="0"/>
    <n v="0"/>
    <n v="0"/>
    <n v="15"/>
    <n v="0"/>
    <n v="15"/>
    <m/>
    <s v="Foraging on trail.  Picking things out of gravel. "/>
    <m/>
    <m/>
  </r>
  <r>
    <s v="DSCN1795"/>
    <s v="M2371016_9"/>
    <n v="9"/>
    <n v="1"/>
    <x v="9"/>
    <d v="2018-10-16T00:00:00"/>
    <s v="October"/>
    <s v="Fall"/>
    <d v="1899-12-30T00:48:00"/>
    <d v="1899-12-30T00:00:48"/>
    <x v="122"/>
    <s v="Overcast"/>
    <x v="30"/>
    <s v="Foraging"/>
    <s v="NA"/>
    <s v="unknown"/>
    <m/>
    <n v="0"/>
    <s v="Unknown"/>
    <s v="Unknown"/>
    <s v="NA"/>
    <s v="NA"/>
    <s v="NA"/>
    <s v="NA"/>
    <s v="NA"/>
    <m/>
    <m/>
    <s v="NA"/>
    <s v="NA"/>
    <m/>
    <m/>
    <m/>
    <m/>
    <n v="4"/>
    <n v="0"/>
    <n v="0"/>
    <n v="4"/>
    <n v="0"/>
    <n v="0"/>
    <n v="4"/>
    <m/>
    <s v="shrub branch on ground"/>
    <m/>
    <m/>
  </r>
  <r>
    <s v="DSCN2301"/>
    <s v="M2371030_1"/>
    <n v="1"/>
    <n v="1"/>
    <x v="9"/>
    <d v="2018-10-30T00:00:00"/>
    <s v="October"/>
    <s v="Fall"/>
    <d v="1899-12-30T00:40:00"/>
    <d v="1899-12-30T00:00:40"/>
    <x v="122"/>
    <s v="Clear"/>
    <x v="30"/>
    <s v="Foraging"/>
    <s v="Aspen"/>
    <n v="0"/>
    <m/>
    <n v="0"/>
    <m/>
    <s v="NA"/>
    <s v="NA"/>
    <s v="NA"/>
    <s v="NA"/>
    <s v="NA"/>
    <s v="NA"/>
    <m/>
    <m/>
    <s v="NA"/>
    <s v="NA"/>
    <m/>
    <m/>
    <m/>
    <m/>
    <n v="17"/>
    <n v="0"/>
    <n v="0"/>
    <n v="17"/>
    <n v="0"/>
    <n v="0"/>
    <n v="17"/>
    <m/>
    <m/>
    <m/>
    <m/>
  </r>
  <r>
    <s v="DSCN1805"/>
    <s v="HS1016_1"/>
    <n v="1"/>
    <n v="1"/>
    <x v="14"/>
    <d v="2018-10-16T00:00:00"/>
    <s v="October"/>
    <s v="Fall"/>
    <d v="1899-12-30T00:35:00"/>
    <d v="1899-12-30T00:00:35"/>
    <x v="122"/>
    <s v="Overcast"/>
    <x v="33"/>
    <s v="Foraging"/>
    <s v="Spruce"/>
    <n v="0"/>
    <m/>
    <n v="0"/>
    <m/>
    <s v="NA"/>
    <s v="NA"/>
    <s v="NA"/>
    <s v="NA"/>
    <s v="NA"/>
    <s v="NA"/>
    <m/>
    <m/>
    <s v="NA"/>
    <s v="NA"/>
    <m/>
    <m/>
    <m/>
    <m/>
    <n v="5"/>
    <n v="0"/>
    <n v="5"/>
    <n v="0"/>
    <n v="0"/>
    <n v="0"/>
    <n v="5"/>
    <m/>
    <m/>
    <m/>
    <m/>
  </r>
  <r>
    <s v="DSCN1806"/>
    <s v="HS1016_2"/>
    <n v="2"/>
    <n v="1"/>
    <x v="14"/>
    <d v="2018-10-16T00:00:00"/>
    <s v="October"/>
    <s v="Fall"/>
    <d v="1899-12-30T00:29:00"/>
    <d v="1899-12-30T00:00:29"/>
    <x v="122"/>
    <s v="Overcast"/>
    <x v="33"/>
    <s v="Foraging"/>
    <s v="Spruce"/>
    <n v="0"/>
    <m/>
    <n v="0"/>
    <m/>
    <s v="NA"/>
    <s v="NA"/>
    <s v="NA"/>
    <s v="NA"/>
    <s v="NA"/>
    <s v="NA"/>
    <m/>
    <m/>
    <s v="NA"/>
    <s v="NA"/>
    <m/>
    <m/>
    <m/>
    <m/>
    <n v="29"/>
    <n v="0"/>
    <n v="29"/>
    <n v="0"/>
    <n v="0"/>
    <n v="0"/>
    <n v="29"/>
    <s v="Probing"/>
    <m/>
    <n v="1"/>
    <n v="0"/>
  </r>
  <r>
    <s v="DSCN1813"/>
    <s v="HS1016_3"/>
    <n v="3"/>
    <n v="1"/>
    <x v="14"/>
    <d v="2018-10-16T00:00:00"/>
    <s v="October"/>
    <s v="Fall"/>
    <d v="1899-12-30T00:50:00"/>
    <d v="1899-12-30T00:00:50"/>
    <x v="122"/>
    <s v="Overcast"/>
    <x v="33"/>
    <s v="Foraging"/>
    <s v="Spruce"/>
    <n v="1"/>
    <m/>
    <n v="0"/>
    <s v="Unknown"/>
    <s v="Unknown"/>
    <s v="Spruce trunk under bark"/>
    <s v="NA"/>
    <s v="NA"/>
    <s v="NA"/>
    <s v="NA"/>
    <m/>
    <m/>
    <s v="NA"/>
    <s v="NA"/>
    <m/>
    <m/>
    <m/>
    <m/>
    <n v="50"/>
    <n v="0"/>
    <n v="50"/>
    <n v="0"/>
    <n v="0"/>
    <n v="0"/>
    <n v="50"/>
    <m/>
    <m/>
    <m/>
    <m/>
  </r>
  <r>
    <s v="DSCN1814"/>
    <s v="HS1016_4"/>
    <n v="4"/>
    <n v="1"/>
    <x v="14"/>
    <d v="2018-10-16T00:00:00"/>
    <s v="October"/>
    <s v="Fall"/>
    <d v="1899-12-30T00:21:00"/>
    <d v="1899-12-30T00:00:21"/>
    <x v="122"/>
    <s v="Overcast"/>
    <x v="33"/>
    <s v="Foraging"/>
    <s v="NA"/>
    <n v="1"/>
    <m/>
    <n v="0"/>
    <s v="Berry"/>
    <s v="Berry (Blueberry)"/>
    <s v="Ground"/>
    <s v="NA"/>
    <s v="NA"/>
    <s v="NA"/>
    <s v="NA"/>
    <m/>
    <m/>
    <s v="NA"/>
    <s v="NA"/>
    <m/>
    <m/>
    <m/>
    <m/>
    <n v="0"/>
    <n v="0"/>
    <n v="0"/>
    <n v="0"/>
    <n v="15"/>
    <n v="0"/>
    <n v="15"/>
    <m/>
    <m/>
    <m/>
    <m/>
  </r>
  <r>
    <s v="DSCN1815"/>
    <s v="HS1016_5"/>
    <n v="5"/>
    <n v="1"/>
    <x v="14"/>
    <d v="2018-10-16T00:00:00"/>
    <s v="October"/>
    <s v="Fall"/>
    <d v="1899-12-30T00:26:00"/>
    <d v="1899-12-30T00:00:26"/>
    <x v="122"/>
    <s v="Overcast"/>
    <x v="33"/>
    <s v="Food handling"/>
    <s v="NA"/>
    <n v="1"/>
    <m/>
    <n v="0"/>
    <s v="Unknown"/>
    <s v="Unknown"/>
    <s v="unknown"/>
    <s v="NA"/>
    <s v="NA"/>
    <s v="NA"/>
    <s v="NA"/>
    <m/>
    <m/>
    <s v="NA"/>
    <s v="NA"/>
    <m/>
    <m/>
    <m/>
    <m/>
    <n v="0"/>
    <n v="0"/>
    <n v="0"/>
    <n v="0"/>
    <n v="0"/>
    <n v="0"/>
    <n v="0"/>
    <m/>
    <m/>
    <m/>
    <m/>
  </r>
  <r>
    <s v="DSCN1819"/>
    <s v="HS1016_6"/>
    <n v="6"/>
    <n v="1"/>
    <x v="14"/>
    <d v="2018-10-16T00:00:00"/>
    <s v="October"/>
    <s v="Fall"/>
    <d v="1899-12-30T00:28:00"/>
    <d v="1899-12-30T00:00:28"/>
    <x v="122"/>
    <s v="Overcast"/>
    <x v="33"/>
    <s v="Foraging"/>
    <s v="Spruce"/>
    <n v="0"/>
    <m/>
    <n v="0"/>
    <m/>
    <s v="NA"/>
    <s v="NA"/>
    <s v="NA"/>
    <s v="NA"/>
    <s v="NA"/>
    <s v="NA"/>
    <m/>
    <m/>
    <s v="NA"/>
    <s v="NA"/>
    <m/>
    <m/>
    <m/>
    <m/>
    <n v="26"/>
    <n v="0"/>
    <n v="26"/>
    <n v="0"/>
    <n v="0"/>
    <n v="0"/>
    <n v="26"/>
    <m/>
    <m/>
    <m/>
    <m/>
  </r>
  <r>
    <s v="DSCN2063"/>
    <s v="HS1024_1"/>
    <n v="1"/>
    <n v="1"/>
    <x v="14"/>
    <d v="2018-10-24T00:00:00"/>
    <s v="October"/>
    <s v="Fall"/>
    <d v="1899-12-30T00:17:00"/>
    <d v="1899-12-30T00:00:17"/>
    <x v="122"/>
    <m/>
    <x v="33"/>
    <s v="Food handling"/>
    <s v="Spruce"/>
    <n v="1"/>
    <m/>
    <n v="0"/>
    <s v="Animal flesh"/>
    <s v="Animal flesh"/>
    <s v="unknown"/>
    <s v="NA"/>
    <s v="NA"/>
    <s v="NA"/>
    <s v="NA"/>
    <m/>
    <m/>
    <s v="NA"/>
    <s v="NA"/>
    <m/>
    <m/>
    <m/>
    <m/>
    <n v="0"/>
    <n v="0"/>
    <n v="0"/>
    <n v="0"/>
    <n v="0"/>
    <n v="0"/>
    <n v="0"/>
    <m/>
    <m/>
    <m/>
    <m/>
  </r>
  <r>
    <s v="DSCN2064"/>
    <s v="HS1024_2"/>
    <n v="2"/>
    <n v="1"/>
    <x v="14"/>
    <d v="2018-10-24T00:00:00"/>
    <s v="October"/>
    <s v="Fall"/>
    <d v="1899-12-30T00:25:00"/>
    <d v="1899-12-30T00:00:25"/>
    <x v="122"/>
    <m/>
    <x v="33"/>
    <s v="Food handling"/>
    <s v="Spruce"/>
    <n v="0"/>
    <m/>
    <n v="0"/>
    <s v="Animal flesh"/>
    <s v="Animal flesh"/>
    <s v="unknown"/>
    <s v="NA"/>
    <s v="NA"/>
    <s v="NA"/>
    <s v="NA"/>
    <m/>
    <m/>
    <s v="NA"/>
    <s v="NA"/>
    <m/>
    <m/>
    <m/>
    <m/>
    <n v="0"/>
    <n v="0"/>
    <n v="0"/>
    <n v="0"/>
    <n v="0"/>
    <n v="0"/>
    <n v="0"/>
    <m/>
    <s v="Same piece in previous video "/>
    <m/>
    <m/>
  </r>
  <r>
    <s v="DSCN2065"/>
    <s v="HS1024_3"/>
    <n v="3"/>
    <n v="1"/>
    <x v="14"/>
    <d v="2018-10-24T00:00:00"/>
    <s v="October"/>
    <s v="Fall"/>
    <d v="1899-12-30T00:07:00"/>
    <d v="1899-12-30T00:00:07"/>
    <x v="122"/>
    <m/>
    <x v="33"/>
    <s v="Food handling"/>
    <s v="Spruce"/>
    <n v="0"/>
    <m/>
    <n v="0"/>
    <s v="Animal flesh"/>
    <s v="Animal flesh"/>
    <s v="unknown"/>
    <s v="NA"/>
    <s v="NA"/>
    <s v="NA"/>
    <s v="NA"/>
    <m/>
    <m/>
    <s v="NA"/>
    <s v="NA"/>
    <m/>
    <m/>
    <m/>
    <m/>
    <n v="0"/>
    <n v="0"/>
    <n v="0"/>
    <n v="0"/>
    <n v="0"/>
    <n v="0"/>
    <n v="0"/>
    <m/>
    <s v="Same piece in previous video "/>
    <m/>
    <m/>
  </r>
  <r>
    <s v="DSCN2069"/>
    <s v="HS1024_4"/>
    <n v="4"/>
    <n v="1"/>
    <x v="14"/>
    <d v="2018-10-24T00:00:00"/>
    <s v="October"/>
    <s v="Fall"/>
    <d v="1899-12-30T00:25:00"/>
    <d v="1899-12-30T00:00:25"/>
    <x v="122"/>
    <m/>
    <x v="33"/>
    <s v="Foraging"/>
    <s v="Spruce"/>
    <s v="unknown"/>
    <m/>
    <n v="0"/>
    <m/>
    <s v="NA"/>
    <s v="NA"/>
    <s v="NA"/>
    <s v="NA"/>
    <s v="NA"/>
    <s v="NA"/>
    <m/>
    <m/>
    <s v="NA"/>
    <s v="NA"/>
    <m/>
    <m/>
    <m/>
    <m/>
    <n v="25"/>
    <n v="0"/>
    <n v="25"/>
    <n v="0"/>
    <n v="0"/>
    <n v="0"/>
    <n v="25"/>
    <s v="Searching"/>
    <m/>
    <m/>
    <m/>
  </r>
  <r>
    <s v="DSCN2086"/>
    <s v="HS1024_5"/>
    <n v="5"/>
    <n v="1"/>
    <x v="14"/>
    <d v="2018-10-24T00:00:00"/>
    <s v="October"/>
    <s v="Fall"/>
    <d v="1899-12-30T00:20:00"/>
    <d v="1899-12-30T00:00:20"/>
    <x v="122"/>
    <m/>
    <x v="33"/>
    <s v="Foraging"/>
    <s v="Spruce"/>
    <n v="0"/>
    <m/>
    <n v="0"/>
    <m/>
    <s v="NA"/>
    <s v="NA"/>
    <s v="NA"/>
    <s v="NA"/>
    <s v="NA"/>
    <s v="NA"/>
    <m/>
    <m/>
    <s v="NA"/>
    <s v="NA"/>
    <m/>
    <m/>
    <m/>
    <m/>
    <n v="10"/>
    <n v="6"/>
    <n v="10"/>
    <n v="6"/>
    <n v="0"/>
    <n v="0"/>
    <n v="16"/>
    <s v="Searching"/>
    <m/>
    <m/>
    <m/>
  </r>
  <r>
    <s v="DSCN2093"/>
    <s v="HS1024_6"/>
    <n v="6"/>
    <n v="1"/>
    <x v="14"/>
    <d v="2018-10-24T00:00:00"/>
    <s v="October"/>
    <s v="Fall"/>
    <d v="1899-12-30T00:26:00"/>
    <d v="1899-12-30T00:00:26"/>
    <x v="122"/>
    <m/>
    <x v="33"/>
    <s v="Foraging"/>
    <s v="Spruce"/>
    <s v="unknown"/>
    <m/>
    <n v="0"/>
    <m/>
    <s v="NA"/>
    <s v="NA"/>
    <s v="NA"/>
    <s v="NA"/>
    <s v="NA"/>
    <s v="NA"/>
    <m/>
    <m/>
    <s v="NA"/>
    <s v="NA"/>
    <m/>
    <m/>
    <m/>
    <m/>
    <n v="12"/>
    <n v="0"/>
    <n v="12"/>
    <n v="0"/>
    <n v="2"/>
    <n v="0"/>
    <n v="14"/>
    <s v="Searching"/>
    <m/>
    <m/>
    <m/>
  </r>
  <r>
    <s v="DSCN2041"/>
    <s v="RC1024_26"/>
    <n v="26"/>
    <n v="1"/>
    <x v="4"/>
    <d v="2018-10-24T00:00:00"/>
    <s v="October"/>
    <s v="Fall"/>
    <d v="1899-12-30T00:20:00"/>
    <d v="1899-12-30T00:00:20"/>
    <x v="122"/>
    <m/>
    <x v="5"/>
    <s v="Caching"/>
    <s v="Spruce"/>
    <n v="0"/>
    <m/>
    <n v="1"/>
    <s v="Unknown"/>
    <s v="Unknown"/>
    <s v="Top of spruce in witch broom"/>
    <s v="Spruce trunk"/>
    <s v="Spruce"/>
    <s v="Trunk"/>
    <s v="Under bark"/>
    <m/>
    <m/>
    <n v="10"/>
    <n v="63.722700000000003"/>
    <n v="148.95214999999999"/>
    <m/>
    <m/>
    <m/>
    <n v="0"/>
    <n v="0"/>
    <n v="0"/>
    <n v="0"/>
    <n v="0"/>
    <n v="0"/>
    <n v="0"/>
    <m/>
    <m/>
    <m/>
    <m/>
  </r>
  <r>
    <s v="DSCN2105"/>
    <s v="RC1024_5"/>
    <n v="5"/>
    <n v="1"/>
    <x v="4"/>
    <d v="2018-10-24T00:00:00"/>
    <s v="October"/>
    <s v="Fall"/>
    <d v="1899-12-30T00:06:00"/>
    <d v="1899-12-30T00:00:06"/>
    <x v="122"/>
    <m/>
    <x v="5"/>
    <s v="Foraging"/>
    <s v="NA"/>
    <n v="1"/>
    <m/>
    <n v="0"/>
    <s v="Berry"/>
    <s v="Berry (Blueberry)"/>
    <s v="Ground"/>
    <s v="NA"/>
    <s v="NA"/>
    <s v="NA"/>
    <s v="NA"/>
    <m/>
    <m/>
    <s v="NA"/>
    <s v="NA"/>
    <m/>
    <m/>
    <m/>
    <m/>
    <n v="0"/>
    <n v="0"/>
    <n v="0"/>
    <n v="0"/>
    <n v="0"/>
    <n v="0"/>
    <n v="0"/>
    <m/>
    <s v="Video start after bird finished foraging.  SIMILAR COMBO TO MOM, B&amp;UT WE SAW MOM THAT DAY AND SHE HAD ALL HER BANDS "/>
    <m/>
    <m/>
  </r>
  <r>
    <s v="DSCN2106"/>
    <s v="RC1024_6"/>
    <n v="6"/>
    <n v="1"/>
    <x v="4"/>
    <d v="2018-10-24T00:00:00"/>
    <s v="October"/>
    <s v="Fall"/>
    <d v="1899-12-30T00:28:00"/>
    <d v="1899-12-30T00:00:28"/>
    <x v="122"/>
    <m/>
    <x v="5"/>
    <s v="Caching"/>
    <s v="Spruce"/>
    <n v="0"/>
    <m/>
    <n v="1"/>
    <s v="Berry"/>
    <s v="Berry (Blueberry)"/>
    <s v="Ground"/>
    <s v="Interior crown of spruce foliage"/>
    <s v="Spruce"/>
    <s v="Interior"/>
    <s v="Foliage"/>
    <m/>
    <m/>
    <n v="8"/>
    <n v="63.723059999999997"/>
    <n v="148.95411999999999"/>
    <m/>
    <m/>
    <m/>
    <n v="0"/>
    <n v="0"/>
    <n v="0"/>
    <n v="0"/>
    <n v="0"/>
    <n v="0"/>
    <n v="0"/>
    <m/>
    <s v="Strongly suspected cache.  Again, not LB/RS "/>
    <m/>
    <m/>
  </r>
  <r>
    <s v="DSCN2108"/>
    <s v="RC1024_8"/>
    <n v="8"/>
    <n v="2"/>
    <x v="4"/>
    <d v="2018-10-24T00:00:00"/>
    <s v="October"/>
    <s v="Fall"/>
    <d v="1899-12-30T02:21:00"/>
    <d v="1899-12-30T00:02:21"/>
    <x v="122"/>
    <m/>
    <x v="5"/>
    <s v="Foraging/caching"/>
    <s v="Spruce"/>
    <n v="2"/>
    <m/>
    <n v="2"/>
    <s v="Berry"/>
    <s v="Berry (Blueberry)"/>
    <s v="Ground"/>
    <s v="Exterior spruce under witch hair"/>
    <s v="Spruce"/>
    <s v="Exterior"/>
    <s v="Branch under witch hair"/>
    <m/>
    <m/>
    <n v="5"/>
    <n v="63.723419999999997"/>
    <n v="148.95421999999999"/>
    <m/>
    <m/>
    <m/>
    <n v="0"/>
    <n v="0"/>
    <n v="0"/>
    <n v="0"/>
    <n v="0"/>
    <n v="0"/>
    <n v="0"/>
    <s v="Probing"/>
    <s v="Second one we were able to find and photograph in tree. Third was too high to find. Again, not seahawk's mom"/>
    <n v="3"/>
    <m/>
  </r>
  <r>
    <s v="DSCN2108"/>
    <s v="RC1024_8"/>
    <n v="8"/>
    <n v="1"/>
    <x v="4"/>
    <d v="2018-10-24T00:00:00"/>
    <s v="October"/>
    <s v="Fall"/>
    <d v="1899-12-30T02:21:00"/>
    <d v="1899-12-30T00:02:21"/>
    <x v="122"/>
    <m/>
    <x v="5"/>
    <s v="Foraging/caching"/>
    <s v="Spruce"/>
    <n v="0"/>
    <m/>
    <n v="1"/>
    <s v="Unknown"/>
    <s v="Unknown"/>
    <s v="Unknown"/>
    <s v="Interior spruce near trunk under witch hair"/>
    <s v="Spruce"/>
    <s v="Interior"/>
    <s v="Branch under witch hair"/>
    <m/>
    <m/>
    <s v="Unknown"/>
    <n v="63.723379999999999"/>
    <n v="148.95421999999999"/>
    <m/>
    <m/>
    <m/>
    <n v="25"/>
    <n v="27"/>
    <n v="8"/>
    <n v="44"/>
    <n v="24"/>
    <n v="0"/>
    <n v="76"/>
    <s v="Probing"/>
    <s v="Missed foraging and caching for event 1.  "/>
    <n v="3"/>
    <m/>
  </r>
  <r>
    <s v="DSCN2111"/>
    <s v="RC1024_9"/>
    <n v="9"/>
    <n v="1"/>
    <x v="4"/>
    <d v="2018-10-24T00:00:00"/>
    <s v="October"/>
    <s v="Fall"/>
    <d v="1899-12-30T00:29:00"/>
    <d v="1899-12-30T00:00:29"/>
    <x v="122"/>
    <m/>
    <x v="5"/>
    <s v="Foraging"/>
    <s v="Spruce"/>
    <n v="0"/>
    <m/>
    <n v="0"/>
    <m/>
    <s v="NA"/>
    <s v="NA"/>
    <s v="NA"/>
    <s v="NA"/>
    <s v="NA"/>
    <s v="NA"/>
    <m/>
    <m/>
    <s v="NA"/>
    <s v="NA"/>
    <m/>
    <m/>
    <m/>
    <m/>
    <n v="0"/>
    <n v="6"/>
    <n v="0"/>
    <n v="6"/>
    <n v="0"/>
    <n v="0"/>
    <n v="6"/>
    <s v="Searching"/>
    <m/>
    <m/>
    <m/>
  </r>
  <r>
    <s v="DSCN2112"/>
    <s v="RC1024_10"/>
    <n v="10"/>
    <n v="1"/>
    <x v="4"/>
    <d v="2018-10-24T00:00:00"/>
    <s v="October"/>
    <s v="Fall"/>
    <d v="1899-12-30T00:10:00"/>
    <d v="1899-12-30T00:00:10"/>
    <x v="122"/>
    <m/>
    <x v="5"/>
    <s v="Foraging"/>
    <s v="Spruce"/>
    <n v="0"/>
    <m/>
    <n v="0"/>
    <m/>
    <s v="NA"/>
    <s v="NA"/>
    <s v="NA"/>
    <s v="NA"/>
    <s v="NA"/>
    <s v="NA"/>
    <m/>
    <m/>
    <s v="NA"/>
    <s v="NA"/>
    <m/>
    <m/>
    <m/>
    <m/>
    <n v="0"/>
    <n v="8"/>
    <n v="8"/>
    <n v="0"/>
    <n v="0"/>
    <n v="0"/>
    <n v="8"/>
    <s v="Searching"/>
    <m/>
    <m/>
    <m/>
  </r>
  <r>
    <s v="DSCN2113"/>
    <s v="RC1024_11"/>
    <n v="11"/>
    <n v="1"/>
    <x v="4"/>
    <d v="2018-10-24T00:00:00"/>
    <s v="October"/>
    <s v="Fall"/>
    <d v="1899-12-30T00:10:00"/>
    <d v="1899-12-30T00:00:10"/>
    <x v="122"/>
    <m/>
    <x v="5"/>
    <s v="Foraging"/>
    <s v="Spruce"/>
    <n v="0"/>
    <m/>
    <n v="0"/>
    <m/>
    <s v="NA"/>
    <s v="NA"/>
    <s v="NA"/>
    <s v="NA"/>
    <s v="NA"/>
    <s v="NA"/>
    <m/>
    <m/>
    <s v="NA"/>
    <s v="NA"/>
    <m/>
    <m/>
    <m/>
    <m/>
    <n v="8"/>
    <n v="0"/>
    <n v="8"/>
    <n v="0"/>
    <n v="0"/>
    <n v="0"/>
    <n v="8"/>
    <s v="Searching"/>
    <m/>
    <m/>
    <m/>
  </r>
  <r>
    <s v="DSCN2114"/>
    <s v="RC1024_12"/>
    <n v="12"/>
    <n v="1"/>
    <x v="4"/>
    <d v="2018-10-24T00:00:00"/>
    <s v="October"/>
    <s v="Fall"/>
    <d v="1899-12-30T00:25:00"/>
    <d v="1899-12-30T00:00:25"/>
    <x v="122"/>
    <m/>
    <x v="5"/>
    <s v="Foraging"/>
    <s v="NA"/>
    <n v="1"/>
    <m/>
    <n v="0"/>
    <s v="Berry"/>
    <s v="Berry (Blueberry)"/>
    <s v="Ground"/>
    <s v="NA"/>
    <s v="NA"/>
    <s v="NA"/>
    <s v="NA"/>
    <m/>
    <m/>
    <s v="NA"/>
    <s v="NA"/>
    <m/>
    <m/>
    <m/>
    <m/>
    <n v="0"/>
    <n v="0"/>
    <n v="0"/>
    <n v="0"/>
    <n v="23"/>
    <n v="0"/>
    <n v="23"/>
    <m/>
    <m/>
    <m/>
    <m/>
  </r>
  <r>
    <s v="DSCN2115"/>
    <s v="RC1024_13"/>
    <n v="13"/>
    <n v="1"/>
    <x v="4"/>
    <d v="2018-10-24T00:00:00"/>
    <s v="October"/>
    <s v="Fall"/>
    <d v="1899-12-30T00:39:00"/>
    <d v="1899-12-30T00:00:39"/>
    <x v="122"/>
    <m/>
    <x v="5"/>
    <s v="Foraging"/>
    <s v="Spruce"/>
    <s v="unknown"/>
    <m/>
    <n v="0"/>
    <s v="Unknown"/>
    <s v="Unknown"/>
    <s v="NA"/>
    <s v="NA"/>
    <s v="NA"/>
    <s v="NA"/>
    <s v="NA"/>
    <m/>
    <m/>
    <s v="NA"/>
    <s v="NA"/>
    <m/>
    <m/>
    <m/>
    <m/>
    <n v="37"/>
    <n v="0"/>
    <n v="0"/>
    <n v="37"/>
    <n v="0"/>
    <n v="0"/>
    <n v="37"/>
    <m/>
    <m/>
    <m/>
    <m/>
  </r>
  <r>
    <s v="DSCN2127"/>
    <s v="RC1024_16"/>
    <n v="16"/>
    <n v="1"/>
    <x v="4"/>
    <d v="2018-10-24T00:00:00"/>
    <s v="October"/>
    <s v="Fall"/>
    <d v="1899-12-30T01:04:00"/>
    <d v="1899-12-30T00:01:04"/>
    <x v="122"/>
    <m/>
    <x v="5"/>
    <s v="Foraging"/>
    <s v="Aspen and spruce"/>
    <n v="1"/>
    <m/>
    <n v="0"/>
    <s v="Unknown"/>
    <s v="Unknown"/>
    <s v="Aspen branch under bark"/>
    <s v="NA"/>
    <s v="NA"/>
    <s v="NA"/>
    <s v="NA"/>
    <m/>
    <m/>
    <s v="NA"/>
    <s v="NA"/>
    <m/>
    <m/>
    <m/>
    <m/>
    <n v="64"/>
    <n v="0"/>
    <n v="0"/>
    <n v="64"/>
    <n v="0"/>
    <n v="0"/>
    <n v="64"/>
    <s v="Probing"/>
    <s v="Not mom! "/>
    <n v="1"/>
    <n v="0"/>
  </r>
  <r>
    <s v="DSCN2130"/>
    <s v="RC1024_18"/>
    <n v="18"/>
    <n v="1"/>
    <x v="4"/>
    <d v="2018-10-24T00:00:00"/>
    <s v="October"/>
    <s v="Fall"/>
    <d v="1899-12-30T00:27:00"/>
    <d v="1899-12-30T00:00:27"/>
    <x v="122"/>
    <m/>
    <x v="5"/>
    <s v="Foraging (cache recovery)/food handling"/>
    <s v="Spruce"/>
    <n v="1"/>
    <m/>
    <n v="0"/>
    <s v="Animal flesh"/>
    <s v="Animal flesh (Piece of vole)"/>
    <s v="Spruce branch"/>
    <s v="NA"/>
    <s v="NA"/>
    <s v="NA"/>
    <s v="NA"/>
    <m/>
    <m/>
    <s v="NA"/>
    <s v="NA"/>
    <m/>
    <m/>
    <m/>
    <m/>
    <n v="0"/>
    <n v="0"/>
    <n v="0"/>
    <n v="0"/>
    <n v="0"/>
    <n v="0"/>
    <n v="0"/>
    <m/>
    <m/>
    <m/>
    <m/>
  </r>
  <r>
    <s v="DSCN2131"/>
    <s v="RC1024_19"/>
    <n v="19"/>
    <n v="1"/>
    <x v="4"/>
    <d v="2018-10-24T00:00:00"/>
    <s v="October"/>
    <s v="Fall"/>
    <d v="1899-12-30T00:25:00"/>
    <d v="1899-12-30T00:00:25"/>
    <x v="122"/>
    <m/>
    <x v="5"/>
    <s v="Food handling"/>
    <s v="Spruce"/>
    <n v="0"/>
    <m/>
    <n v="0"/>
    <s v="Animal flesh"/>
    <s v="Animal flesh (Piece of vole)"/>
    <s v="Spruce branch"/>
    <s v="NA"/>
    <s v="NA"/>
    <s v="NA"/>
    <s v="NA"/>
    <m/>
    <m/>
    <s v="NA"/>
    <s v="NA"/>
    <m/>
    <m/>
    <m/>
    <m/>
    <n v="0"/>
    <n v="0"/>
    <n v="0"/>
    <n v="0"/>
    <n v="0"/>
    <n v="0"/>
    <n v="0"/>
    <m/>
    <s v="Same as previous video"/>
    <m/>
    <m/>
  </r>
  <r>
    <s v="DSCN2132"/>
    <s v="RC1024_20"/>
    <n v="20"/>
    <n v="1"/>
    <x v="4"/>
    <d v="2018-10-24T00:00:00"/>
    <s v="October"/>
    <s v="Fall"/>
    <d v="1899-12-30T01:22:00"/>
    <d v="1899-12-30T00:01:22"/>
    <x v="122"/>
    <m/>
    <x v="5"/>
    <s v="Food handling/caching"/>
    <s v="Spruce and birch"/>
    <n v="0"/>
    <m/>
    <n v="1"/>
    <s v="Animal flesh"/>
    <s v="Animal flesh (Piece of vole)"/>
    <s v="Spruce branch"/>
    <s v="Exterior spruce foliage"/>
    <s v="Spruce"/>
    <s v="Exterior"/>
    <s v="Foliage"/>
    <m/>
    <m/>
    <n v="8"/>
    <n v="63.724319999999999"/>
    <n v="148.95133999999999"/>
    <m/>
    <m/>
    <m/>
    <n v="0"/>
    <n v="0"/>
    <n v="0"/>
    <n v="0"/>
    <n v="0"/>
    <n v="0"/>
    <n v="0"/>
    <m/>
    <s v="Same as previous video"/>
    <m/>
    <m/>
  </r>
  <r>
    <s v="DSCN2132"/>
    <s v="RC1024_20"/>
    <n v="20"/>
    <n v="2"/>
    <x v="4"/>
    <d v="2018-10-24T00:00:00"/>
    <s v="October"/>
    <s v="Fall"/>
    <d v="1899-12-30T01:22:00"/>
    <d v="1899-12-30T00:01:22"/>
    <x v="122"/>
    <m/>
    <x v="5"/>
    <s v="Food handling/caching"/>
    <s v="Spruce and birch"/>
    <n v="0"/>
    <m/>
    <n v="1"/>
    <s v="Animal flesh"/>
    <s v="Animal flesh (Piece of vole)"/>
    <s v="Spruce branch"/>
    <s v="Under birch bark on trunk"/>
    <s v="Birch"/>
    <s v="Trunk"/>
    <s v="Under bark"/>
    <m/>
    <m/>
    <n v="8"/>
    <n v="63.724290000000003"/>
    <n v="148.95132000000001"/>
    <m/>
    <m/>
    <m/>
    <n v="0"/>
    <n v="0"/>
    <n v="0"/>
    <n v="0"/>
    <n v="0"/>
    <n v="0"/>
    <n v="0"/>
    <m/>
    <s v="Same as previous video"/>
    <m/>
    <m/>
  </r>
  <r>
    <s v="DSCN2135"/>
    <s v="RC1024_21"/>
    <n v="21"/>
    <n v="1"/>
    <x v="4"/>
    <d v="2018-10-24T00:00:00"/>
    <s v="October"/>
    <s v="Fall"/>
    <d v="1899-12-30T00:18:00"/>
    <d v="1899-12-30T00:00:18"/>
    <x v="122"/>
    <m/>
    <x v="5"/>
    <s v="Foraging"/>
    <s v="NA"/>
    <s v="unknown"/>
    <m/>
    <n v="0"/>
    <m/>
    <s v="NA"/>
    <s v="NA"/>
    <s v="NA"/>
    <s v="NA"/>
    <s v="NA"/>
    <s v="NA"/>
    <m/>
    <m/>
    <s v="NA"/>
    <s v="NA"/>
    <m/>
    <m/>
    <m/>
    <m/>
    <n v="0"/>
    <n v="0"/>
    <n v="0"/>
    <n v="0"/>
    <n v="2"/>
    <n v="0"/>
    <n v="2"/>
    <m/>
    <m/>
    <m/>
    <m/>
  </r>
  <r>
    <s v="DSCN2136"/>
    <s v="RC1024_22"/>
    <n v="22"/>
    <n v="1"/>
    <x v="4"/>
    <d v="2018-10-24T00:00:00"/>
    <s v="October"/>
    <s v="Fall"/>
    <d v="1899-12-30T00:23:00"/>
    <d v="1899-12-30T00:00:23"/>
    <x v="122"/>
    <m/>
    <x v="5"/>
    <s v="Foraging"/>
    <s v="Spruce"/>
    <n v="0"/>
    <m/>
    <n v="0"/>
    <m/>
    <s v="NA"/>
    <s v="NA"/>
    <s v="NA"/>
    <s v="NA"/>
    <s v="NA"/>
    <s v="NA"/>
    <m/>
    <m/>
    <s v="NA"/>
    <s v="NA"/>
    <m/>
    <m/>
    <m/>
    <m/>
    <n v="0"/>
    <n v="21"/>
    <n v="0"/>
    <n v="21"/>
    <n v="0"/>
    <n v="0"/>
    <n v="21"/>
    <s v="Searching"/>
    <m/>
    <m/>
    <m/>
  </r>
  <r>
    <s v="DSCN2137"/>
    <s v="RC1024_23"/>
    <n v="23"/>
    <n v="1"/>
    <x v="4"/>
    <d v="2018-10-24T00:00:00"/>
    <s v="October"/>
    <s v="Fall"/>
    <d v="1899-12-30T00:07:00"/>
    <d v="1899-12-30T00:00:07"/>
    <x v="122"/>
    <m/>
    <x v="5"/>
    <s v="Foraging"/>
    <s v="Spruce"/>
    <n v="0"/>
    <m/>
    <n v="0"/>
    <m/>
    <s v="NA"/>
    <s v="NA"/>
    <s v="NA"/>
    <s v="NA"/>
    <s v="NA"/>
    <s v="NA"/>
    <m/>
    <m/>
    <s v="NA"/>
    <s v="NA"/>
    <m/>
    <m/>
    <m/>
    <m/>
    <n v="6"/>
    <n v="0"/>
    <n v="6"/>
    <n v="0"/>
    <n v="0"/>
    <n v="0"/>
    <n v="6"/>
    <s v="Searching"/>
    <m/>
    <m/>
    <m/>
  </r>
  <r>
    <s v="DSCN2139"/>
    <s v="RC1024_24"/>
    <n v="24"/>
    <n v="1"/>
    <x v="4"/>
    <d v="2018-10-24T00:00:00"/>
    <s v="October"/>
    <s v="Fall"/>
    <d v="1899-12-30T00:23:00"/>
    <d v="1899-12-30T00:00:23"/>
    <x v="122"/>
    <m/>
    <x v="5"/>
    <s v="Caching"/>
    <s v="Spruce"/>
    <n v="0"/>
    <m/>
    <n v="1"/>
    <s v="Unknown"/>
    <s v="Unknown"/>
    <s v="unknown"/>
    <s v="Spruce trunk under bark"/>
    <s v="Spruce"/>
    <s v="Trunk"/>
    <s v="Under bark"/>
    <m/>
    <m/>
    <s v="unknown"/>
    <n v="63.722619999999999"/>
    <n v="148.95219"/>
    <m/>
    <m/>
    <m/>
    <n v="0"/>
    <n v="0"/>
    <n v="0"/>
    <n v="0"/>
    <n v="0"/>
    <n v="0"/>
    <n v="0"/>
    <m/>
    <s v="Suspected B&amp;Ut unconfirmed cache"/>
    <m/>
    <m/>
  </r>
  <r>
    <s v="DSCN2140"/>
    <s v="RC1024_25"/>
    <n v="25"/>
    <n v="1"/>
    <x v="4"/>
    <d v="2018-10-24T00:00:00"/>
    <s v="October"/>
    <s v="Fall"/>
    <d v="1899-12-30T00:05:00"/>
    <d v="1899-12-30T00:00:05"/>
    <x v="122"/>
    <m/>
    <x v="5"/>
    <s v="Foraging"/>
    <s v="Spruce"/>
    <n v="1"/>
    <m/>
    <n v="0"/>
    <s v="Unknown"/>
    <s v="Unknown"/>
    <s v="Top of spruce in witch broom"/>
    <s v="NA"/>
    <s v="NA"/>
    <s v="NA"/>
    <s v="NA"/>
    <m/>
    <m/>
    <s v="NA"/>
    <s v="NA"/>
    <m/>
    <m/>
    <m/>
    <m/>
    <n v="0"/>
    <n v="0"/>
    <n v="0"/>
    <n v="0"/>
    <n v="0"/>
    <n v="0"/>
    <n v="0"/>
    <m/>
    <s v="Video start after bird finished foraging. "/>
    <m/>
    <m/>
  </r>
  <r>
    <s v="DSCN2142"/>
    <s v="RC1024_27"/>
    <n v="27"/>
    <n v="1"/>
    <x v="4"/>
    <d v="2018-10-24T00:00:00"/>
    <s v="October"/>
    <s v="Fall"/>
    <d v="1899-12-30T00:32:00"/>
    <d v="1899-12-30T00:00:32"/>
    <x v="122"/>
    <m/>
    <x v="5"/>
    <s v="Foraging"/>
    <s v="Spruce"/>
    <s v="unknown"/>
    <m/>
    <n v="0"/>
    <s v="Unknown"/>
    <s v="Unknown"/>
    <s v="NA"/>
    <s v="NA"/>
    <s v="NA"/>
    <s v="NA"/>
    <s v="NA"/>
    <m/>
    <m/>
    <s v="NA"/>
    <s v="NA"/>
    <m/>
    <m/>
    <m/>
    <m/>
    <n v="7"/>
    <n v="24"/>
    <n v="14"/>
    <n v="17"/>
    <n v="0"/>
    <n v="0"/>
    <n v="31"/>
    <m/>
    <m/>
    <m/>
    <m/>
  </r>
  <r>
    <s v="DSCN2310"/>
    <s v="RC1031_1"/>
    <n v="1"/>
    <n v="1"/>
    <x v="4"/>
    <d v="2018-10-31T00:00:00"/>
    <s v="October"/>
    <s v="Fall"/>
    <d v="1899-12-30T00:11:00"/>
    <d v="1899-12-30T00:00:11"/>
    <x v="122"/>
    <s v="Partly cloudy"/>
    <x v="5"/>
    <s v="Foraging"/>
    <s v="Spruce"/>
    <n v="1"/>
    <m/>
    <n v="0"/>
    <s v="Unknown"/>
    <s v="Unknown"/>
    <s v="Exterior spruce foliage"/>
    <s v="NA"/>
    <s v="NA"/>
    <s v="NA"/>
    <s v="NA"/>
    <m/>
    <m/>
    <s v="NA"/>
    <s v="NA"/>
    <m/>
    <m/>
    <m/>
    <m/>
    <n v="0"/>
    <n v="0"/>
    <n v="0"/>
    <n v="0"/>
    <n v="0"/>
    <n v="0"/>
    <n v="0"/>
    <m/>
    <s v="Did not catch foraging "/>
    <m/>
    <m/>
  </r>
  <r>
    <s v="DSCN2318"/>
    <s v="RC1031_3"/>
    <n v="3"/>
    <n v="1"/>
    <x v="4"/>
    <d v="2018-10-31T00:00:00"/>
    <s v="October"/>
    <s v="Fall"/>
    <d v="1899-12-30T00:45:00"/>
    <d v="1899-12-30T00:00:45"/>
    <x v="122"/>
    <s v="Partly cloudy"/>
    <x v="5"/>
    <s v="Foraging"/>
    <s v="Spruce"/>
    <n v="1"/>
    <m/>
    <n v="0"/>
    <s v="Unknown"/>
    <s v="Unknown"/>
    <s v="Exterior bare branch in witch hair"/>
    <s v="NA"/>
    <s v="NA"/>
    <s v="NA"/>
    <s v="NA"/>
    <m/>
    <m/>
    <s v="NA"/>
    <s v="NA"/>
    <m/>
    <m/>
    <m/>
    <m/>
    <n v="45"/>
    <n v="0"/>
    <n v="0"/>
    <n v="45"/>
    <n v="0"/>
    <n v="0"/>
    <n v="45"/>
    <s v="Gleaning"/>
    <m/>
    <n v="0"/>
    <n v="3"/>
  </r>
  <r>
    <s v="DSCN2324"/>
    <s v="RC1031_6"/>
    <n v="6"/>
    <n v="1"/>
    <x v="4"/>
    <d v="2018-10-31T00:00:00"/>
    <s v="October"/>
    <s v="Fall"/>
    <d v="1899-12-30T00:37:00"/>
    <d v="1899-12-30T00:00:37"/>
    <x v="122"/>
    <s v="Partly cloudy"/>
    <x v="5"/>
    <s v="Caching"/>
    <s v="Spruce"/>
    <n v="0"/>
    <m/>
    <n v="1"/>
    <s v="Unknown"/>
    <s v="Unknown"/>
    <s v="unknown"/>
    <s v="Interior bare spruce branch under bark"/>
    <s v="Spruce"/>
    <s v="Interior"/>
    <s v="Under bark"/>
    <m/>
    <m/>
    <s v="unknown"/>
    <n v="63.722760000000001"/>
    <n v="148.95087000000001"/>
    <m/>
    <m/>
    <m/>
    <n v="0"/>
    <n v="0"/>
    <n v="0"/>
    <n v="0"/>
    <n v="0"/>
    <n v="0"/>
    <n v="0"/>
    <m/>
    <m/>
    <m/>
    <m/>
  </r>
  <r>
    <s v="DSCN2333"/>
    <s v="RC1031_11"/>
    <n v="11"/>
    <n v="1"/>
    <x v="4"/>
    <d v="2018-10-31T00:00:00"/>
    <s v="October"/>
    <s v="Fall"/>
    <d v="1899-12-30T00:24:00"/>
    <d v="1899-12-30T00:00:24"/>
    <x v="122"/>
    <s v="Partly cloudy"/>
    <x v="5"/>
    <s v="Foraging"/>
    <s v="Spruce"/>
    <n v="0"/>
    <m/>
    <n v="0"/>
    <m/>
    <s v="NA"/>
    <s v="NA"/>
    <s v="NA"/>
    <s v="NA"/>
    <s v="NA"/>
    <s v="NA"/>
    <m/>
    <m/>
    <s v="NA"/>
    <s v="NA"/>
    <m/>
    <m/>
    <m/>
    <m/>
    <n v="17"/>
    <n v="0"/>
    <n v="17"/>
    <n v="0"/>
    <n v="0"/>
    <n v="0"/>
    <n v="17"/>
    <m/>
    <m/>
    <m/>
    <m/>
  </r>
  <r>
    <s v="DSCN1350"/>
    <s v="B&amp;U1006_1"/>
    <n v="1"/>
    <n v="1"/>
    <x v="5"/>
    <d v="2018-10-06T00:00:00"/>
    <s v="October"/>
    <s v="Fall"/>
    <d v="1899-12-30T00:10:00"/>
    <d v="1899-12-30T00:00:10"/>
    <x v="122"/>
    <s v="Mostly sunny"/>
    <x v="6"/>
    <s v="Foraging"/>
    <s v="NA"/>
    <n v="1"/>
    <m/>
    <n v="0"/>
    <s v="Berry"/>
    <s v="Berry (Blueberry)"/>
    <s v="Ground"/>
    <s v="NA"/>
    <s v="NA"/>
    <s v="NA"/>
    <s v="NA"/>
    <m/>
    <m/>
    <s v="NA"/>
    <s v="NA"/>
    <m/>
    <m/>
    <m/>
    <m/>
    <n v="0"/>
    <n v="0"/>
    <n v="0"/>
    <n v="0"/>
    <n v="10"/>
    <n v="0"/>
    <n v="10"/>
    <s v="Searching"/>
    <m/>
    <m/>
    <m/>
  </r>
  <r>
    <s v="DSCN1351"/>
    <s v="B&amp;U1006_2"/>
    <n v="2"/>
    <n v="1"/>
    <x v="5"/>
    <d v="2018-10-06T00:00:00"/>
    <s v="October"/>
    <s v="Fall"/>
    <d v="1899-12-30T00:14:00"/>
    <d v="1899-12-30T00:00:14"/>
    <x v="122"/>
    <s v="Mostly sunny"/>
    <x v="6"/>
    <s v="Foraging"/>
    <s v="NA"/>
    <n v="1"/>
    <m/>
    <n v="0"/>
    <s v="Unknown"/>
    <s v="Unknown"/>
    <s v="Ground"/>
    <s v="NA"/>
    <s v="NA"/>
    <s v="NA"/>
    <s v="NA"/>
    <m/>
    <m/>
    <s v="NA"/>
    <s v="NA"/>
    <m/>
    <m/>
    <m/>
    <m/>
    <n v="0"/>
    <n v="0"/>
    <n v="0"/>
    <n v="0"/>
    <n v="10"/>
    <n v="0"/>
    <n v="10"/>
    <m/>
    <s v="Likely B&amp;Ug B&amp;Ut not sure enough to mark.  "/>
    <m/>
    <m/>
  </r>
  <r>
    <s v="DSCN1353"/>
    <s v="B&amp;U1006_4"/>
    <n v="4"/>
    <n v="1"/>
    <x v="5"/>
    <d v="2018-10-06T00:00:00"/>
    <s v="October"/>
    <s v="Fall"/>
    <d v="1899-12-30T00:16:00"/>
    <d v="1899-12-30T00:00:16"/>
    <x v="122"/>
    <s v="Mostly sunny"/>
    <x v="6"/>
    <s v="Foraging"/>
    <s v="NA"/>
    <n v="1"/>
    <m/>
    <n v="0"/>
    <s v="Berry"/>
    <s v="Berry (Pumpkin berry)"/>
    <s v="Ground"/>
    <s v="NA"/>
    <s v="NA"/>
    <s v="NA"/>
    <s v="NA"/>
    <m/>
    <m/>
    <s v="NA"/>
    <s v="NA"/>
    <m/>
    <m/>
    <m/>
    <m/>
    <n v="0"/>
    <n v="0"/>
    <n v="0"/>
    <n v="0"/>
    <n v="0"/>
    <n v="0"/>
    <n v="0"/>
    <m/>
    <s v="Not recorded on camera"/>
    <m/>
    <m/>
  </r>
  <r>
    <s v="DSCN1354"/>
    <s v="B&amp;U1006_5"/>
    <n v="5"/>
    <n v="1"/>
    <x v="5"/>
    <d v="2018-10-06T00:00:00"/>
    <s v="October"/>
    <s v="Fall"/>
    <d v="1899-12-30T00:11:00"/>
    <d v="1899-12-30T00:00:11"/>
    <x v="122"/>
    <s v="Mostly sunny"/>
    <x v="6"/>
    <s v="Food handling"/>
    <s v="NA"/>
    <n v="0"/>
    <m/>
    <n v="0"/>
    <s v="Berry"/>
    <s v="Berry (Pumpkin berry)"/>
    <s v="NA"/>
    <s v="NA"/>
    <s v="NA"/>
    <s v="NA"/>
    <s v="NA"/>
    <m/>
    <m/>
    <s v="NA"/>
    <s v="NA"/>
    <m/>
    <m/>
    <m/>
    <m/>
    <n v="0"/>
    <n v="0"/>
    <n v="0"/>
    <n v="0"/>
    <n v="0"/>
    <n v="0"/>
    <n v="0"/>
    <m/>
    <s v="Manipulating orange berry from previous video"/>
    <m/>
    <m/>
  </r>
  <r>
    <s v="DSCN1355"/>
    <s v="B&amp;U1006_6"/>
    <n v="6"/>
    <n v="1"/>
    <x v="5"/>
    <d v="2018-10-06T00:00:00"/>
    <s v="October"/>
    <s v="Fall"/>
    <d v="1899-12-30T00:17:00"/>
    <d v="1899-12-30T00:00:17"/>
    <x v="122"/>
    <s v="Mostly sunny"/>
    <x v="6"/>
    <s v="Caching"/>
    <s v="Spruce"/>
    <n v="0"/>
    <m/>
    <n v="1"/>
    <s v="Unknown"/>
    <s v="unknown, B&amp;Ut could have included orange berry from before"/>
    <s v="unknown"/>
    <s v="Spruce trunk under bark"/>
    <s v="Spruce"/>
    <s v="Trunk"/>
    <s v="Under bark"/>
    <m/>
    <m/>
    <s v="unknown"/>
    <n v="63.724710000000002"/>
    <n v="148.95338000000001"/>
    <m/>
    <m/>
    <m/>
    <n v="0"/>
    <n v="0"/>
    <n v="0"/>
    <n v="0"/>
    <n v="0"/>
    <n v="0"/>
    <n v="0"/>
    <m/>
    <m/>
    <m/>
    <m/>
  </r>
  <r>
    <s v="DSCN1360"/>
    <s v="B&amp;U1006_7"/>
    <n v="7"/>
    <n v="1"/>
    <x v="5"/>
    <d v="2018-10-06T00:00:00"/>
    <s v="October"/>
    <s v="Fall"/>
    <d v="1899-12-30T00:13:00"/>
    <d v="1899-12-30T00:00:13"/>
    <x v="122"/>
    <s v="Mostly sunny"/>
    <x v="6"/>
    <s v="Caching"/>
    <s v="Spruce"/>
    <n v="0"/>
    <m/>
    <n v="1"/>
    <s v="Unknown"/>
    <s v="Unknown"/>
    <s v="unknown"/>
    <s v="Spruce trunk under bark"/>
    <s v="Spruce"/>
    <s v="Trunk"/>
    <s v="Under bark and witch hair "/>
    <m/>
    <m/>
    <s v="unknown"/>
    <n v="63.72475"/>
    <n v="148.95241999999999"/>
    <m/>
    <m/>
    <m/>
    <n v="0"/>
    <n v="0"/>
    <n v="0"/>
    <n v="0"/>
    <n v="0"/>
    <n v="0"/>
    <n v="0"/>
    <m/>
    <s v="Excellent cache video.  "/>
    <m/>
    <m/>
  </r>
  <r>
    <s v="DSCN1361"/>
    <s v="B&amp;U1006_8"/>
    <n v="8"/>
    <n v="1"/>
    <x v="5"/>
    <d v="2018-10-06T00:00:00"/>
    <s v="October"/>
    <s v="Fall"/>
    <d v="1899-12-30T00:22:00"/>
    <d v="1899-12-30T00:00:22"/>
    <x v="122"/>
    <s v="Mostly sunny"/>
    <x v="6"/>
    <s v="Caching"/>
    <s v="Spruce"/>
    <n v="1"/>
    <m/>
    <n v="1"/>
    <s v="Unknown"/>
    <s v="Unknown"/>
    <s v="Ground"/>
    <s v="Exterior spruce branch under bark/witch hair"/>
    <s v="Spruce"/>
    <s v="Exterior"/>
    <s v="Under bark and witch hair "/>
    <m/>
    <m/>
    <n v="1"/>
    <n v="63.724789999999999"/>
    <n v="148.95250999999999"/>
    <m/>
    <m/>
    <m/>
    <n v="0"/>
    <n v="0"/>
    <n v="0"/>
    <n v="0"/>
    <n v="0"/>
    <n v="0"/>
    <n v="0"/>
    <m/>
    <s v="Cache not recorded on video.  Second cache found by accident in same tree.  Large piece of mushroom (based on texture and smell).  KS notcied it sticking out from under a piece of bark on the trunk.  You could see the cystalized saliva.  KS collected.  We also returned later to put a camera on this cache tree. "/>
    <m/>
    <m/>
  </r>
  <r>
    <s v="DSCN1362"/>
    <s v="B&amp;U1006_9"/>
    <n v="9"/>
    <n v="1"/>
    <x v="5"/>
    <d v="2018-10-06T00:00:00"/>
    <s v="October"/>
    <s v="Fall"/>
    <d v="1899-12-30T00:18:00"/>
    <d v="1899-12-30T00:00:18"/>
    <x v="122"/>
    <s v="Mostly sunny"/>
    <x v="6"/>
    <s v="Caching"/>
    <s v="Spruce"/>
    <n v="0"/>
    <m/>
    <n v="1"/>
    <s v="Unknown"/>
    <s v="Unknown"/>
    <s v="unknown"/>
    <s v="Exterior spruce foliage"/>
    <s v="Spruce"/>
    <s v="Exterior"/>
    <s v="Foliage"/>
    <m/>
    <m/>
    <s v="unknown"/>
    <n v="63.724919999999997"/>
    <n v="148.95245"/>
    <m/>
    <m/>
    <m/>
    <n v="0"/>
    <n v="0"/>
    <n v="0"/>
    <n v="0"/>
    <n v="0"/>
    <n v="0"/>
    <n v="0"/>
    <m/>
    <s v="Caches not recorded on video"/>
    <m/>
    <m/>
  </r>
  <r>
    <s v="DSCN1362"/>
    <s v="B&amp;U1006_9"/>
    <n v="9"/>
    <n v="2"/>
    <x v="5"/>
    <d v="2018-10-06T00:00:00"/>
    <s v="October"/>
    <s v="Fall"/>
    <d v="1899-12-30T00:18:00"/>
    <d v="1899-12-30T00:00:18"/>
    <x v="122"/>
    <s v="Mostly sunny"/>
    <x v="6"/>
    <s v="Caching"/>
    <s v="Spruce"/>
    <n v="0"/>
    <m/>
    <n v="1"/>
    <s v="Unknown"/>
    <s v="Unknown"/>
    <s v="unknown"/>
    <s v="Exterior spruce foliage"/>
    <s v="Spruce"/>
    <s v="Exterior"/>
    <s v="Foliage"/>
    <m/>
    <m/>
    <s v="unknown"/>
    <n v="63.724919999999997"/>
    <n v="148.95258000000001"/>
    <m/>
    <m/>
    <m/>
    <n v="0"/>
    <n v="0"/>
    <n v="0"/>
    <n v="0"/>
    <n v="0"/>
    <n v="0"/>
    <n v="0"/>
    <m/>
    <s v="Caches not recorded on video"/>
    <m/>
    <m/>
  </r>
  <r>
    <s v="DSCN1866"/>
    <s v="B&amp;U1017_6"/>
    <n v="6"/>
    <n v="1"/>
    <x v="5"/>
    <d v="2018-10-17T00:00:00"/>
    <s v="October"/>
    <s v="Fall"/>
    <d v="1899-12-30T00:11:00"/>
    <d v="1899-12-30T00:00:11"/>
    <x v="122"/>
    <s v="Overcast"/>
    <x v="6"/>
    <s v="Foraging"/>
    <s v="NA"/>
    <n v="1"/>
    <m/>
    <n v="0"/>
    <s v="Berry"/>
    <s v="Berry (Blueberry)"/>
    <s v="Ground"/>
    <s v="NA"/>
    <s v="NA"/>
    <s v="NA"/>
    <s v="NA"/>
    <m/>
    <m/>
    <s v="NA"/>
    <s v="NA"/>
    <m/>
    <m/>
    <m/>
    <m/>
    <n v="0"/>
    <n v="0"/>
    <n v="0"/>
    <n v="0"/>
    <n v="10"/>
    <n v="0"/>
    <n v="10"/>
    <m/>
    <m/>
    <m/>
    <m/>
  </r>
  <r>
    <s v="DSCN1867"/>
    <s v="B&amp;U1017_7"/>
    <n v="7"/>
    <n v="1"/>
    <x v="5"/>
    <d v="2018-10-17T00:00:00"/>
    <s v="October"/>
    <s v="Fall"/>
    <d v="1899-12-30T00:14:00"/>
    <d v="1899-12-30T00:00:14"/>
    <x v="122"/>
    <s v="Overcast"/>
    <x v="6"/>
    <s v="Caching"/>
    <s v="Spruce"/>
    <n v="0"/>
    <m/>
    <n v="1"/>
    <s v="Berry"/>
    <s v="Berry (Blueberry)"/>
    <s v="Ground"/>
    <s v="Interior bare spruce branch under bark"/>
    <s v="Spruce"/>
    <s v="Interior"/>
    <s v="Under bark"/>
    <m/>
    <m/>
    <n v="8"/>
    <n v="63.725540000000002"/>
    <n v="148.9563"/>
    <m/>
    <m/>
    <m/>
    <n v="0"/>
    <n v="0"/>
    <n v="0"/>
    <n v="0"/>
    <n v="0"/>
    <n v="0"/>
    <n v="0"/>
    <m/>
    <m/>
    <m/>
    <m/>
  </r>
  <r>
    <s v="DSCN1869"/>
    <s v="B&amp;U1017_8"/>
    <n v="8"/>
    <n v="1"/>
    <x v="5"/>
    <d v="2018-10-17T00:00:00"/>
    <s v="October"/>
    <s v="Fall"/>
    <d v="1899-12-30T00:41:00"/>
    <d v="1899-12-30T00:00:41"/>
    <x v="122"/>
    <s v="Overcast"/>
    <x v="6"/>
    <s v="Foraging"/>
    <s v="Spruce"/>
    <s v="unknown"/>
    <m/>
    <n v="0"/>
    <m/>
    <s v="NA"/>
    <s v="NA"/>
    <s v="NA"/>
    <s v="NA"/>
    <s v="NA"/>
    <s v="NA"/>
    <m/>
    <m/>
    <s v="NA"/>
    <s v="NA"/>
    <m/>
    <m/>
    <m/>
    <m/>
    <n v="0"/>
    <n v="30"/>
    <n v="0"/>
    <n v="30"/>
    <n v="0"/>
    <n v="0"/>
    <n v="30"/>
    <m/>
    <m/>
    <m/>
    <m/>
  </r>
  <r>
    <s v="DSCN2196"/>
    <s v="B&amp;U1029_1"/>
    <n v="1"/>
    <n v="1"/>
    <x v="5"/>
    <d v="2018-10-29T00:00:00"/>
    <s v="October"/>
    <s v="Fall"/>
    <d v="1899-12-30T01:07:00"/>
    <d v="1899-12-30T00:01:07"/>
    <x v="122"/>
    <s v="Clear"/>
    <x v="6"/>
    <s v="Foraging"/>
    <s v="Spruce"/>
    <s v="unknown"/>
    <m/>
    <s v="Unknown"/>
    <s v="Unknown"/>
    <s v="Unknown"/>
    <s v="NA"/>
    <s v="NA"/>
    <m/>
    <m/>
    <m/>
    <m/>
    <m/>
    <s v="NA"/>
    <s v="NA"/>
    <m/>
    <m/>
    <m/>
    <m/>
    <n v="0"/>
    <n v="67"/>
    <n v="0"/>
    <n v="67"/>
    <n v="0"/>
    <n v="0"/>
    <n v="67"/>
    <s v="Searching "/>
    <s v="View obstructed for a lot of it"/>
    <m/>
    <m/>
  </r>
  <r>
    <s v="DSCN2199"/>
    <s v="B&amp;U1029_2"/>
    <n v="2"/>
    <n v="1"/>
    <x v="5"/>
    <d v="2018-10-29T00:00:00"/>
    <s v="October"/>
    <s v="Fall"/>
    <d v="1899-12-30T00:50:00"/>
    <d v="1899-12-30T00:00:50"/>
    <x v="122"/>
    <s v="Clear"/>
    <x v="6"/>
    <s v="Foraging"/>
    <s v="Spruce"/>
    <n v="1"/>
    <m/>
    <n v="0"/>
    <s v="Unknown"/>
    <s v="Unknown"/>
    <s v="Exterior dense foliage of spruce"/>
    <s v="NA"/>
    <s v="NA"/>
    <s v="NA"/>
    <s v="NA"/>
    <m/>
    <m/>
    <s v="NA"/>
    <s v="NA"/>
    <m/>
    <m/>
    <m/>
    <m/>
    <n v="0"/>
    <n v="24"/>
    <n v="0"/>
    <n v="24"/>
    <n v="0"/>
    <n v="0"/>
    <n v="24"/>
    <m/>
    <s v="Thought it was a cache B&amp;Ut decided it wasn't.  Just in case, the GPS is 63.72587, 148.95973"/>
    <m/>
    <m/>
  </r>
  <r>
    <s v="DSCN2209"/>
    <s v="B&amp;U1029_7"/>
    <n v="7"/>
    <n v="1"/>
    <x v="5"/>
    <d v="2018-10-29T00:00:00"/>
    <s v="October"/>
    <s v="Fall"/>
    <d v="1899-12-30T01:15:00"/>
    <d v="1899-12-30T00:01:15"/>
    <x v="122"/>
    <s v="Clear"/>
    <x v="6"/>
    <s v="Foraging"/>
    <s v="Spruce"/>
    <s v="unknown"/>
    <m/>
    <n v="0"/>
    <m/>
    <s v="NA"/>
    <s v="NA"/>
    <s v="NA"/>
    <s v="NA"/>
    <s v="NA"/>
    <s v="NA"/>
    <m/>
    <m/>
    <s v="NA"/>
    <s v="NA"/>
    <m/>
    <m/>
    <m/>
    <m/>
    <n v="0"/>
    <n v="12"/>
    <n v="0"/>
    <n v="12"/>
    <n v="0"/>
    <n v="0"/>
    <n v="12"/>
    <m/>
    <m/>
    <m/>
    <m/>
  </r>
  <r>
    <s v="DSCN2211"/>
    <s v="B&amp;U1029_8"/>
    <n v="8"/>
    <n v="1"/>
    <x v="5"/>
    <d v="2018-10-29T00:00:00"/>
    <s v="October"/>
    <s v="Fall"/>
    <d v="1899-12-30T00:34:00"/>
    <d v="1899-12-30T00:00:34"/>
    <x v="122"/>
    <s v="Clear"/>
    <x v="6"/>
    <s v="Foraging"/>
    <s v="Spruce"/>
    <s v="unknown"/>
    <m/>
    <n v="0"/>
    <m/>
    <s v="NA"/>
    <s v="NA"/>
    <s v="NA"/>
    <s v="NA"/>
    <s v="NA"/>
    <s v="NA"/>
    <m/>
    <m/>
    <s v="NA"/>
    <s v="NA"/>
    <m/>
    <m/>
    <m/>
    <m/>
    <n v="7"/>
    <n v="27"/>
    <n v="7"/>
    <n v="27"/>
    <n v="0"/>
    <n v="0"/>
    <n v="34"/>
    <m/>
    <m/>
    <m/>
    <m/>
  </r>
  <r>
    <s v="DSCN2212"/>
    <s v="B&amp;U1029_9"/>
    <n v="9"/>
    <n v="1"/>
    <x v="5"/>
    <d v="2018-10-29T00:00:00"/>
    <s v="October"/>
    <s v="Fall"/>
    <d v="1899-12-30T01:01:00"/>
    <d v="1899-12-30T00:01:01"/>
    <x v="122"/>
    <s v="Clear"/>
    <x v="6"/>
    <s v="Foraging"/>
    <s v="Spruce"/>
    <n v="1"/>
    <m/>
    <n v="0"/>
    <s v="Unknown"/>
    <s v="Unknown"/>
    <s v="Exterior dense foliage of spruce"/>
    <s v="NA"/>
    <s v="NA"/>
    <s v="NA"/>
    <s v="NA"/>
    <m/>
    <m/>
    <s v="NA"/>
    <s v="NA"/>
    <m/>
    <m/>
    <m/>
    <m/>
    <n v="2"/>
    <n v="10"/>
    <n v="2"/>
    <n v="10"/>
    <n v="0"/>
    <n v="0"/>
    <n v="12"/>
    <m/>
    <m/>
    <m/>
    <m/>
  </r>
  <r>
    <s v="DSCN2220"/>
    <s v="B&amp;U1029_11"/>
    <n v="11"/>
    <n v="1"/>
    <x v="5"/>
    <d v="2018-10-29T00:00:00"/>
    <s v="October"/>
    <s v="Fall"/>
    <d v="1899-12-30T00:24:00"/>
    <d v="1899-12-30T00:00:24"/>
    <x v="122"/>
    <s v="Clear"/>
    <x v="6"/>
    <s v="Foraging"/>
    <s v="Spruce"/>
    <s v="unknown"/>
    <m/>
    <s v="Unknown"/>
    <s v="Unknown"/>
    <s v="Unknown"/>
    <s v="NA"/>
    <s v="NA"/>
    <m/>
    <m/>
    <m/>
    <m/>
    <m/>
    <s v="NA"/>
    <s v="NA"/>
    <m/>
    <m/>
    <m/>
    <m/>
    <n v="22"/>
    <n v="0"/>
    <n v="22"/>
    <n v="0"/>
    <n v="0"/>
    <n v="0"/>
    <n v="22"/>
    <m/>
    <m/>
    <m/>
    <m/>
  </r>
  <r>
    <s v="DSCN2222"/>
    <s v="B&amp;U1029_12"/>
    <n v="12"/>
    <n v="1"/>
    <x v="5"/>
    <d v="2018-10-29T00:00:00"/>
    <s v="October"/>
    <s v="Fall"/>
    <d v="1899-12-30T00:32:00"/>
    <d v="1899-12-30T00:00:32"/>
    <x v="122"/>
    <s v="Clear"/>
    <x v="6"/>
    <s v="Foraging"/>
    <s v="Spruce"/>
    <n v="0"/>
    <m/>
    <n v="0"/>
    <m/>
    <s v="NA"/>
    <s v="NA"/>
    <s v="NA"/>
    <s v="NA"/>
    <s v="NA"/>
    <s v="NA"/>
    <m/>
    <m/>
    <s v="NA"/>
    <s v="NA"/>
    <m/>
    <m/>
    <m/>
    <m/>
    <n v="0"/>
    <n v="25"/>
    <n v="0"/>
    <n v="25"/>
    <n v="0"/>
    <n v="0"/>
    <n v="25"/>
    <m/>
    <m/>
    <m/>
    <m/>
  </r>
  <r>
    <s v="DSCN2223"/>
    <s v="B&amp;U1029_13"/>
    <n v="13"/>
    <n v="1"/>
    <x v="5"/>
    <d v="2018-10-29T00:00:00"/>
    <s v="October"/>
    <s v="Fall"/>
    <d v="1899-12-30T01:43:00"/>
    <d v="1899-12-30T00:01:43"/>
    <x v="122"/>
    <s v="Clear"/>
    <x v="6"/>
    <s v="Foraging"/>
    <s v="Spruce"/>
    <n v="1"/>
    <m/>
    <n v="0"/>
    <s v="Unknown"/>
    <s v="Unknown"/>
    <s v="Exterior dense foliage of spruce"/>
    <s v="NA"/>
    <s v="NA"/>
    <s v="NA"/>
    <s v="NA"/>
    <m/>
    <m/>
    <s v="NA"/>
    <s v="NA"/>
    <m/>
    <m/>
    <m/>
    <m/>
    <n v="47"/>
    <n v="38"/>
    <n v="47"/>
    <n v="38"/>
    <n v="0"/>
    <n v="0"/>
    <n v="85"/>
    <s v="Probing"/>
    <m/>
    <n v="2"/>
    <n v="0"/>
  </r>
  <r>
    <s v="DSCN2226"/>
    <s v="B&amp;U1029_14"/>
    <n v="14"/>
    <n v="1"/>
    <x v="5"/>
    <d v="2018-10-29T00:00:00"/>
    <s v="October"/>
    <s v="Fall"/>
    <d v="1899-12-30T00:14:00"/>
    <d v="1899-12-30T00:00:14"/>
    <x v="122"/>
    <s v="Clear"/>
    <x v="6"/>
    <s v="Foraring"/>
    <s v="Spruce"/>
    <n v="1"/>
    <m/>
    <n v="0"/>
    <s v="Unknown"/>
    <s v="Unknown"/>
    <s v="Exterior spruce"/>
    <s v="NA"/>
    <s v="NA"/>
    <s v="NA"/>
    <s v="NA"/>
    <m/>
    <m/>
    <s v="NA"/>
    <s v="NA"/>
    <m/>
    <m/>
    <m/>
    <m/>
    <n v="0"/>
    <n v="0"/>
    <n v="0"/>
    <n v="0"/>
    <n v="0"/>
    <n v="0"/>
    <n v="0"/>
    <m/>
    <m/>
    <m/>
    <m/>
  </r>
  <r>
    <s v="DSCN2227"/>
    <s v="B&amp;U1029_15"/>
    <n v="15"/>
    <n v="1"/>
    <x v="5"/>
    <d v="2018-10-29T00:00:00"/>
    <s v="October"/>
    <s v="Fall"/>
    <d v="1899-12-30T00:23:00"/>
    <d v="1899-12-30T00:00:23"/>
    <x v="122"/>
    <s v="Clear"/>
    <x v="6"/>
    <s v="Caching"/>
    <s v="Spruce"/>
    <n v="0"/>
    <m/>
    <n v="1"/>
    <s v="Unknown"/>
    <s v="Unknown"/>
    <s v="Exterior spruce"/>
    <s v="Exterior spruce branch under bark/witch hair"/>
    <s v="Spruce"/>
    <s v="Exterior"/>
    <s v="Under bark and witch hair "/>
    <m/>
    <m/>
    <s v="unknown"/>
    <n v="63.725090000000002"/>
    <n v="148.96426"/>
    <m/>
    <m/>
    <m/>
    <n v="0"/>
    <n v="0"/>
    <n v="0"/>
    <n v="0"/>
    <n v="0"/>
    <n v="0"/>
    <n v="0"/>
    <m/>
    <s v="Cached item from previous video"/>
    <m/>
    <m/>
  </r>
  <r>
    <s v="DSCN2229"/>
    <s v="B&amp;U1029_17"/>
    <n v="17"/>
    <n v="1"/>
    <x v="5"/>
    <d v="2018-10-29T00:00:00"/>
    <s v="October"/>
    <s v="Fall"/>
    <d v="1899-12-30T00:20:00"/>
    <d v="1899-12-30T00:00:20"/>
    <x v="122"/>
    <s v="Clear"/>
    <x v="6"/>
    <s v="Foraging (Cache recovery)"/>
    <s v="Spruce"/>
    <n v="1"/>
    <m/>
    <n v="0"/>
    <s v="Unknown"/>
    <s v="Unknown"/>
    <s v="Interior bare spruce branch under bark"/>
    <s v="NA"/>
    <s v="NA"/>
    <s v="NA"/>
    <s v="NA"/>
    <m/>
    <m/>
    <s v="NA"/>
    <s v="NA"/>
    <m/>
    <m/>
    <m/>
    <m/>
    <n v="13"/>
    <n v="0"/>
    <n v="13"/>
    <n v="0"/>
    <n v="0"/>
    <n v="0"/>
    <n v="13"/>
    <s v="Probing"/>
    <m/>
    <n v="4"/>
    <n v="0"/>
  </r>
  <r>
    <s v="DSCN2230"/>
    <s v="B&amp;U1029_18"/>
    <n v="18"/>
    <n v="1"/>
    <x v="5"/>
    <d v="2018-10-29T00:00:00"/>
    <s v="October"/>
    <s v="Fall"/>
    <d v="1899-12-30T00:42:00"/>
    <d v="1899-12-30T00:00:42"/>
    <x v="122"/>
    <s v="Clear"/>
    <x v="6"/>
    <s v="Foraging"/>
    <s v="Spruce"/>
    <s v="unknown"/>
    <m/>
    <s v="Unknown"/>
    <s v="Unknown"/>
    <s v="Unknown"/>
    <s v="NA"/>
    <s v="NA"/>
    <m/>
    <m/>
    <m/>
    <m/>
    <m/>
    <s v="NA"/>
    <s v="NA"/>
    <m/>
    <m/>
    <m/>
    <m/>
    <n v="0"/>
    <n v="35"/>
    <n v="0"/>
    <n v="35"/>
    <n v="0"/>
    <n v="0"/>
    <n v="35"/>
    <s v="Searching"/>
    <m/>
    <m/>
    <m/>
  </r>
  <r>
    <s v="DSCN2233"/>
    <s v="B&amp;U1029_19"/>
    <n v="19"/>
    <n v="1"/>
    <x v="5"/>
    <d v="2018-10-29T00:00:00"/>
    <s v="October"/>
    <s v="Fall"/>
    <d v="1899-12-30T00:27:00"/>
    <d v="1899-12-30T00:00:27"/>
    <x v="122"/>
    <s v="Clear"/>
    <x v="6"/>
    <s v="Foraging"/>
    <s v="Spruce"/>
    <s v="unknown"/>
    <m/>
    <s v="Unknown"/>
    <s v="Unknown"/>
    <s v="Unknown"/>
    <s v="NA"/>
    <s v="NA"/>
    <m/>
    <m/>
    <m/>
    <m/>
    <m/>
    <s v="NA"/>
    <s v="NA"/>
    <m/>
    <m/>
    <m/>
    <m/>
    <n v="0"/>
    <n v="6"/>
    <n v="0"/>
    <n v="6"/>
    <n v="0"/>
    <n v="0"/>
    <n v="6"/>
    <m/>
    <m/>
    <m/>
    <m/>
  </r>
  <r>
    <s v="DSCN2235"/>
    <s v="B&amp;U1029_20"/>
    <n v="20"/>
    <n v="1"/>
    <x v="5"/>
    <d v="2018-10-29T00:00:00"/>
    <s v="October"/>
    <s v="Fall"/>
    <d v="1899-12-30T00:17:00"/>
    <d v="1899-12-30T00:00:17"/>
    <x v="122"/>
    <s v="Clear"/>
    <x v="6"/>
    <s v="Foraging"/>
    <s v="Spruce"/>
    <s v="unknown"/>
    <m/>
    <s v="Unknown"/>
    <s v="Unknown"/>
    <s v="Unknown"/>
    <s v="NA"/>
    <s v="NA"/>
    <m/>
    <m/>
    <m/>
    <m/>
    <m/>
    <s v="NA"/>
    <s v="NA"/>
    <m/>
    <m/>
    <m/>
    <m/>
    <n v="0"/>
    <n v="16"/>
    <n v="0"/>
    <n v="16"/>
    <n v="0"/>
    <n v="0"/>
    <n v="16"/>
    <m/>
    <m/>
    <m/>
    <m/>
  </r>
  <r>
    <s v="DSCN1447"/>
    <s v="RC1008_11"/>
    <n v="11"/>
    <n v="1"/>
    <x v="10"/>
    <d v="2018-10-08T00:00:00"/>
    <s v="October"/>
    <s v="Fall"/>
    <d v="1899-12-30T00:16:00"/>
    <d v="1899-12-30T00:00:16"/>
    <x v="122"/>
    <s v="Mostly sunny"/>
    <x v="34"/>
    <s v="Caching"/>
    <s v="Spruce"/>
    <n v="1"/>
    <m/>
    <n v="1"/>
    <s v="Unknown"/>
    <s v="Unknown"/>
    <s v="Ground"/>
    <s v="Exterior spruce branch under bark/witch hair"/>
    <s v="Spruce"/>
    <s v="Exterior"/>
    <s v="Under bark and witch hair "/>
    <m/>
    <m/>
    <n v="1"/>
    <n v="63.723610000000001"/>
    <n v="148.95204000000001"/>
    <m/>
    <m/>
    <m/>
    <n v="0"/>
    <n v="0"/>
    <n v="0"/>
    <n v="0"/>
    <n v="0"/>
    <n v="0"/>
    <n v="0"/>
    <m/>
    <s v="Foraging not caught on tape"/>
    <m/>
    <m/>
  </r>
  <r>
    <s v="DSCN1448"/>
    <s v="RC1008_12"/>
    <n v="12"/>
    <n v="1"/>
    <x v="10"/>
    <d v="2018-10-08T00:00:00"/>
    <s v="October"/>
    <s v="Fall"/>
    <d v="1899-12-30T00:13:00"/>
    <d v="1899-12-30T00:00:13"/>
    <x v="122"/>
    <s v="Mostly sunny"/>
    <x v="34"/>
    <s v="Foraging"/>
    <s v="NA"/>
    <n v="2"/>
    <m/>
    <n v="0"/>
    <s v="Unknown"/>
    <s v="Unknown"/>
    <s v="Ground"/>
    <s v="NA"/>
    <s v="NA"/>
    <s v="NA"/>
    <s v="NA"/>
    <m/>
    <m/>
    <s v="NA"/>
    <s v="NA"/>
    <m/>
    <m/>
    <m/>
    <m/>
    <n v="0"/>
    <n v="0"/>
    <n v="0"/>
    <n v="0"/>
    <n v="10"/>
    <n v="0"/>
    <n v="10"/>
    <m/>
    <m/>
    <m/>
    <m/>
  </r>
  <r>
    <s v="DSCN1452"/>
    <s v="RC1008_13"/>
    <n v="13"/>
    <n v="1"/>
    <x v="10"/>
    <d v="2018-10-08T00:00:00"/>
    <s v="October"/>
    <s v="Fall"/>
    <d v="1899-12-30T00:30:00"/>
    <d v="1899-12-30T00:00:30"/>
    <x v="122"/>
    <s v="Mostly sunny"/>
    <x v="34"/>
    <s v="Foraging/caching"/>
    <s v="Spruce"/>
    <n v="1"/>
    <m/>
    <n v="1"/>
    <s v="Insect"/>
    <s v="Insect (Beetle grub)"/>
    <s v="Ground"/>
    <s v="Exterior spruce branch under bark/witch hair"/>
    <s v="Spruce"/>
    <s v="Exterior"/>
    <s v="Under bark and witch hair "/>
    <m/>
    <m/>
    <n v="2"/>
    <n v="63.724409999999999"/>
    <n v="148.95231999999999"/>
    <m/>
    <m/>
    <m/>
    <n v="0"/>
    <n v="0"/>
    <n v="0"/>
    <n v="0"/>
    <n v="4"/>
    <n v="0"/>
    <n v="4"/>
    <m/>
    <s v="Photographed and collected beetle grub.  "/>
    <m/>
    <m/>
  </r>
  <r>
    <s v="DSCN1458"/>
    <s v="RC1009_1"/>
    <n v="1"/>
    <n v="1"/>
    <x v="10"/>
    <d v="2018-10-09T00:00:00"/>
    <s v="October"/>
    <s v="Fall"/>
    <d v="1899-12-30T00:14:00"/>
    <d v="1899-12-30T00:00:14"/>
    <x v="122"/>
    <s v="Mostly cloudy"/>
    <x v="34"/>
    <s v="Foraging or caching"/>
    <s v="Spruce"/>
    <s v="unknown"/>
    <m/>
    <s v="Unknown"/>
    <s v="Unknown"/>
    <s v="Unknown"/>
    <s v="NA"/>
    <s v="Aspen trunk"/>
    <m/>
    <m/>
    <m/>
    <m/>
    <m/>
    <s v="unknown"/>
    <n v="63.723520000000001"/>
    <n v="148.95076"/>
    <m/>
    <m/>
    <m/>
    <n v="14"/>
    <n v="0"/>
    <n v="14"/>
    <n v="0"/>
    <n v="0"/>
    <n v="0"/>
    <n v="14"/>
    <m/>
    <s v="Could have either been caching or foraging.  Provided data for either possibility "/>
    <m/>
    <m/>
  </r>
  <r>
    <s v="DSCN1471"/>
    <s v="RC1009_3"/>
    <n v="3"/>
    <n v="1"/>
    <x v="10"/>
    <d v="2018-10-09T00:00:00"/>
    <s v="October"/>
    <s v="Fall"/>
    <d v="1899-12-30T00:16:00"/>
    <d v="1899-12-30T00:00:16"/>
    <x v="122"/>
    <s v="Mostly cloudy"/>
    <x v="34"/>
    <s v="Caching"/>
    <s v="Spruce"/>
    <n v="0"/>
    <m/>
    <n v="1"/>
    <s v="Unknown"/>
    <s v="Unknown"/>
    <s v="unknown"/>
    <s v="Exterior spruce branch under bark/witch hair"/>
    <s v="Spruce"/>
    <s v="Exterior"/>
    <s v="Under bark and witch hair "/>
    <m/>
    <m/>
    <s v="unknown"/>
    <n v="63.724490000000003"/>
    <n v="148.94810000000001"/>
    <m/>
    <m/>
    <m/>
    <n v="0"/>
    <n v="0"/>
    <n v="0"/>
    <n v="0"/>
    <n v="0"/>
    <n v="0"/>
    <n v="0"/>
    <m/>
    <s v="Not captured on film.  Observed by DL. "/>
    <m/>
    <m/>
  </r>
  <r>
    <s v="DSCN1484"/>
    <s v="RC1009_6"/>
    <n v="6"/>
    <n v="1"/>
    <x v="10"/>
    <d v="2018-10-09T00:00:00"/>
    <s v="October"/>
    <s v="Fall"/>
    <d v="1899-12-30T00:25:00"/>
    <d v="1899-12-30T00:00:25"/>
    <x v="122"/>
    <s v="Mostly cloudy"/>
    <x v="34"/>
    <s v="Foraging"/>
    <s v="NA"/>
    <s v="unknown"/>
    <m/>
    <n v="0"/>
    <s v="Unknown"/>
    <s v="Unknown"/>
    <s v="NA"/>
    <s v="NA"/>
    <s v="NA"/>
    <s v="NA"/>
    <s v="NA"/>
    <m/>
    <m/>
    <s v="NA"/>
    <s v="NA"/>
    <m/>
    <m/>
    <m/>
    <m/>
    <n v="0"/>
    <n v="0"/>
    <n v="0"/>
    <n v="0"/>
    <n v="22"/>
    <n v="0"/>
    <n v="22"/>
    <m/>
    <m/>
    <m/>
    <m/>
  </r>
  <r>
    <s v="DSCN1529"/>
    <s v="RC1012_1"/>
    <n v="1"/>
    <n v="1"/>
    <x v="10"/>
    <d v="2018-10-12T00:00:00"/>
    <s v="October"/>
    <s v="Fall"/>
    <d v="1899-12-30T00:11:00"/>
    <d v="1899-12-30T00:00:11"/>
    <x v="122"/>
    <s v="Overcast"/>
    <x v="34"/>
    <s v="Food handling/caching"/>
    <s v="Spruce"/>
    <n v="1"/>
    <m/>
    <n v="1"/>
    <s v="Unknown"/>
    <s v="Unknown"/>
    <s v="unknown"/>
    <s v="Interior spruce foliage "/>
    <s v="Spruce"/>
    <s v="Interior"/>
    <s v="Foliage"/>
    <m/>
    <m/>
    <s v="unknown"/>
    <n v="63.722709999999999"/>
    <n v="148.95956000000001"/>
    <m/>
    <m/>
    <m/>
    <n v="0"/>
    <n v="0"/>
    <n v="0"/>
    <n v="0"/>
    <n v="0"/>
    <n v="0"/>
    <n v="0"/>
    <m/>
    <s v="Caching event not recorded on video. "/>
    <m/>
    <m/>
  </r>
  <r>
    <s v="DSCN1559"/>
    <s v="RC1012_3"/>
    <n v="3"/>
    <n v="1"/>
    <x v="10"/>
    <d v="2018-10-12T00:00:00"/>
    <s v="October"/>
    <s v="Fall"/>
    <d v="1899-12-30T00:54:00"/>
    <d v="1899-12-30T00:00:54"/>
    <x v="122"/>
    <s v="Overcast"/>
    <x v="34"/>
    <s v="Foraging/caching"/>
    <s v="Spruce"/>
    <n v="1"/>
    <m/>
    <n v="1"/>
    <s v="Berry"/>
    <s v="Berry (Blueberry)"/>
    <s v="Ground"/>
    <s v="Under bark of spruce trunk (about 4ft off ground)"/>
    <s v="Spruce"/>
    <s v="Trunk"/>
    <s v="Under bark"/>
    <m/>
    <m/>
    <n v="2"/>
    <n v="63.72354"/>
    <n v="148.94923"/>
    <m/>
    <m/>
    <m/>
    <n v="0"/>
    <n v="0"/>
    <n v="0"/>
    <n v="0"/>
    <n v="21"/>
    <n v="0"/>
    <n v="21"/>
    <m/>
    <s v="Was able to find and photograph cache site.  The bird had shoved the blueberry under a bark chip.  It was very snug! Put trail cam on this site. "/>
    <m/>
    <m/>
  </r>
  <r>
    <s v="DSCN1559"/>
    <s v="RC1012_3"/>
    <n v="3"/>
    <n v="2"/>
    <x v="10"/>
    <d v="2018-10-12T00:00:00"/>
    <s v="October"/>
    <s v="Fall"/>
    <d v="1899-12-30T00:54:00"/>
    <d v="1899-12-30T00:00:54"/>
    <x v="122"/>
    <s v="Overcast"/>
    <x v="34"/>
    <s v="Foraging"/>
    <s v="Spruce"/>
    <n v="1"/>
    <m/>
    <n v="0"/>
    <s v="Berry"/>
    <s v="Berry (Soapberry)"/>
    <s v="Ground"/>
    <s v="NA"/>
    <s v="NA"/>
    <s v="NA"/>
    <s v="NA"/>
    <m/>
    <m/>
    <s v="NA"/>
    <s v="NA"/>
    <m/>
    <m/>
    <m/>
    <m/>
    <n v="0"/>
    <n v="0"/>
    <n v="0"/>
    <n v="0"/>
    <n v="0"/>
    <n v="0"/>
    <n v="0"/>
    <m/>
    <s v="Was able to find and photograph cache site.  The bird had shoved the blueberry under a bark chip.  It was very snug! "/>
    <m/>
    <m/>
  </r>
  <r>
    <s v="DSCN1564"/>
    <s v="RC1012_7"/>
    <n v="7"/>
    <n v="1"/>
    <x v="10"/>
    <d v="2018-10-12T00:00:00"/>
    <s v="October"/>
    <s v="Fall"/>
    <d v="1899-12-30T00:11:00"/>
    <d v="1899-12-30T00:00:11"/>
    <x v="122"/>
    <s v="Overcast"/>
    <x v="34"/>
    <s v="Foraging"/>
    <s v="Spruce"/>
    <n v="1"/>
    <m/>
    <n v="0"/>
    <s v="Unknown"/>
    <s v="Unknown"/>
    <s v="Spruce foliage"/>
    <s v="NA"/>
    <s v="NA"/>
    <s v="NA"/>
    <s v="NA"/>
    <m/>
    <m/>
    <s v="NA"/>
    <s v="NA"/>
    <m/>
    <m/>
    <m/>
    <m/>
    <n v="0"/>
    <n v="6"/>
    <n v="0"/>
    <n v="6"/>
    <n v="0"/>
    <n v="0"/>
    <n v="6"/>
    <m/>
    <m/>
    <m/>
    <m/>
  </r>
  <r>
    <s v="DSCN1565"/>
    <s v="RC1012_8"/>
    <n v="8"/>
    <n v="1"/>
    <x v="10"/>
    <d v="2018-10-12T00:00:00"/>
    <s v="October"/>
    <s v="Fall"/>
    <d v="1899-12-30T00:18:00"/>
    <d v="1899-12-30T00:00:18"/>
    <x v="122"/>
    <s v="Overcast"/>
    <x v="34"/>
    <s v="Foraging"/>
    <s v="NA"/>
    <n v="1"/>
    <m/>
    <n v="0"/>
    <s v="Berry"/>
    <s v="Berry"/>
    <s v="Ground"/>
    <s v="NA"/>
    <s v="NA"/>
    <s v="NA"/>
    <s v="NA"/>
    <m/>
    <m/>
    <s v="NA"/>
    <s v="NA"/>
    <m/>
    <m/>
    <m/>
    <m/>
    <n v="0"/>
    <n v="0"/>
    <n v="0"/>
    <n v="0"/>
    <n v="0"/>
    <n v="0"/>
    <n v="0"/>
    <m/>
    <s v="Didn’t record foraging on video. "/>
    <m/>
    <m/>
  </r>
  <r>
    <s v="DSCN1566"/>
    <s v="RC1012_9"/>
    <n v="9"/>
    <n v="1"/>
    <x v="10"/>
    <d v="2018-10-12T00:00:00"/>
    <s v="October"/>
    <s v="Fall"/>
    <d v="1899-12-30T00:36:00"/>
    <d v="1899-12-30T00:00:36"/>
    <x v="122"/>
    <s v="Overcast"/>
    <x v="34"/>
    <s v="Caching"/>
    <s v="Spruce"/>
    <n v="0"/>
    <m/>
    <n v="1"/>
    <s v="Berry"/>
    <s v="Berry"/>
    <s v="Ground"/>
    <s v="Exterior spruce foliage"/>
    <s v="Spruce"/>
    <s v="Exterior"/>
    <s v="Foliage"/>
    <m/>
    <m/>
    <s v="unknown-didn't record in field"/>
    <n v="63.722029999999997"/>
    <n v="148.94954999999999"/>
    <m/>
    <m/>
    <m/>
    <n v="0"/>
    <n v="0"/>
    <n v="0"/>
    <n v="0"/>
    <n v="0"/>
    <n v="0"/>
    <n v="0"/>
    <m/>
    <m/>
    <m/>
    <m/>
  </r>
  <r>
    <s v="DSCN1568"/>
    <s v="RC1012_10"/>
    <n v="10"/>
    <n v="1"/>
    <x v="10"/>
    <d v="2018-10-12T00:00:00"/>
    <s v="October"/>
    <s v="Fall"/>
    <d v="1899-12-30T00:47:00"/>
    <d v="1899-12-30T00:00:47"/>
    <x v="122"/>
    <s v="Overcast"/>
    <x v="34"/>
    <s v="Caching"/>
    <s v="Spruce"/>
    <n v="0"/>
    <m/>
    <n v="1"/>
    <s v="Unknown"/>
    <s v="Unknown"/>
    <s v="unknown"/>
    <s v="Exterior spruce branch under bark/witch hair "/>
    <s v="Spruce"/>
    <s v="Exterior"/>
    <s v="Under bark and witch hair "/>
    <m/>
    <m/>
    <s v="unknown-didn't record in field"/>
    <n v="63.722029999999997"/>
    <n v="148.94855000000001"/>
    <m/>
    <m/>
    <m/>
    <n v="0"/>
    <n v="0"/>
    <n v="0"/>
    <n v="0"/>
    <n v="0"/>
    <n v="0"/>
    <n v="0"/>
    <m/>
    <m/>
    <m/>
    <m/>
  </r>
  <r>
    <s v="DSCN1568"/>
    <s v="RC1012_10"/>
    <n v="10"/>
    <n v="2"/>
    <x v="10"/>
    <d v="2018-10-12T00:00:00"/>
    <s v="October"/>
    <s v="Fall"/>
    <d v="1899-12-30T00:47:00"/>
    <d v="1899-12-30T00:00:47"/>
    <x v="122"/>
    <s v="Overcast"/>
    <x v="34"/>
    <s v="Caching"/>
    <s v="Spruce"/>
    <n v="0"/>
    <m/>
    <n v="1"/>
    <s v="Unknown"/>
    <s v="Unknown"/>
    <s v="unknown"/>
    <s v="Interior bare branch bark/withc hair"/>
    <s v="Spruce"/>
    <s v="Interior"/>
    <s v="Under bark and witch hair "/>
    <m/>
    <m/>
    <s v="unknown-didn't record in field"/>
    <n v="63.722029999999997"/>
    <n v="148.94855000000001"/>
    <m/>
    <m/>
    <m/>
    <n v="0"/>
    <n v="0"/>
    <n v="0"/>
    <n v="0"/>
    <n v="0"/>
    <n v="0"/>
    <n v="0"/>
    <m/>
    <s v="Same tree as previous cache tree"/>
    <m/>
    <m/>
  </r>
  <r>
    <s v="DSCN1568"/>
    <s v="RC1012_10"/>
    <n v="10"/>
    <n v="3"/>
    <x v="10"/>
    <d v="2018-10-12T00:00:00"/>
    <s v="October"/>
    <s v="Fall"/>
    <d v="1899-12-30T00:47:00"/>
    <d v="1899-12-30T00:00:47"/>
    <x v="122"/>
    <s v="Overcast"/>
    <x v="34"/>
    <s v="Caching"/>
    <s v="Spruce"/>
    <n v="0"/>
    <m/>
    <n v="1"/>
    <s v="Unknown"/>
    <s v="Unknown"/>
    <s v="unknown"/>
    <s v="Interior spruce foliage "/>
    <s v="Spruce"/>
    <s v="Interior"/>
    <s v="Foliage"/>
    <m/>
    <m/>
    <s v="unknown-didn't record in field"/>
    <n v="63.72204"/>
    <n v="148.94962000000001"/>
    <m/>
    <m/>
    <m/>
    <n v="0"/>
    <n v="0"/>
    <n v="0"/>
    <n v="0"/>
    <n v="0"/>
    <n v="0"/>
    <n v="0"/>
    <m/>
    <m/>
    <m/>
    <m/>
  </r>
  <r>
    <s v="DSCN1847"/>
    <s v="RC1017_1"/>
    <n v="1"/>
    <n v="1"/>
    <x v="10"/>
    <d v="2018-10-17T00:00:00"/>
    <s v="October"/>
    <s v="Fall"/>
    <d v="1899-12-30T00:44:00"/>
    <d v="1899-12-30T00:00:44"/>
    <x v="122"/>
    <s v="Overcast"/>
    <x v="34"/>
    <s v="Foraging"/>
    <s v="Spruce"/>
    <n v="2"/>
    <m/>
    <n v="0"/>
    <s v="Unknown"/>
    <s v="Unknown"/>
    <s v="Exterior dense foliage of spruce"/>
    <s v="NA"/>
    <s v="NA"/>
    <s v="NA"/>
    <s v="NA"/>
    <m/>
    <m/>
    <s v="NA"/>
    <s v="NA"/>
    <m/>
    <m/>
    <m/>
    <m/>
    <n v="0"/>
    <n v="44"/>
    <n v="0"/>
    <n v="44"/>
    <n v="0"/>
    <n v="0"/>
    <n v="44"/>
    <s v="Searching"/>
    <m/>
    <m/>
    <m/>
  </r>
  <r>
    <s v="DSCN1848"/>
    <s v="RC1017_2"/>
    <n v="2"/>
    <n v="1"/>
    <x v="10"/>
    <d v="2018-10-17T00:00:00"/>
    <s v="October"/>
    <s v="Fall"/>
    <d v="1899-12-30T00:29:00"/>
    <d v="1899-12-30T00:00:29"/>
    <x v="122"/>
    <s v="Overcast"/>
    <x v="34"/>
    <s v="Foraging"/>
    <s v="Spruce"/>
    <n v="1"/>
    <m/>
    <n v="0"/>
    <s v="Unknown"/>
    <s v="Unknown"/>
    <s v="Exterior dense foliage of spruce"/>
    <s v="NA"/>
    <s v="NA"/>
    <s v="NA"/>
    <s v="NA"/>
    <m/>
    <m/>
    <s v="NA"/>
    <s v="NA"/>
    <m/>
    <m/>
    <m/>
    <m/>
    <n v="0"/>
    <n v="15"/>
    <n v="0"/>
    <n v="15"/>
    <n v="0"/>
    <n v="0"/>
    <n v="15"/>
    <s v="Searching"/>
    <m/>
    <m/>
    <m/>
  </r>
  <r>
    <s v="DSCN1848"/>
    <s v="RC1017_2"/>
    <n v="2"/>
    <n v="1"/>
    <x v="10"/>
    <d v="2018-10-17T00:00:00"/>
    <s v="October"/>
    <s v="Fall"/>
    <d v="1899-12-30T00:29:00"/>
    <d v="1899-12-30T00:00:29"/>
    <x v="122"/>
    <s v="Overcast"/>
    <x v="34"/>
    <s v="Foraging/cache recovery"/>
    <s v="Spruce"/>
    <n v="1"/>
    <m/>
    <n v="0"/>
    <s v="Berry"/>
    <s v="Berry (dried)"/>
    <s v="Exterior dense foliage of spruce"/>
    <s v="NA"/>
    <s v="NA"/>
    <s v="NA"/>
    <s v="NA"/>
    <m/>
    <m/>
    <s v="NA"/>
    <s v="NA"/>
    <m/>
    <m/>
    <m/>
    <m/>
    <n v="0"/>
    <n v="15"/>
    <n v="0"/>
    <n v="15"/>
    <n v="0"/>
    <n v="0"/>
    <n v="15"/>
    <s v="Searching"/>
    <m/>
    <m/>
    <m/>
  </r>
  <r>
    <s v="DSCN1849"/>
    <s v="RC1017_3"/>
    <n v="3"/>
    <n v="1"/>
    <x v="10"/>
    <d v="2018-10-17T00:00:00"/>
    <s v="October"/>
    <s v="Fall"/>
    <d v="1899-12-30T00:33:00"/>
    <d v="1899-12-30T00:00:33"/>
    <x v="122"/>
    <s v="Overcast"/>
    <x v="34"/>
    <s v="Foraging"/>
    <s v="Spruce"/>
    <s v="unknown"/>
    <m/>
    <n v="0"/>
    <m/>
    <s v="NA"/>
    <s v="NA"/>
    <s v="NA"/>
    <s v="NA"/>
    <s v="NA"/>
    <s v="NA"/>
    <m/>
    <m/>
    <s v="NA"/>
    <s v="NA"/>
    <m/>
    <m/>
    <m/>
    <m/>
    <n v="28"/>
    <n v="0"/>
    <n v="10"/>
    <n v="18"/>
    <n v="0"/>
    <n v="0"/>
    <n v="28"/>
    <s v="Probing"/>
    <m/>
    <n v="2"/>
    <n v="0"/>
  </r>
  <r>
    <s v="DSCN1857"/>
    <s v="RC1017_8"/>
    <n v="8"/>
    <n v="1"/>
    <x v="10"/>
    <d v="2018-10-17T00:00:00"/>
    <s v="October"/>
    <s v="Fall"/>
    <d v="1899-12-30T00:22:00"/>
    <d v="1899-12-30T00:00:22"/>
    <x v="122"/>
    <s v="Overcast"/>
    <x v="34"/>
    <s v="Caching"/>
    <s v="Spruce"/>
    <n v="0"/>
    <m/>
    <n v="1"/>
    <s v="Unknown"/>
    <s v="Unknown"/>
    <s v="unknown"/>
    <s v="Spruce trunk under bark"/>
    <s v="Spruce"/>
    <s v="Trunk"/>
    <s v="Under bark"/>
    <m/>
    <m/>
    <s v="unknown"/>
    <n v="63.722830000000002"/>
    <n v="148.95454000000001"/>
    <m/>
    <m/>
    <m/>
    <n v="0"/>
    <n v="0"/>
    <n v="0"/>
    <n v="0"/>
    <n v="0"/>
    <n v="0"/>
    <n v="0"/>
    <m/>
    <m/>
    <m/>
    <m/>
  </r>
  <r>
    <s v="DSCN1859"/>
    <s v="RC1017_9"/>
    <n v="9"/>
    <n v="1"/>
    <x v="10"/>
    <d v="2018-10-17T00:00:00"/>
    <s v="October"/>
    <s v="Fall"/>
    <d v="1899-12-30T00:32:00"/>
    <d v="1899-12-30T00:00:32"/>
    <x v="122"/>
    <s v="Overcast"/>
    <x v="34"/>
    <s v="Foraging"/>
    <s v="Spruce"/>
    <s v="unknown"/>
    <m/>
    <n v="0"/>
    <m/>
    <s v="NA"/>
    <s v="NA"/>
    <s v="NA"/>
    <s v="NA"/>
    <s v="NA"/>
    <s v="NA"/>
    <m/>
    <m/>
    <s v="NA"/>
    <s v="NA"/>
    <m/>
    <m/>
    <m/>
    <m/>
    <n v="25"/>
    <n v="0"/>
    <n v="10"/>
    <n v="15"/>
    <n v="0"/>
    <n v="0"/>
    <n v="25"/>
    <m/>
    <m/>
    <m/>
    <m/>
  </r>
  <r>
    <s v="DSCN1860"/>
    <s v="RC1017_10"/>
    <n v="10"/>
    <n v="1"/>
    <x v="10"/>
    <d v="2018-10-17T00:00:00"/>
    <s v="October"/>
    <s v="Fall"/>
    <d v="1899-12-30T00:12:00"/>
    <d v="1899-12-30T00:00:12"/>
    <x v="122"/>
    <s v="Overcast"/>
    <x v="34"/>
    <s v="Foraging"/>
    <s v="Spruce"/>
    <n v="1"/>
    <m/>
    <n v="0"/>
    <s v="Unknown"/>
    <s v="Unknown"/>
    <s v="Exterior bare spruce branch"/>
    <s v="NA"/>
    <s v="NA"/>
    <s v="NA"/>
    <s v="NA"/>
    <m/>
    <m/>
    <s v="NA"/>
    <s v="NA"/>
    <m/>
    <m/>
    <m/>
    <m/>
    <n v="12"/>
    <n v="0"/>
    <n v="5"/>
    <n v="7"/>
    <n v="0"/>
    <n v="0"/>
    <n v="12"/>
    <m/>
    <m/>
    <m/>
    <m/>
  </r>
  <r>
    <s v="DSCN1861"/>
    <s v="RC1017_11"/>
    <n v="11"/>
    <n v="1"/>
    <x v="10"/>
    <d v="2018-10-17T00:00:00"/>
    <s v="October"/>
    <s v="Fall"/>
    <d v="1899-12-30T00:51:00"/>
    <d v="1899-12-30T00:00:51"/>
    <x v="122"/>
    <s v="Overcast"/>
    <x v="34"/>
    <s v="Foraging"/>
    <s v="Spruce"/>
    <n v="1"/>
    <m/>
    <n v="0"/>
    <s v="Berry"/>
    <s v="Berry (Blueberry)"/>
    <s v="Ground"/>
    <s v="NA"/>
    <s v="NA"/>
    <s v="NA"/>
    <s v="NA"/>
    <m/>
    <m/>
    <s v="NA"/>
    <s v="NA"/>
    <m/>
    <m/>
    <m/>
    <m/>
    <n v="13"/>
    <n v="0"/>
    <n v="0"/>
    <n v="13"/>
    <n v="10"/>
    <n v="0"/>
    <n v="23"/>
    <m/>
    <m/>
    <m/>
    <m/>
  </r>
  <r>
    <s v="DSCN1262"/>
    <s v="AQ1004_1"/>
    <n v="1"/>
    <n v="1"/>
    <x v="7"/>
    <d v="2018-10-04T00:00:00"/>
    <s v="October"/>
    <s v="Fall"/>
    <d v="1899-12-30T00:18:00"/>
    <d v="1899-12-30T00:00:18"/>
    <x v="122"/>
    <s v="Overcast"/>
    <x v="35"/>
    <s v="Food handling"/>
    <s v="Spruce"/>
    <n v="1"/>
    <m/>
    <n v="0"/>
    <s v="Unknown"/>
    <s v="Unknown"/>
    <s v="unknown"/>
    <s v="NA"/>
    <s v="NA"/>
    <s v="NA"/>
    <s v="NA"/>
    <m/>
    <m/>
    <s v="NA"/>
    <s v="NA"/>
    <m/>
    <m/>
    <m/>
    <m/>
    <n v="0"/>
    <n v="0"/>
    <n v="0"/>
    <n v="0"/>
    <n v="0"/>
    <n v="0"/>
    <n v="0"/>
    <m/>
    <s v="Video start after bird finished foraging. "/>
    <m/>
    <m/>
  </r>
  <r>
    <s v="DSCN1389"/>
    <s v="AQ1007_5"/>
    <n v="5"/>
    <n v="1"/>
    <x v="7"/>
    <d v="2018-10-07T00:00:00"/>
    <s v="October"/>
    <s v="Fall"/>
    <d v="1899-12-30T01:23:00"/>
    <d v="1899-12-30T00:01:23"/>
    <x v="122"/>
    <s v="Overcast"/>
    <x v="35"/>
    <s v="Foraging"/>
    <s v="Spruce"/>
    <n v="0"/>
    <m/>
    <n v="0"/>
    <m/>
    <s v="NA"/>
    <s v="NA"/>
    <s v="NA"/>
    <s v="NA"/>
    <s v="NA"/>
    <s v="NA"/>
    <m/>
    <m/>
    <s v="NA"/>
    <s v="NA"/>
    <s v="NA"/>
    <m/>
    <m/>
    <m/>
    <n v="18"/>
    <n v="0"/>
    <n v="0"/>
    <n v="18"/>
    <n v="0"/>
    <n v="0"/>
    <n v="18"/>
    <m/>
    <s v="Two birds in this video.  The first (O/BS) is the one foraging in the tree.  We did not document any food acquisitions or caches for that birds.  The rest of the data is based on the second bird (PG/PS)"/>
    <m/>
    <m/>
  </r>
  <r>
    <s v="DSCN1569"/>
    <s v="AQ1012_1"/>
    <n v="1"/>
    <n v="1"/>
    <x v="7"/>
    <d v="2018-10-12T00:00:00"/>
    <s v="October"/>
    <s v="Fall"/>
    <d v="1899-12-30T00:29:00"/>
    <d v="1899-12-30T00:00:29"/>
    <x v="122"/>
    <s v="Overcast"/>
    <x v="35"/>
    <s v="Foraging/caching"/>
    <s v="Spruce"/>
    <n v="1"/>
    <m/>
    <n v="1"/>
    <s v="Berry"/>
    <s v="Berry (Blueberry)"/>
    <s v="Ground"/>
    <s v="Exterior spruce branch under bark/witch hair"/>
    <s v="Spruce"/>
    <s v="Exterior"/>
    <s v="Branch under witch hair"/>
    <m/>
    <m/>
    <n v="1"/>
    <n v="63.723140000000001"/>
    <n v="148.96843999999999"/>
    <m/>
    <m/>
    <m/>
    <n v="0"/>
    <n v="0"/>
    <n v="0"/>
    <n v="0"/>
    <n v="12"/>
    <n v="0"/>
    <n v="12"/>
    <m/>
    <m/>
    <m/>
    <m/>
  </r>
  <r>
    <s v="DSCN1569"/>
    <s v="AQ1012_1"/>
    <n v="1"/>
    <n v="1"/>
    <x v="7"/>
    <d v="2018-10-12T00:00:00"/>
    <s v="October"/>
    <s v="Fall"/>
    <d v="1899-12-30T00:29:00"/>
    <d v="1899-12-30T00:00:29"/>
    <x v="122"/>
    <s v="Overcast"/>
    <x v="35"/>
    <s v="Foraging/caching"/>
    <s v="Spruce"/>
    <n v="1"/>
    <m/>
    <n v="1"/>
    <s v="Berry"/>
    <s v="Berry (Blueberry)"/>
    <s v="Ground"/>
    <s v="Exterior spruce branch under bark/witch hair"/>
    <s v="Spruce"/>
    <s v="Exterior"/>
    <s v="Branch under witch hair"/>
    <m/>
    <m/>
    <n v="1"/>
    <n v="63.723140000000001"/>
    <n v="148.96843999999999"/>
    <m/>
    <m/>
    <m/>
    <n v="0"/>
    <n v="0"/>
    <n v="0"/>
    <n v="0"/>
    <n v="3"/>
    <n v="0"/>
    <n v="3"/>
    <m/>
    <m/>
    <m/>
    <m/>
  </r>
  <r>
    <s v="DSCN1276"/>
    <s v="M4R1005_2"/>
    <n v="2"/>
    <n v="1"/>
    <x v="6"/>
    <d v="2018-10-05T00:00:00"/>
    <s v="October"/>
    <s v="Fall"/>
    <d v="1899-12-30T00:54:00"/>
    <d v="1899-12-30T00:00:54"/>
    <x v="122"/>
    <s v="Overcast"/>
    <x v="7"/>
    <s v="Foraging"/>
    <s v="NA"/>
    <s v="unknown"/>
    <m/>
    <n v="0"/>
    <s v="Unknown"/>
    <s v="Unknown"/>
    <s v="Ground"/>
    <s v="NA"/>
    <s v="NA"/>
    <s v="NA"/>
    <s v="NA"/>
    <m/>
    <m/>
    <s v="NA"/>
    <s v="NA"/>
    <m/>
    <m/>
    <m/>
    <m/>
    <n v="0"/>
    <n v="0"/>
    <n v="0"/>
    <n v="0"/>
    <n v="44"/>
    <n v="0"/>
    <n v="44"/>
    <m/>
    <m/>
    <m/>
    <m/>
  </r>
  <r>
    <s v="DSCN1277"/>
    <s v="M4R1005_3"/>
    <n v="3"/>
    <n v="1"/>
    <x v="6"/>
    <d v="2018-10-05T00:00:00"/>
    <s v="October"/>
    <s v="Fall"/>
    <d v="1899-12-30T00:23:00"/>
    <d v="1899-12-30T00:00:23"/>
    <x v="122"/>
    <s v="Overcast"/>
    <x v="7"/>
    <s v="Foraging"/>
    <s v="NA"/>
    <n v="1"/>
    <m/>
    <n v="0"/>
    <s v="Berry"/>
    <s v="Berry (Blueberry)"/>
    <s v="Ground"/>
    <s v="NA"/>
    <s v="NA"/>
    <s v="NA"/>
    <s v="NA"/>
    <m/>
    <m/>
    <s v="NA"/>
    <s v="NA"/>
    <m/>
    <m/>
    <m/>
    <m/>
    <n v="0"/>
    <n v="0"/>
    <n v="0"/>
    <n v="0"/>
    <n v="17"/>
    <n v="0"/>
    <n v="17"/>
    <m/>
    <m/>
    <m/>
    <m/>
  </r>
  <r>
    <s v="DSCN1329"/>
    <s v="M4R1005_4"/>
    <n v="4"/>
    <n v="1"/>
    <x v="6"/>
    <d v="2018-10-05T00:00:00"/>
    <s v="October"/>
    <s v="Fall"/>
    <d v="1899-12-30T00:14:00"/>
    <d v="1899-12-30T00:00:14"/>
    <x v="122"/>
    <s v="Overcast"/>
    <x v="7"/>
    <s v="Foraging"/>
    <s v="Spruce"/>
    <s v="unknown"/>
    <m/>
    <n v="1"/>
    <s v="Unknown"/>
    <s v="Unknown"/>
    <s v="Ground"/>
    <s v="Exterior spruce branch under bark/witch hair"/>
    <s v="Spruce"/>
    <s v="Exterior"/>
    <s v="Under bark and witch hair "/>
    <m/>
    <m/>
    <n v="10"/>
    <n v="63.721789999999999"/>
    <n v="148.98455999999999"/>
    <m/>
    <m/>
    <m/>
    <n v="0"/>
    <n v="0"/>
    <n v="0"/>
    <n v="0"/>
    <n v="0"/>
    <n v="0"/>
    <n v="0"/>
    <m/>
    <m/>
    <m/>
    <m/>
  </r>
  <r>
    <s v="DSCN1335"/>
    <s v="M4R1005_5"/>
    <n v="5"/>
    <n v="1"/>
    <x v="6"/>
    <d v="2018-10-05T00:00:00"/>
    <s v="October"/>
    <s v="Fall"/>
    <d v="1899-12-30T00:15:00"/>
    <d v="1899-12-30T00:00:15"/>
    <x v="122"/>
    <s v="Overcast"/>
    <x v="7"/>
    <s v="Caching"/>
    <s v="Spruce"/>
    <s v="unknown"/>
    <m/>
    <n v="1"/>
    <s v="Unknown"/>
    <s v="Unknown"/>
    <s v="Ground"/>
    <s v="Exterior spruce branch under bark/witch hair"/>
    <s v="Spruce"/>
    <s v="Exterior"/>
    <s v="Under bark and witch hair "/>
    <m/>
    <m/>
    <s v="unknown"/>
    <n v="63.720469999999999"/>
    <n v="148.98471000000001"/>
    <m/>
    <m/>
    <m/>
    <n v="0"/>
    <n v="0"/>
    <n v="0"/>
    <n v="0"/>
    <n v="0"/>
    <n v="0"/>
    <n v="0"/>
    <m/>
    <s v="Did not observe cache with camera, B&amp;Ut KS reasonably confident she saw it with naked eye. "/>
    <m/>
    <m/>
  </r>
  <r>
    <s v="DSCN1413"/>
    <s v="M4R1008_5"/>
    <n v="5"/>
    <n v="1"/>
    <x v="6"/>
    <d v="2018-10-08T00:00:00"/>
    <s v="October"/>
    <s v="Fall"/>
    <d v="1899-12-30T00:11:00"/>
    <d v="1899-12-30T00:00:11"/>
    <x v="122"/>
    <s v="Partly cloudy"/>
    <x v="7"/>
    <s v="Foraging"/>
    <s v="NA"/>
    <n v="1"/>
    <m/>
    <n v="0"/>
    <s v="Berry"/>
    <s v="Berry (Blueberry)"/>
    <s v="Ground"/>
    <s v="NA"/>
    <s v="NA"/>
    <s v="NA"/>
    <s v="NA"/>
    <m/>
    <m/>
    <s v="NA"/>
    <s v="NA"/>
    <m/>
    <m/>
    <m/>
    <m/>
    <n v="0"/>
    <n v="0"/>
    <n v="0"/>
    <n v="0"/>
    <n v="11"/>
    <n v="0"/>
    <n v="11"/>
    <m/>
    <m/>
    <m/>
    <m/>
  </r>
  <r>
    <s v="DSCN1414"/>
    <s v="M4R1008_6"/>
    <n v="6"/>
    <n v="1"/>
    <x v="6"/>
    <d v="2018-10-08T00:00:00"/>
    <s v="October"/>
    <s v="Fall"/>
    <d v="1899-12-30T00:35:00"/>
    <d v="1899-12-30T00:00:35"/>
    <x v="122"/>
    <s v="Partly cloudy"/>
    <x v="7"/>
    <s v="Caching"/>
    <s v="Spruce"/>
    <n v="0"/>
    <m/>
    <n v="1"/>
    <s v="Unknown"/>
    <s v="Unknown"/>
    <s v="unknown"/>
    <s v="Exterior bare spruce branch"/>
    <s v="Spruce"/>
    <s v="Exterior"/>
    <s v="Branch"/>
    <m/>
    <m/>
    <s v="unknown"/>
    <n v="63.719549999999998"/>
    <n v="148.98508000000001"/>
    <m/>
    <m/>
    <m/>
    <n v="0"/>
    <n v="0"/>
    <n v="0"/>
    <n v="0"/>
    <n v="0"/>
    <n v="0"/>
    <n v="0"/>
    <m/>
    <s v="No video of event.  Observed by DL.  "/>
    <m/>
    <m/>
  </r>
  <r>
    <s v="DSCN1574"/>
    <s v="M4R1015_1"/>
    <n v="1"/>
    <n v="1"/>
    <x v="6"/>
    <d v="2018-10-15T00:00:00"/>
    <s v="October"/>
    <s v="Fall"/>
    <d v="1899-12-30T00:23:00"/>
    <d v="1899-12-30T00:00:23"/>
    <x v="122"/>
    <s v="Overcast"/>
    <x v="7"/>
    <s v="Foraging"/>
    <s v="NA"/>
    <n v="1"/>
    <m/>
    <n v="0"/>
    <s v="Berry"/>
    <s v="Berry (Blueberry)"/>
    <s v="Ground"/>
    <s v="unknown"/>
    <s v="NA"/>
    <s v="NA"/>
    <s v="NA"/>
    <m/>
    <m/>
    <s v="NA"/>
    <s v="NA"/>
    <m/>
    <m/>
    <m/>
    <m/>
    <n v="0"/>
    <n v="0"/>
    <n v="0"/>
    <n v="0"/>
    <n v="14"/>
    <n v="0"/>
    <n v="14"/>
    <m/>
    <m/>
    <m/>
    <m/>
  </r>
  <r>
    <s v="DSCN1575"/>
    <s v="M4R1015_2"/>
    <n v="2"/>
    <n v="1"/>
    <x v="6"/>
    <d v="2018-10-15T00:00:00"/>
    <s v="October"/>
    <s v="Fall"/>
    <d v="1899-12-30T00:15:00"/>
    <d v="1899-12-30T00:00:15"/>
    <x v="122"/>
    <s v="Overcast"/>
    <x v="7"/>
    <s v="Foraging"/>
    <s v="NA"/>
    <n v="1"/>
    <m/>
    <n v="0"/>
    <s v="Animal flesh"/>
    <s v="Animal flesh (Snowshoe hare)"/>
    <s v="Ground"/>
    <s v="NA"/>
    <s v="NA"/>
    <s v="NA"/>
    <s v="NA"/>
    <m/>
    <m/>
    <s v="NA"/>
    <s v="NA"/>
    <m/>
    <m/>
    <m/>
    <m/>
    <n v="0"/>
    <n v="0"/>
    <n v="0"/>
    <n v="0"/>
    <n v="0"/>
    <n v="0"/>
    <n v="0"/>
    <m/>
    <s v="13 Foraging for OB/YS, 4 for WG/OS"/>
    <m/>
    <m/>
  </r>
  <r>
    <s v="DSCN1582"/>
    <s v="M4R1015_7"/>
    <n v="7"/>
    <n v="1"/>
    <x v="6"/>
    <d v="2018-10-15T00:00:00"/>
    <s v="October"/>
    <s v="Fall"/>
    <d v="1899-12-30T00:36:00"/>
    <d v="1899-12-30T00:00:36"/>
    <x v="122"/>
    <s v="Overcast"/>
    <x v="7"/>
    <s v="Foraging"/>
    <s v="NA"/>
    <n v="1"/>
    <m/>
    <n v="0"/>
    <s v="Animal flesh"/>
    <s v="Animal flesh (Snowshoe hare)"/>
    <s v="Ground"/>
    <s v="NA"/>
    <s v="NA"/>
    <s v="NA"/>
    <s v="NA"/>
    <m/>
    <m/>
    <s v="NA"/>
    <s v="NA"/>
    <m/>
    <m/>
    <m/>
    <m/>
    <n v="0"/>
    <n v="0"/>
    <n v="0"/>
    <n v="0"/>
    <n v="0"/>
    <n v="0"/>
    <n v="0"/>
    <m/>
    <m/>
    <m/>
    <m/>
  </r>
  <r>
    <s v="DSCN1594"/>
    <s v="M4R1015_17"/>
    <n v="17"/>
    <n v="3"/>
    <x v="6"/>
    <d v="2018-10-15T00:00:00"/>
    <s v="October"/>
    <s v="Fall"/>
    <d v="1899-12-30T02:42:00"/>
    <d v="1899-12-30T00:02:42"/>
    <x v="122"/>
    <s v="Overcast"/>
    <x v="7"/>
    <s v="Foraging"/>
    <s v="NA"/>
    <n v="1"/>
    <m/>
    <n v="0"/>
    <s v="Animal flesh"/>
    <s v="Animal flesh (Snowshoe hare)"/>
    <s v="Ground"/>
    <s v="NA"/>
    <s v="NA"/>
    <s v="NA"/>
    <s v="NA"/>
    <m/>
    <m/>
    <s v="NA"/>
    <s v="NA"/>
    <m/>
    <m/>
    <m/>
    <m/>
    <n v="0"/>
    <n v="0"/>
    <n v="0"/>
    <n v="0"/>
    <n v="0"/>
    <n v="0"/>
    <n v="0"/>
    <m/>
    <m/>
    <m/>
    <m/>
  </r>
  <r>
    <s v="DSCN1599"/>
    <s v="M4R1015_22"/>
    <n v="22"/>
    <n v="1"/>
    <x v="6"/>
    <d v="2018-10-15T00:00:00"/>
    <s v="October"/>
    <s v="Fall"/>
    <d v="1899-12-30T00:22:00"/>
    <d v="1899-12-30T00:00:22"/>
    <x v="122"/>
    <s v="Overcast"/>
    <x v="7"/>
    <s v="Foraging"/>
    <s v="NA"/>
    <n v="1"/>
    <m/>
    <n v="0"/>
    <s v="Animal flesh"/>
    <s v="Animal flesh (Snowshoe hare)"/>
    <s v="Ground"/>
    <s v="NA"/>
    <s v="NA"/>
    <s v="NA"/>
    <s v="NA"/>
    <m/>
    <m/>
    <s v="NA"/>
    <s v="NA"/>
    <m/>
    <m/>
    <m/>
    <m/>
    <n v="0"/>
    <n v="0"/>
    <n v="0"/>
    <n v="0"/>
    <n v="0"/>
    <n v="0"/>
    <n v="0"/>
    <m/>
    <m/>
    <m/>
    <m/>
  </r>
  <r>
    <s v="DSCN1603"/>
    <s v="M4R1015_24"/>
    <n v="24"/>
    <n v="1"/>
    <x v="6"/>
    <d v="2018-10-15T00:00:00"/>
    <s v="October"/>
    <s v="Fall"/>
    <d v="1899-12-30T00:27:00"/>
    <d v="1899-12-30T00:00:27"/>
    <x v="122"/>
    <s v="Overcast"/>
    <x v="7"/>
    <s v="Caching"/>
    <s v="Spruce"/>
    <n v="0"/>
    <m/>
    <n v="1"/>
    <s v="Animal flesh"/>
    <s v="Animal flesh (Snowshoe hare)"/>
    <s v="Ground"/>
    <s v="Exterior spruce foliage"/>
    <s v="Spruce"/>
    <s v="Exterior"/>
    <s v="Foliage"/>
    <m/>
    <m/>
    <n v="23"/>
    <n v="63.722029999999997"/>
    <n v="148.98781"/>
    <m/>
    <m/>
    <m/>
    <n v="0"/>
    <n v="0"/>
    <n v="0"/>
    <n v="0"/>
    <n v="0"/>
    <n v="0"/>
    <n v="0"/>
    <m/>
    <m/>
    <m/>
    <m/>
  </r>
  <r>
    <s v="DSCN1659"/>
    <s v="M4R1015_30"/>
    <n v="30"/>
    <n v="1"/>
    <x v="6"/>
    <d v="2018-10-15T00:00:00"/>
    <s v="October"/>
    <s v="Fall"/>
    <d v="1899-12-30T00:43:00"/>
    <d v="1899-12-30T00:00:43"/>
    <x v="122"/>
    <s v="Overcast"/>
    <x v="7"/>
    <s v="Foraging"/>
    <s v="NA"/>
    <n v="1"/>
    <m/>
    <n v="0"/>
    <s v="Animal flesh"/>
    <s v="Animal flesh (Snowshoe hare)"/>
    <s v="Ground"/>
    <s v="NA"/>
    <s v="NA"/>
    <s v="NA"/>
    <s v="NA"/>
    <m/>
    <m/>
    <s v="NA"/>
    <s v="NA"/>
    <m/>
    <m/>
    <m/>
    <m/>
    <n v="0"/>
    <n v="0"/>
    <n v="0"/>
    <n v="0"/>
    <n v="0"/>
    <n v="0"/>
    <n v="0"/>
    <m/>
    <m/>
    <m/>
    <m/>
  </r>
  <r>
    <s v="DSCN1886"/>
    <s v="M4R1018_3"/>
    <n v="3"/>
    <n v="1"/>
    <x v="6"/>
    <d v="2018-10-18T00:00:00"/>
    <s v="October"/>
    <s v="Fall"/>
    <d v="1899-12-30T00:46:00"/>
    <d v="1899-12-30T00:00:46"/>
    <x v="122"/>
    <s v="Overcast"/>
    <x v="7"/>
    <s v="Caching/foraging"/>
    <s v="Spruce"/>
    <n v="1"/>
    <m/>
    <n v="1"/>
    <s v="Berry"/>
    <s v="Berry (Blueberry)"/>
    <s v="Ground"/>
    <s v="Exterior spruce foliage"/>
    <s v="Spruce"/>
    <s v="Exterior"/>
    <s v="Foliage"/>
    <m/>
    <m/>
    <n v="10"/>
    <n v="63.721490000000003"/>
    <n v="148.98593"/>
    <m/>
    <m/>
    <m/>
    <n v="0"/>
    <n v="0"/>
    <n v="0"/>
    <n v="0"/>
    <n v="22"/>
    <n v="0"/>
    <n v="22"/>
    <m/>
    <m/>
    <m/>
    <m/>
  </r>
  <r>
    <s v="DSCN1887"/>
    <s v="M4R1018_4"/>
    <n v="4"/>
    <n v="1"/>
    <x v="6"/>
    <d v="2018-10-18T00:00:00"/>
    <s v="October"/>
    <s v="Fall"/>
    <d v="1899-12-30T00:19:00"/>
    <d v="1899-12-30T00:00:19"/>
    <x v="122"/>
    <s v="Overcast"/>
    <x v="7"/>
    <s v="Caching/foraging"/>
    <s v="Spruce"/>
    <n v="1"/>
    <m/>
    <n v="1"/>
    <s v="Berry"/>
    <s v="Berry (Blueberry)"/>
    <s v="Ground"/>
    <s v="Exterior spruce branch under bark/witch hair"/>
    <s v="Spruce"/>
    <s v="Exterior"/>
    <s v="Under bark and witch hair "/>
    <m/>
    <m/>
    <n v="15"/>
    <n v="63.721530000000001"/>
    <n v="148.98598999999999"/>
    <m/>
    <m/>
    <m/>
    <n v="0"/>
    <n v="0"/>
    <n v="0"/>
    <n v="0"/>
    <n v="7"/>
    <n v="0"/>
    <n v="7"/>
    <m/>
    <m/>
    <m/>
    <m/>
  </r>
  <r>
    <s v="DSCN1888"/>
    <s v="M4R1018_5"/>
    <n v="5"/>
    <n v="1"/>
    <x v="6"/>
    <d v="2018-10-18T00:00:00"/>
    <s v="October"/>
    <s v="Fall"/>
    <d v="1899-12-30T00:29:00"/>
    <d v="1899-12-30T00:00:29"/>
    <x v="122"/>
    <s v="Overcast"/>
    <x v="7"/>
    <s v="Foraging"/>
    <s v="NA"/>
    <n v="1"/>
    <m/>
    <n v="0"/>
    <s v="Berry"/>
    <s v="Berry (Blueberry)"/>
    <s v="Ground"/>
    <s v="NA"/>
    <s v="NA"/>
    <s v="NA"/>
    <s v="NA"/>
    <m/>
    <m/>
    <s v="NA"/>
    <s v="NA"/>
    <m/>
    <m/>
    <m/>
    <m/>
    <n v="0"/>
    <n v="0"/>
    <n v="0"/>
    <n v="0"/>
    <n v="20"/>
    <n v="0"/>
    <n v="20"/>
    <m/>
    <m/>
    <m/>
    <m/>
  </r>
  <r>
    <s v="DSCN1997"/>
    <s v="M4R1023_1"/>
    <n v="1"/>
    <n v="1"/>
    <x v="6"/>
    <d v="2018-10-23T00:00:00"/>
    <s v="October"/>
    <s v="Fall"/>
    <d v="1899-12-30T01:15:00"/>
    <d v="1899-12-30T00:01:15"/>
    <x v="122"/>
    <s v="Mostly cloudy"/>
    <x v="7"/>
    <s v="Foraging"/>
    <s v="Spruce"/>
    <n v="1"/>
    <m/>
    <n v="0"/>
    <s v="Human food"/>
    <s v="Human food (chicken?)"/>
    <s v="Exteriro bare spruce branch tucked under witch hair"/>
    <s v="NA"/>
    <s v="NA"/>
    <s v="NA"/>
    <s v="NA"/>
    <m/>
    <m/>
    <s v="NA"/>
    <s v="NA"/>
    <m/>
    <m/>
    <m/>
    <m/>
    <n v="0"/>
    <n v="0"/>
    <n v="0"/>
    <n v="0"/>
    <n v="0"/>
    <n v="0"/>
    <n v="0"/>
    <m/>
    <s v="Missed acquisition on camera"/>
    <m/>
    <m/>
  </r>
  <r>
    <s v="DSCN2033"/>
    <s v="K21023_1"/>
    <n v="1"/>
    <n v="1"/>
    <x v="17"/>
    <d v="2018-10-23T00:00:00"/>
    <s v="October"/>
    <s v="Fall"/>
    <d v="1899-12-30T00:35:00"/>
    <d v="1899-12-30T00:00:35"/>
    <x v="122"/>
    <m/>
    <x v="36"/>
    <s v="Foraging"/>
    <s v="Spruce"/>
    <s v="unknown"/>
    <m/>
    <n v="0"/>
    <s v="Unknown"/>
    <s v="Unknown"/>
    <s v="NA"/>
    <s v="NA"/>
    <s v="NA"/>
    <s v="NA"/>
    <s v="NA"/>
    <m/>
    <m/>
    <s v="NA"/>
    <s v="NA"/>
    <m/>
    <m/>
    <m/>
    <m/>
    <n v="14"/>
    <n v="0"/>
    <n v="14"/>
    <n v="0"/>
    <n v="0"/>
    <n v="0"/>
    <n v="14"/>
    <s v="Searching"/>
    <m/>
    <m/>
    <m/>
  </r>
  <r>
    <s v="DSCN1369"/>
    <s v="AQ1007_1"/>
    <n v="1"/>
    <n v="1"/>
    <x v="7"/>
    <d v="2018-10-07T00:00:00"/>
    <s v="October"/>
    <s v="Fall"/>
    <d v="1899-12-30T00:15:00"/>
    <d v="1899-12-30T00:00:15"/>
    <x v="122"/>
    <s v="Overcast"/>
    <x v="8"/>
    <s v="Foraging"/>
    <s v="NA"/>
    <n v="1"/>
    <m/>
    <n v="0"/>
    <s v="Unknown"/>
    <s v="Unknown"/>
    <s v="Ground"/>
    <s v="NA"/>
    <s v="NA"/>
    <s v="NA"/>
    <s v="NA"/>
    <m/>
    <m/>
    <s v="NA"/>
    <s v="NA"/>
    <m/>
    <m/>
    <m/>
    <m/>
    <n v="0"/>
    <n v="0"/>
    <n v="0"/>
    <n v="0"/>
    <n v="0"/>
    <n v="0"/>
    <n v="0"/>
    <m/>
    <s v="Not captured on video.  "/>
    <m/>
    <m/>
  </r>
  <r>
    <s v="DSCN1373"/>
    <s v="AQ1007_3"/>
    <n v="3"/>
    <n v="1"/>
    <x v="7"/>
    <d v="2018-10-07T00:00:00"/>
    <s v="October"/>
    <s v="Fall"/>
    <d v="1899-12-30T01:27:00"/>
    <d v="1899-12-30T00:01:27"/>
    <x v="122"/>
    <s v="Overcast"/>
    <x v="8"/>
    <s v="Caching"/>
    <s v="Spruce"/>
    <n v="1"/>
    <m/>
    <n v="1"/>
    <s v="Unknown"/>
    <s v="Unknown"/>
    <s v="Spruce branch near lichen"/>
    <s v="Exterior spruce branch under bark"/>
    <s v="Spruce"/>
    <s v="Exterior"/>
    <s v="Branch under bark"/>
    <m/>
    <m/>
    <s v="unknown"/>
    <n v="63.721200000000003"/>
    <n v="148.96514999999999"/>
    <m/>
    <m/>
    <m/>
    <n v="0"/>
    <n v="0"/>
    <n v="0"/>
    <n v="0"/>
    <n v="0"/>
    <n v="0"/>
    <n v="0"/>
    <m/>
    <m/>
    <m/>
    <m/>
  </r>
  <r>
    <s v="DSCN1373"/>
    <s v="AQ1007_3"/>
    <n v="3"/>
    <n v="2"/>
    <x v="7"/>
    <d v="2018-10-07T00:00:00"/>
    <s v="October"/>
    <s v="Fall"/>
    <d v="1899-12-30T01:27:00"/>
    <d v="1899-12-30T00:01:27"/>
    <x v="122"/>
    <s v="Overcast"/>
    <x v="8"/>
    <s v="Caching"/>
    <s v="Spruce"/>
    <n v="0"/>
    <m/>
    <n v="2"/>
    <s v="Unknown"/>
    <s v="Unknown"/>
    <s v="Spruce branch near lichen"/>
    <s v="Exterior spruce branch under bark"/>
    <s v="Spruce"/>
    <s v="Exterior"/>
    <s v="Under bark"/>
    <m/>
    <m/>
    <s v="unknown"/>
    <n v="63.721200000000003"/>
    <n v="148.96527"/>
    <m/>
    <m/>
    <m/>
    <n v="0"/>
    <n v="0"/>
    <n v="0"/>
    <n v="0"/>
    <n v="0"/>
    <n v="0"/>
    <n v="0"/>
    <m/>
    <m/>
    <m/>
    <m/>
  </r>
  <r>
    <s v="DSCN1386"/>
    <s v="AQ1007_4"/>
    <n v="4"/>
    <n v="1"/>
    <x v="7"/>
    <d v="2018-10-07T00:00:00"/>
    <s v="October"/>
    <s v="Fall"/>
    <d v="1899-12-30T00:34:00"/>
    <d v="1899-12-30T00:00:34"/>
    <x v="122"/>
    <s v="Overcast"/>
    <x v="8"/>
    <s v="Foraging"/>
    <s v="Spruce"/>
    <n v="1"/>
    <m/>
    <n v="0"/>
    <s v="Unknown"/>
    <s v="Unknown"/>
    <s v="Exterior foliated spruce"/>
    <s v="NA"/>
    <s v="NA"/>
    <s v="NA"/>
    <s v="NA"/>
    <m/>
    <m/>
    <s v="NA"/>
    <s v="NA"/>
    <m/>
    <m/>
    <m/>
    <m/>
    <n v="0"/>
    <n v="33"/>
    <n v="0"/>
    <n v="33"/>
    <n v="0"/>
    <n v="0"/>
    <n v="33"/>
    <s v="Searching"/>
    <m/>
    <m/>
    <m/>
  </r>
  <r>
    <s v="DSCN1389"/>
    <s v="AQ1007_5"/>
    <n v="5"/>
    <n v="1"/>
    <x v="7"/>
    <d v="2018-10-07T00:00:00"/>
    <s v="October"/>
    <s v="Fall"/>
    <d v="1899-12-30T01:23:00"/>
    <d v="1899-12-30T00:01:23"/>
    <x v="122"/>
    <s v="Overcast"/>
    <x v="8"/>
    <s v="Foraging/caching"/>
    <s v="Spruce"/>
    <n v="2"/>
    <m/>
    <n v="1"/>
    <s v="Berry"/>
    <s v="Berry (Blueberry)"/>
    <s v="Ground"/>
    <s v="Exterior spruce foliage under witchhair"/>
    <s v="Spruce"/>
    <s v="Exterior"/>
    <s v="Foliage and witch hair"/>
    <m/>
    <m/>
    <n v="4"/>
    <n v="63.722389999999997"/>
    <n v="148.96592999999999"/>
    <m/>
    <m/>
    <m/>
    <n v="0"/>
    <n v="0"/>
    <n v="0"/>
    <n v="0"/>
    <n v="18"/>
    <n v="0"/>
    <n v="18"/>
    <m/>
    <s v="Two birds in this video.  The first (O/BS) is the one foraging in the tree.  We did not document any food acquisitions or caches for that birds.  The rest of the data is based on the second bird (PG/PS)"/>
    <m/>
    <m/>
  </r>
  <r>
    <s v="DSCN1389"/>
    <s v="AQ1007_5"/>
    <n v="5"/>
    <n v="3"/>
    <x v="7"/>
    <d v="2018-10-07T00:00:00"/>
    <s v="October"/>
    <s v="Fall"/>
    <d v="1899-12-30T01:23:00"/>
    <d v="1899-12-30T00:01:23"/>
    <x v="122"/>
    <s v="Overcast"/>
    <x v="8"/>
    <s v="Caching"/>
    <s v="Spruce"/>
    <n v="1"/>
    <m/>
    <n v="1"/>
    <s v="Berry"/>
    <s v="Berry (Blueberry)"/>
    <s v="Ground"/>
    <s v="Interior bare spruce branch near trunk"/>
    <s v="Spruce"/>
    <s v="Interior"/>
    <s v="Branch"/>
    <m/>
    <m/>
    <n v="13"/>
    <n v="63.722320000000003"/>
    <n v="148.96617000000001"/>
    <m/>
    <m/>
    <m/>
    <n v="0"/>
    <n v="0"/>
    <n v="0"/>
    <n v="0"/>
    <n v="0"/>
    <n v="0"/>
    <n v="0"/>
    <m/>
    <s v="Cached and then foraged."/>
    <m/>
    <m/>
  </r>
  <r>
    <s v="DSCN1389"/>
    <s v="AQ1007_5"/>
    <n v="5"/>
    <n v="2"/>
    <x v="7"/>
    <d v="2018-10-07T00:00:00"/>
    <s v="October"/>
    <s v="Fall"/>
    <d v="1899-12-30T01:23:00"/>
    <d v="1899-12-30T00:01:23"/>
    <x v="122"/>
    <s v="Overcast"/>
    <x v="8"/>
    <s v="Caching"/>
    <s v="Spruce"/>
    <n v="0"/>
    <m/>
    <n v="2"/>
    <s v="Unknown"/>
    <s v="Unknown"/>
    <s v="Ground"/>
    <s v="Exterior spruce foliage under witchhair"/>
    <s v="Spruce"/>
    <s v="Exterior"/>
    <s v="Foliage"/>
    <m/>
    <m/>
    <n v="21"/>
    <n v="63.722290000000001"/>
    <n v="148.96632"/>
    <m/>
    <m/>
    <m/>
    <n v="0"/>
    <n v="0"/>
    <n v="0"/>
    <n v="0"/>
    <n v="0"/>
    <n v="0"/>
    <n v="0"/>
    <m/>
    <m/>
    <m/>
    <m/>
  </r>
  <r>
    <s v="DSCN2036"/>
    <s v="AQ1023_1"/>
    <n v="1"/>
    <n v="1"/>
    <x v="7"/>
    <d v="2018-10-23T00:00:00"/>
    <s v="October"/>
    <s v="Fall"/>
    <d v="1899-12-30T00:27:00"/>
    <d v="1899-12-30T00:00:27"/>
    <x v="122"/>
    <m/>
    <x v="8"/>
    <s v="Foraging"/>
    <s v="NA"/>
    <s v="unknown"/>
    <m/>
    <n v="0"/>
    <s v="Unknown"/>
    <s v="Unknown"/>
    <s v="NA"/>
    <s v="NA"/>
    <s v="NA"/>
    <s v="NA"/>
    <s v="NA"/>
    <m/>
    <m/>
    <s v="NA"/>
    <s v="NA"/>
    <m/>
    <m/>
    <m/>
    <m/>
    <n v="0"/>
    <n v="0"/>
    <n v="0"/>
    <n v="0"/>
    <n v="27"/>
    <n v="0"/>
    <n v="27"/>
    <m/>
    <m/>
    <m/>
    <m/>
  </r>
  <r>
    <s v="DSCN2039"/>
    <s v="AQ1023_3"/>
    <n v="3"/>
    <n v="1"/>
    <x v="7"/>
    <d v="2018-10-23T00:00:00"/>
    <s v="October"/>
    <s v="Fall"/>
    <d v="1899-12-30T00:27:00"/>
    <d v="1899-12-30T00:00:27"/>
    <x v="122"/>
    <m/>
    <x v="8"/>
    <s v="Foraging"/>
    <s v="NA"/>
    <n v="0"/>
    <m/>
    <n v="0"/>
    <m/>
    <s v="NA"/>
    <s v="NA"/>
    <s v="NA"/>
    <s v="NA"/>
    <s v="NA"/>
    <s v="NA"/>
    <m/>
    <m/>
    <s v="NA"/>
    <s v="NA"/>
    <m/>
    <m/>
    <m/>
    <m/>
    <n v="0"/>
    <n v="0"/>
    <n v="0"/>
    <n v="0"/>
    <n v="27"/>
    <n v="0"/>
    <n v="27"/>
    <m/>
    <s v="Looking at ground from low branch"/>
    <m/>
    <m/>
  </r>
  <r>
    <s v="DSCN2042"/>
    <s v="AQ1023_4"/>
    <n v="4"/>
    <n v="1"/>
    <x v="7"/>
    <d v="2018-10-23T00:00:00"/>
    <s v="October"/>
    <s v="Fall"/>
    <d v="1899-12-30T00:17:00"/>
    <d v="1899-12-30T00:00:17"/>
    <x v="122"/>
    <m/>
    <x v="8"/>
    <s v="Foraging"/>
    <s v="NA"/>
    <n v="0"/>
    <m/>
    <n v="0"/>
    <m/>
    <s v="NA"/>
    <s v="NA"/>
    <s v="NA"/>
    <s v="NA"/>
    <s v="NA"/>
    <s v="NA"/>
    <m/>
    <m/>
    <s v="NA"/>
    <s v="NA"/>
    <m/>
    <m/>
    <m/>
    <m/>
    <n v="0"/>
    <n v="0"/>
    <n v="0"/>
    <n v="0"/>
    <n v="16"/>
    <n v="0"/>
    <n v="16"/>
    <m/>
    <s v="Looking at ground from low branch"/>
    <m/>
    <m/>
  </r>
  <r>
    <s v="DSCN2045"/>
    <s v="AQ1023_6"/>
    <n v="6"/>
    <n v="1"/>
    <x v="7"/>
    <d v="2018-10-23T00:00:00"/>
    <s v="October"/>
    <s v="Fall"/>
    <d v="1899-12-30T00:10:00"/>
    <d v="1899-12-30T00:00:10"/>
    <x v="122"/>
    <m/>
    <x v="8"/>
    <s v="Foraging"/>
    <s v="NA"/>
    <s v="unknown"/>
    <m/>
    <n v="0"/>
    <m/>
    <s v="NA"/>
    <s v="NA"/>
    <s v="NA"/>
    <s v="NA"/>
    <s v="NA"/>
    <s v="NA"/>
    <m/>
    <m/>
    <s v="NA"/>
    <s v="NA"/>
    <m/>
    <m/>
    <m/>
    <m/>
    <n v="0"/>
    <n v="0"/>
    <n v="0"/>
    <n v="0"/>
    <n v="2"/>
    <n v="0"/>
    <n v="2"/>
    <m/>
    <m/>
    <m/>
    <m/>
  </r>
  <r>
    <s v="DSCN2048"/>
    <s v="AQ1023_7"/>
    <n v="7"/>
    <n v="1"/>
    <x v="7"/>
    <d v="2018-10-23T00:00:00"/>
    <s v="October"/>
    <s v="Fall"/>
    <d v="1899-12-30T00:43:00"/>
    <d v="1899-12-30T00:00:43"/>
    <x v="122"/>
    <m/>
    <x v="8"/>
    <s v="Foraging"/>
    <s v="NA"/>
    <n v="1"/>
    <m/>
    <n v="0"/>
    <s v="Insect"/>
    <s v="Insect (worm or caterpillar)"/>
    <s v="Ground"/>
    <s v="NA"/>
    <s v="NA"/>
    <s v="NA"/>
    <s v="NA"/>
    <m/>
    <m/>
    <s v="NA"/>
    <s v="NA"/>
    <m/>
    <m/>
    <m/>
    <m/>
    <n v="0"/>
    <n v="0"/>
    <n v="0"/>
    <n v="0"/>
    <n v="23"/>
    <n v="0"/>
    <n v="23"/>
    <m/>
    <s v="Looking at ground from low branch.  Eventually went to ground and picked up something it had to beat against tree.  Took that as indication of insect.  "/>
    <m/>
    <m/>
  </r>
  <r>
    <s v="DSCN1371"/>
    <s v="AQ1007_2"/>
    <n v="2"/>
    <n v="1"/>
    <x v="7"/>
    <d v="2018-10-07T00:00:00"/>
    <s v="October"/>
    <s v="Fall"/>
    <d v="1899-12-30T00:07:00"/>
    <d v="1899-12-30T00:00:07"/>
    <x v="122"/>
    <s v="Overcast"/>
    <x v="9"/>
    <s v="Foraging"/>
    <s v="NA"/>
    <n v="1"/>
    <m/>
    <n v="0"/>
    <s v="Berry"/>
    <s v="Berry (Blueberry)"/>
    <s v="Ground"/>
    <s v="NA"/>
    <s v="NA"/>
    <s v="NA"/>
    <s v="NA"/>
    <m/>
    <m/>
    <s v="NA"/>
    <s v="NA"/>
    <m/>
    <m/>
    <m/>
    <m/>
    <n v="0"/>
    <n v="0"/>
    <n v="0"/>
    <n v="0"/>
    <n v="6"/>
    <n v="0"/>
    <n v="6"/>
    <m/>
    <m/>
    <m/>
    <m/>
  </r>
  <r>
    <s v="DSCN1873"/>
    <s v="AQ1017_1"/>
    <n v="1"/>
    <n v="1"/>
    <x v="7"/>
    <d v="2018-10-17T00:00:00"/>
    <s v="October"/>
    <s v="Fall"/>
    <d v="1899-12-30T00:31:00"/>
    <d v="1899-12-30T00:00:31"/>
    <x v="122"/>
    <s v="Overcast"/>
    <x v="9"/>
    <s v="Caching/foraging"/>
    <s v="Spruce"/>
    <n v="2"/>
    <m/>
    <n v="1"/>
    <s v="Unknown"/>
    <s v="unknown (for all)"/>
    <s v="Ground for cached item; then on bare spruce branch under bark"/>
    <s v="Exterior spruce branch under bark/witch hair"/>
    <s v="Spruce"/>
    <s v="Exterior"/>
    <s v="Branch under witch hair"/>
    <m/>
    <m/>
    <s v="unknown"/>
    <n v="63.723950000000002"/>
    <n v="148.96271999999999"/>
    <m/>
    <m/>
    <m/>
    <n v="10"/>
    <n v="0"/>
    <n v="0"/>
    <n v="10"/>
    <n v="0"/>
    <n v="0"/>
    <n v="10"/>
    <m/>
    <s v="Picked something up from ground (not on film) then cached, then resumed foraging in tree. "/>
    <m/>
    <m/>
  </r>
  <r>
    <s v="DSCN2037"/>
    <s v="AQ1023_2"/>
    <n v="2"/>
    <n v="1"/>
    <x v="7"/>
    <d v="2018-10-23T00:00:00"/>
    <s v="October"/>
    <s v="Fall"/>
    <d v="1899-12-30T00:12:00"/>
    <d v="1899-12-30T00:00:12"/>
    <x v="122"/>
    <m/>
    <x v="9"/>
    <s v="Foraging"/>
    <s v="NA"/>
    <n v="2"/>
    <m/>
    <n v="0"/>
    <s v="Unknown"/>
    <s v="Unknown"/>
    <s v="Ground"/>
    <s v="NA"/>
    <s v="NA"/>
    <s v="NA"/>
    <s v="NA"/>
    <m/>
    <m/>
    <s v="NA"/>
    <s v="NA"/>
    <m/>
    <m/>
    <m/>
    <m/>
    <n v="0"/>
    <n v="0"/>
    <n v="0"/>
    <n v="0"/>
    <n v="12"/>
    <n v="0"/>
    <n v="12"/>
    <m/>
    <m/>
    <m/>
    <m/>
  </r>
  <r>
    <s v="DSCN2043"/>
    <s v="AQ1023_5"/>
    <n v="5"/>
    <n v="1"/>
    <x v="7"/>
    <d v="2018-10-23T00:00:00"/>
    <s v="October"/>
    <s v="Fall"/>
    <d v="1899-12-30T00:11:00"/>
    <d v="1899-12-30T00:00:11"/>
    <x v="122"/>
    <m/>
    <x v="9"/>
    <s v="Foraging"/>
    <s v="NA"/>
    <n v="1"/>
    <m/>
    <n v="0"/>
    <s v="Unknown"/>
    <s v="Unknown"/>
    <s v="Ground"/>
    <s v="NA"/>
    <s v="NA"/>
    <s v="NA"/>
    <s v="NA"/>
    <m/>
    <m/>
    <s v="NA"/>
    <s v="NA"/>
    <m/>
    <m/>
    <m/>
    <m/>
    <n v="0"/>
    <n v="0"/>
    <n v="0"/>
    <n v="0"/>
    <n v="9"/>
    <n v="0"/>
    <n v="9"/>
    <m/>
    <s v="Band combo determined in field"/>
    <m/>
    <m/>
  </r>
  <r>
    <s v="DSCN2014"/>
    <s v="M4S1023_1"/>
    <n v="1"/>
    <n v="1"/>
    <x v="18"/>
    <d v="2018-10-23T00:00:00"/>
    <s v="October"/>
    <s v="Fall"/>
    <d v="1899-12-30T00:15:00"/>
    <d v="1899-12-30T00:00:15"/>
    <x v="122"/>
    <m/>
    <x v="37"/>
    <s v="Foraging"/>
    <s v="Spruce"/>
    <s v="unknown"/>
    <m/>
    <n v="0"/>
    <m/>
    <s v="NA"/>
    <s v="NA"/>
    <s v="NA"/>
    <s v="NA"/>
    <s v="NA"/>
    <s v="NA"/>
    <m/>
    <m/>
    <s v="NA"/>
    <s v="NA"/>
    <m/>
    <m/>
    <m/>
    <m/>
    <n v="0"/>
    <n v="15"/>
    <n v="0"/>
    <n v="15"/>
    <n v="0"/>
    <n v="0"/>
    <n v="15"/>
    <s v="Searching"/>
    <m/>
    <m/>
    <m/>
  </r>
  <r>
    <s v="DSCN2034"/>
    <s v="K11023_1"/>
    <n v="1"/>
    <n v="1"/>
    <x v="19"/>
    <d v="2018-10-23T00:00:00"/>
    <s v="October"/>
    <s v="Fall"/>
    <d v="1899-12-30T00:43:00"/>
    <d v="1899-12-30T00:00:43"/>
    <x v="122"/>
    <m/>
    <x v="38"/>
    <s v="Foraging"/>
    <s v="Spruce"/>
    <n v="2"/>
    <m/>
    <n v="0"/>
    <s v="Unknown"/>
    <s v="Unknown"/>
    <s v="Exterior bare spruce branch and spruce trunk under bark"/>
    <s v="NA"/>
    <s v="NA"/>
    <s v="NA"/>
    <s v="NA"/>
    <m/>
    <m/>
    <s v="NA"/>
    <s v="NA"/>
    <m/>
    <m/>
    <m/>
    <m/>
    <n v="41"/>
    <n v="0"/>
    <n v="41"/>
    <n v="0"/>
    <n v="0"/>
    <n v="0"/>
    <n v="41"/>
    <s v="Probing"/>
    <s v="Video starts after it has first acquisition, then it forages and finds another under bark"/>
    <n v="3"/>
    <n v="0"/>
  </r>
  <r>
    <s v="DSCN1722"/>
    <s v="M4R1015_50"/>
    <n v="50"/>
    <n v="2"/>
    <x v="6"/>
    <d v="2018-10-15T00:00:00"/>
    <s v="October"/>
    <s v="Fall"/>
    <d v="1899-12-30T01:25:00"/>
    <d v="1899-12-30T00:01:25"/>
    <x v="122"/>
    <s v="Overcast"/>
    <x v="10"/>
    <s v="Foraging"/>
    <s v="NA"/>
    <n v="1"/>
    <m/>
    <n v="0"/>
    <s v="Animal flesh"/>
    <s v="Animal flesh (Snowshoe hare)"/>
    <s v="Ground"/>
    <s v="NA"/>
    <s v="NA"/>
    <s v="NA"/>
    <s v="NA"/>
    <m/>
    <m/>
    <s v="NA"/>
    <s v="NA"/>
    <m/>
    <m/>
    <m/>
    <m/>
    <n v="0"/>
    <n v="0"/>
    <n v="0"/>
    <n v="0"/>
    <n v="0"/>
    <n v="0"/>
    <n v="0"/>
    <m/>
    <s v="Fed alongside /BS "/>
    <m/>
    <m/>
  </r>
  <r>
    <s v="DSCN1724"/>
    <s v="M4R1015_52"/>
    <n v="52"/>
    <n v="1"/>
    <x v="6"/>
    <d v="2018-10-15T00:00:00"/>
    <s v="October"/>
    <s v="Fall"/>
    <d v="1899-12-30T00:32:00"/>
    <d v="1899-12-30T00:00:32"/>
    <x v="122"/>
    <s v="Overcast"/>
    <x v="10"/>
    <s v="Foraging"/>
    <s v="NA"/>
    <n v="1"/>
    <m/>
    <n v="0"/>
    <s v="Animal flesh"/>
    <s v="Animal flesh (Snowshoe hare)"/>
    <s v="Ground"/>
    <s v="NA"/>
    <s v="NA"/>
    <s v="NA"/>
    <s v="NA"/>
    <m/>
    <m/>
    <s v="NA"/>
    <s v="NA"/>
    <m/>
    <m/>
    <m/>
    <m/>
    <n v="0"/>
    <n v="0"/>
    <n v="0"/>
    <n v="0"/>
    <n v="0"/>
    <n v="0"/>
    <n v="0"/>
    <m/>
    <m/>
    <m/>
    <m/>
  </r>
  <r>
    <s v="DSCN1725"/>
    <s v="M4R1015_53"/>
    <n v="53"/>
    <n v="1"/>
    <x v="6"/>
    <d v="2018-10-15T00:00:00"/>
    <s v="October"/>
    <s v="Fall"/>
    <d v="1899-12-30T00:12:00"/>
    <d v="1899-12-30T00:00:12"/>
    <x v="122"/>
    <s v="Overcast"/>
    <x v="10"/>
    <s v="Caching"/>
    <s v="NA"/>
    <n v="0"/>
    <m/>
    <n v="1"/>
    <s v="Animal flesh"/>
    <s v="Animal flesh (Snowshoe hare)"/>
    <s v="Ground"/>
    <s v="Interior spruce foliage "/>
    <s v="Spruce"/>
    <s v="Interior"/>
    <s v="Foliage"/>
    <m/>
    <m/>
    <n v="37"/>
    <n v="63.721760000000003"/>
    <n v="148.98801"/>
    <m/>
    <m/>
    <m/>
    <n v="0"/>
    <n v="0"/>
    <n v="0"/>
    <n v="0"/>
    <n v="0"/>
    <n v="0"/>
    <n v="0"/>
    <m/>
    <m/>
    <m/>
    <m/>
  </r>
  <r>
    <s v="DSCN1728"/>
    <s v="M4R1015_54"/>
    <n v="54"/>
    <n v="1"/>
    <x v="6"/>
    <d v="2018-10-15T00:00:00"/>
    <s v="October"/>
    <s v="Fall"/>
    <d v="1899-12-30T00:52:00"/>
    <d v="1899-12-30T00:00:52"/>
    <x v="122"/>
    <s v="Overcast"/>
    <x v="10"/>
    <s v="Foraging"/>
    <s v="NA"/>
    <n v="1"/>
    <m/>
    <n v="0"/>
    <s v="Animal flesh"/>
    <s v="Animal flesh (Snowshoe hare)"/>
    <s v="Ground"/>
    <s v="NA"/>
    <s v="NA"/>
    <s v="NA"/>
    <s v="NA"/>
    <m/>
    <m/>
    <s v="NA"/>
    <s v="NA"/>
    <m/>
    <m/>
    <m/>
    <m/>
    <n v="0"/>
    <n v="0"/>
    <n v="0"/>
    <n v="0"/>
    <n v="0"/>
    <n v="0"/>
    <n v="0"/>
    <m/>
    <m/>
    <m/>
    <m/>
  </r>
  <r>
    <s v="DSCN1729"/>
    <s v="M4R1015_55"/>
    <n v="55"/>
    <n v="1"/>
    <x v="6"/>
    <d v="2018-10-15T00:00:00"/>
    <s v="October"/>
    <s v="Fall"/>
    <d v="1899-12-30T01:06:00"/>
    <d v="1899-12-30T00:01:06"/>
    <x v="122"/>
    <s v="Overcast"/>
    <x v="10"/>
    <s v="Foraging"/>
    <s v="NA"/>
    <n v="1"/>
    <m/>
    <n v="0"/>
    <s v="Animal flesh"/>
    <s v="Animal flesh (Snowshoe hare)"/>
    <s v="Ground"/>
    <s v="NA"/>
    <s v="NA"/>
    <s v="NA"/>
    <s v="NA"/>
    <m/>
    <m/>
    <s v="NA"/>
    <s v="NA"/>
    <m/>
    <m/>
    <m/>
    <m/>
    <n v="0"/>
    <n v="0"/>
    <n v="0"/>
    <n v="0"/>
    <n v="0"/>
    <n v="0"/>
    <n v="0"/>
    <m/>
    <m/>
    <m/>
    <m/>
  </r>
  <r>
    <s v="DSCN1736"/>
    <s v="M4R1015_58"/>
    <n v="58"/>
    <n v="1"/>
    <x v="6"/>
    <d v="2018-10-15T00:00:00"/>
    <s v="October"/>
    <s v="Fall"/>
    <d v="1899-12-30T00:24:00"/>
    <d v="1899-12-30T00:00:24"/>
    <x v="122"/>
    <s v="Overcast"/>
    <x v="10"/>
    <s v="Foraging"/>
    <s v="NA"/>
    <n v="1"/>
    <m/>
    <n v="0"/>
    <s v="Animal flesh"/>
    <s v="Animal flesh (Snowshoe hare)"/>
    <s v="Ground"/>
    <s v="NA"/>
    <s v="NA"/>
    <s v="NA"/>
    <s v="NA"/>
    <m/>
    <m/>
    <s v="NA"/>
    <s v="NA"/>
    <m/>
    <m/>
    <m/>
    <m/>
    <n v="0"/>
    <n v="0"/>
    <n v="0"/>
    <n v="0"/>
    <n v="0"/>
    <n v="0"/>
    <n v="0"/>
    <m/>
    <m/>
    <m/>
    <m/>
  </r>
  <r>
    <s v="DSCN1743"/>
    <s v="M4R1015_61"/>
    <n v="61"/>
    <n v="1"/>
    <x v="6"/>
    <d v="2018-10-15T00:00:00"/>
    <s v="October"/>
    <s v="Fall"/>
    <d v="1899-12-30T00:16:00"/>
    <d v="1899-12-30T00:00:16"/>
    <x v="122"/>
    <s v="Overcast"/>
    <x v="10"/>
    <s v="Foraging"/>
    <s v="NA"/>
    <n v="1"/>
    <m/>
    <n v="0"/>
    <s v="Animal flesh"/>
    <s v="Animal flesh (Snowshoe hare)"/>
    <s v="Ground"/>
    <s v="NA"/>
    <s v="NA"/>
    <s v="NA"/>
    <s v="NA"/>
    <m/>
    <m/>
    <s v="NA"/>
    <s v="NA"/>
    <m/>
    <m/>
    <m/>
    <m/>
    <n v="0"/>
    <n v="0"/>
    <n v="0"/>
    <n v="0"/>
    <n v="0"/>
    <n v="0"/>
    <n v="0"/>
    <m/>
    <m/>
    <m/>
    <m/>
  </r>
  <r>
    <s v="DSCN1748"/>
    <s v="M4R1015_62"/>
    <n v="62"/>
    <n v="1"/>
    <x v="6"/>
    <d v="2018-10-15T00:00:00"/>
    <s v="October"/>
    <s v="Fall"/>
    <d v="1899-12-30T00:36:00"/>
    <d v="1899-12-30T00:00:36"/>
    <x v="122"/>
    <s v="Overcast"/>
    <x v="10"/>
    <s v="Foraging"/>
    <s v="NA"/>
    <n v="1"/>
    <m/>
    <n v="0"/>
    <s v="Animal flesh"/>
    <s v="Animal flesh (Snowshoe hare)"/>
    <s v="Ground"/>
    <s v="NA"/>
    <s v="NA"/>
    <s v="NA"/>
    <s v="NA"/>
    <m/>
    <m/>
    <s v="NA"/>
    <s v="NA"/>
    <m/>
    <m/>
    <m/>
    <m/>
    <n v="0"/>
    <n v="0"/>
    <n v="0"/>
    <n v="0"/>
    <n v="0"/>
    <n v="0"/>
    <n v="0"/>
    <m/>
    <m/>
    <m/>
    <m/>
  </r>
  <r>
    <s v="DSCN1750"/>
    <s v="M4R1015_63"/>
    <n v="63"/>
    <n v="1"/>
    <x v="6"/>
    <d v="2018-10-15T00:00:00"/>
    <s v="October"/>
    <s v="Fall"/>
    <d v="1899-12-30T01:41:00"/>
    <d v="1899-12-30T00:01:41"/>
    <x v="122"/>
    <s v="Overcast"/>
    <x v="10"/>
    <s v="Foraging"/>
    <s v="NA"/>
    <n v="1"/>
    <m/>
    <n v="0"/>
    <s v="Animal flesh"/>
    <s v="Animal flesh (Snowshoe hare)"/>
    <s v="Ground"/>
    <s v="NA"/>
    <s v="NA"/>
    <s v="NA"/>
    <s v="NA"/>
    <m/>
    <m/>
    <s v="NA"/>
    <s v="NA"/>
    <m/>
    <m/>
    <m/>
    <m/>
    <n v="0"/>
    <n v="0"/>
    <n v="0"/>
    <n v="0"/>
    <n v="0"/>
    <n v="0"/>
    <n v="0"/>
    <m/>
    <m/>
    <m/>
    <m/>
  </r>
  <r>
    <s v="DSCN1758"/>
    <s v="M4R1015_64"/>
    <n v="64"/>
    <n v="1"/>
    <x v="6"/>
    <d v="2018-10-15T00:00:00"/>
    <s v="October"/>
    <s v="Fall"/>
    <d v="1899-12-30T00:25:00"/>
    <d v="1899-12-30T00:00:25"/>
    <x v="122"/>
    <s v="Overcast"/>
    <x v="10"/>
    <s v="Caching"/>
    <s v="Spruce"/>
    <n v="0"/>
    <m/>
    <n v="1"/>
    <s v="Animal flesh"/>
    <s v="Animal flesh (Snowshoe hare)"/>
    <s v="Ground"/>
    <s v="Exterior spruce foliage"/>
    <s v="Spruce"/>
    <s v="Exterior"/>
    <s v="Foliage"/>
    <m/>
    <m/>
    <s v="unknown"/>
    <n v="63.721519999999998"/>
    <n v="148.98714000000001"/>
    <m/>
    <m/>
    <m/>
    <n v="0"/>
    <n v="0"/>
    <n v="0"/>
    <n v="0"/>
    <n v="0"/>
    <n v="0"/>
    <n v="0"/>
    <m/>
    <m/>
    <m/>
    <m/>
  </r>
  <r>
    <s v="DSCN2016"/>
    <s v="MR41023_6"/>
    <n v="6"/>
    <n v="1"/>
    <x v="6"/>
    <d v="2018-10-23T00:00:00"/>
    <s v="October"/>
    <s v="Fall"/>
    <d v="1899-12-30T00:56:00"/>
    <d v="1899-12-30T00:00:56"/>
    <x v="122"/>
    <m/>
    <x v="10"/>
    <s v="Foraging"/>
    <s v="Spruce"/>
    <n v="1"/>
    <m/>
    <n v="0"/>
    <s v="Unknown"/>
    <s v="Unknown"/>
    <s v="Exterior dense foliage of spruce"/>
    <s v="NA"/>
    <s v="NA"/>
    <s v="NA"/>
    <s v="NA"/>
    <m/>
    <m/>
    <s v="NA"/>
    <s v="NA"/>
    <m/>
    <m/>
    <m/>
    <m/>
    <n v="0"/>
    <n v="17"/>
    <n v="0"/>
    <n v="17"/>
    <n v="0"/>
    <n v="0"/>
    <n v="17"/>
    <s v="Searching"/>
    <m/>
    <m/>
    <m/>
  </r>
  <r>
    <s v="DSCN2017"/>
    <s v="M4R1023_7"/>
    <n v="7"/>
    <n v="1"/>
    <x v="6"/>
    <d v="2018-10-23T00:00:00"/>
    <s v="October"/>
    <s v="Fall"/>
    <d v="1899-12-30T00:53:00"/>
    <d v="1899-12-30T00:00:53"/>
    <x v="122"/>
    <m/>
    <x v="10"/>
    <s v="Caching"/>
    <s v="Spruce"/>
    <n v="0"/>
    <m/>
    <n v="1"/>
    <s v="Unknown"/>
    <s v="Unknown"/>
    <s v="Exterior dense foliage of spruce"/>
    <s v="Top of spruce tree in foliage "/>
    <s v="Spruce"/>
    <s v="Interior"/>
    <s v="Foliage"/>
    <m/>
    <m/>
    <n v="10"/>
    <n v="63.720440000000004"/>
    <n v="148.98979"/>
    <m/>
    <m/>
    <m/>
    <n v="0"/>
    <n v="0"/>
    <n v="0"/>
    <n v="0"/>
    <n v="0"/>
    <n v="0"/>
    <n v="0"/>
    <m/>
    <s v="Caching event suspected B&amp;Ut unconfirmed  Seen by JG"/>
    <m/>
    <m/>
  </r>
  <r>
    <s v="DSCN2018"/>
    <s v="M4R1023_8"/>
    <n v="8"/>
    <n v="1"/>
    <x v="6"/>
    <d v="2018-10-23T00:00:00"/>
    <s v="October"/>
    <s v="Fall"/>
    <d v="1899-12-30T00:32:00"/>
    <d v="1899-12-30T00:00:32"/>
    <x v="122"/>
    <m/>
    <x v="10"/>
    <s v="Foraging"/>
    <s v="NA"/>
    <n v="1"/>
    <m/>
    <n v="0"/>
    <s v="Berry"/>
    <s v="Berry (Blueberry)"/>
    <s v="Ground"/>
    <s v="NA"/>
    <s v="NA"/>
    <s v="NA"/>
    <s v="NA"/>
    <m/>
    <m/>
    <s v="NA"/>
    <s v="NA"/>
    <m/>
    <m/>
    <m/>
    <m/>
    <n v="0"/>
    <n v="0"/>
    <n v="0"/>
    <n v="0"/>
    <n v="6"/>
    <n v="0"/>
    <n v="6"/>
    <m/>
    <m/>
    <m/>
    <m/>
  </r>
  <r>
    <s v="DSCN2019"/>
    <s v="M4R1023_9"/>
    <n v="9"/>
    <n v="1"/>
    <x v="6"/>
    <d v="2018-10-23T00:00:00"/>
    <s v="October"/>
    <s v="Fall"/>
    <d v="1899-12-30T00:06:00"/>
    <d v="1899-12-30T00:00:06"/>
    <x v="122"/>
    <m/>
    <x v="10"/>
    <s v="Foraging"/>
    <s v="NA"/>
    <n v="1"/>
    <m/>
    <n v="0"/>
    <s v="Unknown"/>
    <s v="Unknown"/>
    <s v="Ground"/>
    <s v="NA"/>
    <s v="NA"/>
    <s v="NA"/>
    <s v="NA"/>
    <m/>
    <m/>
    <s v="NA"/>
    <s v="NA"/>
    <m/>
    <m/>
    <m/>
    <m/>
    <n v="0"/>
    <n v="0"/>
    <n v="0"/>
    <n v="0"/>
    <n v="0"/>
    <n v="0"/>
    <n v="0"/>
    <m/>
    <s v="Foraging not captured on video"/>
    <m/>
    <m/>
  </r>
  <r>
    <s v="DSCN2023"/>
    <s v="M4R1023_11"/>
    <n v="11"/>
    <n v="1"/>
    <x v="6"/>
    <d v="2018-10-23T00:00:00"/>
    <s v="October"/>
    <s v="Fall"/>
    <d v="1899-12-30T00:41:00"/>
    <d v="1899-12-30T00:00:41"/>
    <x v="122"/>
    <m/>
    <x v="10"/>
    <s v="Foraging"/>
    <s v="Spruce"/>
    <n v="1"/>
    <m/>
    <n v="0"/>
    <s v="Unknown"/>
    <s v="Unknown"/>
    <s v="Exterior dense foliage of spruce"/>
    <s v="NA"/>
    <s v="NA"/>
    <s v="NA"/>
    <s v="NA"/>
    <m/>
    <m/>
    <s v="NA"/>
    <s v="NA"/>
    <m/>
    <m/>
    <m/>
    <m/>
    <n v="3"/>
    <n v="2"/>
    <n v="0"/>
    <n v="5"/>
    <n v="4"/>
    <n v="0"/>
    <n v="9"/>
    <m/>
    <m/>
    <m/>
    <m/>
  </r>
  <r>
    <s v="DSCN2277"/>
    <s v="M4R1030_1"/>
    <n v="1"/>
    <n v="1"/>
    <x v="6"/>
    <d v="2018-10-30T00:00:00"/>
    <s v="October"/>
    <s v="Fall"/>
    <d v="1899-12-30T00:16:00"/>
    <d v="1899-12-30T00:00:16"/>
    <x v="122"/>
    <s v="Clear"/>
    <x v="10"/>
    <s v="Foraging"/>
    <s v="Spruce"/>
    <n v="0"/>
    <m/>
    <n v="0"/>
    <m/>
    <s v="NA"/>
    <s v="NA"/>
    <s v="NA"/>
    <s v="NA"/>
    <s v="NA"/>
    <s v="NA"/>
    <m/>
    <m/>
    <s v="NA"/>
    <s v="NA"/>
    <m/>
    <m/>
    <m/>
    <m/>
    <n v="0"/>
    <n v="8"/>
    <n v="0"/>
    <n v="8"/>
    <n v="0"/>
    <n v="0"/>
    <n v="8"/>
    <m/>
    <m/>
    <m/>
    <m/>
  </r>
  <r>
    <s v="DSCN1251"/>
    <s v="B&amp;U1003_1"/>
    <n v="1"/>
    <n v="1"/>
    <x v="5"/>
    <d v="2018-10-03T00:00:00"/>
    <s v="October"/>
    <s v="Fall"/>
    <d v="1899-12-30T01:00:00"/>
    <d v="1899-12-30T00:01:00"/>
    <x v="122"/>
    <s v="Full sun"/>
    <x v="11"/>
    <s v="Foraging"/>
    <s v="Spruce"/>
    <n v="1"/>
    <m/>
    <n v="0"/>
    <s v="Unknown"/>
    <s v="Unknown"/>
    <s v="Exterior dense foliage of spruce"/>
    <s v="NA"/>
    <s v="NA"/>
    <s v="NA"/>
    <s v="NA"/>
    <m/>
    <m/>
    <s v="NA"/>
    <s v="NA"/>
    <m/>
    <m/>
    <m/>
    <m/>
    <n v="0"/>
    <n v="13"/>
    <n v="0"/>
    <n v="13"/>
    <n v="0"/>
    <n v="0"/>
    <n v="13"/>
    <s v="Searching"/>
    <s v="No lavendar band as indicated in video. "/>
    <m/>
    <m/>
  </r>
  <r>
    <s v="DSCN1263"/>
    <s v="M4R1005_1"/>
    <n v="1"/>
    <n v="1"/>
    <x v="6"/>
    <d v="2018-10-05T00:00:00"/>
    <s v="October"/>
    <s v="Fall"/>
    <d v="1899-12-30T00:29:00"/>
    <d v="1899-12-30T00:00:29"/>
    <x v="122"/>
    <s v="Overcast"/>
    <x v="11"/>
    <s v="Caching"/>
    <s v="Spruce"/>
    <n v="1"/>
    <m/>
    <n v="1"/>
    <s v="Unknown"/>
    <s v="Unknown"/>
    <s v="Ground"/>
    <s v="Exterior spruce foliage"/>
    <s v="Spruce"/>
    <s v="Exterior"/>
    <s v="Foliage"/>
    <m/>
    <m/>
    <n v="7"/>
    <n v="63.723480000000002"/>
    <n v="148.98240999999999"/>
    <m/>
    <m/>
    <m/>
    <n v="0"/>
    <n v="0"/>
    <n v="0"/>
    <n v="0"/>
    <n v="0"/>
    <n v="0"/>
    <n v="0"/>
    <m/>
    <s v="Suspected B&amp;Ut unconfirmed cache"/>
    <m/>
    <m/>
  </r>
  <r>
    <s v="DSCN1498"/>
    <s v="HS1009_1"/>
    <n v="1"/>
    <n v="1"/>
    <x v="14"/>
    <d v="2018-10-09T00:00:00"/>
    <s v="October"/>
    <s v="Fall"/>
    <d v="1899-12-30T00:07:00"/>
    <d v="1899-12-30T00:00:07"/>
    <x v="122"/>
    <s v="Mostly cloudy"/>
    <x v="11"/>
    <s v="Food handling"/>
    <s v="NA"/>
    <n v="1"/>
    <m/>
    <n v="0"/>
    <s v="Animal flesh"/>
    <s v="Animal flesh"/>
    <s v="unknown"/>
    <s v="NA"/>
    <s v="NA"/>
    <s v="NA"/>
    <s v="NA"/>
    <m/>
    <m/>
    <s v="NA"/>
    <s v="NA"/>
    <m/>
    <m/>
    <m/>
    <m/>
    <n v="0"/>
    <n v="0"/>
    <n v="0"/>
    <n v="0"/>
    <n v="0"/>
    <n v="0"/>
    <n v="0"/>
    <m/>
    <s v="Descriptive video only. "/>
    <m/>
    <m/>
  </r>
  <r>
    <s v="DSCN1520"/>
    <s v="M2371011_4"/>
    <n v="4"/>
    <n v="1"/>
    <x v="9"/>
    <d v="2018-10-11T00:00:00"/>
    <s v="October"/>
    <s v="Fall"/>
    <d v="1899-12-30T00:29:00"/>
    <d v="1899-12-30T00:00:29"/>
    <x v="122"/>
    <s v="Overcast"/>
    <x v="11"/>
    <s v="NA"/>
    <s v="Aspen"/>
    <n v="0"/>
    <m/>
    <n v="1"/>
    <s v="Berry"/>
    <s v="Berry (Soapberry)"/>
    <s v="unknown"/>
    <s v="Under bark of aspen on trunk"/>
    <s v="Aspen"/>
    <s v="Trunk"/>
    <s v="Under bark"/>
    <m/>
    <m/>
    <s v="unknown"/>
    <n v="63.724260000000001"/>
    <n v="148.88929999999999"/>
    <m/>
    <m/>
    <m/>
    <n v="0"/>
    <n v="0"/>
    <n v="0"/>
    <n v="0"/>
    <n v="0"/>
    <n v="0"/>
    <n v="0"/>
    <m/>
    <s v="Caching event not observed.  Cache found incidentally by TG.  Jay spit evident.  "/>
    <m/>
    <m/>
  </r>
  <r>
    <s v="DSCN1558"/>
    <s v="RC1012_2"/>
    <n v="2"/>
    <n v="1"/>
    <x v="10"/>
    <d v="2018-10-12T00:00:00"/>
    <s v="October"/>
    <s v="Fall"/>
    <d v="1899-12-30T00:27:00"/>
    <d v="1899-12-30T00:00:27"/>
    <x v="122"/>
    <s v="Overcast"/>
    <x v="11"/>
    <s v="Caching"/>
    <s v="Spruce"/>
    <n v="0"/>
    <m/>
    <n v="1"/>
    <s v="Unknown"/>
    <s v="Unknown"/>
    <s v="unknown"/>
    <s v="Under bark of spruce trunk "/>
    <s v="Spruce"/>
    <s v="Trunk"/>
    <s v="Under bark"/>
    <m/>
    <m/>
    <s v="unknown"/>
    <n v="63.723970000000001"/>
    <n v="148.94882000000001"/>
    <m/>
    <m/>
    <m/>
    <n v="0"/>
    <n v="0"/>
    <n v="0"/>
    <n v="0"/>
    <n v="0"/>
    <n v="0"/>
    <n v="0"/>
    <m/>
    <m/>
    <m/>
    <m/>
  </r>
  <r>
    <s v="DSCN1561"/>
    <s v="RC1012_4"/>
    <n v="4"/>
    <n v="1"/>
    <x v="10"/>
    <d v="2018-10-12T00:00:00"/>
    <s v="October"/>
    <s v="Fall"/>
    <d v="1899-12-30T00:16:00"/>
    <d v="1899-12-30T00:00:16"/>
    <x v="122"/>
    <s v="Overcast"/>
    <x v="11"/>
    <s v="Foraging/caching"/>
    <s v="Spruce"/>
    <n v="1"/>
    <m/>
    <n v="1"/>
    <s v="Berry"/>
    <s v="Berry"/>
    <s v="Ground"/>
    <s v="Under bark of spruce trunk "/>
    <s v="Spruce"/>
    <s v="Trunk"/>
    <s v="Under bark"/>
    <m/>
    <m/>
    <n v="7"/>
    <n v="63.722360000000002"/>
    <n v="148.94922"/>
    <m/>
    <m/>
    <m/>
    <n v="0"/>
    <n v="0"/>
    <n v="0"/>
    <n v="0"/>
    <n v="5"/>
    <n v="0"/>
    <n v="5"/>
    <m/>
    <s v="Not captured on video by observed by KS"/>
    <m/>
    <m/>
  </r>
  <r>
    <s v="DSCN1577"/>
    <s v="M4R1015_3"/>
    <n v="3"/>
    <n v="1"/>
    <x v="6"/>
    <d v="2018-10-15T00:00:00"/>
    <s v="October"/>
    <s v="Fall"/>
    <d v="1899-12-30T00:04:00"/>
    <d v="1899-12-30T00:00:04"/>
    <x v="122"/>
    <s v="Overcast"/>
    <x v="11"/>
    <s v="Caching"/>
    <s v="Spruce"/>
    <n v="0"/>
    <m/>
    <n v="1"/>
    <s v="Animal flesh"/>
    <s v="Animal flesh (Snowshoe hare)"/>
    <s v="Ground"/>
    <s v="Exterior spruce foliage"/>
    <s v="Spruce"/>
    <s v="Exterior"/>
    <s v="Foliage"/>
    <m/>
    <m/>
    <n v="6"/>
    <n v="63.72184"/>
    <n v="148.98740000000001"/>
    <m/>
    <m/>
    <m/>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578"/>
    <s v="M4R1015_4"/>
    <n v="4"/>
    <n v="1"/>
    <x v="6"/>
    <d v="2018-10-15T00:00:00"/>
    <s v="October"/>
    <s v="Fall"/>
    <d v="1899-12-30T00:06:00"/>
    <d v="1899-12-30T00:00:06"/>
    <x v="122"/>
    <s v="Overcast"/>
    <x v="11"/>
    <s v="Caching"/>
    <s v="Spruce"/>
    <n v="0"/>
    <m/>
    <n v="1"/>
    <s v="Animal flesh"/>
    <s v="Animal flesh (Snowshoe hare)"/>
    <s v="Ground"/>
    <s v="Interior spruce foliage "/>
    <s v="Spruce"/>
    <s v="Interior"/>
    <s v="Foliage"/>
    <m/>
    <m/>
    <n v="22"/>
    <n v="63.721739999999997"/>
    <n v="148.98759000000001"/>
    <m/>
    <m/>
    <m/>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580"/>
    <s v="M4R1015_5"/>
    <n v="5"/>
    <n v="1"/>
    <x v="6"/>
    <d v="2018-10-15T00:00:00"/>
    <s v="October"/>
    <s v="Fall"/>
    <d v="1899-12-30T00:10:00"/>
    <d v="1899-12-30T00:00:10"/>
    <x v="122"/>
    <s v="Overcast"/>
    <x v="11"/>
    <s v="Foraging"/>
    <s v="Spruce"/>
    <n v="1"/>
    <m/>
    <n v="0"/>
    <s v="Animal flesh"/>
    <s v="Animal flesh (Snowshoe hare)"/>
    <s v="Ground"/>
    <s v="NA"/>
    <s v="NA"/>
    <s v="NA"/>
    <s v="NA"/>
    <m/>
    <m/>
    <s v="NA"/>
    <s v="NA"/>
    <m/>
    <m/>
    <m/>
    <m/>
    <n v="0"/>
    <n v="0"/>
    <n v="0"/>
    <n v="0"/>
    <n v="0"/>
    <n v="0"/>
    <n v="0"/>
    <m/>
    <m/>
    <m/>
    <m/>
  </r>
  <r>
    <s v="DSCN1581"/>
    <s v="M4R1015_6"/>
    <n v="6"/>
    <n v="1"/>
    <x v="6"/>
    <d v="2018-10-15T00:00:00"/>
    <s v="October"/>
    <s v="Fall"/>
    <d v="1899-12-30T00:09:00"/>
    <d v="1899-12-30T00:00:09"/>
    <x v="122"/>
    <s v="Overcast"/>
    <x v="11"/>
    <s v="Caching"/>
    <s v="Spruce"/>
    <n v="0"/>
    <m/>
    <n v="1"/>
    <s v="Animal flesh"/>
    <s v="Animal flesh (Snowshoe hare)"/>
    <s v="Ground"/>
    <s v="Exterior spruce foliage"/>
    <s v="Spruce"/>
    <s v="Exterior"/>
    <s v="Foliage"/>
    <m/>
    <m/>
    <n v="7"/>
    <n v="63.721829999999997"/>
    <n v="148.98707999999999"/>
    <m/>
    <m/>
    <m/>
    <n v="0"/>
    <n v="0"/>
    <n v="0"/>
    <n v="0"/>
    <n v="0"/>
    <n v="0"/>
    <n v="0"/>
    <m/>
    <m/>
    <m/>
    <m/>
  </r>
  <r>
    <s v="DSCN1583"/>
    <s v="M4R1015_8"/>
    <n v="8"/>
    <n v="1"/>
    <x v="6"/>
    <d v="2018-10-15T00:00:00"/>
    <s v="October"/>
    <s v="Fall"/>
    <d v="1899-12-30T00:39:00"/>
    <d v="1899-12-30T00:00:39"/>
    <x v="122"/>
    <s v="Overcast"/>
    <x v="11"/>
    <s v="Foraging"/>
    <s v="NA"/>
    <n v="1"/>
    <m/>
    <n v="0"/>
    <s v="Animal flesh"/>
    <s v="Animal flesh (Snowshoe hare)"/>
    <s v="Ground"/>
    <s v="NA"/>
    <s v="NA"/>
    <s v="NA"/>
    <s v="NA"/>
    <m/>
    <m/>
    <s v="NA"/>
    <s v="NA"/>
    <m/>
    <m/>
    <m/>
    <m/>
    <n v="0"/>
    <n v="0"/>
    <n v="0"/>
    <n v="0"/>
    <n v="0"/>
    <n v="0"/>
    <n v="0"/>
    <m/>
    <m/>
    <m/>
    <m/>
  </r>
  <r>
    <s v="DSCN1585"/>
    <s v="M4R1015_9"/>
    <n v="9"/>
    <n v="1"/>
    <x v="6"/>
    <d v="2018-10-15T00:00:00"/>
    <s v="October"/>
    <s v="Fall"/>
    <d v="1899-12-30T00:04:00"/>
    <d v="1899-12-30T00:00:04"/>
    <x v="122"/>
    <s v="Overcast"/>
    <x v="11"/>
    <s v="Caching"/>
    <s v="Spruce"/>
    <n v="0"/>
    <m/>
    <n v="1"/>
    <s v="Animal flesh"/>
    <s v="Animal flesh (Snowshoe hare)"/>
    <s v="Ground"/>
    <s v="Interior spruce foliage "/>
    <s v="Spruce"/>
    <s v="Interior"/>
    <s v="Foliage"/>
    <m/>
    <m/>
    <n v="16"/>
    <n v="63.72195"/>
    <n v="148.98760999999999"/>
    <m/>
    <m/>
    <m/>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590"/>
    <s v="M4R1015_13"/>
    <n v="13"/>
    <n v="1"/>
    <x v="6"/>
    <d v="2018-10-15T00:00:00"/>
    <s v="October"/>
    <s v="Fall"/>
    <d v="1899-12-30T00:37:00"/>
    <d v="1899-12-30T00:00:37"/>
    <x v="122"/>
    <s v="Overcast"/>
    <x v="11"/>
    <s v="Caching"/>
    <s v="Alder"/>
    <n v="0"/>
    <m/>
    <n v="2"/>
    <s v="Animal flesh"/>
    <s v="Animal flesh (Snowshoe hare)"/>
    <s v="Ground"/>
    <s v="Exterior alder branch"/>
    <s v="Alder"/>
    <s v="Exterior"/>
    <s v="Branch"/>
    <m/>
    <m/>
    <n v="25"/>
    <n v="63.722020000000001"/>
    <n v="148.98776000000001"/>
    <m/>
    <m/>
    <m/>
    <n v="0"/>
    <n v="0"/>
    <n v="0"/>
    <n v="0"/>
    <n v="0"/>
    <n v="0"/>
    <n v="0"/>
    <m/>
    <s v="One confirmed cache, one suspected cache. "/>
    <m/>
    <m/>
  </r>
  <r>
    <s v="DSCN1593"/>
    <s v="M4R1015_16"/>
    <n v="16"/>
    <n v="1"/>
    <x v="6"/>
    <d v="2018-10-15T00:00:00"/>
    <s v="October"/>
    <s v="Fall"/>
    <d v="1899-12-30T00:56:00"/>
    <d v="1899-12-30T00:00:56"/>
    <x v="122"/>
    <s v="Overcast"/>
    <x v="11"/>
    <s v="Foraging"/>
    <s v="NA"/>
    <n v="1"/>
    <m/>
    <n v="0"/>
    <s v="Animal flesh"/>
    <s v="Animal flesh (Snowshoe hare)"/>
    <s v="Ground"/>
    <s v="NA"/>
    <s v="NA"/>
    <s v="NA"/>
    <s v="NA"/>
    <m/>
    <m/>
    <s v="NA"/>
    <s v="NA"/>
    <m/>
    <m/>
    <m/>
    <m/>
    <n v="0"/>
    <n v="0"/>
    <n v="0"/>
    <n v="0"/>
    <n v="0"/>
    <n v="0"/>
    <n v="0"/>
    <m/>
    <m/>
    <m/>
    <m/>
  </r>
  <r>
    <s v="DSCN1597"/>
    <s v="M4R1015_20"/>
    <n v="20"/>
    <n v="2"/>
    <x v="6"/>
    <d v="2018-10-15T00:00:00"/>
    <s v="October"/>
    <s v="Fall"/>
    <d v="1899-12-30T00:15:00"/>
    <d v="1899-12-30T00:00:15"/>
    <x v="122"/>
    <s v="Overcast"/>
    <x v="11"/>
    <s v="Caching"/>
    <s v="Spruce"/>
    <n v="0"/>
    <m/>
    <n v="1"/>
    <s v="Animal flesh"/>
    <s v="Animal flesh (Snowshoe hare)"/>
    <s v="Ground"/>
    <s v="Interior spruce foliage "/>
    <s v="Spruce"/>
    <s v="Interior"/>
    <s v="Foliage"/>
    <m/>
    <m/>
    <n v="8"/>
    <n v="63.72184"/>
    <n v="148.98740000000001"/>
    <m/>
    <m/>
    <m/>
    <n v="0"/>
    <n v="0"/>
    <n v="0"/>
    <n v="0"/>
    <n v="0"/>
    <n v="0"/>
    <n v="0"/>
    <m/>
    <s v="First cache is confirmed.  Second cache: Followed bird from hare to tree.  Observation os cache wasn't caught on video and was obstructed from view due to delay in catching up with the bird.  B&amp;Ut given the behavior and location upon our arrival, we felt confident marking the tree. "/>
    <m/>
    <m/>
  </r>
  <r>
    <s v="DSCN1598"/>
    <s v="M4R1015_21"/>
    <n v="21"/>
    <n v="1"/>
    <x v="6"/>
    <d v="2018-10-15T00:00:00"/>
    <s v="October"/>
    <s v="Fall"/>
    <d v="1899-12-30T00:58:00"/>
    <d v="1899-12-30T00:00:58"/>
    <x v="122"/>
    <s v="Overcast"/>
    <x v="11"/>
    <s v="Foraging"/>
    <s v="NA"/>
    <n v="1"/>
    <m/>
    <n v="0"/>
    <s v="Animal flesh"/>
    <s v="Animal flesh (Snowshoe hare)"/>
    <s v="Ground"/>
    <s v="NA"/>
    <s v="NA"/>
    <s v="NA"/>
    <s v="NA"/>
    <m/>
    <m/>
    <s v="NA"/>
    <s v="NA"/>
    <m/>
    <m/>
    <m/>
    <m/>
    <n v="0"/>
    <n v="0"/>
    <n v="0"/>
    <n v="0"/>
    <n v="0"/>
    <n v="0"/>
    <n v="0"/>
    <m/>
    <m/>
    <m/>
    <m/>
  </r>
  <r>
    <s v="DSCN1602"/>
    <s v="M4R1015_23"/>
    <n v="23"/>
    <n v="1"/>
    <x v="6"/>
    <d v="2018-10-15T00:00:00"/>
    <s v="October"/>
    <s v="Fall"/>
    <d v="1899-12-30T00:24:00"/>
    <d v="1899-12-30T00:00:24"/>
    <x v="122"/>
    <s v="Overcast"/>
    <x v="11"/>
    <s v="Caching"/>
    <s v="Spruce"/>
    <n v="0"/>
    <m/>
    <n v="1"/>
    <s v="Animal flesh"/>
    <s v="Animal flesh (Snowshoe hare)"/>
    <s v="Ground"/>
    <s v="Exterior spruce foliage"/>
    <s v="Spruce"/>
    <s v="Exterior"/>
    <s v="Foliage"/>
    <m/>
    <m/>
    <n v="10"/>
    <n v="63.721899999999998"/>
    <n v="148.98749000000001"/>
    <m/>
    <m/>
    <m/>
    <n v="0"/>
    <n v="0"/>
    <n v="0"/>
    <n v="0"/>
    <n v="0"/>
    <n v="0"/>
    <n v="0"/>
    <m/>
    <m/>
    <m/>
    <m/>
  </r>
  <r>
    <s v="DSCN1606"/>
    <s v="M4R1015_26"/>
    <n v="26"/>
    <n v="1"/>
    <x v="6"/>
    <d v="2018-10-15T00:00:00"/>
    <s v="October"/>
    <s v="Fall"/>
    <d v="1899-12-30T02:06:00"/>
    <d v="1899-12-30T00:02:06"/>
    <x v="122"/>
    <s v="Overcast"/>
    <x v="11"/>
    <s v="Caching"/>
    <s v="Spruce"/>
    <n v="0"/>
    <m/>
    <n v="1"/>
    <s v="Animal flesh"/>
    <s v="Animal flesh (Snowshoe hare)"/>
    <s v="Ground"/>
    <s v="Exterior spruce foliage"/>
    <s v="Spruce"/>
    <s v="Exterior"/>
    <s v="Foliage"/>
    <m/>
    <m/>
    <n v="60"/>
    <n v="63.72137"/>
    <n v="148.98742999999999"/>
    <m/>
    <m/>
    <m/>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624"/>
    <s v="M4R1015_28"/>
    <n v="28"/>
    <n v="1"/>
    <x v="6"/>
    <d v="2018-10-15T00:00:00"/>
    <s v="October"/>
    <s v="Fall"/>
    <d v="1899-12-30T00:17:00"/>
    <d v="1899-12-30T00:00:17"/>
    <x v="122"/>
    <s v="Overcast"/>
    <x v="11"/>
    <s v="Caching"/>
    <s v="Spruce"/>
    <n v="0"/>
    <m/>
    <n v="1"/>
    <s v="Animal flesh"/>
    <s v="Animal flesh (Snowshoe hare)"/>
    <s v="Ground"/>
    <s v="Exterior spruce foliage"/>
    <s v="Spruce"/>
    <s v="Exterior"/>
    <s v="Foliage"/>
    <m/>
    <m/>
    <n v="37"/>
    <n v="63.721769999999999"/>
    <n v="148.98671999999999"/>
    <m/>
    <m/>
    <m/>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734"/>
    <s v="M4R1015_56"/>
    <n v="56"/>
    <n v="1"/>
    <x v="6"/>
    <d v="2018-10-15T00:00:00"/>
    <s v="October"/>
    <s v="Fall"/>
    <d v="1899-12-30T00:21:00"/>
    <d v="1899-12-30T00:00:21"/>
    <x v="122"/>
    <s v="Overcast"/>
    <x v="11"/>
    <m/>
    <s v="NA"/>
    <n v="0"/>
    <m/>
    <n v="1"/>
    <s v="Berry"/>
    <s v="Berry (Blueberry)"/>
    <s v="Ground"/>
    <s v="Exterior spruce foliage"/>
    <s v="Spruce"/>
    <s v="Exterior"/>
    <s v="Foliage"/>
    <m/>
    <m/>
    <s v="unknown"/>
    <n v="63.721649999999997"/>
    <n v="148.98887999999999"/>
    <m/>
    <m/>
    <m/>
    <n v="0"/>
    <n v="0"/>
    <n v="0"/>
    <n v="0"/>
    <n v="0"/>
    <n v="0"/>
    <n v="0"/>
    <m/>
    <s v="Incidental cache.  Found byt acident.  Berry in good condition B&amp;Ut spit dry.  "/>
    <m/>
    <m/>
  </r>
  <r>
    <s v="DSCN1796"/>
    <s v="M2371016_10"/>
    <n v="10"/>
    <n v="1"/>
    <x v="9"/>
    <d v="2018-10-16T00:00:00"/>
    <s v="October"/>
    <s v="Fall"/>
    <d v="1899-12-30T00:22:00"/>
    <d v="1899-12-30T00:00:22"/>
    <x v="122"/>
    <s v="Overcast"/>
    <x v="11"/>
    <m/>
    <s v="Willow"/>
    <n v="0"/>
    <m/>
    <n v="1"/>
    <s v="Berry"/>
    <s v="Berry (Cranberry)"/>
    <s v="Ground"/>
    <s v="Under bark of small willos shrub"/>
    <s v="Willow"/>
    <s v="Exterior"/>
    <s v="Under bark"/>
    <m/>
    <m/>
    <s v="unknown"/>
    <n v="63.723840000000003"/>
    <n v="148.88453999999999"/>
    <m/>
    <m/>
    <m/>
    <n v="0"/>
    <n v="0"/>
    <n v="0"/>
    <n v="0"/>
    <n v="0"/>
    <n v="0"/>
    <n v="0"/>
    <m/>
    <s v="Incidental find.  Spotted by DL while following birds.  Obvous jay spit based on location an visible dried saliva.  "/>
    <m/>
    <m/>
  </r>
  <r>
    <s v="DSCN1832"/>
    <s v="B&amp;U1017_3"/>
    <n v="3"/>
    <n v="1"/>
    <x v="5"/>
    <d v="2018-10-17T00:00:00"/>
    <s v="October"/>
    <s v="Fall"/>
    <d v="1899-12-30T00:23:00"/>
    <d v="1899-12-30T00:00:23"/>
    <x v="122"/>
    <s v="Overcast"/>
    <x v="11"/>
    <s v="Caching"/>
    <s v="Spruce"/>
    <n v="0"/>
    <m/>
    <n v="1"/>
    <s v="Unknown"/>
    <s v="Unknown"/>
    <s v="unknown"/>
    <s v="Exterior spruce branch under bark/witch hair"/>
    <s v="Spruce"/>
    <s v="Exterior"/>
    <s v="Under bark and witch hair "/>
    <m/>
    <m/>
    <s v="unknown"/>
    <n v="63.724910000000001"/>
    <n v="148.96313000000001"/>
    <m/>
    <m/>
    <m/>
    <n v="0"/>
    <n v="0"/>
    <n v="0"/>
    <n v="0"/>
    <n v="0"/>
    <n v="0"/>
    <n v="0"/>
    <m/>
    <m/>
    <m/>
    <m/>
  </r>
  <r>
    <s v="DSCN1833"/>
    <s v="B&amp;U1017_4"/>
    <n v="4"/>
    <n v="1"/>
    <x v="5"/>
    <d v="2018-10-17T00:00:00"/>
    <s v="October"/>
    <s v="Fall"/>
    <d v="1899-12-30T00:06:00"/>
    <d v="1899-12-30T00:00:06"/>
    <x v="122"/>
    <s v="Overcast"/>
    <x v="11"/>
    <s v="Foraging"/>
    <s v="NA"/>
    <n v="1"/>
    <m/>
    <n v="0"/>
    <s v="Unknown"/>
    <s v="Unknown"/>
    <s v="Ground"/>
    <s v="NA"/>
    <s v="NA"/>
    <s v="NA"/>
    <s v="NA"/>
    <m/>
    <m/>
    <s v="NA"/>
    <s v="NA"/>
    <m/>
    <m/>
    <m/>
    <m/>
    <n v="0"/>
    <n v="0"/>
    <n v="0"/>
    <n v="0"/>
    <n v="0"/>
    <n v="0"/>
    <n v="0"/>
    <m/>
    <s v="Missed foraging session. "/>
    <m/>
    <m/>
  </r>
  <r>
    <s v="DSCN1835"/>
    <s v="B&amp;U1017_5"/>
    <n v="5"/>
    <n v="1"/>
    <x v="5"/>
    <d v="2018-10-17T00:00:00"/>
    <s v="October"/>
    <s v="Fall"/>
    <d v="1899-12-30T00:11:00"/>
    <d v="1899-12-30T00:00:11"/>
    <x v="122"/>
    <s v="Overcast"/>
    <x v="11"/>
    <s v="Foraging"/>
    <s v="NA"/>
    <n v="1"/>
    <m/>
    <n v="0"/>
    <s v="Unknown"/>
    <s v="Unknown"/>
    <s v="Ground"/>
    <s v="NA"/>
    <s v="NA"/>
    <s v="NA"/>
    <s v="NA"/>
    <m/>
    <m/>
    <s v="NA"/>
    <s v="NA"/>
    <m/>
    <m/>
    <m/>
    <m/>
    <n v="0"/>
    <n v="0"/>
    <n v="0"/>
    <n v="0"/>
    <n v="5"/>
    <n v="0"/>
    <n v="5"/>
    <m/>
    <m/>
    <m/>
    <m/>
  </r>
  <r>
    <s v="DSCN1881"/>
    <s v="M4R1018_1"/>
    <n v="1"/>
    <n v="1"/>
    <x v="6"/>
    <d v="2018-10-18T00:00:00"/>
    <s v="October"/>
    <s v="Fall"/>
    <d v="1899-12-30T00:12:00"/>
    <d v="1899-12-30T00:00:12"/>
    <x v="122"/>
    <s v="Overcast"/>
    <x v="11"/>
    <s v="Foraging"/>
    <s v="NA"/>
    <s v="unknown"/>
    <m/>
    <n v="0"/>
    <s v="Unknown"/>
    <s v="Unknown"/>
    <s v="NA"/>
    <s v="NA"/>
    <s v="NA"/>
    <s v="NA"/>
    <s v="NA"/>
    <m/>
    <m/>
    <s v="NA"/>
    <s v="NA"/>
    <m/>
    <m/>
    <m/>
    <m/>
    <n v="0"/>
    <n v="0"/>
    <n v="0"/>
    <n v="0"/>
    <n v="11"/>
    <n v="0"/>
    <n v="11"/>
    <m/>
    <m/>
    <m/>
    <m/>
  </r>
  <r>
    <s v="DSCN1983"/>
    <s v="AQ1018_1"/>
    <n v="1"/>
    <n v="1"/>
    <x v="7"/>
    <d v="2018-10-18T00:00:00"/>
    <s v="October"/>
    <s v="Fall"/>
    <d v="1899-12-30T00:18:00"/>
    <d v="1899-12-30T00:00:18"/>
    <x v="122"/>
    <s v="Overcast"/>
    <x v="11"/>
    <m/>
    <s v="Spruce"/>
    <n v="0"/>
    <m/>
    <n v="1"/>
    <s v="Berry"/>
    <s v="Berry (Blueberry)"/>
    <s v="unknown"/>
    <s v="Exterior spruce foliage"/>
    <s v="Spruce"/>
    <s v="Exterior"/>
    <s v="Foliage"/>
    <m/>
    <m/>
    <s v="unknown"/>
    <n v="63.723109999999998"/>
    <n v="148.96836999999999"/>
    <m/>
    <m/>
    <m/>
    <n v="0"/>
    <n v="0"/>
    <n v="0"/>
    <n v="0"/>
    <n v="0"/>
    <n v="0"/>
    <n v="0"/>
    <m/>
    <s v="Incidental cache find.  Discovered while looking for a different cache.  Two blueberries shoved in needles of spruce.  Sticky saliva evident, they were glued in place! "/>
    <m/>
    <m/>
  </r>
  <r>
    <s v="DSCN1998"/>
    <s v="M4R1023_2"/>
    <n v="2"/>
    <n v="1"/>
    <x v="6"/>
    <d v="2018-10-23T00:00:00"/>
    <s v="October"/>
    <s v="Fall"/>
    <d v="1899-12-30T00:13:00"/>
    <d v="1899-12-30T00:00:13"/>
    <x v="122"/>
    <m/>
    <x v="11"/>
    <s v="Foraging"/>
    <s v="NA"/>
    <s v="unknown"/>
    <m/>
    <n v="0"/>
    <s v="Unknown"/>
    <s v="Unknown"/>
    <s v="NA"/>
    <s v="NA"/>
    <s v="NA"/>
    <s v="NA"/>
    <s v="NA"/>
    <m/>
    <m/>
    <s v="NA"/>
    <s v="NA"/>
    <m/>
    <m/>
    <m/>
    <m/>
    <n v="0"/>
    <n v="0"/>
    <n v="0"/>
    <n v="0"/>
    <n v="11"/>
    <n v="0"/>
    <n v="11"/>
    <m/>
    <m/>
    <m/>
    <m/>
  </r>
  <r>
    <s v="DSCN2002"/>
    <s v="M4R1023_3"/>
    <n v="3"/>
    <n v="1"/>
    <x v="6"/>
    <d v="2018-10-23T00:00:00"/>
    <s v="October"/>
    <s v="Fall"/>
    <d v="1899-12-30T00:32:00"/>
    <d v="1899-12-30T00:00:32"/>
    <x v="122"/>
    <m/>
    <x v="11"/>
    <s v="Foraging"/>
    <s v="NA"/>
    <n v="1"/>
    <m/>
    <n v="0"/>
    <s v="Berry"/>
    <s v="Berry (Blueberry)"/>
    <s v="Ground"/>
    <s v="NA"/>
    <s v="NA"/>
    <s v="NA"/>
    <s v="NA"/>
    <m/>
    <m/>
    <s v="NA"/>
    <s v="NA"/>
    <m/>
    <m/>
    <m/>
    <m/>
    <n v="0"/>
    <n v="0"/>
    <n v="0"/>
    <n v="0"/>
    <n v="32"/>
    <n v="0"/>
    <n v="32"/>
    <m/>
    <m/>
    <m/>
    <m/>
  </r>
  <r>
    <s v="DSCN2003"/>
    <s v="M4R1023_4"/>
    <n v="4"/>
    <n v="1"/>
    <x v="6"/>
    <d v="2018-10-23T00:00:00"/>
    <s v="October"/>
    <s v="Fall"/>
    <d v="1899-12-30T00:07:00"/>
    <d v="1899-12-30T00:00:07"/>
    <x v="122"/>
    <m/>
    <x v="11"/>
    <s v="Foraging"/>
    <s v="NA"/>
    <n v="1"/>
    <m/>
    <n v="0"/>
    <s v="Unknown"/>
    <s v="Unknown"/>
    <s v="Ground"/>
    <s v="NA"/>
    <s v="NA"/>
    <s v="NA"/>
    <s v="NA"/>
    <m/>
    <m/>
    <s v="NA"/>
    <s v="NA"/>
    <m/>
    <m/>
    <m/>
    <m/>
    <n v="0"/>
    <n v="0"/>
    <n v="0"/>
    <n v="0"/>
    <n v="7"/>
    <n v="0"/>
    <n v="7"/>
    <m/>
    <s v="Possible food aqcusitions "/>
    <m/>
    <m/>
  </r>
  <r>
    <s v="DSCN2004"/>
    <s v="M4R1023_5"/>
    <n v="5"/>
    <n v="1"/>
    <x v="6"/>
    <d v="2018-10-23T00:00:00"/>
    <s v="October"/>
    <s v="Fall"/>
    <d v="1899-12-30T00:28:00"/>
    <d v="1899-12-30T00:00:28"/>
    <x v="122"/>
    <m/>
    <x v="11"/>
    <s v="Unknown"/>
    <s v="NA"/>
    <n v="0"/>
    <m/>
    <n v="0"/>
    <s v="Berry"/>
    <s v="Berry (Blueberry)"/>
    <s v="unknown"/>
    <s v="Exterior spruce foliage"/>
    <s v="NA"/>
    <s v="NA"/>
    <s v="NA"/>
    <m/>
    <m/>
    <s v="unknown"/>
    <n v="63.719949999999997"/>
    <n v="148.99030999999999"/>
    <m/>
    <m/>
    <m/>
    <n v="0"/>
    <n v="0"/>
    <n v="0"/>
    <n v="0"/>
    <n v="18"/>
    <n v="0"/>
    <n v="18"/>
    <m/>
    <s v="Checked tree. No cache evident, B&amp;Ut found indicental older cache of blueberries so we marked anyway.  "/>
    <m/>
    <m/>
  </r>
  <r>
    <s v="DSCN2021"/>
    <s v="M4R1023_10"/>
    <n v="10"/>
    <n v="1"/>
    <x v="6"/>
    <d v="2018-10-23T00:00:00"/>
    <s v="October"/>
    <s v="Fall"/>
    <d v="1899-12-30T00:33:00"/>
    <d v="1899-12-30T00:00:33"/>
    <x v="122"/>
    <m/>
    <x v="11"/>
    <s v="Foraging"/>
    <s v="NA"/>
    <n v="2"/>
    <m/>
    <n v="0"/>
    <s v="Berry"/>
    <s v="Berry"/>
    <s v="Ground"/>
    <s v="NA"/>
    <s v="NA"/>
    <s v="NA"/>
    <s v="NA"/>
    <m/>
    <m/>
    <s v="NA"/>
    <s v="NA"/>
    <m/>
    <m/>
    <m/>
    <m/>
    <n v="0"/>
    <n v="0"/>
    <n v="0"/>
    <n v="0"/>
    <n v="13"/>
    <n v="0"/>
    <n v="13"/>
    <m/>
    <s v="Did not see cache in tree so did not mark. "/>
    <m/>
    <m/>
  </r>
  <r>
    <s v="DSCN21"/>
    <s v="M4R1026_1"/>
    <n v="1"/>
    <n v="1"/>
    <x v="6"/>
    <d v="2018-10-26T00:00:00"/>
    <s v="October"/>
    <s v="Fall"/>
    <d v="1899-12-30T00:26:00"/>
    <d v="1899-12-30T00:00:26"/>
    <x v="122"/>
    <m/>
    <x v="11"/>
    <s v="Caching"/>
    <s v="Spruce"/>
    <n v="0"/>
    <m/>
    <n v="1"/>
    <s v="Berry"/>
    <s v="Berry (Blueberry)"/>
    <s v="unknown"/>
    <s v="Exterior spruce foliage"/>
    <s v="Spruce"/>
    <s v="Exterior"/>
    <s v="Foliage"/>
    <m/>
    <m/>
    <s v="unknown"/>
    <n v="63.719990000000003"/>
    <n v="148.98468"/>
    <m/>
    <m/>
    <m/>
    <n v="0"/>
    <n v="0"/>
    <n v="0"/>
    <n v="0"/>
    <n v="0"/>
    <n v="0"/>
    <n v="0"/>
    <m/>
    <s v="INCIDENTAL FIND"/>
    <m/>
    <m/>
  </r>
  <r>
    <s v="DSCN2118"/>
    <s v="RC1024_14"/>
    <n v="14"/>
    <n v="1"/>
    <x v="10"/>
    <d v="2018-10-24T00:00:00"/>
    <s v="October"/>
    <s v="Fall"/>
    <d v="1899-12-30T00:09:00"/>
    <d v="1899-12-30T00:00:09"/>
    <x v="122"/>
    <m/>
    <x v="11"/>
    <s v="Foraging"/>
    <s v="Spruce"/>
    <n v="1"/>
    <m/>
    <n v="0"/>
    <s v="Unknown"/>
    <s v="Unknown"/>
    <s v="Interior spruce"/>
    <s v="NA"/>
    <s v="NA"/>
    <s v="NA"/>
    <s v="NA"/>
    <m/>
    <m/>
    <s v="NA"/>
    <s v="NA"/>
    <m/>
    <m/>
    <m/>
    <m/>
    <n v="0"/>
    <n v="0"/>
    <n v="0"/>
    <n v="0"/>
    <n v="0"/>
    <n v="0"/>
    <n v="0"/>
    <m/>
    <s v="Video started after food acqusition"/>
    <m/>
    <m/>
  </r>
  <r>
    <s v="DSCN2124"/>
    <s v="RC1024_15"/>
    <n v="15"/>
    <n v="1"/>
    <x v="10"/>
    <d v="2018-10-24T00:00:00"/>
    <s v="October"/>
    <s v="Fall"/>
    <d v="1899-12-30T00:23:00"/>
    <d v="1899-12-30T00:00:23"/>
    <x v="122"/>
    <m/>
    <x v="11"/>
    <s v="Foraging"/>
    <s v="Spruce"/>
    <n v="0"/>
    <m/>
    <n v="0"/>
    <s v="Unknown"/>
    <s v="Unknown"/>
    <s v="unknown"/>
    <s v="NA"/>
    <s v="NA"/>
    <s v="NA"/>
    <s v="NA"/>
    <m/>
    <m/>
    <s v="NA"/>
    <s v="NA"/>
    <m/>
    <m/>
    <m/>
    <m/>
    <n v="21"/>
    <n v="0"/>
    <n v="21"/>
    <n v="0"/>
    <n v="0"/>
    <n v="0"/>
    <n v="21"/>
    <m/>
    <s v="Video started after food acqusition, B&amp;Ut then continued to forage"/>
    <m/>
    <m/>
  </r>
  <r>
    <s v="DSCN2129"/>
    <s v="RC1024_17"/>
    <n v="17"/>
    <n v="1"/>
    <x v="10"/>
    <d v="2018-10-24T00:00:00"/>
    <s v="October"/>
    <s v="Fall"/>
    <d v="1899-12-30T00:27:00"/>
    <d v="1899-12-30T00:00:27"/>
    <x v="122"/>
    <m/>
    <x v="11"/>
    <s v="Foraging"/>
    <s v="Spruce"/>
    <s v="unknown"/>
    <m/>
    <n v="0"/>
    <m/>
    <s v="NA"/>
    <s v="NA"/>
    <s v="NA"/>
    <s v="NA"/>
    <s v="NA"/>
    <s v="NA"/>
    <m/>
    <m/>
    <s v="NA"/>
    <s v="NA"/>
    <m/>
    <m/>
    <m/>
    <m/>
    <n v="27"/>
    <n v="0"/>
    <n v="0"/>
    <n v="27"/>
    <n v="0"/>
    <n v="0"/>
    <n v="27"/>
    <m/>
    <m/>
    <m/>
    <m/>
  </r>
  <r>
    <s v="DSCN2311"/>
    <s v="RC1031_2"/>
    <n v="2"/>
    <n v="1"/>
    <x v="10"/>
    <d v="2018-10-31T00:00:00"/>
    <s v="October"/>
    <s v="Fall"/>
    <d v="1899-12-30T00:17:00"/>
    <d v="1899-12-30T00:00:17"/>
    <x v="122"/>
    <s v="Partly cloudy"/>
    <x v="11"/>
    <s v="Foraging"/>
    <s v="NA"/>
    <n v="1"/>
    <m/>
    <n v="0"/>
    <s v="Unknown"/>
    <s v="Unknown"/>
    <s v="Ground"/>
    <s v="NA"/>
    <s v="NA"/>
    <s v="NA"/>
    <s v="NA"/>
    <m/>
    <m/>
    <s v="NA"/>
    <s v="NA"/>
    <m/>
    <m/>
    <m/>
    <m/>
    <n v="0"/>
    <n v="0"/>
    <n v="0"/>
    <n v="0"/>
    <n v="17"/>
    <n v="0"/>
    <n v="17"/>
    <m/>
    <m/>
    <m/>
    <m/>
  </r>
  <r>
    <s v="DSCN2319"/>
    <s v="RC1031_4"/>
    <n v="4"/>
    <n v="1"/>
    <x v="10"/>
    <d v="2018-10-31T00:00:00"/>
    <s v="October"/>
    <s v="Fall"/>
    <d v="1899-12-30T00:10:00"/>
    <d v="1899-12-30T00:00:10"/>
    <x v="122"/>
    <s v="Partly cloudy"/>
    <x v="11"/>
    <s v="Foraging"/>
    <s v="Spruce"/>
    <n v="0"/>
    <m/>
    <n v="0"/>
    <m/>
    <s v="NA"/>
    <s v="NA"/>
    <s v="NA"/>
    <s v="NA"/>
    <s v="NA"/>
    <s v="NA"/>
    <m/>
    <m/>
    <s v="NA"/>
    <s v="NA"/>
    <m/>
    <m/>
    <m/>
    <m/>
    <n v="0"/>
    <n v="8"/>
    <n v="0"/>
    <n v="8"/>
    <n v="0"/>
    <n v="0"/>
    <n v="8"/>
    <m/>
    <m/>
    <m/>
    <m/>
  </r>
  <r>
    <s v="DSCN2329"/>
    <s v="RC1031_9"/>
    <n v="9"/>
    <n v="1"/>
    <x v="10"/>
    <d v="2018-10-31T00:00:00"/>
    <s v="October"/>
    <s v="Fall"/>
    <d v="1899-12-30T00:32:00"/>
    <d v="1899-12-30T00:00:32"/>
    <x v="122"/>
    <s v="Partly cloudy"/>
    <x v="11"/>
    <s v="Foraging"/>
    <s v="Spruce"/>
    <s v="unknown"/>
    <m/>
    <n v="0"/>
    <s v="Unknown"/>
    <s v="Unknown"/>
    <s v="NA"/>
    <s v="NA"/>
    <s v="NA"/>
    <s v="NA"/>
    <s v="NA"/>
    <m/>
    <m/>
    <s v="NA"/>
    <s v="NA"/>
    <m/>
    <m/>
    <m/>
    <m/>
    <n v="11"/>
    <n v="0"/>
    <n v="11"/>
    <n v="0"/>
    <n v="0"/>
    <n v="0"/>
    <n v="11"/>
    <s v="Probing"/>
    <m/>
    <n v="3"/>
    <n v="0"/>
  </r>
  <r>
    <s v="DSCN2330"/>
    <s v="RC1031_10"/>
    <n v="10"/>
    <n v="1"/>
    <x v="10"/>
    <d v="2018-10-31T00:00:00"/>
    <s v="October"/>
    <s v="Fall"/>
    <d v="1899-12-30T00:13:00"/>
    <d v="1899-12-30T00:00:13"/>
    <x v="122"/>
    <s v="Partly cloudy"/>
    <x v="11"/>
    <s v="Foraging"/>
    <s v="Spruce"/>
    <s v="unknown"/>
    <m/>
    <s v="Unknown"/>
    <s v="Unknown"/>
    <s v="Unknown"/>
    <s v="NA"/>
    <s v="NA"/>
    <m/>
    <m/>
    <m/>
    <m/>
    <m/>
    <s v="NA"/>
    <s v="NA"/>
    <m/>
    <m/>
    <m/>
    <m/>
    <n v="11"/>
    <n v="0"/>
    <n v="0"/>
    <n v="11"/>
    <n v="0"/>
    <n v="0"/>
    <n v="11"/>
    <s v="Gleaning"/>
    <m/>
    <n v="0"/>
    <n v="2"/>
  </r>
  <r>
    <s v="DSCN2339"/>
    <s v="TC1031_2"/>
    <n v="2"/>
    <n v="1"/>
    <x v="16"/>
    <d v="2018-10-31T00:00:00"/>
    <s v="October"/>
    <s v="Fall"/>
    <d v="1899-12-30T00:33:00"/>
    <d v="1899-12-30T00:00:33"/>
    <x v="122"/>
    <s v="Partly cloudy, snowing"/>
    <x v="11"/>
    <s v="Foraging"/>
    <s v="Spruce"/>
    <s v="unknown"/>
    <m/>
    <s v="Unknown"/>
    <s v="Unknown"/>
    <s v="Unknown"/>
    <s v="NA"/>
    <s v="NA"/>
    <m/>
    <m/>
    <m/>
    <m/>
    <m/>
    <s v="NA"/>
    <s v="NA"/>
    <m/>
    <m/>
    <m/>
    <m/>
    <n v="0"/>
    <n v="22"/>
    <n v="22"/>
    <n v="0"/>
    <n v="0"/>
    <n v="0"/>
    <n v="22"/>
    <m/>
    <m/>
    <m/>
    <m/>
  </r>
  <r>
    <s v="DSCN2367"/>
    <s v="TC1031_15"/>
    <n v="15"/>
    <n v="1"/>
    <x v="16"/>
    <d v="2018-10-31T00:00:00"/>
    <s v="October"/>
    <s v="Fall"/>
    <d v="1899-12-30T00:21:00"/>
    <d v="1899-12-30T00:00:21"/>
    <x v="122"/>
    <s v="Partly cloudy, snowing"/>
    <x v="11"/>
    <s v="Foraging"/>
    <s v="Spruce"/>
    <s v="unknown"/>
    <m/>
    <s v="Unknown"/>
    <s v="Unknown"/>
    <s v="Unknown"/>
    <s v="NA"/>
    <s v="NA"/>
    <m/>
    <m/>
    <m/>
    <m/>
    <m/>
    <s v="NA"/>
    <s v="NA"/>
    <m/>
    <m/>
    <m/>
    <m/>
    <n v="0"/>
    <n v="21"/>
    <n v="21"/>
    <n v="0"/>
    <n v="0"/>
    <n v="0"/>
    <n v="21"/>
    <m/>
    <s v="Unsure if really from TC"/>
    <m/>
    <m/>
  </r>
  <r>
    <s v="Dscn2338"/>
    <s v="TC1031_1"/>
    <n v="1"/>
    <n v="1"/>
    <x v="16"/>
    <d v="2018-10-31T00:00:00"/>
    <s v="October"/>
    <s v="Fall"/>
    <d v="1899-12-30T00:48:00"/>
    <d v="1899-12-30T00:00:48"/>
    <x v="122"/>
    <s v="Partly cloudy, snowing"/>
    <x v="39"/>
    <s v="Foraging"/>
    <s v="Spruce"/>
    <n v="1"/>
    <m/>
    <n v="0"/>
    <s v="Berry"/>
    <s v="Berry"/>
    <s v="Ground"/>
    <s v="NA"/>
    <s v="NA"/>
    <s v="NA"/>
    <s v="NA"/>
    <m/>
    <m/>
    <s v="NA"/>
    <s v="NA"/>
    <m/>
    <m/>
    <m/>
    <m/>
    <n v="12"/>
    <n v="0"/>
    <n v="12"/>
    <n v="0"/>
    <n v="0"/>
    <n v="0"/>
    <n v="12"/>
    <m/>
    <s v="Missed foraging event on the ground. "/>
    <m/>
    <m/>
  </r>
  <r>
    <s v="DSCN1337"/>
    <s v="M4R1005_6"/>
    <n v="6"/>
    <n v="1"/>
    <x v="6"/>
    <d v="2018-10-05T00:00:00"/>
    <s v="October"/>
    <s v="Fall"/>
    <d v="1899-12-30T00:51:00"/>
    <d v="1899-12-30T00:00:51"/>
    <x v="122"/>
    <s v="Overcast"/>
    <x v="12"/>
    <s v="Foraging"/>
    <s v="NA"/>
    <n v="1"/>
    <m/>
    <n v="0"/>
    <s v="Unknown"/>
    <s v="Unknown"/>
    <s v="Ground"/>
    <s v="NA"/>
    <s v="NA"/>
    <s v="NA"/>
    <s v="NA"/>
    <m/>
    <m/>
    <s v="NA"/>
    <s v="NA"/>
    <m/>
    <m/>
    <m/>
    <m/>
    <n v="0"/>
    <n v="0"/>
    <n v="0"/>
    <n v="0"/>
    <n v="26"/>
    <n v="0"/>
    <n v="26"/>
    <m/>
    <m/>
    <m/>
    <m/>
  </r>
  <r>
    <s v="DSCN1398"/>
    <s v="M4R1008_1"/>
    <n v="1"/>
    <n v="1"/>
    <x v="6"/>
    <d v="2018-10-08T00:00:00"/>
    <s v="October"/>
    <s v="Fall"/>
    <d v="1899-12-30T00:23:00"/>
    <d v="1899-12-30T00:00:23"/>
    <x v="122"/>
    <s v="Partly cloudy, light snow"/>
    <x v="12"/>
    <s v="Foraging"/>
    <s v="NA"/>
    <n v="2"/>
    <m/>
    <n v="0"/>
    <s v="Unknown"/>
    <s v="Unknown"/>
    <s v="Ground"/>
    <s v="NA"/>
    <s v="NA"/>
    <s v="NA"/>
    <s v="NA"/>
    <m/>
    <m/>
    <s v="NA"/>
    <s v="NA"/>
    <m/>
    <m/>
    <m/>
    <m/>
    <n v="0"/>
    <n v="0"/>
    <n v="0"/>
    <n v="0"/>
    <n v="20"/>
    <n v="0"/>
    <n v="20"/>
    <m/>
    <m/>
    <m/>
    <m/>
  </r>
  <r>
    <s v="DSCN1399"/>
    <s v="M4R1008_2"/>
    <n v="2"/>
    <n v="1"/>
    <x v="6"/>
    <d v="2018-10-08T00:00:00"/>
    <s v="October"/>
    <s v="Fall"/>
    <d v="1899-12-30T00:23:00"/>
    <d v="1899-12-30T00:00:23"/>
    <x v="122"/>
    <s v="Partly cloudy"/>
    <x v="12"/>
    <s v="Foraging"/>
    <s v="NA"/>
    <n v="1"/>
    <m/>
    <n v="0"/>
    <s v="Berry"/>
    <s v="Berry (Blueberry)"/>
    <s v="Ground"/>
    <s v="NA"/>
    <s v="NA"/>
    <s v="NA"/>
    <s v="NA"/>
    <m/>
    <m/>
    <s v="NA"/>
    <s v="NA"/>
    <m/>
    <m/>
    <m/>
    <m/>
    <n v="0"/>
    <n v="0"/>
    <n v="0"/>
    <n v="0"/>
    <n v="0"/>
    <n v="0"/>
    <n v="0"/>
    <m/>
    <s v="Video started right after acquisition "/>
    <m/>
    <m/>
  </r>
  <r>
    <s v="DSCN1402"/>
    <s v="M4R1008_3"/>
    <n v="3"/>
    <n v="1"/>
    <x v="6"/>
    <d v="2018-10-08T00:00:00"/>
    <s v="October"/>
    <s v="Fall"/>
    <d v="1899-12-30T00:15:00"/>
    <d v="1899-12-30T00:00:15"/>
    <x v="122"/>
    <s v="Partly cloudy"/>
    <x v="12"/>
    <s v="Cache recovery/Caching"/>
    <s v="Spruce"/>
    <n v="1"/>
    <m/>
    <n v="1"/>
    <s v="Berry"/>
    <s v="Berry (dried)"/>
    <s v="Interior spruce foliage"/>
    <s v="Interior spruce bare branch/witches broom "/>
    <s v="Spruce"/>
    <s v="Interior"/>
    <s v="In mistoe"/>
    <m/>
    <m/>
    <n v="3"/>
    <n v="63.718719999999998"/>
    <n v="148.9863"/>
    <m/>
    <m/>
    <m/>
    <n v="0"/>
    <n v="0"/>
    <n v="0"/>
    <n v="0"/>
    <n v="0"/>
    <n v="0"/>
    <n v="0"/>
    <m/>
    <s v="Pulled food out of one tree and then went the the next tree over and appeared to recache it.  B&amp;Ut that cache is unconfirmed.  "/>
    <m/>
    <m/>
  </r>
  <r>
    <s v="DSCN1410"/>
    <s v="M4R1008_4"/>
    <n v="4"/>
    <n v="1"/>
    <x v="6"/>
    <d v="2018-10-08T00:00:00"/>
    <s v="October"/>
    <s v="Fall"/>
    <d v="1899-12-30T00:33:00"/>
    <d v="1899-12-30T00:00:33"/>
    <x v="122"/>
    <s v="Partly cloudy"/>
    <x v="12"/>
    <s v="Caching"/>
    <s v="Spruce"/>
    <n v="0"/>
    <m/>
    <n v="1"/>
    <s v="Unknown"/>
    <s v="Unknown"/>
    <s v="unknown"/>
    <s v="Spruce trunk under bark"/>
    <s v="Spruce"/>
    <s v="Trunk"/>
    <s v="Under bark"/>
    <m/>
    <m/>
    <s v="unknown"/>
    <n v="63.719540000000002"/>
    <n v="148.98489000000001"/>
    <m/>
    <m/>
    <m/>
    <n v="0"/>
    <n v="0"/>
    <n v="0"/>
    <n v="0"/>
    <n v="0"/>
    <n v="0"/>
    <n v="0"/>
    <m/>
    <s v="Great cache video.  We put a Camera on this tree as well.  "/>
    <m/>
    <m/>
  </r>
  <r>
    <s v="DSCN1575"/>
    <s v="M4R1015_2"/>
    <n v="2"/>
    <n v="2"/>
    <x v="6"/>
    <d v="2018-10-15T00:00:00"/>
    <s v="October"/>
    <s v="Fall"/>
    <d v="1899-12-30T00:15:00"/>
    <d v="1899-12-30T00:00:15"/>
    <x v="122"/>
    <s v="Overcast"/>
    <x v="12"/>
    <s v="Foraging"/>
    <s v="NA"/>
    <n v="1"/>
    <m/>
    <n v="0"/>
    <s v="Animal flesh"/>
    <s v="Animal flesh (Snowshoe hare)"/>
    <s v="Ground"/>
    <s v="NA"/>
    <s v="NA"/>
    <s v="NA"/>
    <s v="NA"/>
    <m/>
    <m/>
    <s v="NA"/>
    <s v="NA"/>
    <m/>
    <m/>
    <m/>
    <m/>
    <n v="0"/>
    <n v="0"/>
    <n v="0"/>
    <n v="0"/>
    <n v="0"/>
    <n v="0"/>
    <n v="0"/>
    <m/>
    <s v="13 Foraging for OB/YS, 4 for WG/OS"/>
    <m/>
    <m/>
  </r>
  <r>
    <s v="DSCN1587"/>
    <s v="M4R1015_10"/>
    <n v="10"/>
    <n v="1"/>
    <x v="6"/>
    <d v="2018-10-15T00:00:00"/>
    <s v="October"/>
    <s v="Fall"/>
    <d v="1899-12-30T00:25:00"/>
    <d v="1899-12-30T00:00:25"/>
    <x v="122"/>
    <s v="Overcast"/>
    <x v="12"/>
    <s v="Caching"/>
    <s v="Spruce"/>
    <n v="0"/>
    <m/>
    <n v="1"/>
    <s v="Animal flesh"/>
    <s v="Animal flesh (Snowshoe hare)"/>
    <s v="Ground"/>
    <s v="Spruce trunk under bark"/>
    <s v="Spruce"/>
    <s v="Trunk"/>
    <s v="Under bark"/>
    <m/>
    <m/>
    <n v="1"/>
    <n v="63.721919999999997"/>
    <n v="148.98732000000001"/>
    <m/>
    <m/>
    <m/>
    <n v="0"/>
    <n v="0"/>
    <n v="0"/>
    <n v="0"/>
    <n v="0"/>
    <n v="0"/>
    <n v="0"/>
    <m/>
    <s v="Confirmed cache. "/>
    <m/>
    <m/>
  </r>
  <r>
    <s v="DSCN1591"/>
    <s v="M4R1015_14"/>
    <n v="14"/>
    <n v="1"/>
    <x v="6"/>
    <d v="2018-10-15T00:00:00"/>
    <s v="October"/>
    <s v="Fall"/>
    <d v="1899-12-30T00:59:00"/>
    <d v="1899-12-30T00:00:59"/>
    <x v="122"/>
    <s v="Overcast"/>
    <x v="12"/>
    <s v="Foraging"/>
    <s v="NA"/>
    <n v="1"/>
    <m/>
    <n v="0"/>
    <s v="Animal flesh"/>
    <s v="Animal flesh (Snowshoe hare)"/>
    <s v="Ground"/>
    <s v="NA"/>
    <s v="NA"/>
    <s v="NA"/>
    <s v="NA"/>
    <m/>
    <m/>
    <s v="NA"/>
    <s v="NA"/>
    <m/>
    <m/>
    <m/>
    <m/>
    <n v="0"/>
    <n v="0"/>
    <n v="0"/>
    <n v="0"/>
    <n v="0"/>
    <n v="0"/>
    <n v="0"/>
    <m/>
    <m/>
    <m/>
    <m/>
  </r>
  <r>
    <s v="DSCN1594"/>
    <s v="M4R1015_17"/>
    <n v="17"/>
    <n v="2"/>
    <x v="6"/>
    <d v="2018-10-15T00:00:00"/>
    <s v="October"/>
    <s v="Fall"/>
    <d v="1899-12-30T02:42:00"/>
    <d v="1899-12-30T00:02:42"/>
    <x v="122"/>
    <s v="Overcast"/>
    <x v="12"/>
    <s v="Foraging"/>
    <s v="NA"/>
    <n v="2"/>
    <m/>
    <n v="0"/>
    <s v="Animal flesh"/>
    <s v="Animal flesh (Snowshoe hare)"/>
    <s v="Ground"/>
    <s v="NA"/>
    <s v="NA"/>
    <s v="NA"/>
    <s v="NA"/>
    <m/>
    <m/>
    <s v="NA"/>
    <s v="NA"/>
    <m/>
    <m/>
    <m/>
    <m/>
    <n v="0"/>
    <n v="0"/>
    <n v="0"/>
    <n v="0"/>
    <n v="0"/>
    <n v="0"/>
    <n v="0"/>
    <m/>
    <m/>
    <m/>
    <m/>
  </r>
  <r>
    <s v="DSCN1604"/>
    <s v="M4R1015_25"/>
    <n v="25"/>
    <n v="2"/>
    <x v="6"/>
    <d v="2018-10-15T00:00:00"/>
    <s v="October"/>
    <s v="Fall"/>
    <d v="1899-12-30T00:19:00"/>
    <d v="1899-12-30T00:00:19"/>
    <x v="122"/>
    <s v="Overcast"/>
    <x v="12"/>
    <s v="Foraging"/>
    <s v="NA"/>
    <n v="1"/>
    <m/>
    <n v="0"/>
    <s v="Animal flesh"/>
    <s v="Animal flesh (Snowshoe hare)"/>
    <s v="Ground"/>
    <s v="NA"/>
    <s v="NA"/>
    <s v="NA"/>
    <s v="NA"/>
    <m/>
    <m/>
    <s v="NA"/>
    <s v="NA"/>
    <m/>
    <m/>
    <m/>
    <m/>
    <n v="0"/>
    <n v="0"/>
    <n v="0"/>
    <n v="0"/>
    <n v="0"/>
    <n v="0"/>
    <n v="0"/>
    <m/>
    <m/>
    <m/>
    <m/>
  </r>
  <r>
    <s v="DSCN1690"/>
    <s v="M4R1015_41"/>
    <n v="41"/>
    <n v="1"/>
    <x v="6"/>
    <d v="2018-10-15T00:00:00"/>
    <s v="October"/>
    <s v="Fall"/>
    <d v="1899-12-30T00:40:00"/>
    <d v="1899-12-30T00:00:40"/>
    <x v="122"/>
    <s v="Overcast"/>
    <x v="12"/>
    <s v="Foraging/caching"/>
    <s v="Spruce"/>
    <n v="2"/>
    <m/>
    <n v="1"/>
    <s v="Berry"/>
    <s v="Berry (Blueberry)"/>
    <s v="Ground"/>
    <s v="Exterior spruce branch under bark/witch hair"/>
    <s v="Spruce"/>
    <s v="Exterior"/>
    <s v="Under bark and witch hair "/>
    <m/>
    <m/>
    <n v="32"/>
    <n v="63.721510000000002"/>
    <n v="148.98741000000001"/>
    <m/>
    <m/>
    <m/>
    <n v="0"/>
    <n v="0"/>
    <n v="0"/>
    <n v="0"/>
    <n v="10"/>
    <n v="0"/>
    <n v="10"/>
    <m/>
    <m/>
    <m/>
    <m/>
  </r>
  <r>
    <s v="DSCN1883"/>
    <s v="M4R1018_2"/>
    <n v="2"/>
    <n v="1"/>
    <x v="6"/>
    <d v="2018-10-18T00:00:00"/>
    <s v="October"/>
    <s v="Fall"/>
    <d v="1899-12-30T00:28:00"/>
    <d v="1899-12-30T00:00:28"/>
    <x v="122"/>
    <s v="Overcast"/>
    <x v="12"/>
    <s v="Foraging"/>
    <s v="Spruce"/>
    <n v="1"/>
    <m/>
    <n v="0"/>
    <s v="Unknown"/>
    <s v="Unknown"/>
    <s v="Exterior dense foliage of spruce"/>
    <s v="NA"/>
    <s v="NA"/>
    <s v="NA"/>
    <s v="NA"/>
    <m/>
    <m/>
    <s v="NA"/>
    <s v="NA"/>
    <m/>
    <m/>
    <m/>
    <m/>
    <n v="0"/>
    <n v="18"/>
    <n v="0"/>
    <n v="18"/>
    <n v="0"/>
    <n v="0"/>
    <n v="18"/>
    <s v="Searching"/>
    <m/>
    <m/>
    <m/>
  </r>
  <r>
    <s v="DSCN2145"/>
    <s v="TC1025_1"/>
    <n v="1"/>
    <n v="1"/>
    <x v="20"/>
    <d v="2018-10-25T00:00:00"/>
    <s v="October"/>
    <s v="Fall"/>
    <d v="1899-12-30T00:14:00"/>
    <d v="1899-12-30T00:00:14"/>
    <x v="122"/>
    <m/>
    <x v="31"/>
    <s v="Foraging"/>
    <s v="Spruce"/>
    <n v="1"/>
    <m/>
    <n v="0"/>
    <s v="Unknown"/>
    <s v="Unknown"/>
    <s v="Exterior bare spruce branch"/>
    <s v="NA"/>
    <s v="NA"/>
    <s v="NA"/>
    <s v="NA"/>
    <m/>
    <m/>
    <s v="NA"/>
    <s v="NA"/>
    <m/>
    <m/>
    <m/>
    <m/>
    <n v="14"/>
    <n v="0"/>
    <n v="0"/>
    <n v="14"/>
    <n v="0"/>
    <n v="0"/>
    <n v="14"/>
    <s v="Gleaning"/>
    <m/>
    <n v="0"/>
    <n v="1"/>
  </r>
  <r>
    <s v="DSCN2350"/>
    <s v="TC1031_5"/>
    <n v="5"/>
    <n v="1"/>
    <x v="16"/>
    <d v="2018-10-31T00:00:00"/>
    <s v="October"/>
    <s v="Fall"/>
    <d v="1899-12-30T00:33:00"/>
    <d v="1899-12-30T00:00:33"/>
    <x v="122"/>
    <s v="Partly cloudy, snowing"/>
    <x v="31"/>
    <s v="Foraging"/>
    <s v="Spruce"/>
    <n v="1"/>
    <m/>
    <n v="0"/>
    <s v="Unknown"/>
    <s v="Unknown"/>
    <s v="Ground"/>
    <s v="NA"/>
    <s v="NA"/>
    <s v="NA"/>
    <s v="NA"/>
    <m/>
    <m/>
    <s v="NA"/>
    <s v="NA"/>
    <m/>
    <m/>
    <m/>
    <m/>
    <n v="7"/>
    <n v="0"/>
    <n v="0"/>
    <n v="7"/>
    <n v="17"/>
    <n v="0"/>
    <n v="24"/>
    <m/>
    <m/>
    <m/>
    <m/>
  </r>
  <r>
    <s v="DSCN2351"/>
    <s v="TC1031_6"/>
    <n v="6"/>
    <n v="1"/>
    <x v="16"/>
    <d v="2018-10-31T00:00:00"/>
    <s v="October"/>
    <s v="Fall"/>
    <d v="1899-12-30T00:40:00"/>
    <d v="1899-12-30T00:00:40"/>
    <x v="122"/>
    <s v="Partly cloudy, snowing"/>
    <x v="31"/>
    <s v="Foraging"/>
    <s v="Aspen and spruce"/>
    <n v="1"/>
    <m/>
    <n v="0"/>
    <s v="Unknown"/>
    <s v="Unknown"/>
    <s v="Ground"/>
    <s v="NA"/>
    <s v="NA"/>
    <s v="NA"/>
    <s v="NA"/>
    <m/>
    <m/>
    <s v="NA"/>
    <s v="NA"/>
    <m/>
    <m/>
    <m/>
    <m/>
    <n v="14"/>
    <n v="0"/>
    <n v="0"/>
    <n v="14"/>
    <n v="19"/>
    <n v="0"/>
    <n v="33"/>
    <m/>
    <m/>
    <m/>
    <m/>
  </r>
  <r>
    <s v="DSCN2352"/>
    <s v="TC1031_7"/>
    <n v="7"/>
    <n v="1"/>
    <x v="16"/>
    <d v="2018-10-31T00:00:00"/>
    <s v="October"/>
    <s v="Fall"/>
    <d v="1899-12-30T00:28:00"/>
    <d v="1899-12-30T00:00:28"/>
    <x v="122"/>
    <s v="Partly cloudy, snowing"/>
    <x v="31"/>
    <s v="Foraging"/>
    <s v="NA"/>
    <n v="1"/>
    <m/>
    <n v="0"/>
    <s v="Unknown"/>
    <s v="Unknown"/>
    <s v="Ground"/>
    <s v="NA"/>
    <s v="NA"/>
    <s v="NA"/>
    <s v="NA"/>
    <m/>
    <m/>
    <s v="NA"/>
    <s v="NA"/>
    <m/>
    <m/>
    <m/>
    <m/>
    <n v="0"/>
    <n v="0"/>
    <n v="0"/>
    <n v="0"/>
    <n v="8"/>
    <n v="0"/>
    <n v="8"/>
    <m/>
    <m/>
    <m/>
    <m/>
  </r>
  <r>
    <s v="DSCN2354"/>
    <s v="TC1031_8"/>
    <n v="8"/>
    <n v="1"/>
    <x v="16"/>
    <d v="2018-10-31T00:00:00"/>
    <s v="October"/>
    <s v="Fall"/>
    <d v="1899-12-30T00:32:00"/>
    <d v="1899-12-30T00:00:32"/>
    <x v="122"/>
    <s v="Partly cloudy, snowing"/>
    <x v="31"/>
    <s v="Foraging"/>
    <s v="Aspen and spruce"/>
    <s v="unknown"/>
    <m/>
    <s v="Unknown"/>
    <s v="Unknown"/>
    <s v="Unknown"/>
    <s v="NA"/>
    <s v="NA"/>
    <m/>
    <m/>
    <m/>
    <m/>
    <m/>
    <s v="NA"/>
    <s v="NA"/>
    <m/>
    <m/>
    <m/>
    <m/>
    <n v="21"/>
    <n v="7"/>
    <n v="7"/>
    <n v="21"/>
    <n v="0"/>
    <n v="0"/>
    <n v="28"/>
    <m/>
    <m/>
    <m/>
    <m/>
  </r>
  <r>
    <s v="DSCN2355"/>
    <s v="TC1031_9"/>
    <n v="9"/>
    <n v="1"/>
    <x v="16"/>
    <d v="2018-10-31T00:00:00"/>
    <s v="October"/>
    <s v="Fall"/>
    <d v="1899-12-30T00:57:00"/>
    <d v="1899-12-30T00:00:57"/>
    <x v="122"/>
    <s v="Partly cloudy, snowing"/>
    <x v="31"/>
    <s v="Caching"/>
    <s v="Spruce"/>
    <n v="0"/>
    <m/>
    <n v="1"/>
    <s v="Unknown"/>
    <s v="Unknown"/>
    <s v="unknown"/>
    <s v="Exterior spruce in needles"/>
    <s v="Spruce"/>
    <s v="Exterior"/>
    <s v="Foliage"/>
    <m/>
    <m/>
    <s v="unknown"/>
    <n v="63.73171"/>
    <n v="148.90314000000001"/>
    <m/>
    <m/>
    <m/>
    <n v="0"/>
    <n v="0"/>
    <n v="0"/>
    <n v="0"/>
    <n v="0"/>
    <n v="0"/>
    <n v="0"/>
    <m/>
    <s v="First cache is suspected, B&amp;Ut second was confirmed"/>
    <m/>
    <m/>
  </r>
  <r>
    <s v="DSCN2355"/>
    <s v="TC1031_9"/>
    <n v="9"/>
    <n v="2"/>
    <x v="16"/>
    <d v="2018-10-31T00:00:00"/>
    <s v="October"/>
    <s v="Fall"/>
    <d v="1899-12-30T00:57:00"/>
    <d v="1899-12-30T00:00:57"/>
    <x v="122"/>
    <s v="Partly cloudy, snowing"/>
    <x v="31"/>
    <s v="Caching"/>
    <s v="Spruce"/>
    <n v="0"/>
    <m/>
    <n v="1"/>
    <s v="Unknown"/>
    <s v="Unknown"/>
    <s v="unknown"/>
    <s v="Interior spruce on trunk under bark "/>
    <s v="Spruce"/>
    <s v="Trunk"/>
    <s v="Under bark"/>
    <m/>
    <m/>
    <s v="unknown"/>
    <n v="63.73171"/>
    <n v="148.90315000000001"/>
    <m/>
    <m/>
    <m/>
    <n v="0"/>
    <n v="0"/>
    <n v="0"/>
    <n v="0"/>
    <n v="0"/>
    <n v="0"/>
    <n v="0"/>
    <m/>
    <s v="First cache is suspected, B&amp;Ut second was confirmed"/>
    <m/>
    <m/>
  </r>
  <r>
    <s v="DSCN2356"/>
    <s v="TC1031_10"/>
    <n v="10"/>
    <n v="1"/>
    <x v="16"/>
    <d v="2018-10-31T00:00:00"/>
    <s v="October"/>
    <s v="Fall"/>
    <d v="1899-12-30T00:16:00"/>
    <d v="1899-12-30T00:00:16"/>
    <x v="122"/>
    <s v="Partly cloudy, snowing"/>
    <x v="31"/>
    <s v="Foraging"/>
    <s v="NA"/>
    <n v="1"/>
    <m/>
    <n v="0"/>
    <s v="Unknown"/>
    <s v="Unknown"/>
    <s v="Ground"/>
    <s v="NA"/>
    <s v="NA"/>
    <s v="NA"/>
    <s v="NA"/>
    <m/>
    <m/>
    <s v="NA"/>
    <s v="NA"/>
    <m/>
    <m/>
    <m/>
    <m/>
    <n v="0"/>
    <n v="0"/>
    <n v="0"/>
    <n v="0"/>
    <n v="7"/>
    <n v="0"/>
    <n v="7"/>
    <m/>
    <m/>
    <m/>
    <m/>
  </r>
  <r>
    <s v="DSCN2362"/>
    <s v="TC1031_12"/>
    <n v="12"/>
    <n v="1"/>
    <x v="16"/>
    <d v="2018-10-31T00:00:00"/>
    <s v="October"/>
    <s v="Fall"/>
    <d v="1899-12-30T00:20:00"/>
    <d v="1899-12-30T00:00:20"/>
    <x v="122"/>
    <s v="Partly cloudy, snowing"/>
    <x v="31"/>
    <s v="Food handling"/>
    <s v="Spruce"/>
    <n v="1"/>
    <m/>
    <n v="0"/>
    <s v="Unknown"/>
    <s v="Unknown"/>
    <s v="unknown"/>
    <s v="NA"/>
    <s v="NA"/>
    <s v="NA"/>
    <s v="NA"/>
    <m/>
    <m/>
    <s v="NA"/>
    <s v="NA"/>
    <m/>
    <m/>
    <m/>
    <m/>
    <n v="0"/>
    <n v="0"/>
    <n v="0"/>
    <n v="0"/>
    <n v="0"/>
    <n v="0"/>
    <n v="0"/>
    <m/>
    <m/>
    <m/>
    <m/>
  </r>
  <r>
    <s v="DSCN2363"/>
    <s v="TC1031_13"/>
    <n v="13"/>
    <n v="1"/>
    <x v="16"/>
    <d v="2018-10-31T00:00:00"/>
    <s v="October"/>
    <s v="Fall"/>
    <d v="1899-12-30T00:16:00"/>
    <d v="1899-12-30T00:00:16"/>
    <x v="122"/>
    <s v="Partly cloudy, snowing"/>
    <x v="31"/>
    <s v="Foraging"/>
    <s v="Spruce"/>
    <n v="0"/>
    <m/>
    <n v="0"/>
    <m/>
    <s v="NA"/>
    <s v="NA"/>
    <s v="NA"/>
    <s v="NA"/>
    <s v="NA"/>
    <s v="NA"/>
    <m/>
    <m/>
    <s v="NA"/>
    <s v="NA"/>
    <m/>
    <m/>
    <m/>
    <m/>
    <n v="11"/>
    <n v="0"/>
    <n v="11"/>
    <n v="0"/>
    <n v="0"/>
    <n v="0"/>
    <n v="11"/>
    <m/>
    <m/>
    <m/>
    <m/>
  </r>
  <r>
    <s v="DSCN1999"/>
    <s v="M3.51023_1"/>
    <n v="1"/>
    <n v="1"/>
    <x v="11"/>
    <d v="2018-10-23T00:00:00"/>
    <s v="October"/>
    <s v="Fall"/>
    <d v="1899-12-30T00:28:00"/>
    <d v="1899-12-30T00:00:28"/>
    <x v="122"/>
    <m/>
    <x v="40"/>
    <s v="Foraging"/>
    <s v="Spruce"/>
    <s v="unknown"/>
    <m/>
    <n v="0"/>
    <s v="Unknown"/>
    <s v="Unknown"/>
    <s v="NA"/>
    <s v="NA"/>
    <s v="NA"/>
    <s v="NA"/>
    <s v="NA"/>
    <m/>
    <m/>
    <s v="NA"/>
    <s v="NA"/>
    <m/>
    <m/>
    <m/>
    <m/>
    <n v="0"/>
    <n v="16"/>
    <n v="0"/>
    <n v="16"/>
    <n v="0"/>
    <n v="0"/>
    <n v="16"/>
    <s v="Searching"/>
    <s v="3.5 bird B&amp;Ut with M4R birds and in territory"/>
    <m/>
    <m/>
  </r>
  <r>
    <s v="DSCN1540"/>
    <s v="MC1012_5"/>
    <n v="5"/>
    <n v="1"/>
    <x v="2"/>
    <d v="2018-10-12T00:00:00"/>
    <s v="October"/>
    <s v="Fall"/>
    <d v="1899-12-30T01:35:00"/>
    <d v="1899-12-30T00:01:35"/>
    <x v="122"/>
    <s v="Overcast"/>
    <x v="13"/>
    <s v="Foraging (Cache recovery)"/>
    <s v="Spruce"/>
    <n v="1"/>
    <m/>
    <n v="0"/>
    <s v="Unknown"/>
    <s v="Unknown"/>
    <s v="Under bare spruce branch bark"/>
    <s v="NA"/>
    <s v="NA"/>
    <s v="NA"/>
    <s v="NA"/>
    <m/>
    <m/>
    <s v="NA"/>
    <s v="NA"/>
    <m/>
    <m/>
    <m/>
    <m/>
    <n v="45"/>
    <n v="0"/>
    <n v="45"/>
    <n v="0"/>
    <n v="0"/>
    <n v="0"/>
    <n v="45"/>
    <s v="Probing"/>
    <m/>
    <n v="3"/>
    <n v="0"/>
  </r>
  <r>
    <s v="DSCN1548"/>
    <s v="MC1012_7"/>
    <n v="7"/>
    <n v="1"/>
    <x v="2"/>
    <d v="2018-10-12T00:00:00"/>
    <s v="October"/>
    <s v="Fall"/>
    <d v="1899-12-30T00:41:00"/>
    <d v="1899-12-30T00:00:41"/>
    <x v="122"/>
    <s v="Overcast"/>
    <x v="13"/>
    <s v="Foraging/caching"/>
    <s v="Spruce"/>
    <n v="1"/>
    <m/>
    <n v="1"/>
    <s v="Unknown"/>
    <s v="Unknown"/>
    <s v="Ground"/>
    <s v="Exterior spruce branch under bark/witch hair"/>
    <s v="Spruce"/>
    <s v="Exterior"/>
    <s v="Under bark and witch hair "/>
    <m/>
    <m/>
    <n v="3"/>
    <n v="63.731409999999997"/>
    <n v="148.89959999999999"/>
    <m/>
    <m/>
    <m/>
    <n v="0"/>
    <n v="0"/>
    <n v="0"/>
    <n v="0"/>
    <n v="7"/>
    <n v="0"/>
    <n v="7"/>
    <m/>
    <m/>
    <m/>
    <m/>
  </r>
  <r>
    <s v="DSCN1550"/>
    <s v="MC1012_8"/>
    <n v="8"/>
    <n v="1"/>
    <x v="2"/>
    <d v="2018-10-12T00:00:00"/>
    <s v="October"/>
    <s v="Fall"/>
    <d v="1899-12-30T00:37:00"/>
    <d v="1899-12-30T00:00:37"/>
    <x v="122"/>
    <s v="Overcast"/>
    <x v="13"/>
    <s v="Foraging/caching"/>
    <s v="Aspen"/>
    <n v="1"/>
    <m/>
    <n v="1"/>
    <s v="Unknown"/>
    <s v="Unknown"/>
    <s v="In crevice of aspen branch"/>
    <s v="Glued to aspen branch"/>
    <s v="Aspen"/>
    <s v="Exterior"/>
    <s v="On bark"/>
    <m/>
    <m/>
    <n v="0"/>
    <n v="63.731270000000002"/>
    <n v="148.90007"/>
    <m/>
    <m/>
    <m/>
    <n v="12"/>
    <n v="0"/>
    <n v="0"/>
    <n v="12"/>
    <n v="0"/>
    <n v="0"/>
    <n v="12"/>
    <s v="Probing/pecking"/>
    <s v="Spends about 12 extracting food from crevice of aspen branch and then glues it (caches it) on the same branch like 6 inches away??????"/>
    <n v="5"/>
    <n v="0"/>
  </r>
  <r>
    <s v="DSCN1895"/>
    <s v="MC1019_1"/>
    <n v="1"/>
    <n v="1"/>
    <x v="2"/>
    <d v="2018-10-19T00:00:00"/>
    <s v="October"/>
    <s v="Fall"/>
    <d v="1899-12-30T00:18:00"/>
    <d v="1899-12-30T00:00:18"/>
    <x v="122"/>
    <s v="Overcast"/>
    <x v="13"/>
    <s v="Foraging"/>
    <s v="Spruce"/>
    <n v="1"/>
    <m/>
    <n v="0"/>
    <s v="Unknown"/>
    <s v="Unknown"/>
    <s v="Tip of spruce foliage at top of tree"/>
    <s v="NA"/>
    <s v="NA"/>
    <s v="NA"/>
    <s v="NA"/>
    <m/>
    <m/>
    <s v="NA"/>
    <s v="NA"/>
    <m/>
    <m/>
    <m/>
    <m/>
    <n v="0"/>
    <n v="10"/>
    <n v="0"/>
    <n v="10"/>
    <n v="0"/>
    <n v="0"/>
    <n v="10"/>
    <s v="Searching"/>
    <s v="Maybe a berry?"/>
    <m/>
    <m/>
  </r>
  <r>
    <s v="DSCN1897"/>
    <s v="MC1019_2"/>
    <n v="2"/>
    <n v="1"/>
    <x v="2"/>
    <d v="2018-10-19T00:00:00"/>
    <s v="October"/>
    <s v="Fall"/>
    <d v="1899-12-30T00:17:00"/>
    <d v="1899-12-30T00:00:17"/>
    <x v="122"/>
    <s v="Overcast"/>
    <x v="13"/>
    <s v="Caching"/>
    <s v="Aspen"/>
    <n v="0"/>
    <m/>
    <n v="1"/>
    <s v="Unknown"/>
    <s v="Unknown"/>
    <s v="Tip of spruce foliage at top of tree"/>
    <s v="Glued to aspen branch"/>
    <s v="Aspen"/>
    <s v="Exterior"/>
    <s v="On bark"/>
    <m/>
    <m/>
    <s v="unknown"/>
    <s v="Did not mark (did not recognize as cache while in field)"/>
    <m/>
    <m/>
    <m/>
    <m/>
    <n v="0"/>
    <n v="0"/>
    <n v="0"/>
    <n v="0"/>
    <n v="0"/>
    <n v="0"/>
    <n v="0"/>
    <m/>
    <m/>
    <m/>
    <m/>
  </r>
  <r>
    <s v="DSCN1902"/>
    <s v="MC1019_4"/>
    <n v="4"/>
    <n v="1"/>
    <x v="2"/>
    <d v="2018-10-19T00:00:00"/>
    <s v="October"/>
    <s v="Fall"/>
    <d v="1899-12-30T00:30:00"/>
    <d v="1899-12-30T00:00:30"/>
    <x v="122"/>
    <m/>
    <x v="13"/>
    <s v="Foraging"/>
    <s v="Spruce"/>
    <s v="unknown"/>
    <m/>
    <n v="0"/>
    <s v="Unknown"/>
    <s v="Unknown"/>
    <s v="NA"/>
    <s v="NA"/>
    <s v="NA"/>
    <s v="NA"/>
    <s v="NA"/>
    <m/>
    <m/>
    <s v="NA"/>
    <s v="NA"/>
    <m/>
    <m/>
    <m/>
    <m/>
    <n v="0"/>
    <n v="29"/>
    <n v="0"/>
    <n v="29"/>
    <n v="0"/>
    <n v="0"/>
    <n v="29"/>
    <s v="Searching"/>
    <m/>
    <m/>
    <m/>
  </r>
  <r>
    <s v="DSCN1903"/>
    <s v="MC1019_5"/>
    <n v="5"/>
    <n v="1"/>
    <x v="2"/>
    <d v="2018-10-19T00:00:00"/>
    <s v="October"/>
    <s v="Fall"/>
    <d v="1899-12-30T00:13:00"/>
    <d v="1899-12-30T00:00:13"/>
    <x v="122"/>
    <m/>
    <x v="13"/>
    <s v="Foraging"/>
    <s v="Aspen"/>
    <n v="0"/>
    <m/>
    <n v="0"/>
    <m/>
    <s v="NA"/>
    <s v="NA"/>
    <s v="NA"/>
    <s v="NA"/>
    <s v="NA"/>
    <s v="NA"/>
    <m/>
    <m/>
    <s v="NA"/>
    <s v="NA"/>
    <m/>
    <m/>
    <m/>
    <m/>
    <n v="13"/>
    <n v="0"/>
    <n v="0"/>
    <n v="13"/>
    <n v="0"/>
    <n v="0"/>
    <n v="13"/>
    <m/>
    <m/>
    <m/>
    <m/>
  </r>
  <r>
    <s v="DSCN1904"/>
    <s v="MC1019_6"/>
    <n v="6"/>
    <n v="1"/>
    <x v="2"/>
    <d v="2018-10-19T00:00:00"/>
    <s v="October"/>
    <s v="Fall"/>
    <d v="1899-12-30T00:09:00"/>
    <d v="1899-12-30T00:00:09"/>
    <x v="122"/>
    <m/>
    <x v="13"/>
    <s v="Foraging"/>
    <s v="NA"/>
    <n v="0"/>
    <m/>
    <n v="0"/>
    <m/>
    <s v="NA"/>
    <s v="NA"/>
    <s v="NA"/>
    <s v="NA"/>
    <s v="NA"/>
    <s v="NA"/>
    <m/>
    <m/>
    <s v="NA"/>
    <s v="NA"/>
    <m/>
    <m/>
    <m/>
    <m/>
    <n v="0"/>
    <n v="0"/>
    <n v="0"/>
    <n v="0"/>
    <n v="0"/>
    <n v="9"/>
    <n v="9"/>
    <m/>
    <s v="Picinic table "/>
    <m/>
    <m/>
  </r>
  <r>
    <s v="DSCN1922"/>
    <s v="MC1019_12"/>
    <n v="12"/>
    <n v="1"/>
    <x v="2"/>
    <d v="2018-10-19T00:00:00"/>
    <s v="October"/>
    <s v="Fall"/>
    <d v="1899-12-30T00:15:00"/>
    <d v="1899-12-30T00:00:15"/>
    <x v="122"/>
    <m/>
    <x v="13"/>
    <s v="Foraging"/>
    <s v="Spruce"/>
    <n v="0"/>
    <m/>
    <n v="0"/>
    <m/>
    <s v="NA"/>
    <s v="NA"/>
    <s v="NA"/>
    <s v="NA"/>
    <s v="NA"/>
    <s v="NA"/>
    <m/>
    <m/>
    <s v="NA"/>
    <s v="NA"/>
    <m/>
    <m/>
    <m/>
    <m/>
    <n v="15"/>
    <n v="0"/>
    <n v="0"/>
    <n v="15"/>
    <n v="0"/>
    <n v="0"/>
    <n v="15"/>
    <m/>
    <m/>
    <m/>
    <m/>
  </r>
  <r>
    <s v="DSCN1936"/>
    <s v="MC1019_20"/>
    <n v="20"/>
    <n v="1"/>
    <x v="2"/>
    <d v="2018-10-19T00:00:00"/>
    <s v="October"/>
    <s v="Fall"/>
    <d v="1899-12-30T00:58:00"/>
    <d v="1899-12-30T00:00:58"/>
    <x v="122"/>
    <m/>
    <x v="13"/>
    <s v="Foraging"/>
    <s v="NA"/>
    <n v="1"/>
    <m/>
    <n v="0"/>
    <s v="Insect"/>
    <s v="Insect"/>
    <s v="Ground"/>
    <s v="NA"/>
    <s v="NA"/>
    <s v="NA"/>
    <s v="NA"/>
    <m/>
    <m/>
    <s v="NA"/>
    <s v="NA"/>
    <m/>
    <m/>
    <m/>
    <m/>
    <n v="0"/>
    <n v="0"/>
    <n v="0"/>
    <n v="0"/>
    <n v="15"/>
    <n v="0"/>
    <n v="15"/>
    <m/>
    <m/>
    <m/>
    <m/>
  </r>
  <r>
    <s v="DSCN1938"/>
    <s v="MC1019_22"/>
    <n v="22"/>
    <n v="1"/>
    <x v="2"/>
    <d v="2018-10-19T00:00:00"/>
    <s v="October"/>
    <s v="Fall"/>
    <d v="1899-12-30T00:29:00"/>
    <d v="1899-12-30T00:00:29"/>
    <x v="122"/>
    <m/>
    <x v="13"/>
    <s v="Caching"/>
    <s v="Aspen"/>
    <n v="0"/>
    <m/>
    <n v="1"/>
    <s v="Unknown"/>
    <s v="Unknown"/>
    <s v="Ground"/>
    <s v="bare aspen branch under bark"/>
    <s v="Aspen"/>
    <s v="Exterior"/>
    <s v="Under bark"/>
    <m/>
    <m/>
    <n v="1"/>
    <n v="63.736020000000003"/>
    <n v="148.89214000000001"/>
    <m/>
    <m/>
    <m/>
    <n v="0"/>
    <n v="0"/>
    <n v="0"/>
    <n v="0"/>
    <n v="0"/>
    <n v="0"/>
    <n v="0"/>
    <m/>
    <m/>
    <m/>
    <m/>
  </r>
  <r>
    <s v="DSCN1941"/>
    <s v="MC1019_24"/>
    <n v="24"/>
    <n v="1"/>
    <x v="2"/>
    <d v="2018-10-19T00:00:00"/>
    <s v="October"/>
    <s v="Fall"/>
    <d v="1899-12-30T00:20:00"/>
    <d v="1899-12-30T00:00:20"/>
    <x v="122"/>
    <m/>
    <x v="13"/>
    <s v="Foraging"/>
    <s v="Aspen and spruce"/>
    <s v="unknown"/>
    <m/>
    <n v="0"/>
    <m/>
    <s v="NA"/>
    <s v="NA"/>
    <s v="NA"/>
    <s v="NA"/>
    <s v="NA"/>
    <s v="NA"/>
    <m/>
    <m/>
    <s v="NA"/>
    <s v="NA"/>
    <m/>
    <m/>
    <m/>
    <m/>
    <n v="13"/>
    <n v="4"/>
    <n v="0"/>
    <n v="17"/>
    <n v="0"/>
    <n v="0"/>
    <n v="17"/>
    <s v="Searching/probing"/>
    <m/>
    <n v="1"/>
    <n v="0"/>
  </r>
  <r>
    <s v="DSCN2152"/>
    <s v="MC1025_1"/>
    <n v="1"/>
    <n v="1"/>
    <x v="2"/>
    <d v="2018-10-25T00:00:00"/>
    <s v="October"/>
    <s v="Fall"/>
    <d v="1899-12-30T00:12:00"/>
    <d v="1899-12-30T00:00:12"/>
    <x v="122"/>
    <m/>
    <x v="13"/>
    <s v="Foraging"/>
    <s v="Spruce"/>
    <n v="1"/>
    <m/>
    <n v="0"/>
    <s v="Unknown"/>
    <s v="Unknown"/>
    <s v="Exterior dense foliage of spruce"/>
    <m/>
    <s v="NA"/>
    <s v="NA"/>
    <s v="NA"/>
    <m/>
    <m/>
    <s v="NA"/>
    <s v="NA"/>
    <m/>
    <m/>
    <m/>
    <m/>
    <n v="0"/>
    <n v="10"/>
    <n v="0"/>
    <n v="10"/>
    <n v="0"/>
    <n v="0"/>
    <n v="10"/>
    <s v="Gleaning"/>
    <m/>
    <n v="0"/>
    <n v="1"/>
  </r>
  <r>
    <s v="DSCN2153"/>
    <s v="MC1025_2"/>
    <n v="2"/>
    <n v="1"/>
    <x v="2"/>
    <d v="2018-10-25T00:00:00"/>
    <s v="October"/>
    <s v="Fall"/>
    <d v="1899-12-30T00:35:00"/>
    <d v="1899-12-30T00:00:35"/>
    <x v="122"/>
    <m/>
    <x v="13"/>
    <s v="Foraging"/>
    <s v="Spruce"/>
    <s v="unknown"/>
    <m/>
    <n v="0"/>
    <s v="Unknown"/>
    <s v="Unknown"/>
    <s v="NA"/>
    <s v="NA"/>
    <s v="NA"/>
    <s v="NA"/>
    <s v="NA"/>
    <m/>
    <m/>
    <s v="NA"/>
    <s v="NA"/>
    <m/>
    <m/>
    <m/>
    <m/>
    <n v="0"/>
    <n v="35"/>
    <n v="0"/>
    <n v="35"/>
    <n v="0"/>
    <n v="0"/>
    <n v="35"/>
    <m/>
    <m/>
    <m/>
    <m/>
  </r>
  <r>
    <s v="DSCN2154"/>
    <s v="MC1025_3"/>
    <n v="3"/>
    <n v="1"/>
    <x v="2"/>
    <d v="2018-10-25T00:00:00"/>
    <s v="October"/>
    <s v="Fall"/>
    <d v="1899-12-30T00:37:00"/>
    <d v="1899-12-30T00:00:37"/>
    <x v="122"/>
    <m/>
    <x v="13"/>
    <s v="Foraging"/>
    <s v="Spruce"/>
    <s v="unknown"/>
    <m/>
    <n v="0"/>
    <m/>
    <s v="NA"/>
    <s v="NA"/>
    <s v="NA"/>
    <s v="NA"/>
    <s v="NA"/>
    <s v="NA"/>
    <m/>
    <m/>
    <s v="NA"/>
    <s v="NA"/>
    <m/>
    <m/>
    <m/>
    <m/>
    <n v="0"/>
    <n v="37"/>
    <n v="11"/>
    <n v="26"/>
    <n v="0"/>
    <n v="0"/>
    <n v="37"/>
    <m/>
    <m/>
    <m/>
    <m/>
  </r>
  <r>
    <s v="DSCN2157"/>
    <s v="MC1025_5"/>
    <n v="5"/>
    <n v="1"/>
    <x v="2"/>
    <d v="2018-10-25T00:00:00"/>
    <s v="October"/>
    <s v="Fall"/>
    <d v="1899-12-30T00:47:00"/>
    <d v="1899-12-30T00:00:47"/>
    <x v="122"/>
    <m/>
    <x v="13"/>
    <s v="Caching"/>
    <s v="Aspen"/>
    <n v="0"/>
    <m/>
    <n v="1"/>
    <s v="Unknown"/>
    <s v="Unknown"/>
    <s v="unknown"/>
    <s v="Under bark of aspen branch"/>
    <s v="Aspen"/>
    <s v="Exterior"/>
    <s v="Under bark"/>
    <m/>
    <m/>
    <s v="unknown"/>
    <n v="63.73254"/>
    <n v="148.89940000000001"/>
    <m/>
    <m/>
    <m/>
    <n v="0"/>
    <n v="0"/>
    <n v="0"/>
    <n v="0"/>
    <n v="0"/>
    <n v="0"/>
    <n v="0"/>
    <m/>
    <s v="*Possible that female pulled food out after! B&amp;Ut didn't catch on tape to confirm. "/>
    <m/>
    <m/>
  </r>
  <r>
    <s v="DSCN2159"/>
    <s v="MC1025_7"/>
    <n v="7"/>
    <n v="1"/>
    <x v="2"/>
    <d v="2018-10-25T00:00:00"/>
    <s v="October"/>
    <s v="Fall"/>
    <d v="1899-12-30T01:04:00"/>
    <d v="1899-12-30T00:01:04"/>
    <x v="122"/>
    <m/>
    <x v="13"/>
    <s v="Caching/foraging"/>
    <s v="Spruce"/>
    <n v="1"/>
    <m/>
    <n v="1"/>
    <s v="Mushroom"/>
    <s v="Mushroom (dried)"/>
    <s v="Spruce branch"/>
    <s v="Exterior spruce foliage"/>
    <s v="Spruce"/>
    <s v="Exterior"/>
    <s v="Foliage"/>
    <m/>
    <m/>
    <n v="6"/>
    <n v="63.732669999999999"/>
    <n v="148.89955"/>
    <m/>
    <m/>
    <m/>
    <n v="29"/>
    <n v="0"/>
    <n v="0"/>
    <n v="29"/>
    <n v="9"/>
    <n v="0"/>
    <n v="38"/>
    <m/>
    <m/>
    <m/>
    <m/>
  </r>
  <r>
    <s v="DSCN2263"/>
    <s v="MC1029_6"/>
    <n v="6"/>
    <n v="1"/>
    <x v="2"/>
    <d v="2018-10-29T00:00:00"/>
    <s v="October"/>
    <s v="Fall"/>
    <d v="1899-12-30T00:07:00"/>
    <d v="1899-12-30T00:00:07"/>
    <x v="122"/>
    <s v="Clear"/>
    <x v="13"/>
    <s v="Foraging"/>
    <s v="Spruce"/>
    <n v="1"/>
    <m/>
    <n v="0"/>
    <s v="Unknown"/>
    <s v="Unknown (Maybe snowshoe hare)"/>
    <s v="Interior spruce tree"/>
    <s v="NA"/>
    <s v="NA"/>
    <s v="NA"/>
    <s v="NA"/>
    <m/>
    <m/>
    <s v="NA"/>
    <s v="NA"/>
    <m/>
    <m/>
    <m/>
    <m/>
    <n v="0"/>
    <n v="0"/>
    <n v="0"/>
    <n v="0"/>
    <n v="0"/>
    <n v="0"/>
    <n v="0"/>
    <m/>
    <s v="Missed seeing it pull it from tree on camera B&amp;Ut we saw IRL that's where it got it from. "/>
    <m/>
    <m/>
  </r>
  <r>
    <s v="DSCN2264"/>
    <s v="MC1029_7"/>
    <n v="7"/>
    <n v="1"/>
    <x v="2"/>
    <d v="2018-10-29T00:00:00"/>
    <s v="October"/>
    <s v="Fall"/>
    <d v="1899-12-30T00:37:00"/>
    <d v="1899-12-30T00:00:37"/>
    <x v="122"/>
    <s v="Clear"/>
    <x v="13"/>
    <s v="Caching"/>
    <s v="Spruce"/>
    <n v="0"/>
    <m/>
    <n v="2"/>
    <s v="Unknown"/>
    <s v="Unknown (Maybe snowshoe hare)"/>
    <s v="Interior spruce tree"/>
    <s v="Interior spruce foliage near trunk"/>
    <s v="Spruce"/>
    <s v="Interior"/>
    <s v="Foliage"/>
    <m/>
    <m/>
    <n v="7"/>
    <n v="63.736229999999999"/>
    <n v="148.90009000000001"/>
    <m/>
    <m/>
    <m/>
    <n v="0"/>
    <n v="0"/>
    <n v="0"/>
    <n v="0"/>
    <n v="0"/>
    <n v="0"/>
    <n v="0"/>
    <m/>
    <s v="Same food as in previous video"/>
    <m/>
    <m/>
  </r>
  <r>
    <s v="DSCN2244"/>
    <s v="AQ1029_1"/>
    <n v="1"/>
    <n v="1"/>
    <x v="7"/>
    <d v="2018-10-29T00:00:00"/>
    <s v="October"/>
    <s v="Fall"/>
    <d v="1899-12-30T00:16:00"/>
    <d v="1899-12-30T00:00:16"/>
    <x v="122"/>
    <s v="Clear"/>
    <x v="21"/>
    <s v="Foraging/food handling"/>
    <s v="Spruce"/>
    <s v="unknown"/>
    <m/>
    <n v="0"/>
    <s v="Unknown"/>
    <s v="Unknown"/>
    <s v="NA"/>
    <s v="NA"/>
    <s v="NA"/>
    <s v="NA"/>
    <s v="NA"/>
    <m/>
    <m/>
    <s v="NA"/>
    <s v="NA"/>
    <m/>
    <m/>
    <m/>
    <m/>
    <n v="15"/>
    <n v="0"/>
    <n v="0"/>
    <n v="15"/>
    <n v="0"/>
    <n v="0"/>
    <n v="15"/>
    <m/>
    <m/>
    <m/>
    <m/>
  </r>
  <r>
    <s v="DSCN2248"/>
    <s v="AQ1029_2"/>
    <n v="2"/>
    <n v="1"/>
    <x v="7"/>
    <d v="2018-10-29T00:00:00"/>
    <s v="October"/>
    <s v="Fall"/>
    <d v="1899-12-30T01:07:00"/>
    <d v="1899-12-30T00:01:07"/>
    <x v="122"/>
    <s v="Clear"/>
    <x v="21"/>
    <s v="Foraging (Cache recovery)"/>
    <s v="Spruce"/>
    <n v="1"/>
    <m/>
    <n v="0"/>
    <s v="Unknown"/>
    <s v="Unknown (possibly meat)"/>
    <s v="Interior bare branch under witch hair"/>
    <s v="NA"/>
    <s v="NA"/>
    <s v="NA"/>
    <s v="NA"/>
    <m/>
    <m/>
    <s v="NA"/>
    <s v="NA"/>
    <m/>
    <m/>
    <m/>
    <m/>
    <n v="68"/>
    <n v="0"/>
    <n v="68"/>
    <n v="0"/>
    <n v="0"/>
    <n v="0"/>
    <n v="68"/>
    <s v="Probing/pecking"/>
    <s v="5 pecks "/>
    <n v="1"/>
    <n v="0"/>
  </r>
  <r>
    <s v="DSCN2250"/>
    <s v="AQ1029_3"/>
    <n v="3"/>
    <n v="1"/>
    <x v="7"/>
    <d v="2018-10-29T00:00:00"/>
    <s v="October"/>
    <s v="Fall"/>
    <d v="1899-12-30T00:10:00"/>
    <d v="1899-12-30T00:00:10"/>
    <x v="122"/>
    <s v="Clear"/>
    <x v="21"/>
    <s v="Foraging"/>
    <s v="Spruce"/>
    <n v="1"/>
    <m/>
    <n v="0"/>
    <s v="Unknown"/>
    <s v="Unknown"/>
    <s v="Interior bare spruce branch"/>
    <s v="NA"/>
    <s v="NA"/>
    <s v="NA"/>
    <s v="NA"/>
    <m/>
    <m/>
    <s v="NA"/>
    <s v="NA"/>
    <m/>
    <m/>
    <m/>
    <m/>
    <n v="10"/>
    <n v="0"/>
    <n v="10"/>
    <n v="0"/>
    <n v="0"/>
    <n v="0"/>
    <n v="10"/>
    <s v="Gleaning"/>
    <m/>
    <n v="0"/>
    <n v="1"/>
  </r>
  <r>
    <s v="DSCN2251"/>
    <s v="AQ1029_4"/>
    <n v="4"/>
    <n v="1"/>
    <x v="7"/>
    <d v="2018-10-29T00:00:00"/>
    <s v="October"/>
    <s v="Fall"/>
    <d v="1899-12-30T00:07:00"/>
    <d v="1899-12-30T00:00:07"/>
    <x v="122"/>
    <s v="Clear"/>
    <x v="21"/>
    <s v="Foraging"/>
    <s v="Spruce"/>
    <s v="unknown"/>
    <m/>
    <s v="Unknown"/>
    <s v="Unknown"/>
    <s v="Unknown"/>
    <s v="NA"/>
    <s v="NA"/>
    <m/>
    <m/>
    <m/>
    <m/>
    <m/>
    <s v="NA"/>
    <s v="NA"/>
    <m/>
    <m/>
    <m/>
    <m/>
    <n v="7"/>
    <n v="0"/>
    <n v="7"/>
    <n v="0"/>
    <n v="0"/>
    <n v="0"/>
    <n v="7"/>
    <m/>
    <m/>
    <m/>
    <m/>
  </r>
  <r>
    <s v="DSCN2253"/>
    <s v="AQ1029_5"/>
    <n v="5"/>
    <n v="1"/>
    <x v="7"/>
    <d v="2018-10-29T00:00:00"/>
    <s v="October"/>
    <s v="Fall"/>
    <d v="1899-12-30T00:33:00"/>
    <d v="1899-12-30T00:00:33"/>
    <x v="122"/>
    <s v="Clear"/>
    <x v="21"/>
    <s v="Foraging"/>
    <s v="Spruce"/>
    <s v="unknown"/>
    <m/>
    <s v="Unknown"/>
    <s v="Unknown"/>
    <s v="Unknown"/>
    <s v="NA"/>
    <s v="NA"/>
    <m/>
    <m/>
    <m/>
    <m/>
    <m/>
    <s v="NA"/>
    <s v="NA"/>
    <m/>
    <m/>
    <m/>
    <m/>
    <n v="30"/>
    <n v="0"/>
    <n v="30"/>
    <n v="0"/>
    <n v="0"/>
    <n v="0"/>
    <n v="30"/>
    <m/>
    <m/>
    <m/>
    <m/>
  </r>
  <r>
    <s v="DSCN1352"/>
    <s v="B&amp;U1006_3"/>
    <n v="3"/>
    <n v="1"/>
    <x v="5"/>
    <d v="2018-10-06T00:00:00"/>
    <s v="October"/>
    <s v="Fall"/>
    <d v="1899-12-30T00:28:00"/>
    <d v="1899-12-30T00:00:28"/>
    <x v="122"/>
    <s v="Mostly sunny"/>
    <x v="14"/>
    <s v="Foraging/cache retrieval"/>
    <s v="Spruce"/>
    <n v="1"/>
    <m/>
    <n v="0"/>
    <s v="Unknown"/>
    <s v="unknown, looked like a previsouly cached bolus"/>
    <s v="Spruce branch under bark"/>
    <s v="NA"/>
    <s v="NA"/>
    <s v="NA"/>
    <s v="NA"/>
    <m/>
    <m/>
    <s v="NA"/>
    <s v="NA"/>
    <m/>
    <m/>
    <m/>
    <m/>
    <n v="2"/>
    <n v="0"/>
    <n v="2"/>
    <n v="0"/>
    <n v="0"/>
    <n v="0"/>
    <n v="2"/>
    <m/>
    <s v="Went straight for food site.  "/>
    <m/>
    <m/>
  </r>
  <r>
    <s v="DSCN1830"/>
    <s v="B&amp;U1017_1"/>
    <n v="1"/>
    <n v="1"/>
    <x v="5"/>
    <d v="2018-10-17T00:00:00"/>
    <s v="October"/>
    <s v="Fall"/>
    <d v="1899-12-30T00:10:00"/>
    <d v="1899-12-30T00:00:10"/>
    <x v="122"/>
    <s v="Overcast"/>
    <x v="14"/>
    <s v="Foraging"/>
    <s v="NA"/>
    <n v="1"/>
    <m/>
    <n v="0"/>
    <s v="Berry"/>
    <s v="Berry (Blueberry)"/>
    <s v="Ground"/>
    <s v="NA"/>
    <s v="NA"/>
    <s v="NA"/>
    <s v="NA"/>
    <m/>
    <m/>
    <s v="NA"/>
    <s v="NA"/>
    <m/>
    <m/>
    <m/>
    <m/>
    <n v="0"/>
    <n v="0"/>
    <n v="0"/>
    <n v="0"/>
    <n v="10"/>
    <n v="0"/>
    <n v="10"/>
    <m/>
    <m/>
    <m/>
    <m/>
  </r>
  <r>
    <s v="DSCN1831"/>
    <s v="B&amp;U1017_2"/>
    <n v="2"/>
    <n v="1"/>
    <x v="5"/>
    <d v="2018-10-17T00:00:00"/>
    <s v="October"/>
    <s v="Fall"/>
    <d v="1899-12-30T00:34:00"/>
    <d v="1899-12-30T00:00:34"/>
    <x v="122"/>
    <s v="Overcast"/>
    <x v="14"/>
    <s v="Caching/foraging"/>
    <s v="Spruce"/>
    <n v="1"/>
    <m/>
    <n v="1"/>
    <s v="Berry"/>
    <s v="Berry (Blueberry)"/>
    <s v="Ground"/>
    <s v="Interior spruce foliage"/>
    <s v="Spruce "/>
    <s v="Interior"/>
    <s v="Foliage"/>
    <m/>
    <m/>
    <n v="6"/>
    <n v="63.725520000000003"/>
    <n v="148.95973000000001"/>
    <m/>
    <m/>
    <m/>
    <n v="0"/>
    <n v="0"/>
    <n v="0"/>
    <n v="0"/>
    <n v="12"/>
    <n v="0"/>
    <n v="12"/>
    <m/>
    <m/>
    <m/>
    <m/>
  </r>
  <r>
    <s v="DSCN2202"/>
    <s v="B&amp;U1029_3"/>
    <n v="3"/>
    <n v="1"/>
    <x v="5"/>
    <d v="2018-10-29T00:00:00"/>
    <s v="October"/>
    <s v="Fall"/>
    <d v="1899-12-30T00:35:00"/>
    <d v="1899-12-30T00:00:35"/>
    <x v="122"/>
    <s v="Clear"/>
    <x v="14"/>
    <s v="Foraging"/>
    <s v="Spruce"/>
    <s v="unknown"/>
    <m/>
    <n v="0"/>
    <m/>
    <s v="NA"/>
    <s v="NA"/>
    <s v="NA"/>
    <s v="NA"/>
    <s v="NA"/>
    <s v="NA"/>
    <m/>
    <m/>
    <s v="NA"/>
    <s v="NA"/>
    <m/>
    <m/>
    <m/>
    <m/>
    <n v="0"/>
    <n v="35"/>
    <n v="0"/>
    <n v="35"/>
    <n v="0"/>
    <n v="0"/>
    <n v="35"/>
    <m/>
    <m/>
    <m/>
    <m/>
  </r>
  <r>
    <s v="DSCN2203"/>
    <s v="B&amp;U1029_4"/>
    <n v="4"/>
    <n v="1"/>
    <x v="5"/>
    <d v="2018-10-29T00:00:00"/>
    <s v="October"/>
    <s v="Fall"/>
    <d v="1899-12-30T00:20:00"/>
    <d v="1899-12-30T00:00:20"/>
    <x v="122"/>
    <s v="Clear"/>
    <x v="14"/>
    <s v="Foraging"/>
    <s v="Spruce"/>
    <s v="unknown"/>
    <m/>
    <n v="0"/>
    <m/>
    <s v="NA"/>
    <s v="NA"/>
    <s v="NA"/>
    <s v="NA"/>
    <s v="NA"/>
    <s v="NA"/>
    <m/>
    <m/>
    <s v="NA"/>
    <s v="NA"/>
    <m/>
    <m/>
    <m/>
    <m/>
    <n v="0"/>
    <n v="20"/>
    <n v="0"/>
    <n v="20"/>
    <n v="0"/>
    <n v="0"/>
    <n v="20"/>
    <m/>
    <m/>
    <m/>
    <m/>
  </r>
  <r>
    <s v="DSCN2204"/>
    <s v="B&amp;U1029_5"/>
    <n v="5"/>
    <n v="1"/>
    <x v="5"/>
    <d v="2018-10-29T00:00:00"/>
    <s v="October"/>
    <s v="Fall"/>
    <d v="1899-12-30T00:45:00"/>
    <d v="1899-12-30T00:00:45"/>
    <x v="122"/>
    <s v="Clear"/>
    <x v="14"/>
    <s v="Foraging"/>
    <s v="Spruce"/>
    <s v="unknown"/>
    <m/>
    <s v="Unknown"/>
    <s v="Unknown"/>
    <s v="Unknown"/>
    <s v="NA"/>
    <s v="NA"/>
    <m/>
    <m/>
    <m/>
    <m/>
    <m/>
    <s v="NA"/>
    <s v="NA"/>
    <m/>
    <m/>
    <m/>
    <m/>
    <n v="0"/>
    <n v="45"/>
    <n v="13"/>
    <n v="32"/>
    <n v="0"/>
    <n v="0"/>
    <n v="45"/>
    <m/>
    <m/>
    <m/>
    <m/>
  </r>
  <r>
    <s v="DSCN2206"/>
    <s v="B&amp;U1029_6"/>
    <n v="6"/>
    <n v="1"/>
    <x v="5"/>
    <d v="2018-10-29T00:00:00"/>
    <s v="October"/>
    <s v="Fall"/>
    <d v="1899-12-30T00:36:00"/>
    <d v="1899-12-30T00:00:36"/>
    <x v="122"/>
    <s v="Clear"/>
    <x v="14"/>
    <s v="Foraging"/>
    <s v="Spruce"/>
    <s v="unknown"/>
    <m/>
    <s v="Unknown"/>
    <s v="Unknown"/>
    <s v="Unknown"/>
    <s v="NA"/>
    <s v="NA"/>
    <m/>
    <m/>
    <m/>
    <m/>
    <m/>
    <s v="NA"/>
    <s v="NA"/>
    <m/>
    <m/>
    <m/>
    <m/>
    <n v="7"/>
    <n v="13"/>
    <n v="7"/>
    <n v="13"/>
    <n v="0"/>
    <n v="0"/>
    <n v="20"/>
    <m/>
    <m/>
    <m/>
    <m/>
  </r>
  <r>
    <s v="DSCN2216"/>
    <s v="B&amp;U1029_10"/>
    <n v="10"/>
    <n v="1"/>
    <x v="5"/>
    <d v="2018-10-29T00:00:00"/>
    <s v="October"/>
    <s v="Fall"/>
    <d v="1899-12-30T00:30:00"/>
    <d v="1899-12-30T00:00:30"/>
    <x v="122"/>
    <s v="Clear"/>
    <x v="14"/>
    <s v="Foraging"/>
    <s v="Spruce"/>
    <n v="0"/>
    <m/>
    <n v="0"/>
    <m/>
    <s v="NA"/>
    <s v="NA"/>
    <s v="NA"/>
    <s v="NA"/>
    <s v="NA"/>
    <s v="NA"/>
    <m/>
    <m/>
    <s v="NA"/>
    <s v="NA"/>
    <m/>
    <m/>
    <m/>
    <m/>
    <n v="0"/>
    <n v="19"/>
    <n v="0"/>
    <n v="19"/>
    <n v="0"/>
    <n v="0"/>
    <n v="19"/>
    <m/>
    <m/>
    <m/>
    <m/>
  </r>
  <r>
    <s v="DSCN2228"/>
    <s v="B&amp;U1029_16"/>
    <n v="16"/>
    <n v="1"/>
    <x v="5"/>
    <d v="2018-10-29T00:00:00"/>
    <s v="October"/>
    <s v="Fall"/>
    <d v="1899-12-30T00:07:00"/>
    <d v="1899-12-30T00:00:07"/>
    <x v="122"/>
    <s v="Clear"/>
    <x v="14"/>
    <s v="Foraging"/>
    <s v="Spruce"/>
    <n v="0"/>
    <m/>
    <n v="0"/>
    <m/>
    <s v="NA"/>
    <s v="NA"/>
    <s v="NA"/>
    <s v="NA"/>
    <s v="NA"/>
    <s v="NA"/>
    <m/>
    <m/>
    <s v="NA"/>
    <s v="NA"/>
    <m/>
    <m/>
    <m/>
    <m/>
    <n v="0"/>
    <n v="7"/>
    <n v="0"/>
    <n v="7"/>
    <n v="0"/>
    <n v="0"/>
    <n v="7"/>
    <m/>
    <m/>
    <m/>
    <m/>
  </r>
  <r>
    <s v="DSCN2008"/>
    <s v="M3.51023_2"/>
    <n v="2"/>
    <n v="1"/>
    <x v="11"/>
    <d v="2018-10-23T00:00:00"/>
    <s v="October"/>
    <s v="Fall"/>
    <d v="1899-12-30T00:17:00"/>
    <d v="1899-12-30T00:00:17"/>
    <x v="122"/>
    <m/>
    <x v="41"/>
    <s v="Foraging (Cache recovery)"/>
    <s v="Spruce"/>
    <n v="1"/>
    <m/>
    <n v="0"/>
    <s v="Unknown"/>
    <s v="Unknown probably dried blueberry"/>
    <s v="Exterior bare branch in witch hair"/>
    <s v="NA"/>
    <s v="NA"/>
    <s v="NA"/>
    <s v="NA"/>
    <m/>
    <m/>
    <s v="NA"/>
    <s v="NA"/>
    <m/>
    <m/>
    <m/>
    <m/>
    <n v="10"/>
    <n v="0"/>
    <n v="0"/>
    <n v="10"/>
    <n v="0"/>
    <n v="0"/>
    <n v="10"/>
    <m/>
    <m/>
    <m/>
    <m/>
  </r>
  <r>
    <s v="DSCN2010"/>
    <s v="M3.51023_3"/>
    <n v="3"/>
    <n v="1"/>
    <x v="11"/>
    <d v="2018-10-23T00:00:00"/>
    <s v="October"/>
    <s v="Fall"/>
    <d v="1899-12-30T00:14:00"/>
    <d v="1899-12-30T00:00:14"/>
    <x v="122"/>
    <m/>
    <x v="41"/>
    <s v="Food handling"/>
    <s v="Spruce"/>
    <n v="1"/>
    <m/>
    <n v="0"/>
    <s v="Unknown"/>
    <s v="Unknown probably dried blueberry"/>
    <s v="unknown"/>
    <s v="NA"/>
    <s v="NA"/>
    <s v="NA"/>
    <s v="NA"/>
    <m/>
    <m/>
    <s v="NA"/>
    <s v="NA"/>
    <m/>
    <m/>
    <m/>
    <m/>
    <n v="0"/>
    <n v="0"/>
    <n v="0"/>
    <n v="0"/>
    <n v="0"/>
    <n v="0"/>
    <n v="0"/>
    <m/>
    <s v="Possibly new food item or food item it obtained in previous video. "/>
    <m/>
    <m/>
  </r>
  <r>
    <s v="DSCN1428"/>
    <s v="M4E1008_1"/>
    <n v="1"/>
    <n v="1"/>
    <x v="21"/>
    <d v="2018-10-08T00:00:00"/>
    <s v="October"/>
    <s v="Fall"/>
    <d v="1899-12-30T00:17:00"/>
    <d v="1899-12-30T00:00:17"/>
    <x v="122"/>
    <s v="Partly cloudy"/>
    <x v="15"/>
    <s v="Caching"/>
    <s v="Spruce"/>
    <n v="0"/>
    <m/>
    <n v="2"/>
    <s v="Unknown"/>
    <s v="Unknown"/>
    <s v="unknown"/>
    <s v="Spruce trunk under bark"/>
    <s v="Spruce"/>
    <s v="Trunk"/>
    <s v="Under bark"/>
    <m/>
    <m/>
    <s v="unknown"/>
    <s v="Did not mark (did not recognize as cache while in field)"/>
    <m/>
    <m/>
    <m/>
    <m/>
    <n v="0"/>
    <n v="0"/>
    <n v="0"/>
    <n v="0"/>
    <n v="0"/>
    <n v="0"/>
    <n v="0"/>
    <m/>
    <s v="First cache is obviouos from video, second is more of a guess, B&amp;Ut seems likely based on the behavior.  "/>
    <m/>
    <m/>
  </r>
  <r>
    <s v="DSCN1430"/>
    <s v="M4E1008_2"/>
    <n v="2"/>
    <n v="1"/>
    <x v="21"/>
    <d v="2018-10-08T00:00:00"/>
    <s v="October"/>
    <s v="Fall"/>
    <d v="1899-12-30T00:33:00"/>
    <d v="1899-12-30T00:00:33"/>
    <x v="122"/>
    <s v="Partly cloudy"/>
    <x v="15"/>
    <s v="Caching"/>
    <s v="Spruce"/>
    <n v="1"/>
    <m/>
    <n v="1"/>
    <s v="Unknown"/>
    <s v="Unknown"/>
    <s v="Ground"/>
    <s v="Exterior spruce branch under bark/witch hair"/>
    <s v="Spruce"/>
    <s v="Exterior"/>
    <s v="Under bark and witch hair "/>
    <m/>
    <m/>
    <n v="2"/>
    <n v="63.719540000000002"/>
    <n v="148.98946000000001"/>
    <m/>
    <m/>
    <m/>
    <n v="0"/>
    <n v="0"/>
    <n v="0"/>
    <n v="0"/>
    <n v="13"/>
    <n v="0"/>
    <n v="13"/>
    <m/>
    <m/>
    <m/>
    <m/>
  </r>
  <r>
    <s v="DSCN1430"/>
    <s v="M4E1008_2"/>
    <n v="2"/>
    <n v="2"/>
    <x v="21"/>
    <d v="2018-10-08T00:00:00"/>
    <s v="October"/>
    <s v="Fall"/>
    <d v="1899-12-30T00:33:00"/>
    <d v="1899-12-30T00:00:33"/>
    <x v="122"/>
    <s v="Partly cloudy"/>
    <x v="15"/>
    <s v="Caching/foraging"/>
    <s v="Spruce"/>
    <n v="1"/>
    <m/>
    <n v="1"/>
    <s v="Berry"/>
    <s v="Berry (Blueberry)"/>
    <s v="Ground"/>
    <s v="Interior spruce foliage "/>
    <s v="Spruce"/>
    <s v="Interior"/>
    <s v="Foliage"/>
    <m/>
    <m/>
    <n v="14"/>
    <n v="63.719450000000002"/>
    <n v="148.98935"/>
    <m/>
    <m/>
    <m/>
    <n v="0"/>
    <n v="0"/>
    <n v="0"/>
    <n v="0"/>
    <n v="0"/>
    <n v="0"/>
    <n v="0"/>
    <m/>
    <m/>
    <m/>
    <m/>
  </r>
  <r>
    <s v="DSCN1431"/>
    <s v="M4E1008_3"/>
    <n v="3"/>
    <n v="1"/>
    <x v="21"/>
    <d v="2018-10-08T00:00:00"/>
    <s v="October"/>
    <s v="Fall"/>
    <d v="1899-12-30T00:32:00"/>
    <d v="1899-12-30T00:00:32"/>
    <x v="122"/>
    <s v="Partly cloudy"/>
    <x v="15"/>
    <s v="Caching"/>
    <s v="Spruce"/>
    <n v="0"/>
    <m/>
    <n v="1"/>
    <s v="Berry"/>
    <s v="Berry (Blueberry)"/>
    <s v="Ground"/>
    <s v="Interior spruce foliage "/>
    <s v="Spruce"/>
    <s v="Interior"/>
    <s v="Foliage"/>
    <m/>
    <m/>
    <n v="14"/>
    <n v="63.719450000000002"/>
    <n v="148.98935"/>
    <m/>
    <m/>
    <m/>
    <n v="0"/>
    <n v="0"/>
    <n v="0"/>
    <n v="0"/>
    <n v="0"/>
    <n v="0"/>
    <n v="0"/>
    <m/>
    <s v="Same tree as second cache tree in previous video.  Seemed like it returned to cache more, B&amp;Ut this was unconfirmed by the video.  "/>
    <m/>
    <m/>
  </r>
  <r>
    <s v="DSCN1588"/>
    <s v="M4R1015_11"/>
    <n v="11"/>
    <n v="1"/>
    <x v="6"/>
    <d v="2018-10-15T00:00:00"/>
    <s v="October"/>
    <s v="Fall"/>
    <d v="1899-12-30T01:10:00"/>
    <d v="1899-12-30T00:01:10"/>
    <x v="122"/>
    <s v="Overcast"/>
    <x v="15"/>
    <s v="Foraging"/>
    <s v="NA"/>
    <n v="1"/>
    <m/>
    <n v="0"/>
    <s v="Animal flesh"/>
    <s v="Animal flesh (Snowshoe hare)"/>
    <s v="Ground"/>
    <s v="NA"/>
    <s v="NA"/>
    <s v="NA"/>
    <s v="NA"/>
    <m/>
    <m/>
    <s v="NA"/>
    <s v="NA"/>
    <m/>
    <m/>
    <m/>
    <m/>
    <n v="0"/>
    <n v="0"/>
    <n v="0"/>
    <n v="0"/>
    <n v="0"/>
    <n v="0"/>
    <n v="0"/>
    <m/>
    <m/>
    <m/>
    <m/>
  </r>
  <r>
    <s v="DSCN1589"/>
    <s v="M4R1015_12"/>
    <n v="12"/>
    <n v="1"/>
    <x v="6"/>
    <d v="2018-10-15T00:00:00"/>
    <s v="October"/>
    <s v="Fall"/>
    <d v="1899-12-30T00:10:00"/>
    <d v="1899-12-30T00:00:10"/>
    <x v="122"/>
    <s v="Overcast"/>
    <x v="15"/>
    <s v="Caching"/>
    <s v="Spruce"/>
    <n v="0"/>
    <m/>
    <n v="1"/>
    <s v="Animal flesh"/>
    <s v="Animal flesh (Snowshoe hare)"/>
    <s v="Ground"/>
    <s v="Exterior spruce foliage"/>
    <s v="Spruce"/>
    <s v="Exterior"/>
    <s v="Foliage"/>
    <m/>
    <m/>
    <n v="31"/>
    <n v="63.721730000000001"/>
    <n v="148.98685"/>
    <m/>
    <m/>
    <m/>
    <n v="0"/>
    <n v="0"/>
    <n v="0"/>
    <n v="0"/>
    <n v="0"/>
    <n v="0"/>
    <n v="0"/>
    <m/>
    <s v="Cache from previous video. Followed bird from hare to tree.  Observation os cache wasn't caught on video and was obstructed from view due to delay in catching up with the bird.  B&amp;Ut given the behavior and location upon our arrival, we felt confident marking the tree. "/>
    <m/>
    <m/>
  </r>
  <r>
    <s v="DSCN1591"/>
    <s v="M4R1015_14"/>
    <n v="14"/>
    <n v="2"/>
    <x v="6"/>
    <d v="2018-10-15T00:00:00"/>
    <s v="October"/>
    <s v="Fall"/>
    <d v="1899-12-30T00:59:00"/>
    <d v="1899-12-30T00:00:59"/>
    <x v="122"/>
    <s v="Overcast"/>
    <x v="15"/>
    <s v="Foraging"/>
    <s v="NA"/>
    <n v="1"/>
    <m/>
    <n v="0"/>
    <s v="Animal flesh"/>
    <s v="Animal flesh (Snowshoe hare)"/>
    <s v="Ground"/>
    <s v="NA"/>
    <s v="NA"/>
    <s v="NA"/>
    <s v="NA"/>
    <m/>
    <m/>
    <s v="NA"/>
    <s v="NA"/>
    <m/>
    <m/>
    <m/>
    <m/>
    <n v="0"/>
    <n v="0"/>
    <n v="0"/>
    <n v="0"/>
    <n v="0"/>
    <n v="0"/>
    <n v="0"/>
    <m/>
    <m/>
    <m/>
    <m/>
  </r>
  <r>
    <s v="DSCN1592"/>
    <s v="M4R1015_15"/>
    <n v="15"/>
    <n v="1"/>
    <x v="6"/>
    <d v="2018-10-15T00:00:00"/>
    <s v="October"/>
    <s v="Fall"/>
    <d v="1899-12-30T00:38:00"/>
    <d v="1899-12-30T00:00:38"/>
    <x v="122"/>
    <s v="Overcast"/>
    <x v="15"/>
    <s v="Foraging"/>
    <s v="NA"/>
    <n v="1"/>
    <m/>
    <n v="0"/>
    <s v="Animal flesh"/>
    <s v="Animal flesh (Snowshoe hare)"/>
    <s v="Ground"/>
    <s v="NA"/>
    <s v="NA"/>
    <s v="NA"/>
    <s v="NA"/>
    <m/>
    <m/>
    <s v="NA"/>
    <s v="NA"/>
    <m/>
    <m/>
    <m/>
    <m/>
    <n v="0"/>
    <n v="0"/>
    <n v="0"/>
    <n v="0"/>
    <n v="0"/>
    <n v="0"/>
    <n v="0"/>
    <m/>
    <m/>
    <m/>
    <m/>
  </r>
  <r>
    <s v="DSCN1594"/>
    <s v="M4R1015_17"/>
    <n v="17"/>
    <n v="1"/>
    <x v="6"/>
    <d v="2018-10-15T00:00:00"/>
    <s v="October"/>
    <s v="Fall"/>
    <d v="1899-12-30T02:42:00"/>
    <d v="1899-12-30T00:02:42"/>
    <x v="122"/>
    <s v="Overcast"/>
    <x v="15"/>
    <s v="Foraging"/>
    <s v="NA"/>
    <n v="2"/>
    <m/>
    <n v="0"/>
    <s v="Animal flesh"/>
    <s v="Animal flesh (Snowshoe hare)"/>
    <s v="Ground"/>
    <s v="NA"/>
    <s v="NA"/>
    <s v="NA"/>
    <s v="NA"/>
    <m/>
    <m/>
    <s v="NA"/>
    <s v="NA"/>
    <m/>
    <m/>
    <m/>
    <m/>
    <n v="0"/>
    <n v="0"/>
    <n v="0"/>
    <n v="0"/>
    <n v="0"/>
    <n v="0"/>
    <n v="0"/>
    <m/>
    <m/>
    <m/>
    <m/>
  </r>
  <r>
    <s v="DSCN1595"/>
    <s v="M451015_18"/>
    <n v="18"/>
    <n v="1"/>
    <x v="6"/>
    <d v="2018-10-15T00:00:00"/>
    <s v="October"/>
    <s v="Fall"/>
    <d v="1899-12-30T00:13:00"/>
    <d v="1899-12-30T00:00:13"/>
    <x v="122"/>
    <s v="Overcast"/>
    <x v="15"/>
    <s v="Caching"/>
    <s v="NA"/>
    <n v="0"/>
    <m/>
    <n v="1"/>
    <s v="Animal flesh"/>
    <s v="Animal flesh (Snowshoe hare)"/>
    <s v="Ground"/>
    <s v="Interior spruce foliage "/>
    <s v="Spruce"/>
    <s v="Interior"/>
    <s v="Foliage"/>
    <m/>
    <m/>
    <n v="45"/>
    <n v="63.721649999999997"/>
    <n v="148.98674"/>
    <m/>
    <m/>
    <m/>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596"/>
    <s v="M4R1015_19"/>
    <n v="19"/>
    <n v="1"/>
    <x v="6"/>
    <d v="2018-10-15T00:00:00"/>
    <s v="October"/>
    <s v="Fall"/>
    <d v="1899-12-30T00:53:00"/>
    <d v="1899-12-30T00:00:53"/>
    <x v="122"/>
    <s v="Overcast"/>
    <x v="15"/>
    <s v="Foraging"/>
    <s v="NA"/>
    <n v="1"/>
    <m/>
    <n v="0"/>
    <s v="Animal flesh"/>
    <s v="Animal flesh (Snowshoe hare)"/>
    <s v="Ground"/>
    <s v="NA"/>
    <s v="NA"/>
    <s v="NA"/>
    <s v="NA"/>
    <m/>
    <m/>
    <s v="NA"/>
    <s v="NA"/>
    <m/>
    <m/>
    <m/>
    <m/>
    <n v="0"/>
    <n v="0"/>
    <n v="0"/>
    <n v="0"/>
    <n v="0"/>
    <n v="0"/>
    <n v="0"/>
    <m/>
    <m/>
    <m/>
    <m/>
  </r>
  <r>
    <s v="DSCN1597"/>
    <s v="M4R1015_20"/>
    <n v="20"/>
    <n v="1"/>
    <x v="6"/>
    <d v="2018-10-15T00:00:00"/>
    <s v="October"/>
    <s v="Fall"/>
    <d v="1899-12-30T00:15:00"/>
    <d v="1899-12-30T00:00:15"/>
    <x v="122"/>
    <s v="Overcast"/>
    <x v="15"/>
    <s v="Caching"/>
    <s v="Spruce"/>
    <n v="0"/>
    <m/>
    <n v="1"/>
    <s v="Animal flesh"/>
    <s v="Animal flesh (Snowshoe hare)"/>
    <s v="Ground"/>
    <s v="Interior bare spruce"/>
    <s v="Spruce"/>
    <s v="Interior"/>
    <s v="Branch"/>
    <m/>
    <m/>
    <n v="6"/>
    <n v="63.721870000000003"/>
    <n v="148.98738"/>
    <m/>
    <m/>
    <m/>
    <n v="0"/>
    <n v="0"/>
    <n v="0"/>
    <n v="0"/>
    <n v="0"/>
    <n v="0"/>
    <n v="0"/>
    <m/>
    <s v="First cache is confirmed.  Second cache: Followed bird from hare to tree.  Observation os cache wasn't caught on video and was obstructed from view due to delay in catching up with the bird.  B&amp;Ut given the behavior and location upon our arrival, we felt confident marking the tree. "/>
    <m/>
    <m/>
  </r>
  <r>
    <s v="DSCN1604"/>
    <s v="M4R1015_25"/>
    <n v="25"/>
    <n v="1"/>
    <x v="6"/>
    <d v="2018-10-15T00:00:00"/>
    <s v="October"/>
    <s v="Fall"/>
    <d v="1899-12-30T00:19:00"/>
    <d v="1899-12-30T00:00:19"/>
    <x v="122"/>
    <s v="Overcast"/>
    <x v="15"/>
    <s v="Foraging"/>
    <s v="NA"/>
    <n v="1"/>
    <m/>
    <n v="0"/>
    <s v="Animal flesh"/>
    <s v="Animal flesh (Snowshoe hare)"/>
    <s v="Ground"/>
    <s v="NA"/>
    <s v="NA"/>
    <s v="NA"/>
    <s v="NA"/>
    <m/>
    <m/>
    <s v="NA"/>
    <s v="NA"/>
    <m/>
    <m/>
    <m/>
    <m/>
    <n v="0"/>
    <n v="0"/>
    <n v="0"/>
    <n v="0"/>
    <n v="0"/>
    <n v="0"/>
    <n v="0"/>
    <m/>
    <m/>
    <m/>
    <m/>
  </r>
  <r>
    <s v="DSCN1617"/>
    <s v="M4R1015_27"/>
    <n v="27"/>
    <n v="1"/>
    <x v="6"/>
    <d v="2018-10-15T00:00:00"/>
    <s v="October"/>
    <s v="Fall"/>
    <d v="1899-12-30T03:31:00"/>
    <d v="1899-12-30T00:03:31"/>
    <x v="122"/>
    <s v="Overcast"/>
    <x v="15"/>
    <s v="Foraging"/>
    <s v="NA"/>
    <n v="1"/>
    <m/>
    <n v="0"/>
    <s v="Animal flesh"/>
    <s v="Animal flesh (Snowshoe hare)"/>
    <s v="Ground"/>
    <s v="NA"/>
    <s v="NA"/>
    <s v="NA"/>
    <s v="NA"/>
    <m/>
    <m/>
    <s v="NA"/>
    <s v="NA"/>
    <m/>
    <m/>
    <m/>
    <m/>
    <n v="0"/>
    <n v="0"/>
    <n v="0"/>
    <n v="0"/>
    <n v="0"/>
    <n v="0"/>
    <n v="0"/>
    <m/>
    <m/>
    <m/>
    <m/>
  </r>
  <r>
    <s v="DSCN1632"/>
    <s v="M4R1015_29"/>
    <n v="29"/>
    <n v="1"/>
    <x v="6"/>
    <d v="2018-10-15T00:00:00"/>
    <s v="October"/>
    <s v="Fall"/>
    <d v="1899-12-30T00:11:00"/>
    <d v="1899-12-30T00:00:11"/>
    <x v="122"/>
    <s v="Overcast"/>
    <x v="15"/>
    <s v="Foraging"/>
    <s v="NA"/>
    <n v="1"/>
    <m/>
    <n v="0"/>
    <s v="Animal flesh"/>
    <s v="Animal flesh (Snowshoe hare)"/>
    <s v="Ground"/>
    <s v="NA"/>
    <s v="NA"/>
    <s v="NA"/>
    <s v="NA"/>
    <m/>
    <m/>
    <s v="NA"/>
    <s v="NA"/>
    <m/>
    <m/>
    <m/>
    <m/>
    <n v="0"/>
    <n v="0"/>
    <n v="0"/>
    <n v="0"/>
    <n v="0"/>
    <n v="0"/>
    <n v="0"/>
    <m/>
    <m/>
    <m/>
    <m/>
  </r>
  <r>
    <s v="DSCN1659"/>
    <s v="M4R1015_30"/>
    <n v="30"/>
    <n v="2"/>
    <x v="6"/>
    <d v="2018-10-15T00:00:00"/>
    <s v="October"/>
    <s v="Fall"/>
    <d v="1899-12-30T00:43:00"/>
    <d v="1899-12-30T00:00:43"/>
    <x v="122"/>
    <s v="Overcast"/>
    <x v="15"/>
    <s v="Foraging"/>
    <s v="NA"/>
    <n v="1"/>
    <m/>
    <n v="0"/>
    <s v="Animal flesh"/>
    <s v="Animal flesh (Snowshoe hare)"/>
    <s v="Ground"/>
    <s v="NA"/>
    <s v="NA"/>
    <s v="NA"/>
    <s v="NA"/>
    <m/>
    <m/>
    <s v="NA"/>
    <s v="NA"/>
    <m/>
    <m/>
    <m/>
    <m/>
    <n v="0"/>
    <n v="0"/>
    <n v="0"/>
    <n v="0"/>
    <n v="0"/>
    <n v="0"/>
    <n v="0"/>
    <m/>
    <m/>
    <m/>
    <m/>
  </r>
  <r>
    <s v="DSCN1671"/>
    <s v="M4R1015_31"/>
    <n v="31"/>
    <n v="1"/>
    <x v="6"/>
    <d v="2018-10-15T00:00:00"/>
    <s v="October"/>
    <s v="Fall"/>
    <d v="1899-12-30T00:38:00"/>
    <d v="1899-12-30T00:00:38"/>
    <x v="122"/>
    <s v="Overcast"/>
    <x v="15"/>
    <s v="Foraging"/>
    <s v="Spruce"/>
    <n v="1"/>
    <m/>
    <n v="1"/>
    <s v="Animal flesh"/>
    <s v="Animal flesh (Snowshoe hare)"/>
    <s v="Ground"/>
    <s v="Exterior spruce foliage"/>
    <s v="Spruce"/>
    <s v="Exterior"/>
    <s v="Foliage"/>
    <m/>
    <m/>
    <n v="20"/>
    <n v="63.721870000000003"/>
    <n v="148.98699999999999"/>
    <m/>
    <m/>
    <m/>
    <n v="0"/>
    <n v="0"/>
    <n v="0"/>
    <n v="0"/>
    <n v="0"/>
    <n v="0"/>
    <n v="0"/>
    <m/>
    <m/>
    <m/>
    <m/>
  </r>
  <r>
    <s v="DSCN1672"/>
    <s v="M4R1015_32"/>
    <n v="32"/>
    <n v="1"/>
    <x v="6"/>
    <d v="2018-10-15T00:00:00"/>
    <s v="October"/>
    <s v="Fall"/>
    <d v="1899-12-30T00:25:00"/>
    <d v="1899-12-30T00:00:25"/>
    <x v="122"/>
    <s v="Overcast"/>
    <x v="15"/>
    <s v="Foraging"/>
    <s v="NA"/>
    <n v="1"/>
    <m/>
    <n v="0"/>
    <s v="Animal flesh"/>
    <s v="Animal flesh (Snowshoe hare)"/>
    <s v="Ground"/>
    <s v="NA"/>
    <s v="NA"/>
    <s v="NA"/>
    <s v="NA"/>
    <m/>
    <m/>
    <s v="NA"/>
    <s v="NA"/>
    <m/>
    <m/>
    <m/>
    <m/>
    <n v="0"/>
    <n v="0"/>
    <n v="0"/>
    <n v="0"/>
    <n v="0"/>
    <n v="0"/>
    <n v="0"/>
    <m/>
    <m/>
    <m/>
    <m/>
  </r>
  <r>
    <s v="DSCN1673"/>
    <s v="M4R1015_33"/>
    <n v="33"/>
    <n v="1"/>
    <x v="6"/>
    <d v="2018-10-15T00:00:00"/>
    <s v="October"/>
    <s v="Fall"/>
    <d v="1899-12-30T00:23:00"/>
    <d v="1899-12-30T00:00:23"/>
    <x v="122"/>
    <s v="Overcast"/>
    <x v="15"/>
    <s v="Caching"/>
    <s v="Spruce"/>
    <n v="0"/>
    <m/>
    <n v="1"/>
    <s v="Animal flesh"/>
    <s v="Animal flesh (Snowshoe hare)"/>
    <s v="Ground"/>
    <s v="Interior bare spruce branch under bark"/>
    <s v="Spruce"/>
    <s v="Interior"/>
    <s v="Under bark"/>
    <m/>
    <m/>
    <n v="28"/>
    <n v="63.721710000000002"/>
    <n v="148.98701"/>
    <m/>
    <m/>
    <m/>
    <n v="0"/>
    <n v="0"/>
    <n v="0"/>
    <n v="0"/>
    <n v="0"/>
    <n v="0"/>
    <n v="0"/>
    <m/>
    <m/>
    <m/>
    <m/>
  </r>
  <r>
    <s v="DSCN1674"/>
    <s v="M4R1015_34"/>
    <n v="34"/>
    <n v="1"/>
    <x v="6"/>
    <d v="2018-10-15T00:00:00"/>
    <s v="October"/>
    <s v="Fall"/>
    <d v="1899-12-30T00:58:00"/>
    <d v="1899-12-30T00:00:58"/>
    <x v="122"/>
    <s v="Overcast"/>
    <x v="15"/>
    <s v="Foraging"/>
    <s v="NA"/>
    <n v="1"/>
    <m/>
    <n v="0"/>
    <s v="Animal flesh"/>
    <s v="Animal flesh (Snowshoe hare)"/>
    <s v="Ground"/>
    <s v="NA"/>
    <s v="NA"/>
    <s v="NA"/>
    <s v="NA"/>
    <m/>
    <m/>
    <s v="NA"/>
    <s v="NA"/>
    <m/>
    <m/>
    <m/>
    <m/>
    <n v="0"/>
    <n v="0"/>
    <n v="0"/>
    <n v="0"/>
    <n v="0"/>
    <n v="0"/>
    <n v="0"/>
    <m/>
    <m/>
    <m/>
    <m/>
  </r>
  <r>
    <s v="DSCN1676"/>
    <s v="M4R1015_35"/>
    <n v="35"/>
    <n v="1"/>
    <x v="6"/>
    <d v="2018-10-15T00:00:00"/>
    <s v="October"/>
    <s v="Fall"/>
    <d v="1899-12-30T01:28:00"/>
    <d v="1899-12-30T00:01:28"/>
    <x v="122"/>
    <s v="Overcast"/>
    <x v="15"/>
    <s v="Foraging"/>
    <s v="NA"/>
    <n v="1"/>
    <m/>
    <n v="0"/>
    <s v="Animal flesh"/>
    <s v="Animal flesh (Snowshoe hare)"/>
    <s v="Ground"/>
    <s v="NA"/>
    <s v="NA"/>
    <s v="NA"/>
    <s v="NA"/>
    <m/>
    <m/>
    <s v="NA"/>
    <s v="NA"/>
    <m/>
    <m/>
    <m/>
    <m/>
    <n v="0"/>
    <n v="0"/>
    <n v="0"/>
    <n v="0"/>
    <n v="0"/>
    <n v="0"/>
    <n v="0"/>
    <m/>
    <m/>
    <m/>
    <m/>
  </r>
  <r>
    <s v="DSCN1677"/>
    <s v="M4R1015_36"/>
    <n v="36"/>
    <n v="1"/>
    <x v="6"/>
    <d v="2018-10-15T00:00:00"/>
    <s v="October"/>
    <s v="Fall"/>
    <d v="1899-12-30T00:22:00"/>
    <d v="1899-12-30T00:00:22"/>
    <x v="122"/>
    <s v="Overcast"/>
    <x v="15"/>
    <s v="Caching"/>
    <s v="Spruce"/>
    <n v="0"/>
    <m/>
    <n v="1"/>
    <s v="Animal flesh"/>
    <s v="Animal flesh (Snowshoe hare)"/>
    <s v="Ground"/>
    <s v="Interior bare spruce branch under bark"/>
    <s v="Spruce"/>
    <s v="Interior"/>
    <s v="Under bark"/>
    <m/>
    <m/>
    <n v="6"/>
    <n v="63.72184"/>
    <n v="148.9074"/>
    <m/>
    <m/>
    <m/>
    <n v="0"/>
    <n v="0"/>
    <n v="0"/>
    <n v="0"/>
    <n v="0"/>
    <n v="0"/>
    <n v="0"/>
    <m/>
    <s v="Same as CT1 for this day. Followed bird from hare to tree.  Observation os cache wasn't caught on video and was obstructed from view due to delay in catching up with the bird.  B&amp;Ut given the behavior and location upon our arrival, we felt confident marking the tree. "/>
    <m/>
    <m/>
  </r>
  <r>
    <s v="DSCN1684"/>
    <s v="M4R1015_37"/>
    <n v="37"/>
    <n v="1"/>
    <x v="6"/>
    <d v="2018-10-15T00:00:00"/>
    <s v="October"/>
    <s v="Fall"/>
    <d v="1899-12-30T00:16:00"/>
    <d v="1899-12-30T00:00:16"/>
    <x v="122"/>
    <s v="Overcast"/>
    <x v="15"/>
    <s v="Foraging"/>
    <s v="NA"/>
    <n v="1"/>
    <m/>
    <n v="0"/>
    <s v="Animal flesh"/>
    <s v="Animal flesh (Snowshoe hare)"/>
    <s v="Ground"/>
    <s v="NA"/>
    <s v="NA"/>
    <s v="NA"/>
    <s v="NA"/>
    <m/>
    <m/>
    <s v="NA"/>
    <s v="NA"/>
    <m/>
    <m/>
    <m/>
    <m/>
    <n v="0"/>
    <n v="0"/>
    <n v="0"/>
    <n v="0"/>
    <n v="0"/>
    <n v="0"/>
    <n v="0"/>
    <m/>
    <m/>
    <m/>
    <m/>
  </r>
  <r>
    <s v="DSCN1685"/>
    <s v="M4R1015_38"/>
    <n v="38"/>
    <n v="1"/>
    <x v="6"/>
    <d v="2018-10-15T00:00:00"/>
    <s v="October"/>
    <s v="Fall"/>
    <d v="1899-12-30T01:47:00"/>
    <d v="1899-12-30T00:01:47"/>
    <x v="122"/>
    <s v="Overcast"/>
    <x v="15"/>
    <s v="Foraging"/>
    <s v="NA"/>
    <n v="1"/>
    <m/>
    <n v="0"/>
    <s v="Animal flesh"/>
    <s v="Animal flesh (Snowshoe hare)"/>
    <s v="Ground"/>
    <s v="NA"/>
    <s v="NA"/>
    <s v="NA"/>
    <s v="NA"/>
    <m/>
    <m/>
    <s v="NA"/>
    <s v="NA"/>
    <m/>
    <m/>
    <m/>
    <m/>
    <n v="0"/>
    <n v="0"/>
    <n v="0"/>
    <n v="0"/>
    <n v="0"/>
    <n v="0"/>
    <n v="0"/>
    <m/>
    <m/>
    <m/>
    <m/>
  </r>
  <r>
    <s v="DSCN1687"/>
    <s v="M4R1015_39"/>
    <n v="39"/>
    <n v="1"/>
    <x v="6"/>
    <d v="2018-10-15T00:00:00"/>
    <s v="October"/>
    <s v="Fall"/>
    <d v="1899-12-30T00:20:00"/>
    <d v="1899-12-30T00:00:20"/>
    <x v="122"/>
    <s v="Overcast"/>
    <x v="15"/>
    <s v="Foraging"/>
    <s v="NA"/>
    <n v="1"/>
    <m/>
    <n v="0"/>
    <s v="Animal flesh"/>
    <s v="Animal flesh (Snowshoe hare)"/>
    <s v="Ground"/>
    <s v="NA"/>
    <s v="NA"/>
    <s v="NA"/>
    <s v="NA"/>
    <m/>
    <m/>
    <s v="NA"/>
    <s v="NA"/>
    <m/>
    <m/>
    <m/>
    <m/>
    <n v="0"/>
    <n v="0"/>
    <n v="0"/>
    <n v="0"/>
    <n v="0"/>
    <n v="0"/>
    <n v="0"/>
    <m/>
    <m/>
    <m/>
    <m/>
  </r>
  <r>
    <s v="DSCN1688"/>
    <s v="M4R1015_40"/>
    <n v="40"/>
    <n v="1"/>
    <x v="6"/>
    <d v="2018-10-15T00:00:00"/>
    <s v="October"/>
    <s v="Fall"/>
    <d v="1899-12-30T04:00:00"/>
    <d v="1899-12-30T00:04:00"/>
    <x v="122"/>
    <s v="Overcast"/>
    <x v="15"/>
    <s v="Foraging"/>
    <s v="NA"/>
    <n v="1"/>
    <m/>
    <n v="0"/>
    <s v="Animal flesh"/>
    <s v="Animal flesh (Snowshoe hare)"/>
    <s v="Ground"/>
    <s v="NA"/>
    <s v="NA"/>
    <s v="NA"/>
    <s v="NA"/>
    <m/>
    <m/>
    <s v="NA"/>
    <s v="NA"/>
    <m/>
    <m/>
    <m/>
    <m/>
    <n v="0"/>
    <n v="0"/>
    <n v="0"/>
    <n v="0"/>
    <n v="0"/>
    <n v="0"/>
    <n v="0"/>
    <m/>
    <m/>
    <m/>
    <m/>
  </r>
  <r>
    <s v="DSCN1692"/>
    <s v="M4R1015_42"/>
    <n v="42"/>
    <n v="1"/>
    <x v="6"/>
    <d v="2018-10-15T00:00:00"/>
    <s v="October"/>
    <s v="Fall"/>
    <d v="1899-12-30T00:46:00"/>
    <d v="1899-12-30T00:00:46"/>
    <x v="122"/>
    <s v="Overcast"/>
    <x v="15"/>
    <s v="Foraging"/>
    <s v="NA"/>
    <n v="1"/>
    <m/>
    <n v="0"/>
    <s v="Animal flesh"/>
    <s v="Animal flesh (Snowshoe hare)"/>
    <s v="Ground"/>
    <s v="NA"/>
    <s v="NA"/>
    <s v="NA"/>
    <s v="NA"/>
    <m/>
    <m/>
    <s v="NA"/>
    <s v="NA"/>
    <m/>
    <m/>
    <m/>
    <m/>
    <n v="0"/>
    <n v="0"/>
    <n v="0"/>
    <n v="0"/>
    <n v="0"/>
    <n v="0"/>
    <n v="0"/>
    <m/>
    <m/>
    <m/>
    <m/>
  </r>
  <r>
    <s v="DSCN1693"/>
    <s v="M4R1015_43"/>
    <n v="43"/>
    <n v="1"/>
    <x v="6"/>
    <d v="2018-10-15T00:00:00"/>
    <s v="October"/>
    <s v="Fall"/>
    <d v="1899-12-30T00:36:00"/>
    <d v="1899-12-30T00:00:36"/>
    <x v="122"/>
    <s v="Overcast"/>
    <x v="15"/>
    <s v="Caching"/>
    <s v="Spruce"/>
    <n v="0"/>
    <m/>
    <n v="1"/>
    <s v="Animal flesh"/>
    <s v="Animal flesh (Snowshoe hare)"/>
    <s v="Ground"/>
    <s v="Interior spruce foliage "/>
    <s v="Spruce"/>
    <s v="Interior"/>
    <s v="Foliage"/>
    <m/>
    <m/>
    <n v="46"/>
    <n v="63.721530000000001"/>
    <n v="148.98785000000001"/>
    <m/>
    <m/>
    <m/>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695"/>
    <s v="M4R1015_44"/>
    <n v="44"/>
    <n v="1"/>
    <x v="6"/>
    <d v="2018-10-15T00:00:00"/>
    <s v="October"/>
    <s v="Fall"/>
    <d v="1899-12-30T00:23:00"/>
    <d v="1899-12-30T00:00:23"/>
    <x v="122"/>
    <s v="Overcast"/>
    <x v="15"/>
    <s v="Foraging"/>
    <s v="NA"/>
    <n v="1"/>
    <m/>
    <n v="0"/>
    <s v="Animal flesh"/>
    <s v="Animal flesh (Snowshoe hare)"/>
    <s v="Ground"/>
    <s v="NA"/>
    <s v="NA"/>
    <s v="NA"/>
    <s v="NA"/>
    <m/>
    <m/>
    <s v="NA"/>
    <s v="NA"/>
    <m/>
    <m/>
    <m/>
    <m/>
    <n v="0"/>
    <n v="0"/>
    <n v="0"/>
    <n v="0"/>
    <n v="0"/>
    <n v="0"/>
    <n v="0"/>
    <m/>
    <m/>
    <m/>
    <m/>
  </r>
  <r>
    <s v="DSCN1696"/>
    <s v="M4R1015_45"/>
    <n v="45"/>
    <n v="1"/>
    <x v="6"/>
    <d v="2018-10-15T00:00:00"/>
    <s v="October"/>
    <s v="Fall"/>
    <d v="1899-12-30T00:10:00"/>
    <d v="1899-12-30T00:00:10"/>
    <x v="122"/>
    <s v="Overcast"/>
    <x v="15"/>
    <s v="Caching"/>
    <s v="Spruce"/>
    <n v="0"/>
    <m/>
    <n v="1"/>
    <s v="Animal flesh"/>
    <s v="Animal flesh (Snowshoe hare)"/>
    <s v="Ground"/>
    <s v="Exterior spruce branch under bark/witch hair"/>
    <s v="Spruce"/>
    <s v="Exterior"/>
    <s v="Under bark and witch hair "/>
    <m/>
    <m/>
    <n v="10"/>
    <n v="63.721919999999997"/>
    <n v="148.98746"/>
    <m/>
    <m/>
    <m/>
    <n v="0"/>
    <n v="0"/>
    <n v="0"/>
    <n v="0"/>
    <n v="0"/>
    <n v="0"/>
    <n v="0"/>
    <m/>
    <s v="Followed bird from hare to tree.  Observation os cache wasn't caught on video and was obstructed from view due to delay in catching up with the bird.  B&amp;Ut given the behavior and location upon our arrival, we felt confident marking the tree. "/>
    <m/>
    <m/>
  </r>
  <r>
    <s v="DSCN1698"/>
    <s v="M4R1015_46"/>
    <n v="46"/>
    <n v="1"/>
    <x v="6"/>
    <d v="2018-10-15T00:00:00"/>
    <s v="October"/>
    <s v="Fall"/>
    <d v="1899-12-30T04:44:00"/>
    <d v="1899-12-30T00:04:44"/>
    <x v="122"/>
    <s v="Overcast"/>
    <x v="15"/>
    <s v="Foraging/caching"/>
    <s v="Spruce"/>
    <n v="2"/>
    <m/>
    <n v="1"/>
    <s v="Animal flesh"/>
    <s v="Animal flesh (Snowshoe hare)"/>
    <s v="Ground"/>
    <s v="Interior bare branch wedged in spruce bark"/>
    <s v="Spruce"/>
    <s v="Interior"/>
    <s v="Under bark"/>
    <m/>
    <m/>
    <n v="4"/>
    <n v="63.721969999999999"/>
    <n v="148.98725999999999"/>
    <m/>
    <m/>
    <m/>
    <n v="0"/>
    <n v="0"/>
    <n v="0"/>
    <n v="0"/>
    <n v="0"/>
    <n v="0"/>
    <n v="0"/>
    <m/>
    <s v="Confirmed cache, could see in tree. "/>
    <m/>
    <m/>
  </r>
  <r>
    <s v="DSCN1701"/>
    <s v="M4R1015_47"/>
    <n v="47"/>
    <n v="1"/>
    <x v="6"/>
    <d v="2018-10-15T00:00:00"/>
    <s v="October"/>
    <s v="Fall"/>
    <d v="1899-12-30T02:26:00"/>
    <d v="1899-12-30T00:02:26"/>
    <x v="122"/>
    <s v="Overcast"/>
    <x v="15"/>
    <s v="Foraging"/>
    <s v="NA"/>
    <n v="1"/>
    <m/>
    <n v="0"/>
    <s v="Animal flesh"/>
    <s v="Animal flesh (Snowshoe hare)"/>
    <s v="Ground"/>
    <s v="NA"/>
    <s v="NA"/>
    <s v="NA"/>
    <s v="NA"/>
    <m/>
    <m/>
    <s v="NA"/>
    <s v="NA"/>
    <m/>
    <m/>
    <m/>
    <m/>
    <n v="0"/>
    <n v="0"/>
    <n v="0"/>
    <n v="0"/>
    <n v="0"/>
    <n v="0"/>
    <n v="0"/>
    <m/>
    <m/>
    <m/>
    <m/>
  </r>
  <r>
    <s v="DSCN1703"/>
    <s v="M4R1015_48"/>
    <n v="48"/>
    <n v="1"/>
    <x v="6"/>
    <d v="2018-10-15T00:00:00"/>
    <s v="October"/>
    <s v="Fall"/>
    <d v="1899-12-30T00:55:00"/>
    <d v="1899-12-30T00:00:55"/>
    <x v="122"/>
    <s v="Overcast"/>
    <x v="15"/>
    <s v="Foraging"/>
    <s v="NA"/>
    <n v="1"/>
    <m/>
    <n v="0"/>
    <s v="Animal flesh"/>
    <s v="Animal flesh (Snowshoe hare)"/>
    <s v="Ground"/>
    <s v="NA"/>
    <s v="NA"/>
    <s v="NA"/>
    <s v="NA"/>
    <m/>
    <m/>
    <s v="NA"/>
    <s v="NA"/>
    <m/>
    <m/>
    <m/>
    <m/>
    <n v="0"/>
    <n v="0"/>
    <n v="0"/>
    <n v="0"/>
    <n v="0"/>
    <n v="0"/>
    <n v="0"/>
    <m/>
    <m/>
    <m/>
    <m/>
  </r>
  <r>
    <s v="DSCN1721"/>
    <s v="M4R1015_49"/>
    <n v="49"/>
    <n v="1"/>
    <x v="6"/>
    <d v="2018-10-15T00:00:00"/>
    <s v="October"/>
    <s v="Fall"/>
    <d v="1899-12-30T00:17:00"/>
    <d v="1899-12-30T00:00:17"/>
    <x v="122"/>
    <s v="Overcast"/>
    <x v="15"/>
    <s v="Foraging"/>
    <s v="NA"/>
    <n v="1"/>
    <m/>
    <n v="0"/>
    <s v="Animal flesh"/>
    <s v="Animal flesh (Snowshoe hare)"/>
    <s v="Ground"/>
    <s v="NA"/>
    <s v="NA"/>
    <s v="NA"/>
    <s v="NA"/>
    <m/>
    <m/>
    <s v="NA"/>
    <s v="NA"/>
    <m/>
    <m/>
    <m/>
    <m/>
    <n v="0"/>
    <n v="0"/>
    <n v="0"/>
    <n v="0"/>
    <n v="0"/>
    <n v="0"/>
    <n v="0"/>
    <m/>
    <m/>
    <m/>
    <m/>
  </r>
  <r>
    <s v="DSCN1722"/>
    <s v="M4R1015_50"/>
    <n v="50"/>
    <n v="1"/>
    <x v="6"/>
    <d v="2018-10-15T00:00:00"/>
    <s v="October"/>
    <s v="Fall"/>
    <d v="1899-12-30T01:25:00"/>
    <d v="1899-12-30T00:01:25"/>
    <x v="122"/>
    <s v="Overcast"/>
    <x v="15"/>
    <s v="Foraging"/>
    <s v="NA"/>
    <n v="1"/>
    <m/>
    <n v="0"/>
    <s v="Animal flesh"/>
    <s v="Animal flesh (Snowshoe hare)"/>
    <s v="Ground"/>
    <s v="NA"/>
    <s v="NA"/>
    <s v="NA"/>
    <s v="NA"/>
    <m/>
    <m/>
    <s v="NA"/>
    <s v="NA"/>
    <m/>
    <m/>
    <m/>
    <m/>
    <n v="0"/>
    <n v="0"/>
    <n v="0"/>
    <n v="0"/>
    <n v="0"/>
    <n v="0"/>
    <n v="0"/>
    <m/>
    <m/>
    <m/>
    <m/>
  </r>
  <r>
    <s v="DSCN1723"/>
    <s v="M4R1015_51"/>
    <n v="51"/>
    <n v="1"/>
    <x v="6"/>
    <d v="2018-10-15T00:00:00"/>
    <s v="October"/>
    <s v="Fall"/>
    <d v="1899-12-30T00:29:00"/>
    <d v="1899-12-30T00:00:29"/>
    <x v="122"/>
    <s v="Overcast"/>
    <x v="15"/>
    <s v="Caching"/>
    <s v="Spruce"/>
    <n v="0"/>
    <m/>
    <n v="1"/>
    <s v="Animal flesh"/>
    <s v="Animal flesh (Snowshoe hare)"/>
    <s v="Ground"/>
    <s v="Exterior spruce foliage"/>
    <s v="Spruce"/>
    <s v="Exterior"/>
    <s v="Foliage"/>
    <m/>
    <m/>
    <n v="9"/>
    <n v="63.721829999999997"/>
    <n v="148.98733999999999"/>
    <m/>
    <m/>
    <m/>
    <n v="0"/>
    <n v="0"/>
    <n v="0"/>
    <n v="0"/>
    <n v="0"/>
    <n v="0"/>
    <n v="0"/>
    <m/>
    <s v="Caches observed by KS.  Confident. "/>
    <m/>
    <m/>
  </r>
  <r>
    <s v="DSCN1723"/>
    <s v="M4R1015_51"/>
    <n v="51"/>
    <n v="2"/>
    <x v="6"/>
    <d v="2018-10-15T00:00:00"/>
    <s v="October"/>
    <s v="Fall"/>
    <d v="1899-12-30T00:29:00"/>
    <d v="1899-12-30T00:00:29"/>
    <x v="122"/>
    <s v="Overcast"/>
    <x v="15"/>
    <s v="Caching"/>
    <s v="Spruce"/>
    <n v="0"/>
    <m/>
    <n v="1"/>
    <s v="Animal flesh"/>
    <s v="Animal flesh (Snowshoe hare)"/>
    <s v="Ground"/>
    <s v="Exterior bare spruce branch under bark"/>
    <s v="Spruce"/>
    <s v="Exterior"/>
    <s v="Under bark"/>
    <m/>
    <m/>
    <n v="4"/>
    <n v="63.72186"/>
    <n v="148.98733999999999"/>
    <m/>
    <m/>
    <m/>
    <n v="0"/>
    <n v="0"/>
    <n v="0"/>
    <n v="0"/>
    <n v="0"/>
    <n v="0"/>
    <n v="0"/>
    <m/>
    <s v="Caches observed by KS.  Confident. "/>
    <m/>
    <m/>
  </r>
  <r>
    <s v="DSCN1735"/>
    <s v="M4R1015_57"/>
    <n v="57"/>
    <n v="1"/>
    <x v="6"/>
    <d v="2018-10-15T00:00:00"/>
    <s v="October"/>
    <s v="Fall"/>
    <d v="1899-12-30T01:21:00"/>
    <d v="1899-12-30T00:01:21"/>
    <x v="122"/>
    <s v="Overcast"/>
    <x v="15"/>
    <s v="Foraging"/>
    <s v="NA"/>
    <n v="1"/>
    <m/>
    <n v="0"/>
    <s v="Animal flesh"/>
    <s v="Animal flesh (Snowshoe hare)"/>
    <s v="Ground"/>
    <s v="NA"/>
    <s v="NA"/>
    <s v="NA"/>
    <s v="NA"/>
    <m/>
    <m/>
    <s v="NA"/>
    <s v="NA"/>
    <m/>
    <m/>
    <m/>
    <m/>
    <n v="0"/>
    <n v="0"/>
    <n v="0"/>
    <n v="0"/>
    <n v="0"/>
    <n v="0"/>
    <n v="0"/>
    <m/>
    <m/>
    <m/>
    <m/>
  </r>
  <r>
    <s v="DSCN1738"/>
    <s v="M4R1015_59"/>
    <n v="59"/>
    <n v="1"/>
    <x v="6"/>
    <d v="2018-10-15T00:00:00"/>
    <s v="October"/>
    <s v="Fall"/>
    <d v="1899-12-30T01:39:00"/>
    <d v="1899-12-30T00:01:39"/>
    <x v="122"/>
    <s v="Overcast"/>
    <x v="15"/>
    <s v="Foraging"/>
    <s v="NA"/>
    <n v="1"/>
    <m/>
    <n v="0"/>
    <s v="Animal flesh"/>
    <s v="Animal flesh (Snowshoe hare)"/>
    <s v="Ground"/>
    <s v="NA"/>
    <s v="NA"/>
    <s v="NA"/>
    <s v="NA"/>
    <m/>
    <m/>
    <s v="NA"/>
    <s v="NA"/>
    <m/>
    <m/>
    <m/>
    <m/>
    <n v="0"/>
    <n v="0"/>
    <n v="0"/>
    <n v="0"/>
    <n v="0"/>
    <n v="0"/>
    <n v="0"/>
    <m/>
    <m/>
    <m/>
    <m/>
  </r>
  <r>
    <s v="DSCN1740"/>
    <s v="M4R1015_60"/>
    <n v="60"/>
    <n v="1"/>
    <x v="6"/>
    <d v="2018-10-15T00:00:00"/>
    <s v="October"/>
    <s v="Fall"/>
    <d v="1899-12-30T02:00:00"/>
    <d v="1899-12-30T00:02:00"/>
    <x v="122"/>
    <s v="Overcast"/>
    <x v="15"/>
    <s v="Foraging"/>
    <s v="NA"/>
    <n v="1"/>
    <m/>
    <n v="0"/>
    <s v="Animal flesh"/>
    <s v="Animal flesh (Snowshoe hare)"/>
    <s v="Ground"/>
    <s v="NA"/>
    <s v="NA"/>
    <s v="NA"/>
    <s v="NA"/>
    <m/>
    <m/>
    <s v="NA"/>
    <s v="NA"/>
    <m/>
    <m/>
    <m/>
    <m/>
    <n v="0"/>
    <n v="0"/>
    <n v="0"/>
    <n v="0"/>
    <n v="0"/>
    <n v="0"/>
    <n v="0"/>
    <m/>
    <m/>
    <m/>
    <m/>
  </r>
  <r>
    <s v="DSCN1760"/>
    <s v="M4R1015_65"/>
    <n v="65"/>
    <n v="1"/>
    <x v="6"/>
    <d v="2018-10-15T00:00:00"/>
    <s v="October"/>
    <s v="Fall"/>
    <d v="1899-12-30T02:29:00"/>
    <d v="1899-12-30T00:02:29"/>
    <x v="122"/>
    <s v="Overcast"/>
    <x v="15"/>
    <s v="Foraging/caching"/>
    <s v="Spruce"/>
    <n v="1"/>
    <m/>
    <n v="1"/>
    <s v="Animal flesh"/>
    <s v="Animal flesh (Snowshoe hare)"/>
    <s v="Ground"/>
    <s v="Exterior spruce foliage"/>
    <s v="Spruce"/>
    <s v="Exterior"/>
    <s v="Foliage"/>
    <m/>
    <m/>
    <s v="unknown"/>
    <n v="63.72193"/>
    <n v="148.98715000000001"/>
    <m/>
    <m/>
    <m/>
    <n v="0"/>
    <n v="0"/>
    <n v="0"/>
    <n v="0"/>
    <n v="0"/>
    <n v="0"/>
    <n v="0"/>
    <m/>
    <m/>
    <m/>
    <m/>
  </r>
  <r>
    <s v="DSCN1761"/>
    <s v="M4R1015_66"/>
    <n v="66"/>
    <n v="1"/>
    <x v="6"/>
    <d v="2018-10-15T00:00:00"/>
    <s v="October"/>
    <s v="Fall"/>
    <d v="1899-12-30T00:59:00"/>
    <d v="1899-12-30T00:00:59"/>
    <x v="122"/>
    <s v="Overcast"/>
    <x v="15"/>
    <s v="Foraging"/>
    <s v="NA"/>
    <n v="1"/>
    <m/>
    <n v="0"/>
    <s v="Animal flesh"/>
    <s v="Animal flesh (Snowshoe hare)"/>
    <s v="Ground"/>
    <s v="NA"/>
    <s v="NA"/>
    <s v="NA"/>
    <s v="NA"/>
    <m/>
    <m/>
    <s v="NA"/>
    <s v="NA"/>
    <m/>
    <m/>
    <m/>
    <m/>
    <n v="0"/>
    <n v="0"/>
    <n v="0"/>
    <n v="0"/>
    <n v="0"/>
    <n v="0"/>
    <n v="0"/>
    <m/>
    <m/>
    <m/>
    <m/>
  </r>
  <r>
    <s v="DSCN1776"/>
    <s v="M4R1015_67"/>
    <n v="67"/>
    <n v="1"/>
    <x v="6"/>
    <d v="2018-10-15T00:00:00"/>
    <s v="October"/>
    <s v="Fall"/>
    <d v="1899-12-30T00:20:00"/>
    <d v="1899-12-30T00:00:20"/>
    <x v="122"/>
    <s v="Overcast"/>
    <x v="15"/>
    <s v="Foraging"/>
    <s v="NA"/>
    <n v="1"/>
    <m/>
    <n v="0"/>
    <s v="Animal flesh"/>
    <s v="Animal flesh (Snowshoe hare)"/>
    <s v="Ground"/>
    <s v="NA"/>
    <s v="NA"/>
    <s v="NA"/>
    <s v="NA"/>
    <m/>
    <m/>
    <s v="NA"/>
    <s v="NA"/>
    <m/>
    <m/>
    <m/>
    <m/>
    <n v="0"/>
    <n v="0"/>
    <n v="0"/>
    <n v="0"/>
    <n v="0"/>
    <n v="0"/>
    <n v="0"/>
    <m/>
    <m/>
    <m/>
    <m/>
  </r>
  <r>
    <s v="DSCN1777"/>
    <s v="M4R1015_68"/>
    <n v="68"/>
    <n v="1"/>
    <x v="6"/>
    <d v="2018-10-15T00:00:00"/>
    <s v="October"/>
    <s v="Fall"/>
    <d v="1899-12-30T01:38:00"/>
    <d v="1899-12-30T00:01:38"/>
    <x v="122"/>
    <s v="Overcast"/>
    <x v="15"/>
    <s v="Foraging"/>
    <s v="NA"/>
    <n v="1"/>
    <m/>
    <n v="0"/>
    <s v="Animal flesh"/>
    <s v="Animal flesh (Snowshoe hare)"/>
    <s v="Ground"/>
    <s v="NA"/>
    <s v="NA"/>
    <s v="NA"/>
    <s v="NA"/>
    <m/>
    <m/>
    <s v="NA"/>
    <s v="NA"/>
    <m/>
    <m/>
    <m/>
    <m/>
    <n v="0"/>
    <n v="0"/>
    <n v="0"/>
    <n v="0"/>
    <n v="0"/>
    <n v="0"/>
    <n v="0"/>
    <m/>
    <s v="Really nice foraging video! "/>
    <m/>
    <m/>
  </r>
  <r>
    <s v="DSCN1257"/>
    <s v="M2371004_1"/>
    <n v="1"/>
    <n v="1"/>
    <x v="9"/>
    <d v="2018-10-04T00:00:00"/>
    <s v="October"/>
    <s v="Fall"/>
    <d v="1899-12-30T00:09:00"/>
    <d v="1899-12-30T00:00:09"/>
    <x v="122"/>
    <s v="Partly Sunny"/>
    <x v="16"/>
    <s v="Foraging"/>
    <s v="NA"/>
    <n v="1"/>
    <m/>
    <n v="0"/>
    <s v="Unknown"/>
    <s v="Unknown"/>
    <s v="Ground"/>
    <s v="NA"/>
    <s v="NA"/>
    <s v="NA"/>
    <s v="NA"/>
    <m/>
    <m/>
    <s v="NA"/>
    <s v="NA"/>
    <m/>
    <m/>
    <m/>
    <m/>
    <n v="0"/>
    <n v="0"/>
    <n v="0"/>
    <n v="0"/>
    <n v="0"/>
    <n v="0"/>
    <n v="0"/>
    <m/>
    <s v="Video start after bird finished foraging. "/>
    <m/>
    <m/>
  </r>
  <r>
    <s v="DSCN1394"/>
    <s v="M2371007_1"/>
    <n v="1"/>
    <n v="1"/>
    <x v="9"/>
    <d v="2018-10-07T00:00:00"/>
    <s v="October"/>
    <s v="Fall"/>
    <d v="1899-12-30T00:09:00"/>
    <d v="1899-12-30T00:00:09"/>
    <x v="122"/>
    <s v="Overcast"/>
    <x v="16"/>
    <s v="Caching"/>
    <s v="Aspen"/>
    <n v="0"/>
    <m/>
    <n v="1"/>
    <s v="Unknown"/>
    <s v="Unknown"/>
    <s v="unknown"/>
    <s v="Exterior aspen branch under bark"/>
    <s v="Aspen"/>
    <s v="Exterior"/>
    <s v="Under bark"/>
    <m/>
    <m/>
    <s v="unknown"/>
    <n v="63.72533"/>
    <n v="148.88963000000001"/>
    <m/>
    <m/>
    <m/>
    <n v="0"/>
    <n v="0"/>
    <n v="0"/>
    <n v="0"/>
    <n v="0"/>
    <n v="0"/>
    <n v="0"/>
    <m/>
    <s v="Seen by DL. Not captured on video. "/>
    <m/>
    <m/>
  </r>
  <r>
    <s v="DSCN1781"/>
    <s v="M2371016_3"/>
    <n v="3"/>
    <n v="1"/>
    <x v="9"/>
    <d v="2018-10-16T00:00:00"/>
    <s v="October"/>
    <s v="Fall"/>
    <d v="1899-12-30T00:34:00"/>
    <d v="1899-12-30T00:00:34"/>
    <x v="122"/>
    <s v="Overcast"/>
    <x v="16"/>
    <s v="Foraging"/>
    <s v="NA"/>
    <n v="2"/>
    <m/>
    <n v="0"/>
    <s v="Unknown"/>
    <s v="Unknown"/>
    <s v="Ground"/>
    <s v="NA"/>
    <s v="NA"/>
    <s v="NA"/>
    <s v="NA"/>
    <m/>
    <m/>
    <s v="NA"/>
    <s v="NA"/>
    <m/>
    <m/>
    <m/>
    <m/>
    <n v="0"/>
    <n v="0"/>
    <n v="0"/>
    <n v="0"/>
    <n v="26"/>
    <n v="0"/>
    <n v="26"/>
    <m/>
    <s v="Foraging on trail.  Picking things out of gravel. "/>
    <m/>
    <m/>
  </r>
  <r>
    <s v="DSCN1783"/>
    <s v="M2371016_4"/>
    <n v="4"/>
    <n v="1"/>
    <x v="9"/>
    <d v="2018-10-16T00:00:00"/>
    <s v="October"/>
    <s v="Fall"/>
    <d v="1899-12-30T00:32:00"/>
    <d v="1899-12-30T00:00:32"/>
    <x v="122"/>
    <s v="Overcast"/>
    <x v="16"/>
    <s v="Foraging"/>
    <s v="NA"/>
    <n v="1"/>
    <m/>
    <n v="0"/>
    <s v="Unknown"/>
    <s v="Unknown"/>
    <s v="Ground"/>
    <s v="NA"/>
    <s v="NA"/>
    <s v="NA"/>
    <s v="NA"/>
    <m/>
    <m/>
    <s v="NA"/>
    <s v="NA"/>
    <m/>
    <m/>
    <m/>
    <m/>
    <n v="0"/>
    <n v="0"/>
    <n v="0"/>
    <n v="0"/>
    <n v="32"/>
    <n v="0"/>
    <n v="32"/>
    <m/>
    <s v="Foraging on trail.  Picking things out of gravel. "/>
    <m/>
    <m/>
  </r>
  <r>
    <s v="DSCN1785"/>
    <s v="M2371016_5"/>
    <n v="5"/>
    <n v="1"/>
    <x v="9"/>
    <d v="2018-10-16T00:00:00"/>
    <s v="October"/>
    <s v="Fall"/>
    <d v="1899-12-30T01:46:00"/>
    <d v="1899-12-30T00:01:46"/>
    <x v="122"/>
    <s v="Overcast"/>
    <x v="16"/>
    <s v="Foraging"/>
    <s v="NA"/>
    <n v="2"/>
    <m/>
    <n v="0"/>
    <s v="Unknown"/>
    <s v="Unknown"/>
    <s v="Ground"/>
    <s v="NA"/>
    <s v="NA"/>
    <s v="NA"/>
    <s v="NA"/>
    <m/>
    <m/>
    <s v="NA"/>
    <s v="NA"/>
    <m/>
    <m/>
    <m/>
    <m/>
    <n v="0"/>
    <n v="0"/>
    <n v="0"/>
    <n v="0"/>
    <n v="106"/>
    <n v="0"/>
    <n v="106"/>
    <m/>
    <s v="Foraging on trail.  Picking things out of gravel. "/>
    <m/>
    <m/>
  </r>
  <r>
    <s v="DSCN1786"/>
    <s v="M2371016_6"/>
    <n v="6"/>
    <n v="1"/>
    <x v="9"/>
    <d v="2018-10-16T00:00:00"/>
    <s v="October"/>
    <s v="Fall"/>
    <d v="1899-12-30T00:20:00"/>
    <d v="1899-12-30T00:00:20"/>
    <x v="122"/>
    <s v="Overcast"/>
    <x v="16"/>
    <s v="Foraging"/>
    <s v="NA"/>
    <n v="1"/>
    <m/>
    <n v="0"/>
    <s v="Unknown"/>
    <s v="Unknown"/>
    <s v="Ground"/>
    <s v="NA"/>
    <s v="NA"/>
    <s v="NA"/>
    <s v="NA"/>
    <m/>
    <m/>
    <s v="NA"/>
    <s v="NA"/>
    <m/>
    <m/>
    <m/>
    <m/>
    <n v="0"/>
    <n v="0"/>
    <n v="0"/>
    <n v="0"/>
    <n v="15"/>
    <n v="0"/>
    <n v="15"/>
    <m/>
    <s v="Foraging on trail.  Picking things out of gravel. "/>
    <m/>
    <m/>
  </r>
  <r>
    <s v="DSCN1790"/>
    <s v="M2371016_8"/>
    <n v="8"/>
    <n v="1"/>
    <x v="9"/>
    <d v="2018-10-16T00:00:00"/>
    <s v="October"/>
    <s v="Fall"/>
    <d v="1899-12-30T00:39:00"/>
    <d v="1899-12-30T00:00:39"/>
    <x v="122"/>
    <s v="Overcast"/>
    <x v="16"/>
    <s v="Foraging"/>
    <s v="NA"/>
    <n v="1"/>
    <m/>
    <n v="0"/>
    <s v="Unknown"/>
    <s v="Unknown"/>
    <s v="Ground"/>
    <s v="NA"/>
    <s v="NA"/>
    <s v="NA"/>
    <s v="NA"/>
    <m/>
    <m/>
    <s v="NA"/>
    <s v="NA"/>
    <m/>
    <m/>
    <m/>
    <m/>
    <n v="0"/>
    <n v="0"/>
    <n v="0"/>
    <n v="0"/>
    <n v="39"/>
    <n v="0"/>
    <n v="39"/>
    <m/>
    <s v="Foraging on trail.  Picking things out of gravel. "/>
    <m/>
    <m/>
  </r>
  <r>
    <s v="DSCN1958"/>
    <s v="M2371022_1"/>
    <n v="1"/>
    <n v="1"/>
    <x v="9"/>
    <d v="2018-10-22T00:00:00"/>
    <s v="October"/>
    <s v="Fall"/>
    <d v="1899-12-30T00:31:00"/>
    <d v="1899-12-30T00:00:31"/>
    <x v="122"/>
    <m/>
    <x v="16"/>
    <s v="Foraging"/>
    <s v="NA"/>
    <n v="1"/>
    <m/>
    <n v="0"/>
    <s v="Unknown"/>
    <s v="Unknown"/>
    <s v="Ground (parking lot)"/>
    <s v="NA"/>
    <s v="NA"/>
    <s v="NA"/>
    <s v="NA"/>
    <m/>
    <m/>
    <s v="NA"/>
    <s v="NA"/>
    <m/>
    <m/>
    <m/>
    <m/>
    <n v="0"/>
    <n v="0"/>
    <n v="0"/>
    <n v="0"/>
    <n v="31"/>
    <n v="0"/>
    <n v="31"/>
    <s v="Picking"/>
    <m/>
    <m/>
    <m/>
  </r>
  <r>
    <s v="DSCN1959"/>
    <s v="M2371022_2"/>
    <n v="2"/>
    <n v="1"/>
    <x v="9"/>
    <d v="2018-10-22T00:00:00"/>
    <s v="October"/>
    <s v="Fall"/>
    <d v="1899-12-30T00:24:00"/>
    <d v="1899-12-30T00:00:24"/>
    <x v="122"/>
    <m/>
    <x v="16"/>
    <s v="Foraging"/>
    <s v="NA"/>
    <n v="1"/>
    <m/>
    <n v="0"/>
    <s v="Unknown"/>
    <s v="Unknown"/>
    <s v="Ground (parking lot)"/>
    <s v="NA"/>
    <s v="NA"/>
    <s v="NA"/>
    <s v="NA"/>
    <m/>
    <m/>
    <s v="NA"/>
    <s v="NA"/>
    <m/>
    <m/>
    <m/>
    <m/>
    <n v="0"/>
    <n v="0"/>
    <n v="0"/>
    <n v="0"/>
    <n v="23"/>
    <n v="0"/>
    <n v="23"/>
    <s v="Picking"/>
    <m/>
    <m/>
    <m/>
  </r>
  <r>
    <s v="DSCN1960"/>
    <s v="M2371022_3"/>
    <n v="3"/>
    <n v="1"/>
    <x v="9"/>
    <d v="2018-10-22T00:00:00"/>
    <s v="October"/>
    <s v="Fall"/>
    <d v="1899-12-30T00:44:00"/>
    <d v="1899-12-30T00:00:44"/>
    <x v="122"/>
    <m/>
    <x v="16"/>
    <s v="Foraging"/>
    <s v="NA"/>
    <n v="1"/>
    <m/>
    <n v="0"/>
    <s v="Unknown"/>
    <s v="Unknown"/>
    <s v="Ground (parking lot)"/>
    <s v="NA"/>
    <s v="NA"/>
    <s v="NA"/>
    <s v="NA"/>
    <m/>
    <m/>
    <s v="NA"/>
    <s v="NA"/>
    <m/>
    <m/>
    <m/>
    <m/>
    <n v="0"/>
    <n v="0"/>
    <n v="0"/>
    <n v="0"/>
    <n v="42"/>
    <n v="0"/>
    <n v="42"/>
    <s v="Picking"/>
    <m/>
    <m/>
    <m/>
  </r>
  <r>
    <s v="DSCN1963"/>
    <s v="M2371022_4"/>
    <n v="4"/>
    <n v="1"/>
    <x v="9"/>
    <d v="2018-10-22T00:00:00"/>
    <s v="October"/>
    <s v="Fall"/>
    <d v="1899-12-30T00:08:00"/>
    <d v="1899-12-30T00:00:08"/>
    <x v="122"/>
    <m/>
    <x v="16"/>
    <s v="Foraging"/>
    <s v="Spruce"/>
    <n v="1"/>
    <m/>
    <n v="0"/>
    <s v="Unknown"/>
    <s v="Unknown"/>
    <s v="Exterior dense foliage of spruce"/>
    <s v="NA"/>
    <s v="NA"/>
    <s v="NA"/>
    <s v="NA"/>
    <m/>
    <m/>
    <s v="NA"/>
    <s v="NA"/>
    <m/>
    <m/>
    <m/>
    <m/>
    <n v="0"/>
    <n v="0"/>
    <n v="0"/>
    <n v="0"/>
    <n v="0"/>
    <n v="0"/>
    <n v="0"/>
    <m/>
    <s v="Just immediately fishes it out. "/>
    <m/>
    <m/>
  </r>
  <r>
    <s v="DSCN1964"/>
    <s v="M2371022_5"/>
    <n v="5"/>
    <n v="1"/>
    <x v="9"/>
    <d v="2018-10-22T00:00:00"/>
    <s v="October"/>
    <s v="Fall"/>
    <d v="1899-12-30T00:20:00"/>
    <d v="1899-12-30T00:00:20"/>
    <x v="122"/>
    <m/>
    <x v="16"/>
    <s v="Caching"/>
    <s v="Spruce"/>
    <n v="0"/>
    <m/>
    <n v="1"/>
    <s v="Unknown"/>
    <s v="Unknown"/>
    <s v="unknown"/>
    <s v="Exterior spruce foliage"/>
    <s v="Spruce"/>
    <s v="Exterior"/>
    <s v="Foliage"/>
    <m/>
    <m/>
    <s v="unknown"/>
    <n v="63.72383"/>
    <n v="148.88605999999999"/>
    <m/>
    <m/>
    <m/>
    <n v="0"/>
    <n v="0"/>
    <n v="0"/>
    <n v="0"/>
    <n v="0"/>
    <n v="0"/>
    <n v="0"/>
    <m/>
    <m/>
    <m/>
    <m/>
  </r>
  <r>
    <s v="DSCN1966"/>
    <s v="M2371022_6"/>
    <n v="6"/>
    <n v="1"/>
    <x v="9"/>
    <d v="2018-10-22T00:00:00"/>
    <s v="October"/>
    <s v="Fall"/>
    <d v="1899-12-30T00:34:00"/>
    <d v="1899-12-30T00:00:34"/>
    <x v="122"/>
    <m/>
    <x v="16"/>
    <s v="Foraging"/>
    <s v="Spruce, Aspen"/>
    <n v="1"/>
    <m/>
    <n v="0"/>
    <s v="Unknown"/>
    <s v="Unknown"/>
    <s v="Exterior dense foliage of spruce"/>
    <s v="NA"/>
    <s v="NA"/>
    <s v="NA"/>
    <s v="NA"/>
    <m/>
    <m/>
    <s v="NA"/>
    <s v="NA"/>
    <m/>
    <m/>
    <m/>
    <m/>
    <n v="4"/>
    <n v="0"/>
    <n v="0"/>
    <n v="4"/>
    <n v="0"/>
    <n v="0"/>
    <n v="4"/>
    <m/>
    <s v="Got food from spruce then disapeared then foraged in aspen tree. "/>
    <m/>
    <m/>
  </r>
  <r>
    <s v="DSCN1971"/>
    <s v="M2371022_7"/>
    <n v="7"/>
    <n v="1"/>
    <x v="9"/>
    <d v="2018-10-22T00:00:00"/>
    <s v="October"/>
    <s v="Fall"/>
    <d v="1899-12-30T00:16:00"/>
    <d v="1899-12-30T00:00:16"/>
    <x v="122"/>
    <m/>
    <x v="16"/>
    <s v="Caching"/>
    <s v="Spruce"/>
    <n v="0"/>
    <m/>
    <n v="1"/>
    <s v="Unknown"/>
    <s v="Unknown"/>
    <s v="unknown"/>
    <s v="Spruce trunk behind foliage"/>
    <s v="Spruce"/>
    <s v="Trunk"/>
    <s v="Behind foliage "/>
    <m/>
    <m/>
    <s v="unknown"/>
    <n v="63.723610000000001"/>
    <n v="148.88697999999999"/>
    <m/>
    <m/>
    <m/>
    <n v="0"/>
    <n v="0"/>
    <n v="0"/>
    <n v="0"/>
    <n v="0"/>
    <n v="0"/>
    <n v="0"/>
    <m/>
    <s v="Really blurry. Possible cace B&amp;Ut unconfirmed by video."/>
    <m/>
    <m/>
  </r>
  <r>
    <s v="DSCN1973"/>
    <s v="M2371022_8"/>
    <n v="8"/>
    <n v="1"/>
    <x v="9"/>
    <d v="2018-10-22T00:00:00"/>
    <s v="October"/>
    <s v="Fall"/>
    <d v="1899-12-30T00:18:00"/>
    <d v="1899-12-30T00:00:18"/>
    <x v="122"/>
    <m/>
    <x v="16"/>
    <s v="Foraging"/>
    <s v="Spruce"/>
    <n v="1"/>
    <m/>
    <n v="0"/>
    <s v="Unknown"/>
    <s v="Unknown"/>
    <s v="Exterior dense foliage of spruce"/>
    <s v="NA"/>
    <s v="NA"/>
    <s v="NA"/>
    <s v="NA"/>
    <m/>
    <m/>
    <s v="NA"/>
    <s v="NA"/>
    <m/>
    <m/>
    <m/>
    <m/>
    <n v="0"/>
    <n v="0"/>
    <n v="0"/>
    <n v="0"/>
    <n v="0"/>
    <n v="0"/>
    <n v="0"/>
    <m/>
    <s v="Immedaitely went to spot and retrieved"/>
    <m/>
    <m/>
  </r>
  <r>
    <s v="DSCN2178"/>
    <s v="M2371025_1"/>
    <n v="1"/>
    <n v="1"/>
    <x v="9"/>
    <d v="2018-10-25T00:00:00"/>
    <s v="October"/>
    <s v="Fall"/>
    <d v="1899-12-30T00:59:00"/>
    <d v="1899-12-30T00:00:59"/>
    <x v="122"/>
    <m/>
    <x v="16"/>
    <s v="Foraging"/>
    <s v="NA"/>
    <n v="3"/>
    <m/>
    <n v="0"/>
    <s v="Unknown"/>
    <s v="Unknown"/>
    <s v="Ground"/>
    <s v="NA"/>
    <s v="NA"/>
    <s v="NA"/>
    <s v="NA"/>
    <m/>
    <m/>
    <s v="NA"/>
    <s v="NA"/>
    <m/>
    <m/>
    <m/>
    <m/>
    <n v="0"/>
    <n v="0"/>
    <n v="0"/>
    <n v="0"/>
    <n v="59"/>
    <n v="0"/>
    <n v="59"/>
    <m/>
    <s v="Moving low through trees, picking at moss on ground "/>
    <m/>
    <m/>
  </r>
  <r>
    <s v="DSCN2179"/>
    <s v="M2371025_2"/>
    <n v="2"/>
    <n v="1"/>
    <x v="9"/>
    <d v="2018-10-25T00:00:00"/>
    <s v="October"/>
    <s v="Fall"/>
    <d v="1899-12-30T00:19:00"/>
    <d v="1899-12-30T00:00:19"/>
    <x v="122"/>
    <m/>
    <x v="16"/>
    <s v="Foraging"/>
    <s v="NA"/>
    <s v="unknown"/>
    <m/>
    <n v="0"/>
    <s v="Unknown"/>
    <s v="Unknown"/>
    <s v="NA"/>
    <s v="NA"/>
    <s v="NA"/>
    <s v="NA"/>
    <s v="NA"/>
    <m/>
    <m/>
    <s v="NA"/>
    <s v="NA"/>
    <m/>
    <m/>
    <m/>
    <m/>
    <n v="0"/>
    <n v="0"/>
    <n v="0"/>
    <n v="0"/>
    <n v="19"/>
    <n v="0"/>
    <n v="19"/>
    <m/>
    <s v="Moving low through trees, picking at moss on ground "/>
    <m/>
    <m/>
  </r>
  <r>
    <s v="DSCN2180"/>
    <s v="M2371025_3"/>
    <n v="3"/>
    <n v="1"/>
    <x v="9"/>
    <d v="2018-10-25T00:00:00"/>
    <s v="October"/>
    <s v="Fall"/>
    <d v="1899-12-30T03:13:00"/>
    <d v="1899-12-30T00:03:13"/>
    <x v="122"/>
    <m/>
    <x v="16"/>
    <s v="Foraging"/>
    <s v="NA"/>
    <n v="7"/>
    <m/>
    <n v="0"/>
    <s v="Unknown"/>
    <s v="Unknown"/>
    <s v="Ground"/>
    <s v="NA"/>
    <s v="NA"/>
    <s v="NA"/>
    <s v="NA"/>
    <m/>
    <m/>
    <s v="NA"/>
    <s v="NA"/>
    <m/>
    <m/>
    <m/>
    <m/>
    <n v="0"/>
    <n v="0"/>
    <n v="0"/>
    <n v="0"/>
    <n v="193"/>
    <n v="0"/>
    <n v="193"/>
    <m/>
    <s v="Moving low through trees, picking at moss on ground "/>
    <m/>
    <m/>
  </r>
  <r>
    <s v="DSCN2182"/>
    <s v="M2371025_4"/>
    <n v="4"/>
    <n v="1"/>
    <x v="9"/>
    <d v="2018-10-25T00:00:00"/>
    <s v="October"/>
    <s v="Fall"/>
    <d v="1899-12-30T00:41:00"/>
    <d v="1899-12-30T00:00:41"/>
    <x v="122"/>
    <m/>
    <x v="16"/>
    <s v="Foraging"/>
    <s v="NA"/>
    <n v="1"/>
    <m/>
    <n v="0"/>
    <s v="Unknown"/>
    <s v="Unknown"/>
    <s v="Ground"/>
    <s v="NA"/>
    <s v="NA"/>
    <s v="NA"/>
    <s v="NA"/>
    <m/>
    <m/>
    <s v="NA"/>
    <s v="NA"/>
    <m/>
    <m/>
    <m/>
    <m/>
    <n v="0"/>
    <n v="0"/>
    <n v="0"/>
    <n v="0"/>
    <n v="41"/>
    <n v="0"/>
    <n v="41"/>
    <m/>
    <s v="Moving low through trees, picking at moss on ground "/>
    <m/>
    <m/>
  </r>
  <r>
    <s v="DSCN2183"/>
    <s v="M2371025_5"/>
    <n v="5"/>
    <n v="1"/>
    <x v="9"/>
    <d v="2018-10-25T00:00:00"/>
    <s v="October"/>
    <s v="Fall"/>
    <d v="1899-12-30T00:13:00"/>
    <d v="1899-12-30T00:00:13"/>
    <x v="122"/>
    <m/>
    <x v="16"/>
    <s v="Foraging"/>
    <s v="NA"/>
    <n v="0"/>
    <m/>
    <n v="1"/>
    <s v="Unknown"/>
    <s v="Unknown"/>
    <s v="Ground"/>
    <s v="Exterior spruce branch under bark/witch hair"/>
    <s v="Spruce"/>
    <s v="Exterior"/>
    <s v="Under bark and witch hair "/>
    <m/>
    <m/>
    <n v="5"/>
    <n v="63.723309999999998"/>
    <n v="148.88614000000001"/>
    <m/>
    <m/>
    <m/>
    <n v="0"/>
    <n v="0"/>
    <n v="0"/>
    <n v="0"/>
    <n v="0"/>
    <n v="0"/>
    <n v="0"/>
    <m/>
    <s v="Suspected B&amp;Ut unconfirmed cache"/>
    <m/>
    <m/>
  </r>
  <r>
    <s v="DSCN2184"/>
    <s v="M2371025_6"/>
    <n v="6"/>
    <n v="1"/>
    <x v="9"/>
    <d v="2018-10-25T00:00:00"/>
    <s v="October"/>
    <s v="Fall"/>
    <d v="1899-12-30T00:36:00"/>
    <d v="1899-12-30T00:00:36"/>
    <x v="122"/>
    <m/>
    <x v="16"/>
    <s v="Caching"/>
    <s v="Spruce"/>
    <n v="0"/>
    <m/>
    <n v="1"/>
    <s v="Berry"/>
    <s v="Berry (red)"/>
    <s v="unknown"/>
    <s v="Exterior spruce branch under bark/witch hair"/>
    <s v="Spruce"/>
    <s v="Exterior"/>
    <s v="Under bark and witch hair "/>
    <m/>
    <m/>
    <s v="unknown"/>
    <n v="63.723309999999998"/>
    <n v="148.88614000000001"/>
    <m/>
    <m/>
    <m/>
    <n v="0"/>
    <n v="0"/>
    <n v="0"/>
    <n v="0"/>
    <n v="0"/>
    <n v="0"/>
    <n v="0"/>
    <m/>
    <s v="INCIDENTAL FIND. SAME CACHE TREE AS PREVIOUS."/>
    <m/>
    <m/>
  </r>
  <r>
    <s v="DSCN0882"/>
    <s v="CC0917_5"/>
    <n v="5"/>
    <n v="2"/>
    <x v="4"/>
    <d v="2018-09-17T00:00:00"/>
    <s v="September"/>
    <s v="Fall"/>
    <d v="1899-12-30T00:38:00"/>
    <d v="1899-12-30T00:00:38"/>
    <x v="122"/>
    <s v="Partly Sunny"/>
    <x v="42"/>
    <s v="Foraging"/>
    <s v="Spruce"/>
    <n v="0"/>
    <m/>
    <n v="0"/>
    <s v="Unknown"/>
    <s v="Unknown"/>
    <s v="Ground"/>
    <s v="Exterior bare spruce branch"/>
    <s v="NA"/>
    <s v="NA"/>
    <s v="NA"/>
    <m/>
    <m/>
    <s v="unknown"/>
    <n v="63.722329999999999"/>
    <n v="148.95236"/>
    <m/>
    <m/>
    <m/>
    <n v="3"/>
    <n v="0"/>
    <n v="0"/>
    <n v="3"/>
    <n v="0"/>
    <n v="0"/>
    <n v="3"/>
    <s v="Probing"/>
    <m/>
    <n v="1"/>
    <n v="0"/>
  </r>
  <r>
    <s v="DSCN0472"/>
    <s v="M4R0907_1"/>
    <n v="1"/>
    <n v="1"/>
    <x v="6"/>
    <d v="2018-09-07T00:00:00"/>
    <s v="September"/>
    <s v="Fall"/>
    <d v="1899-12-30T00:19:00"/>
    <d v="1899-12-30T00:00:19"/>
    <x v="122"/>
    <s v="Overcast"/>
    <x v="43"/>
    <s v="Foraging"/>
    <s v="NA"/>
    <n v="1"/>
    <m/>
    <n v="0"/>
    <s v="Unknown"/>
    <s v="unknown (Something red)"/>
    <s v="Ground"/>
    <s v="NA"/>
    <s v="NA"/>
    <s v="NA"/>
    <s v="NA"/>
    <m/>
    <m/>
    <s v="NA"/>
    <s v="NA"/>
    <m/>
    <m/>
    <m/>
    <m/>
    <n v="0"/>
    <n v="0"/>
    <n v="0"/>
    <n v="0"/>
    <n v="13"/>
    <n v="0"/>
    <n v="13"/>
    <m/>
    <m/>
    <m/>
    <m/>
  </r>
  <r>
    <s v="DSCN0833"/>
    <s v="CC0917_6"/>
    <n v="6"/>
    <n v="1"/>
    <x v="4"/>
    <d v="2018-09-17T00:00:00"/>
    <s v="September"/>
    <s v="Fall"/>
    <d v="1899-12-30T00:26:00"/>
    <d v="1899-12-30T00:00:26"/>
    <x v="122"/>
    <s v="Partly Sunny"/>
    <x v="43"/>
    <s v="Foraging"/>
    <s v="NA"/>
    <n v="1"/>
    <m/>
    <n v="0"/>
    <s v="Insect"/>
    <s v="Insect (arthropod)"/>
    <s v="Ground"/>
    <s v="NA"/>
    <s v="NA"/>
    <s v="NA"/>
    <s v="NA"/>
    <m/>
    <m/>
    <s v="NA"/>
    <s v="NA"/>
    <m/>
    <m/>
    <m/>
    <m/>
    <n v="0"/>
    <n v="0"/>
    <n v="0"/>
    <n v="0"/>
    <n v="11"/>
    <n v="0"/>
    <n v="11"/>
    <m/>
    <m/>
    <m/>
    <m/>
  </r>
  <r>
    <s v="DSCN0481"/>
    <s v="WW0908_1"/>
    <n v="1"/>
    <n v="1"/>
    <x v="0"/>
    <d v="2018-09-08T00:00:00"/>
    <s v="September"/>
    <s v="Fall"/>
    <d v="1899-12-30T00:22:00"/>
    <d v="1899-12-30T00:00:22"/>
    <x v="122"/>
    <m/>
    <x v="0"/>
    <s v="Foraging"/>
    <s v="Spruce"/>
    <n v="1"/>
    <m/>
    <n v="0"/>
    <s v="Unknown"/>
    <s v="Unknown"/>
    <s v="Interior spruce foliage"/>
    <s v="NA"/>
    <s v="NA"/>
    <s v="NA"/>
    <s v="NA"/>
    <m/>
    <m/>
    <s v="NA"/>
    <s v="NA"/>
    <m/>
    <m/>
    <m/>
    <m/>
    <n v="0"/>
    <n v="20"/>
    <n v="0"/>
    <n v="20"/>
    <n v="0"/>
    <n v="0"/>
    <n v="20"/>
    <s v="Gleaning"/>
    <m/>
    <n v="0"/>
    <n v="1"/>
  </r>
  <r>
    <s v="DSCN0484"/>
    <s v="WW0908_2"/>
    <n v="2"/>
    <n v="1"/>
    <x v="0"/>
    <d v="2018-09-08T00:00:00"/>
    <s v="September"/>
    <s v="Fall"/>
    <d v="1899-12-30T00:10:00"/>
    <d v="1899-12-30T00:00:10"/>
    <x v="122"/>
    <m/>
    <x v="0"/>
    <s v="Foraging"/>
    <s v="Spruce"/>
    <s v="unknown"/>
    <m/>
    <n v="0"/>
    <m/>
    <s v="NA"/>
    <s v="NA"/>
    <s v="NA"/>
    <s v="NA"/>
    <s v="NA"/>
    <s v="NA"/>
    <m/>
    <m/>
    <s v="NA"/>
    <s v="NA"/>
    <m/>
    <m/>
    <m/>
    <m/>
    <n v="9"/>
    <n v="0"/>
    <n v="9"/>
    <n v="0"/>
    <n v="0"/>
    <n v="0"/>
    <n v="9"/>
    <s v="Unclear from video…too blurry"/>
    <m/>
    <m/>
    <m/>
  </r>
  <r>
    <s v="DSCN0485"/>
    <s v="WW0908_3"/>
    <n v="3"/>
    <n v="1"/>
    <x v="0"/>
    <d v="2018-09-08T00:00:00"/>
    <s v="September"/>
    <s v="Fall"/>
    <d v="1899-12-30T00:49:00"/>
    <d v="1899-12-30T00:00:49"/>
    <x v="122"/>
    <m/>
    <x v="0"/>
    <s v="Food handling"/>
    <s v="Spruce"/>
    <n v="1"/>
    <m/>
    <n v="0"/>
    <s v="Animal flesh"/>
    <s v="Animal flesh"/>
    <s v="unknown"/>
    <s v="NA"/>
    <s v="NA"/>
    <s v="NA"/>
    <s v="NA"/>
    <m/>
    <m/>
    <s v="NA"/>
    <s v="NA"/>
    <m/>
    <m/>
    <m/>
    <m/>
    <n v="0"/>
    <n v="0"/>
    <n v="0"/>
    <n v="0"/>
    <n v="0"/>
    <n v="0"/>
    <n v="0"/>
    <m/>
    <s v="49S of food handling "/>
    <m/>
    <m/>
  </r>
  <r>
    <s v="DSCN0486"/>
    <s v="WW0908_4"/>
    <n v="4"/>
    <n v="1"/>
    <x v="0"/>
    <d v="2018-09-08T00:00:00"/>
    <s v="September"/>
    <s v="Fall"/>
    <d v="1899-12-30T00:37:00"/>
    <d v="1899-12-30T00:00:37"/>
    <x v="122"/>
    <m/>
    <x v="0"/>
    <s v="Food handling"/>
    <s v="Spruce"/>
    <n v="0"/>
    <m/>
    <n v="0"/>
    <s v="Animal flesh"/>
    <s v="Animal flesh"/>
    <s v="NA"/>
    <s v="NA"/>
    <s v="NA"/>
    <s v="NA"/>
    <s v="NA"/>
    <m/>
    <m/>
    <s v="NA"/>
    <s v="NA"/>
    <m/>
    <m/>
    <m/>
    <m/>
    <n v="0"/>
    <n v="0"/>
    <n v="0"/>
    <n v="0"/>
    <n v="0"/>
    <n v="0"/>
    <n v="0"/>
    <m/>
    <s v="9sec food handling"/>
    <m/>
    <m/>
  </r>
  <r>
    <s v="DSCN0487"/>
    <s v="WW0908_5"/>
    <n v="5"/>
    <n v="1"/>
    <x v="0"/>
    <d v="2018-09-08T00:00:00"/>
    <s v="September"/>
    <s v="Fall"/>
    <d v="1899-12-30T00:27:00"/>
    <d v="1899-12-30T00:00:27"/>
    <x v="122"/>
    <m/>
    <x v="0"/>
    <s v="Foraging"/>
    <s v="Spruce"/>
    <n v="1"/>
    <m/>
    <n v="0"/>
    <s v="Unknown"/>
    <s v="Unknown"/>
    <s v="Interior spruce foliage"/>
    <s v="NA"/>
    <s v="NA"/>
    <s v="NA"/>
    <s v="NA"/>
    <m/>
    <m/>
    <s v="NA"/>
    <s v="NA"/>
    <m/>
    <m/>
    <m/>
    <m/>
    <n v="0"/>
    <n v="14"/>
    <n v="14"/>
    <n v="0"/>
    <n v="0"/>
    <n v="0"/>
    <n v="14"/>
    <s v="Searching"/>
    <m/>
    <m/>
    <m/>
  </r>
  <r>
    <s v="DSCN0514"/>
    <s v="WW0909_1"/>
    <n v="1"/>
    <n v="1"/>
    <x v="0"/>
    <d v="2018-09-09T00:00:00"/>
    <s v="September"/>
    <s v="Fall"/>
    <d v="1899-12-30T01:20:00"/>
    <d v="1899-12-30T00:01:20"/>
    <x v="122"/>
    <s v="Full sun"/>
    <x v="0"/>
    <s v="Foraging"/>
    <s v="Spruce"/>
    <s v="unknown"/>
    <m/>
    <s v="Unknown"/>
    <m/>
    <s v="NA"/>
    <s v="NA"/>
    <s v="NA"/>
    <m/>
    <m/>
    <m/>
    <m/>
    <m/>
    <s v="NA"/>
    <s v="NA"/>
    <m/>
    <m/>
    <m/>
    <m/>
    <n v="0"/>
    <n v="10"/>
    <n v="10"/>
    <n v="0"/>
    <n v="0"/>
    <n v="0"/>
    <n v="10"/>
    <m/>
    <m/>
    <m/>
    <m/>
  </r>
  <r>
    <s v="DSCN0515"/>
    <s v="WW0909_2"/>
    <n v="2"/>
    <n v="1"/>
    <x v="0"/>
    <d v="2018-09-09T00:00:00"/>
    <s v="September"/>
    <s v="Fall"/>
    <d v="1899-12-30T00:45:00"/>
    <d v="1899-12-30T00:00:45"/>
    <x v="122"/>
    <s v="Full sun"/>
    <x v="0"/>
    <s v="Foraging"/>
    <s v="NA"/>
    <n v="1"/>
    <m/>
    <s v="Unknown"/>
    <s v="Mushroom"/>
    <s v="Mushroom"/>
    <s v="Ground"/>
    <s v="NA"/>
    <m/>
    <m/>
    <m/>
    <m/>
    <m/>
    <s v="NA"/>
    <s v="NA"/>
    <m/>
    <m/>
    <m/>
    <m/>
    <n v="0"/>
    <n v="0"/>
    <n v="0"/>
    <n v="0"/>
    <n v="6"/>
    <n v="0"/>
    <n v="6"/>
    <m/>
    <s v="Pecking at mushroom"/>
    <m/>
    <m/>
  </r>
  <r>
    <s v="DSCN0518"/>
    <s v="WW0909_3"/>
    <n v="3"/>
    <n v="1"/>
    <x v="0"/>
    <d v="2018-09-09T00:00:00"/>
    <s v="September"/>
    <s v="Fall"/>
    <d v="1899-12-30T01:18:00"/>
    <d v="1899-12-30T00:01:18"/>
    <x v="122"/>
    <s v="Full sun"/>
    <x v="0"/>
    <s v="Caching"/>
    <s v="Spruce"/>
    <n v="0"/>
    <m/>
    <n v="3"/>
    <s v="Human food"/>
    <s v="Human food (Granola, fried chicken?)"/>
    <s v="Food brought to branch of spruce by bird during watch"/>
    <s v="Exterior bare spruce branch under bark "/>
    <s v="Spruce"/>
    <s v="Exterior"/>
    <s v="Under bark"/>
    <m/>
    <m/>
    <n v="0"/>
    <n v="63.739269999999998"/>
    <n v="148.90099000000001"/>
    <m/>
    <m/>
    <m/>
    <n v="0"/>
    <n v="0"/>
    <n v="0"/>
    <n v="0"/>
    <n v="0"/>
    <n v="0"/>
    <n v="0"/>
    <m/>
    <s v="One consecutive caching event with same food item.  Item was in the tree it cached in multiple times."/>
    <m/>
    <m/>
  </r>
  <r>
    <s v="DSCN0518"/>
    <s v="WW0909_3"/>
    <n v="3"/>
    <n v="2"/>
    <x v="0"/>
    <d v="2018-09-09T00:00:00"/>
    <s v="September"/>
    <s v="Fall"/>
    <d v="1899-12-30T01:18:00"/>
    <d v="1899-12-30T00:01:18"/>
    <x v="122"/>
    <s v="Full sun"/>
    <x v="0"/>
    <s v="Caching"/>
    <s v="Spruce"/>
    <n v="0"/>
    <m/>
    <n v="1"/>
    <s v="Human food"/>
    <s v="Human food (Granola, fried chicken?)"/>
    <s v="Food brought to branch of spruce by bird during watch"/>
    <s v="Exterior bare branch of shrub"/>
    <s v="Shrub"/>
    <s v="Exterior"/>
    <s v="Branch"/>
    <m/>
    <m/>
    <n v="3"/>
    <n v="63.739319999999999"/>
    <n v="148.90099000000001"/>
    <m/>
    <m/>
    <m/>
    <n v="0"/>
    <n v="0"/>
    <n v="0"/>
    <n v="0"/>
    <n v="0"/>
    <n v="0"/>
    <n v="0"/>
    <m/>
    <m/>
    <m/>
    <m/>
  </r>
  <r>
    <s v="DSCN0519"/>
    <s v="WW0909_4"/>
    <n v="4"/>
    <n v="1"/>
    <x v="0"/>
    <d v="2018-09-09T00:00:00"/>
    <s v="September"/>
    <s v="Fall"/>
    <d v="1899-12-30T01:30:00"/>
    <d v="1899-12-30T00:01:30"/>
    <x v="122"/>
    <s v="Full sun"/>
    <x v="0"/>
    <s v="Caching"/>
    <s v="Spruce"/>
    <n v="0"/>
    <m/>
    <n v="2"/>
    <s v="Human food"/>
    <s v="Human food (Granola, fried chicken?)"/>
    <s v="Food brought to branch of spruce by bird during watch"/>
    <s v="Interior bare spruce branch under bark"/>
    <s v="Spruce"/>
    <s v="Interior"/>
    <s v="Under bark"/>
    <m/>
    <m/>
    <n v="0"/>
    <n v="63.739249999999998"/>
    <n v="148.90089"/>
    <m/>
    <m/>
    <m/>
    <n v="0"/>
    <n v="0"/>
    <n v="0"/>
    <n v="0"/>
    <n v="0"/>
    <n v="0"/>
    <n v="0"/>
    <m/>
    <s v="Item from previous video was moved to focal tree in this video. "/>
    <m/>
    <m/>
  </r>
  <r>
    <s v="DSCN0520"/>
    <s v="WW0909_5"/>
    <n v="5"/>
    <n v="1"/>
    <x v="0"/>
    <d v="2018-09-09T00:00:00"/>
    <s v="September"/>
    <s v="Fall"/>
    <d v="1899-12-30T00:38:00"/>
    <d v="1899-12-30T00:00:38"/>
    <x v="122"/>
    <s v="Full sun"/>
    <x v="0"/>
    <s v="Caching"/>
    <s v="Spruce"/>
    <n v="0"/>
    <m/>
    <n v="1"/>
    <s v="Human food"/>
    <s v="Human food (Granola, fried chicken?)"/>
    <s v="Food brought to branch of spruce by bird during watch"/>
    <s v="branch of small dead spruce, under bark "/>
    <s v="Spruce"/>
    <s v="Exterior"/>
    <s v="Under bark"/>
    <m/>
    <m/>
    <n v="6"/>
    <n v="63.739339999999999"/>
    <n v="148.90071"/>
    <m/>
    <m/>
    <m/>
    <n v="0"/>
    <n v="0"/>
    <n v="0"/>
    <n v="0"/>
    <n v="0"/>
    <n v="0"/>
    <n v="0"/>
    <m/>
    <m/>
    <m/>
    <m/>
  </r>
  <r>
    <s v="DSCN0521"/>
    <s v="WW0909_6"/>
    <n v="6"/>
    <n v="1"/>
    <x v="0"/>
    <d v="2018-09-09T00:00:00"/>
    <s v="September"/>
    <s v="Fall"/>
    <d v="1899-12-30T03:08:00"/>
    <d v="1899-12-30T00:03:08"/>
    <x v="122"/>
    <s v="Full sun"/>
    <x v="0"/>
    <s v="Caching"/>
    <s v="Spruce"/>
    <n v="0"/>
    <m/>
    <n v="1"/>
    <s v="Human food"/>
    <s v="Human food (Granola, fried chicken?)"/>
    <s v="Food brought to branch of spruce by bird during watch"/>
    <s v="Interior spruce branch under bark"/>
    <s v="Spruce"/>
    <s v="Interior"/>
    <s v="Under bark"/>
    <m/>
    <m/>
    <n v="14"/>
    <n v="63.73912"/>
    <n v="148.90092000000001"/>
    <m/>
    <m/>
    <m/>
    <n v="0"/>
    <n v="0"/>
    <n v="0"/>
    <n v="0"/>
    <n v="0"/>
    <n v="0"/>
    <n v="0"/>
    <m/>
    <m/>
    <m/>
    <m/>
  </r>
  <r>
    <s v="DSCN0521"/>
    <s v="WW0909_6"/>
    <n v="6"/>
    <n v="2"/>
    <x v="0"/>
    <d v="2018-09-09T00:00:00"/>
    <s v="September"/>
    <s v="Fall"/>
    <d v="1899-12-30T03:08:00"/>
    <d v="1899-12-30T00:03:08"/>
    <x v="122"/>
    <s v="Full sun"/>
    <x v="0"/>
    <s v="Caching"/>
    <s v="Spruce"/>
    <n v="0"/>
    <m/>
    <n v="1"/>
    <s v="Human food"/>
    <s v="Human food (Granola, fried chicken?)"/>
    <s v="Food brought to branch of spruce by bird during watch"/>
    <s v="Exterior spruce branch under bark"/>
    <s v="Spruce"/>
    <s v="Exterior"/>
    <s v="Under bark"/>
    <m/>
    <m/>
    <n v="14"/>
    <n v="63.73912"/>
    <n v="148.90092000000001"/>
    <m/>
    <m/>
    <m/>
    <n v="0"/>
    <n v="0"/>
    <n v="0"/>
    <n v="0"/>
    <n v="0"/>
    <n v="0"/>
    <n v="0"/>
    <m/>
    <m/>
    <m/>
    <m/>
  </r>
  <r>
    <s v="DSCN0521"/>
    <s v="WW0909_6"/>
    <n v="6"/>
    <n v="3"/>
    <x v="0"/>
    <d v="2018-09-09T00:00:00"/>
    <s v="September"/>
    <s v="Fall"/>
    <d v="1899-12-30T03:08:00"/>
    <d v="1899-12-30T00:03:08"/>
    <x v="122"/>
    <s v="Full sun"/>
    <x v="0"/>
    <s v="Caching"/>
    <s v="Spruce"/>
    <n v="0"/>
    <m/>
    <n v="1"/>
    <s v="Human food"/>
    <s v="Human food (Granola, fried chicken?)"/>
    <s v="Food brought to branch of spruce by bird during watch"/>
    <s v="Interior spruce branch under bark"/>
    <s v="Spruce"/>
    <s v="Interior"/>
    <s v="Under bark"/>
    <m/>
    <m/>
    <n v="14"/>
    <n v="63.73912"/>
    <n v="148.90092000000001"/>
    <m/>
    <m/>
    <m/>
    <n v="0"/>
    <n v="0"/>
    <n v="0"/>
    <n v="0"/>
    <n v="0"/>
    <n v="0"/>
    <n v="0"/>
    <m/>
    <m/>
    <m/>
    <m/>
  </r>
  <r>
    <s v="DSCN0521"/>
    <s v="WW0909_6"/>
    <n v="6"/>
    <n v="4"/>
    <x v="0"/>
    <d v="2018-09-09T00:00:00"/>
    <s v="September"/>
    <s v="Fall"/>
    <d v="1899-12-30T03:08:00"/>
    <d v="1899-12-30T00:03:08"/>
    <x v="122"/>
    <s v="Full sun"/>
    <x v="0"/>
    <s v="Caching"/>
    <s v="Spruce"/>
    <n v="0"/>
    <m/>
    <n v="1"/>
    <s v="Human food"/>
    <s v="Human food (Granola, fried chicken?)"/>
    <s v="Food brought to branch of spruce by bird during watch"/>
    <s v="Interior spruce branch under witchhair"/>
    <s v="Spruce"/>
    <s v="Interior"/>
    <s v="Under bark and witch hair "/>
    <m/>
    <m/>
    <n v="14"/>
    <n v="63.73912"/>
    <n v="148.90092000000001"/>
    <m/>
    <m/>
    <m/>
    <n v="0"/>
    <n v="0"/>
    <n v="0"/>
    <n v="0"/>
    <n v="0"/>
    <n v="0"/>
    <n v="0"/>
    <m/>
    <m/>
    <m/>
    <m/>
  </r>
  <r>
    <s v="DSCN0521"/>
    <s v="WW0909_6"/>
    <n v="6"/>
    <n v="5"/>
    <x v="0"/>
    <d v="2018-09-09T00:00:00"/>
    <s v="September"/>
    <s v="Fall"/>
    <d v="1899-12-30T03:08:00"/>
    <d v="1899-12-30T00:03:08"/>
    <x v="122"/>
    <s v="Full sun"/>
    <x v="0"/>
    <s v="Caching"/>
    <s v="Spruce"/>
    <n v="0"/>
    <m/>
    <n v="1"/>
    <s v="Human food"/>
    <s v="Human food (Granola, fried chicken?)"/>
    <s v="Food brought to branch of spruce by bird during watch"/>
    <s v="Exterior spruce branch under bark"/>
    <s v="Spruce"/>
    <s v="Exterior"/>
    <s v="Under bark"/>
    <m/>
    <m/>
    <n v="14"/>
    <n v="63.739150000000002"/>
    <n v="148.9008"/>
    <m/>
    <m/>
    <m/>
    <n v="0"/>
    <n v="0"/>
    <n v="0"/>
    <n v="0"/>
    <n v="0"/>
    <n v="0"/>
    <n v="0"/>
    <m/>
    <m/>
    <m/>
    <m/>
  </r>
  <r>
    <s v="DSCN0521"/>
    <s v="WW0909_6"/>
    <n v="6"/>
    <n v="6"/>
    <x v="0"/>
    <d v="2018-09-09T00:00:00"/>
    <s v="September"/>
    <s v="Fall"/>
    <d v="1899-12-30T03:08:00"/>
    <d v="1899-12-30T00:03:08"/>
    <x v="122"/>
    <s v="Full sun"/>
    <x v="0"/>
    <s v="Caching"/>
    <s v="Spruce"/>
    <n v="0"/>
    <m/>
    <n v="1"/>
    <s v="Human food"/>
    <s v="Human food (Granola, fried chicken?)"/>
    <s v="Food brought to branch of spruce by bird during watch"/>
    <s v="Interior spruce branch under bark"/>
    <s v="Spruce"/>
    <s v="Interior"/>
    <s v="Under bark"/>
    <m/>
    <m/>
    <n v="14"/>
    <n v="63.73912"/>
    <n v="148.90092000000001"/>
    <m/>
    <m/>
    <m/>
    <n v="0"/>
    <n v="0"/>
    <n v="0"/>
    <n v="0"/>
    <n v="0"/>
    <n v="0"/>
    <n v="0"/>
    <m/>
    <m/>
    <m/>
    <m/>
  </r>
  <r>
    <s v="DSCN0521"/>
    <s v="WW0909_6"/>
    <n v="6"/>
    <n v="7"/>
    <x v="0"/>
    <d v="2018-09-09T00:00:00"/>
    <s v="September"/>
    <s v="Fall"/>
    <d v="1899-12-30T03:08:00"/>
    <d v="1899-12-30T00:03:08"/>
    <x v="122"/>
    <s v="Full sun"/>
    <x v="0"/>
    <s v="Caching"/>
    <s v="Spruce"/>
    <n v="0"/>
    <m/>
    <n v="1"/>
    <s v="Human food"/>
    <s v="Human food (Granola, fried chicken?)"/>
    <s v="Food brought to branch of spruce by bird during watch"/>
    <s v="Interior spruce branch under bark"/>
    <s v="Spruce"/>
    <s v="Interior"/>
    <s v="Under bark"/>
    <m/>
    <m/>
    <n v="14"/>
    <n v="63.739150000000002"/>
    <n v="148.9008"/>
    <m/>
    <m/>
    <m/>
    <n v="0"/>
    <n v="0"/>
    <n v="0"/>
    <n v="0"/>
    <n v="0"/>
    <n v="0"/>
    <n v="0"/>
    <m/>
    <m/>
    <m/>
    <m/>
  </r>
  <r>
    <s v="DSCN0521"/>
    <s v="WW0909_6"/>
    <n v="6"/>
    <n v="8"/>
    <x v="0"/>
    <d v="2018-09-09T00:00:00"/>
    <s v="September"/>
    <s v="Fall"/>
    <d v="1899-12-30T03:08:00"/>
    <d v="1899-12-30T00:03:08"/>
    <x v="122"/>
    <s v="Full sun"/>
    <x v="0"/>
    <s v="Caching"/>
    <s v="Spruce"/>
    <n v="0"/>
    <m/>
    <n v="1"/>
    <s v="Human food"/>
    <s v="Human food (Granola, fried chicken?)"/>
    <s v="Food brought to branch of spruce by bird during watch"/>
    <s v="Interior spruce branch under bark"/>
    <s v="Spruce"/>
    <s v="Interior"/>
    <s v="Under bark"/>
    <m/>
    <m/>
    <n v="15"/>
    <n v="63.73912"/>
    <n v="148.90076999999999"/>
    <m/>
    <m/>
    <m/>
    <n v="0"/>
    <n v="0"/>
    <n v="0"/>
    <n v="0"/>
    <n v="0"/>
    <n v="0"/>
    <n v="0"/>
    <m/>
    <m/>
    <m/>
    <m/>
  </r>
  <r>
    <s v="DSCN0522"/>
    <s v="WW0909_7"/>
    <n v="7"/>
    <n v="1"/>
    <x v="0"/>
    <d v="2018-09-09T00:00:00"/>
    <s v="September"/>
    <s v="Fall"/>
    <d v="1899-12-30T00:14:00"/>
    <d v="1899-12-30T00:00:14"/>
    <x v="122"/>
    <s v="Full sun"/>
    <x v="0"/>
    <s v="Caching"/>
    <s v="Spruce"/>
    <n v="0"/>
    <m/>
    <n v="1"/>
    <s v="Human food"/>
    <s v="Human food (Granola, fried chicken?)"/>
    <s v="Food brought to branch of spruce by bird during watch"/>
    <s v="Exterior spruce branch under bark/witch hair"/>
    <s v="Spruce"/>
    <s v="Exterior"/>
    <s v="Under bark and witch hair "/>
    <m/>
    <m/>
    <n v="14"/>
    <n v="63.73912"/>
    <n v="148.90092000000001"/>
    <m/>
    <m/>
    <m/>
    <n v="0"/>
    <n v="0"/>
    <n v="0"/>
    <n v="0"/>
    <n v="0"/>
    <n v="0"/>
    <n v="0"/>
    <m/>
    <s v="Same as WW0909_6  (63.73912, 148.90092)"/>
    <m/>
    <m/>
  </r>
  <r>
    <s v="DSCN0523"/>
    <s v="WW0909_8"/>
    <n v="8"/>
    <n v="1"/>
    <x v="0"/>
    <d v="2018-09-09T00:00:00"/>
    <s v="September"/>
    <s v="Fall"/>
    <d v="1899-12-30T02:25:00"/>
    <d v="1899-12-30T00:02:25"/>
    <x v="122"/>
    <s v="Full sun"/>
    <x v="0"/>
    <s v="Caching"/>
    <s v="Spruce"/>
    <n v="0"/>
    <m/>
    <n v="2"/>
    <s v="Human food"/>
    <s v="Human food (Granola, fried chicken?)"/>
    <s v="Food brought to branch of spruce by bird during watch"/>
    <s v="Interior bare spruce branch under bark"/>
    <s v="Spruce"/>
    <s v="Interior"/>
    <s v="Under bark"/>
    <m/>
    <m/>
    <n v="20"/>
    <n v="63.739170000000001"/>
    <n v="148.90096"/>
    <m/>
    <m/>
    <m/>
    <n v="0"/>
    <n v="0"/>
    <n v="0"/>
    <n v="0"/>
    <n v="0"/>
    <n v="0"/>
    <n v="0"/>
    <m/>
    <m/>
    <m/>
    <m/>
  </r>
  <r>
    <s v="DSCN0523"/>
    <s v="WW0909_8"/>
    <n v="8"/>
    <n v="2"/>
    <x v="0"/>
    <d v="2018-09-09T00:00:00"/>
    <s v="September"/>
    <s v="Fall"/>
    <d v="1899-12-30T02:25:00"/>
    <d v="1899-12-30T00:02:25"/>
    <x v="122"/>
    <s v="Full sun"/>
    <x v="0"/>
    <s v="Caching"/>
    <s v="Spruce"/>
    <n v="0"/>
    <m/>
    <n v="2"/>
    <s v="Human food"/>
    <s v="Human food (Granola, fried chicken?)"/>
    <s v="Food brought to branch of spruce by bird during watch"/>
    <s v="Interior bare spruce branch under bark"/>
    <s v="Spruce"/>
    <s v="Interior"/>
    <s v="Under bark"/>
    <m/>
    <m/>
    <n v="20"/>
    <n v="63.739159999999998"/>
    <n v="148.90085999999999"/>
    <m/>
    <m/>
    <m/>
    <n v="0"/>
    <n v="0"/>
    <n v="0"/>
    <n v="0"/>
    <n v="0"/>
    <n v="0"/>
    <n v="0"/>
    <m/>
    <m/>
    <m/>
    <m/>
  </r>
  <r>
    <s v="DSCN0523"/>
    <s v="WW0909_8"/>
    <n v="8"/>
    <n v="3"/>
    <x v="0"/>
    <d v="2018-09-09T00:00:00"/>
    <s v="September"/>
    <s v="Fall"/>
    <d v="1899-12-30T02:25:00"/>
    <d v="1899-12-30T00:02:25"/>
    <x v="122"/>
    <s v="Full sun"/>
    <x v="0"/>
    <s v="Caching"/>
    <s v="Spruce"/>
    <n v="0"/>
    <m/>
    <n v="1"/>
    <s v="Human food"/>
    <s v="Human food (Granola, fried chicken?)"/>
    <s v="Food brought to branch of spruce by bird during watch"/>
    <s v="Interior bare spruce branch under bark"/>
    <s v="Spruce"/>
    <s v="Interior"/>
    <s v="Under bark"/>
    <m/>
    <m/>
    <n v="20"/>
    <n v="63.73921"/>
    <n v="148.90101999999999"/>
    <m/>
    <m/>
    <m/>
    <n v="0"/>
    <n v="0"/>
    <n v="0"/>
    <n v="0"/>
    <n v="0"/>
    <n v="0"/>
    <n v="0"/>
    <m/>
    <m/>
    <m/>
    <m/>
  </r>
  <r>
    <s v="DSCN0749"/>
    <s v="WW0915_1"/>
    <n v="1"/>
    <n v="1"/>
    <x v="0"/>
    <d v="2018-09-15T00:00:00"/>
    <s v="September"/>
    <s v="Fall"/>
    <d v="1899-12-30T01:15:00"/>
    <d v="1899-12-30T00:01:15"/>
    <x v="122"/>
    <s v="Mostly sunny"/>
    <x v="0"/>
    <s v="Caching"/>
    <s v="Spruce"/>
    <n v="0"/>
    <m/>
    <n v="1"/>
    <s v="Unknown"/>
    <s v="Unknown"/>
    <s v="NA"/>
    <s v="Spruce trunk under bark"/>
    <s v="Spruce"/>
    <s v="Trunk"/>
    <s v="Under bark"/>
    <m/>
    <m/>
    <s v="Unknown"/>
    <n v="63.738419999999998"/>
    <n v="148.90466000000001"/>
    <m/>
    <m/>
    <m/>
    <n v="0"/>
    <n v="0"/>
    <n v="0"/>
    <n v="0"/>
    <n v="0"/>
    <n v="0"/>
    <n v="0"/>
    <m/>
    <s v="We decided the first 10sec were looking for a place to cache rather than foraging.  "/>
    <m/>
    <m/>
  </r>
  <r>
    <s v="DSCN0750"/>
    <s v="WW0915_2"/>
    <n v="2"/>
    <n v="1"/>
    <x v="0"/>
    <d v="2018-09-15T00:00:00"/>
    <s v="September"/>
    <s v="Fall"/>
    <d v="1899-12-30T00:19:00"/>
    <d v="1899-12-30T00:00:19"/>
    <x v="122"/>
    <s v="Mostly sunny"/>
    <x v="0"/>
    <s v="Foraging/caching"/>
    <s v="Spruce"/>
    <n v="1"/>
    <m/>
    <n v="1"/>
    <s v="Berry"/>
    <s v="Berry (Blueberry)"/>
    <s v="Ground"/>
    <s v="Interior spruce foliage "/>
    <s v="Spruce"/>
    <s v="Interior"/>
    <s v="Foliage"/>
    <m/>
    <m/>
    <s v="Unknown"/>
    <n v="63.738860000000003"/>
    <n v="148.90303"/>
    <m/>
    <m/>
    <m/>
    <n v="0"/>
    <n v="0"/>
    <n v="0"/>
    <n v="0"/>
    <n v="5"/>
    <n v="0"/>
    <n v="5"/>
    <m/>
    <m/>
    <m/>
    <m/>
  </r>
  <r>
    <s v="DSCN0751"/>
    <s v="WW0915_3"/>
    <n v="3"/>
    <n v="1"/>
    <x v="0"/>
    <d v="2018-09-15T00:00:00"/>
    <s v="September"/>
    <s v="Fall"/>
    <d v="1899-12-30T00:49:00"/>
    <d v="1899-12-30T00:00:49"/>
    <x v="122"/>
    <s v="Mostly sunny"/>
    <x v="0"/>
    <s v="Foraging"/>
    <s v="Spruce"/>
    <n v="2"/>
    <m/>
    <n v="1"/>
    <s v="Berry"/>
    <s v="Berry (Blueberry)"/>
    <s v="Ground"/>
    <s v="Interior spruce foliage "/>
    <s v="Spruce"/>
    <s v="Interior"/>
    <s v="Foliage"/>
    <m/>
    <m/>
    <s v="Unknown"/>
    <n v="63.738280000000003"/>
    <n v="148.89919"/>
    <m/>
    <m/>
    <m/>
    <n v="0"/>
    <n v="0"/>
    <n v="0"/>
    <n v="0"/>
    <n v="27"/>
    <n v="0"/>
    <n v="27"/>
    <m/>
    <m/>
    <m/>
    <m/>
  </r>
  <r>
    <s v="DSCN0755"/>
    <s v="WW0915_4"/>
    <n v="4"/>
    <n v="1"/>
    <x v="0"/>
    <d v="2018-09-15T00:00:00"/>
    <s v="September"/>
    <s v="Fall"/>
    <d v="1899-12-30T00:44:00"/>
    <d v="1899-12-30T00:00:44"/>
    <x v="122"/>
    <s v="Mostly sunny"/>
    <x v="0"/>
    <s v="Foraging"/>
    <s v="Spruce"/>
    <n v="1"/>
    <m/>
    <n v="0"/>
    <s v="Unknown"/>
    <s v="Unknown"/>
    <s v="Spruce trunk"/>
    <s v="NA"/>
    <s v="NA"/>
    <s v="NA"/>
    <s v="NA"/>
    <m/>
    <m/>
    <s v="NA"/>
    <s v="NA"/>
    <m/>
    <m/>
    <m/>
    <m/>
    <n v="17"/>
    <n v="0"/>
    <n v="17"/>
    <n v="0"/>
    <n v="0"/>
    <n v="0"/>
    <n v="17"/>
    <m/>
    <m/>
    <m/>
    <m/>
  </r>
  <r>
    <s v="DSCN1026"/>
    <s v="WW0924_1"/>
    <n v="1"/>
    <n v="1"/>
    <x v="0"/>
    <d v="2018-09-24T00:00:00"/>
    <s v="September"/>
    <s v="Fall"/>
    <d v="1899-12-30T01:35:00"/>
    <d v="1899-12-30T00:01:35"/>
    <x v="122"/>
    <s v="Partly Sunny"/>
    <x v="0"/>
    <s v="Foraging"/>
    <s v="Spruce"/>
    <s v="unknown"/>
    <m/>
    <n v="0"/>
    <s v="Unknown"/>
    <s v="Unknown"/>
    <s v="NA"/>
    <s v="NA"/>
    <s v="NA"/>
    <s v="NA"/>
    <s v="NA"/>
    <m/>
    <m/>
    <s v="NA"/>
    <s v="NA"/>
    <m/>
    <m/>
    <m/>
    <m/>
    <n v="15"/>
    <n v="0"/>
    <n v="15"/>
    <n v="0"/>
    <n v="0"/>
    <n v="0"/>
    <n v="15"/>
    <s v="Gleaning"/>
    <m/>
    <n v="0"/>
    <n v="2"/>
  </r>
  <r>
    <s v="DSCN1140"/>
    <s v="WW0926_1"/>
    <n v="1"/>
    <n v="1"/>
    <x v="0"/>
    <d v="2018-09-26T00:00:00"/>
    <s v="September"/>
    <s v="Fall"/>
    <d v="1899-12-30T00:13:00"/>
    <d v="1899-12-30T00:00:13"/>
    <x v="122"/>
    <s v="Overcast"/>
    <x v="0"/>
    <s v="Caching"/>
    <s v="Spruce"/>
    <n v="0"/>
    <m/>
    <n v="1"/>
    <s v="Unknown"/>
    <s v="Unknown"/>
    <s v="unknown"/>
    <s v="Spruce trunk under bark"/>
    <s v="Spruce"/>
    <s v="Trunk"/>
    <s v="Under bark"/>
    <m/>
    <m/>
    <s v="unknown"/>
    <n v="63.737909999999999"/>
    <n v="148.90565000000001"/>
    <m/>
    <m/>
    <m/>
    <n v="0"/>
    <n v="0"/>
    <n v="0"/>
    <n v="0"/>
    <n v="0"/>
    <n v="0"/>
    <n v="0"/>
    <m/>
    <m/>
    <m/>
    <m/>
  </r>
  <r>
    <s v="DSCN1146"/>
    <s v="WW0926_2"/>
    <n v="2"/>
    <n v="1"/>
    <x v="0"/>
    <d v="2018-09-26T00:00:00"/>
    <s v="September"/>
    <s v="Fall"/>
    <d v="1899-12-30T00:36:00"/>
    <d v="1899-12-30T00:00:36"/>
    <x v="122"/>
    <s v="Overcast"/>
    <x v="0"/>
    <s v="Foraging"/>
    <s v="NA"/>
    <s v="unknown"/>
    <m/>
    <n v="0"/>
    <s v="Unknown"/>
    <s v="Unknown"/>
    <s v="NA"/>
    <s v="NA"/>
    <s v="NA"/>
    <s v="NA"/>
    <s v="NA"/>
    <m/>
    <m/>
    <s v="NA"/>
    <s v="NA"/>
    <m/>
    <m/>
    <m/>
    <m/>
    <n v="0"/>
    <n v="0"/>
    <n v="0"/>
    <n v="0"/>
    <n v="33"/>
    <n v="0"/>
    <n v="33"/>
    <m/>
    <m/>
    <m/>
    <m/>
  </r>
  <r>
    <s v="DSCN1148"/>
    <s v="WW0926_3"/>
    <n v="3"/>
    <n v="1"/>
    <x v="0"/>
    <d v="2018-09-26T00:00:00"/>
    <s v="September"/>
    <s v="Fall"/>
    <d v="1899-12-30T00:23:00"/>
    <d v="1899-12-30T00:00:23"/>
    <x v="122"/>
    <s v="Overcast"/>
    <x v="0"/>
    <s v="Foraging/caching"/>
    <s v="Spruce"/>
    <n v="1"/>
    <m/>
    <n v="1"/>
    <s v="Berry"/>
    <s v="Berry (Blueberry)"/>
    <s v="Ground"/>
    <s v="Exterior spruce branch on bare branch and lichen"/>
    <s v="Spruce"/>
    <s v="Exterior"/>
    <s v="Under bark and witch hair "/>
    <m/>
    <m/>
    <n v="10"/>
    <n v="63.739910000000002"/>
    <n v="148.90183999999999"/>
    <m/>
    <m/>
    <m/>
    <n v="0"/>
    <n v="0"/>
    <n v="0"/>
    <n v="0"/>
    <n v="11"/>
    <n v="0"/>
    <n v="11"/>
    <m/>
    <s v="I went an inspected tree and could see cached bluberry on branch.  Later, after we lost the bird, I could not find it though! "/>
    <m/>
    <m/>
  </r>
  <r>
    <s v="DSCN1150"/>
    <s v="WW0926_4"/>
    <n v="4"/>
    <n v="1"/>
    <x v="0"/>
    <d v="2018-09-26T00:00:00"/>
    <s v="September"/>
    <s v="Fall"/>
    <d v="1899-12-30T00:24:00"/>
    <d v="1899-12-30T00:00:24"/>
    <x v="122"/>
    <s v="Overcast"/>
    <x v="0"/>
    <s v="Foraging"/>
    <s v="NA"/>
    <s v="unknown"/>
    <m/>
    <n v="0"/>
    <s v="Unknown"/>
    <s v="Unknown"/>
    <s v="NA"/>
    <s v="NA"/>
    <s v="NA"/>
    <s v="NA"/>
    <s v="NA"/>
    <m/>
    <m/>
    <s v="NA"/>
    <s v="NA"/>
    <m/>
    <m/>
    <m/>
    <m/>
    <n v="0"/>
    <n v="0"/>
    <n v="0"/>
    <n v="0"/>
    <n v="21"/>
    <n v="0"/>
    <n v="21"/>
    <m/>
    <m/>
    <m/>
    <m/>
  </r>
  <r>
    <s v="DSCN1153"/>
    <s v="WW0926_5"/>
    <n v="5"/>
    <n v="1"/>
    <x v="0"/>
    <d v="2018-09-26T00:00:00"/>
    <s v="September"/>
    <s v="Fall"/>
    <d v="1899-12-30T00:34:00"/>
    <d v="1899-12-30T00:00:34"/>
    <x v="122"/>
    <s v="Overcast"/>
    <x v="0"/>
    <s v="Foraging/caching"/>
    <s v="Spruce"/>
    <n v="1"/>
    <m/>
    <n v="1"/>
    <s v="Insect"/>
    <s v="Insect (worm or caterpillar)"/>
    <s v="Ground"/>
    <s v="Interior spruce, middle of branch under bark "/>
    <s v="Spruce"/>
    <s v="Interior"/>
    <s v="Under bark"/>
    <m/>
    <m/>
    <n v="5"/>
    <n v="63.739980000000003"/>
    <n v="148.90302"/>
    <m/>
    <m/>
    <m/>
    <n v="0"/>
    <n v="0"/>
    <n v="0"/>
    <n v="0"/>
    <n v="6"/>
    <n v="0"/>
    <n v="6"/>
    <m/>
    <m/>
    <m/>
    <m/>
  </r>
  <r>
    <s v="DSCN1155"/>
    <s v="WW0926_6"/>
    <n v="6"/>
    <n v="1"/>
    <x v="0"/>
    <d v="2018-09-26T00:00:00"/>
    <s v="September"/>
    <s v="Fall"/>
    <d v="1899-12-30T00:17:00"/>
    <d v="1899-12-30T00:00:17"/>
    <x v="122"/>
    <s v="Overcast"/>
    <x v="0"/>
    <s v="Foraging"/>
    <s v="NA"/>
    <s v="unknown"/>
    <m/>
    <n v="0"/>
    <s v="Unknown"/>
    <s v="Unknown"/>
    <s v="NA"/>
    <s v="NA"/>
    <s v="NA"/>
    <s v="NA"/>
    <s v="NA"/>
    <m/>
    <m/>
    <s v="NA"/>
    <s v="NA"/>
    <m/>
    <m/>
    <m/>
    <m/>
    <n v="0"/>
    <n v="0"/>
    <n v="0"/>
    <n v="0"/>
    <n v="15"/>
    <n v="0"/>
    <n v="15"/>
    <m/>
    <m/>
    <m/>
    <m/>
  </r>
  <r>
    <s v="DSCN1158"/>
    <s v="WW0926_7"/>
    <n v="7"/>
    <n v="1"/>
    <x v="0"/>
    <d v="2018-09-26T00:00:00"/>
    <s v="September"/>
    <s v="Fall"/>
    <d v="1899-12-30T00:17:00"/>
    <d v="1899-12-30T00:00:17"/>
    <x v="122"/>
    <s v="Overcast"/>
    <x v="0"/>
    <s v="Caching"/>
    <s v="Spruce"/>
    <n v="0"/>
    <m/>
    <n v="1"/>
    <s v="Unknown"/>
    <s v="Unknown"/>
    <s v="unknown"/>
    <s v="Spruce trunk under bark"/>
    <s v="Spruce"/>
    <s v="Trunk"/>
    <s v="Under bark"/>
    <m/>
    <m/>
    <s v="unknown"/>
    <n v="63.739550000000001"/>
    <n v="148.90470999999999"/>
    <m/>
    <m/>
    <m/>
    <n v="0"/>
    <n v="0"/>
    <n v="0"/>
    <n v="0"/>
    <n v="0"/>
    <n v="0"/>
    <n v="0"/>
    <m/>
    <s v="Suspected B&amp;Ut unconfirmed cache"/>
    <m/>
    <m/>
  </r>
  <r>
    <s v="DSCN1162"/>
    <s v="WW0926_8"/>
    <n v="8"/>
    <n v="1"/>
    <x v="0"/>
    <d v="2018-09-26T00:00:00"/>
    <s v="September"/>
    <s v="Fall"/>
    <d v="1899-12-30T00:50:00"/>
    <d v="1899-12-30T00:00:50"/>
    <x v="122"/>
    <s v="Overcast"/>
    <x v="0"/>
    <s v="Foraging"/>
    <s v="NA"/>
    <n v="1"/>
    <m/>
    <n v="0"/>
    <s v="Unknown"/>
    <s v="Unknown"/>
    <s v="Ground"/>
    <s v="NA"/>
    <s v="NA"/>
    <s v="NA"/>
    <s v="NA"/>
    <m/>
    <m/>
    <s v="NA"/>
    <s v="NA"/>
    <m/>
    <m/>
    <m/>
    <m/>
    <n v="0"/>
    <n v="0"/>
    <n v="0"/>
    <n v="0"/>
    <n v="7"/>
    <n v="0"/>
    <n v="7"/>
    <m/>
    <m/>
    <m/>
    <m/>
  </r>
  <r>
    <s v="DSCN1163"/>
    <s v="WW0926_9"/>
    <n v="9"/>
    <n v="1"/>
    <x v="0"/>
    <d v="2018-09-26T00:00:00"/>
    <s v="September"/>
    <s v="Fall"/>
    <d v="1899-12-30T00:48:00"/>
    <d v="1899-12-30T00:00:48"/>
    <x v="122"/>
    <s v="Overcast"/>
    <x v="0"/>
    <s v="Foraging/caching"/>
    <s v="Spruce"/>
    <n v="1"/>
    <m/>
    <n v="1"/>
    <s v="Insect"/>
    <s v="Insect (worm or caterpillar)"/>
    <s v="Ground"/>
    <s v="Exterior spruce branch under bark"/>
    <s v="Spruce"/>
    <s v="Exterior"/>
    <s v="Under bark"/>
    <m/>
    <m/>
    <n v="10"/>
    <n v="63.739829999999998"/>
    <n v="148.90535"/>
    <m/>
    <m/>
    <m/>
    <n v="0"/>
    <n v="0"/>
    <n v="0"/>
    <n v="0"/>
    <n v="0"/>
    <n v="0"/>
    <n v="0"/>
    <m/>
    <s v="bird has just come off the Ground at video start. "/>
    <m/>
    <m/>
  </r>
  <r>
    <s v="DSCN1164"/>
    <s v="WW0926_10"/>
    <n v="10"/>
    <n v="1"/>
    <x v="0"/>
    <d v="2018-09-26T00:00:00"/>
    <s v="September"/>
    <s v="Fall"/>
    <d v="1899-12-30T00:25:00"/>
    <d v="1899-12-30T00:00:25"/>
    <x v="122"/>
    <s v="Overcast"/>
    <x v="0"/>
    <s v="Caching"/>
    <s v="Aspen"/>
    <n v="0"/>
    <m/>
    <n v="1"/>
    <s v="Insect"/>
    <s v="Insect (worm or caterpillar)"/>
    <s v="NA"/>
    <s v="Exterior aspen branch under bark"/>
    <s v="Spruce"/>
    <s v="Exterior"/>
    <s v="Under bark"/>
    <m/>
    <m/>
    <s v="unknown"/>
    <n v="63.740020000000001"/>
    <n v="148.90588"/>
    <m/>
    <m/>
    <m/>
    <n v="0"/>
    <n v="0"/>
    <n v="0"/>
    <n v="0"/>
    <n v="0"/>
    <n v="0"/>
    <n v="0"/>
    <m/>
    <s v="Same food as in previous video"/>
    <m/>
    <m/>
  </r>
  <r>
    <s v="DSCN1167"/>
    <s v="WW0926_11"/>
    <n v="11"/>
    <n v="1"/>
    <x v="0"/>
    <d v="2018-09-26T00:00:00"/>
    <s v="September"/>
    <s v="Fall"/>
    <d v="1899-12-30T00:17:00"/>
    <d v="1899-12-30T00:00:17"/>
    <x v="122"/>
    <s v="Overcast"/>
    <x v="0"/>
    <s v="Caching"/>
    <s v="Spruce"/>
    <n v="0"/>
    <m/>
    <n v="1"/>
    <s v="Unknown"/>
    <s v="Unknown"/>
    <s v="unknown"/>
    <s v="Exterior spruce branch under bark/lichen"/>
    <s v="Spruce"/>
    <s v="Exterior"/>
    <s v="Under bark"/>
    <m/>
    <m/>
    <s v="unknown"/>
    <n v="63.74024"/>
    <n v="148.90630999999999"/>
    <m/>
    <m/>
    <m/>
    <n v="0"/>
    <n v="0"/>
    <n v="0"/>
    <n v="0"/>
    <n v="0"/>
    <n v="0"/>
    <n v="0"/>
    <m/>
    <s v="Video picks up right after it cached. "/>
    <m/>
    <m/>
  </r>
  <r>
    <s v="DSCN0182"/>
    <s v="MC0925_2"/>
    <n v="2"/>
    <n v="1"/>
    <x v="2"/>
    <d v="2018-09-25T00:00:00"/>
    <s v="September"/>
    <s v="Fall"/>
    <d v="1899-12-30T00:24:00"/>
    <d v="1899-12-30T00:00:24"/>
    <x v="122"/>
    <s v="Overcast"/>
    <x v="2"/>
    <s v="Foraging"/>
    <s v="NA"/>
    <n v="1"/>
    <m/>
    <n v="0"/>
    <s v="Unknown"/>
    <s v="Unknown"/>
    <s v="Ground"/>
    <s v="NA"/>
    <s v="NA"/>
    <s v="NA"/>
    <s v="NA"/>
    <m/>
    <m/>
    <s v="NA"/>
    <s v="NA"/>
    <m/>
    <m/>
    <m/>
    <m/>
    <n v="0"/>
    <n v="0"/>
    <n v="0"/>
    <n v="0"/>
    <n v="18"/>
    <n v="0"/>
    <n v="18"/>
    <m/>
    <m/>
    <m/>
    <m/>
  </r>
  <r>
    <s v="DSCN0361"/>
    <s v="MC0906_1"/>
    <n v="1"/>
    <n v="1"/>
    <x v="2"/>
    <d v="2018-09-06T00:00:00"/>
    <s v="September"/>
    <s v="Fall"/>
    <d v="1899-12-30T00:24:00"/>
    <d v="1899-12-30T00:00:24"/>
    <x v="122"/>
    <s v="Overcast"/>
    <x v="2"/>
    <s v="Food handling"/>
    <s v="Spruce"/>
    <n v="1"/>
    <m/>
    <n v="0"/>
    <s v="Misc"/>
    <s v="Toilet paper"/>
    <s v="spruce cache "/>
    <s v="Spruce foliage"/>
    <s v="NA"/>
    <s v="NA"/>
    <s v="NA"/>
    <m/>
    <m/>
    <s v="Unknown"/>
    <s v="Did not mark (did not recognize as cache while in field)"/>
    <m/>
    <m/>
    <m/>
    <m/>
    <n v="0"/>
    <n v="0"/>
    <n v="0"/>
    <n v="0"/>
    <n v="0"/>
    <n v="0"/>
    <n v="0"/>
    <m/>
    <s v="Observed B&amp;Ut not captured on video "/>
    <m/>
    <m/>
  </r>
  <r>
    <s v="DSCN0368"/>
    <s v="MC0906_4"/>
    <n v="4"/>
    <n v="1"/>
    <x v="2"/>
    <d v="2018-09-06T00:00:00"/>
    <s v="September"/>
    <s v="Fall"/>
    <d v="1899-12-30T00:24:00"/>
    <d v="1899-12-30T00:00:24"/>
    <x v="122"/>
    <s v="Overcast"/>
    <x v="2"/>
    <s v="Foraging"/>
    <s v="Aspen"/>
    <s v="unknown"/>
    <m/>
    <n v="0"/>
    <m/>
    <s v="NA"/>
    <s v="NA"/>
    <s v="NA"/>
    <s v="NA"/>
    <s v="NA"/>
    <s v="NA"/>
    <m/>
    <m/>
    <s v="NA"/>
    <s v="NA"/>
    <m/>
    <m/>
    <m/>
    <m/>
    <n v="17"/>
    <n v="0"/>
    <n v="0"/>
    <n v="17"/>
    <n v="0"/>
    <n v="0"/>
    <n v="17"/>
    <s v="Probing"/>
    <m/>
    <n v="1"/>
    <n v="0"/>
  </r>
  <r>
    <s v="DSCN0377"/>
    <s v="MC0906_8"/>
    <n v="8"/>
    <n v="1"/>
    <x v="2"/>
    <d v="2018-09-06T00:00:00"/>
    <s v="September"/>
    <s v="Fall"/>
    <d v="1899-12-30T00:27:00"/>
    <d v="1899-12-30T00:00:27"/>
    <x v="122"/>
    <s v="Overcast"/>
    <x v="2"/>
    <s v="Caching"/>
    <s v="Spruce"/>
    <n v="1"/>
    <m/>
    <n v="1"/>
    <s v="Mushroom"/>
    <s v="Mushroom"/>
    <s v="Spruce branch (from MC0906_7)"/>
    <s v="Exterior spruce foliage"/>
    <s v="Spruce"/>
    <s v="Exterior"/>
    <s v="Foliage"/>
    <m/>
    <m/>
    <s v="Unknown"/>
    <n v="63.731670000000001"/>
    <n v="148.89604"/>
    <m/>
    <m/>
    <m/>
    <n v="0"/>
    <n v="0"/>
    <n v="0"/>
    <n v="0"/>
    <n v="0"/>
    <n v="0"/>
    <n v="0"/>
    <m/>
    <s v="Female collected mushroo piece that had been placed on spruce branch by male (WO/OS).  She took it and went to a different spruce tree and cashed it.  That second tree is the one we took a GPS on"/>
    <m/>
    <m/>
  </r>
  <r>
    <s v="DSCN0379"/>
    <s v="MC0906_9"/>
    <n v="9"/>
    <n v="1"/>
    <x v="2"/>
    <d v="2018-09-06T00:00:00"/>
    <s v="September"/>
    <s v="Fall"/>
    <d v="1899-12-30T00:11:00"/>
    <d v="1899-12-30T00:00:11"/>
    <x v="122"/>
    <s v="Overcast"/>
    <x v="2"/>
    <s v="Foraging"/>
    <s v="NA"/>
    <n v="1"/>
    <m/>
    <n v="0"/>
    <s v="Mushroom"/>
    <s v="Mushroom"/>
    <s v="Ground"/>
    <s v="NA"/>
    <s v="NA"/>
    <s v="NA"/>
    <s v="NA"/>
    <m/>
    <m/>
    <s v="NA"/>
    <s v="NA"/>
    <m/>
    <m/>
    <m/>
    <m/>
    <n v="0"/>
    <n v="0"/>
    <n v="0"/>
    <n v="0"/>
    <n v="0"/>
    <n v="0"/>
    <n v="0"/>
    <m/>
    <s v="Female on ground already eating at video start.  "/>
    <m/>
    <m/>
  </r>
  <r>
    <s v="DSCN0380"/>
    <s v="MC0906_10"/>
    <n v="10"/>
    <n v="1"/>
    <x v="2"/>
    <d v="2018-09-06T00:00:00"/>
    <s v="September"/>
    <s v="Fall"/>
    <d v="1899-12-30T00:55:00"/>
    <d v="1899-12-30T00:00:55"/>
    <x v="122"/>
    <s v="Overcast"/>
    <x v="2"/>
    <s v="Foraging"/>
    <s v="NA"/>
    <n v="2"/>
    <m/>
    <n v="0"/>
    <s v="Mushroom"/>
    <s v="Mushroom"/>
    <s v="Ground"/>
    <s v="NA"/>
    <s v="NA"/>
    <s v="NA"/>
    <s v="NA"/>
    <m/>
    <m/>
    <s v="NA"/>
    <s v="NA"/>
    <m/>
    <m/>
    <m/>
    <m/>
    <n v="0"/>
    <n v="0"/>
    <n v="0"/>
    <n v="0"/>
    <n v="27"/>
    <n v="0"/>
    <n v="27"/>
    <m/>
    <s v="Attending mushroom"/>
    <m/>
    <m/>
  </r>
  <r>
    <s v="DSCN0381"/>
    <s v="MC0906_11"/>
    <n v="11"/>
    <n v="1"/>
    <x v="2"/>
    <d v="2018-09-06T00:00:00"/>
    <s v="September"/>
    <s v="Fall"/>
    <d v="1899-12-30T00:25:00"/>
    <d v="1899-12-30T00:00:25"/>
    <x v="122"/>
    <s v="Overcast"/>
    <x v="2"/>
    <s v="Caching"/>
    <s v="Spruce"/>
    <n v="0"/>
    <m/>
    <n v="1"/>
    <s v="Mushroom"/>
    <s v="Mushroom"/>
    <s v="NA"/>
    <s v="Interior spruce foliage"/>
    <s v="Spruce"/>
    <s v="Interior"/>
    <s v="Foliage"/>
    <m/>
    <m/>
    <s v="Unknown"/>
    <n v="63.731639999999999"/>
    <n v="148.89586"/>
    <m/>
    <m/>
    <m/>
    <n v="0"/>
    <n v="0"/>
    <n v="0"/>
    <n v="0"/>
    <n v="0"/>
    <n v="0"/>
    <n v="0"/>
    <m/>
    <s v="Cached mushroom from previous video "/>
    <m/>
    <m/>
  </r>
  <r>
    <s v="DSCN0423"/>
    <s v="MC0907_4"/>
    <n v="4"/>
    <n v="1"/>
    <x v="2"/>
    <d v="2018-09-07T00:00:00"/>
    <s v="September"/>
    <s v="Fall"/>
    <d v="1899-12-30T00:15:00"/>
    <d v="1899-12-30T00:00:15"/>
    <x v="122"/>
    <s v="Overcast"/>
    <x v="2"/>
    <s v="Foraging"/>
    <s v="NA"/>
    <n v="1"/>
    <m/>
    <n v="0"/>
    <s v="Mushroom"/>
    <s v="Mushroom (amanita)"/>
    <s v="Ground"/>
    <s v="NA"/>
    <s v="NA"/>
    <s v="NA"/>
    <s v="NA"/>
    <m/>
    <m/>
    <s v="NA"/>
    <s v="NA"/>
    <m/>
    <m/>
    <m/>
    <m/>
    <n v="0"/>
    <n v="0"/>
    <n v="0"/>
    <n v="0"/>
    <n v="15"/>
    <n v="0"/>
    <n v="15"/>
    <m/>
    <m/>
    <m/>
    <m/>
  </r>
  <r>
    <s v="DSCN0424"/>
    <s v="MC0907_5"/>
    <n v="5"/>
    <n v="1"/>
    <x v="2"/>
    <d v="2018-09-07T00:00:00"/>
    <s v="September"/>
    <s v="Fall"/>
    <d v="1899-12-30T01:33:00"/>
    <d v="1899-12-30T00:01:33"/>
    <x v="122"/>
    <s v="Overcast"/>
    <x v="2"/>
    <s v="Foraging"/>
    <s v="Spruce"/>
    <n v="1"/>
    <m/>
    <n v="0"/>
    <s v="Mushroom"/>
    <s v="Mushroom (amanita)"/>
    <s v="NA"/>
    <s v="NA"/>
    <s v="NA"/>
    <s v="NA"/>
    <s v="NA"/>
    <m/>
    <m/>
    <s v="NA"/>
    <s v="NA"/>
    <m/>
    <m/>
    <m/>
    <m/>
    <n v="0"/>
    <n v="0"/>
    <n v="0"/>
    <n v="0"/>
    <n v="0"/>
    <n v="0"/>
    <n v="0"/>
    <m/>
    <s v="Tearing up bits of mushroom from previous video"/>
    <m/>
    <m/>
  </r>
  <r>
    <s v="DSCN0427"/>
    <s v="MC0907_6"/>
    <n v="6"/>
    <n v="1"/>
    <x v="2"/>
    <d v="2018-09-07T00:00:00"/>
    <s v="September"/>
    <s v="Fall"/>
    <d v="1899-12-30T00:08:00"/>
    <d v="1899-12-30T00:00:08"/>
    <x v="122"/>
    <s v="Overcast"/>
    <x v="2"/>
    <s v="Foraging"/>
    <s v="NA"/>
    <n v="1"/>
    <m/>
    <n v="0"/>
    <s v="Mushroom"/>
    <s v="Mushroom (amanita)"/>
    <s v="Ground"/>
    <s v="NA"/>
    <s v="NA"/>
    <s v="NA"/>
    <s v="NA"/>
    <m/>
    <m/>
    <s v="NA"/>
    <s v="NA"/>
    <m/>
    <m/>
    <m/>
    <m/>
    <n v="0"/>
    <n v="0"/>
    <n v="0"/>
    <n v="0"/>
    <n v="9"/>
    <n v="0"/>
    <n v="9"/>
    <m/>
    <m/>
    <m/>
    <m/>
  </r>
  <r>
    <s v="DSCN0437"/>
    <s v="MC0907_7"/>
    <n v="7"/>
    <n v="1"/>
    <x v="2"/>
    <d v="2018-09-07T00:00:00"/>
    <s v="September"/>
    <s v="Fall"/>
    <d v="1899-12-30T01:14:00"/>
    <d v="1899-12-30T00:01:14"/>
    <x v="122"/>
    <s v="Overcast"/>
    <x v="2"/>
    <s v="Foraging"/>
    <s v="NA"/>
    <n v="1"/>
    <m/>
    <n v="0"/>
    <s v="Insect"/>
    <s v="Insect (caterpillar)"/>
    <s v="Ground"/>
    <s v="NA"/>
    <s v="NA"/>
    <s v="NA"/>
    <s v="NA"/>
    <m/>
    <m/>
    <s v="NA"/>
    <s v="NA"/>
    <m/>
    <m/>
    <m/>
    <m/>
    <n v="0"/>
    <n v="0"/>
    <n v="0"/>
    <n v="0"/>
    <n v="5"/>
    <n v="0"/>
    <n v="5"/>
    <m/>
    <m/>
    <m/>
    <m/>
  </r>
  <r>
    <s v="DSCN0437"/>
    <s v="MC0907_7"/>
    <n v="7"/>
    <n v="1"/>
    <x v="2"/>
    <d v="2018-09-07T00:00:00"/>
    <s v="September"/>
    <s v="Fall"/>
    <d v="1899-12-30T01:14:00"/>
    <d v="1899-12-30T00:01:14"/>
    <x v="122"/>
    <s v="Overcast"/>
    <x v="2"/>
    <s v="Foraging"/>
    <s v="NA"/>
    <n v="1"/>
    <m/>
    <n v="0"/>
    <s v="Insect"/>
    <s v="Insect (caterpillar)"/>
    <s v="Ground"/>
    <s v="NA"/>
    <s v="NA"/>
    <s v="NA"/>
    <s v="NA"/>
    <m/>
    <m/>
    <s v="NA"/>
    <s v="NA"/>
    <m/>
    <m/>
    <m/>
    <m/>
    <n v="0"/>
    <n v="0"/>
    <n v="0"/>
    <n v="0"/>
    <n v="6"/>
    <n v="0"/>
    <n v="6"/>
    <m/>
    <m/>
    <m/>
    <m/>
  </r>
  <r>
    <s v="DSCN0439"/>
    <s v="MC0907_8"/>
    <n v="8"/>
    <n v="1"/>
    <x v="2"/>
    <d v="2018-09-07T00:00:00"/>
    <s v="September"/>
    <s v="Fall"/>
    <d v="1899-12-30T00:08:00"/>
    <d v="1899-12-30T00:00:08"/>
    <x v="122"/>
    <s v="Overcast"/>
    <x v="2"/>
    <s v="Foraging"/>
    <s v="NA"/>
    <n v="1"/>
    <m/>
    <n v="0"/>
    <s v="Mushroom"/>
    <s v="Mushroom"/>
    <s v="Ground"/>
    <s v="NA"/>
    <s v="NA"/>
    <s v="NA"/>
    <s v="NA"/>
    <m/>
    <m/>
    <s v="NA"/>
    <s v="NA"/>
    <m/>
    <m/>
    <m/>
    <m/>
    <n v="0"/>
    <n v="0"/>
    <n v="0"/>
    <n v="0"/>
    <n v="2"/>
    <n v="0"/>
    <n v="2"/>
    <m/>
    <m/>
    <m/>
    <m/>
  </r>
  <r>
    <s v="DSCN0443"/>
    <s v="MC0907_12"/>
    <n v="12"/>
    <n v="1"/>
    <x v="2"/>
    <d v="2018-09-07T00:00:00"/>
    <s v="September"/>
    <s v="Fall"/>
    <d v="1899-12-30T01:28:00"/>
    <d v="1899-12-30T00:01:28"/>
    <x v="122"/>
    <s v="Overcast"/>
    <x v="2"/>
    <s v="Cache recovery"/>
    <s v="Spruce"/>
    <n v="1"/>
    <m/>
    <n v="0"/>
    <s v="Unknown"/>
    <s v="Unknown"/>
    <s v="Exterior spruce branch"/>
    <s v="NA"/>
    <s v="NA"/>
    <s v="NA"/>
    <s v="NA"/>
    <m/>
    <m/>
    <s v="NA"/>
    <s v="NA"/>
    <s v="NA"/>
    <m/>
    <m/>
    <m/>
    <n v="9"/>
    <n v="0"/>
    <n v="9"/>
    <n v="0"/>
    <n v="2"/>
    <n v="0"/>
    <n v="11"/>
    <s v="Gleaning, searching "/>
    <s v="Appeared to recover white object from tree, we called it a cache recovery and GPS's (63.73207 148.89915).  Suspect mushroom "/>
    <m/>
    <m/>
  </r>
  <r>
    <s v="DSCN0606"/>
    <s v="MC0911_1"/>
    <n v="1"/>
    <n v="1"/>
    <x v="2"/>
    <d v="2018-09-11T00:00:00"/>
    <s v="September"/>
    <s v="Fall"/>
    <d v="1899-12-30T00:21:00"/>
    <d v="1899-12-30T00:00:21"/>
    <x v="122"/>
    <s v="Full sun"/>
    <x v="2"/>
    <s v="Caching"/>
    <s v="Aspen"/>
    <n v="0"/>
    <m/>
    <n v="1"/>
    <s v="Unknown"/>
    <s v="Unknown"/>
    <s v="unknown"/>
    <s v="Aspen trunk"/>
    <s v="Aspen"/>
    <s v="Trunk"/>
    <s v="On bark"/>
    <m/>
    <m/>
    <s v="unknown"/>
    <s v="Did not mark (did not recognize as cache while in field)"/>
    <m/>
    <m/>
    <m/>
    <m/>
    <n v="0"/>
    <n v="0"/>
    <n v="0"/>
    <n v="0"/>
    <n v="0"/>
    <n v="0"/>
    <n v="0"/>
    <m/>
    <m/>
    <m/>
    <m/>
  </r>
  <r>
    <s v="DSCN0608"/>
    <s v="MC0911_2"/>
    <n v="2"/>
    <n v="1"/>
    <x v="2"/>
    <d v="2018-09-11T00:00:00"/>
    <s v="September"/>
    <s v="Fall"/>
    <d v="1899-12-30T00:04:00"/>
    <d v="1899-12-30T00:00:04"/>
    <x v="122"/>
    <s v="Full sun"/>
    <x v="2"/>
    <s v="Foraging"/>
    <s v="Spruce"/>
    <n v="1"/>
    <m/>
    <n v="0"/>
    <s v="Unknown"/>
    <s v="Unknown"/>
    <s v="Exterior foliated spruce"/>
    <s v="NA"/>
    <s v="NA"/>
    <s v="NA"/>
    <s v="NA"/>
    <m/>
    <m/>
    <s v="NA"/>
    <s v="NA"/>
    <m/>
    <m/>
    <m/>
    <m/>
    <n v="0"/>
    <n v="0"/>
    <n v="0"/>
    <n v="0"/>
    <n v="0"/>
    <n v="0"/>
    <n v="0"/>
    <m/>
    <s v="Eating food in tree"/>
    <m/>
    <m/>
  </r>
  <r>
    <s v="DSCN0613"/>
    <s v="MC0911_4"/>
    <n v="4"/>
    <n v="1"/>
    <x v="2"/>
    <d v="2018-09-11T00:00:00"/>
    <s v="September"/>
    <s v="Fall"/>
    <d v="1899-12-30T00:16:00"/>
    <d v="1899-12-30T00:00:16"/>
    <x v="122"/>
    <s v="Full sun"/>
    <x v="2"/>
    <s v="Foraging or caching"/>
    <s v="Aspen"/>
    <s v="unknown"/>
    <m/>
    <n v="0"/>
    <s v="Unknown"/>
    <s v="Unknown"/>
    <n v="0"/>
    <s v="Aspen branch"/>
    <s v="NA"/>
    <s v="NA"/>
    <s v="NA"/>
    <m/>
    <m/>
    <s v="NA"/>
    <s v="NA"/>
    <m/>
    <m/>
    <m/>
    <m/>
    <n v="0"/>
    <n v="0"/>
    <n v="0"/>
    <n v="0"/>
    <n v="0"/>
    <n v="0"/>
    <n v="0"/>
    <m/>
    <s v="Hard to tell, B&amp;Ut looked like caching behavior"/>
    <m/>
    <m/>
  </r>
  <r>
    <s v="DSCN0615"/>
    <s v="MC0911_5"/>
    <n v="5"/>
    <n v="1"/>
    <x v="2"/>
    <d v="2018-09-11T00:00:00"/>
    <s v="September"/>
    <s v="Fall"/>
    <d v="1899-12-30T00:29:00"/>
    <d v="1899-12-30T00:00:29"/>
    <x v="122"/>
    <s v="Full sun"/>
    <x v="2"/>
    <s v="Foraging and caching"/>
    <s v="NA"/>
    <n v="1"/>
    <m/>
    <n v="0"/>
    <s v="Mushroom"/>
    <s v="Mushroom"/>
    <s v="Ground"/>
    <s v="NA"/>
    <s v="NA"/>
    <s v="NA"/>
    <s v="NA"/>
    <m/>
    <m/>
    <s v="NA"/>
    <s v="NA"/>
    <m/>
    <m/>
    <m/>
    <m/>
    <n v="0"/>
    <n v="0"/>
    <n v="0"/>
    <n v="0"/>
    <n v="12"/>
    <n v="0"/>
    <n v="12"/>
    <m/>
    <s v="Took about four pieces of same mushroom before flying up to cache on a spruce branch"/>
    <m/>
    <m/>
  </r>
  <r>
    <s v="DSCN0615"/>
    <s v="MC0911_5"/>
    <n v="5"/>
    <n v="2"/>
    <x v="2"/>
    <d v="2018-09-11T00:00:00"/>
    <s v="September"/>
    <s v="Fall"/>
    <d v="1899-12-30T00:29:00"/>
    <d v="1899-12-30T00:00:29"/>
    <x v="122"/>
    <s v="Full sun"/>
    <x v="2"/>
    <s v="Foraging and caching"/>
    <s v="NA"/>
    <n v="1"/>
    <m/>
    <n v="1"/>
    <s v="Mushroom"/>
    <s v="Mushroom"/>
    <s v="Ground"/>
    <s v="Exterior spruce foliage"/>
    <s v="Spruce"/>
    <s v="Exterior"/>
    <s v="Foliage"/>
    <m/>
    <m/>
    <s v="Unknown"/>
    <s v="Did not mark (did not recognize as cache while in field)"/>
    <m/>
    <m/>
    <m/>
    <m/>
    <n v="0"/>
    <n v="0"/>
    <n v="0"/>
    <n v="0"/>
    <n v="0"/>
    <n v="0"/>
    <n v="0"/>
    <m/>
    <s v="Took about four pieces of same mushroom before flying up to cache on a spruce branch"/>
    <m/>
    <m/>
  </r>
  <r>
    <s v="DSCN0616"/>
    <s v="MC0911_6"/>
    <n v="6"/>
    <n v="1"/>
    <x v="2"/>
    <d v="2018-09-11T00:00:00"/>
    <s v="September"/>
    <s v="Fall"/>
    <d v="1899-12-30T00:39:00"/>
    <d v="1899-12-30T00:00:39"/>
    <x v="122"/>
    <s v="Full sun"/>
    <x v="2"/>
    <s v="Caching"/>
    <s v="Aspen"/>
    <n v="0"/>
    <m/>
    <n v="1"/>
    <s v="Insect"/>
    <s v="Insect (caterpillar)"/>
    <s v="unknown"/>
    <s v="Exterior aspen branch"/>
    <s v="Aspen"/>
    <s v="Exterior"/>
    <s v="Branch"/>
    <m/>
    <m/>
    <s v="Unknown"/>
    <n v="63.735460000000003"/>
    <n v="148.89166"/>
    <m/>
    <m/>
    <m/>
    <n v="0"/>
    <n v="0"/>
    <n v="0"/>
    <n v="0"/>
    <n v="0"/>
    <n v="0"/>
    <n v="0"/>
    <m/>
    <s v="Video started after bird had grabbed a caterpillar, looks like it caches it on an aspen branch"/>
    <m/>
    <m/>
  </r>
  <r>
    <s v="DSCN0617"/>
    <s v="MC0911_7"/>
    <n v="7"/>
    <n v="1"/>
    <x v="2"/>
    <d v="2018-09-11T00:00:00"/>
    <s v="September"/>
    <s v="Fall"/>
    <d v="1899-12-30T00:07:00"/>
    <d v="1899-12-30T00:00:07"/>
    <x v="122"/>
    <s v="Full sun"/>
    <x v="2"/>
    <s v="Cache recovery"/>
    <s v="Spruce"/>
    <n v="1"/>
    <m/>
    <n v="0"/>
    <s v="Berry"/>
    <s v="Berry (Soapberry)"/>
    <s v="Spruce exterior foliage"/>
    <s v="NA"/>
    <s v="NA"/>
    <s v="NA"/>
    <s v="NA"/>
    <m/>
    <m/>
    <s v="NA"/>
    <s v="NA"/>
    <m/>
    <m/>
    <m/>
    <m/>
    <n v="0"/>
    <n v="0"/>
    <n v="0"/>
    <n v="0"/>
    <n v="0"/>
    <n v="0"/>
    <n v="0"/>
    <m/>
    <s v="Looked like a soapberry, maybe with a stem attached"/>
    <m/>
    <m/>
  </r>
  <r>
    <s v="DSCN0733"/>
    <s v="MC0914_1"/>
    <n v="1"/>
    <n v="1"/>
    <x v="2"/>
    <d v="2018-09-14T00:00:00"/>
    <s v="September"/>
    <s v="Fall"/>
    <d v="1899-12-30T00:38:00"/>
    <d v="1899-12-30T00:00:38"/>
    <x v="122"/>
    <s v="Mostly sunny"/>
    <x v="2"/>
    <s v="Foraging"/>
    <s v="Spruce"/>
    <s v="unknown"/>
    <m/>
    <n v="0"/>
    <s v="Unknown"/>
    <s v="Unknown"/>
    <s v="NA"/>
    <s v="NA"/>
    <s v="NA"/>
    <s v="NA"/>
    <s v="NA"/>
    <m/>
    <m/>
    <s v="NA"/>
    <s v="NA"/>
    <m/>
    <m/>
    <m/>
    <m/>
    <n v="0"/>
    <n v="8"/>
    <n v="0"/>
    <n v="8"/>
    <n v="10"/>
    <n v="0"/>
    <n v="18"/>
    <m/>
    <m/>
    <m/>
    <m/>
  </r>
  <r>
    <s v="DSCN0739"/>
    <s v="MC0914_4"/>
    <n v="4"/>
    <n v="1"/>
    <x v="2"/>
    <d v="2018-09-14T00:00:00"/>
    <s v="September"/>
    <s v="Fall"/>
    <d v="1899-12-30T00:59:00"/>
    <d v="1899-12-30T00:00:59"/>
    <x v="122"/>
    <s v="Mostly sunny"/>
    <x v="2"/>
    <s v="Food handling/caching"/>
    <s v="Spruce"/>
    <n v="1"/>
    <m/>
    <n v="2"/>
    <s v="Human food"/>
    <s v="Human food"/>
    <s v="unknown"/>
    <s v="Exterior spruce branch under bark/witch hair"/>
    <s v="Spruce"/>
    <s v="Exterior"/>
    <s v="Under bark and witch hair "/>
    <m/>
    <m/>
    <s v="unknown"/>
    <n v="63.732939999999999"/>
    <n v="148.90082000000001"/>
    <m/>
    <m/>
    <m/>
    <n v="0"/>
    <n v="0"/>
    <n v="0"/>
    <n v="0"/>
    <n v="0"/>
    <n v="0"/>
    <n v="0"/>
    <m/>
    <m/>
    <m/>
    <m/>
  </r>
  <r>
    <s v="DSCN0739"/>
    <s v="MC0914_4"/>
    <n v="4"/>
    <n v="2"/>
    <x v="2"/>
    <d v="2018-09-14T00:00:00"/>
    <s v="September"/>
    <s v="Fall"/>
    <d v="1899-12-30T00:59:00"/>
    <d v="1899-12-30T00:00:59"/>
    <x v="122"/>
    <s v="Mostly sunny"/>
    <x v="2"/>
    <s v="Food handling/caching"/>
    <s v="Spruce"/>
    <n v="0"/>
    <m/>
    <n v="1"/>
    <s v="Human food"/>
    <s v="Human food"/>
    <s v="unknown"/>
    <s v="Exterior spruce branch under bark/witch hair"/>
    <s v="Spruce"/>
    <s v="Exterior"/>
    <s v="Under bark and witch hair "/>
    <m/>
    <m/>
    <s v="unknown"/>
    <n v="63.732930000000003"/>
    <n v="148.90075999999999"/>
    <m/>
    <m/>
    <m/>
    <n v="0"/>
    <n v="0"/>
    <n v="0"/>
    <n v="0"/>
    <n v="0"/>
    <n v="0"/>
    <n v="0"/>
    <m/>
    <m/>
    <m/>
    <m/>
  </r>
  <r>
    <s v="DSCN0742"/>
    <s v="MC0914_5"/>
    <n v="5"/>
    <n v="1"/>
    <x v="2"/>
    <d v="2018-09-14T00:00:00"/>
    <s v="September"/>
    <s v="Fall"/>
    <d v="1899-12-30T00:12:00"/>
    <d v="1899-12-30T00:00:12"/>
    <x v="122"/>
    <s v="Mostly sunny"/>
    <x v="2"/>
    <s v="Foraging"/>
    <s v="NA"/>
    <n v="1"/>
    <m/>
    <n v="0"/>
    <s v="Unknown"/>
    <s v="unknown not berry"/>
    <s v="Ground"/>
    <s v="NA"/>
    <s v="NA"/>
    <s v="NA"/>
    <s v="NA"/>
    <m/>
    <m/>
    <s v="NA"/>
    <s v="NA"/>
    <m/>
    <m/>
    <m/>
    <m/>
    <n v="0"/>
    <n v="0"/>
    <n v="0"/>
    <n v="0"/>
    <n v="0"/>
    <n v="0"/>
    <n v="0"/>
    <m/>
    <m/>
    <m/>
    <m/>
  </r>
  <r>
    <s v="DSCN0836"/>
    <s v="MC0916_2"/>
    <n v="2"/>
    <n v="1"/>
    <x v="2"/>
    <d v="2018-09-16T00:00:00"/>
    <s v="September"/>
    <s v="Fall"/>
    <d v="1899-12-30T00:22:00"/>
    <d v="1899-12-30T00:00:22"/>
    <x v="122"/>
    <s v="Overcast"/>
    <x v="2"/>
    <s v="Cache recovery"/>
    <s v="Spruce"/>
    <n v="1"/>
    <m/>
    <n v="0"/>
    <s v="Unknown"/>
    <s v="Unknown"/>
    <s v="Interior top of spruce tree"/>
    <s v="NA"/>
    <s v="NA"/>
    <s v="NA"/>
    <s v="NA"/>
    <m/>
    <m/>
    <s v="NA"/>
    <s v="NA"/>
    <m/>
    <m/>
    <m/>
    <m/>
    <n v="0"/>
    <n v="0"/>
    <n v="0"/>
    <n v="0"/>
    <n v="0"/>
    <n v="0"/>
    <n v="0"/>
    <m/>
    <m/>
    <m/>
    <m/>
  </r>
  <r>
    <s v="DSCN0837"/>
    <s v="MC0916_3"/>
    <n v="3"/>
    <n v="1"/>
    <x v="2"/>
    <d v="2018-09-16T00:00:00"/>
    <s v="September"/>
    <s v="Fall"/>
    <d v="1899-12-30T00:03:00"/>
    <d v="1899-12-30T00:00:03"/>
    <x v="122"/>
    <s v="Overcast"/>
    <x v="2"/>
    <s v="Food handling"/>
    <s v="NA"/>
    <n v="1"/>
    <m/>
    <n v="0"/>
    <s v="Human food"/>
    <s v="Human food (Bread)"/>
    <s v="unknown"/>
    <s v="NA"/>
    <s v="NA"/>
    <s v="NA"/>
    <s v="NA"/>
    <m/>
    <m/>
    <s v="NA"/>
    <s v="NA"/>
    <m/>
    <m/>
    <m/>
    <m/>
    <n v="0"/>
    <n v="0"/>
    <n v="0"/>
    <n v="0"/>
    <n v="0"/>
    <n v="0"/>
    <n v="0"/>
    <m/>
    <s v="This is the first recovered piece of bread"/>
    <m/>
    <m/>
  </r>
  <r>
    <s v="DSCN0838"/>
    <s v="MC0916_4"/>
    <n v="4"/>
    <n v="1"/>
    <x v="2"/>
    <d v="2018-09-16T00:00:00"/>
    <s v="September"/>
    <s v="Fall"/>
    <d v="1899-12-30T00:35:00"/>
    <d v="1899-12-30T00:00:35"/>
    <x v="122"/>
    <s v="Overcast"/>
    <x v="2"/>
    <s v="Cache recovery"/>
    <s v="Spruce"/>
    <n v="1"/>
    <m/>
    <n v="0"/>
    <s v="Human food"/>
    <s v="Human food (Bread)"/>
    <s v="Interior spruce foliage"/>
    <s v="NA"/>
    <s v="NA"/>
    <s v="NA"/>
    <s v="NA"/>
    <m/>
    <m/>
    <s v="NA"/>
    <s v="NA"/>
    <m/>
    <m/>
    <m/>
    <m/>
    <n v="0"/>
    <n v="0"/>
    <n v="0"/>
    <n v="0"/>
    <n v="0"/>
    <n v="0"/>
    <n v="0"/>
    <m/>
    <s v="This is the second recovered piece of bread"/>
    <m/>
    <m/>
  </r>
  <r>
    <s v="DSCN0839"/>
    <s v="MC0916_5"/>
    <n v="5"/>
    <n v="1"/>
    <x v="2"/>
    <d v="2018-09-16T00:00:00"/>
    <s v="September"/>
    <s v="Fall"/>
    <d v="1899-12-30T00:09:00"/>
    <d v="1899-12-30T00:00:09"/>
    <x v="122"/>
    <s v="Overcast"/>
    <x v="2"/>
    <s v="Food handling"/>
    <s v="Spruce"/>
    <n v="1"/>
    <m/>
    <n v="0"/>
    <s v="Human food"/>
    <s v="Human food (Bread)"/>
    <s v="NA"/>
    <s v="NA"/>
    <s v="NA"/>
    <s v="NA"/>
    <s v="NA"/>
    <m/>
    <m/>
    <s v="NA"/>
    <s v="NA"/>
    <m/>
    <m/>
    <m/>
    <m/>
    <n v="0"/>
    <n v="0"/>
    <n v="0"/>
    <n v="0"/>
    <n v="0"/>
    <n v="0"/>
    <n v="0"/>
    <m/>
    <s v="Same piece of bread in previous video "/>
    <m/>
    <m/>
  </r>
  <r>
    <s v="DSCN0840"/>
    <s v="MC0916_6"/>
    <n v="6"/>
    <n v="1"/>
    <x v="2"/>
    <d v="2018-09-16T00:00:00"/>
    <s v="September"/>
    <s v="Fall"/>
    <d v="1899-12-30T00:12:00"/>
    <d v="1899-12-30T00:00:12"/>
    <x v="122"/>
    <s v="Overcast"/>
    <x v="2"/>
    <s v="Food handling"/>
    <s v="NA"/>
    <n v="0"/>
    <m/>
    <n v="0"/>
    <s v="Human food"/>
    <s v="Human food (Bread)"/>
    <s v="NA"/>
    <s v="NA"/>
    <s v="NA"/>
    <s v="NA"/>
    <s v="NA"/>
    <m/>
    <m/>
    <s v="NA"/>
    <s v="NA"/>
    <m/>
    <m/>
    <m/>
    <m/>
    <n v="0"/>
    <n v="0"/>
    <n v="0"/>
    <n v="0"/>
    <n v="0"/>
    <n v="0"/>
    <n v="0"/>
    <m/>
    <s v="Same piece of bread in previous video "/>
    <m/>
    <m/>
  </r>
  <r>
    <s v="DSCN0841"/>
    <s v="MC0916_7"/>
    <n v="7"/>
    <n v="1"/>
    <x v="2"/>
    <d v="2018-09-16T00:00:00"/>
    <s v="September"/>
    <s v="Fall"/>
    <d v="1899-12-30T00:26:00"/>
    <d v="1899-12-30T00:00:26"/>
    <x v="122"/>
    <s v="Overcast"/>
    <x v="2"/>
    <s v="Food handling/caching"/>
    <s v="Spruce"/>
    <n v="0"/>
    <m/>
    <n v="1"/>
    <s v="Human food"/>
    <s v="Human food (Bread)"/>
    <s v="NA"/>
    <s v="Sitting on bare spruce twigs"/>
    <s v="Spruce"/>
    <s v="Unknown"/>
    <s v="On bark"/>
    <m/>
    <m/>
    <s v="Unknown"/>
    <n v="63.733759999999997"/>
    <n v="148.89946"/>
    <m/>
    <m/>
    <m/>
    <n v="0"/>
    <n v="0"/>
    <n v="0"/>
    <n v="0"/>
    <n v="0"/>
    <n v="0"/>
    <n v="0"/>
    <m/>
    <s v="Same piece of bread in previous video "/>
    <m/>
    <m/>
  </r>
  <r>
    <s v="DSCN0846"/>
    <s v="MC0916_8"/>
    <n v="8"/>
    <n v="1"/>
    <x v="2"/>
    <d v="2018-09-16T00:00:00"/>
    <s v="September"/>
    <s v="Fall"/>
    <d v="1899-12-30T00:35:00"/>
    <d v="1899-12-30T00:00:35"/>
    <x v="122"/>
    <s v="Overcast"/>
    <x v="2"/>
    <s v="Foraging"/>
    <s v="Spruce"/>
    <s v="unknown"/>
    <m/>
    <n v="0"/>
    <m/>
    <s v="NA"/>
    <s v="NA"/>
    <s v="NA"/>
    <s v="NA"/>
    <s v="NA"/>
    <s v="NA"/>
    <m/>
    <m/>
    <s v="NA"/>
    <s v="NA"/>
    <m/>
    <m/>
    <m/>
    <m/>
    <n v="0"/>
    <n v="13"/>
    <n v="9"/>
    <n v="4"/>
    <n v="0"/>
    <n v="0"/>
    <n v="13"/>
    <s v="Gleaning"/>
    <s v="Also pair cuteness"/>
    <n v="0"/>
    <n v="1"/>
  </r>
  <r>
    <s v="DSCN1080"/>
    <s v="MC0925_1"/>
    <n v="1"/>
    <n v="1"/>
    <x v="2"/>
    <d v="2018-09-25T00:00:00"/>
    <s v="September"/>
    <s v="Fall"/>
    <d v="1899-12-30T00:10:00"/>
    <d v="1899-12-30T00:00:10"/>
    <x v="122"/>
    <s v="Overcast"/>
    <x v="2"/>
    <s v="Foraging/food handling"/>
    <s v="Spruce"/>
    <n v="1"/>
    <m/>
    <n v="0"/>
    <s v="Unknown"/>
    <s v="Unknown"/>
    <s v="Spruce branch under bark"/>
    <s v="NA"/>
    <s v="NA"/>
    <s v="NA"/>
    <s v="NA"/>
    <m/>
    <m/>
    <s v="NA"/>
    <s v="NA"/>
    <m/>
    <m/>
    <m/>
    <m/>
    <n v="0"/>
    <n v="0"/>
    <n v="0"/>
    <n v="0"/>
    <n v="0"/>
    <n v="0"/>
    <n v="0"/>
    <m/>
    <s v="Could have been retrieving a cache "/>
    <m/>
    <m/>
  </r>
  <r>
    <s v="DSCN1084"/>
    <s v="MC0925_3"/>
    <n v="3"/>
    <n v="1"/>
    <x v="2"/>
    <d v="2018-09-25T00:00:00"/>
    <s v="September"/>
    <s v="Fall"/>
    <d v="1899-12-30T00:47:00"/>
    <d v="1899-12-30T00:00:47"/>
    <x v="122"/>
    <s v="Overcast"/>
    <x v="2"/>
    <s v="Foraging/food handling"/>
    <s v="Spruce"/>
    <n v="1"/>
    <m/>
    <n v="0"/>
    <s v="Unknown"/>
    <s v="Unknown"/>
    <s v="Exterior dense foliage of spruce"/>
    <s v="NA"/>
    <s v="NA"/>
    <s v="NA"/>
    <s v="NA"/>
    <m/>
    <m/>
    <s v="NA"/>
    <s v="NA"/>
    <m/>
    <m/>
    <m/>
    <m/>
    <n v="0"/>
    <n v="0"/>
    <n v="0"/>
    <n v="0"/>
    <n v="0"/>
    <n v="0"/>
    <n v="0"/>
    <m/>
    <m/>
    <m/>
    <m/>
  </r>
  <r>
    <s v="DSCN1091"/>
    <s v="MC0925_8"/>
    <n v="8"/>
    <n v="1"/>
    <x v="2"/>
    <d v="2018-09-25T00:00:00"/>
    <s v="September"/>
    <s v="Fall"/>
    <d v="1899-12-30T00:21:00"/>
    <d v="1899-12-30T00:00:21"/>
    <x v="122"/>
    <s v="Overcast"/>
    <x v="2"/>
    <s v="Caching"/>
    <s v="Spruce"/>
    <n v="0"/>
    <m/>
    <n v="1"/>
    <s v="Human food"/>
    <s v="Human food"/>
    <s v="unknown"/>
    <s v="Interior spruce foliage, 20M "/>
    <s v="Spruce"/>
    <s v="Interior"/>
    <s v="Foliage"/>
    <m/>
    <m/>
    <s v="unknown"/>
    <n v="63.732529999999997"/>
    <n v="148.89622"/>
    <m/>
    <m/>
    <m/>
    <n v="0"/>
    <n v="0"/>
    <n v="0"/>
    <n v="0"/>
    <n v="0"/>
    <n v="0"/>
    <n v="0"/>
    <m/>
    <s v="Video does not show cache.  I had seen the female in another spruce eating the food, B&amp;Ut could not get video on her in time.  Then she flew the featured tree and put the food there.  When I saw her fly with it it looked like human food given the color/size and shape.  "/>
    <m/>
    <m/>
  </r>
  <r>
    <s v="DSCN0323"/>
    <s v="CC0906_1"/>
    <n v="1"/>
    <n v="1"/>
    <x v="4"/>
    <d v="2018-09-06T00:00:00"/>
    <s v="September"/>
    <s v="Fall"/>
    <d v="1899-12-30T00:40:00"/>
    <d v="1899-12-30T00:00:40"/>
    <x v="122"/>
    <s v="Overcast"/>
    <x v="17"/>
    <s v="Foraging"/>
    <s v="NA"/>
    <n v="1"/>
    <m/>
    <n v="0"/>
    <s v="Insect"/>
    <s v="Insect (caterpillar)"/>
    <s v="Ground"/>
    <s v="NA"/>
    <s v="NA"/>
    <s v="NA"/>
    <s v="NA"/>
    <m/>
    <m/>
    <s v="NA"/>
    <s v="NA"/>
    <m/>
    <m/>
    <m/>
    <m/>
    <n v="0"/>
    <n v="0"/>
    <n v="0"/>
    <n v="0"/>
    <n v="28"/>
    <n v="0"/>
    <n v="28"/>
    <s v="Searching"/>
    <m/>
    <m/>
    <m/>
  </r>
  <r>
    <s v="DSCN0325"/>
    <s v="CC0906_2"/>
    <n v="2"/>
    <n v="1"/>
    <x v="4"/>
    <d v="2018-09-06T00:00:00"/>
    <s v="September"/>
    <s v="Fall"/>
    <d v="1899-12-30T00:13:00"/>
    <d v="1899-12-30T00:00:13"/>
    <x v="122"/>
    <s v="Overcast"/>
    <x v="17"/>
    <s v="Food handling"/>
    <s v="Spruce"/>
    <n v="1"/>
    <m/>
    <n v="0"/>
    <s v="Insect"/>
    <s v="Insect"/>
    <s v="unknown"/>
    <s v="NA"/>
    <s v="NA"/>
    <s v="NA"/>
    <s v="NA"/>
    <m/>
    <m/>
    <s v="NA"/>
    <s v="NA"/>
    <m/>
    <m/>
    <m/>
    <m/>
    <n v="0"/>
    <n v="0"/>
    <n v="0"/>
    <n v="0"/>
    <n v="0"/>
    <n v="0"/>
    <n v="0"/>
    <m/>
    <s v="Only caught food handling, not discovery "/>
    <m/>
    <m/>
  </r>
  <r>
    <s v="DSCN0345"/>
    <s v="CC0906_3"/>
    <n v="3"/>
    <n v="1"/>
    <x v="4"/>
    <d v="2018-09-06T00:00:00"/>
    <s v="September"/>
    <s v="Fall"/>
    <d v="1899-12-30T00:05:00"/>
    <d v="1899-12-30T00:00:05"/>
    <x v="122"/>
    <s v="Overcast"/>
    <x v="17"/>
    <s v="Food handling"/>
    <s v="Spruce"/>
    <n v="1"/>
    <m/>
    <n v="0"/>
    <s v="Unknown"/>
    <s v="Unknown"/>
    <s v="unknown"/>
    <s v="NA"/>
    <s v="NA"/>
    <s v="NA"/>
    <s v="NA"/>
    <m/>
    <m/>
    <s v="NA"/>
    <s v="NA"/>
    <m/>
    <m/>
    <m/>
    <m/>
    <n v="0"/>
    <n v="0"/>
    <n v="0"/>
    <n v="0"/>
    <n v="0"/>
    <n v="0"/>
    <n v="0"/>
    <m/>
    <s v="Only caught food handling, not discovery "/>
    <m/>
    <m/>
  </r>
  <r>
    <s v="DSCN0872"/>
    <s v="CC0917_1"/>
    <n v="1"/>
    <n v="1"/>
    <x v="4"/>
    <d v="2018-09-17T00:00:00"/>
    <s v="September"/>
    <s v="Fall"/>
    <d v="1899-12-30T00:11:00"/>
    <d v="1899-12-30T00:00:11"/>
    <x v="122"/>
    <s v="Partly Sunny"/>
    <x v="17"/>
    <s v="Foraging/food handling"/>
    <s v="Spruce"/>
    <n v="1"/>
    <m/>
    <n v="0"/>
    <s v="Unknown"/>
    <s v="Unknown"/>
    <s v="Exterior foliated spruce"/>
    <s v="NA"/>
    <s v="NA"/>
    <s v="NA"/>
    <s v="NA"/>
    <m/>
    <m/>
    <s v="NA"/>
    <s v="NA"/>
    <m/>
    <m/>
    <m/>
    <m/>
    <n v="0"/>
    <n v="0"/>
    <n v="0"/>
    <n v="0"/>
    <n v="0"/>
    <n v="0"/>
    <n v="0"/>
    <m/>
    <s v="Flew directly to area to retrieve food."/>
    <m/>
    <m/>
  </r>
  <r>
    <s v="DSCN0877"/>
    <s v="CC0917_2"/>
    <n v="2"/>
    <n v="1"/>
    <x v="4"/>
    <d v="2018-09-17T00:00:00"/>
    <s v="September"/>
    <s v="Fall"/>
    <d v="1899-12-30T00:15:00"/>
    <d v="1899-12-30T00:00:15"/>
    <x v="122"/>
    <s v="Partly Sunny"/>
    <x v="17"/>
    <s v="Foraging"/>
    <s v="Spruce"/>
    <s v="unknown"/>
    <m/>
    <n v="0"/>
    <m/>
    <s v="NA"/>
    <s v="NA"/>
    <s v="NA"/>
    <s v="NA"/>
    <s v="NA"/>
    <s v="NA"/>
    <m/>
    <m/>
    <s v="NA"/>
    <s v="NA"/>
    <m/>
    <m/>
    <m/>
    <m/>
    <n v="0"/>
    <n v="14"/>
    <n v="14"/>
    <n v="0"/>
    <n v="0"/>
    <n v="0"/>
    <n v="14"/>
    <s v="Unclear from video…too obstructed"/>
    <m/>
    <m/>
    <m/>
  </r>
  <r>
    <s v="DSCN0888"/>
    <s v="CC0917_8"/>
    <n v="8"/>
    <n v="1"/>
    <x v="4"/>
    <d v="2018-09-17T00:00:00"/>
    <s v="September"/>
    <s v="Fall"/>
    <d v="1899-12-30T00:38:00"/>
    <d v="1899-12-30T00:00:38"/>
    <x v="122"/>
    <s v="Partly Sunny"/>
    <x v="17"/>
    <s v="Foraging"/>
    <s v="NA"/>
    <s v="unknown"/>
    <m/>
    <n v="0"/>
    <m/>
    <s v="NA"/>
    <s v="NA"/>
    <s v="NA"/>
    <s v="NA"/>
    <s v="NA"/>
    <s v="NA"/>
    <m/>
    <m/>
    <s v="NA"/>
    <s v="NA"/>
    <m/>
    <m/>
    <m/>
    <m/>
    <n v="0"/>
    <n v="0"/>
    <n v="0"/>
    <n v="0"/>
    <n v="20"/>
    <n v="0"/>
    <n v="20"/>
    <m/>
    <m/>
    <m/>
    <m/>
  </r>
  <r>
    <s v="DSCN0870"/>
    <s v="RC0917_1"/>
    <n v="1"/>
    <n v="2"/>
    <x v="4"/>
    <d v="2018-09-17T00:00:00"/>
    <s v="September"/>
    <s v="Fall"/>
    <d v="1899-12-30T03:44:00"/>
    <d v="1899-12-30T00:03:44"/>
    <x v="122"/>
    <s v="Partly Sunny"/>
    <x v="4"/>
    <s v="Food handling/caching"/>
    <s v="Spruce"/>
    <s v="unknown"/>
    <m/>
    <n v="1"/>
    <s v="Human food"/>
    <s v="Human food (Bread)"/>
    <s v="unknown"/>
    <s v="Interior spruce near or on trunk in exposed area"/>
    <s v="Spruce"/>
    <s v="Trunk"/>
    <s v="Under bark"/>
    <m/>
    <m/>
    <s v="unknown"/>
    <n v="63.72119"/>
    <n v="148.95818"/>
    <m/>
    <m/>
    <m/>
    <n v="0"/>
    <n v="0"/>
    <n v="0"/>
    <n v="0"/>
    <n v="0"/>
    <n v="0"/>
    <n v="0"/>
    <m/>
    <m/>
    <m/>
    <m/>
  </r>
  <r>
    <s v="DSCN0870"/>
    <s v="RC0917_1"/>
    <n v="1"/>
    <n v="1"/>
    <x v="4"/>
    <d v="2018-09-17T00:00:00"/>
    <s v="September"/>
    <s v="Fall"/>
    <d v="1899-12-30T03:44:00"/>
    <d v="1899-12-30T00:03:44"/>
    <x v="122"/>
    <s v="Partly Sunny"/>
    <x v="4"/>
    <s v="Food handling/caching"/>
    <s v="Spruce"/>
    <n v="1"/>
    <m/>
    <n v="1"/>
    <s v="Human food"/>
    <s v="Human food (Bread)"/>
    <s v="unknown"/>
    <s v="Exterior spruce foliage"/>
    <s v="Spruce"/>
    <s v="Exterior"/>
    <s v="Foliage"/>
    <m/>
    <m/>
    <s v="unknown"/>
    <n v="63.721159999999998"/>
    <n v="148.95854"/>
    <m/>
    <m/>
    <m/>
    <n v="0"/>
    <n v="0"/>
    <n v="0"/>
    <n v="0"/>
    <n v="0"/>
    <n v="0"/>
    <n v="0"/>
    <m/>
    <m/>
    <m/>
    <m/>
  </r>
  <r>
    <s v="DSCN0871"/>
    <s v="RC0917_2"/>
    <n v="2"/>
    <n v="1"/>
    <x v="4"/>
    <d v="2018-09-17T00:00:00"/>
    <s v="September"/>
    <s v="Fall"/>
    <d v="1899-12-30T01:24:00"/>
    <d v="1899-12-30T00:01:24"/>
    <x v="122"/>
    <s v="Partly Sunny"/>
    <x v="4"/>
    <s v="Caching"/>
    <s v="Spruce"/>
    <n v="0"/>
    <m/>
    <n v="1"/>
    <s v="Human food"/>
    <s v="Human food (Bread)"/>
    <s v="unknown"/>
    <s v="Exterior spruce branch under bark"/>
    <s v="Spruce"/>
    <s v="Exterior"/>
    <s v="Under bark"/>
    <m/>
    <m/>
    <s v="unknown"/>
    <n v="63.721150000000002"/>
    <n v="148.95850999999999"/>
    <m/>
    <m/>
    <m/>
    <n v="0"/>
    <n v="0"/>
    <n v="0"/>
    <n v="0"/>
    <n v="0"/>
    <n v="0"/>
    <n v="0"/>
    <m/>
    <m/>
    <m/>
    <m/>
  </r>
  <r>
    <s v="DSCN0273"/>
    <s v="M2370905_4"/>
    <n v="4"/>
    <n v="1"/>
    <x v="9"/>
    <d v="2018-09-05T00:00:00"/>
    <s v="September"/>
    <s v="Fall"/>
    <d v="1899-12-30T00:51:00"/>
    <d v="1899-12-30T00:00:51"/>
    <x v="122"/>
    <s v="Overcast, raining "/>
    <x v="30"/>
    <s v="Foraging"/>
    <s v="Spruce"/>
    <n v="1"/>
    <m/>
    <n v="0"/>
    <s v="Unknown"/>
    <s v="Unknown"/>
    <s v="bare spruce branch"/>
    <s v="NA"/>
    <s v="NA"/>
    <s v="NA"/>
    <s v="NA"/>
    <m/>
    <m/>
    <s v="NA"/>
    <s v="NA"/>
    <m/>
    <m/>
    <m/>
    <m/>
    <n v="12"/>
    <n v="0"/>
    <n v="0"/>
    <n v="12"/>
    <n v="0"/>
    <n v="0"/>
    <n v="12"/>
    <m/>
    <s v="In field thought it cached in tree, B&amp;Ut video does not confirm"/>
    <m/>
    <m/>
  </r>
  <r>
    <s v="DSCN0397"/>
    <s v="M2370907_1"/>
    <n v="1"/>
    <n v="1"/>
    <x v="9"/>
    <d v="2018-09-07T00:00:00"/>
    <s v="September"/>
    <s v="Fall"/>
    <d v="1899-12-30T00:30:00"/>
    <d v="1899-12-30T00:00:30"/>
    <x v="122"/>
    <s v="Overcast"/>
    <x v="30"/>
    <s v="Cache recovery"/>
    <s v="Spruce"/>
    <n v="1"/>
    <m/>
    <n v="0"/>
    <s v="Animal flesh"/>
    <s v="Animal flesh"/>
    <s v="Spruce foliage"/>
    <s v="NA"/>
    <s v="NA"/>
    <s v="NA"/>
    <s v="NA"/>
    <m/>
    <m/>
    <s v="NA"/>
    <s v="NA"/>
    <m/>
    <m/>
    <m/>
    <m/>
    <n v="0"/>
    <n v="0"/>
    <n v="0"/>
    <n v="0"/>
    <n v="0"/>
    <n v="0"/>
    <n v="0"/>
    <m/>
    <s v="KS saw it removed meat like substance from spruce foliage "/>
    <m/>
    <m/>
  </r>
  <r>
    <s v="DSCN0404"/>
    <s v="M2370907_3"/>
    <n v="3"/>
    <n v="1"/>
    <x v="9"/>
    <d v="2018-09-07T00:00:00"/>
    <s v="September"/>
    <s v="Fall"/>
    <d v="1899-12-30T01:03:00"/>
    <d v="1899-12-30T00:01:03"/>
    <x v="122"/>
    <s v="Overcast"/>
    <x v="30"/>
    <s v="Foraging"/>
    <s v="Aspen"/>
    <n v="1"/>
    <m/>
    <n v="0"/>
    <s v="Unknown"/>
    <s v="Unknown (Maybe aphids)"/>
    <s v="Aspen tree leaf stems"/>
    <s v="NA"/>
    <s v="NA"/>
    <s v="NA"/>
    <s v="NA"/>
    <m/>
    <m/>
    <s v="NA"/>
    <s v="NA"/>
    <m/>
    <m/>
    <m/>
    <m/>
    <n v="0"/>
    <n v="63"/>
    <n v="0"/>
    <n v="63"/>
    <n v="0"/>
    <n v="0"/>
    <n v="63"/>
    <s v="Gleaning"/>
    <s v="Guessing insects based on size/location"/>
    <n v="0"/>
    <n v="18"/>
  </r>
  <r>
    <s v="DSCN0540"/>
    <s v="M2370909_3"/>
    <n v="3"/>
    <n v="1"/>
    <x v="9"/>
    <d v="2018-09-09T00:00:00"/>
    <s v="September"/>
    <s v="Fall"/>
    <d v="1899-12-30T00:02:00"/>
    <d v="1899-12-30T00:00:02"/>
    <x v="122"/>
    <s v="Full sun"/>
    <x v="30"/>
    <s v="Foraging"/>
    <s v="Spruce"/>
    <n v="1"/>
    <m/>
    <n v="0"/>
    <s v="Unknown"/>
    <s v="Unknown"/>
    <s v="Interior spruce foliage"/>
    <s v="NA"/>
    <s v="NA"/>
    <s v="NA"/>
    <s v="NA"/>
    <m/>
    <m/>
    <s v="NA"/>
    <s v="NA"/>
    <m/>
    <m/>
    <m/>
    <m/>
    <n v="0"/>
    <s v="unknown"/>
    <s v="unknown"/>
    <n v="0"/>
    <n v="0"/>
    <n v="0"/>
    <n v="0"/>
    <m/>
    <m/>
    <m/>
    <m/>
  </r>
  <r>
    <s v="DSCN0541"/>
    <s v="M2370909_4"/>
    <n v="4"/>
    <n v="1"/>
    <x v="9"/>
    <d v="2018-09-09T00:00:00"/>
    <s v="September"/>
    <s v="Fall"/>
    <d v="1899-12-30T00:04:00"/>
    <d v="1899-12-30T00:00:04"/>
    <x v="122"/>
    <s v="Full sun"/>
    <x v="30"/>
    <s v="Foraging"/>
    <s v="NA"/>
    <n v="1"/>
    <m/>
    <n v="0"/>
    <s v="Unknown"/>
    <s v="Unknown"/>
    <s v="Ground"/>
    <s v="NA"/>
    <s v="NA"/>
    <s v="NA"/>
    <s v="NA"/>
    <m/>
    <m/>
    <s v="NA"/>
    <s v="NA"/>
    <m/>
    <m/>
    <m/>
    <m/>
    <n v="0"/>
    <n v="0"/>
    <n v="0"/>
    <n v="0"/>
    <s v="unknown"/>
    <n v="0"/>
    <n v="0"/>
    <m/>
    <m/>
    <m/>
    <m/>
  </r>
  <r>
    <s v="DSCN0543"/>
    <s v="M2370909_5"/>
    <n v="5"/>
    <n v="1"/>
    <x v="9"/>
    <d v="2018-09-09T00:00:00"/>
    <s v="September"/>
    <s v="Fall"/>
    <d v="1899-12-30T00:07:00"/>
    <d v="1899-12-30T00:00:07"/>
    <x v="122"/>
    <s v="Full sun"/>
    <x v="30"/>
    <s v="Foraging"/>
    <s v="NA"/>
    <s v="unknown"/>
    <m/>
    <n v="0"/>
    <s v="Unknown"/>
    <s v="Unknown"/>
    <s v="NA"/>
    <s v="NA"/>
    <s v="NA"/>
    <s v="NA"/>
    <s v="NA"/>
    <m/>
    <m/>
    <s v="NA"/>
    <s v="NA"/>
    <m/>
    <m/>
    <m/>
    <m/>
    <n v="0"/>
    <n v="0"/>
    <n v="0"/>
    <n v="0"/>
    <n v="7"/>
    <n v="0"/>
    <n v="7"/>
    <m/>
    <m/>
    <m/>
    <m/>
  </r>
  <r>
    <s v="DSCN0544"/>
    <s v="M2370909_6"/>
    <n v="6"/>
    <n v="1"/>
    <x v="9"/>
    <d v="2018-09-09T00:00:00"/>
    <s v="September"/>
    <s v="Fall"/>
    <d v="1899-12-30T00:36:00"/>
    <d v="1899-12-30T00:00:36"/>
    <x v="122"/>
    <s v="Full sun"/>
    <x v="30"/>
    <s v="Foraging"/>
    <s v="NA"/>
    <s v="unknown"/>
    <m/>
    <n v="0"/>
    <s v="Unknown"/>
    <s v="Unknown"/>
    <s v="NA"/>
    <s v="NA"/>
    <s v="NA"/>
    <s v="NA"/>
    <s v="NA"/>
    <m/>
    <m/>
    <s v="NA"/>
    <s v="NA"/>
    <m/>
    <m/>
    <m/>
    <m/>
    <n v="0"/>
    <n v="0"/>
    <n v="0"/>
    <n v="0"/>
    <n v="21"/>
    <n v="0"/>
    <n v="21"/>
    <m/>
    <m/>
    <m/>
    <m/>
  </r>
  <r>
    <s v="DSCN0895"/>
    <s v="M2370918_1"/>
    <n v="1"/>
    <n v="1"/>
    <x v="9"/>
    <d v="2018-09-18T00:00:00"/>
    <s v="September"/>
    <s v="Fall"/>
    <d v="1899-12-30T00:36:00"/>
    <d v="1899-12-30T00:00:36"/>
    <x v="122"/>
    <s v="Overcast"/>
    <x v="30"/>
    <s v="Caching"/>
    <s v="Spruce"/>
    <n v="0"/>
    <m/>
    <n v="1"/>
    <s v="Unknown"/>
    <s v="Unknown"/>
    <s v="unknown"/>
    <s v="Spruce trunk under bark"/>
    <s v="Spruce"/>
    <s v="Trunk"/>
    <s v="Under bark"/>
    <m/>
    <m/>
    <s v="Unknown"/>
    <n v="63.725499999999997"/>
    <n v="148.88943"/>
    <m/>
    <m/>
    <m/>
    <n v="0"/>
    <n v="0"/>
    <n v="0"/>
    <n v="0"/>
    <n v="0"/>
    <n v="0"/>
    <n v="0"/>
    <m/>
    <m/>
    <m/>
    <m/>
  </r>
  <r>
    <s v="DSCN0902"/>
    <s v="M2370918_3"/>
    <n v="3"/>
    <n v="1"/>
    <x v="9"/>
    <d v="2018-09-18T00:00:00"/>
    <s v="September"/>
    <s v="Fall"/>
    <d v="1899-12-30T00:53:00"/>
    <d v="1899-12-30T00:00:53"/>
    <x v="122"/>
    <s v="Partly Sunny"/>
    <x v="30"/>
    <s v="Foraging"/>
    <s v="NA"/>
    <n v="1"/>
    <m/>
    <n v="0"/>
    <s v="Berry"/>
    <s v="Berry (Blueberry)"/>
    <s v="Ground"/>
    <s v="NA"/>
    <s v="NA"/>
    <s v="NA"/>
    <s v="NA"/>
    <m/>
    <m/>
    <s v="NA"/>
    <s v="NA"/>
    <m/>
    <m/>
    <m/>
    <m/>
    <n v="0"/>
    <n v="0"/>
    <n v="0"/>
    <n v="0"/>
    <n v="5"/>
    <n v="0"/>
    <n v="5"/>
    <m/>
    <m/>
    <m/>
    <m/>
  </r>
  <r>
    <s v="DSCN0902"/>
    <s v="M2370918_3"/>
    <n v="3"/>
    <n v="2"/>
    <x v="9"/>
    <d v="2018-09-18T00:00:00"/>
    <s v="September"/>
    <s v="Fall"/>
    <d v="1899-12-30T00:53:00"/>
    <d v="1899-12-30T00:00:53"/>
    <x v="122"/>
    <s v="Partly Sunny"/>
    <x v="30"/>
    <s v="Foraging"/>
    <s v="NA"/>
    <n v="1"/>
    <m/>
    <n v="0"/>
    <s v="Unknown"/>
    <s v="Unknown"/>
    <s v="Ground"/>
    <s v="NA"/>
    <s v="NA"/>
    <s v="NA"/>
    <s v="NA"/>
    <m/>
    <m/>
    <s v="NA"/>
    <s v="NA"/>
    <m/>
    <m/>
    <m/>
    <m/>
    <n v="0"/>
    <n v="0"/>
    <n v="0"/>
    <n v="0"/>
    <n v="0"/>
    <n v="0"/>
    <n v="0"/>
    <m/>
    <m/>
    <m/>
    <m/>
  </r>
  <r>
    <s v="DSCN0172"/>
    <s v="WW0903_7"/>
    <n v="7"/>
    <n v="1"/>
    <x v="0"/>
    <d v="2018-09-03T00:00:00"/>
    <s v="September"/>
    <s v="Fall"/>
    <d v="1899-12-30T00:12:00"/>
    <d v="1899-12-30T00:00:12"/>
    <x v="122"/>
    <m/>
    <x v="18"/>
    <s v="Foraging"/>
    <s v="Spruce"/>
    <s v="unknown"/>
    <m/>
    <s v="Unknown"/>
    <s v="Unknown"/>
    <s v="Unknown"/>
    <s v="NA"/>
    <s v="NA"/>
    <m/>
    <m/>
    <m/>
    <m/>
    <m/>
    <s v="NA"/>
    <s v="NA"/>
    <m/>
    <m/>
    <m/>
    <m/>
    <n v="12"/>
    <n v="0"/>
    <n v="0"/>
    <n v="12"/>
    <n v="0"/>
    <n v="0"/>
    <n v="12"/>
    <s v="Gleaning, searching "/>
    <m/>
    <n v="0"/>
    <n v="0"/>
  </r>
  <r>
    <s v="DSCN0232"/>
    <s v="DM0904_1"/>
    <n v="1"/>
    <n v="1"/>
    <x v="22"/>
    <d v="2018-09-04T00:00:00"/>
    <s v="September"/>
    <s v="Fall"/>
    <d v="1899-12-30T01:22:00"/>
    <d v="1899-12-30T00:01:22"/>
    <x v="122"/>
    <m/>
    <x v="44"/>
    <s v="Food handling"/>
    <s v="Spruce"/>
    <n v="1"/>
    <m/>
    <n v="0"/>
    <s v="Animal flesh"/>
    <s v="Animal flesh"/>
    <s v="unknown"/>
    <s v="NA"/>
    <s v="NA"/>
    <s v="NA"/>
    <s v="NA"/>
    <m/>
    <m/>
    <s v="NA"/>
    <s v="NA"/>
    <m/>
    <m/>
    <m/>
    <m/>
    <n v="19"/>
    <n v="0"/>
    <n v="19"/>
    <n v="0"/>
    <n v="0"/>
    <n v="0"/>
    <n v="19"/>
    <s v="Gleaning"/>
    <m/>
    <n v="0"/>
    <n v="3"/>
  </r>
  <r>
    <s v="DSCN0232"/>
    <s v="DM0904_1"/>
    <n v="1"/>
    <n v="2"/>
    <x v="22"/>
    <d v="2018-09-04T00:00:00"/>
    <s v="September"/>
    <s v="Fall"/>
    <d v="1899-12-30T01:22:00"/>
    <d v="1899-12-30T00:01:22"/>
    <x v="122"/>
    <m/>
    <x v="44"/>
    <s v="Foraging"/>
    <s v="Aspen"/>
    <n v="1"/>
    <m/>
    <n v="0"/>
    <s v="Unknown"/>
    <s v="Unknown"/>
    <s v="Aspen tree trunk"/>
    <s v="NA"/>
    <s v="NA"/>
    <s v="NA"/>
    <s v="NA"/>
    <m/>
    <m/>
    <s v="NA"/>
    <s v="NA"/>
    <m/>
    <m/>
    <m/>
    <m/>
    <n v="0"/>
    <n v="0"/>
    <n v="0"/>
    <n v="0"/>
    <n v="0"/>
    <n v="0"/>
    <n v="0"/>
    <s v="Gleaning"/>
    <m/>
    <n v="0"/>
    <n v="3"/>
  </r>
  <r>
    <s v="DSCN0233"/>
    <s v="DM0904_2"/>
    <n v="2"/>
    <n v="1"/>
    <x v="22"/>
    <d v="2018-09-04T00:00:00"/>
    <s v="September"/>
    <s v="Fall"/>
    <d v="1899-12-30T00:21:00"/>
    <d v="1899-12-30T00:00:21"/>
    <x v="122"/>
    <m/>
    <x v="44"/>
    <s v="Foraging/food handling"/>
    <s v="Spruce"/>
    <n v="1"/>
    <m/>
    <n v="0"/>
    <s v="Unknown"/>
    <s v="Unknown"/>
    <s v="Spruce foliage"/>
    <s v="NA"/>
    <s v="NA"/>
    <s v="NA"/>
    <s v="NA"/>
    <m/>
    <m/>
    <s v="NA"/>
    <s v="NA"/>
    <m/>
    <m/>
    <m/>
    <m/>
    <n v="0"/>
    <n v="16"/>
    <n v="16"/>
    <n v="0"/>
    <n v="0"/>
    <n v="0"/>
    <n v="16"/>
    <s v="Eating"/>
    <m/>
    <n v="0"/>
    <n v="0"/>
  </r>
  <r>
    <s v="DSCN0619"/>
    <s v="HS0912_1"/>
    <n v="1"/>
    <n v="1"/>
    <x v="14"/>
    <d v="2018-09-12T00:00:00"/>
    <s v="September"/>
    <s v="Fall"/>
    <d v="1899-12-30T00:46:00"/>
    <d v="1899-12-30T00:00:46"/>
    <x v="122"/>
    <s v="Overcast"/>
    <x v="33"/>
    <s v="Caching"/>
    <s v="Spruce"/>
    <n v="0"/>
    <m/>
    <n v="1"/>
    <s v="Unknown"/>
    <s v="Unknown"/>
    <s v="unknown"/>
    <s v="Interior bare spruce branch under bark"/>
    <s v="Spruce"/>
    <s v="Interior"/>
    <s v="Under bark"/>
    <m/>
    <m/>
    <s v="Unknown"/>
    <n v="63.740139999999997"/>
    <n v="148.90387000000001"/>
    <m/>
    <m/>
    <m/>
    <n v="0"/>
    <n v="0"/>
    <n v="0"/>
    <n v="0"/>
    <n v="0"/>
    <n v="0"/>
    <n v="0"/>
    <m/>
    <s v="Unconfirmed B&amp;Ut suspected cache. "/>
    <m/>
    <m/>
  </r>
  <r>
    <s v="DSCN0622"/>
    <s v="HS0912_2"/>
    <n v="2"/>
    <n v="1"/>
    <x v="14"/>
    <d v="2018-09-12T00:00:00"/>
    <s v="September"/>
    <s v="Fall"/>
    <d v="1899-12-30T01:19:00"/>
    <d v="1899-12-30T00:01:19"/>
    <x v="122"/>
    <s v="Overcast"/>
    <x v="33"/>
    <s v="Foraging"/>
    <s v="Aspen"/>
    <s v="unknown"/>
    <m/>
    <n v="0"/>
    <s v="Unknown"/>
    <s v="Unknown"/>
    <s v="NA"/>
    <s v="NA"/>
    <s v="NA"/>
    <s v="NA"/>
    <s v="NA"/>
    <m/>
    <m/>
    <s v="NA"/>
    <s v="NA"/>
    <m/>
    <m/>
    <m/>
    <m/>
    <n v="0"/>
    <n v="59"/>
    <n v="0"/>
    <n v="59"/>
    <n v="0"/>
    <n v="0"/>
    <n v="59"/>
    <s v="Gleaning"/>
    <s v="Not sure what they're going after here.  Maybe aphids?"/>
    <n v="0"/>
    <n v="12"/>
  </r>
  <r>
    <s v="DSCN0630"/>
    <s v="HS0912_3"/>
    <n v="3"/>
    <n v="1"/>
    <x v="14"/>
    <d v="2018-09-12T00:00:00"/>
    <s v="September"/>
    <s v="Fall"/>
    <d v="1899-12-30T00:11:00"/>
    <d v="1899-12-30T00:00:11"/>
    <x v="122"/>
    <s v="Overcast"/>
    <x v="33"/>
    <s v="Foraging"/>
    <s v="Spruce"/>
    <s v="unknown"/>
    <m/>
    <n v="0"/>
    <s v="Unknown"/>
    <s v="Unknown"/>
    <s v="NA"/>
    <s v="NA"/>
    <s v="NA"/>
    <s v="NA"/>
    <s v="NA"/>
    <m/>
    <m/>
    <s v="NA"/>
    <s v="NA"/>
    <m/>
    <m/>
    <m/>
    <m/>
    <n v="0"/>
    <n v="8"/>
    <n v="0"/>
    <n v="8"/>
    <n v="0"/>
    <n v="0"/>
    <n v="8"/>
    <m/>
    <m/>
    <m/>
    <m/>
  </r>
  <r>
    <s v="DSCN0641"/>
    <s v="HS0912_8"/>
    <n v="8"/>
    <n v="1"/>
    <x v="14"/>
    <d v="2018-09-12T00:00:00"/>
    <s v="September"/>
    <s v="Fall"/>
    <d v="1899-12-30T00:11:00"/>
    <d v="1899-12-30T00:00:11"/>
    <x v="122"/>
    <s v="Overcast"/>
    <x v="33"/>
    <s v="Foraging or caching"/>
    <s v="Spruce"/>
    <n v="1"/>
    <m/>
    <n v="0"/>
    <s v="Unknown"/>
    <s v="Unknown, B&amp;Ut some part of spruce cone, probably seeds"/>
    <s v="Interior spruce foliage"/>
    <s v="NA"/>
    <s v="NA"/>
    <s v="NA"/>
    <s v="NA"/>
    <m/>
    <m/>
    <s v="NA"/>
    <s v="NA"/>
    <m/>
    <m/>
    <m/>
    <m/>
    <n v="0"/>
    <n v="0"/>
    <n v="0"/>
    <n v="0"/>
    <n v="0"/>
    <n v="0"/>
    <n v="0"/>
    <m/>
    <s v="Watched bird fly into foliage and emerge with food.  Not sure if cached some of it in the tree, or if it was retrieving the food from the tree. "/>
    <m/>
    <m/>
  </r>
  <r>
    <s v="DSCN0730"/>
    <s v="CC0914_3"/>
    <n v="3"/>
    <n v="1"/>
    <x v="4"/>
    <d v="2018-09-14T00:00:00"/>
    <s v="September"/>
    <s v="Fall"/>
    <d v="1899-12-30T00:35:00"/>
    <d v="1899-12-30T00:00:35"/>
    <x v="122"/>
    <s v="Mostly sunny"/>
    <x v="5"/>
    <s v="Foraging"/>
    <s v="NA"/>
    <s v="unknown"/>
    <m/>
    <n v="0"/>
    <s v="Unknown"/>
    <s v="Unknown"/>
    <s v="NA"/>
    <s v="NA"/>
    <s v="NA"/>
    <s v="NA"/>
    <s v="NA"/>
    <m/>
    <m/>
    <s v="NA"/>
    <s v="NA"/>
    <m/>
    <m/>
    <m/>
    <m/>
    <n v="0"/>
    <n v="0"/>
    <n v="0"/>
    <n v="0"/>
    <n v="18"/>
    <n v="0"/>
    <n v="18"/>
    <m/>
    <m/>
    <m/>
    <m/>
  </r>
  <r>
    <s v="DSCN1241"/>
    <s v="CC0928_2"/>
    <n v="2"/>
    <n v="1"/>
    <x v="4"/>
    <d v="2018-09-28T00:00:00"/>
    <s v="September"/>
    <s v="Fall"/>
    <d v="1899-12-30T00:12:00"/>
    <d v="1899-12-30T00:00:12"/>
    <x v="122"/>
    <s v="Full sun"/>
    <x v="5"/>
    <s v="Food handling/caching"/>
    <s v="Spruce"/>
    <n v="1"/>
    <m/>
    <n v="1"/>
    <s v="Insect"/>
    <s v="Insect (caterpillar)"/>
    <s v="Ground"/>
    <s v="Exterior spruce branch in witch hair"/>
    <s v="Spruce"/>
    <s v="Exterior"/>
    <s v="Branch under witch hair"/>
    <m/>
    <m/>
    <n v="15"/>
    <n v="63.722380000000001"/>
    <n v="148.95303000000001"/>
    <m/>
    <m/>
    <m/>
    <n v="0"/>
    <n v="0"/>
    <n v="0"/>
    <n v="0"/>
    <n v="0"/>
    <n v="0"/>
    <n v="0"/>
    <m/>
    <m/>
    <m/>
    <m/>
  </r>
  <r>
    <s v="DSCN1243"/>
    <s v="CC0928_3"/>
    <n v="3"/>
    <n v="1"/>
    <x v="4"/>
    <d v="2018-09-28T00:00:00"/>
    <s v="September"/>
    <s v="Fall"/>
    <d v="1899-12-30T00:19:00"/>
    <d v="1899-12-30T00:00:19"/>
    <x v="122"/>
    <s v="Full sun"/>
    <x v="5"/>
    <s v="Foraging"/>
    <s v="Spruce"/>
    <n v="1"/>
    <m/>
    <n v="0"/>
    <s v="Unknown"/>
    <s v="Unknown"/>
    <s v="Witche's broom."/>
    <s v="NA"/>
    <s v="NA"/>
    <s v="NA"/>
    <s v="NA"/>
    <m/>
    <m/>
    <s v="NA"/>
    <s v="NA"/>
    <m/>
    <m/>
    <m/>
    <m/>
    <n v="0"/>
    <n v="0"/>
    <n v="0"/>
    <n v="0"/>
    <n v="0"/>
    <n v="0"/>
    <n v="0"/>
    <m/>
    <s v="Food appears stored in witch's broom.  Maked two trips to retrieve food from the area. "/>
    <m/>
    <m/>
  </r>
  <r>
    <s v="DSCN1244"/>
    <s v="CC0928_4"/>
    <n v="4"/>
    <n v="1"/>
    <x v="4"/>
    <d v="2018-09-28T00:00:00"/>
    <s v="September"/>
    <s v="Fall"/>
    <d v="1899-12-30T00:21:00"/>
    <d v="1899-12-30T00:00:21"/>
    <x v="122"/>
    <s v="Full sun"/>
    <x v="5"/>
    <s v="Caching"/>
    <s v="Spruce"/>
    <n v="0"/>
    <m/>
    <n v="1"/>
    <s v="Unknown"/>
    <s v="Unknown"/>
    <s v="Witche's broom."/>
    <s v="Exterior spruce foliage"/>
    <s v="Spruce"/>
    <s v="Exterior"/>
    <s v="Foliage"/>
    <m/>
    <m/>
    <n v="9"/>
    <n v="63.722709999999999"/>
    <n v="148.9539"/>
    <m/>
    <m/>
    <m/>
    <n v="0"/>
    <n v="0"/>
    <n v="0"/>
    <n v="0"/>
    <n v="0"/>
    <n v="0"/>
    <n v="0"/>
    <m/>
    <m/>
    <m/>
    <m/>
  </r>
  <r>
    <s v="DSCN1245"/>
    <s v="CC0928_5"/>
    <n v="5"/>
    <n v="1"/>
    <x v="4"/>
    <d v="2018-09-28T00:00:00"/>
    <s v="September"/>
    <s v="Fall"/>
    <d v="1899-12-30T00:24:00"/>
    <d v="1899-12-30T00:00:24"/>
    <x v="122"/>
    <s v="Full sun"/>
    <x v="5"/>
    <s v="Caching"/>
    <s v="Spruce"/>
    <n v="0"/>
    <m/>
    <n v="1"/>
    <s v="Unknown"/>
    <s v="Unknown"/>
    <s v="Food it placed in spruce tree"/>
    <s v="Interior spruce foliage "/>
    <s v="Spruce"/>
    <s v="Exterior"/>
    <s v="Foliage"/>
    <m/>
    <m/>
    <n v="4"/>
    <n v="63.722920000000002"/>
    <n v="148.95419000000001"/>
    <m/>
    <m/>
    <m/>
    <n v="0"/>
    <n v="0"/>
    <n v="0"/>
    <n v="0"/>
    <n v="0"/>
    <n v="0"/>
    <n v="0"/>
    <m/>
    <m/>
    <m/>
    <m/>
  </r>
  <r>
    <s v="DSCN1245"/>
    <s v="CC0928_5"/>
    <n v="5"/>
    <n v="2"/>
    <x v="4"/>
    <d v="2018-09-28T00:00:00"/>
    <s v="September"/>
    <s v="Fall"/>
    <d v="1899-12-30T00:24:00"/>
    <d v="1899-12-30T00:00:24"/>
    <x v="122"/>
    <s v="Full sun"/>
    <x v="5"/>
    <s v="Caching"/>
    <s v="Spruce"/>
    <n v="0"/>
    <m/>
    <n v="1"/>
    <s v="Unknown"/>
    <s v="Unknown"/>
    <s v="Food it placed in spruce tree"/>
    <s v="Interior spruce foliage "/>
    <s v="Spruce"/>
    <s v="Exterior"/>
    <s v="Foliage"/>
    <m/>
    <m/>
    <n v="10"/>
    <n v="63.722839999999998"/>
    <n v="148.95433"/>
    <m/>
    <m/>
    <m/>
    <n v="0"/>
    <n v="0"/>
    <n v="0"/>
    <n v="0"/>
    <n v="0"/>
    <n v="0"/>
    <n v="0"/>
    <m/>
    <m/>
    <m/>
    <m/>
  </r>
  <r>
    <s v="DSCN0817"/>
    <s v="M4E0916_1"/>
    <n v="1"/>
    <n v="1"/>
    <x v="21"/>
    <d v="2018-09-16T00:00:00"/>
    <s v="September"/>
    <s v="Fall"/>
    <d v="1899-12-30T00:13:00"/>
    <d v="1899-12-30T00:00:13"/>
    <x v="122"/>
    <s v="Overcast"/>
    <x v="45"/>
    <s v="Foraging"/>
    <s v="Spruce"/>
    <n v="1"/>
    <m/>
    <n v="0"/>
    <s v="Unknown"/>
    <s v="Unknown"/>
    <s v="Interior top of spruce tree"/>
    <s v="NA"/>
    <s v="NA"/>
    <s v="NA"/>
    <s v="NA"/>
    <m/>
    <m/>
    <s v="NA"/>
    <s v="NA"/>
    <m/>
    <m/>
    <m/>
    <m/>
    <n v="0"/>
    <n v="2"/>
    <n v="2"/>
    <n v="0"/>
    <n v="0"/>
    <n v="0"/>
    <n v="2"/>
    <m/>
    <m/>
    <m/>
    <m/>
  </r>
  <r>
    <s v="DSCN0306"/>
    <s v="B&amp;U0905_1"/>
    <n v="1"/>
    <n v="1"/>
    <x v="5"/>
    <d v="2018-09-05T00:00:00"/>
    <s v="September"/>
    <s v="Fall"/>
    <d v="1899-12-30T03:10:00"/>
    <d v="1899-12-30T00:03:10"/>
    <x v="122"/>
    <s v="Partly Sunny"/>
    <x v="6"/>
    <s v="Foraging"/>
    <s v="NA"/>
    <n v="1"/>
    <m/>
    <n v="0"/>
    <s v="Mushroom"/>
    <s v="Mushroom (puffball)"/>
    <s v="Ground"/>
    <s v="NA"/>
    <s v="NA"/>
    <s v="NA"/>
    <s v="NA"/>
    <m/>
    <m/>
    <s v="NA"/>
    <s v="NA"/>
    <m/>
    <m/>
    <m/>
    <m/>
    <n v="0"/>
    <n v="0"/>
    <n v="0"/>
    <n v="0"/>
    <n v="39"/>
    <n v="0"/>
    <n v="39"/>
    <m/>
    <m/>
    <m/>
    <m/>
  </r>
  <r>
    <s v="DSCN0491"/>
    <s v="B&amp;U0908_1"/>
    <n v="1"/>
    <n v="1"/>
    <x v="5"/>
    <d v="2018-09-08T00:00:00"/>
    <s v="September"/>
    <s v="Fall"/>
    <d v="1899-12-30T00:24:00"/>
    <d v="1899-12-30T00:00:24"/>
    <x v="122"/>
    <m/>
    <x v="6"/>
    <s v="Foraging"/>
    <s v="NA"/>
    <s v="unknown"/>
    <m/>
    <n v="0"/>
    <s v="Unknown"/>
    <s v="Unknown"/>
    <s v="NA"/>
    <s v="NA"/>
    <s v="NA"/>
    <s v="NA"/>
    <s v="NA"/>
    <m/>
    <m/>
    <s v="NA"/>
    <s v="NA"/>
    <m/>
    <m/>
    <m/>
    <m/>
    <n v="0"/>
    <n v="0"/>
    <n v="0"/>
    <n v="0"/>
    <n v="19"/>
    <n v="0"/>
    <n v="19"/>
    <s v="Searching"/>
    <m/>
    <m/>
    <m/>
  </r>
  <r>
    <s v="DSCN0493"/>
    <s v="B&amp;U0908_2"/>
    <n v="2"/>
    <n v="1"/>
    <x v="5"/>
    <d v="2018-09-08T00:00:00"/>
    <s v="September"/>
    <s v="Fall"/>
    <d v="1899-12-30T00:47:00"/>
    <d v="1899-12-30T00:00:47"/>
    <x v="122"/>
    <m/>
    <x v="6"/>
    <s v="Foraging"/>
    <s v="NA"/>
    <s v="unknown"/>
    <m/>
    <n v="0"/>
    <s v="Unknown"/>
    <s v="Unknown"/>
    <s v="NA"/>
    <s v="NA"/>
    <s v="NA"/>
    <s v="NA"/>
    <s v="NA"/>
    <m/>
    <m/>
    <s v="NA"/>
    <s v="NA"/>
    <m/>
    <m/>
    <m/>
    <m/>
    <n v="0"/>
    <n v="0"/>
    <n v="0"/>
    <n v="0"/>
    <n v="5"/>
    <n v="0"/>
    <n v="5"/>
    <s v="Searching"/>
    <m/>
    <m/>
    <m/>
  </r>
  <r>
    <s v="DSCN0494"/>
    <s v="B&amp;U0908_3"/>
    <n v="3"/>
    <n v="1"/>
    <x v="5"/>
    <d v="2018-09-08T00:00:00"/>
    <s v="September"/>
    <s v="Fall"/>
    <d v="1899-12-30T00:34:00"/>
    <d v="1899-12-30T00:00:34"/>
    <x v="122"/>
    <m/>
    <x v="6"/>
    <s v="Foraging"/>
    <s v="NA"/>
    <s v="unknown"/>
    <m/>
    <n v="0"/>
    <m/>
    <s v="NA"/>
    <s v="NA"/>
    <s v="NA"/>
    <s v="NA"/>
    <s v="NA"/>
    <s v="NA"/>
    <m/>
    <m/>
    <s v="NA"/>
    <s v="NA"/>
    <m/>
    <m/>
    <m/>
    <m/>
    <n v="0"/>
    <n v="0"/>
    <n v="0"/>
    <n v="0"/>
    <n v="16"/>
    <n v="0"/>
    <n v="16"/>
    <s v="Searching"/>
    <m/>
    <m/>
    <m/>
  </r>
  <r>
    <s v="DSCN0495"/>
    <s v="B&amp;U0908_4"/>
    <n v="4"/>
    <n v="1"/>
    <x v="5"/>
    <d v="2018-09-08T00:00:00"/>
    <s v="September"/>
    <s v="Fall"/>
    <d v="1899-12-30T00:41:00"/>
    <d v="1899-12-30T00:00:41"/>
    <x v="122"/>
    <m/>
    <x v="6"/>
    <s v="Foraging"/>
    <s v="Spruce"/>
    <s v="unknown"/>
    <m/>
    <n v="0"/>
    <m/>
    <s v="NA"/>
    <s v="NA"/>
    <s v="NA"/>
    <s v="NA"/>
    <s v="NA"/>
    <s v="NA"/>
    <m/>
    <m/>
    <s v="NA"/>
    <s v="NA"/>
    <m/>
    <m/>
    <m/>
    <m/>
    <n v="15"/>
    <n v="27"/>
    <n v="15"/>
    <n v="27"/>
    <n v="0"/>
    <n v="0"/>
    <n v="42"/>
    <m/>
    <m/>
    <m/>
    <m/>
  </r>
  <r>
    <s v="DSCN0497"/>
    <s v="B&amp;U0908_5"/>
    <n v="5"/>
    <n v="1"/>
    <x v="5"/>
    <d v="2018-09-08T00:00:00"/>
    <s v="September"/>
    <s v="Fall"/>
    <d v="1899-12-30T00:19:00"/>
    <d v="1899-12-30T00:00:19"/>
    <x v="122"/>
    <m/>
    <x v="6"/>
    <s v="Caching"/>
    <s v="Spruce"/>
    <n v="0"/>
    <m/>
    <n v="1"/>
    <s v="Mushroom"/>
    <s v="Mushroom"/>
    <s v="Ground"/>
    <s v="Interior spruce foliage"/>
    <s v="Spruce"/>
    <s v="Interior"/>
    <s v="Foliage"/>
    <m/>
    <m/>
    <s v="Unknown"/>
    <n v="63.724820000000001"/>
    <n v="148.95699999999999"/>
    <m/>
    <m/>
    <m/>
    <n v="0"/>
    <n v="0"/>
    <n v="0"/>
    <n v="0"/>
    <n v="0"/>
    <n v="0"/>
    <n v="0"/>
    <m/>
    <m/>
    <m/>
    <m/>
  </r>
  <r>
    <s v="DSCN0498"/>
    <s v="B&amp;U0908_6"/>
    <n v="6"/>
    <n v="1"/>
    <x v="5"/>
    <d v="2018-09-08T00:00:00"/>
    <s v="September"/>
    <s v="Fall"/>
    <d v="1899-12-30T00:05:00"/>
    <d v="1899-12-30T00:00:05"/>
    <x v="122"/>
    <m/>
    <x v="6"/>
    <s v="Food handling"/>
    <s v="Spruce"/>
    <s v="unknown"/>
    <m/>
    <n v="0"/>
    <s v="Mushroom"/>
    <s v="Mushroom"/>
    <s v="unknown"/>
    <s v="NA"/>
    <s v="NA"/>
    <s v="NA"/>
    <s v="NA"/>
    <m/>
    <m/>
    <s v="NA"/>
    <s v="NA"/>
    <m/>
    <m/>
    <m/>
    <m/>
    <n v="0"/>
    <n v="0"/>
    <n v="0"/>
    <n v="0"/>
    <n v="0"/>
    <n v="0"/>
    <n v="0"/>
    <m/>
    <s v="Missed actually getting the mushroom on video "/>
    <m/>
    <m/>
  </r>
  <r>
    <s v="DSCN0501"/>
    <s v="B&amp;U0908_7"/>
    <n v="7"/>
    <n v="1"/>
    <x v="5"/>
    <d v="2018-09-08T00:00:00"/>
    <s v="September"/>
    <s v="Fall"/>
    <d v="1899-12-30T00:32:00"/>
    <d v="1899-12-30T00:00:32"/>
    <x v="122"/>
    <m/>
    <x v="6"/>
    <s v="Foraging/caching"/>
    <s v="Spruce"/>
    <n v="1"/>
    <m/>
    <n v="1"/>
    <s v="Mushroom"/>
    <s v="Mushroom"/>
    <s v="Ground"/>
    <s v="Interior spruce foliage"/>
    <s v="Spruce"/>
    <s v="Interior"/>
    <s v="Foliage"/>
    <m/>
    <m/>
    <s v="Unknown"/>
    <n v="63.724640000000001"/>
    <n v="148.95958999999999"/>
    <m/>
    <m/>
    <m/>
    <n v="0"/>
    <n v="0"/>
    <n v="0"/>
    <n v="0"/>
    <n v="19"/>
    <n v="0"/>
    <n v="19"/>
    <s v="Searching "/>
    <m/>
    <m/>
    <m/>
  </r>
  <r>
    <s v="DSCN0503"/>
    <s v="B&amp;U0908_8"/>
    <n v="8"/>
    <n v="1"/>
    <x v="5"/>
    <d v="2018-09-08T00:00:00"/>
    <s v="September"/>
    <s v="Fall"/>
    <d v="1899-12-30T00:21:00"/>
    <d v="1899-12-30T00:00:21"/>
    <x v="122"/>
    <m/>
    <x v="6"/>
    <s v="Caching"/>
    <s v="Spruce"/>
    <n v="0"/>
    <m/>
    <n v="1"/>
    <s v="Unknown"/>
    <s v="Unknown"/>
    <s v="unknown"/>
    <s v="Interior spruce foliage"/>
    <s v="Spruce"/>
    <s v="Interior"/>
    <s v="Foliage"/>
    <m/>
    <m/>
    <s v="Unknown"/>
    <n v="63.724600000000002"/>
    <n v="148.95944"/>
    <m/>
    <m/>
    <m/>
    <n v="0"/>
    <n v="0"/>
    <n v="0"/>
    <n v="0"/>
    <n v="0"/>
    <n v="0"/>
    <n v="0"/>
    <m/>
    <s v="Missed food acquisition an cache B&amp;Ut narrated on video.  "/>
    <m/>
    <m/>
  </r>
  <r>
    <s v="DSCN0504"/>
    <s v="B&amp;U0908_9"/>
    <n v="9"/>
    <n v="1"/>
    <x v="5"/>
    <d v="2018-09-08T00:00:00"/>
    <s v="September"/>
    <s v="Fall"/>
    <d v="1899-12-30T00:37:00"/>
    <d v="1899-12-30T00:00:37"/>
    <x v="122"/>
    <m/>
    <x v="6"/>
    <s v="Foraging"/>
    <s v="Spruce"/>
    <n v="1"/>
    <m/>
    <n v="1"/>
    <s v="Unknown"/>
    <s v="Unknown (Probably insect)"/>
    <s v="Ground"/>
    <s v="Interior spruce foliage"/>
    <s v="Spruce"/>
    <s v="Interior"/>
    <s v="Foliage"/>
    <m/>
    <m/>
    <s v="Unknown"/>
    <n v="63.724620000000002"/>
    <n v="148.95992000000001"/>
    <m/>
    <m/>
    <m/>
    <n v="0"/>
    <n v="0"/>
    <n v="0"/>
    <n v="0"/>
    <n v="0"/>
    <n v="0"/>
    <n v="0"/>
    <m/>
    <s v="Missed acquisition on camera"/>
    <m/>
    <m/>
  </r>
  <r>
    <s v="DSCN0660"/>
    <s v="B&amp;U0912_1"/>
    <n v="1"/>
    <n v="1"/>
    <x v="5"/>
    <d v="2018-09-12T00:00:00"/>
    <s v="September"/>
    <s v="Fall"/>
    <d v="1899-12-30T01:07:00"/>
    <d v="1899-12-30T00:01:07"/>
    <x v="122"/>
    <s v="Overcast"/>
    <x v="6"/>
    <s v="Foraging"/>
    <s v="NA"/>
    <n v="2"/>
    <m/>
    <n v="0"/>
    <s v="Berry"/>
    <s v="Berry (Blueberry)"/>
    <s v="Ground"/>
    <s v="NA"/>
    <s v="NA"/>
    <s v="NA"/>
    <s v="NA"/>
    <m/>
    <m/>
    <s v="NA"/>
    <s v="NA"/>
    <m/>
    <m/>
    <m/>
    <m/>
    <n v="0"/>
    <n v="0"/>
    <n v="0"/>
    <n v="0"/>
    <n v="62"/>
    <n v="0"/>
    <n v="62"/>
    <s v="Searching"/>
    <m/>
    <m/>
    <m/>
  </r>
  <r>
    <s v="DSCN0660"/>
    <s v="B&amp;U0912_1"/>
    <n v="1"/>
    <n v="2"/>
    <x v="5"/>
    <d v="2018-09-12T00:00:00"/>
    <s v="September"/>
    <s v="Fall"/>
    <d v="1899-12-30T01:07:00"/>
    <d v="1899-12-30T00:01:07"/>
    <x v="122"/>
    <s v="Overcast"/>
    <x v="6"/>
    <s v="Foraging"/>
    <s v="NA"/>
    <n v="1"/>
    <m/>
    <n v="0"/>
    <s v="Unknown"/>
    <s v="Unknown"/>
    <s v="Ground"/>
    <s v="NA"/>
    <s v="NA"/>
    <s v="NA"/>
    <s v="NA"/>
    <m/>
    <m/>
    <s v="NA"/>
    <s v="NA"/>
    <m/>
    <m/>
    <m/>
    <m/>
    <n v="0"/>
    <n v="0"/>
    <n v="0"/>
    <n v="0"/>
    <n v="0"/>
    <n v="0"/>
    <n v="0"/>
    <s v="Searching"/>
    <m/>
    <m/>
    <m/>
  </r>
  <r>
    <s v="DSCN0668"/>
    <s v="B&amp;U0912_4"/>
    <n v="4"/>
    <n v="1"/>
    <x v="5"/>
    <d v="2018-09-12T00:00:00"/>
    <s v="September"/>
    <s v="Fall"/>
    <d v="1899-12-30T00:28:00"/>
    <d v="1899-12-30T00:00:28"/>
    <x v="122"/>
    <s v="Overcast"/>
    <x v="6"/>
    <s v="Foraging"/>
    <s v="NA"/>
    <s v="unknown"/>
    <m/>
    <n v="0"/>
    <m/>
    <s v="NA"/>
    <s v="NA"/>
    <s v="NA"/>
    <s v="NA"/>
    <s v="NA"/>
    <s v="NA"/>
    <m/>
    <m/>
    <s v="NA"/>
    <s v="NA"/>
    <m/>
    <m/>
    <m/>
    <m/>
    <n v="0"/>
    <n v="0"/>
    <n v="0"/>
    <n v="0"/>
    <n v="10"/>
    <n v="0"/>
    <n v="10"/>
    <m/>
    <m/>
    <m/>
    <m/>
  </r>
  <r>
    <s v="DSCN0686"/>
    <s v="B&amp;U0912_8"/>
    <n v="8"/>
    <n v="1"/>
    <x v="5"/>
    <d v="2018-09-12T00:00:00"/>
    <s v="September"/>
    <s v="Fall"/>
    <d v="1899-12-30T00:26:00"/>
    <d v="1899-12-30T00:00:26"/>
    <x v="122"/>
    <s v="Overcast"/>
    <x v="6"/>
    <s v="Caching"/>
    <s v="Spruce"/>
    <n v="1"/>
    <m/>
    <n v="1"/>
    <s v="Unknown"/>
    <s v="Unknown"/>
    <s v="Interior spruce foliage"/>
    <s v="Exterior spruce foliage"/>
    <s v="Spruce"/>
    <s v="Exterior"/>
    <s v="Foliage"/>
    <m/>
    <m/>
    <s v="Unknown"/>
    <n v="63.725990000000003"/>
    <n v="148.95717999999999"/>
    <m/>
    <m/>
    <m/>
    <n v="0"/>
    <n v="0"/>
    <n v="0"/>
    <n v="0"/>
    <n v="0"/>
    <n v="0"/>
    <n v="0"/>
    <m/>
    <s v="Notes about food acquisition based on unrecorded observations "/>
    <m/>
    <m/>
  </r>
  <r>
    <s v="DSCN0765"/>
    <s v="B&amp;U0915_1"/>
    <n v="1"/>
    <n v="1"/>
    <x v="5"/>
    <d v="2018-09-15T00:00:00"/>
    <s v="September"/>
    <s v="Fall"/>
    <d v="1899-12-30T00:13:00"/>
    <d v="1899-12-30T00:00:13"/>
    <x v="122"/>
    <s v="Mostly sunny"/>
    <x v="6"/>
    <s v="Caching"/>
    <s v="Spruce"/>
    <s v="NA"/>
    <m/>
    <n v="1"/>
    <s v="Animal flesh"/>
    <s v="Animal flesh (Snowshoe hare)"/>
    <s v="NA"/>
    <s v="Interior spruce foliage"/>
    <s v="Spruce"/>
    <s v="Interior"/>
    <s v="Foliage"/>
    <m/>
    <m/>
    <n v="19"/>
    <n v="63.724809999999998"/>
    <n v="148.95639"/>
    <m/>
    <m/>
    <m/>
    <n v="0"/>
    <n v="0"/>
    <n v="0"/>
    <n v="0"/>
    <n v="0"/>
    <n v="0"/>
    <n v="0"/>
    <m/>
    <s v="Foraging and caching off dead hare carcass (mostly entrails)"/>
    <m/>
    <m/>
  </r>
  <r>
    <s v="DSCN0766"/>
    <s v="B&amp;U0915_2"/>
    <n v="2"/>
    <n v="1"/>
    <x v="5"/>
    <d v="2018-09-15T00:00:00"/>
    <s v="September"/>
    <s v="Fall"/>
    <d v="1899-12-30T00:04:00"/>
    <d v="1899-12-30T00:00:04"/>
    <x v="122"/>
    <s v="Mostly sunny"/>
    <x v="6"/>
    <s v="Foraging"/>
    <s v="NA"/>
    <n v="1"/>
    <m/>
    <n v="0"/>
    <s v="Animal flesh"/>
    <s v="Animal flesh (Snowshoe hare)"/>
    <s v="Ground"/>
    <s v="NA"/>
    <s v="NA"/>
    <s v="NA"/>
    <s v="NA"/>
    <m/>
    <m/>
    <s v="NA"/>
    <s v="NA"/>
    <m/>
    <m/>
    <m/>
    <m/>
    <n v="0"/>
    <n v="0"/>
    <n v="0"/>
    <n v="0"/>
    <n v="0"/>
    <n v="0"/>
    <n v="0"/>
    <m/>
    <s v="Foraging and caching off dead hare carcass (mostly entrails)"/>
    <m/>
    <m/>
  </r>
  <r>
    <s v="DSCN0777"/>
    <s v="B&amp;U0915_4"/>
    <n v="4"/>
    <n v="1"/>
    <x v="5"/>
    <d v="2018-09-15T00:00:00"/>
    <s v="September"/>
    <s v="Fall"/>
    <d v="1899-12-30T00:23:00"/>
    <d v="1899-12-30T00:00:23"/>
    <x v="122"/>
    <s v="Mostly sunny"/>
    <x v="6"/>
    <s v="Foraging"/>
    <s v="NA"/>
    <n v="1"/>
    <m/>
    <n v="0"/>
    <s v="Animal flesh"/>
    <s v="Animal flesh (Snowshoe hare)"/>
    <s v="Ground"/>
    <s v="NA"/>
    <s v="NA"/>
    <s v="NA"/>
    <s v="NA"/>
    <m/>
    <m/>
    <s v="NA"/>
    <s v="NA"/>
    <m/>
    <m/>
    <m/>
    <m/>
    <n v="0"/>
    <n v="0"/>
    <n v="0"/>
    <n v="0"/>
    <n v="0"/>
    <n v="0"/>
    <n v="0"/>
    <m/>
    <s v="Foraging and caching off dead hare carcass (mostly entrails)"/>
    <m/>
    <m/>
  </r>
  <r>
    <s v="DSCN0778"/>
    <s v="B&amp;U0915_5"/>
    <n v="5"/>
    <n v="1"/>
    <x v="5"/>
    <d v="2018-09-15T00:00:00"/>
    <s v="September"/>
    <s v="Fall"/>
    <d v="1899-12-30T00:06:00"/>
    <d v="1899-12-30T00:00:06"/>
    <x v="122"/>
    <s v="Mostly sunny"/>
    <x v="6"/>
    <s v="Food handling"/>
    <s v="Spruce"/>
    <n v="1"/>
    <m/>
    <n v="0"/>
    <s v="Animal flesh"/>
    <s v="Animal flesh (Snowshoe hare)"/>
    <s v="NA"/>
    <s v="NA"/>
    <s v="NA"/>
    <s v="NA"/>
    <s v="NA"/>
    <m/>
    <m/>
    <s v="NA"/>
    <s v="NA"/>
    <m/>
    <m/>
    <m/>
    <m/>
    <n v="0"/>
    <n v="0"/>
    <n v="0"/>
    <n v="0"/>
    <n v="0"/>
    <n v="0"/>
    <n v="0"/>
    <m/>
    <s v="Processing hare in tree"/>
    <m/>
    <m/>
  </r>
  <r>
    <s v="DSCN0779"/>
    <s v="B&amp;U0915_6"/>
    <n v="6"/>
    <n v="1"/>
    <x v="5"/>
    <d v="2018-09-15T00:00:00"/>
    <s v="September"/>
    <s v="Fall"/>
    <d v="1899-12-30T00:04:00"/>
    <d v="1899-12-30T00:00:04"/>
    <x v="122"/>
    <s v="Mostly sunny"/>
    <x v="6"/>
    <s v="Caching"/>
    <s v="Spruce"/>
    <n v="0"/>
    <m/>
    <n v="1"/>
    <s v="Animal flesh"/>
    <s v="Animal flesh (Snowshoe hare)"/>
    <s v="NA"/>
    <s v="Interior top of spruce in foliage."/>
    <s v="Spruce"/>
    <s v="Interior"/>
    <s v="Foliage"/>
    <m/>
    <m/>
    <n v="3"/>
    <n v="63.72486"/>
    <n v="148.95665"/>
    <m/>
    <m/>
    <m/>
    <n v="0"/>
    <n v="0"/>
    <n v="0"/>
    <n v="0"/>
    <n v="0"/>
    <n v="0"/>
    <n v="0"/>
    <m/>
    <m/>
    <m/>
    <m/>
  </r>
  <r>
    <s v="DSCN0783"/>
    <s v="B&amp;U0915_7"/>
    <n v="7"/>
    <n v="1"/>
    <x v="5"/>
    <d v="2018-09-15T00:00:00"/>
    <s v="September"/>
    <s v="Fall"/>
    <d v="1899-12-30T01:18:00"/>
    <d v="1899-12-30T00:01:18"/>
    <x v="122"/>
    <s v="Mostly sunny"/>
    <x v="6"/>
    <s v="Looking for a place to cache"/>
    <s v="Spruce"/>
    <n v="0"/>
    <m/>
    <n v="0"/>
    <s v="Animal flesh"/>
    <s v="Animal flesh (Snowshoe hare)"/>
    <s v="NA"/>
    <s v="NA"/>
    <s v="NA"/>
    <s v="NA"/>
    <s v="NA"/>
    <m/>
    <m/>
    <s v="NA"/>
    <s v="NA"/>
    <m/>
    <m/>
    <m/>
    <m/>
    <n v="0"/>
    <n v="0"/>
    <n v="0"/>
    <n v="0"/>
    <n v="0"/>
    <n v="0"/>
    <n v="0"/>
    <m/>
    <m/>
    <m/>
    <m/>
  </r>
  <r>
    <s v="DSCN0784"/>
    <s v="B&amp;U0915_8"/>
    <n v="8"/>
    <n v="1"/>
    <x v="5"/>
    <d v="2018-09-15T00:00:00"/>
    <s v="September"/>
    <s v="Fall"/>
    <d v="1899-12-30T00:52:00"/>
    <d v="1899-12-30T00:00:52"/>
    <x v="122"/>
    <s v="Mostly sunny"/>
    <x v="6"/>
    <s v="Foraging"/>
    <s v="NA"/>
    <s v="unknown"/>
    <m/>
    <n v="0"/>
    <m/>
    <s v="NA"/>
    <s v="NA"/>
    <s v="NA"/>
    <s v="NA"/>
    <s v="NA"/>
    <s v="NA"/>
    <m/>
    <m/>
    <s v="NA"/>
    <s v="NA"/>
    <m/>
    <m/>
    <m/>
    <m/>
    <n v="0"/>
    <n v="0"/>
    <n v="0"/>
    <n v="0"/>
    <n v="47"/>
    <n v="0"/>
    <n v="47"/>
    <m/>
    <m/>
    <m/>
    <m/>
  </r>
  <r>
    <s v="DSCN0786"/>
    <s v="B&amp;U0915_9"/>
    <n v="9"/>
    <n v="1"/>
    <x v="5"/>
    <d v="2018-09-15T00:00:00"/>
    <s v="September"/>
    <s v="Fall"/>
    <d v="1899-12-30T00:56:00"/>
    <d v="1899-12-30T00:00:56"/>
    <x v="122"/>
    <s v="Mostly sunny"/>
    <x v="6"/>
    <s v="Foraging/caching"/>
    <s v="Spruce"/>
    <n v="3"/>
    <m/>
    <n v="1"/>
    <s v="Animal flesh"/>
    <s v="Animal flesh (Snowshoe hare)"/>
    <s v="Ground"/>
    <s v="Interior bare spruce branch under bark"/>
    <s v="Spruce"/>
    <s v="Interior"/>
    <s v="Branch under bark"/>
    <m/>
    <m/>
    <n v="2"/>
    <n v="63.724910000000001"/>
    <n v="148.95679000000001"/>
    <m/>
    <m/>
    <m/>
    <n v="0"/>
    <n v="0"/>
    <n v="0"/>
    <n v="0"/>
    <n v="0"/>
    <n v="0"/>
    <n v="0"/>
    <m/>
    <m/>
    <m/>
    <m/>
  </r>
  <r>
    <s v="DSCN0791"/>
    <s v="B&amp;U0915_11"/>
    <n v="11"/>
    <n v="1"/>
    <x v="5"/>
    <d v="2018-09-15T00:00:00"/>
    <s v="September"/>
    <s v="Fall"/>
    <d v="1899-12-30T00:29:00"/>
    <d v="1899-12-30T00:00:29"/>
    <x v="122"/>
    <s v="Mostly sunny"/>
    <x v="6"/>
    <s v="Forgaing"/>
    <s v="NA"/>
    <n v="1"/>
    <m/>
    <n v="0"/>
    <s v="Animal flesh"/>
    <s v="Animal flesh (Snowshoe hare)"/>
    <s v="Ground"/>
    <s v="NA"/>
    <s v="NA"/>
    <s v="NA"/>
    <s v="NA"/>
    <m/>
    <m/>
    <s v="NA"/>
    <s v="NA"/>
    <m/>
    <m/>
    <m/>
    <m/>
    <n v="0"/>
    <n v="0"/>
    <n v="0"/>
    <n v="0"/>
    <n v="0"/>
    <n v="0"/>
    <n v="0"/>
    <m/>
    <s v="Eating from hare"/>
    <m/>
    <m/>
  </r>
  <r>
    <s v="DSCN0793"/>
    <s v="B&amp;U0915_12"/>
    <n v="12"/>
    <n v="1"/>
    <x v="5"/>
    <d v="2018-09-15T00:00:00"/>
    <s v="September"/>
    <s v="Fall"/>
    <d v="1899-12-30T00:40:00"/>
    <d v="1899-12-30T00:00:40"/>
    <x v="122"/>
    <s v="Mostly sunny"/>
    <x v="6"/>
    <s v="Foraging"/>
    <s v="NA"/>
    <s v="unknown"/>
    <m/>
    <n v="0"/>
    <m/>
    <s v="NA"/>
    <s v="NA"/>
    <s v="NA"/>
    <s v="NA"/>
    <s v="NA"/>
    <s v="NA"/>
    <m/>
    <m/>
    <s v="NA"/>
    <s v="NA"/>
    <m/>
    <m/>
    <m/>
    <m/>
    <n v="0"/>
    <n v="0"/>
    <n v="0"/>
    <n v="0"/>
    <n v="23"/>
    <n v="0"/>
    <n v="23"/>
    <m/>
    <m/>
    <m/>
    <m/>
  </r>
  <r>
    <s v="DSCN0807"/>
    <s v="B&amp;U0915_19"/>
    <n v="19"/>
    <n v="1"/>
    <x v="5"/>
    <d v="2018-09-15T00:00:00"/>
    <s v="September"/>
    <s v="Fall"/>
    <d v="1899-12-30T00:07:00"/>
    <d v="1899-12-30T00:00:07"/>
    <x v="122"/>
    <s v="Mostly sunny"/>
    <x v="6"/>
    <s v="Foraging"/>
    <s v="NA"/>
    <n v="1"/>
    <m/>
    <n v="0"/>
    <s v="Unknown"/>
    <s v="Unknown"/>
    <s v="Ground"/>
    <s v="NA"/>
    <s v="NA"/>
    <s v="NA"/>
    <s v="NA"/>
    <m/>
    <m/>
    <s v="NA"/>
    <s v="NA"/>
    <m/>
    <m/>
    <m/>
    <m/>
    <n v="0"/>
    <n v="0"/>
    <n v="0"/>
    <n v="0"/>
    <n v="0"/>
    <n v="0"/>
    <n v="0"/>
    <m/>
    <s v="Did not catch actual foraging on video.  "/>
    <m/>
    <m/>
  </r>
  <r>
    <s v="DSCN0807"/>
    <s v="B&amp;U0915_20"/>
    <n v="20"/>
    <n v="1"/>
    <x v="5"/>
    <d v="2018-09-15T00:00:00"/>
    <s v="September"/>
    <s v="Fall"/>
    <d v="1899-12-30T00:22:00"/>
    <d v="1899-12-30T00:00:22"/>
    <x v="122"/>
    <s v="Mostly sunny"/>
    <x v="6"/>
    <s v="Caching"/>
    <s v="Spruce"/>
    <n v="0"/>
    <m/>
    <n v="1"/>
    <s v="Berry"/>
    <s v="Berry (Blueberry)"/>
    <s v="NA"/>
    <s v="Interior tucked in foliage"/>
    <s v="Spruce"/>
    <s v="Interior"/>
    <s v="Foliage"/>
    <m/>
    <m/>
    <s v="unknown"/>
    <n v="63.725749999999998"/>
    <n v="148.95331999999999"/>
    <m/>
    <m/>
    <m/>
    <n v="0"/>
    <n v="0"/>
    <n v="0"/>
    <n v="0"/>
    <n v="0"/>
    <n v="0"/>
    <n v="0"/>
    <m/>
    <m/>
    <m/>
    <m/>
  </r>
  <r>
    <s v="DSCN0859"/>
    <s v="B&amp;U0917_1"/>
    <n v="1"/>
    <n v="1"/>
    <x v="5"/>
    <d v="2018-09-17T00:00:00"/>
    <s v="September"/>
    <s v="Fall"/>
    <d v="1899-12-30T00:58:00"/>
    <d v="1899-12-30T00:00:58"/>
    <x v="122"/>
    <s v="Overcast"/>
    <x v="6"/>
    <s v="Caching"/>
    <s v="Spruce"/>
    <n v="1"/>
    <m/>
    <n v="2"/>
    <s v="Human food"/>
    <s v="Human food (French fry)"/>
    <s v="unknown"/>
    <s v="Spruce trunk under bark"/>
    <s v="Spruce"/>
    <s v="Trunk"/>
    <s v="Under bark"/>
    <m/>
    <m/>
    <s v="Unknown"/>
    <n v="63.725639999999999"/>
    <n v="148.95848000000001"/>
    <m/>
    <m/>
    <m/>
    <n v="0"/>
    <n v="0"/>
    <n v="0"/>
    <n v="0"/>
    <n v="0"/>
    <n v="0"/>
    <n v="0"/>
    <m/>
    <m/>
    <m/>
    <m/>
  </r>
  <r>
    <s v="DSCN0861"/>
    <s v="B&amp;U0917_2"/>
    <n v="2"/>
    <n v="1"/>
    <x v="5"/>
    <d v="2018-09-17T00:00:00"/>
    <s v="September"/>
    <s v="Fall"/>
    <d v="1899-12-30T00:17:00"/>
    <d v="1899-12-30T00:00:17"/>
    <x v="122"/>
    <m/>
    <x v="6"/>
    <s v="Food handling"/>
    <s v="Spruce"/>
    <n v="0"/>
    <m/>
    <n v="0"/>
    <s v="Human food"/>
    <s v="Human food (French fry)"/>
    <s v="NA"/>
    <s v="NA"/>
    <s v="NA"/>
    <s v="NA"/>
    <s v="NA"/>
    <m/>
    <m/>
    <s v="NA"/>
    <s v="NA"/>
    <m/>
    <m/>
    <m/>
    <m/>
    <n v="0"/>
    <n v="0"/>
    <n v="0"/>
    <n v="0"/>
    <n v="0"/>
    <n v="0"/>
    <n v="0"/>
    <m/>
    <s v="Good shot of bird handling food"/>
    <m/>
    <m/>
  </r>
  <r>
    <s v="DSCN0862"/>
    <s v="B&amp;U0917_3"/>
    <n v="3"/>
    <n v="1"/>
    <x v="5"/>
    <d v="2018-09-17T00:00:00"/>
    <s v="September"/>
    <s v="Fall"/>
    <d v="1899-12-30T01:03:00"/>
    <d v="1899-12-30T00:01:03"/>
    <x v="122"/>
    <s v="Partly Sunny"/>
    <x v="6"/>
    <s v="Food handling/caching"/>
    <s v="Spruce"/>
    <n v="1"/>
    <m/>
    <n v="1"/>
    <s v="Human food"/>
    <s v="Human food (French fry)"/>
    <s v="NA"/>
    <s v="Interior spruce tree likely on trunk"/>
    <s v="Spruce"/>
    <s v="Trunk"/>
    <s v="Under bark"/>
    <m/>
    <m/>
    <s v="unknown"/>
    <n v="63.725679999999997"/>
    <n v="148.9588"/>
    <m/>
    <m/>
    <m/>
    <n v="0"/>
    <n v="0"/>
    <n v="0"/>
    <n v="0"/>
    <n v="0"/>
    <n v="0"/>
    <n v="0"/>
    <m/>
    <m/>
    <m/>
    <m/>
  </r>
  <r>
    <s v="DSCN0862"/>
    <s v="B&amp;U0917_3"/>
    <n v="3"/>
    <n v="2"/>
    <x v="5"/>
    <d v="2018-09-17T00:00:00"/>
    <s v="September"/>
    <s v="Fall"/>
    <d v="1899-12-30T01:03:00"/>
    <d v="1899-12-30T00:01:03"/>
    <x v="122"/>
    <s v="Partly Sunny"/>
    <x v="6"/>
    <s v="Food handling/caching"/>
    <s v="Spruce"/>
    <n v="0"/>
    <m/>
    <n v="1"/>
    <s v="Human food"/>
    <s v="Human food (French fry)"/>
    <s v="NA"/>
    <s v="Exterior spruce foliage"/>
    <s v="Spruce"/>
    <s v="Exterior"/>
    <s v="Foliage"/>
    <m/>
    <m/>
    <s v="unknown"/>
    <n v="63.72569"/>
    <n v="148.95882"/>
    <m/>
    <m/>
    <m/>
    <n v="0"/>
    <n v="0"/>
    <n v="0"/>
    <n v="0"/>
    <n v="0"/>
    <n v="0"/>
    <n v="0"/>
    <m/>
    <m/>
    <m/>
    <m/>
  </r>
  <r>
    <s v="DSCN0864"/>
    <s v="B&amp;U0917_4"/>
    <n v="4"/>
    <n v="1"/>
    <x v="5"/>
    <d v="2018-09-17T00:00:00"/>
    <s v="September"/>
    <s v="Fall"/>
    <d v="1899-12-30T00:32:00"/>
    <d v="1899-12-30T00:32:00"/>
    <x v="122"/>
    <s v="Partly Sunny"/>
    <x v="6"/>
    <s v="Foraging or caching"/>
    <s v="Spruce"/>
    <s v="unknown"/>
    <m/>
    <n v="0"/>
    <m/>
    <s v="NA"/>
    <s v="NA"/>
    <s v="NA"/>
    <s v="NA"/>
    <s v="NA"/>
    <s v="NA"/>
    <m/>
    <m/>
    <s v="NA"/>
    <s v="NA"/>
    <m/>
    <m/>
    <m/>
    <m/>
    <n v="0"/>
    <n v="17"/>
    <n v="14"/>
    <n v="3"/>
    <n v="0"/>
    <n v="0"/>
    <n v="17"/>
    <m/>
    <m/>
    <m/>
    <m/>
  </r>
  <r>
    <s v="DSCN0949"/>
    <s v="B&amp;U0920_1"/>
    <n v="1"/>
    <n v="1"/>
    <x v="5"/>
    <d v="2018-09-20T00:00:00"/>
    <s v="September"/>
    <s v="Fall"/>
    <d v="1899-12-30T00:43:00"/>
    <d v="1899-12-30T00:00:43"/>
    <x v="122"/>
    <s v="Overcast, light rain"/>
    <x v="6"/>
    <s v="Foraging"/>
    <s v="Spruce"/>
    <n v="1"/>
    <m/>
    <n v="0"/>
    <s v="Unknown"/>
    <s v="Unknown"/>
    <s v="Interior spruce foliage"/>
    <s v="NA"/>
    <s v="NA"/>
    <s v="NA"/>
    <s v="NA"/>
    <m/>
    <m/>
    <s v="NA"/>
    <s v="NA"/>
    <m/>
    <m/>
    <m/>
    <m/>
    <n v="0"/>
    <n v="17"/>
    <n v="7"/>
    <n v="10"/>
    <n v="0"/>
    <n v="0"/>
    <n v="17"/>
    <m/>
    <m/>
    <m/>
    <m/>
  </r>
  <r>
    <s v="DSCN0952"/>
    <s v="B&amp;U0920_2"/>
    <n v="2"/>
    <n v="1"/>
    <x v="5"/>
    <d v="2018-09-20T00:00:00"/>
    <s v="September"/>
    <s v="Fall"/>
    <d v="1899-12-30T00:31:00"/>
    <d v="1899-12-30T00:00:31"/>
    <x v="122"/>
    <s v="Overcast, light rain"/>
    <x v="6"/>
    <s v="Foraging"/>
    <s v="Spruce"/>
    <s v="unknown"/>
    <m/>
    <n v="0"/>
    <s v="Unknown"/>
    <s v="Unknown"/>
    <s v="NA"/>
    <s v="NA"/>
    <s v="NA"/>
    <s v="NA"/>
    <s v="NA"/>
    <m/>
    <m/>
    <s v="NA"/>
    <s v="NA"/>
    <m/>
    <m/>
    <m/>
    <m/>
    <n v="0"/>
    <n v="13"/>
    <n v="13"/>
    <n v="0"/>
    <n v="0"/>
    <n v="0"/>
    <n v="13"/>
    <m/>
    <m/>
    <m/>
    <m/>
  </r>
  <r>
    <s v="DSCN0954"/>
    <s v="B&amp;U0920_3"/>
    <n v="3"/>
    <n v="1"/>
    <x v="5"/>
    <d v="2018-09-20T00:00:00"/>
    <s v="September"/>
    <s v="Fall"/>
    <d v="1899-12-30T00:16:00"/>
    <d v="1899-12-30T00:00:16"/>
    <x v="122"/>
    <s v="Overcast, light rain"/>
    <x v="6"/>
    <s v="Foraging"/>
    <s v="NA"/>
    <s v="unknown"/>
    <m/>
    <n v="0"/>
    <s v="Unknown"/>
    <s v="Unknown"/>
    <s v="NA"/>
    <s v="NA"/>
    <s v="NA"/>
    <s v="NA"/>
    <s v="NA"/>
    <m/>
    <m/>
    <s v="NA"/>
    <s v="NA"/>
    <m/>
    <m/>
    <m/>
    <m/>
    <n v="0"/>
    <m/>
    <n v="0"/>
    <n v="0"/>
    <n v="12"/>
    <n v="0"/>
    <n v="12"/>
    <m/>
    <m/>
    <m/>
    <m/>
  </r>
  <r>
    <s v="DSCN0960"/>
    <s v="B&amp;U0920_4"/>
    <n v="4"/>
    <n v="1"/>
    <x v="5"/>
    <d v="2018-09-20T00:00:00"/>
    <s v="September"/>
    <s v="Fall"/>
    <d v="1899-12-30T00:15:00"/>
    <d v="1899-12-30T00:00:15"/>
    <x v="122"/>
    <s v="Overcast, light rain"/>
    <x v="6"/>
    <s v="Foraging"/>
    <s v="Spruce"/>
    <n v="1"/>
    <m/>
    <n v="0"/>
    <s v="Unknown"/>
    <s v="Unknown"/>
    <s v="Exterior bare spruce branch"/>
    <s v="NA"/>
    <s v="NA"/>
    <s v="NA"/>
    <s v="NA"/>
    <m/>
    <m/>
    <s v="NA"/>
    <s v="NA"/>
    <m/>
    <m/>
    <m/>
    <m/>
    <n v="0"/>
    <n v="0"/>
    <n v="0"/>
    <n v="0"/>
    <n v="0"/>
    <n v="0"/>
    <n v="0"/>
    <m/>
    <s v="Finished preening and plucked it from branch. "/>
    <m/>
    <m/>
  </r>
  <r>
    <s v="No video"/>
    <m/>
    <m/>
    <n v="1"/>
    <x v="5"/>
    <d v="2018-09-20T00:00:00"/>
    <s v="September"/>
    <s v="Fall"/>
    <m/>
    <m/>
    <x v="122"/>
    <s v="Overcast, light rain"/>
    <x v="6"/>
    <s v="Caching"/>
    <s v="Spruce"/>
    <n v="0"/>
    <m/>
    <n v="1"/>
    <s v="Unknown"/>
    <s v="Unknown"/>
    <s v="Ground"/>
    <s v="Spruce on trunk under bark. "/>
    <s v="Spruce"/>
    <s v="Trunk"/>
    <s v="Under bark"/>
    <m/>
    <m/>
    <s v="Unknown"/>
    <n v="63.726179999999999"/>
    <n v="148.96117000000001"/>
    <m/>
    <m/>
    <m/>
    <n v="0"/>
    <n v="0"/>
    <n v="0"/>
    <n v="0"/>
    <n v="0"/>
    <n v="0"/>
    <n v="0"/>
    <m/>
    <s v="Witnessed by DL"/>
    <m/>
    <m/>
  </r>
  <r>
    <s v="No video"/>
    <m/>
    <m/>
    <n v="2"/>
    <x v="5"/>
    <d v="2018-09-20T00:00:00"/>
    <s v="September"/>
    <s v="Fall"/>
    <m/>
    <m/>
    <x v="122"/>
    <s v="Overcast, light rain"/>
    <x v="6"/>
    <s v="Caching"/>
    <s v="Spruce"/>
    <n v="0"/>
    <m/>
    <n v="1"/>
    <s v="Unknown"/>
    <s v="Unknown"/>
    <s v="Ground"/>
    <s v="Spruce in exterior foliage. "/>
    <s v="Spruce"/>
    <s v="Exterior"/>
    <s v="Foliage"/>
    <m/>
    <m/>
    <s v="Unknown"/>
    <n v="63.726179999999999"/>
    <n v="148.96117000000001"/>
    <m/>
    <m/>
    <m/>
    <n v="0"/>
    <n v="0"/>
    <n v="0"/>
    <n v="0"/>
    <n v="0"/>
    <n v="0"/>
    <n v="0"/>
    <m/>
    <s v="Witnessed by DL"/>
    <m/>
    <m/>
  </r>
  <r>
    <s v="DSCN0601"/>
    <s v="CC0911_2"/>
    <n v="2"/>
    <n v="1"/>
    <x v="4"/>
    <d v="2018-09-11T00:00:00"/>
    <s v="September"/>
    <s v="Fall"/>
    <d v="1899-12-30T00:18:00"/>
    <d v="1899-12-30T00:00:18"/>
    <x v="122"/>
    <s v="Full sun"/>
    <x v="46"/>
    <s v="Foraging"/>
    <s v="NA"/>
    <n v="1"/>
    <m/>
    <n v="0"/>
    <s v="Berry"/>
    <s v="Berry (Soapberry)"/>
    <s v="Ground"/>
    <s v="NA"/>
    <s v="NA"/>
    <s v="NA"/>
    <s v="NA"/>
    <m/>
    <m/>
    <s v="NA"/>
    <s v="NA"/>
    <m/>
    <m/>
    <m/>
    <m/>
    <n v="0"/>
    <n v="0"/>
    <n v="0"/>
    <n v="0"/>
    <n v="8"/>
    <n v="0"/>
    <n v="8"/>
    <m/>
    <m/>
    <m/>
    <m/>
  </r>
  <r>
    <s v="DSCN0602"/>
    <s v="CC0911_3"/>
    <n v="3"/>
    <n v="1"/>
    <x v="4"/>
    <d v="2018-09-11T00:00:00"/>
    <s v="September"/>
    <s v="Fall"/>
    <d v="1899-12-30T00:55:00"/>
    <d v="1899-12-30T00:00:55"/>
    <x v="122"/>
    <s v="Full sun"/>
    <x v="46"/>
    <s v="Caching"/>
    <s v="Spruce"/>
    <n v="0"/>
    <m/>
    <n v="1"/>
    <s v="Berry"/>
    <s v="Berry (Soapberry)"/>
    <s v="Ground"/>
    <s v="Interior spruce foliage"/>
    <s v="Spruce"/>
    <s v="Exterior"/>
    <s v="Foliage"/>
    <m/>
    <m/>
    <s v="Unknown"/>
    <n v="63.723739999999999"/>
    <n v="148.94995"/>
    <m/>
    <m/>
    <m/>
    <n v="0"/>
    <n v="0"/>
    <n v="0"/>
    <n v="0"/>
    <n v="0"/>
    <n v="0"/>
    <n v="0"/>
    <m/>
    <s v="Caching from previous food acquisition video.  "/>
    <m/>
    <m/>
  </r>
  <r>
    <s v="DSCN0602"/>
    <s v="CC0911_3"/>
    <n v="3"/>
    <n v="2"/>
    <x v="4"/>
    <d v="2018-09-11T00:00:00"/>
    <s v="September"/>
    <s v="Fall"/>
    <d v="1899-12-30T00:55:00"/>
    <d v="1899-12-30T00:00:55"/>
    <x v="122"/>
    <s v="Full sun"/>
    <x v="46"/>
    <s v="Caching"/>
    <s v="Spruce"/>
    <n v="0"/>
    <m/>
    <n v="1"/>
    <s v="Berry"/>
    <s v="Berry (Soapberry)"/>
    <s v="Ground"/>
    <s v="Exterior spruce foliage"/>
    <s v="Spruce"/>
    <s v="Exterior"/>
    <s v="Foliage"/>
    <m/>
    <m/>
    <s v="Unknown"/>
    <n v="63.723739999999999"/>
    <n v="148.94995"/>
    <m/>
    <m/>
    <m/>
    <n v="0"/>
    <n v="0"/>
    <n v="0"/>
    <n v="0"/>
    <n v="0"/>
    <n v="0"/>
    <n v="0"/>
    <m/>
    <s v="Caching from previous food acquisition video.  Cached in same tree as previous event.  "/>
    <m/>
    <m/>
  </r>
  <r>
    <s v="DSCN0729"/>
    <s v="CC0914_2"/>
    <n v="2"/>
    <n v="1"/>
    <x v="4"/>
    <d v="2018-09-14T00:00:00"/>
    <s v="September"/>
    <s v="Fall"/>
    <d v="1899-12-30T00:11:00"/>
    <d v="1899-12-30T00:00:11"/>
    <x v="122"/>
    <s v="Mostly sunny"/>
    <x v="46"/>
    <s v="Caching"/>
    <s v="Spruce"/>
    <n v="0"/>
    <m/>
    <n v="1"/>
    <s v="Unknown"/>
    <s v="Unknown"/>
    <s v="NA"/>
    <s v="Exterior spruce branch in witch hair"/>
    <s v="Spruce"/>
    <s v="Exterior"/>
    <s v="Branch under witch hair"/>
    <m/>
    <m/>
    <s v="unknown"/>
    <n v="63.722520000000003"/>
    <n v="148.95232999999999"/>
    <m/>
    <m/>
    <m/>
    <n v="0"/>
    <n v="0"/>
    <n v="0"/>
    <n v="0"/>
    <n v="0"/>
    <n v="0"/>
    <n v="0"/>
    <m/>
    <m/>
    <m/>
    <m/>
  </r>
  <r>
    <s v="DSCN1116"/>
    <s v="CC0926_2"/>
    <n v="2"/>
    <n v="1"/>
    <x v="4"/>
    <d v="2018-09-26T00:00:00"/>
    <s v="September"/>
    <s v="Fall"/>
    <d v="1899-12-30T00:20:00"/>
    <d v="1899-12-30T00:00:20"/>
    <x v="122"/>
    <s v="Overcast"/>
    <x v="46"/>
    <s v="Food handling"/>
    <s v="Spruce"/>
    <n v="1"/>
    <m/>
    <n v="0"/>
    <s v="Unknown"/>
    <s v="Unknown"/>
    <s v="unknown"/>
    <s v="NA"/>
    <s v="NA"/>
    <s v="NA"/>
    <s v="NA"/>
    <m/>
    <m/>
    <s v="NA"/>
    <s v="NA"/>
    <m/>
    <m/>
    <m/>
    <m/>
    <n v="0"/>
    <n v="0"/>
    <n v="0"/>
    <n v="0"/>
    <n v="0"/>
    <n v="0"/>
    <n v="0"/>
    <m/>
    <s v="No idea what food is! "/>
    <m/>
    <m/>
  </r>
  <r>
    <s v="DSCN1118"/>
    <s v="CC0926_3"/>
    <n v="3"/>
    <n v="1"/>
    <x v="4"/>
    <d v="2018-09-26T00:00:00"/>
    <s v="September"/>
    <s v="Fall"/>
    <d v="1899-12-30T01:10:00"/>
    <d v="1899-12-30T00:01:10"/>
    <x v="122"/>
    <s v="Overcast"/>
    <x v="46"/>
    <s v="Caching"/>
    <s v="Spruce, Aspen"/>
    <n v="0"/>
    <m/>
    <n v="2"/>
    <s v="Unknown"/>
    <s v="Unknown"/>
    <s v="unknown"/>
    <s v="Exterior aspen branch under bark "/>
    <s v="Aspen"/>
    <s v="Exterior"/>
    <s v="Under bark"/>
    <m/>
    <m/>
    <s v="unknown"/>
    <n v="63.724490000000003"/>
    <n v="148.95013"/>
    <m/>
    <m/>
    <m/>
    <n v="0"/>
    <n v="0"/>
    <n v="0"/>
    <n v="0"/>
    <n v="0"/>
    <n v="0"/>
    <n v="0"/>
    <m/>
    <s v="Great cache video, especially at 0:43"/>
    <m/>
    <m/>
  </r>
  <r>
    <s v="DSCN1118"/>
    <s v="CC0926_3"/>
    <n v="3"/>
    <n v="2"/>
    <x v="4"/>
    <d v="2018-09-26T00:00:00"/>
    <s v="September"/>
    <s v="Fall"/>
    <d v="1899-12-30T01:10:00"/>
    <d v="1899-12-30T00:01:10"/>
    <x v="122"/>
    <s v="Overcast"/>
    <x v="46"/>
    <s v="Caching"/>
    <s v="Spruce, Aspen"/>
    <n v="0"/>
    <m/>
    <n v="1"/>
    <s v="Unknown"/>
    <s v="Unknown"/>
    <s v="unknown"/>
    <s v="Exterior aspen branch under bark "/>
    <s v="Aspen"/>
    <s v="Exterior"/>
    <s v="Branch under bark"/>
    <m/>
    <m/>
    <s v="unknown"/>
    <n v="63.724469999999997"/>
    <n v="148.95013"/>
    <m/>
    <m/>
    <m/>
    <n v="0"/>
    <n v="0"/>
    <n v="0"/>
    <n v="0"/>
    <n v="0"/>
    <n v="0"/>
    <n v="0"/>
    <m/>
    <s v="Great cache video, especially at 0:43"/>
    <m/>
    <m/>
  </r>
  <r>
    <s v="DSCN1118"/>
    <s v="CC0926_3"/>
    <n v="3"/>
    <n v="3"/>
    <x v="4"/>
    <d v="2018-09-26T00:00:00"/>
    <s v="September"/>
    <s v="Fall"/>
    <d v="1899-12-30T01:10:00"/>
    <d v="1899-12-30T00:01:10"/>
    <x v="122"/>
    <s v="Overcast"/>
    <x v="46"/>
    <s v="Caching"/>
    <s v="Spruce, Aspen"/>
    <n v="0"/>
    <m/>
    <n v="1"/>
    <s v="Unknown"/>
    <s v="Unknown"/>
    <s v="unknown"/>
    <s v="Exterior spruce foliage"/>
    <s v="Spruce"/>
    <s v="Exterior"/>
    <s v="Foliage"/>
    <m/>
    <m/>
    <s v="unknown"/>
    <n v="63.724350000000001"/>
    <n v="148.95016000000001"/>
    <m/>
    <m/>
    <m/>
    <n v="0"/>
    <n v="0"/>
    <n v="0"/>
    <n v="0"/>
    <n v="0"/>
    <n v="0"/>
    <n v="0"/>
    <m/>
    <s v="Great cache video, especially at 0:43"/>
    <m/>
    <m/>
  </r>
  <r>
    <s v="DSCN1121"/>
    <s v="CC0926_4"/>
    <n v="4"/>
    <n v="1"/>
    <x v="4"/>
    <d v="2018-09-26T00:00:00"/>
    <s v="September"/>
    <s v="Fall"/>
    <d v="1899-12-30T00:07:00"/>
    <d v="1899-12-30T00:00:07"/>
    <x v="122"/>
    <s v="Overcast"/>
    <x v="46"/>
    <s v="Caching"/>
    <s v="Aspen"/>
    <n v="0"/>
    <m/>
    <n v="1"/>
    <s v="Unknown"/>
    <s v="Unknown"/>
    <s v="ground"/>
    <s v="Aspen trunk"/>
    <s v="Aspen"/>
    <s v="Trunk"/>
    <s v="On bark"/>
    <m/>
    <m/>
    <n v="25"/>
    <n v="63.724290000000003"/>
    <n v="148.94922"/>
    <m/>
    <m/>
    <m/>
    <n v="0"/>
    <n v="0"/>
    <n v="0"/>
    <n v="0"/>
    <n v="0"/>
    <n v="0"/>
    <n v="0"/>
    <m/>
    <s v="Checked and could see cache! Later put camera on cache tree. "/>
    <m/>
    <m/>
  </r>
  <r>
    <s v="DSN0725"/>
    <s v="CC0914_1"/>
    <n v="1"/>
    <n v="1"/>
    <x v="4"/>
    <d v="2018-09-14T00:00:00"/>
    <s v="September"/>
    <s v="Fall"/>
    <d v="1899-12-30T00:21:00"/>
    <d v="1899-12-30T00:00:21"/>
    <x v="122"/>
    <s v="Mostly sunny"/>
    <x v="46"/>
    <s v="Food handling"/>
    <s v="Spruce"/>
    <n v="1"/>
    <m/>
    <n v="0"/>
    <s v="Unknown"/>
    <s v="Unknown"/>
    <s v="unknown"/>
    <s v="NA"/>
    <s v="NA"/>
    <s v="NA"/>
    <s v="NA"/>
    <m/>
    <m/>
    <s v="NA"/>
    <s v="NA"/>
    <m/>
    <m/>
    <m/>
    <m/>
    <n v="2"/>
    <n v="0"/>
    <n v="2"/>
    <n v="0"/>
    <n v="0"/>
    <n v="0"/>
    <n v="2"/>
    <m/>
    <s v="A little unclear from video if it was eating food it already had or foraging for more…"/>
    <m/>
    <m/>
  </r>
  <r>
    <s v="DSCN0593"/>
    <s v="RC0911_4"/>
    <n v="4"/>
    <n v="1"/>
    <x v="10"/>
    <d v="2018-09-11T00:00:00"/>
    <s v="September"/>
    <s v="Fall"/>
    <d v="1899-12-30T00:24:00"/>
    <d v="1899-12-30T00:00:24"/>
    <x v="122"/>
    <s v="Full sun"/>
    <x v="47"/>
    <s v="Caching"/>
    <s v="Spruce"/>
    <n v="0"/>
    <m/>
    <n v="1"/>
    <s v="Unknown"/>
    <s v="Unknown"/>
    <s v="NA"/>
    <s v="Interior spruce foliage "/>
    <s v="Spruce"/>
    <s v="Interior"/>
    <s v="Foliage"/>
    <m/>
    <m/>
    <s v="Unknown"/>
    <n v="63.722520000000003"/>
    <n v="148.95984000000001"/>
    <m/>
    <m/>
    <m/>
    <n v="0"/>
    <n v="0"/>
    <n v="0"/>
    <n v="0"/>
    <n v="0"/>
    <n v="0"/>
    <n v="0"/>
    <m/>
    <s v="Cached food item seen eating in RC0911_3 in a separate tree. "/>
    <m/>
    <m/>
  </r>
  <r>
    <s v="DSCN0220"/>
    <s v="M3.50903_1"/>
    <n v="1"/>
    <n v="1"/>
    <x v="11"/>
    <d v="2018-09-03T00:00:00"/>
    <s v="September"/>
    <s v="Fall"/>
    <d v="1899-12-30T01:02:00"/>
    <d v="1899-12-30T00:01:02"/>
    <x v="122"/>
    <m/>
    <x v="7"/>
    <s v="Foraging/caching"/>
    <s v="Spruce"/>
    <n v="1"/>
    <m/>
    <n v="1"/>
    <s v="Berry"/>
    <s v="Berry"/>
    <s v="Ground"/>
    <s v="Interior spruce branch/witch hair moss"/>
    <s v="Spruce"/>
    <s v="Interior"/>
    <s v="Under bark and witch hair "/>
    <m/>
    <m/>
    <s v="Unknown"/>
    <n v="63.722920000000002"/>
    <n v="148.98212000000001"/>
    <m/>
    <m/>
    <m/>
    <n v="0"/>
    <n v="0"/>
    <n v="0"/>
    <n v="0"/>
    <n v="7"/>
    <n v="0"/>
    <n v="7"/>
    <m/>
    <s v="Suspected B&amp;Ut unconfirmed cache"/>
    <n v="0"/>
    <n v="0"/>
  </r>
  <r>
    <s v="DSCN0280"/>
    <s v="M4R0905_1"/>
    <n v="1"/>
    <n v="1"/>
    <x v="6"/>
    <d v="2018-09-05T00:00:00"/>
    <s v="September"/>
    <s v="Fall"/>
    <d v="1899-12-30T00:55:00"/>
    <d v="1899-12-30T00:00:55"/>
    <x v="122"/>
    <s v="Partly Sunny"/>
    <x v="7"/>
    <s v="Foraging"/>
    <s v="NA"/>
    <n v="1"/>
    <m/>
    <n v="0"/>
    <s v="Berry"/>
    <s v="Berry (Blueberry)"/>
    <s v="Ground"/>
    <s v="NA"/>
    <s v="NA"/>
    <s v="NA"/>
    <s v="NA"/>
    <m/>
    <m/>
    <s v="NA"/>
    <s v="NA"/>
    <m/>
    <m/>
    <m/>
    <m/>
    <n v="0"/>
    <n v="0"/>
    <n v="0"/>
    <n v="0"/>
    <n v="63"/>
    <n v="0"/>
    <n v="63"/>
    <s v="Searching "/>
    <m/>
    <m/>
    <m/>
  </r>
  <r>
    <s v="DSCN0280"/>
    <s v="M4R0905_1"/>
    <n v="1"/>
    <n v="2"/>
    <x v="6"/>
    <d v="2018-09-05T00:00:00"/>
    <s v="September"/>
    <s v="Fall"/>
    <d v="1899-12-30T00:55:00"/>
    <d v="1899-12-30T00:00:55"/>
    <x v="122"/>
    <s v="Partly Sunny"/>
    <x v="7"/>
    <s v="Foraging"/>
    <s v="NA"/>
    <n v="1"/>
    <m/>
    <n v="0"/>
    <s v="Insect"/>
    <s v="Insect (caterpillar)"/>
    <s v="Ground"/>
    <s v="NA"/>
    <s v="NA"/>
    <s v="NA"/>
    <s v="NA"/>
    <m/>
    <m/>
    <s v="NA"/>
    <s v="NA"/>
    <m/>
    <m/>
    <m/>
    <m/>
    <n v="0"/>
    <n v="0"/>
    <n v="0"/>
    <n v="0"/>
    <n v="0"/>
    <n v="0"/>
    <n v="0"/>
    <s v="Searching "/>
    <m/>
    <m/>
    <m/>
  </r>
  <r>
    <s v="DSCN0281"/>
    <s v="M4R0905_2"/>
    <n v="2"/>
    <n v="1"/>
    <x v="6"/>
    <d v="2018-09-05T00:00:00"/>
    <s v="September"/>
    <s v="Fall"/>
    <d v="1899-12-30T01:46:00"/>
    <d v="1899-12-30T00:01:46"/>
    <x v="122"/>
    <s v="Partly Sunny"/>
    <x v="7"/>
    <s v="Foraging"/>
    <s v="Spruce"/>
    <n v="1"/>
    <m/>
    <n v="0"/>
    <s v="Unknown"/>
    <s v="Unknown"/>
    <s v="Spruce exterior foliage"/>
    <s v="NA"/>
    <s v="NA"/>
    <s v="NA"/>
    <s v="NA"/>
    <m/>
    <m/>
    <s v="Unknown"/>
    <s v="NA"/>
    <m/>
    <m/>
    <m/>
    <m/>
    <n v="0"/>
    <n v="6"/>
    <n v="0"/>
    <n v="6"/>
    <n v="0"/>
    <n v="0"/>
    <n v="6"/>
    <m/>
    <s v="Decent cache video"/>
    <m/>
    <m/>
  </r>
  <r>
    <s v="DSCN0284"/>
    <s v="M4R0905_3"/>
    <n v="3"/>
    <n v="1"/>
    <x v="6"/>
    <d v="2018-09-05T00:00:00"/>
    <s v="September"/>
    <s v="Fall"/>
    <d v="1899-12-30T00:14:00"/>
    <d v="1899-12-30T00:00:14"/>
    <x v="122"/>
    <s v="Partly Sunny"/>
    <x v="7"/>
    <s v="Foraging"/>
    <s v="NA"/>
    <n v="1"/>
    <m/>
    <n v="0"/>
    <s v="Insect"/>
    <s v="Insect (caterpillar)"/>
    <s v="Ground"/>
    <s v="NA"/>
    <s v="NA"/>
    <s v="NA"/>
    <s v="NA"/>
    <m/>
    <m/>
    <s v="NA"/>
    <s v="NA"/>
    <m/>
    <m/>
    <m/>
    <m/>
    <n v="0"/>
    <n v="0"/>
    <n v="0"/>
    <n v="0"/>
    <n v="0"/>
    <n v="0"/>
    <n v="0"/>
    <m/>
    <s v="Missed foraging on film "/>
    <m/>
    <m/>
  </r>
  <r>
    <s v="DSCN0559"/>
    <s v="M4R0909_1"/>
    <n v="1"/>
    <n v="1"/>
    <x v="6"/>
    <d v="2018-09-09T00:00:00"/>
    <s v="September"/>
    <s v="Fall"/>
    <d v="1899-12-30T00:14:00"/>
    <d v="1899-12-30T00:00:14"/>
    <x v="122"/>
    <s v="Full sun"/>
    <x v="7"/>
    <s v="Foraging"/>
    <s v="Alder"/>
    <n v="2"/>
    <m/>
    <n v="0"/>
    <s v="Unknown"/>
    <s v="Unknown"/>
    <s v="Alder branch"/>
    <s v="NA"/>
    <s v="NA"/>
    <s v="NA"/>
    <s v="NA"/>
    <m/>
    <m/>
    <s v="NA"/>
    <s v="NA"/>
    <m/>
    <m/>
    <m/>
    <m/>
    <n v="11"/>
    <n v="0"/>
    <n v="0"/>
    <n v="11"/>
    <n v="0"/>
    <n v="0"/>
    <n v="11"/>
    <m/>
    <s v="First food acquisition is not on film.  "/>
    <m/>
    <m/>
  </r>
  <r>
    <s v="DSCN0692"/>
    <s v="M4R0914_1"/>
    <n v="1"/>
    <n v="1"/>
    <x v="6"/>
    <d v="2018-09-14T00:00:00"/>
    <s v="September"/>
    <s v="Fall"/>
    <d v="1899-12-30T00:50:00"/>
    <d v="1899-12-30T00:00:50"/>
    <x v="122"/>
    <s v="Mostly sunny"/>
    <x v="7"/>
    <s v="Caching"/>
    <s v="Spruce"/>
    <n v="1"/>
    <m/>
    <n v="2"/>
    <s v="Unknown"/>
    <s v="Unknown"/>
    <s v="Interior top of spruce tree"/>
    <s v="Interior bare spruce branch under bark/witch hair"/>
    <s v="Spruce"/>
    <s v="Interior"/>
    <s v="Under bark and witch hair "/>
    <m/>
    <m/>
    <s v="unknown"/>
    <n v="63.720970000000001"/>
    <n v="148.98309"/>
    <m/>
    <m/>
    <m/>
    <n v="0"/>
    <n v="0"/>
    <n v="0"/>
    <n v="0"/>
    <n v="0"/>
    <n v="0"/>
    <n v="0"/>
    <m/>
    <s v="Food acquisition not captured on film B&amp;Ut observed beforhand by KS.  "/>
    <m/>
    <m/>
  </r>
  <r>
    <s v="DSCN0702"/>
    <s v="M4R0914_3"/>
    <n v="3"/>
    <n v="1"/>
    <x v="6"/>
    <d v="2018-09-14T00:00:00"/>
    <s v="September"/>
    <s v="Fall"/>
    <d v="1899-12-30T00:26:00"/>
    <d v="1899-12-30T00:00:26"/>
    <x v="122"/>
    <s v="Mostly sunny"/>
    <x v="7"/>
    <s v="Caching"/>
    <s v="Spruce"/>
    <n v="0"/>
    <m/>
    <n v="1"/>
    <s v="Unknown"/>
    <s v="Unknown"/>
    <s v="NA"/>
    <s v="Exterior spruce branch under bark/witch hair"/>
    <s v="Spruce"/>
    <s v="Exterior"/>
    <s v="Under bark and witch hair "/>
    <m/>
    <m/>
    <s v="unknown"/>
    <n v="63.722270000000002"/>
    <n v="148.98532"/>
    <m/>
    <m/>
    <m/>
    <n v="0"/>
    <n v="0"/>
    <n v="0"/>
    <n v="0"/>
    <n v="0"/>
    <n v="0"/>
    <n v="0"/>
    <m/>
    <m/>
    <m/>
    <m/>
  </r>
  <r>
    <s v="DSCN0711"/>
    <s v="M4R0914_5"/>
    <n v="5"/>
    <n v="1"/>
    <x v="6"/>
    <d v="2018-09-14T00:00:00"/>
    <s v="September"/>
    <s v="Fall"/>
    <d v="1899-12-30T00:21:00"/>
    <d v="1899-12-30T00:00:21"/>
    <x v="122"/>
    <s v="Mostly sunny"/>
    <x v="7"/>
    <s v="Unknown"/>
    <s v="Spruce"/>
    <s v="unknown"/>
    <m/>
    <s v="Unknown"/>
    <s v="Unknown"/>
    <s v="Unknown"/>
    <s v="unknown"/>
    <s v="NA"/>
    <m/>
    <m/>
    <m/>
    <m/>
    <m/>
    <s v="NA"/>
    <s v="NA"/>
    <m/>
    <m/>
    <m/>
    <m/>
    <n v="0"/>
    <n v="0"/>
    <n v="0"/>
    <n v="0"/>
    <n v="0"/>
    <n v="0"/>
    <n v="0"/>
    <m/>
    <s v="Unclear if foraging or caching.  Check with jay crew. "/>
    <m/>
    <m/>
  </r>
  <r>
    <s v="DSCN0715"/>
    <s v="M4R0914_6"/>
    <n v="6"/>
    <n v="1"/>
    <x v="6"/>
    <d v="2018-09-14T00:00:00"/>
    <s v="September"/>
    <s v="Fall"/>
    <d v="1899-12-30T00:24:00"/>
    <d v="1899-12-30T00:00:24"/>
    <x v="122"/>
    <s v="Mostly sunny"/>
    <x v="7"/>
    <s v="Food handling"/>
    <s v="Spruce"/>
    <n v="1"/>
    <m/>
    <n v="0"/>
    <s v="Berry"/>
    <s v="Berry (blueberries_"/>
    <s v="unknown"/>
    <s v="NA"/>
    <s v="NA"/>
    <s v="NA"/>
    <s v="NA"/>
    <m/>
    <m/>
    <s v="NA"/>
    <s v="NA"/>
    <m/>
    <m/>
    <m/>
    <m/>
    <n v="0"/>
    <n v="0"/>
    <n v="0"/>
    <n v="0"/>
    <n v="0"/>
    <n v="0"/>
    <n v="0"/>
    <m/>
    <s v="Has two blueberries in the bill"/>
    <m/>
    <m/>
  </r>
  <r>
    <s v="DSCN0716"/>
    <s v="M4R0914_7"/>
    <n v="7"/>
    <n v="1"/>
    <x v="6"/>
    <d v="2018-09-14T00:00:00"/>
    <s v="September"/>
    <s v="Fall"/>
    <d v="1899-12-30T00:37:00"/>
    <d v="1899-12-30T00:00:37"/>
    <x v="122"/>
    <s v="Mostly sunny"/>
    <x v="7"/>
    <s v="Foraging"/>
    <s v="NA"/>
    <n v="2"/>
    <m/>
    <s v="Unknown"/>
    <s v="Berry"/>
    <s v="Berry (Blueberry)"/>
    <s v="Ground"/>
    <s v="NA"/>
    <m/>
    <m/>
    <m/>
    <m/>
    <m/>
    <s v="NA"/>
    <s v="NA"/>
    <m/>
    <m/>
    <m/>
    <m/>
    <n v="0"/>
    <n v="0"/>
    <n v="0"/>
    <n v="0"/>
    <n v="10"/>
    <n v="0"/>
    <n v="10"/>
    <m/>
    <s v="DL witnessed it picking up 4 berries.  We orignially marked it as caching B&amp;Ut upon review of the video we decided there was't sufficient evidence of this.  "/>
    <m/>
    <m/>
  </r>
  <r>
    <s v="DSCN0721"/>
    <s v="M4R0914_8"/>
    <n v="8"/>
    <n v="1"/>
    <x v="6"/>
    <d v="2018-09-14T00:00:00"/>
    <s v="September"/>
    <s v="Fall"/>
    <d v="1899-12-30T00:11:00"/>
    <d v="1899-12-30T00:00:11"/>
    <x v="122"/>
    <s v="Mostly sunny"/>
    <x v="7"/>
    <s v="Foraging"/>
    <s v="Spruce"/>
    <s v="unknown"/>
    <m/>
    <n v="0"/>
    <m/>
    <s v="NA"/>
    <s v="NA"/>
    <s v="NA"/>
    <s v="NA"/>
    <s v="NA"/>
    <s v="NA"/>
    <m/>
    <m/>
    <s v="NA"/>
    <s v="NA"/>
    <m/>
    <m/>
    <m/>
    <m/>
    <n v="10"/>
    <n v="0"/>
    <n v="10"/>
    <n v="0"/>
    <n v="0"/>
    <n v="0"/>
    <n v="10"/>
    <s v="Unclear from video…too blurry"/>
    <m/>
    <m/>
    <m/>
  </r>
  <r>
    <s v="DSCN0722"/>
    <s v="M4R0914_9"/>
    <n v="9"/>
    <n v="1"/>
    <x v="6"/>
    <d v="2018-09-14T00:00:00"/>
    <s v="September"/>
    <s v="Fall"/>
    <d v="1899-12-30T00:29:00"/>
    <d v="1899-12-30T00:00:29"/>
    <x v="122"/>
    <s v="Mostly sunny"/>
    <x v="7"/>
    <s v="Foraging"/>
    <s v="NA"/>
    <n v="0"/>
    <m/>
    <n v="0"/>
    <m/>
    <s v="NA"/>
    <s v="NA"/>
    <s v="NA"/>
    <s v="NA"/>
    <s v="NA"/>
    <s v="NA"/>
    <m/>
    <m/>
    <s v="NA"/>
    <s v="NA"/>
    <m/>
    <m/>
    <m/>
    <m/>
    <n v="0"/>
    <n v="0"/>
    <n v="0"/>
    <n v="0"/>
    <n v="9"/>
    <n v="0"/>
    <n v="9"/>
    <m/>
    <m/>
    <m/>
    <m/>
  </r>
  <r>
    <s v="DSCN0810"/>
    <s v="M4R0916_1"/>
    <n v="1"/>
    <n v="1"/>
    <x v="6"/>
    <d v="2018-09-16T00:00:00"/>
    <s v="September"/>
    <s v="Fall"/>
    <d v="1899-12-30T00:47:00"/>
    <d v="1899-12-30T00:00:47"/>
    <x v="122"/>
    <s v="Overcast"/>
    <x v="7"/>
    <s v="Foraging"/>
    <s v="Spruce"/>
    <s v="unknown"/>
    <m/>
    <n v="0"/>
    <s v="Unknown"/>
    <s v="Unknown"/>
    <s v="NA"/>
    <s v="NA"/>
    <s v="NA"/>
    <s v="NA"/>
    <s v="NA"/>
    <m/>
    <m/>
    <s v="NA"/>
    <s v="NA"/>
    <m/>
    <m/>
    <m/>
    <m/>
    <n v="13"/>
    <n v="0"/>
    <n v="13"/>
    <n v="0"/>
    <n v="0"/>
    <n v="0"/>
    <n v="13"/>
    <s v="Too blocked to tell"/>
    <m/>
    <m/>
    <m/>
  </r>
  <r>
    <s v="DSCN0811"/>
    <s v="M4R0916_2"/>
    <n v="2"/>
    <n v="1"/>
    <x v="6"/>
    <d v="2018-09-16T00:00:00"/>
    <s v="September"/>
    <s v="Fall"/>
    <d v="1899-12-30T00:28:00"/>
    <d v="1899-12-30T00:00:28"/>
    <x v="122"/>
    <s v="Overcast"/>
    <x v="7"/>
    <s v="Foraging/caching"/>
    <s v="Spruce"/>
    <n v="1"/>
    <m/>
    <n v="1"/>
    <s v="Unknown"/>
    <s v="Unknown"/>
    <s v="Exterior foliated spruce"/>
    <s v="Exterior bare spruce branch"/>
    <s v="Spruce"/>
    <s v="Exterior"/>
    <s v="Branch"/>
    <m/>
    <m/>
    <s v="Unknown"/>
    <n v="63.722729999999999"/>
    <n v="148.98305999999999"/>
    <m/>
    <m/>
    <m/>
    <n v="0"/>
    <n v="0"/>
    <n v="0"/>
    <n v="0"/>
    <n v="0"/>
    <n v="0"/>
    <n v="0"/>
    <m/>
    <s v="Only got food acquisition on tape, not foraging.  "/>
    <m/>
    <m/>
  </r>
  <r>
    <s v="DSCN0821"/>
    <s v="M4R0916_4"/>
    <n v="4"/>
    <n v="1"/>
    <x v="6"/>
    <d v="2018-09-16T00:00:00"/>
    <s v="September"/>
    <s v="Fall"/>
    <d v="1899-12-30T00:31:00"/>
    <d v="1899-12-30T00:00:31"/>
    <x v="122"/>
    <s v="Overcast"/>
    <x v="7"/>
    <s v="Foraging/caching"/>
    <s v="Spruce"/>
    <n v="0"/>
    <m/>
    <n v="1"/>
    <s v="Unknown"/>
    <s v="Unknown"/>
    <s v="unknown"/>
    <s v="Interior bare spruce branch under bark"/>
    <s v="Spruce"/>
    <s v="Interior"/>
    <s v="Under bark"/>
    <m/>
    <m/>
    <s v="Unknown"/>
    <n v="63.721499999999999"/>
    <n v="148.98752999999999"/>
    <m/>
    <m/>
    <m/>
    <n v="23"/>
    <n v="0"/>
    <n v="23"/>
    <n v="0"/>
    <n v="0"/>
    <n v="0"/>
    <n v="23"/>
    <m/>
    <s v="*Possible it was looking to cache rather than foraging.  "/>
    <m/>
    <m/>
  </r>
  <r>
    <s v="DSCN0822"/>
    <s v="M4R0916_5"/>
    <n v="5"/>
    <n v="1"/>
    <x v="6"/>
    <d v="2018-09-16T00:00:00"/>
    <s v="September"/>
    <s v="Fall"/>
    <d v="1899-12-30T00:11:00"/>
    <d v="1899-12-30T00:00:11"/>
    <x v="122"/>
    <s v="Overcast"/>
    <x v="7"/>
    <s v="Foraging"/>
    <s v="Spruce"/>
    <n v="1"/>
    <m/>
    <n v="0"/>
    <s v="Unknown"/>
    <s v="Unknown"/>
    <s v="Exterior foliated spruce"/>
    <s v="NA"/>
    <s v="NA"/>
    <s v="NA"/>
    <s v="NA"/>
    <m/>
    <m/>
    <s v="NA"/>
    <s v="NA"/>
    <m/>
    <m/>
    <m/>
    <m/>
    <n v="0"/>
    <n v="0"/>
    <n v="0"/>
    <n v="0"/>
    <n v="0"/>
    <n v="0"/>
    <n v="0"/>
    <m/>
    <s v="Continuation from previous video.  "/>
    <m/>
    <m/>
  </r>
  <r>
    <s v="DSCN0929"/>
    <s v="M4R0919_1"/>
    <n v="1"/>
    <n v="1"/>
    <x v="6"/>
    <d v="2018-09-19T00:00:00"/>
    <s v="September"/>
    <s v="Fall"/>
    <d v="1899-12-30T01:03:00"/>
    <d v="1899-12-30T00:01:03"/>
    <x v="122"/>
    <m/>
    <x v="7"/>
    <s v="Foraging"/>
    <s v="Spruce"/>
    <n v="1"/>
    <m/>
    <n v="0"/>
    <s v="Unknown"/>
    <s v="Unknown"/>
    <s v="Spruce trunk"/>
    <s v="NA"/>
    <s v="NA"/>
    <s v="NA"/>
    <s v="NA"/>
    <m/>
    <m/>
    <s v="NA"/>
    <s v="NA"/>
    <m/>
    <m/>
    <m/>
    <m/>
    <n v="29"/>
    <n v="0"/>
    <n v="29"/>
    <n v="0"/>
    <n v="22"/>
    <n v="0"/>
    <n v="51"/>
    <m/>
    <m/>
    <m/>
    <m/>
  </r>
  <r>
    <s v="DSCN0932"/>
    <s v="M4R0919_2"/>
    <n v="2"/>
    <n v="1"/>
    <x v="6"/>
    <d v="2018-09-19T00:00:00"/>
    <s v="September"/>
    <s v="Fall"/>
    <d v="1899-12-30T00:26:00"/>
    <d v="1899-12-30T00:00:26"/>
    <x v="122"/>
    <m/>
    <x v="7"/>
    <s v="Foraging"/>
    <s v="NA"/>
    <n v="1"/>
    <m/>
    <n v="0"/>
    <s v="Unknown"/>
    <s v="Unknown"/>
    <s v="Ground"/>
    <s v="NA"/>
    <s v="NA"/>
    <s v="NA"/>
    <s v="NA"/>
    <m/>
    <m/>
    <s v="NA"/>
    <s v="NA"/>
    <m/>
    <m/>
    <m/>
    <m/>
    <n v="0"/>
    <n v="0"/>
    <n v="0"/>
    <n v="0"/>
    <n v="3"/>
    <n v="0"/>
    <n v="3"/>
    <s v="Searching"/>
    <m/>
    <m/>
    <m/>
  </r>
  <r>
    <s v="DSCN0934"/>
    <s v="M4R0919_3"/>
    <n v="3"/>
    <n v="1"/>
    <x v="6"/>
    <d v="2018-09-19T00:00:00"/>
    <s v="September"/>
    <s v="Fall"/>
    <d v="1899-12-30T00:11:00"/>
    <d v="1899-12-30T00:00:11"/>
    <x v="122"/>
    <m/>
    <x v="7"/>
    <s v="Foraging"/>
    <s v="NA"/>
    <n v="1"/>
    <m/>
    <n v="0"/>
    <s v="Insect"/>
    <s v="Insect (caterpillar or worm)"/>
    <s v="Ground"/>
    <s v="NA"/>
    <s v="NA"/>
    <s v="NA"/>
    <s v="NA"/>
    <m/>
    <m/>
    <s v="NA"/>
    <s v="NA"/>
    <m/>
    <m/>
    <m/>
    <m/>
    <n v="0"/>
    <n v="0"/>
    <n v="0"/>
    <n v="0"/>
    <n v="11"/>
    <n v="0"/>
    <n v="11"/>
    <m/>
    <s v="Flew to ground and got it immediately "/>
    <m/>
    <m/>
  </r>
  <r>
    <s v="DSCN1173"/>
    <s v="M4R0927_1"/>
    <n v="1"/>
    <n v="1"/>
    <x v="6"/>
    <d v="2018-09-27T00:00:00"/>
    <s v="September"/>
    <s v="Fall"/>
    <d v="1899-12-30T00:25:00"/>
    <d v="1899-12-30T00:00:25"/>
    <x v="122"/>
    <s v="Overcast"/>
    <x v="7"/>
    <s v="Foraging/caching"/>
    <s v="Spruce"/>
    <n v="1"/>
    <m/>
    <n v="1"/>
    <s v="Unknown"/>
    <s v="Unknown"/>
    <s v="Spruce foliage"/>
    <s v="Exterior spruce foliage"/>
    <s v="Spruce"/>
    <s v="Exterior"/>
    <s v="Foliage"/>
    <m/>
    <m/>
    <n v="2"/>
    <n v="63.722810000000003"/>
    <n v="148.98181"/>
    <m/>
    <m/>
    <m/>
    <n v="0"/>
    <n v="0"/>
    <n v="0"/>
    <n v="0"/>
    <n v="0"/>
    <n v="0"/>
    <n v="0"/>
    <m/>
    <s v="Instantly picks food from branch "/>
    <m/>
    <m/>
  </r>
  <r>
    <s v="DSCN1174"/>
    <s v="M4R0927_2"/>
    <n v="2"/>
    <n v="1"/>
    <x v="6"/>
    <d v="2018-09-27T00:00:00"/>
    <s v="September"/>
    <s v="Fall"/>
    <d v="1899-12-30T00:13:00"/>
    <d v="1899-12-30T00:00:13"/>
    <x v="122"/>
    <s v="Overcast"/>
    <x v="7"/>
    <s v="Foraging"/>
    <s v="Spruce"/>
    <n v="1"/>
    <m/>
    <n v="0"/>
    <s v="Misc"/>
    <s v="Lichen?"/>
    <s v="Spruce branch"/>
    <s v="NA"/>
    <s v="NA"/>
    <s v="NA"/>
    <s v="NA"/>
    <m/>
    <m/>
    <s v="NA"/>
    <s v="NA"/>
    <m/>
    <m/>
    <m/>
    <m/>
    <n v="0"/>
    <n v="0"/>
    <n v="0"/>
    <n v="0"/>
    <n v="0"/>
    <n v="0"/>
    <n v="0"/>
    <m/>
    <m/>
    <m/>
    <m/>
  </r>
  <r>
    <s v="DSCN1176"/>
    <s v="M4R0927_3"/>
    <n v="3"/>
    <n v="1"/>
    <x v="6"/>
    <d v="2018-09-27T00:00:00"/>
    <s v="September"/>
    <s v="Fall"/>
    <d v="1899-12-30T00:23:00"/>
    <d v="1899-12-30T00:00:23"/>
    <x v="122"/>
    <s v="Overcast"/>
    <x v="7"/>
    <s v="Foraging"/>
    <s v="Spruce"/>
    <n v="1"/>
    <m/>
    <n v="0"/>
    <s v="Unknown"/>
    <s v="Unknown"/>
    <s v="Spruce trunk"/>
    <s v="NA"/>
    <s v="NA"/>
    <s v="NA"/>
    <s v="NA"/>
    <m/>
    <m/>
    <s v="NA"/>
    <s v="NA"/>
    <m/>
    <m/>
    <m/>
    <m/>
    <n v="18"/>
    <n v="0"/>
    <n v="18"/>
    <n v="0"/>
    <n v="0"/>
    <n v="0"/>
    <n v="18"/>
    <s v="Searching/probing"/>
    <m/>
    <n v="2"/>
    <n v="0"/>
  </r>
  <r>
    <s v="DSCN1177"/>
    <s v="M4R0917_4"/>
    <n v="4"/>
    <n v="1"/>
    <x v="6"/>
    <d v="2018-09-27T00:00:00"/>
    <s v="September"/>
    <s v="Fall"/>
    <d v="1899-12-30T00:14:00"/>
    <d v="1899-12-30T00:00:14"/>
    <x v="122"/>
    <s v="Overcast"/>
    <x v="7"/>
    <s v="Caching"/>
    <s v="Spruce"/>
    <n v="0"/>
    <m/>
    <n v="1"/>
    <s v="Unknown"/>
    <s v="Unknown"/>
    <s v="unknown"/>
    <s v="Exterior spruce foliage"/>
    <s v="Spruce"/>
    <s v="Exterior"/>
    <s v="Foliage"/>
    <m/>
    <m/>
    <s v="unknown"/>
    <n v="63.722810000000003"/>
    <n v="148.98215999999999"/>
    <m/>
    <m/>
    <m/>
    <n v="0"/>
    <n v="0"/>
    <n v="0"/>
    <n v="0"/>
    <n v="0"/>
    <n v="0"/>
    <n v="0"/>
    <m/>
    <s v="Unconfirmed B&amp;Ut suspected cache. "/>
    <m/>
    <m/>
  </r>
  <r>
    <s v="No video "/>
    <m/>
    <m/>
    <m/>
    <x v="6"/>
    <d v="2018-09-19T00:00:00"/>
    <s v="September"/>
    <s v="Fall"/>
    <m/>
    <m/>
    <x v="122"/>
    <m/>
    <x v="7"/>
    <s v="Caching"/>
    <s v="Spruce"/>
    <n v="0"/>
    <m/>
    <n v="1"/>
    <s v="Unknown"/>
    <s v="Unknown"/>
    <s v="unknown"/>
    <s v="Exterior spruce branch under bark/witch hair"/>
    <s v="Spruce"/>
    <s v="Exterior"/>
    <s v="Under bark and witch hair "/>
    <m/>
    <m/>
    <s v="Unknown"/>
    <n v="63.723179999999999"/>
    <n v="148.98204000000001"/>
    <m/>
    <m/>
    <m/>
    <n v="0"/>
    <n v="0"/>
    <n v="0"/>
    <n v="0"/>
    <n v="0"/>
    <n v="0"/>
    <n v="0"/>
    <m/>
    <s v="Observed by KS, TG,  B&amp;Ut not captured on video "/>
    <m/>
    <m/>
  </r>
  <r>
    <s v="DSCN1014"/>
    <s v="AQ0924_1"/>
    <n v="1"/>
    <n v="1"/>
    <x v="7"/>
    <d v="2018-09-24T00:00:00"/>
    <s v="September"/>
    <s v="Fall"/>
    <d v="1899-12-30T00:18:00"/>
    <d v="1899-12-30T00:00:18"/>
    <x v="122"/>
    <m/>
    <x v="8"/>
    <s v="Foraging"/>
    <s v="NA"/>
    <n v="1"/>
    <m/>
    <n v="0"/>
    <s v="Unknown"/>
    <s v="Unknown"/>
    <s v="Ground"/>
    <s v="NA"/>
    <s v="NA"/>
    <s v="NA"/>
    <s v="NA"/>
    <m/>
    <m/>
    <s v="NA"/>
    <s v="NA"/>
    <m/>
    <m/>
    <m/>
    <m/>
    <n v="0"/>
    <n v="0"/>
    <n v="0"/>
    <n v="0"/>
    <n v="15"/>
    <n v="0"/>
    <n v="15"/>
    <m/>
    <m/>
    <m/>
    <m/>
  </r>
  <r>
    <s v="DSCN1018"/>
    <s v="AQ0924_3"/>
    <n v="3"/>
    <n v="1"/>
    <x v="7"/>
    <d v="2018-09-24T00:00:00"/>
    <s v="September"/>
    <s v="Fall"/>
    <d v="1899-12-30T00:12:00"/>
    <d v="1899-12-30T00:00:12"/>
    <x v="122"/>
    <s v="Partly Sunny"/>
    <x v="8"/>
    <s v="Foraging"/>
    <s v="NA"/>
    <n v="1"/>
    <m/>
    <n v="0"/>
    <s v="Insect"/>
    <s v="Insect (caterpillar or worm)"/>
    <s v="Ground"/>
    <s v="NA"/>
    <s v="NA"/>
    <s v="NA"/>
    <s v="NA"/>
    <m/>
    <m/>
    <s v="NA"/>
    <s v="NA"/>
    <m/>
    <m/>
    <m/>
    <m/>
    <n v="0"/>
    <n v="0"/>
    <n v="0"/>
    <n v="0"/>
    <n v="8"/>
    <n v="0"/>
    <n v="8"/>
    <m/>
    <s v="Darted to ground and picked up B&amp;Ug. "/>
    <m/>
    <m/>
  </r>
  <r>
    <s v="DSCN1131"/>
    <s v="AQ0926_8"/>
    <n v="8"/>
    <n v="1"/>
    <x v="7"/>
    <d v="2018-09-26T00:00:00"/>
    <s v="September"/>
    <s v="Fall"/>
    <d v="1899-12-30T00:09:00"/>
    <d v="1899-12-30T00:00:09"/>
    <x v="122"/>
    <s v="Overcast"/>
    <x v="8"/>
    <s v="Caching"/>
    <s v="Spruce"/>
    <n v="0"/>
    <m/>
    <n v="1"/>
    <s v="Unknown"/>
    <s v="Unknown"/>
    <s v="Ground"/>
    <s v="interior spruce, maybe on trunk"/>
    <s v="Spruce"/>
    <s v="Interior"/>
    <s v="Branch under witch hair"/>
    <m/>
    <m/>
    <s v="unknown"/>
    <n v="63.721530000000001"/>
    <n v="148.96460999999999"/>
    <m/>
    <m/>
    <m/>
    <n v="0"/>
    <n v="0"/>
    <n v="0"/>
    <n v="0"/>
    <n v="0"/>
    <n v="0"/>
    <n v="0"/>
    <m/>
    <m/>
    <m/>
    <m/>
  </r>
  <r>
    <s v="DSCN1015"/>
    <s v="AQ0924_2"/>
    <n v="2"/>
    <n v="1"/>
    <x v="7"/>
    <d v="2018-09-24T00:00:00"/>
    <s v="September"/>
    <s v="Fall"/>
    <d v="1899-12-30T00:18:00"/>
    <d v="1899-12-30T00:00:18"/>
    <x v="122"/>
    <s v="Partly Sunny"/>
    <x v="9"/>
    <s v="Foraging"/>
    <s v="NA"/>
    <n v="1"/>
    <m/>
    <n v="0"/>
    <s v="Insect"/>
    <s v="Insect (caterpillar or worm)"/>
    <s v="Ground"/>
    <s v="NA"/>
    <s v="NA"/>
    <s v="NA"/>
    <s v="NA"/>
    <m/>
    <m/>
    <s v="NA"/>
    <s v="NA"/>
    <m/>
    <m/>
    <m/>
    <m/>
    <n v="0"/>
    <n v="0"/>
    <n v="0"/>
    <n v="0"/>
    <n v="18"/>
    <n v="0"/>
    <n v="18"/>
    <m/>
    <m/>
    <m/>
    <m/>
  </r>
  <r>
    <s v="DSCN1098"/>
    <s v="AQ0926_1"/>
    <n v="1"/>
    <n v="1"/>
    <x v="7"/>
    <d v="2018-09-26T00:00:00"/>
    <s v="September"/>
    <s v="Fall"/>
    <d v="1899-12-30T00:12:00"/>
    <d v="1899-12-30T00:00:12"/>
    <x v="122"/>
    <s v="Overcast"/>
    <x v="9"/>
    <s v="Foraging or caching"/>
    <s v="Spruce"/>
    <s v="unknown"/>
    <m/>
    <s v="Unknown"/>
    <s v="Unknown"/>
    <s v="Unknown"/>
    <s v="NA"/>
    <s v="NA"/>
    <m/>
    <m/>
    <m/>
    <m/>
    <m/>
    <s v="NA"/>
    <s v="NA"/>
    <m/>
    <m/>
    <m/>
    <m/>
    <n v="0"/>
    <n v="2"/>
    <n v="2"/>
    <n v="0"/>
    <n v="0"/>
    <n v="0"/>
    <n v="2"/>
    <m/>
    <m/>
    <m/>
    <m/>
  </r>
  <r>
    <s v="DSCN1100"/>
    <s v="AQ0926_3"/>
    <n v="3"/>
    <n v="1"/>
    <x v="7"/>
    <d v="2018-09-26T00:00:00"/>
    <s v="September"/>
    <s v="Fall"/>
    <d v="1899-12-30T00:46:00"/>
    <d v="1899-12-30T00:00:46"/>
    <x v="122"/>
    <s v="Overcast"/>
    <x v="9"/>
    <s v="Caching"/>
    <s v="Spruce"/>
    <n v="0"/>
    <m/>
    <n v="2"/>
    <s v="Unknown"/>
    <s v="Unknown"/>
    <s v="unknown"/>
    <s v="On spruce trunk enclosed by semi-dense foliage.  "/>
    <s v="Spruce"/>
    <s v="Trunk"/>
    <s v="Under bark"/>
    <m/>
    <m/>
    <s v="unknown"/>
    <n v="63.723379999999999"/>
    <n v="148.96933000000001"/>
    <m/>
    <m/>
    <m/>
    <n v="0"/>
    <n v="0"/>
    <n v="0"/>
    <n v="0"/>
    <n v="0"/>
    <n v="0"/>
    <n v="0"/>
    <m/>
    <m/>
    <m/>
    <m/>
  </r>
  <r>
    <s v="DSCN1101"/>
    <s v="AQ0926_4"/>
    <n v="4"/>
    <n v="1"/>
    <x v="7"/>
    <d v="2018-09-26T00:00:00"/>
    <s v="September"/>
    <s v="Fall"/>
    <d v="1899-12-30T01:46:00"/>
    <d v="1899-12-30T00:01:46"/>
    <x v="122"/>
    <s v="Overcast"/>
    <x v="9"/>
    <s v="Foraging"/>
    <s v="Spruce"/>
    <n v="2"/>
    <m/>
    <n v="0"/>
    <s v="Unknown"/>
    <s v="Unknown"/>
    <s v="interior spruce foliage "/>
    <s v="NA"/>
    <s v="NA"/>
    <s v="NA"/>
    <s v="NA"/>
    <m/>
    <m/>
    <s v="NA"/>
    <s v="NA"/>
    <m/>
    <m/>
    <m/>
    <m/>
    <n v="0"/>
    <n v="66"/>
    <n v="66"/>
    <n v="0"/>
    <n v="2"/>
    <n v="0"/>
    <n v="68"/>
    <m/>
    <m/>
    <m/>
    <m/>
  </r>
  <r>
    <s v="DSCN1102"/>
    <s v="AQ0926_5"/>
    <n v="5"/>
    <n v="1"/>
    <x v="7"/>
    <d v="2018-09-26T00:00:00"/>
    <s v="September"/>
    <s v="Fall"/>
    <d v="1899-12-30T01:45:00"/>
    <d v="1899-12-30T00:01:45"/>
    <x v="122"/>
    <s v="Overcast"/>
    <x v="9"/>
    <s v="Caching"/>
    <s v="Spruce"/>
    <n v="0"/>
    <m/>
    <n v="1"/>
    <s v="Unknown"/>
    <s v="Unknown"/>
    <s v="unknown"/>
    <s v="in top of stick sticking vertically from ground.  About 5ft high"/>
    <s v="Stick"/>
    <s v="Exterior"/>
    <s v="Branch"/>
    <m/>
    <m/>
    <s v="unknown"/>
    <n v="63.723199999999999"/>
    <n v="148.97024999999999"/>
    <m/>
    <m/>
    <m/>
    <n v="0"/>
    <n v="0"/>
    <n v="0"/>
    <n v="0"/>
    <n v="0"/>
    <n v="0"/>
    <n v="0"/>
    <m/>
    <s v="Put Camera on this cache site "/>
    <m/>
    <m/>
  </r>
  <r>
    <s v="DSCN1102"/>
    <s v="AQ0926_5"/>
    <n v="5"/>
    <n v="2"/>
    <x v="7"/>
    <d v="2018-09-26T00:00:00"/>
    <s v="September"/>
    <s v="Fall"/>
    <d v="1899-12-30T01:45:00"/>
    <d v="1899-12-30T00:01:45"/>
    <x v="122"/>
    <s v="Overcast"/>
    <x v="9"/>
    <s v="Caching"/>
    <s v="Spruce"/>
    <n v="0"/>
    <m/>
    <n v="1"/>
    <s v="Unknown"/>
    <s v="Unknown"/>
    <s v="unknown"/>
    <s v="Interior spruce bare branch under bark"/>
    <s v="Spruce"/>
    <s v="Interior"/>
    <s v="Branch under bark"/>
    <m/>
    <m/>
    <s v="unknown"/>
    <n v="63.723280000000003"/>
    <n v="148.97037"/>
    <m/>
    <m/>
    <m/>
    <n v="0"/>
    <n v="0"/>
    <n v="0"/>
    <n v="0"/>
    <n v="0"/>
    <n v="0"/>
    <n v="0"/>
    <m/>
    <s v="Put Camera on this cache site "/>
    <m/>
    <m/>
  </r>
  <r>
    <s v="DSCN1102"/>
    <s v="AQ0926_5"/>
    <n v="5"/>
    <n v="3"/>
    <x v="7"/>
    <d v="2018-09-26T00:00:00"/>
    <s v="September"/>
    <s v="Fall"/>
    <d v="1899-12-30T01:45:00"/>
    <d v="1899-12-30T00:01:45"/>
    <x v="122"/>
    <s v="Overcast"/>
    <x v="9"/>
    <s v="Caching"/>
    <s v="Spruce"/>
    <n v="0"/>
    <m/>
    <n v="2"/>
    <s v="Unknown"/>
    <s v="Unknown"/>
    <s v="unknown"/>
    <s v="Exterior bare branch under bark/which hair."/>
    <s v="Spruce"/>
    <s v="Exterior"/>
    <s v="Under bark and witch hair "/>
    <m/>
    <m/>
    <s v="unknown"/>
    <n v="63.723230000000001"/>
    <n v="148.97020000000001"/>
    <m/>
    <m/>
    <m/>
    <n v="0"/>
    <n v="0"/>
    <n v="0"/>
    <n v="0"/>
    <n v="0"/>
    <n v="0"/>
    <n v="0"/>
    <m/>
    <s v="Put Camera on this cache site "/>
    <m/>
    <m/>
  </r>
  <r>
    <s v="DSCN1128"/>
    <s v="AQ0926_6"/>
    <n v="6"/>
    <n v="1"/>
    <x v="7"/>
    <d v="2018-09-26T00:00:00"/>
    <s v="September"/>
    <s v="Fall"/>
    <d v="1899-12-30T00:13:00"/>
    <d v="1899-12-30T00:00:13"/>
    <x v="122"/>
    <s v="Overcast"/>
    <x v="9"/>
    <s v="Foraging"/>
    <s v="NA"/>
    <s v="unknown"/>
    <m/>
    <n v="0"/>
    <m/>
    <s v="NA"/>
    <s v="NA"/>
    <s v="NA"/>
    <s v="NA"/>
    <s v="NA"/>
    <s v="NA"/>
    <m/>
    <m/>
    <s v="NA"/>
    <s v="NA"/>
    <m/>
    <m/>
    <m/>
    <m/>
    <n v="0"/>
    <n v="0"/>
    <n v="0"/>
    <n v="0"/>
    <n v="13"/>
    <n v="0"/>
    <n v="13"/>
    <m/>
    <m/>
    <m/>
    <m/>
  </r>
  <r>
    <s v="DSCN1129"/>
    <s v="AQ0926_7"/>
    <n v="7"/>
    <n v="1"/>
    <x v="7"/>
    <d v="2018-09-26T00:00:00"/>
    <s v="September"/>
    <s v="Fall"/>
    <d v="1899-12-30T00:19:00"/>
    <d v="1899-12-30T00:00:19"/>
    <x v="122"/>
    <s v="Overcast"/>
    <x v="9"/>
    <s v="Foraging"/>
    <s v="NA"/>
    <n v="1"/>
    <m/>
    <n v="0"/>
    <s v="Unknown"/>
    <s v="Unknown"/>
    <s v="Ground"/>
    <s v="NA"/>
    <s v="NA"/>
    <s v="NA"/>
    <s v="NA"/>
    <m/>
    <m/>
    <s v="NA"/>
    <s v="NA"/>
    <m/>
    <m/>
    <m/>
    <m/>
    <n v="0"/>
    <n v="0"/>
    <n v="0"/>
    <n v="0"/>
    <n v="17"/>
    <n v="0"/>
    <n v="17"/>
    <m/>
    <m/>
    <m/>
    <m/>
  </r>
  <r>
    <s v="DSCN1133"/>
    <s v="AQ0926_9"/>
    <n v="9"/>
    <n v="1"/>
    <x v="7"/>
    <d v="2018-09-26T00:00:00"/>
    <s v="September"/>
    <s v="Fall"/>
    <d v="1899-12-30T01:40:00"/>
    <d v="1899-12-30T00:01:40"/>
    <x v="122"/>
    <s v="Overcast"/>
    <x v="9"/>
    <s v="Foraging"/>
    <s v="Spruce"/>
    <n v="1"/>
    <m/>
    <n v="2"/>
    <s v="Unknown"/>
    <s v="Unknown"/>
    <s v="Spruce foliage"/>
    <s v="Interior spruce bare branch/witches broom "/>
    <s v="Spruce"/>
    <s v="Interior"/>
    <s v="In mistoe"/>
    <m/>
    <m/>
    <n v="5"/>
    <n v="63.721490000000003"/>
    <n v="148.96460999999999"/>
    <m/>
    <m/>
    <m/>
    <n v="0"/>
    <n v="0"/>
    <n v="0"/>
    <n v="0"/>
    <n v="0"/>
    <n v="0"/>
    <n v="0"/>
    <m/>
    <m/>
    <m/>
    <m/>
  </r>
  <r>
    <s v="DSCN1134"/>
    <s v="AQ0926_10"/>
    <n v="10"/>
    <n v="1"/>
    <x v="7"/>
    <d v="2018-09-26T00:00:00"/>
    <s v="September"/>
    <s v="Fall"/>
    <d v="1899-12-30T00:21:00"/>
    <d v="1899-12-30T00:00:21"/>
    <x v="122"/>
    <s v="Overcast"/>
    <x v="9"/>
    <s v="Caching"/>
    <s v="Spruce"/>
    <n v="0"/>
    <m/>
    <n v="1"/>
    <s v="Unknown"/>
    <s v="Unknown"/>
    <s v="NA"/>
    <s v="Spruce trunk under bark"/>
    <s v="Spruce"/>
    <s v="Trunk"/>
    <s v="Under bark"/>
    <m/>
    <m/>
    <n v="8"/>
    <n v="63.721330000000002"/>
    <n v="148.96489"/>
    <m/>
    <m/>
    <m/>
    <n v="0"/>
    <n v="0"/>
    <n v="0"/>
    <n v="0"/>
    <n v="0"/>
    <n v="0"/>
    <n v="0"/>
    <m/>
    <s v="All the same food item as in previous video"/>
    <m/>
    <m/>
  </r>
  <r>
    <s v="DSCN0163"/>
    <s v="WW0903_2"/>
    <n v="2"/>
    <n v="1"/>
    <x v="0"/>
    <d v="2018-09-03T00:00:00"/>
    <s v="September"/>
    <s v="Fall"/>
    <d v="1899-12-30T07:01:00"/>
    <d v="1899-12-30T00:07:01"/>
    <x v="122"/>
    <m/>
    <x v="10"/>
    <s v="Foraging"/>
    <s v="Spruce, aspen, aspen, spruce"/>
    <n v="3"/>
    <m/>
    <n v="1"/>
    <s v="Animal flesh"/>
    <s v="Animal flesh (Snowshoe hare)"/>
    <s v="Cached snowshoe hare leg in tree"/>
    <s v="Exterior spruce branch under bark"/>
    <s v="Spruce"/>
    <s v="Exterior"/>
    <s v="Under bark"/>
    <m/>
    <m/>
    <n v="19"/>
    <n v="63.74004"/>
    <n v="148.90179000000001"/>
    <m/>
    <m/>
    <m/>
    <n v="0"/>
    <n v="0"/>
    <n v="0"/>
    <n v="0"/>
    <n v="0"/>
    <n v="0"/>
    <n v="0"/>
    <s v="Attending known food item"/>
    <s v="1:25+0:33+0:38 FOOD HANDLING. At one point breaks piece of bark off and shoves it under other bark like a cache. The last cache tree recorded is suspected B&amp;Ut unconfirmed. "/>
    <n v="0"/>
    <n v="0"/>
  </r>
  <r>
    <s v="DSCN0163"/>
    <s v="WW0903_2"/>
    <n v="2"/>
    <n v="2"/>
    <x v="0"/>
    <d v="2018-09-03T00:00:00"/>
    <s v="September"/>
    <s v="Fall"/>
    <d v="1899-12-30T07:01:00"/>
    <d v="1899-12-30T00:07:01"/>
    <x v="122"/>
    <m/>
    <x v="10"/>
    <s v="Food handling/caching"/>
    <s v="Spruce, aspen, aspen, spruce"/>
    <n v="0"/>
    <m/>
    <n v="1"/>
    <s v="Animal flesh"/>
    <s v="Animal flesh (Snowshoe hare)"/>
    <s v="Cached snowshoe hare leg in tree"/>
    <s v="Exterior Aspen branch under bark"/>
    <s v="Aspen"/>
    <s v="Exterior"/>
    <s v="Under bark"/>
    <m/>
    <m/>
    <n v="12"/>
    <n v="63.740020000000001"/>
    <n v="148.90156999999999"/>
    <m/>
    <m/>
    <m/>
    <n v="0"/>
    <n v="0"/>
    <n v="0"/>
    <n v="0"/>
    <n v="0"/>
    <n v="0"/>
    <n v="0"/>
    <m/>
    <s v="1:25+0:33+0:38 FOOD HANDLING. At one point breaks piece of bark off and shoves it under other bark like a cache. The last cache tree recorded is suspected B&amp;Ut unconfirmed. "/>
    <m/>
    <m/>
  </r>
  <r>
    <s v="DSCN0163"/>
    <s v="WW0903_2"/>
    <n v="2"/>
    <n v="3"/>
    <x v="0"/>
    <d v="2018-09-03T00:00:00"/>
    <s v="September"/>
    <s v="Fall"/>
    <d v="1899-12-30T07:01:00"/>
    <d v="1899-12-30T00:07:01"/>
    <x v="122"/>
    <m/>
    <x v="10"/>
    <s v="Food handling/caching"/>
    <s v="Spruce, aspen, aspen, spruce"/>
    <n v="0"/>
    <m/>
    <n v="1"/>
    <s v="Animal flesh"/>
    <s v="Animal flesh (Snowshoe hare)"/>
    <s v="Cached snowshoe hare leg in tree"/>
    <s v="Exterior willow branch under bark"/>
    <s v="Willow"/>
    <s v="Exterior"/>
    <s v="Under bark"/>
    <m/>
    <m/>
    <n v="2"/>
    <n v="63.739890000000003"/>
    <n v="148.9016"/>
    <m/>
    <m/>
    <m/>
    <n v="0"/>
    <n v="0"/>
    <n v="0"/>
    <n v="0"/>
    <n v="0"/>
    <n v="0"/>
    <n v="0"/>
    <m/>
    <s v="1:25+0:33+0:38 FOOD HANDLING. At one point breaks piece of bark off and shoves it under other bark like a cache. The last cache tree recorded is suspected B&amp;Ut unconfirmed. "/>
    <m/>
    <m/>
  </r>
  <r>
    <s v="DSCN0163"/>
    <s v="WW0903_2"/>
    <n v="2"/>
    <n v="4"/>
    <x v="0"/>
    <d v="2018-09-03T00:00:00"/>
    <s v="September"/>
    <s v="Fall"/>
    <d v="1899-12-30T07:01:00"/>
    <d v="1899-12-30T00:07:01"/>
    <x v="122"/>
    <m/>
    <x v="10"/>
    <s v="Food handling/caching"/>
    <s v="Spruce, aspen, aspen, spruce"/>
    <n v="0"/>
    <m/>
    <n v="1"/>
    <s v="Animal flesh"/>
    <s v="Animal flesh (Snowshoe hare)"/>
    <s v="Cached snowshoe hare leg in tree"/>
    <s v="Exterior spruce branch under bark"/>
    <s v="Spruce"/>
    <s v="Exterior"/>
    <s v="Under bark"/>
    <m/>
    <m/>
    <n v="29"/>
    <n v="63.740119999999997"/>
    <n v="148.90125"/>
    <m/>
    <m/>
    <m/>
    <n v="0"/>
    <n v="0"/>
    <n v="0"/>
    <n v="0"/>
    <n v="0"/>
    <n v="0"/>
    <n v="0"/>
    <m/>
    <s v="1:25+0:33+0:38 FOOD HANDLING. At one point breaks piece of bark off and shoves it under other bark like a cache. The last cache tree recorded is suspected B&amp;Ut unconfirmed. "/>
    <m/>
    <m/>
  </r>
  <r>
    <s v="DSCN0164"/>
    <s v="WW0903_3"/>
    <n v="3"/>
    <n v="1"/>
    <x v="0"/>
    <d v="2018-09-03T00:00:00"/>
    <s v="September"/>
    <s v="Fall"/>
    <d v="1899-12-30T00:41:00"/>
    <d v="1899-12-30T00:00:41"/>
    <x v="122"/>
    <m/>
    <x v="10"/>
    <s v="Foraging"/>
    <s v="NA"/>
    <n v="1"/>
    <m/>
    <n v="1"/>
    <s v="Berry"/>
    <s v="Berry (Blueberry)"/>
    <s v="Ground"/>
    <s v="Exterior spruce branch under bark/witch hair"/>
    <s v="Spruce"/>
    <s v="Exterior"/>
    <s v="Under bark and witch hair "/>
    <m/>
    <m/>
    <s v="Unknown"/>
    <s v="Did not mark (did not recognize as cache while in field)"/>
    <m/>
    <m/>
    <m/>
    <m/>
    <n v="0"/>
    <n v="0"/>
    <n v="0"/>
    <n v="0"/>
    <n v="10"/>
    <n v="0"/>
    <n v="10"/>
    <s v="Searching/attenting known food item"/>
    <s v="Cached blueberry.  Then went to feed from hare.16 at hare leg"/>
    <n v="0"/>
    <n v="0"/>
  </r>
  <r>
    <s v="DSCN0165"/>
    <s v="WW0903_4"/>
    <n v="4"/>
    <n v="1"/>
    <x v="0"/>
    <d v="2018-09-03T00:00:00"/>
    <s v="September"/>
    <s v="Fall"/>
    <d v="1899-12-30T00:51:00"/>
    <d v="1899-12-30T00:00:51"/>
    <x v="122"/>
    <m/>
    <x v="10"/>
    <s v="Foraging"/>
    <s v="Spruce"/>
    <n v="1"/>
    <m/>
    <n v="0"/>
    <s v="Animal flesh"/>
    <s v="Animal flesh (Snowshoe hare)"/>
    <s v="Cached snowshoe hare leg in tree"/>
    <s v="NA"/>
    <s v="NA"/>
    <s v="NA"/>
    <s v="NA"/>
    <m/>
    <m/>
    <s v="Unknown"/>
    <n v="63.739890000000003"/>
    <n v="148.90158"/>
    <m/>
    <m/>
    <m/>
    <n v="0"/>
    <n v="0"/>
    <n v="0"/>
    <n v="0"/>
    <n v="0"/>
    <n v="0"/>
    <n v="0"/>
    <s v="Attending known food item"/>
    <s v="GPS for hare tree. 30 SEC eating hare"/>
    <n v="0"/>
    <n v="0"/>
  </r>
  <r>
    <s v="DSCN0166"/>
    <s v="WW0903_5"/>
    <n v="5"/>
    <n v="1"/>
    <x v="0"/>
    <d v="2018-09-03T00:00:00"/>
    <s v="September"/>
    <s v="Fall"/>
    <d v="1899-12-30T00:41:00"/>
    <d v="1899-12-30T00:00:41"/>
    <x v="122"/>
    <m/>
    <x v="10"/>
    <s v="Foraging"/>
    <s v="Spruce"/>
    <n v="1"/>
    <m/>
    <n v="0"/>
    <s v="Animal flesh"/>
    <s v="Animal flesh (Snowshoe hare)"/>
    <s v="Cached snowshoe hare leg in tree"/>
    <s v="NA"/>
    <s v="NA"/>
    <s v="NA"/>
    <s v="NA"/>
    <m/>
    <m/>
    <s v="NA"/>
    <s v="NA"/>
    <m/>
    <m/>
    <m/>
    <m/>
    <n v="0"/>
    <n v="0"/>
    <n v="0"/>
    <n v="0"/>
    <n v="0"/>
    <n v="0"/>
    <n v="0"/>
    <s v="Attending known food item"/>
    <s v="35s eating hare"/>
    <n v="0"/>
    <n v="0"/>
  </r>
  <r>
    <s v="DSCN0167"/>
    <s v="WW0903_6"/>
    <n v="6"/>
    <n v="1"/>
    <x v="0"/>
    <d v="2018-09-03T00:00:00"/>
    <s v="September"/>
    <s v="Fall"/>
    <d v="1899-12-30T00:36:00"/>
    <d v="1899-12-30T00:00:36"/>
    <x v="122"/>
    <m/>
    <x v="10"/>
    <s v="Foraging"/>
    <s v="Spruce"/>
    <n v="1"/>
    <m/>
    <n v="0"/>
    <s v="Animal flesh"/>
    <s v="Animal flesh (Snowshoe hare)"/>
    <s v="Cached snowshoe hare leg in tree"/>
    <s v="NA"/>
    <s v="NA"/>
    <s v="NA"/>
    <s v="NA"/>
    <m/>
    <m/>
    <s v="NA"/>
    <s v="NA"/>
    <m/>
    <m/>
    <m/>
    <m/>
    <n v="0"/>
    <n v="0"/>
    <n v="0"/>
    <n v="0"/>
    <n v="0"/>
    <n v="0"/>
    <n v="0"/>
    <s v="Attending known food item"/>
    <s v="3 eating hare"/>
    <n v="0"/>
    <n v="0"/>
  </r>
  <r>
    <s v="DSCN0181"/>
    <s v="TC0903_2"/>
    <n v="2"/>
    <n v="1"/>
    <x v="16"/>
    <d v="2018-09-03T00:00:00"/>
    <s v="September"/>
    <s v="Fall"/>
    <d v="1899-12-30T01:00:00"/>
    <d v="1899-12-30T00:01:00"/>
    <x v="122"/>
    <m/>
    <x v="10"/>
    <s v="Foraging"/>
    <s v="NA"/>
    <n v="1"/>
    <m/>
    <n v="0"/>
    <s v="Human food"/>
    <s v="Human food"/>
    <s v="Ground"/>
    <s v="NA"/>
    <s v="NA"/>
    <s v="NA"/>
    <s v="NA"/>
    <m/>
    <m/>
    <s v="NA"/>
    <s v="NA"/>
    <m/>
    <m/>
    <m/>
    <m/>
    <n v="2"/>
    <n v="0"/>
    <n v="0"/>
    <n v="2"/>
    <n v="0"/>
    <n v="0"/>
    <n v="2"/>
    <s v="Attending known food item"/>
    <s v="40SEC EATING MYSTERY FOOD"/>
    <n v="0"/>
    <n v="0"/>
  </r>
  <r>
    <s v="DSCN0182"/>
    <s v="TC0903_3"/>
    <n v="3"/>
    <n v="2"/>
    <x v="16"/>
    <d v="2018-09-03T00:00:00"/>
    <s v="September"/>
    <s v="Fall"/>
    <d v="1899-12-30T00:36:00"/>
    <d v="1899-12-30T00:00:36"/>
    <x v="122"/>
    <m/>
    <x v="10"/>
    <s v="Foraging"/>
    <s v="NA"/>
    <n v="1"/>
    <m/>
    <n v="0"/>
    <s v="Human food"/>
    <s v="Human food"/>
    <s v="Campstove"/>
    <s v="NA"/>
    <s v="NA"/>
    <s v="NA"/>
    <s v="NA"/>
    <m/>
    <m/>
    <s v="NA"/>
    <s v="NA"/>
    <m/>
    <m/>
    <m/>
    <m/>
    <n v="0"/>
    <n v="0"/>
    <n v="0"/>
    <n v="0"/>
    <n v="0"/>
    <n v="10"/>
    <n v="10"/>
    <s v="searching"/>
    <s v="~10 sec each for foraging.  "/>
    <n v="0"/>
    <n v="0"/>
  </r>
  <r>
    <s v="DSCN0183"/>
    <s v="TC0903_4"/>
    <n v="4"/>
    <n v="1"/>
    <x v="16"/>
    <d v="2018-09-03T00:00:00"/>
    <s v="September"/>
    <s v="Fall"/>
    <d v="1899-12-30T00:16:00"/>
    <d v="1899-12-30T00:00:16"/>
    <x v="122"/>
    <m/>
    <x v="10"/>
    <s v="Caching"/>
    <s v="Spruce"/>
    <n v="0"/>
    <m/>
    <n v="1"/>
    <s v="Unknown"/>
    <s v="Unknown"/>
    <s v="unknown"/>
    <s v="Spruce trunk"/>
    <s v="Spruce"/>
    <s v="Trunk"/>
    <s v="Under bark"/>
    <m/>
    <m/>
    <s v="Unknown"/>
    <n v="63.730879999999999"/>
    <n v="148.89989"/>
    <m/>
    <m/>
    <m/>
    <n v="0"/>
    <n v="0"/>
    <n v="0"/>
    <n v="0"/>
    <n v="0"/>
    <n v="0"/>
    <n v="0"/>
    <s v="caching"/>
    <s v="Covered cache with bit of bark "/>
    <n v="0"/>
    <n v="0"/>
  </r>
  <r>
    <s v="DSCN0193"/>
    <s v="TC0903_5"/>
    <n v="5"/>
    <n v="1"/>
    <x v="16"/>
    <d v="2018-09-03T00:00:00"/>
    <s v="September"/>
    <s v="Fall"/>
    <d v="1899-12-30T00:06:00"/>
    <d v="1899-12-30T00:00:06"/>
    <x v="122"/>
    <m/>
    <x v="10"/>
    <s v="Caching"/>
    <s v="Spruce"/>
    <n v="0"/>
    <m/>
    <n v="1"/>
    <s v="Unknown"/>
    <s v="Unknown"/>
    <s v="unknown"/>
    <s v="Spruce trunk"/>
    <s v="Spruce"/>
    <s v="Trunk"/>
    <s v="Under bark"/>
    <m/>
    <m/>
    <s v="Unknown"/>
    <n v="63.730220000000003"/>
    <n v="148.90285"/>
    <m/>
    <m/>
    <m/>
    <n v="0"/>
    <n v="0"/>
    <n v="0"/>
    <n v="0"/>
    <n v="0"/>
    <n v="0"/>
    <n v="0"/>
    <s v="caching"/>
    <m/>
    <n v="0"/>
    <n v="0"/>
  </r>
  <r>
    <s v="DSCN0196"/>
    <s v="TC0903_6"/>
    <n v="6"/>
    <n v="1"/>
    <x v="16"/>
    <d v="2018-09-03T00:00:00"/>
    <s v="September"/>
    <s v="Fall"/>
    <d v="1899-12-30T02:02:00"/>
    <d v="1899-12-30T00:02:02"/>
    <x v="122"/>
    <m/>
    <x v="10"/>
    <s v="Food handling"/>
    <s v="Spruce"/>
    <n v="1"/>
    <m/>
    <n v="0"/>
    <s v="Unknown"/>
    <s v="Unknown"/>
    <s v="unknown"/>
    <s v="NA"/>
    <s v="NA"/>
    <s v="NA"/>
    <s v="NA"/>
    <m/>
    <m/>
    <s v="NA"/>
    <s v="NA"/>
    <m/>
    <m/>
    <m/>
    <m/>
    <n v="0"/>
    <n v="0"/>
    <n v="0"/>
    <n v="0"/>
    <n v="0"/>
    <n v="0"/>
    <n v="0"/>
    <m/>
    <s v="Likely cached at 0:23 mark, B&amp;Ut not sure enough to count. "/>
    <n v="0"/>
    <n v="0"/>
  </r>
  <r>
    <s v="DSCN0234"/>
    <s v="TC0904_1"/>
    <n v="1"/>
    <n v="1"/>
    <x v="16"/>
    <d v="2018-09-04T00:00:00"/>
    <s v="September"/>
    <s v="Fall"/>
    <d v="1899-12-30T00:53:00"/>
    <d v="1899-12-30T00:00:53"/>
    <x v="122"/>
    <m/>
    <x v="10"/>
    <s v="Caching"/>
    <s v="Spruce"/>
    <n v="0"/>
    <m/>
    <n v="1"/>
    <s v="Unknown"/>
    <s v="Unknown"/>
    <s v="unknonw"/>
    <s v="Spruce trunk"/>
    <s v="Spruce"/>
    <s v="Trunk"/>
    <s v="Under bark"/>
    <m/>
    <m/>
    <s v="Unknown"/>
    <n v="63.731529999999999"/>
    <n v="148.90401"/>
    <m/>
    <m/>
    <m/>
    <n v="0"/>
    <n v="0"/>
    <n v="0"/>
    <n v="0"/>
    <n v="0"/>
    <n v="0"/>
    <n v="0"/>
    <s v="NA"/>
    <s v="Great cache video!!!"/>
    <n v="0"/>
    <n v="0"/>
  </r>
  <r>
    <s v="DSCN0246"/>
    <s v="CCS0904_1"/>
    <n v="1"/>
    <n v="1"/>
    <x v="23"/>
    <d v="2018-09-04T00:00:00"/>
    <s v="September"/>
    <s v="Fall"/>
    <d v="1899-12-30T01:02:00"/>
    <d v="1899-12-30T00:01:02"/>
    <x v="122"/>
    <m/>
    <x v="10"/>
    <s v="Foraging"/>
    <s v="Spruce"/>
    <n v="1"/>
    <m/>
    <n v="0"/>
    <s v="Unknown"/>
    <s v="Unknown"/>
    <s v="Spruce bare branch"/>
    <s v="NA"/>
    <s v="NA"/>
    <s v="NA"/>
    <s v="NA"/>
    <m/>
    <m/>
    <s v="NA"/>
    <s v="NA"/>
    <m/>
    <m/>
    <m/>
    <m/>
    <n v="19"/>
    <n v="0"/>
    <n v="0"/>
    <n v="19"/>
    <n v="0"/>
    <n v="0"/>
    <n v="19"/>
    <s v="Gleaning"/>
    <m/>
    <n v="0"/>
    <n v="5"/>
  </r>
  <r>
    <s v="DSCN0248"/>
    <s v="CCS0904_2"/>
    <n v="2"/>
    <n v="1"/>
    <x v="23"/>
    <d v="2018-09-04T00:00:00"/>
    <s v="September"/>
    <s v="Fall"/>
    <d v="1899-12-30T00:20:00"/>
    <d v="1899-12-30T00:00:20"/>
    <x v="122"/>
    <m/>
    <x v="10"/>
    <s v="Foraging"/>
    <s v="NA"/>
    <n v="1"/>
    <m/>
    <n v="0"/>
    <s v="Mushroom"/>
    <s v="Mushroom"/>
    <s v="Ground"/>
    <s v="NA"/>
    <s v="NA"/>
    <s v="NA"/>
    <s v="NA"/>
    <m/>
    <m/>
    <s v="NA"/>
    <s v="NA"/>
    <m/>
    <m/>
    <m/>
    <m/>
    <n v="0"/>
    <n v="0"/>
    <n v="0"/>
    <n v="0"/>
    <n v="14"/>
    <n v="0"/>
    <n v="14"/>
    <s v="searching"/>
    <m/>
    <m/>
    <m/>
  </r>
  <r>
    <s v="DSCN0250"/>
    <s v="CCS0904_3"/>
    <n v="3"/>
    <n v="2"/>
    <x v="23"/>
    <d v="2018-09-04T00:00:00"/>
    <s v="September"/>
    <s v="Fall"/>
    <d v="1899-12-30T01:06:00"/>
    <d v="1899-12-30T00:01:06"/>
    <x v="122"/>
    <m/>
    <x v="10"/>
    <s v="Foraging/caching"/>
    <s v="Spruce"/>
    <s v="unknown"/>
    <m/>
    <n v="1"/>
    <s v="Unknown"/>
    <s v="Unknown"/>
    <s v="Ground"/>
    <s v="Exterior spruce branch under bark"/>
    <s v="Spruce"/>
    <s v="Exterior"/>
    <s v="Under bark"/>
    <m/>
    <m/>
    <s v="Unknown"/>
    <s v="Did not mark (did not recognize as cache while in field)"/>
    <m/>
    <m/>
    <m/>
    <m/>
    <n v="0"/>
    <n v="0"/>
    <n v="0"/>
    <n v="0"/>
    <n v="0"/>
    <n v="0"/>
    <n v="0"/>
    <m/>
    <s v="likely cache. "/>
    <m/>
    <m/>
  </r>
  <r>
    <s v="DSCN0250"/>
    <s v="CCS0904_3"/>
    <n v="3"/>
    <n v="1"/>
    <x v="23"/>
    <d v="2018-09-04T00:00:00"/>
    <s v="September"/>
    <s v="Fall"/>
    <d v="1899-12-30T01:06:00"/>
    <d v="1899-12-30T00:01:06"/>
    <x v="122"/>
    <m/>
    <x v="10"/>
    <s v="Foraging/caching"/>
    <s v="Spruce"/>
    <n v="1"/>
    <m/>
    <n v="1"/>
    <s v="Unknown"/>
    <s v="Unknown"/>
    <s v="Ground"/>
    <s v="Exterior spruce branch under bark/witch hair"/>
    <s v="Spruce"/>
    <s v="Exterior"/>
    <s v="Under bark and witch hair "/>
    <m/>
    <m/>
    <s v="Unknown"/>
    <s v="Did not mark (did not recognize as cache while in field)"/>
    <m/>
    <m/>
    <m/>
    <m/>
    <n v="0"/>
    <n v="0"/>
    <n v="0"/>
    <n v="0"/>
    <n v="6"/>
    <n v="0"/>
    <n v="6"/>
    <m/>
    <s v="Clear cache"/>
    <m/>
    <m/>
  </r>
  <r>
    <s v="DSCN0253"/>
    <s v="CCS0904_4"/>
    <n v="4"/>
    <n v="1"/>
    <x v="23"/>
    <d v="2018-09-04T00:00:00"/>
    <s v="September"/>
    <s v="Fall"/>
    <d v="1899-12-30T02:26:00"/>
    <d v="1899-12-30T00:02:26"/>
    <x v="122"/>
    <m/>
    <x v="10"/>
    <s v="Caching, forgaging"/>
    <s v="Spruce"/>
    <n v="1"/>
    <m/>
    <n v="1"/>
    <s v="Unknown"/>
    <s v="Unknown"/>
    <s v="Ground"/>
    <s v="Interior spruce in foliage "/>
    <s v="Spruce"/>
    <s v="Interior"/>
    <s v="Foliage"/>
    <m/>
    <m/>
    <s v="Unknown"/>
    <n v="63.721440000000001"/>
    <n v="148.95258000000001"/>
    <m/>
    <m/>
    <m/>
    <n v="0"/>
    <n v="0"/>
    <n v="0"/>
    <n v="0"/>
    <n v="91"/>
    <n v="0"/>
    <n v="91"/>
    <s v="Searching "/>
    <s v="Retrieved something from ground (not on video) and KS observed it place it in tree "/>
    <m/>
    <m/>
  </r>
  <r>
    <s v="DSCN0254"/>
    <s v="CCS0904_5"/>
    <n v="5"/>
    <n v="1"/>
    <x v="23"/>
    <d v="2018-09-04T00:00:00"/>
    <s v="September"/>
    <s v="Fall"/>
    <d v="1899-12-30T02:11:00"/>
    <d v="1899-12-30T00:02:11"/>
    <x v="122"/>
    <m/>
    <x v="10"/>
    <s v="Foraging/caching"/>
    <s v="Spruce"/>
    <n v="1"/>
    <m/>
    <n v="1"/>
    <s v="Mushroom"/>
    <s v="Mushroom"/>
    <s v="Ground"/>
    <s v="Exterior spruce branch/witch hair moss"/>
    <s v="Spruce"/>
    <s v="Exterior"/>
    <s v="Under bark and witch hair "/>
    <m/>
    <m/>
    <s v="Unknown"/>
    <n v="63.721400000000003"/>
    <n v="148.95255"/>
    <m/>
    <m/>
    <m/>
    <n v="0"/>
    <n v="0"/>
    <n v="0"/>
    <n v="0"/>
    <n v="30"/>
    <n v="0"/>
    <n v="30"/>
    <s v="searching"/>
    <m/>
    <m/>
    <m/>
  </r>
  <r>
    <s v="DSCN0256"/>
    <s v="CCS0904_6"/>
    <n v="6"/>
    <n v="1"/>
    <x v="23"/>
    <d v="2018-09-04T00:00:00"/>
    <s v="September"/>
    <s v="Fall"/>
    <d v="1899-12-30T02:32:00"/>
    <d v="1899-12-30T00:02:32"/>
    <x v="122"/>
    <m/>
    <x v="10"/>
    <s v="Foraging"/>
    <s v="Spruce"/>
    <n v="1"/>
    <m/>
    <n v="0"/>
    <s v="Unknown"/>
    <s v="Unknown"/>
    <s v="Ground"/>
    <s v="NA"/>
    <s v="NA"/>
    <s v="NA"/>
    <s v="NA"/>
    <m/>
    <m/>
    <s v="NA"/>
    <s v="NA"/>
    <m/>
    <m/>
    <m/>
    <m/>
    <n v="0"/>
    <n v="2"/>
    <n v="0"/>
    <n v="2"/>
    <n v="125"/>
    <n v="0"/>
    <n v="127"/>
    <m/>
    <m/>
    <m/>
    <n v="6"/>
  </r>
  <r>
    <s v="DSCN0256"/>
    <s v="CCS0904_6"/>
    <n v="6"/>
    <n v="2"/>
    <x v="23"/>
    <d v="2018-09-04T00:00:00"/>
    <s v="September"/>
    <s v="Fall"/>
    <d v="1899-12-30T02:32:00"/>
    <d v="1899-12-30T00:02:32"/>
    <x v="122"/>
    <m/>
    <x v="10"/>
    <s v="Foraging"/>
    <s v="Spruce"/>
    <n v="1"/>
    <m/>
    <n v="0"/>
    <s v="Unknown"/>
    <s v="Unknown"/>
    <s v="Exterior spruce foliage "/>
    <s v="NA"/>
    <s v="NA"/>
    <s v="NA"/>
    <s v="NA"/>
    <m/>
    <m/>
    <s v="NA"/>
    <s v="NA"/>
    <m/>
    <m/>
    <m/>
    <m/>
    <n v="0"/>
    <n v="0"/>
    <n v="0"/>
    <n v="0"/>
    <n v="0"/>
    <n v="0"/>
    <n v="0"/>
    <m/>
    <s v="Maybe food handling instead of foraging B&amp;Ut unclear.  "/>
    <m/>
    <n v="6"/>
  </r>
  <r>
    <s v="DSCN0257"/>
    <s v="CCS0904_7"/>
    <n v="7"/>
    <n v="1"/>
    <x v="23"/>
    <d v="2018-09-04T00:00:00"/>
    <s v="September"/>
    <s v="Fall"/>
    <d v="1899-12-30T01:36:00"/>
    <d v="1899-12-30T00:01:36"/>
    <x v="122"/>
    <m/>
    <x v="10"/>
    <s v="Foraging/caching"/>
    <s v="Spruce"/>
    <n v="1"/>
    <m/>
    <n v="1"/>
    <s v="Berry"/>
    <s v="Berry (Blueberry)"/>
    <s v="Ground"/>
    <s v="Exterior foliage of spruce sapling "/>
    <s v="Spruce"/>
    <s v="Exterior"/>
    <s v="Foliage"/>
    <m/>
    <m/>
    <s v="unknown"/>
    <s v="Did not mark (did not recognize as cache while in field)"/>
    <m/>
    <m/>
    <m/>
    <m/>
    <n v="0"/>
    <n v="0"/>
    <n v="0"/>
    <n v="0"/>
    <n v="24"/>
    <n v="0"/>
    <n v="24"/>
    <m/>
    <s v="Clear placement of berry in tree "/>
    <m/>
    <m/>
  </r>
  <r>
    <s v="DSCN0259"/>
    <s v="CCS0904_8"/>
    <n v="8"/>
    <n v="1"/>
    <x v="23"/>
    <d v="2018-09-04T00:00:00"/>
    <s v="September"/>
    <s v="Fall"/>
    <d v="1899-12-30T01:07:00"/>
    <d v="1899-12-30T00:01:07"/>
    <x v="122"/>
    <m/>
    <x v="10"/>
    <s v="Caching"/>
    <s v="Spruce"/>
    <n v="0"/>
    <m/>
    <n v="1"/>
    <s v="Unknown"/>
    <s v="Unknown"/>
    <s v="unknown"/>
    <s v="Spruce trunk"/>
    <s v="Spruce"/>
    <s v="Trunk"/>
    <s v="Under bark"/>
    <m/>
    <m/>
    <s v="unknown"/>
    <n v="63.721640000000001"/>
    <n v="148.95113000000001"/>
    <m/>
    <m/>
    <m/>
    <n v="0"/>
    <n v="0"/>
    <n v="0"/>
    <n v="0"/>
    <n v="0"/>
    <n v="0"/>
    <n v="0"/>
    <m/>
    <s v="Clear cache.  Very close to previoud cach location.  "/>
    <m/>
    <m/>
  </r>
  <r>
    <s v="DSCN0262"/>
    <s v="CCS0904_9"/>
    <n v="9"/>
    <n v="1"/>
    <x v="23"/>
    <d v="2018-09-04T00:00:00"/>
    <s v="September"/>
    <s v="Fall"/>
    <d v="1899-12-30T01:27:00"/>
    <d v="1899-12-30T00:01:27"/>
    <x v="122"/>
    <m/>
    <x v="10"/>
    <s v="Foraging/caching"/>
    <s v="Spruce"/>
    <n v="1"/>
    <m/>
    <n v="0"/>
    <s v="Unknown"/>
    <s v="Unknown"/>
    <s v="Ground"/>
    <s v="NA"/>
    <s v="NA"/>
    <s v="NA"/>
    <s v="NA"/>
    <m/>
    <m/>
    <s v="NA"/>
    <s v="NA"/>
    <m/>
    <m/>
    <m/>
    <m/>
    <n v="0"/>
    <n v="0"/>
    <n v="0"/>
    <n v="0"/>
    <n v="22"/>
    <n v="0"/>
    <n v="22"/>
    <m/>
    <m/>
    <m/>
    <m/>
  </r>
  <r>
    <s v="DSCN0262"/>
    <s v="CCS0904_9"/>
    <n v="9"/>
    <n v="2"/>
    <x v="23"/>
    <d v="2018-09-04T00:00:00"/>
    <s v="September"/>
    <s v="Fall"/>
    <d v="1899-12-30T01:27:00"/>
    <d v="1899-12-30T00:01:27"/>
    <x v="122"/>
    <m/>
    <x v="10"/>
    <s v="Foraging/caching"/>
    <s v="Spruce"/>
    <n v="1"/>
    <m/>
    <n v="1"/>
    <s v="Berry"/>
    <s v="Berry (Blueberry)"/>
    <s v="Ground"/>
    <s v="Exterior spruce branch under bark/witch hair"/>
    <s v="Spruce"/>
    <s v="Exterior"/>
    <s v="Under bark and witch hair "/>
    <m/>
    <m/>
    <s v="Unknown"/>
    <n v="63.721629999999998"/>
    <n v="148.95177000000001"/>
    <m/>
    <m/>
    <m/>
    <n v="0"/>
    <n v="0"/>
    <n v="0"/>
    <n v="0"/>
    <n v="0"/>
    <n v="0"/>
    <n v="0"/>
    <m/>
    <m/>
    <m/>
    <m/>
  </r>
  <r>
    <s v="DSCN0263"/>
    <s v="CCS0904_10"/>
    <n v="10"/>
    <n v="2"/>
    <x v="23"/>
    <d v="2018-09-04T00:00:00"/>
    <s v="September"/>
    <s v="Fall"/>
    <d v="1899-12-30T01:30:00"/>
    <d v="1899-12-30T00:01:30"/>
    <x v="122"/>
    <m/>
    <x v="10"/>
    <s v="Foraging"/>
    <s v="Spruce"/>
    <n v="1"/>
    <m/>
    <n v="0"/>
    <s v="Insect"/>
    <s v="Insect (caterpillar)"/>
    <s v="Ground"/>
    <s v="NA"/>
    <s v="NA"/>
    <s v="NA"/>
    <s v="NA"/>
    <m/>
    <m/>
    <s v="NA"/>
    <s v="NA"/>
    <m/>
    <m/>
    <m/>
    <m/>
    <n v="0"/>
    <n v="0"/>
    <n v="0"/>
    <n v="0"/>
    <n v="0"/>
    <n v="0"/>
    <n v="0"/>
    <s v="searching"/>
    <m/>
    <m/>
    <m/>
  </r>
  <r>
    <s v="DSCN0263"/>
    <s v="CCS0904_10"/>
    <n v="10"/>
    <n v="1"/>
    <x v="23"/>
    <d v="2018-09-04T00:00:00"/>
    <s v="September"/>
    <s v="Fall"/>
    <d v="1899-12-30T01:30:00"/>
    <d v="1899-12-30T00:01:30"/>
    <x v="122"/>
    <m/>
    <x v="10"/>
    <s v="Caching"/>
    <s v="Spruce"/>
    <n v="0"/>
    <m/>
    <n v="1"/>
    <s v="Unknown"/>
    <s v="Unknown"/>
    <s v="unknown"/>
    <s v="Exterior spruce branch under bark"/>
    <s v="Spruce"/>
    <s v="Exterior"/>
    <s v="Under bark"/>
    <m/>
    <m/>
    <s v="Unknown"/>
    <s v="Did not mark (did not recognize as cache while in field)"/>
    <m/>
    <m/>
    <m/>
    <m/>
    <n v="24"/>
    <n v="0"/>
    <n v="0"/>
    <n v="24"/>
    <n v="32"/>
    <n v="0"/>
    <n v="56"/>
    <s v="searching"/>
    <m/>
    <m/>
    <m/>
  </r>
  <r>
    <s v="DSCN0265"/>
    <s v="CCS0904_11"/>
    <n v="11"/>
    <n v="1"/>
    <x v="23"/>
    <d v="2018-09-04T00:00:00"/>
    <s v="September"/>
    <s v="Fall"/>
    <d v="1899-12-30T00:31:00"/>
    <d v="1899-12-30T00:00:31"/>
    <x v="122"/>
    <m/>
    <x v="10"/>
    <s v="Foraging/caching"/>
    <s v="Spruce"/>
    <n v="1"/>
    <m/>
    <n v="1"/>
    <s v="Berry"/>
    <s v="Berry (Blueberry)"/>
    <s v="Ground"/>
    <s v="Spruce foliage"/>
    <s v="Spruce"/>
    <s v="Unknown"/>
    <s v="Foliage"/>
    <m/>
    <m/>
    <s v="unknown"/>
    <n v="63.721429999999998"/>
    <n v="148.95343"/>
    <m/>
    <m/>
    <m/>
    <n v="0"/>
    <n v="0"/>
    <n v="0"/>
    <n v="0"/>
    <n v="13"/>
    <n v="0"/>
    <n v="13"/>
    <s v="searching"/>
    <s v="Didn't capture foraging in this video B&amp;Ut did in previous one.  Didn't keep video because bird was not in frame B&amp;Ut used it to calculate foraging time reported here.  Unclear from video audio, B&amp;Ut the cache location here was spotted in the field by KS. "/>
    <m/>
    <m/>
  </r>
  <r>
    <s v="DSCN0605"/>
    <s v="TC0911_1"/>
    <n v="1"/>
    <n v="1"/>
    <x v="16"/>
    <d v="2018-09-11T00:00:00"/>
    <s v="September"/>
    <s v="Fall"/>
    <d v="1899-12-30T00:45:00"/>
    <d v="1899-12-30T00:00:45"/>
    <x v="122"/>
    <s v="Full sun"/>
    <x v="10"/>
    <s v="Foraging"/>
    <s v="Spruce"/>
    <n v="1"/>
    <m/>
    <n v="1"/>
    <s v="Unknown"/>
    <s v="Unknown soft white stuff"/>
    <s v="Exterior foliated spruce"/>
    <s v="Exterior spruce foliage"/>
    <s v="Spruce"/>
    <s v="Exterior"/>
    <s v="Foliage"/>
    <m/>
    <m/>
    <s v="Unknown"/>
    <n v="63.731929999999998"/>
    <n v="148.8989"/>
    <m/>
    <m/>
    <m/>
    <n v="0"/>
    <n v="0"/>
    <n v="0"/>
    <n v="0"/>
    <n v="0"/>
    <n v="0"/>
    <n v="0"/>
    <m/>
    <m/>
    <m/>
    <m/>
  </r>
  <r>
    <s v="DSCN0825"/>
    <s v="M4R0916_6"/>
    <n v="6"/>
    <n v="1"/>
    <x v="6"/>
    <d v="2018-09-16T00:00:00"/>
    <s v="September"/>
    <s v="Fall"/>
    <d v="1899-12-30T00:31:00"/>
    <d v="1899-12-30T00:00:31"/>
    <x v="122"/>
    <s v="Overcast"/>
    <x v="10"/>
    <s v="Foraging"/>
    <s v="Spruce"/>
    <n v="1"/>
    <m/>
    <n v="0"/>
    <s v="Unknown"/>
    <s v="Unknown (some part of spruce tree as in other videos: HS0912_8_x000a_M2370912_3) "/>
    <s v="Spruce sapling trunk, near branch joint"/>
    <s v="NA"/>
    <s v="NA"/>
    <s v="NA"/>
    <s v="NA"/>
    <m/>
    <m/>
    <s v="NA"/>
    <s v="NA"/>
    <m/>
    <m/>
    <m/>
    <m/>
    <n v="8"/>
    <n v="8"/>
    <n v="16"/>
    <n v="0"/>
    <n v="0"/>
    <n v="0"/>
    <n v="16"/>
    <s v="Gleaning"/>
    <m/>
    <n v="0"/>
    <n v="3"/>
  </r>
  <r>
    <s v="DSCN0827"/>
    <s v="TC0916_1"/>
    <n v="1"/>
    <n v="1"/>
    <x v="16"/>
    <d v="2018-09-16T00:00:00"/>
    <s v="September"/>
    <s v="Fall"/>
    <d v="1899-12-30T00:09:00"/>
    <d v="1899-12-30T00:00:09"/>
    <x v="122"/>
    <s v="Overcast"/>
    <x v="10"/>
    <s v="Foraging"/>
    <s v="NA"/>
    <n v="1"/>
    <m/>
    <n v="0"/>
    <s v="Human food"/>
    <s v="Human food, seemed like fruit like apricot"/>
    <s v="Campsite ground"/>
    <s v="NA"/>
    <s v="NA"/>
    <s v="NA"/>
    <s v="NA"/>
    <m/>
    <m/>
    <s v="NA"/>
    <s v="NA"/>
    <m/>
    <m/>
    <m/>
    <m/>
    <n v="0"/>
    <n v="0"/>
    <n v="0"/>
    <n v="0"/>
    <n v="9"/>
    <n v="0"/>
    <n v="9"/>
    <m/>
    <m/>
    <m/>
    <m/>
  </r>
  <r>
    <s v="DSCN0828"/>
    <s v="TC0916_2"/>
    <n v="2"/>
    <n v="1"/>
    <x v="16"/>
    <d v="2018-09-16T00:00:00"/>
    <s v="September"/>
    <s v="Fall"/>
    <d v="1899-12-30T00:13:00"/>
    <d v="1899-12-30T00:00:13"/>
    <x v="122"/>
    <s v="Overcast"/>
    <x v="10"/>
    <s v="Food handling/caching"/>
    <s v="Spruce"/>
    <n v="1"/>
    <m/>
    <n v="1"/>
    <s v="Human food"/>
    <s v="Human food, seemed like fruit like apricot"/>
    <s v="Campsite ground"/>
    <s v="Exterior spruce foliage"/>
    <s v="Spruce"/>
    <s v="Exterior"/>
    <s v="Foliage"/>
    <m/>
    <m/>
    <s v="Unknown"/>
    <n v="63.730119999999999"/>
    <n v="148.90195"/>
    <m/>
    <m/>
    <m/>
    <n v="0"/>
    <n v="0"/>
    <n v="0"/>
    <n v="0"/>
    <n v="0"/>
    <n v="0"/>
    <n v="0"/>
    <m/>
    <s v="Moment of cache not caught on video B&amp;Ut it cached what was left in the spot seen on the video of it eating.  "/>
    <m/>
    <m/>
  </r>
  <r>
    <s v="DSCN0831"/>
    <s v="TC0916_3"/>
    <n v="3"/>
    <n v="1"/>
    <x v="16"/>
    <d v="2018-09-16T00:00:00"/>
    <s v="September"/>
    <s v="Fall"/>
    <d v="1899-12-30T00:38:00"/>
    <d v="1899-12-30T00:00:38"/>
    <x v="122"/>
    <s v="Overcast"/>
    <x v="10"/>
    <s v="Foraging"/>
    <s v="Spruce"/>
    <s v="unknown"/>
    <m/>
    <n v="0"/>
    <m/>
    <s v="NA"/>
    <s v="NA"/>
    <s v="NA"/>
    <s v="NA"/>
    <s v="NA"/>
    <s v="NA"/>
    <m/>
    <m/>
    <s v="NA"/>
    <s v="NA"/>
    <m/>
    <m/>
    <m/>
    <m/>
    <n v="28"/>
    <n v="0"/>
    <n v="0"/>
    <n v="28"/>
    <n v="0"/>
    <n v="0"/>
    <n v="28"/>
    <s v="Gleaning"/>
    <m/>
    <n v="0"/>
    <n v="2"/>
  </r>
  <r>
    <s v="DSCN1183"/>
    <s v="M4R0927_7"/>
    <n v="7"/>
    <n v="1"/>
    <x v="6"/>
    <d v="2018-09-27T00:00:00"/>
    <s v="September"/>
    <s v="Fall"/>
    <d v="1899-12-30T00:29:00"/>
    <d v="1899-12-30T00:00:29"/>
    <x v="122"/>
    <s v="Overcast"/>
    <x v="10"/>
    <s v="Caching"/>
    <s v="Aspen"/>
    <n v="0"/>
    <m/>
    <n v="2"/>
    <s v="Animal flesh"/>
    <s v="Animal flesh"/>
    <s v="Interior spruce foliage"/>
    <s v="bare aspen branch under bark"/>
    <s v="Aspen"/>
    <s v="Exterior"/>
    <s v="Under bark"/>
    <m/>
    <m/>
    <s v="unknown"/>
    <n v="63.72307"/>
    <n v="148.98291"/>
    <m/>
    <m/>
    <m/>
    <n v="0"/>
    <n v="0"/>
    <n v="0"/>
    <n v="0"/>
    <n v="0"/>
    <n v="0"/>
    <n v="0"/>
    <m/>
    <s v="Same food as in previous video.  "/>
    <m/>
    <m/>
  </r>
  <r>
    <s v="DSCN0160"/>
    <s v="WW0903_1"/>
    <n v="1"/>
    <n v="1"/>
    <x v="0"/>
    <d v="2018-09-03T00:00:00"/>
    <s v="September"/>
    <s v="Fall"/>
    <d v="1899-12-30T00:23:00"/>
    <d v="1899-12-30T00:00:23"/>
    <x v="122"/>
    <m/>
    <x v="11"/>
    <s v="Foraging"/>
    <s v="NA"/>
    <n v="1"/>
    <m/>
    <n v="0"/>
    <s v="Berry"/>
    <s v="Berry"/>
    <s v="Ground"/>
    <s v="NA"/>
    <s v="NA"/>
    <s v="NA"/>
    <s v="NA"/>
    <m/>
    <m/>
    <s v="NA"/>
    <m/>
    <m/>
    <m/>
    <m/>
    <m/>
    <n v="0"/>
    <n v="0"/>
    <n v="0"/>
    <n v="0"/>
    <n v="10"/>
    <n v="0"/>
    <n v="10"/>
    <s v="searching"/>
    <s v="Grabbed at least one berry. "/>
    <n v="0"/>
    <n v="0"/>
  </r>
  <r>
    <s v="DSCN0239"/>
    <s v="RLC0904_1"/>
    <n v="1"/>
    <n v="1"/>
    <x v="24"/>
    <d v="2018-09-04T00:00:00"/>
    <s v="September"/>
    <s v="Fall"/>
    <d v="1899-12-30T00:58:00"/>
    <d v="1899-12-30T00:00:58"/>
    <x v="122"/>
    <m/>
    <x v="11"/>
    <s v="Foraging"/>
    <s v="Spruce"/>
    <n v="1"/>
    <m/>
    <n v="0"/>
    <s v="Unknown"/>
    <s v="Unknown"/>
    <s v="Spruce foliage"/>
    <s v="NA"/>
    <s v="NA"/>
    <s v="NA"/>
    <s v="NA"/>
    <m/>
    <m/>
    <s v="NA"/>
    <s v="NA"/>
    <m/>
    <m/>
    <m/>
    <m/>
    <n v="0"/>
    <n v="30"/>
    <n v="0"/>
    <n v="30"/>
    <n v="0"/>
    <n v="0"/>
    <n v="30"/>
    <s v="Gleaning"/>
    <m/>
    <n v="0"/>
    <n v="3"/>
  </r>
  <r>
    <s v="DSCN0292"/>
    <s v="M4R0905_4"/>
    <n v="4"/>
    <n v="1"/>
    <x v="6"/>
    <d v="2018-09-05T00:00:00"/>
    <s v="September"/>
    <s v="Fall"/>
    <d v="1899-12-30T00:38:00"/>
    <d v="1899-12-30T00:00:38"/>
    <x v="122"/>
    <s v="Partly Sunny"/>
    <x v="11"/>
    <s v="Foraging"/>
    <s v="NA"/>
    <n v="1"/>
    <m/>
    <n v="0"/>
    <s v="Berry"/>
    <s v="Berry (Blueberry)"/>
    <s v="Ground"/>
    <s v="NA"/>
    <s v="NA"/>
    <s v="NA"/>
    <s v="NA"/>
    <m/>
    <m/>
    <s v="NA"/>
    <s v="NA"/>
    <m/>
    <m/>
    <m/>
    <m/>
    <n v="0"/>
    <n v="0"/>
    <n v="0"/>
    <n v="0"/>
    <n v="13"/>
    <n v="0"/>
    <n v="13"/>
    <m/>
    <m/>
    <m/>
    <m/>
  </r>
  <r>
    <s v="DSCN0366"/>
    <s v="MC0906_3"/>
    <n v="3"/>
    <n v="1"/>
    <x v="2"/>
    <d v="2018-09-06T00:00:00"/>
    <s v="September"/>
    <s v="Fall"/>
    <d v="1899-12-30T00:12:00"/>
    <d v="1899-12-30T00:00:12"/>
    <x v="122"/>
    <s v="Overcast"/>
    <x v="11"/>
    <s v="Foraging"/>
    <s v="Spruce"/>
    <n v="1"/>
    <m/>
    <n v="0"/>
    <s v="Unknown"/>
    <s v="Unknown"/>
    <s v="Interior spruce foliage"/>
    <s v="NA"/>
    <s v="NA"/>
    <s v="NA"/>
    <s v="NA"/>
    <m/>
    <m/>
    <s v="NA"/>
    <s v="NA"/>
    <m/>
    <m/>
    <m/>
    <m/>
    <n v="0"/>
    <n v="12"/>
    <n v="0"/>
    <n v="12"/>
    <n v="0"/>
    <n v="0"/>
    <n v="12"/>
    <s v="unknown"/>
    <m/>
    <m/>
    <m/>
  </r>
  <r>
    <s v="DSCN0411"/>
    <s v="M2370907_6"/>
    <n v="6"/>
    <n v="1"/>
    <x v="9"/>
    <d v="2018-09-07T00:00:00"/>
    <s v="September"/>
    <s v="Fall"/>
    <d v="1899-12-30T00:16:00"/>
    <d v="1899-12-30T00:00:16"/>
    <x v="122"/>
    <s v="Overcast"/>
    <x v="11"/>
    <s v="Foraging"/>
    <s v="NA"/>
    <n v="1"/>
    <m/>
    <n v="0"/>
    <s v="Mushroom"/>
    <s v="Mushroom"/>
    <s v="Ground"/>
    <s v="NA"/>
    <s v="NA"/>
    <s v="NA"/>
    <s v="NA"/>
    <m/>
    <m/>
    <s v="NA"/>
    <s v="NA"/>
    <m/>
    <m/>
    <m/>
    <m/>
    <n v="0"/>
    <n v="0"/>
    <n v="0"/>
    <n v="0"/>
    <n v="10"/>
    <n v="0"/>
    <n v="10"/>
    <m/>
    <m/>
    <m/>
    <m/>
  </r>
  <r>
    <s v="DSCN0412"/>
    <s v="M2370907_7"/>
    <n v="7"/>
    <n v="1"/>
    <x v="9"/>
    <d v="2018-09-07T00:00:00"/>
    <s v="September"/>
    <s v="Fall"/>
    <d v="1899-12-30T00:21:00"/>
    <d v="1899-12-30T00:00:21"/>
    <x v="122"/>
    <s v="Overcast"/>
    <x v="11"/>
    <s v="Foraging"/>
    <s v="NA"/>
    <n v="1"/>
    <m/>
    <n v="0"/>
    <s v="Mushroom"/>
    <s v="Mushroom"/>
    <s v="Ground"/>
    <s v="NA"/>
    <s v="NA"/>
    <s v="NA"/>
    <s v="NA"/>
    <m/>
    <m/>
    <s v="NA"/>
    <s v="NA"/>
    <m/>
    <m/>
    <m/>
    <m/>
    <n v="0"/>
    <n v="0"/>
    <n v="0"/>
    <n v="0"/>
    <n v="4"/>
    <n v="0"/>
    <n v="4"/>
    <m/>
    <m/>
    <m/>
    <m/>
  </r>
  <r>
    <s v="DSCN0415"/>
    <s v="M2370907_9"/>
    <n v="9"/>
    <n v="2"/>
    <x v="9"/>
    <d v="2018-09-07T00:00:00"/>
    <s v="September"/>
    <s v="Fall"/>
    <d v="1899-12-30T00:48:00"/>
    <d v="1899-12-30T00:00:48"/>
    <x v="122"/>
    <s v="Overcast"/>
    <x v="11"/>
    <s v="Foraging"/>
    <s v="NA"/>
    <n v="1"/>
    <m/>
    <n v="1"/>
    <s v="Unknown"/>
    <s v="Unknown"/>
    <s v="unknown"/>
    <s v="Interior spruce foliage "/>
    <s v="Spruce"/>
    <s v="Interior"/>
    <s v="Foliage"/>
    <m/>
    <m/>
    <s v="Unknown"/>
    <s v="Did not mark (did not recognize as cache while in field)"/>
    <m/>
    <m/>
    <m/>
    <m/>
    <n v="0"/>
    <n v="0"/>
    <n v="0"/>
    <n v="0"/>
    <n v="0"/>
    <n v="0"/>
    <n v="0"/>
    <m/>
    <m/>
    <m/>
    <m/>
  </r>
  <r>
    <s v="DSCN0536"/>
    <s v="M2370909_2"/>
    <n v="2"/>
    <n v="1"/>
    <x v="9"/>
    <d v="2018-09-09T00:00:00"/>
    <s v="September"/>
    <s v="Fall"/>
    <d v="1899-12-30T00:08:00"/>
    <d v="1899-12-30T00:00:08"/>
    <x v="122"/>
    <s v="Full sun"/>
    <x v="11"/>
    <s v="Foraging"/>
    <s v="Spruce"/>
    <n v="1"/>
    <m/>
    <n v="0"/>
    <s v="Unknown"/>
    <s v="Unknown"/>
    <s v="Exterior foliated spruce"/>
    <s v="NA"/>
    <s v="NA"/>
    <s v="NA"/>
    <s v="NA"/>
    <m/>
    <m/>
    <s v="NA"/>
    <s v="NA"/>
    <m/>
    <m/>
    <m/>
    <m/>
    <n v="0"/>
    <n v="2"/>
    <n v="0"/>
    <n v="2"/>
    <n v="0"/>
    <n v="0"/>
    <n v="2"/>
    <s v="Unknown"/>
    <m/>
    <m/>
    <m/>
  </r>
  <r>
    <s v="DSCN0548"/>
    <s v="M2370909_8"/>
    <n v="8"/>
    <n v="1"/>
    <x v="9"/>
    <d v="2018-09-09T00:00:00"/>
    <s v="September"/>
    <s v="Fall"/>
    <d v="1899-12-30T00:04:00"/>
    <d v="1899-12-30T00:00:04"/>
    <x v="122"/>
    <s v="Full sun"/>
    <x v="11"/>
    <s v="Foraging"/>
    <s v="NA"/>
    <n v="1"/>
    <m/>
    <n v="0"/>
    <s v="Berry"/>
    <s v="Berry (Soapberry)"/>
    <s v="Ground"/>
    <s v="NA"/>
    <s v="NA"/>
    <s v="NA"/>
    <s v="NA"/>
    <m/>
    <m/>
    <s v="NA"/>
    <s v="NA"/>
    <m/>
    <m/>
    <m/>
    <m/>
    <n v="0"/>
    <n v="0"/>
    <n v="0"/>
    <n v="0"/>
    <s v="unknown"/>
    <n v="0"/>
    <n v="0"/>
    <m/>
    <m/>
    <m/>
    <m/>
  </r>
  <r>
    <s v="DSCN0587"/>
    <s v="RC0911_1"/>
    <n v="1"/>
    <n v="1"/>
    <x v="10"/>
    <d v="2018-09-11T00:00:00"/>
    <s v="September"/>
    <s v="Fall"/>
    <d v="1899-12-30T00:00:05"/>
    <d v="1899-12-30T00:00:05"/>
    <x v="122"/>
    <s v="Full sun"/>
    <x v="11"/>
    <s v="Food handling"/>
    <s v="Spruce"/>
    <n v="1"/>
    <m/>
    <n v="0"/>
    <s v="Human food"/>
    <s v="Human food"/>
    <s v="unknown"/>
    <s v="NA"/>
    <s v="NA"/>
    <s v="NA"/>
    <s v="NA"/>
    <m/>
    <m/>
    <s v="NA"/>
    <s v="NA"/>
    <m/>
    <m/>
    <m/>
    <m/>
    <n v="0"/>
    <n v="3"/>
    <n v="0"/>
    <n v="3"/>
    <n v="0"/>
    <n v="0"/>
    <n v="3"/>
    <m/>
    <m/>
    <m/>
    <m/>
  </r>
  <r>
    <s v="DSCN0590"/>
    <s v="RC0911_2"/>
    <n v="2"/>
    <n v="1"/>
    <x v="10"/>
    <d v="2018-09-11T00:00:00"/>
    <s v="September"/>
    <s v="Fall"/>
    <d v="1899-12-30T00:00:05"/>
    <d v="1899-12-30T00:00:05"/>
    <x v="122"/>
    <s v="Full sun"/>
    <x v="11"/>
    <s v="Food handling"/>
    <s v="Spruce"/>
    <n v="1"/>
    <m/>
    <n v="0"/>
    <s v="Unknown"/>
    <s v="Unknown"/>
    <s v="unknown"/>
    <s v="NA"/>
    <s v="NA"/>
    <s v="NA"/>
    <s v="NA"/>
    <m/>
    <m/>
    <s v="NA"/>
    <s v="NA"/>
    <m/>
    <m/>
    <m/>
    <m/>
    <n v="0"/>
    <n v="0"/>
    <n v="0"/>
    <n v="0"/>
    <n v="0"/>
    <n v="0"/>
    <n v="0"/>
    <m/>
    <m/>
    <m/>
    <m/>
  </r>
  <r>
    <s v="DSCN0591"/>
    <s v="RC0911_3"/>
    <n v="3"/>
    <n v="1"/>
    <x v="10"/>
    <d v="2018-09-11T00:00:00"/>
    <s v="September"/>
    <s v="Fall"/>
    <d v="1899-12-30T00:00:07"/>
    <d v="1899-12-30T00:00:07"/>
    <x v="122"/>
    <s v="Full sun"/>
    <x v="11"/>
    <s v="Food handling/caching"/>
    <s v="Spruce"/>
    <n v="1"/>
    <m/>
    <n v="1"/>
    <s v="Unknown"/>
    <s v="Unknown"/>
    <s v="unknown"/>
    <s v="Interior spruce branch, B&amp;Ut bare part of brach between foliage.  "/>
    <s v="Spruce"/>
    <s v="Interior"/>
    <s v="Branch"/>
    <m/>
    <m/>
    <s v="Unknown"/>
    <n v="63.722499999999997"/>
    <n v="148.95992000000001"/>
    <m/>
    <m/>
    <m/>
    <n v="0"/>
    <n v="0"/>
    <n v="0"/>
    <n v="0"/>
    <n v="0"/>
    <n v="0"/>
    <n v="0"/>
    <m/>
    <s v="Saw bird eating unidentified food, appeared to leave some in tree so we marked it as a cache. "/>
    <m/>
    <m/>
  </r>
  <r>
    <s v="DSCN0600"/>
    <s v="CC0911_1"/>
    <n v="1"/>
    <n v="1"/>
    <x v="4"/>
    <d v="2018-09-11T00:00:00"/>
    <s v="September"/>
    <s v="Fall"/>
    <d v="1899-12-30T00:08:00"/>
    <d v="1899-12-30T00:00:08"/>
    <x v="122"/>
    <s v="Full sun"/>
    <x v="11"/>
    <s v="Caching"/>
    <s v="Spruce"/>
    <n v="0"/>
    <m/>
    <n v="1"/>
    <s v="Unknown"/>
    <s v="Unknown"/>
    <s v="NA"/>
    <s v="Spruce trunk under bark "/>
    <s v="Spruce"/>
    <s v="Trunk"/>
    <s v="Under bark"/>
    <m/>
    <m/>
    <s v="Unknown"/>
    <n v="63.723460000000003"/>
    <n v="148.94909999999999"/>
    <m/>
    <m/>
    <m/>
    <n v="0"/>
    <n v="0"/>
    <n v="0"/>
    <n v="0"/>
    <n v="0"/>
    <n v="0"/>
    <n v="0"/>
    <m/>
    <m/>
    <m/>
    <m/>
  </r>
  <r>
    <s v="DSCN0634"/>
    <s v="HS0912_5"/>
    <n v="5"/>
    <n v="1"/>
    <x v="14"/>
    <d v="2018-09-12T00:00:00"/>
    <s v="September"/>
    <s v="Fall"/>
    <d v="1899-12-30T00:11:00"/>
    <d v="1899-12-30T00:00:11"/>
    <x v="122"/>
    <s v="Overcast"/>
    <x v="11"/>
    <s v="Foraging"/>
    <s v="NA"/>
    <n v="1"/>
    <m/>
    <n v="0"/>
    <s v="Unknown"/>
    <s v="Unknown"/>
    <s v="Ground"/>
    <s v="NA"/>
    <s v="NA"/>
    <s v="NA"/>
    <s v="NA"/>
    <m/>
    <m/>
    <s v="NA"/>
    <s v="NA"/>
    <m/>
    <m/>
    <m/>
    <m/>
    <n v="0"/>
    <n v="0"/>
    <n v="0"/>
    <n v="0"/>
    <n v="0"/>
    <n v="0"/>
    <n v="0"/>
    <m/>
    <s v="Verbal recording that it got food on the ground "/>
    <m/>
    <m/>
  </r>
  <r>
    <s v="DSCN0635"/>
    <s v="HS0912_6"/>
    <n v="6"/>
    <n v="1"/>
    <x v="14"/>
    <d v="2018-09-12T00:00:00"/>
    <s v="September"/>
    <s v="Fall"/>
    <d v="1899-12-30T00:24:00"/>
    <d v="1899-12-30T00:00:24"/>
    <x v="122"/>
    <s v="Overcast"/>
    <x v="11"/>
    <s v="Foraging"/>
    <s v="NA"/>
    <n v="1"/>
    <m/>
    <n v="0"/>
    <s v="Berry"/>
    <s v="Berry"/>
    <s v="Ground"/>
    <s v="NA"/>
    <s v="NA"/>
    <s v="NA"/>
    <s v="NA"/>
    <m/>
    <m/>
    <s v="NA"/>
    <s v="NA"/>
    <m/>
    <m/>
    <m/>
    <m/>
    <n v="0"/>
    <n v="0"/>
    <n v="0"/>
    <n v="0"/>
    <n v="5"/>
    <n v="0"/>
    <n v="5"/>
    <m/>
    <m/>
    <m/>
    <m/>
  </r>
  <r>
    <s v="DSCN0643"/>
    <s v="M2370912_2"/>
    <n v="2"/>
    <n v="1"/>
    <x v="9"/>
    <d v="2018-09-12T00:00:00"/>
    <s v="September"/>
    <s v="Fall"/>
    <d v="1899-12-30T00:35:00"/>
    <d v="1899-12-30T00:00:35"/>
    <x v="122"/>
    <s v="Overcast"/>
    <x v="11"/>
    <s v="Foraging"/>
    <s v="Spruce"/>
    <n v="1"/>
    <m/>
    <n v="0"/>
    <s v="Unknown"/>
    <s v="Unknown"/>
    <s v="Interior spruce foliage"/>
    <s v="NA"/>
    <s v="NA"/>
    <s v="NA"/>
    <s v="NA"/>
    <m/>
    <m/>
    <s v="NA"/>
    <s v="NA"/>
    <m/>
    <m/>
    <m/>
    <m/>
    <n v="0"/>
    <n v="19"/>
    <n v="19"/>
    <n v="0"/>
    <n v="0"/>
    <n v="0"/>
    <n v="19"/>
    <m/>
    <m/>
    <m/>
    <m/>
  </r>
  <r>
    <s v="DSCN0677"/>
    <s v="B&amp;U0912_5"/>
    <n v="5"/>
    <n v="1"/>
    <x v="5"/>
    <d v="2018-09-12T00:00:00"/>
    <s v="September"/>
    <s v="Fall"/>
    <d v="1899-12-30T00:41:00"/>
    <d v="1899-12-30T00:00:41"/>
    <x v="122"/>
    <s v="Overcast"/>
    <x v="11"/>
    <s v="Food handling"/>
    <s v="Spruce"/>
    <n v="1"/>
    <m/>
    <n v="1"/>
    <s v="Unknown"/>
    <s v="Unknown"/>
    <s v="unknown"/>
    <s v="Spruce"/>
    <s v="Spruce"/>
    <s v="Unknown"/>
    <s v="Unknown"/>
    <m/>
    <m/>
    <s v="Unknown"/>
    <n v="63.726739999999999"/>
    <n v="148.95921000000001"/>
    <m/>
    <m/>
    <m/>
    <n v="0"/>
    <n v="0"/>
    <n v="0"/>
    <n v="0"/>
    <n v="0"/>
    <n v="0"/>
    <n v="0"/>
    <m/>
    <s v="Unconfirmed caching (observed by Noah S.)"/>
    <m/>
    <m/>
  </r>
  <r>
    <s v="DSCN0698"/>
    <s v="M4R0914_2"/>
    <n v="2"/>
    <n v="1"/>
    <x v="6"/>
    <d v="2018-09-14T00:00:00"/>
    <s v="September"/>
    <s v="Fall"/>
    <d v="1899-12-30T00:16:00"/>
    <d v="1899-12-30T00:00:16"/>
    <x v="122"/>
    <s v="Mostly sunny"/>
    <x v="11"/>
    <s v="Caching"/>
    <s v="Spruce"/>
    <n v="0"/>
    <m/>
    <n v="1"/>
    <s v="Unknown"/>
    <s v="Unknown"/>
    <s v="NA"/>
    <s v="Interior top of spruce in foliage."/>
    <s v="Spruce"/>
    <s v="Interior"/>
    <s v="Foliage"/>
    <m/>
    <m/>
    <s v="unknown"/>
    <s v="Did not mark (did not recognize as cache while in field)"/>
    <m/>
    <m/>
    <m/>
    <m/>
    <n v="0"/>
    <n v="0"/>
    <n v="0"/>
    <n v="0"/>
    <n v="0"/>
    <n v="0"/>
    <n v="0"/>
    <m/>
    <s v="Determined caching based on saliva trail that you can see in video.  "/>
    <m/>
    <m/>
  </r>
  <r>
    <s v="DSCN0705"/>
    <s v="M4R0914_4"/>
    <n v="4"/>
    <n v="1"/>
    <x v="6"/>
    <d v="2018-09-14T00:00:00"/>
    <s v="September"/>
    <s v="Fall"/>
    <d v="1899-12-30T00:14:00"/>
    <d v="1899-12-30T00:00:14"/>
    <x v="122"/>
    <s v="Mostly sunny"/>
    <x v="11"/>
    <s v="Unknown"/>
    <s v="Alder"/>
    <n v="0"/>
    <m/>
    <s v="Unknown"/>
    <s v="Unknown"/>
    <s v="Unknown"/>
    <s v="unknown"/>
    <s v="NA"/>
    <m/>
    <m/>
    <m/>
    <m/>
    <m/>
    <s v="NA"/>
    <s v="NA"/>
    <m/>
    <m/>
    <m/>
    <m/>
    <n v="0"/>
    <n v="0"/>
    <n v="0"/>
    <n v="0"/>
    <n v="0"/>
    <n v="0"/>
    <n v="0"/>
    <m/>
    <s v="Unclear if foraging or caching.  Check with jay crew. "/>
    <m/>
    <m/>
  </r>
  <r>
    <s v="DSCN0769"/>
    <s v="B&amp;U0915_13"/>
    <n v="13"/>
    <n v="1"/>
    <x v="5"/>
    <d v="2018-09-15T00:00:00"/>
    <s v="September"/>
    <s v="Fall"/>
    <d v="1899-12-30T00:41:00"/>
    <d v="1899-12-30T00:00:41"/>
    <x v="122"/>
    <s v="Mostly sunny"/>
    <x v="11"/>
    <s v="Foraging"/>
    <s v="NA"/>
    <n v="1"/>
    <m/>
    <n v="0"/>
    <s v="Berry"/>
    <s v="Berry"/>
    <s v="Ground"/>
    <s v="NA"/>
    <s v="NA"/>
    <s v="NA"/>
    <s v="NA"/>
    <m/>
    <m/>
    <s v="NA"/>
    <s v="NA"/>
    <m/>
    <m/>
    <m/>
    <m/>
    <n v="0"/>
    <n v="0"/>
    <n v="0"/>
    <n v="0"/>
    <n v="24"/>
    <n v="0"/>
    <n v="24"/>
    <m/>
    <m/>
    <m/>
    <m/>
  </r>
  <r>
    <s v="DSCN0769"/>
    <s v="B&amp;U0915_13"/>
    <n v="13"/>
    <n v="2"/>
    <x v="5"/>
    <d v="2018-09-15T00:00:00"/>
    <s v="September"/>
    <s v="Fall"/>
    <d v="1899-12-30T00:41:00"/>
    <d v="1899-12-30T00:00:41"/>
    <x v="122"/>
    <s v="Mostly sunny"/>
    <x v="11"/>
    <s v="Foraging"/>
    <s v="NA"/>
    <n v="1"/>
    <m/>
    <n v="0"/>
    <s v="Unknown"/>
    <s v="Unknown"/>
    <s v="Ground"/>
    <s v="NA"/>
    <s v="NA"/>
    <s v="NA"/>
    <s v="NA"/>
    <m/>
    <m/>
    <s v="NA"/>
    <s v="NA"/>
    <m/>
    <m/>
    <m/>
    <m/>
    <n v="0"/>
    <n v="0"/>
    <n v="0"/>
    <n v="0"/>
    <n v="0"/>
    <n v="0"/>
    <n v="0"/>
    <m/>
    <m/>
    <m/>
    <m/>
  </r>
  <r>
    <s v="DSCN0771"/>
    <s v="B&amp;U0915_3"/>
    <n v="3"/>
    <n v="1"/>
    <x v="5"/>
    <d v="2018-09-15T00:00:00"/>
    <s v="September"/>
    <s v="Fall"/>
    <d v="1899-12-30T00:39:00"/>
    <d v="1899-12-30T00:00:39"/>
    <x v="122"/>
    <s v="Mostly sunny"/>
    <x v="11"/>
    <s v="Foraging"/>
    <s v="Spruce"/>
    <n v="1"/>
    <m/>
    <n v="1"/>
    <s v="Animal flesh"/>
    <s v="Animal flesh (Snowshoe hare)"/>
    <s v="Ground"/>
    <s v="Interior bare spruce branch"/>
    <s v="Spruce"/>
    <s v="Interior"/>
    <s v="Branch"/>
    <m/>
    <m/>
    <n v="17"/>
    <n v="63.72486"/>
    <n v="148.95638"/>
    <m/>
    <m/>
    <m/>
    <n v="0"/>
    <n v="0"/>
    <n v="0"/>
    <n v="0"/>
    <n v="0"/>
    <n v="0"/>
    <n v="0"/>
    <m/>
    <s v="Foraging and caching off dead hare carcass (mostly entrails)"/>
    <m/>
    <m/>
  </r>
  <r>
    <s v="DSCN0789"/>
    <s v="B&amp;U0915_10"/>
    <n v="10"/>
    <n v="1"/>
    <x v="5"/>
    <d v="2018-09-15T00:00:00"/>
    <s v="September"/>
    <s v="Fall"/>
    <d v="1899-12-30T00:18:00"/>
    <d v="1899-12-30T00:00:18"/>
    <x v="122"/>
    <s v="Mostly sunny"/>
    <x v="11"/>
    <s v="Caching"/>
    <s v="Spruce"/>
    <n v="0"/>
    <m/>
    <n v="1"/>
    <s v="Unknown"/>
    <s v="Unknown"/>
    <s v="unknown"/>
    <s v="Spruce trunk under bark"/>
    <s v="Spruce"/>
    <s v="Trunk"/>
    <s v="Under bark"/>
    <m/>
    <m/>
    <s v="unknown"/>
    <n v="63.72484"/>
    <n v="148.95616000000001"/>
    <m/>
    <m/>
    <m/>
    <n v="0"/>
    <n v="0"/>
    <n v="0"/>
    <n v="0"/>
    <n v="0"/>
    <n v="0"/>
    <n v="0"/>
    <m/>
    <m/>
    <m/>
    <m/>
  </r>
  <r>
    <s v="DSCN0800"/>
    <s v="B&amp;U0915_16"/>
    <n v="16"/>
    <n v="1"/>
    <x v="5"/>
    <d v="2018-09-15T00:00:00"/>
    <s v="September"/>
    <s v="Fall"/>
    <d v="1899-12-30T00:39:00"/>
    <d v="1899-12-30T00:00:39"/>
    <x v="122"/>
    <s v="Mostly sunny"/>
    <x v="11"/>
    <s v="Foraging"/>
    <s v="NA"/>
    <n v="1"/>
    <m/>
    <n v="0"/>
    <s v="Unknown"/>
    <s v="Unknown"/>
    <s v="Ground"/>
    <s v="NA"/>
    <s v="NA"/>
    <s v="NA"/>
    <s v="NA"/>
    <m/>
    <m/>
    <s v="NA"/>
    <s v="NA"/>
    <m/>
    <m/>
    <m/>
    <m/>
    <n v="0"/>
    <n v="0"/>
    <n v="0"/>
    <n v="0"/>
    <n v="16"/>
    <n v="0"/>
    <n v="16"/>
    <m/>
    <m/>
    <m/>
    <m/>
  </r>
  <r>
    <s v="DSCN0815"/>
    <s v="M4R0916_3"/>
    <n v="3"/>
    <n v="1"/>
    <x v="6"/>
    <d v="2018-09-16T00:00:00"/>
    <s v="September"/>
    <s v="Fall"/>
    <d v="1899-12-30T00:15:00"/>
    <d v="1899-12-30T00:00:15"/>
    <x v="122"/>
    <s v="Overcast"/>
    <x v="11"/>
    <s v="Foraging/caching"/>
    <s v="Spruce"/>
    <n v="1"/>
    <m/>
    <n v="1"/>
    <s v="Unknown"/>
    <s v="Unknown (probably B&amp;Ug)"/>
    <s v="Exterior foliated spruce"/>
    <s v="Exterior spruce foliage"/>
    <s v="Spruce"/>
    <s v="Exterior"/>
    <s v="Foliage"/>
    <m/>
    <m/>
    <s v="Unknown"/>
    <s v="Did not mark (did not recognize as cache while in field)"/>
    <m/>
    <m/>
    <m/>
    <m/>
    <n v="0"/>
    <n v="0"/>
    <n v="0"/>
    <n v="0"/>
    <n v="0"/>
    <n v="0"/>
    <n v="0"/>
    <m/>
    <m/>
    <m/>
    <m/>
  </r>
  <r>
    <s v="DSCN0834"/>
    <s v="CC0917_7"/>
    <n v="7"/>
    <n v="1"/>
    <x v="4"/>
    <d v="2018-09-17T00:00:00"/>
    <s v="September"/>
    <s v="Fall"/>
    <d v="1899-12-30T00:11:00"/>
    <d v="1899-12-30T00:00:11"/>
    <x v="122"/>
    <s v="Partly Sunny"/>
    <x v="11"/>
    <s v="Foraging"/>
    <s v="NA"/>
    <s v="unknown"/>
    <m/>
    <n v="0"/>
    <s v="Unknown"/>
    <s v="Unknown"/>
    <s v="NA"/>
    <s v="NA"/>
    <s v="NA"/>
    <s v="NA"/>
    <s v="NA"/>
    <m/>
    <m/>
    <s v="NA"/>
    <s v="NA"/>
    <m/>
    <m/>
    <m/>
    <m/>
    <n v="0"/>
    <n v="0"/>
    <n v="0"/>
    <n v="0"/>
    <n v="7"/>
    <n v="0"/>
    <n v="7"/>
    <m/>
    <m/>
    <m/>
    <m/>
  </r>
  <r>
    <s v="DSCN0866"/>
    <s v="AQ0917_1"/>
    <n v="1"/>
    <n v="1"/>
    <x v="7"/>
    <d v="2018-09-17T00:00:00"/>
    <s v="September"/>
    <s v="Fall"/>
    <d v="1899-12-30T00:07:00"/>
    <d v="1899-12-30T00:00:07"/>
    <x v="122"/>
    <s v="Partly Sunny"/>
    <x v="11"/>
    <s v="Food handling"/>
    <s v="Spruce"/>
    <n v="1"/>
    <m/>
    <n v="0"/>
    <s v="Human food"/>
    <s v="Human food (Bread)"/>
    <s v="unknown"/>
    <s v="NA"/>
    <s v="NA"/>
    <s v="NA"/>
    <s v="NA"/>
    <m/>
    <m/>
    <s v="NA"/>
    <s v="NA"/>
    <m/>
    <m/>
    <m/>
    <m/>
    <n v="0"/>
    <n v="0"/>
    <n v="0"/>
    <n v="0"/>
    <n v="0"/>
    <n v="0"/>
    <n v="0"/>
    <m/>
    <m/>
    <m/>
    <m/>
  </r>
  <r>
    <s v="DSCN0878"/>
    <s v="CC0917_3"/>
    <n v="3"/>
    <n v="1"/>
    <x v="4"/>
    <d v="2018-09-17T00:00:00"/>
    <s v="September"/>
    <s v="Fall"/>
    <d v="1899-12-30T00:22:00"/>
    <d v="1899-12-30T00:00:22"/>
    <x v="122"/>
    <s v="Partly Sunny"/>
    <x v="11"/>
    <s v="Foraging"/>
    <s v="NA"/>
    <s v="unknown"/>
    <m/>
    <n v="0"/>
    <m/>
    <s v="NA"/>
    <s v="NA"/>
    <s v="NA"/>
    <s v="NA"/>
    <s v="NA"/>
    <s v="NA"/>
    <m/>
    <m/>
    <s v="NA"/>
    <s v="NA"/>
    <m/>
    <m/>
    <m/>
    <m/>
    <n v="0"/>
    <n v="0"/>
    <n v="0"/>
    <n v="0"/>
    <n v="5"/>
    <n v="0"/>
    <n v="5"/>
    <s v="searching"/>
    <m/>
    <m/>
    <m/>
  </r>
  <r>
    <s v="DSCN0880"/>
    <s v="CC0917_4"/>
    <n v="4"/>
    <n v="1"/>
    <x v="4"/>
    <d v="2018-09-17T00:00:00"/>
    <s v="September"/>
    <s v="Fall"/>
    <d v="1899-12-30T00:33:00"/>
    <d v="1899-12-30T00:00:33"/>
    <x v="122"/>
    <s v="Partly Sunny"/>
    <x v="11"/>
    <s v="Foraging"/>
    <s v="NA"/>
    <n v="1"/>
    <m/>
    <n v="0"/>
    <s v="Unknown"/>
    <s v="Unknown"/>
    <s v="Ground"/>
    <s v="NA"/>
    <s v="NA"/>
    <s v="NA"/>
    <s v="NA"/>
    <m/>
    <m/>
    <s v="NA"/>
    <s v="NA"/>
    <m/>
    <m/>
    <m/>
    <m/>
    <n v="0"/>
    <n v="0"/>
    <n v="0"/>
    <n v="0"/>
    <n v="15"/>
    <n v="0"/>
    <n v="15"/>
    <s v="searching"/>
    <m/>
    <m/>
    <m/>
  </r>
  <r>
    <s v="DSCN0882"/>
    <s v="CC0917_5"/>
    <n v="5"/>
    <n v="1"/>
    <x v="4"/>
    <d v="2018-09-17T00:00:00"/>
    <s v="September"/>
    <s v="Fall"/>
    <d v="1899-12-30T00:38:00"/>
    <d v="1899-12-30T00:00:38"/>
    <x v="122"/>
    <s v="Partly Sunny"/>
    <x v="11"/>
    <s v="Cache"/>
    <s v="Spruce"/>
    <n v="1"/>
    <m/>
    <n v="1"/>
    <s v="Unknown"/>
    <s v="Unknown"/>
    <s v="Ground"/>
    <s v="Exterior bare spruce branch"/>
    <s v="Spruce"/>
    <s v="Exterior"/>
    <s v="Branch"/>
    <m/>
    <m/>
    <s v="unknown"/>
    <n v="63.722329999999999"/>
    <n v="148.95236"/>
    <m/>
    <m/>
    <m/>
    <n v="0"/>
    <n v="0"/>
    <n v="0"/>
    <n v="0"/>
    <n v="0"/>
    <n v="0"/>
    <n v="0"/>
    <s v="probing"/>
    <m/>
    <n v="0"/>
    <n v="0"/>
  </r>
  <r>
    <s v="DSCN0961"/>
    <s v="B&amp;U0920_5"/>
    <n v="5"/>
    <n v="1"/>
    <x v="5"/>
    <d v="2018-09-20T00:00:00"/>
    <s v="September"/>
    <s v="Fall"/>
    <d v="1899-12-30T00:34:00"/>
    <d v="1899-12-30T00:00:34"/>
    <x v="122"/>
    <s v="Overcast, light rain"/>
    <x v="11"/>
    <s v="Foraging"/>
    <s v="NA"/>
    <n v="1"/>
    <m/>
    <n v="0"/>
    <s v="Berry"/>
    <s v="Berry (Blueberry)"/>
    <s v="Ground"/>
    <s v="NA"/>
    <s v="NA"/>
    <s v="NA"/>
    <s v="NA"/>
    <m/>
    <m/>
    <s v="NA"/>
    <s v="NA"/>
    <m/>
    <m/>
    <m/>
    <m/>
    <n v="0"/>
    <n v="0"/>
    <n v="0"/>
    <n v="0"/>
    <n v="27"/>
    <n v="0"/>
    <n v="27"/>
    <m/>
    <m/>
    <m/>
    <m/>
  </r>
  <r>
    <s v="DSCN1099"/>
    <s v="AQ0926_2"/>
    <n v="2"/>
    <n v="1"/>
    <x v="7"/>
    <d v="2018-09-26T00:00:00"/>
    <s v="September"/>
    <s v="Fall"/>
    <d v="1899-12-30T00:30:00"/>
    <d v="1899-12-30T00:00:30"/>
    <x v="122"/>
    <s v="Overcast"/>
    <x v="11"/>
    <s v="Food handling"/>
    <s v="Spruce"/>
    <n v="1"/>
    <m/>
    <n v="0"/>
    <s v="Unknown"/>
    <s v="Unknown"/>
    <s v="unknown"/>
    <s v="NA"/>
    <s v="NA"/>
    <s v="NA"/>
    <s v="NA"/>
    <m/>
    <m/>
    <s v="NA"/>
    <s v="NA"/>
    <m/>
    <m/>
    <m/>
    <m/>
    <n v="0"/>
    <n v="0"/>
    <n v="0"/>
    <n v="0"/>
    <n v="0"/>
    <n v="0"/>
    <n v="0"/>
    <m/>
    <s v="Eating something while on a spruce branch. "/>
    <m/>
    <m/>
  </r>
  <r>
    <s v="DSCN1112"/>
    <s v="CC0926_1"/>
    <n v="1"/>
    <n v="1"/>
    <x v="4"/>
    <d v="2018-09-26T00:00:00"/>
    <s v="September"/>
    <s v="Fall"/>
    <d v="1899-12-30T00:16:00"/>
    <d v="1899-12-30T00:00:16"/>
    <x v="122"/>
    <s v="Overcast"/>
    <x v="11"/>
    <s v="Foraging"/>
    <s v="NA"/>
    <s v="unknown"/>
    <m/>
    <n v="0"/>
    <s v="Unknown"/>
    <s v="Unknown"/>
    <s v="NA"/>
    <s v="NA"/>
    <s v="NA"/>
    <s v="NA"/>
    <s v="NA"/>
    <m/>
    <m/>
    <s v="NA"/>
    <s v="NA"/>
    <m/>
    <m/>
    <m/>
    <m/>
    <n v="0"/>
    <n v="0"/>
    <n v="0"/>
    <n v="0"/>
    <n v="3"/>
    <n v="0"/>
    <n v="3"/>
    <m/>
    <m/>
    <m/>
    <m/>
  </r>
  <r>
    <s v="DSCN1182"/>
    <s v="M4R0927_6"/>
    <n v="6"/>
    <n v="1"/>
    <x v="6"/>
    <d v="2018-09-27T00:00:00"/>
    <s v="September"/>
    <s v="Fall"/>
    <d v="1899-12-30T00:30:00"/>
    <d v="1899-12-30T00:00:30"/>
    <x v="122"/>
    <s v="Overcast"/>
    <x v="11"/>
    <s v="Foraging/food handling"/>
    <s v="Spruce"/>
    <n v="1"/>
    <m/>
    <n v="0"/>
    <s v="Animal flesh"/>
    <s v="Animal flesh"/>
    <s v="Interior spruce foliage"/>
    <s v="NA"/>
    <s v="NA"/>
    <s v="NA"/>
    <s v="NA"/>
    <m/>
    <m/>
    <s v="NA"/>
    <s v="NA"/>
    <m/>
    <m/>
    <m/>
    <m/>
    <n v="0"/>
    <n v="16"/>
    <n v="16"/>
    <n v="0"/>
    <n v="0"/>
    <n v="0"/>
    <n v="16"/>
    <m/>
    <m/>
    <m/>
    <m/>
  </r>
  <r>
    <s v="DSCN1212"/>
    <s v="M2370927_5"/>
    <n v="5"/>
    <n v="1"/>
    <x v="9"/>
    <d v="2018-09-27T00:00:00"/>
    <s v="September"/>
    <s v="Fall"/>
    <d v="1899-12-30T00:31:00"/>
    <d v="1899-12-30T00:00:31"/>
    <x v="122"/>
    <s v="Partly Sunny"/>
    <x v="11"/>
    <s v="Foraging/caching"/>
    <s v="Spruce"/>
    <n v="1"/>
    <m/>
    <n v="1"/>
    <s v="Unknown"/>
    <s v="Unknown"/>
    <s v="Ground"/>
    <s v="Exterior spruce branch under bark/witch hair"/>
    <s v="Spruce"/>
    <s v="Exterior"/>
    <s v="Under bark and witch hair "/>
    <m/>
    <m/>
    <n v="10"/>
    <n v="63.724850000000004"/>
    <n v="148.88839999999999"/>
    <m/>
    <m/>
    <m/>
    <n v="0"/>
    <n v="0"/>
    <n v="0"/>
    <n v="0"/>
    <n v="2"/>
    <n v="0"/>
    <n v="2"/>
    <m/>
    <s v="Suspected B&amp;Ut unconfirmed cache "/>
    <m/>
    <m/>
  </r>
  <r>
    <s v="DSCN1234"/>
    <s v="CC0928_1"/>
    <n v="1"/>
    <n v="1"/>
    <x v="4"/>
    <d v="2018-09-28T00:00:00"/>
    <s v="September"/>
    <s v="Fall"/>
    <d v="1899-12-30T00:13:00"/>
    <d v="1899-12-30T00:00:13"/>
    <x v="122"/>
    <s v="Full sun"/>
    <x v="11"/>
    <s v="Caching"/>
    <s v="Spruce"/>
    <n v="0"/>
    <m/>
    <n v="1"/>
    <s v="Unknown"/>
    <s v="Unknown"/>
    <s v="unknown"/>
    <s v="Exterior spruce branch under bark"/>
    <s v="Spruce"/>
    <s v="Exterior"/>
    <s v="Under bark"/>
    <m/>
    <m/>
    <s v="unknown"/>
    <n v="63.723210000000002"/>
    <n v="148.95068000000001"/>
    <m/>
    <m/>
    <m/>
    <n v="0"/>
    <n v="0"/>
    <n v="0"/>
    <n v="0"/>
    <n v="0"/>
    <n v="0"/>
    <n v="0"/>
    <m/>
    <m/>
    <m/>
    <m/>
  </r>
  <r>
    <s v="DSCN405"/>
    <s v="M2370907_4"/>
    <n v="4"/>
    <n v="1"/>
    <x v="9"/>
    <d v="2018-09-07T00:00:00"/>
    <s v="September"/>
    <s v="Fall"/>
    <d v="1899-12-30T01:30:00"/>
    <d v="1899-12-30T00:01:30"/>
    <x v="122"/>
    <s v="Overcast"/>
    <x v="11"/>
    <s v="Cache recovery/foraging"/>
    <s v="Aspen"/>
    <n v="1"/>
    <m/>
    <n v="0"/>
    <s v="Animal flesh"/>
    <s v="Animal flesh"/>
    <s v="Exterior aspen branch"/>
    <s v="NA"/>
    <s v="NA"/>
    <s v="NA"/>
    <s v="NA"/>
    <m/>
    <m/>
    <s v="NA"/>
    <s v="NA"/>
    <m/>
    <m/>
    <m/>
    <m/>
    <n v="0"/>
    <n v="0"/>
    <n v="0"/>
    <n v="0"/>
    <n v="12"/>
    <n v="0"/>
    <n v="12"/>
    <m/>
    <m/>
    <m/>
    <m/>
  </r>
  <r>
    <s v="DSCN405"/>
    <s v="M2370907_4"/>
    <n v="4"/>
    <n v="1"/>
    <x v="9"/>
    <d v="2018-09-07T00:00:00"/>
    <s v="September"/>
    <s v="Fall"/>
    <d v="1899-12-30T01:30:00"/>
    <d v="1899-12-30T00:01:30"/>
    <x v="122"/>
    <s v="Overcast"/>
    <x v="11"/>
    <s v="Cache recovery/foraging"/>
    <s v="Aspen"/>
    <n v="1"/>
    <m/>
    <n v="0"/>
    <s v="Animal flesh"/>
    <s v="Animal flesh"/>
    <s v="Exterior aspen branch"/>
    <s v="NA"/>
    <s v="NA"/>
    <s v="NA"/>
    <s v="NA"/>
    <m/>
    <m/>
    <s v="NA"/>
    <s v="NA"/>
    <m/>
    <m/>
    <m/>
    <m/>
    <n v="0"/>
    <n v="0"/>
    <n v="0"/>
    <n v="0"/>
    <n v="4"/>
    <n v="0"/>
    <n v="4"/>
    <m/>
    <m/>
    <m/>
    <m/>
  </r>
  <r>
    <s v="No video"/>
    <m/>
    <m/>
    <m/>
    <x v="11"/>
    <d v="2018-09-03T00:00:00"/>
    <s v="September"/>
    <s v="Fall"/>
    <s v="NA"/>
    <m/>
    <x v="122"/>
    <m/>
    <x v="11"/>
    <s v="Caching"/>
    <s v="Spruce"/>
    <n v="0"/>
    <m/>
    <n v="1"/>
    <s v="Unknown"/>
    <s v="Unknown"/>
    <s v="unknown"/>
    <s v="Spruce"/>
    <s v="Spruce"/>
    <s v="Unknown"/>
    <s v="Unknown"/>
    <m/>
    <m/>
    <s v="unknown"/>
    <n v="63.72287"/>
    <n v="148.98138"/>
    <m/>
    <m/>
    <m/>
    <n v="0"/>
    <n v="0"/>
    <n v="0"/>
    <n v="0"/>
    <n v="0"/>
    <n v="0"/>
    <n v="0"/>
    <m/>
    <s v="Don't have video, B&amp;Ut gps'd cahce location.  "/>
    <n v="0"/>
    <n v="0"/>
  </r>
  <r>
    <s v="No video"/>
    <m/>
    <m/>
    <m/>
    <x v="5"/>
    <d v="2018-09-15T00:00:00"/>
    <s v="September"/>
    <s v="Fall"/>
    <m/>
    <m/>
    <x v="122"/>
    <s v="Mostly sunny"/>
    <x v="11"/>
    <s v="Caching"/>
    <s v="Spruce"/>
    <n v="0"/>
    <m/>
    <n v="1"/>
    <s v="Animal flesh"/>
    <s v="Animal flesh (Snowshoe hare)"/>
    <s v="NA"/>
    <s v="Spruce"/>
    <s v="Spruce"/>
    <s v="Unknown"/>
    <s v="Unknown"/>
    <m/>
    <m/>
    <n v="28"/>
    <n v="63.725029999999997"/>
    <n v="148.95626999999999"/>
    <m/>
    <m/>
    <m/>
    <n v="0"/>
    <n v="0"/>
    <n v="0"/>
    <n v="0"/>
    <n v="0"/>
    <n v="0"/>
    <n v="0"/>
    <m/>
    <s v="Did not record cache on cemera B&amp;Ut witnessed with binoculars "/>
    <m/>
    <m/>
  </r>
  <r>
    <s v="No video"/>
    <m/>
    <m/>
    <m/>
    <x v="5"/>
    <d v="2018-09-23T00:00:00"/>
    <s v="September"/>
    <s v="Fall"/>
    <m/>
    <m/>
    <x v="122"/>
    <s v="Overcast"/>
    <x v="11"/>
    <s v="Caching"/>
    <s v="Spruce"/>
    <n v="1"/>
    <m/>
    <n v="1"/>
    <s v="Berry"/>
    <s v="Berry"/>
    <s v="Ground"/>
    <s v="Interior spruce under bark"/>
    <s v="Spruce"/>
    <s v="Interior"/>
    <s v="Under bark"/>
    <m/>
    <m/>
    <n v="5"/>
    <n v="63.725430000000003"/>
    <n v="148.9597"/>
    <m/>
    <m/>
    <m/>
    <n v="0"/>
    <n v="0"/>
    <n v="0"/>
    <n v="0"/>
    <n v="0"/>
    <n v="0"/>
    <n v="0"/>
    <m/>
    <s v="Witnessed foraging/caching event outside of work.  Noted tree and returned later to record GPS"/>
    <m/>
    <m/>
  </r>
  <r>
    <s v="No video "/>
    <m/>
    <m/>
    <m/>
    <x v="6"/>
    <d v="2018-09-05T00:00:00"/>
    <s v="September"/>
    <s v="Fall"/>
    <m/>
    <m/>
    <x v="122"/>
    <s v="Partly Sunny"/>
    <x v="11"/>
    <s v="Caching"/>
    <s v="Spruce"/>
    <n v="0"/>
    <m/>
    <n v="1"/>
    <s v="Berry"/>
    <s v="Berry (Blueberry)"/>
    <s v="Ground"/>
    <s v="Spruce foliage"/>
    <s v="Spruce"/>
    <s v="Unknown"/>
    <s v="Foliage"/>
    <m/>
    <m/>
    <s v="Unknown"/>
    <n v="63.72148"/>
    <n v="148.98616000000001"/>
    <m/>
    <m/>
    <m/>
    <n v="0"/>
    <n v="0"/>
    <n v="0"/>
    <n v="0"/>
    <n v="0"/>
    <n v="0"/>
    <n v="0"/>
    <m/>
    <s v="Caching blueberries from previous video "/>
    <m/>
    <m/>
  </r>
  <r>
    <s v="DSCN0281"/>
    <s v="M4R0905_2"/>
    <n v="2"/>
    <n v="1"/>
    <x v="6"/>
    <d v="2018-09-05T00:00:00"/>
    <s v="September"/>
    <s v="Fall"/>
    <d v="1899-12-30T01:46:00"/>
    <d v="1899-12-30T00:01:46"/>
    <x v="122"/>
    <s v="Partly Sunny"/>
    <x v="12"/>
    <s v="Caching"/>
    <s v="Spruce"/>
    <n v="1"/>
    <m/>
    <n v="1"/>
    <s v="Unknown"/>
    <s v="Unknown"/>
    <s v="Ground"/>
    <s v="Exterior spruce branch/witch hair moss"/>
    <s v="Spruce"/>
    <s v="Exterior"/>
    <s v="Under bark and witch hair "/>
    <m/>
    <m/>
    <s v="Unknown"/>
    <s v="Did not mark (did not recognize as cache while in field)"/>
    <m/>
    <m/>
    <m/>
    <m/>
    <n v="0"/>
    <n v="0"/>
    <n v="0"/>
    <n v="0"/>
    <n v="10"/>
    <n v="0"/>
    <n v="10"/>
    <m/>
    <s v="Decent cache video"/>
    <m/>
    <m/>
  </r>
  <r>
    <s v="DSCN1004"/>
    <s v="M4R0924_1"/>
    <n v="1"/>
    <n v="1"/>
    <x v="6"/>
    <d v="2018-09-24T00:00:00"/>
    <s v="September"/>
    <s v="Fall"/>
    <d v="1899-12-30T00:20:00"/>
    <d v="1899-12-30T00:00:20"/>
    <x v="122"/>
    <s v="Overcast, light rain"/>
    <x v="12"/>
    <s v="Foraging"/>
    <s v="Spruce"/>
    <n v="1"/>
    <m/>
    <n v="0"/>
    <s v="Unknown"/>
    <s v="Unknown"/>
    <s v="Exterior foliated spruce"/>
    <s v="NA"/>
    <s v="NA"/>
    <s v="NA"/>
    <s v="NA"/>
    <m/>
    <m/>
    <s v="NA"/>
    <s v="NA"/>
    <m/>
    <m/>
    <m/>
    <m/>
    <n v="0"/>
    <n v="5"/>
    <n v="0"/>
    <n v="5"/>
    <n v="0"/>
    <n v="0"/>
    <n v="5"/>
    <s v="probing"/>
    <m/>
    <n v="1"/>
    <n v="0"/>
  </r>
  <r>
    <s v="DSCN1179"/>
    <s v="M4R0927_5"/>
    <n v="5"/>
    <n v="1"/>
    <x v="6"/>
    <d v="2018-09-27T00:00:00"/>
    <s v="September"/>
    <s v="Fall"/>
    <d v="1899-12-30T00:07:00"/>
    <d v="1899-12-30T00:00:07"/>
    <x v="122"/>
    <s v="Overcast"/>
    <x v="12"/>
    <s v="Foraging"/>
    <s v="NA"/>
    <n v="1"/>
    <m/>
    <n v="0"/>
    <s v="Unknown"/>
    <s v="Unknown"/>
    <s v="Ground"/>
    <s v="NA"/>
    <s v="NA"/>
    <s v="NA"/>
    <s v="NA"/>
    <m/>
    <m/>
    <s v="NA"/>
    <s v="NA"/>
    <m/>
    <m/>
    <m/>
    <m/>
    <n v="0"/>
    <n v="0"/>
    <n v="0"/>
    <n v="0"/>
    <n v="7"/>
    <n v="0"/>
    <n v="7"/>
    <m/>
    <m/>
    <m/>
    <m/>
  </r>
  <r>
    <s v="No video "/>
    <m/>
    <m/>
    <m/>
    <x v="6"/>
    <d v="2018-09-05T00:00:00"/>
    <s v="September"/>
    <s v="Fall"/>
    <m/>
    <m/>
    <x v="122"/>
    <s v="Partly Sunny"/>
    <x v="12"/>
    <s v="Caching"/>
    <s v="Spruce"/>
    <n v="0"/>
    <m/>
    <n v="1"/>
    <s v="Unknown"/>
    <s v="Unknown"/>
    <s v="Unknown"/>
    <s v="Spruce foliage"/>
    <s v="Spruce"/>
    <s v="Unknown"/>
    <s v="Foliage"/>
    <m/>
    <m/>
    <s v="Unknown"/>
    <n v="63.721179999999997"/>
    <n v="148.98785000000001"/>
    <m/>
    <m/>
    <m/>
    <n v="0"/>
    <n v="0"/>
    <n v="0"/>
    <n v="0"/>
    <n v="0"/>
    <n v="0"/>
    <n v="0"/>
    <m/>
    <s v="Tucker saw the bird cache with his binocculars "/>
    <m/>
    <m/>
  </r>
  <r>
    <s v="DSCN0180"/>
    <s v="TC0903_1"/>
    <n v="1"/>
    <n v="1"/>
    <x v="16"/>
    <d v="2018-09-03T00:00:00"/>
    <s v="September"/>
    <s v="Fall"/>
    <d v="1899-12-30T00:34:00"/>
    <d v="1899-12-30T00:00:34"/>
    <x v="122"/>
    <m/>
    <x v="31"/>
    <s v="Foraging"/>
    <s v="NA"/>
    <n v="1"/>
    <m/>
    <n v="0"/>
    <s v="Human food"/>
    <s v="Human food"/>
    <s v="Ground"/>
    <s v="NA"/>
    <s v="NA"/>
    <s v="NA"/>
    <s v="NA"/>
    <m/>
    <m/>
    <s v="NA"/>
    <s v="NA"/>
    <m/>
    <m/>
    <m/>
    <m/>
    <n v="0"/>
    <n v="0"/>
    <n v="0"/>
    <n v="0"/>
    <n v="0"/>
    <n v="0"/>
    <n v="0"/>
    <s v="Attending known food item"/>
    <s v="34sec eating mystery food"/>
    <n v="0"/>
    <n v="0"/>
  </r>
  <r>
    <s v="DSCN0196"/>
    <s v="TC0903_6"/>
    <n v="6"/>
    <n v="2"/>
    <x v="16"/>
    <d v="2018-09-03T00:00:00"/>
    <s v="September"/>
    <s v="Fall"/>
    <d v="1899-12-30T02:02:00"/>
    <d v="1899-12-30T00:02:02"/>
    <x v="122"/>
    <m/>
    <x v="31"/>
    <s v="Caching"/>
    <s v="Spruce"/>
    <n v="1"/>
    <m/>
    <n v="1"/>
    <s v="Unknown"/>
    <s v="Unknown (probably berry)"/>
    <s v="Ground"/>
    <s v="Interior bare spruce branch"/>
    <s v="Spruce"/>
    <s v="Interior"/>
    <s v="Under bark"/>
    <m/>
    <m/>
    <s v="Unknown"/>
    <n v="63.730229999999999"/>
    <n v="148.90411"/>
    <m/>
    <m/>
    <m/>
    <n v="0"/>
    <n v="0"/>
    <n v="0"/>
    <n v="0"/>
    <n v="23"/>
    <n v="0"/>
    <n v="23"/>
    <m/>
    <s v="The unbanded bird foraged, the banded bird cached.  "/>
    <n v="0"/>
    <n v="0"/>
  </r>
  <r>
    <s v="DSCN0986"/>
    <s v="TC0921_1"/>
    <n v="1"/>
    <n v="1"/>
    <x v="16"/>
    <d v="2018-09-21T00:00:00"/>
    <s v="September"/>
    <s v="Fall"/>
    <d v="1899-12-30T00:21:00"/>
    <d v="1899-12-30T00:00:21"/>
    <x v="122"/>
    <s v="Partly Sunny"/>
    <x v="31"/>
    <s v="Foraging"/>
    <s v="Spruce"/>
    <n v="1"/>
    <m/>
    <n v="0"/>
    <s v="Unknown"/>
    <s v="Unknown"/>
    <s v="Spruce branch under bark"/>
    <s v="NA"/>
    <s v="NA"/>
    <s v="NA"/>
    <s v="NA"/>
    <m/>
    <m/>
    <s v="NA"/>
    <s v="NA"/>
    <m/>
    <m/>
    <m/>
    <m/>
    <n v="11"/>
    <n v="0"/>
    <n v="0"/>
    <n v="11"/>
    <n v="0"/>
    <n v="0"/>
    <n v="11"/>
    <s v="probing"/>
    <m/>
    <m/>
    <m/>
  </r>
  <r>
    <s v="DSCN0989"/>
    <s v="TC0921_2"/>
    <n v="2"/>
    <n v="1"/>
    <x v="16"/>
    <d v="2018-09-21T00:00:00"/>
    <s v="September"/>
    <s v="Fall"/>
    <d v="1899-12-30T00:48:00"/>
    <d v="1899-12-30T00:00:48"/>
    <x v="122"/>
    <s v="Partly Sunny"/>
    <x v="31"/>
    <s v="Foraging/caching"/>
    <s v="Spruce"/>
    <n v="1"/>
    <m/>
    <n v="0"/>
    <s v="Human food"/>
    <s v="Human food"/>
    <s v="Ground"/>
    <s v="NA"/>
    <s v="NA"/>
    <s v="NA"/>
    <s v="NA"/>
    <m/>
    <m/>
    <s v="NA"/>
    <s v="NA"/>
    <m/>
    <m/>
    <m/>
    <m/>
    <n v="0"/>
    <n v="0"/>
    <n v="0"/>
    <n v="0"/>
    <n v="34"/>
    <n v="0"/>
    <n v="34"/>
    <m/>
    <m/>
    <m/>
    <m/>
  </r>
  <r>
    <s v="DSCN0990"/>
    <s v="TC0921_3"/>
    <n v="3"/>
    <n v="1"/>
    <x v="16"/>
    <d v="2018-09-21T00:00:00"/>
    <s v="September"/>
    <s v="Fall"/>
    <d v="1899-12-30T00:04:00"/>
    <d v="1899-12-30T00:00:04"/>
    <x v="122"/>
    <s v="Partly Sunny"/>
    <x v="31"/>
    <s v="Caching"/>
    <s v="Spruce"/>
    <n v="0"/>
    <m/>
    <n v="1"/>
    <s v="Human food"/>
    <s v="Human food"/>
    <s v="Ground"/>
    <s v="Exterior spruce foliage"/>
    <s v="Spruce"/>
    <s v="Exterior"/>
    <s v="Foliage"/>
    <m/>
    <m/>
    <n v="17"/>
    <n v="63.731529999999999"/>
    <n v="148.90143"/>
    <m/>
    <m/>
    <m/>
    <n v="0"/>
    <n v="0"/>
    <n v="0"/>
    <n v="0"/>
    <n v="0"/>
    <n v="0"/>
    <n v="0"/>
    <m/>
    <s v="Cached food from previous video. "/>
    <m/>
    <m/>
  </r>
  <r>
    <s v="DSCN0182"/>
    <s v="TC0903_3"/>
    <n v="3"/>
    <n v="1"/>
    <x v="16"/>
    <d v="2018-09-03T00:00:00"/>
    <s v="September"/>
    <s v="Fall"/>
    <d v="1899-12-30T00:36:00"/>
    <d v="1899-12-30T00:00:36"/>
    <x v="122"/>
    <m/>
    <x v="48"/>
    <s v="Foraging"/>
    <s v="NA"/>
    <n v="1"/>
    <m/>
    <n v="0"/>
    <s v="Human food"/>
    <s v="Human food"/>
    <s v="Ground"/>
    <s v="NA"/>
    <s v="NA"/>
    <s v="NA"/>
    <s v="NA"/>
    <m/>
    <m/>
    <s v="NA"/>
    <s v="NA"/>
    <m/>
    <m/>
    <m/>
    <m/>
    <n v="0"/>
    <n v="0"/>
    <n v="0"/>
    <n v="0"/>
    <n v="14"/>
    <n v="0"/>
    <n v="14"/>
    <s v="searching"/>
    <s v="~10 sec each for foraging.  "/>
    <n v="0"/>
    <n v="0"/>
  </r>
  <r>
    <s v="DSCN0197"/>
    <s v="TC0903_7"/>
    <n v="7"/>
    <n v="1"/>
    <x v="16"/>
    <d v="2018-09-03T00:00:00"/>
    <s v="September"/>
    <s v="Fall"/>
    <d v="1899-12-30T00:24:00"/>
    <d v="1899-12-30T00:00:24"/>
    <x v="122"/>
    <m/>
    <x v="49"/>
    <s v="Foraging"/>
    <s v="NA"/>
    <n v="1"/>
    <m/>
    <n v="0"/>
    <s v="Mushroom"/>
    <s v="Mushroom (Bolet)"/>
    <s v="Ground"/>
    <s v="NA"/>
    <s v="NA"/>
    <s v="NA"/>
    <s v="NA"/>
    <m/>
    <m/>
    <s v="NA"/>
    <s v="NA"/>
    <m/>
    <m/>
    <m/>
    <m/>
    <n v="0"/>
    <n v="0"/>
    <n v="0"/>
    <n v="0"/>
    <n v="0"/>
    <n v="0"/>
    <n v="0"/>
    <m/>
    <s v="Eye witnessed eating from featured mushroom B&amp;Ut did not capture on video"/>
    <n v="0"/>
    <n v="0"/>
  </r>
  <r>
    <s v="DSCN0820"/>
    <s v="M3.50916_1"/>
    <n v="1"/>
    <n v="1"/>
    <x v="11"/>
    <d v="2018-09-16T00:00:00"/>
    <s v="September"/>
    <s v="Fall"/>
    <d v="1899-12-30T00:09:00"/>
    <d v="1899-12-30T00:00:09"/>
    <x v="122"/>
    <s v="Overcast"/>
    <x v="50"/>
    <s v="Foraging"/>
    <s v="NA"/>
    <s v="unknown"/>
    <m/>
    <n v="0"/>
    <s v="Unknown"/>
    <s v="Unknown"/>
    <s v="NA"/>
    <s v="NA"/>
    <s v="NA"/>
    <s v="NA"/>
    <s v="NA"/>
    <m/>
    <m/>
    <s v="NA"/>
    <s v="NA"/>
    <m/>
    <m/>
    <m/>
    <m/>
    <n v="0"/>
    <n v="0"/>
    <n v="0"/>
    <n v="0"/>
    <n v="8"/>
    <n v="0"/>
    <n v="8"/>
    <m/>
    <m/>
    <m/>
    <m/>
  </r>
  <r>
    <s v="DSCN0364"/>
    <s v="MC0906_2"/>
    <n v="2"/>
    <n v="1"/>
    <x v="2"/>
    <d v="2018-09-06T00:00:00"/>
    <s v="September"/>
    <s v="Fall"/>
    <d v="1899-12-30T00:18:00"/>
    <d v="1899-12-30T00:00:18"/>
    <x v="122"/>
    <s v="Overcast"/>
    <x v="13"/>
    <s v="Foraging"/>
    <s v="Aspen"/>
    <s v="unknown"/>
    <m/>
    <n v="0"/>
    <m/>
    <s v="NA"/>
    <s v="NA"/>
    <s v="NA"/>
    <s v="NA"/>
    <s v="NA"/>
    <s v="NA"/>
    <m/>
    <m/>
    <s v="NA"/>
    <s v="NA"/>
    <m/>
    <m/>
    <m/>
    <m/>
    <n v="15"/>
    <n v="0"/>
    <n v="15"/>
    <n v="0"/>
    <n v="0"/>
    <n v="0"/>
    <n v="15"/>
    <s v="Searching/probing "/>
    <m/>
    <m/>
    <m/>
  </r>
  <r>
    <s v="DSCN0372"/>
    <s v="MC0906_5"/>
    <n v="5"/>
    <n v="1"/>
    <x v="2"/>
    <d v="2018-09-06T00:00:00"/>
    <s v="September"/>
    <s v="Fall"/>
    <d v="1899-12-30T00:31:00"/>
    <d v="1899-12-30T00:00:31"/>
    <x v="122"/>
    <s v="Overcast"/>
    <x v="13"/>
    <s v="Foraging"/>
    <s v="Spruce, Aspen"/>
    <s v="unknown"/>
    <m/>
    <n v="0"/>
    <m/>
    <s v="NA"/>
    <s v="NA"/>
    <s v="NA"/>
    <s v="NA"/>
    <s v="NA"/>
    <s v="NA"/>
    <m/>
    <m/>
    <s v="NA"/>
    <s v="NA"/>
    <m/>
    <m/>
    <m/>
    <m/>
    <n v="11"/>
    <n v="16"/>
    <n v="11"/>
    <n v="16"/>
    <n v="0"/>
    <n v="0"/>
    <n v="27"/>
    <s v="Searching "/>
    <m/>
    <m/>
    <m/>
  </r>
  <r>
    <s v="DSCN0373"/>
    <s v="MC0906_6"/>
    <n v="6"/>
    <n v="1"/>
    <x v="2"/>
    <d v="2018-09-06T00:00:00"/>
    <s v="September"/>
    <s v="Fall"/>
    <d v="1899-12-30T00:07:00"/>
    <d v="1899-12-30T00:00:07"/>
    <x v="122"/>
    <s v="Overcast"/>
    <x v="13"/>
    <s v="Foraging"/>
    <s v="Aspen"/>
    <n v="1"/>
    <m/>
    <n v="0"/>
    <s v="Unknown"/>
    <s v="Unknown"/>
    <s v="Aspen branch under bark"/>
    <s v="NA"/>
    <s v="NA"/>
    <s v="NA"/>
    <s v="NA"/>
    <m/>
    <m/>
    <s v="NA"/>
    <s v="NA"/>
    <m/>
    <m/>
    <m/>
    <m/>
    <n v="7"/>
    <n v="0"/>
    <n v="0"/>
    <n v="7"/>
    <n v="0"/>
    <n v="0"/>
    <n v="7"/>
    <s v="probing"/>
    <m/>
    <n v="1"/>
    <n v="0"/>
  </r>
  <r>
    <s v="DSCN0376"/>
    <s v="MC0906_7"/>
    <n v="7"/>
    <n v="1"/>
    <x v="2"/>
    <d v="2018-09-06T00:00:00"/>
    <s v="September"/>
    <s v="Fall"/>
    <d v="1899-12-30T00:47:00"/>
    <d v="1899-12-30T00:00:47"/>
    <x v="122"/>
    <s v="Overcast"/>
    <x v="13"/>
    <s v="Foraging"/>
    <s v="NA"/>
    <n v="1"/>
    <m/>
    <n v="1"/>
    <s v="Mushroom"/>
    <s v="Mushroom"/>
    <s v="Ground"/>
    <s v="Exterior spruce foliage"/>
    <s v="Spruce"/>
    <s v="Exterior"/>
    <s v="Foliage"/>
    <m/>
    <m/>
    <s v="NA"/>
    <s v="Later moved by second bird.  "/>
    <m/>
    <m/>
    <m/>
    <m/>
    <n v="0"/>
    <n v="0"/>
    <n v="0"/>
    <n v="0"/>
    <n v="25"/>
    <n v="0"/>
    <n v="25"/>
    <m/>
    <m/>
    <m/>
    <m/>
  </r>
  <r>
    <s v="DSCN0382"/>
    <s v="MC0906_12"/>
    <n v="12"/>
    <n v="1"/>
    <x v="2"/>
    <d v="2018-09-06T00:00:00"/>
    <s v="September"/>
    <s v="Fall"/>
    <d v="1899-12-30T02:09:00"/>
    <d v="1899-12-30T00:02:09"/>
    <x v="122"/>
    <s v="Overcast"/>
    <x v="13"/>
    <s v="Caching"/>
    <s v="Spruce"/>
    <n v="1"/>
    <m/>
    <n v="1"/>
    <s v="Unknown"/>
    <s v="Unknown"/>
    <s v="Exterior spruce foliage "/>
    <s v="Interior spruce foliage"/>
    <s v="Spruce"/>
    <s v="Interior"/>
    <s v="Foliage"/>
    <m/>
    <m/>
    <s v="Unknown"/>
    <n v="63.731960000000001"/>
    <n v="148.89534"/>
    <m/>
    <m/>
    <m/>
    <n v="6"/>
    <n v="6"/>
    <n v="0"/>
    <n v="12"/>
    <n v="21"/>
    <n v="0"/>
    <n v="33"/>
    <m/>
    <s v="Cache is not from the observed food acquisition in video.  "/>
    <m/>
    <m/>
  </r>
  <r>
    <s v="DSCN0418"/>
    <s v="MC0907_1"/>
    <n v="1"/>
    <n v="1"/>
    <x v="2"/>
    <d v="2018-09-07T00:00:00"/>
    <s v="September"/>
    <s v="Fall"/>
    <d v="1899-12-30T00:17:00"/>
    <d v="1899-12-30T00:00:17"/>
    <x v="122"/>
    <s v="Overcast"/>
    <x v="13"/>
    <s v="Foraging"/>
    <s v="NA"/>
    <n v="1"/>
    <m/>
    <n v="0"/>
    <s v="Mushroom"/>
    <s v="Mushroom (amanita)"/>
    <s v="Ground"/>
    <s v="NA"/>
    <s v="NA"/>
    <s v="NA"/>
    <s v="NA"/>
    <m/>
    <m/>
    <s v="NA"/>
    <s v="NA"/>
    <m/>
    <m/>
    <m/>
    <m/>
    <n v="0"/>
    <n v="0"/>
    <n v="0"/>
    <n v="0"/>
    <n v="8"/>
    <n v="0"/>
    <n v="8"/>
    <m/>
    <m/>
    <m/>
    <m/>
  </r>
  <r>
    <s v="DSCN0419"/>
    <s v="MC0907_2"/>
    <n v="2"/>
    <n v="1"/>
    <x v="2"/>
    <d v="2018-09-07T00:00:00"/>
    <s v="September"/>
    <s v="Fall"/>
    <d v="1899-12-30T01:33:00"/>
    <d v="1899-12-30T00:01:33"/>
    <x v="122"/>
    <s v="Overcast"/>
    <x v="13"/>
    <s v="Food handling/caching"/>
    <s v="Spruce"/>
    <n v="0"/>
    <m/>
    <n v="1"/>
    <s v="Mushroom"/>
    <s v="Mushroom (amanita)"/>
    <s v="Ground"/>
    <s v="Exterior spruce foliage"/>
    <s v="Spruce"/>
    <s v="Exterior"/>
    <s v="Foliage"/>
    <m/>
    <m/>
    <s v="unknown"/>
    <n v="63.731299999999997"/>
    <n v="148.89637999999999"/>
    <m/>
    <m/>
    <m/>
    <n v="0"/>
    <n v="0"/>
    <n v="0"/>
    <n v="0"/>
    <n v="0"/>
    <n v="0"/>
    <n v="0"/>
    <m/>
    <s v="Tearing up and caching bits of mushroom from previous video.  "/>
    <m/>
    <m/>
  </r>
  <r>
    <s v="DSCN0422"/>
    <s v="MC0907_3"/>
    <n v="3"/>
    <n v="1"/>
    <x v="2"/>
    <d v="2018-09-07T00:00:00"/>
    <s v="September"/>
    <s v="Fall"/>
    <d v="1899-12-30T01:24:00"/>
    <d v="1899-12-30T00:01:24"/>
    <x v="122"/>
    <s v="Overcast"/>
    <x v="13"/>
    <s v="Foraging"/>
    <s v="Spruce"/>
    <n v="1"/>
    <m/>
    <n v="0"/>
    <s v="Mushroom"/>
    <s v="Mushroom (amanita)"/>
    <s v="NA"/>
    <s v="NA"/>
    <s v="NA"/>
    <s v="NA"/>
    <s v="NA"/>
    <m/>
    <m/>
    <s v="NA"/>
    <s v="NA"/>
    <m/>
    <m/>
    <m/>
    <m/>
    <n v="0"/>
    <n v="0"/>
    <n v="0"/>
    <n v="0"/>
    <n v="0"/>
    <n v="0"/>
    <n v="0"/>
    <m/>
    <s v="Tearing up bits of mushroom from previous video"/>
    <m/>
    <m/>
  </r>
  <r>
    <s v="DSCN0441"/>
    <s v="MC0907_10"/>
    <n v="10"/>
    <n v="1"/>
    <x v="2"/>
    <d v="2018-09-07T00:00:00"/>
    <s v="September"/>
    <s v="Fall"/>
    <d v="1899-12-30T01:14:00"/>
    <d v="1899-12-30T00:01:14"/>
    <x v="122"/>
    <s v="Overcast"/>
    <x v="13"/>
    <s v="Foraging"/>
    <s v="Spruce"/>
    <s v="unknown"/>
    <m/>
    <n v="0"/>
    <m/>
    <s v="NA"/>
    <s v="NA"/>
    <s v="NA"/>
    <s v="NA"/>
    <s v="NA"/>
    <s v="NA"/>
    <m/>
    <m/>
    <s v="NA"/>
    <s v="NA"/>
    <m/>
    <m/>
    <m/>
    <m/>
    <n v="9"/>
    <n v="0"/>
    <n v="9"/>
    <n v="0"/>
    <n v="0"/>
    <n v="0"/>
    <n v="9"/>
    <s v="probing"/>
    <m/>
    <n v="3"/>
    <n v="0"/>
  </r>
  <r>
    <s v="DSCN0442"/>
    <s v="MC0907_11"/>
    <n v="11"/>
    <n v="1"/>
    <x v="2"/>
    <d v="2018-09-07T00:00:00"/>
    <s v="September"/>
    <s v="Fall"/>
    <d v="1899-12-30T00:50:00"/>
    <d v="1899-12-30T00:00:50"/>
    <x v="122"/>
    <s v="Overcast"/>
    <x v="13"/>
    <s v="Foraging"/>
    <s v="Spruce"/>
    <n v="1"/>
    <m/>
    <n v="0"/>
    <s v="Unknown"/>
    <s v="Unknown"/>
    <s v="bare spruce branch"/>
    <s v="NA"/>
    <s v="NA"/>
    <s v="NA"/>
    <s v="NA"/>
    <m/>
    <m/>
    <s v="NA"/>
    <s v="NA"/>
    <m/>
    <m/>
    <m/>
    <m/>
    <n v="25"/>
    <n v="0"/>
    <n v="0"/>
    <n v="25"/>
    <n v="0"/>
    <n v="0"/>
    <n v="25"/>
    <s v="Gleaning"/>
    <m/>
    <n v="0"/>
    <n v="5"/>
  </r>
  <r>
    <s v="DSCN0443"/>
    <s v="MC0907_12"/>
    <n v="12"/>
    <n v="3"/>
    <x v="2"/>
    <d v="2018-09-07T00:00:00"/>
    <s v="September"/>
    <s v="Fall"/>
    <d v="1899-12-30T01:28:00"/>
    <d v="1899-12-30T00:01:28"/>
    <x v="122"/>
    <s v="Overcast"/>
    <x v="13"/>
    <s v="Foraging"/>
    <s v="Spruce"/>
    <n v="1"/>
    <m/>
    <n v="0"/>
    <s v="Unknown"/>
    <s v="Unknown"/>
    <s v="Ground"/>
    <s v="NA"/>
    <s v="NA"/>
    <s v="NA"/>
    <s v="NA"/>
    <m/>
    <m/>
    <s v="NA"/>
    <s v="NA"/>
    <m/>
    <m/>
    <m/>
    <m/>
    <n v="0"/>
    <n v="0"/>
    <n v="0"/>
    <n v="0"/>
    <n v="0"/>
    <n v="0"/>
    <n v="0"/>
    <s v="Searching "/>
    <m/>
    <m/>
    <m/>
  </r>
  <r>
    <s v="DSCN0443"/>
    <s v="MC0907_12"/>
    <n v="12"/>
    <n v="2"/>
    <x v="2"/>
    <d v="2018-09-07T00:00:00"/>
    <s v="September"/>
    <s v="Fall"/>
    <d v="1899-12-30T01:28:00"/>
    <d v="1899-12-30T00:01:28"/>
    <x v="122"/>
    <s v="Overcast"/>
    <x v="13"/>
    <s v="Caching"/>
    <s v="Spruce"/>
    <n v="0"/>
    <m/>
    <n v="1"/>
    <s v="Unknown"/>
    <s v="Unknown"/>
    <s v="unknown"/>
    <s v="Spruce trunk under bark"/>
    <s v="Spruce"/>
    <s v="Trunk"/>
    <s v="Under bark"/>
    <m/>
    <m/>
    <s v="Unknown"/>
    <s v="Did not mark (did not recognize as cache while in field)"/>
    <m/>
    <m/>
    <m/>
    <m/>
    <n v="0"/>
    <n v="0"/>
    <n v="0"/>
    <n v="0"/>
    <n v="0"/>
    <n v="0"/>
    <n v="0"/>
    <s v="Searching "/>
    <m/>
    <m/>
    <m/>
  </r>
  <r>
    <s v="DSCN0612"/>
    <s v="MC0911_3"/>
    <n v="3"/>
    <n v="1"/>
    <x v="2"/>
    <d v="2018-09-11T00:00:00"/>
    <s v="September"/>
    <s v="Fall"/>
    <d v="1899-12-30T00:05:00"/>
    <d v="1899-12-30T00:00:05"/>
    <x v="122"/>
    <s v="Full sun"/>
    <x v="13"/>
    <s v="Foraging"/>
    <s v="Aspen"/>
    <n v="1"/>
    <m/>
    <n v="0"/>
    <s v="Unknown"/>
    <s v="Unknown"/>
    <s v="Aspen branch"/>
    <s v="NA"/>
    <s v="NA"/>
    <s v="NA"/>
    <s v="NA"/>
    <m/>
    <m/>
    <s v="NA"/>
    <s v="NA"/>
    <m/>
    <m/>
    <m/>
    <m/>
    <n v="4"/>
    <n v="0"/>
    <n v="0"/>
    <n v="4"/>
    <n v="0"/>
    <n v="0"/>
    <n v="4"/>
    <m/>
    <m/>
    <m/>
    <m/>
  </r>
  <r>
    <s v="DSCN0734"/>
    <s v="MC0914_2"/>
    <n v="2"/>
    <n v="1"/>
    <x v="2"/>
    <d v="2018-09-14T00:00:00"/>
    <s v="September"/>
    <s v="Fall"/>
    <d v="1899-12-30T00:54:00"/>
    <d v="1899-12-30T00:00:54"/>
    <x v="122"/>
    <s v="Mostly sunny"/>
    <x v="13"/>
    <s v="Foraging"/>
    <s v="Spruce"/>
    <n v="1"/>
    <m/>
    <n v="3"/>
    <s v="Unknown"/>
    <s v="Unknown"/>
    <s v="Mistletoe baremble"/>
    <s v="Exterior spruce limbs under bark "/>
    <s v="Spruce"/>
    <s v="Exterior"/>
    <s v="Under bark"/>
    <m/>
    <m/>
    <s v="unknown"/>
    <n v="63.73272"/>
    <n v="148.89931999999999"/>
    <m/>
    <m/>
    <m/>
    <n v="0"/>
    <n v="0"/>
    <n v="0"/>
    <n v="0"/>
    <n v="0"/>
    <n v="0"/>
    <n v="0"/>
    <m/>
    <m/>
    <m/>
    <m/>
  </r>
  <r>
    <s v="DSCN0736"/>
    <s v="MC0914_3"/>
    <n v="3"/>
    <n v="1"/>
    <x v="2"/>
    <d v="2018-09-14T00:00:00"/>
    <s v="September"/>
    <s v="Fall"/>
    <d v="1899-12-30T00:23:00"/>
    <d v="1899-12-30T00:00:23"/>
    <x v="122"/>
    <s v="Mostly sunny"/>
    <x v="13"/>
    <s v="Foraging"/>
    <s v="Spruce"/>
    <n v="1"/>
    <m/>
    <n v="0"/>
    <s v="Unknown"/>
    <s v="Unknown"/>
    <s v="Ground"/>
    <s v="NA"/>
    <s v="NA"/>
    <s v="NA"/>
    <s v="NA"/>
    <m/>
    <m/>
    <s v="NA"/>
    <s v="NA"/>
    <m/>
    <m/>
    <m/>
    <m/>
    <n v="0"/>
    <n v="0"/>
    <n v="0"/>
    <n v="0"/>
    <n v="0"/>
    <n v="0"/>
    <n v="0"/>
    <m/>
    <s v="Missed food acquisition on film"/>
    <m/>
    <m/>
  </r>
  <r>
    <s v="DSCN0833"/>
    <s v="MC0916_1"/>
    <n v="1"/>
    <n v="1"/>
    <x v="2"/>
    <d v="2018-09-16T00:00:00"/>
    <s v="September"/>
    <s v="Fall"/>
    <d v="1899-12-30T00:47:00"/>
    <d v="1899-12-30T00:00:47"/>
    <x v="122"/>
    <s v="Overcast"/>
    <x v="13"/>
    <s v="Foraging"/>
    <s v="Spruce"/>
    <n v="1"/>
    <m/>
    <n v="1"/>
    <s v="Human food"/>
    <s v="Human food (orange peel)"/>
    <s v="Ground"/>
    <s v="Sitting on interior foliated spruce branch"/>
    <s v="Spruce"/>
    <s v="Interior"/>
    <s v="Foliage"/>
    <m/>
    <m/>
    <s v="Unknown"/>
    <n v="63.732439999999997"/>
    <n v="148.89502999999999"/>
    <m/>
    <m/>
    <m/>
    <n v="0"/>
    <n v="0"/>
    <n v="0"/>
    <n v="0"/>
    <n v="0"/>
    <n v="0"/>
    <n v="0"/>
    <m/>
    <s v="Left peel in tree its eating in in this video.  "/>
    <m/>
    <m/>
  </r>
  <r>
    <s v="DSCN0853"/>
    <s v="MC0916_9"/>
    <n v="9"/>
    <n v="1"/>
    <x v="2"/>
    <d v="2018-09-16T00:00:00"/>
    <s v="September"/>
    <s v="Fall"/>
    <d v="1899-12-30T01:15:00"/>
    <d v="1899-12-30T00:01:15"/>
    <x v="122"/>
    <s v="Overcast"/>
    <x v="13"/>
    <s v="Foraging"/>
    <s v="Spruce"/>
    <s v="unknown"/>
    <m/>
    <n v="0"/>
    <m/>
    <s v="NA"/>
    <s v="NA"/>
    <s v="NA"/>
    <s v="NA"/>
    <s v="NA"/>
    <s v="NA"/>
    <m/>
    <m/>
    <s v="NA"/>
    <s v="NA"/>
    <m/>
    <m/>
    <m/>
    <m/>
    <n v="26"/>
    <n v="5"/>
    <n v="26"/>
    <n v="5"/>
    <n v="0"/>
    <n v="0"/>
    <n v="31"/>
    <m/>
    <m/>
    <m/>
    <m/>
  </r>
  <r>
    <s v="DSCN0997"/>
    <s v="MC0921_1"/>
    <n v="1"/>
    <n v="1"/>
    <x v="2"/>
    <d v="2018-09-21T00:00:00"/>
    <s v="September"/>
    <s v="Fall"/>
    <d v="1899-12-30T00:04:00"/>
    <d v="1899-12-30T00:00:04"/>
    <x v="122"/>
    <s v="Mostly sunny"/>
    <x v="13"/>
    <s v="Food handling"/>
    <s v="Aspen"/>
    <n v="1"/>
    <m/>
    <n v="0"/>
    <s v="Human food"/>
    <s v="Human food, probably sausage"/>
    <s v="Seemed to get it from tree, B&amp;Ut unconfirmed"/>
    <s v="NA"/>
    <s v="NA"/>
    <s v="NA"/>
    <s v="NA"/>
    <m/>
    <m/>
    <s v="NA"/>
    <s v="NA"/>
    <m/>
    <m/>
    <m/>
    <m/>
    <n v="0"/>
    <n v="0"/>
    <n v="0"/>
    <n v="0"/>
    <n v="0"/>
    <n v="0"/>
    <n v="0"/>
    <m/>
    <m/>
    <m/>
    <m/>
  </r>
  <r>
    <s v="DSCN0998"/>
    <s v="MC0921_2"/>
    <n v="2"/>
    <n v="1"/>
    <x v="2"/>
    <d v="2018-09-21T00:00:00"/>
    <s v="September"/>
    <s v="Fall"/>
    <d v="1899-12-30T00:48:00"/>
    <d v="1899-12-30T00:00:48"/>
    <x v="122"/>
    <s v="Mostly sunny"/>
    <x v="13"/>
    <s v="Caching"/>
    <s v="Spruce, Aspen"/>
    <n v="0"/>
    <m/>
    <n v="1"/>
    <s v="Human food"/>
    <s v="Human food, probably sausage"/>
    <s v="Seemed to get it from tree, B&amp;Ut unconfirmed"/>
    <s v="Exterior aspen branch under bark"/>
    <s v="Aspen"/>
    <s v="Exterior"/>
    <s v="Under bark"/>
    <m/>
    <m/>
    <s v="Unknown"/>
    <n v="63.733040000000003"/>
    <n v="148.89510999999999"/>
    <m/>
    <m/>
    <m/>
    <n v="0"/>
    <n v="0"/>
    <n v="0"/>
    <n v="0"/>
    <n v="0"/>
    <n v="0"/>
    <n v="0"/>
    <m/>
    <s v="Great cache video"/>
    <m/>
    <m/>
  </r>
  <r>
    <s v="DSCN0998"/>
    <s v="MC0921_2"/>
    <n v="2"/>
    <n v="2"/>
    <x v="2"/>
    <d v="2018-09-21T00:00:00"/>
    <s v="September"/>
    <s v="Fall"/>
    <d v="1899-12-30T00:48:00"/>
    <d v="1899-12-30T00:00:48"/>
    <x v="122"/>
    <s v="Mostly sunny"/>
    <x v="13"/>
    <s v="Caching"/>
    <s v="Spruce, Aspen"/>
    <n v="0"/>
    <m/>
    <n v="1"/>
    <s v="Human food"/>
    <s v="Human food, probably sausage"/>
    <s v="Seemed to get it from tree, B&amp;Ut unconfirmed"/>
    <s v="Exterior aspen branch under bark"/>
    <s v="Aspen"/>
    <s v="Exterior"/>
    <s v="Under bark"/>
    <m/>
    <m/>
    <s v="Unknown"/>
    <n v="63.733040000000003"/>
    <n v="148.89510999999999"/>
    <m/>
    <m/>
    <m/>
    <n v="0"/>
    <n v="0"/>
    <n v="0"/>
    <n v="0"/>
    <n v="0"/>
    <n v="0"/>
    <n v="0"/>
    <m/>
    <s v="Trees right next to each other so same GPS"/>
    <m/>
    <m/>
  </r>
  <r>
    <s v="DSCN1085"/>
    <s v="MC0925_4"/>
    <n v="4"/>
    <n v="1"/>
    <x v="2"/>
    <d v="2018-09-25T00:00:00"/>
    <s v="September"/>
    <s v="Fall"/>
    <d v="1899-12-30T00:16:00"/>
    <d v="1899-12-30T00:00:17"/>
    <x v="122"/>
    <s v="Overcast"/>
    <x v="13"/>
    <s v="Foraging"/>
    <s v="NA"/>
    <n v="1"/>
    <m/>
    <n v="0"/>
    <s v="Animal flesh"/>
    <s v="Animal flesh (Snowshoe hare)"/>
    <s v="Ground"/>
    <s v="NA"/>
    <s v="NA"/>
    <s v="NA"/>
    <s v="NA"/>
    <m/>
    <m/>
    <s v="NA"/>
    <s v="NA"/>
    <m/>
    <m/>
    <m/>
    <m/>
    <n v="0"/>
    <n v="0"/>
    <n v="0"/>
    <n v="0"/>
    <n v="0"/>
    <n v="0"/>
    <n v="0"/>
    <m/>
    <s v="In video I say worm, B&amp;Ut we checked later;def guts."/>
    <m/>
    <m/>
  </r>
  <r>
    <s v="DSCN1085"/>
    <s v="MC0925_5"/>
    <n v="5"/>
    <n v="1"/>
    <x v="2"/>
    <d v="2018-09-25T00:00:00"/>
    <s v="September"/>
    <s v="Fall"/>
    <d v="1899-12-30T00:14:00"/>
    <d v="1899-12-30T00:00:14"/>
    <x v="122"/>
    <s v="Overcast"/>
    <x v="13"/>
    <s v="Food handling"/>
    <s v="NA"/>
    <n v="0"/>
    <m/>
    <n v="0"/>
    <s v="Animal flesh"/>
    <s v="Animal flesh (Snowshoe hare)"/>
    <s v="NA"/>
    <s v="NA"/>
    <s v="NA"/>
    <s v="NA"/>
    <s v="NA"/>
    <m/>
    <m/>
    <s v="NA"/>
    <s v="NA"/>
    <m/>
    <m/>
    <m/>
    <m/>
    <n v="0"/>
    <n v="0"/>
    <n v="0"/>
    <n v="0"/>
    <n v="0"/>
    <n v="0"/>
    <n v="0"/>
    <m/>
    <s v="Handling same bit of guts as in previors video.  "/>
    <m/>
    <m/>
  </r>
  <r>
    <s v="DSCN1088"/>
    <s v="MC0925_6"/>
    <n v="6"/>
    <n v="1"/>
    <x v="2"/>
    <d v="2018-09-25T00:00:00"/>
    <s v="September"/>
    <s v="Fall"/>
    <d v="1899-12-30T00:04:00"/>
    <d v="1899-12-30T00:00:04"/>
    <x v="122"/>
    <s v="Overcast"/>
    <x v="13"/>
    <s v="Foraging"/>
    <s v="NA"/>
    <n v="1"/>
    <m/>
    <n v="0"/>
    <s v="Animal flesh"/>
    <s v="Animal flesh (Snowshoe hare)"/>
    <s v="Ground"/>
    <s v="NA"/>
    <s v="NA"/>
    <s v="NA"/>
    <s v="NA"/>
    <m/>
    <m/>
    <s v="NA"/>
    <s v="NA"/>
    <m/>
    <m/>
    <m/>
    <m/>
    <n v="0"/>
    <n v="0"/>
    <n v="0"/>
    <n v="0"/>
    <n v="0"/>
    <n v="0"/>
    <n v="0"/>
    <m/>
    <s v="New trip to hare"/>
    <m/>
    <m/>
  </r>
  <r>
    <s v="DSCN1089"/>
    <s v="MC0925_7"/>
    <n v="7"/>
    <n v="1"/>
    <x v="2"/>
    <d v="2018-09-25T00:00:00"/>
    <s v="September"/>
    <s v="Fall"/>
    <d v="1899-12-30T00:31:00"/>
    <d v="1899-12-30T00:00:31"/>
    <x v="122"/>
    <s v="Overcast"/>
    <x v="13"/>
    <s v="Foraging"/>
    <s v="NA"/>
    <n v="1"/>
    <m/>
    <n v="1"/>
    <s v="Berry"/>
    <s v="Berry (Blueberry)"/>
    <s v="Ground"/>
    <s v="Interior spruce foliage, 7m off ground"/>
    <s v="Spruce"/>
    <s v="Interior"/>
    <s v="Foliage"/>
    <m/>
    <m/>
    <n v="13"/>
    <n v="63.732559999999999"/>
    <n v="148.89667"/>
    <m/>
    <m/>
    <m/>
    <n v="0"/>
    <n v="0"/>
    <n v="0"/>
    <n v="0"/>
    <n v="6"/>
    <n v="0"/>
    <n v="6"/>
    <m/>
    <m/>
    <m/>
    <m/>
  </r>
  <r>
    <s v="No video"/>
    <m/>
    <m/>
    <m/>
    <x v="2"/>
    <d v="2018-09-25T00:00:00"/>
    <s v="September"/>
    <s v="Fall"/>
    <m/>
    <m/>
    <x v="122"/>
    <s v="Overcast"/>
    <x v="13"/>
    <s v="Caching"/>
    <s v="NA"/>
    <n v="0"/>
    <m/>
    <n v="1"/>
    <s v="Animal flesh"/>
    <s v="Animal flesh (Snowshoe hare)"/>
    <s v="NA"/>
    <s v="Interior top of spruce in foliage."/>
    <s v="Spruce"/>
    <s v="Interior"/>
    <s v="Foliage"/>
    <m/>
    <m/>
    <n v="18"/>
    <n v="63.732320000000001"/>
    <n v="148.89685"/>
    <m/>
    <m/>
    <m/>
    <n v="0"/>
    <n v="0"/>
    <n v="0"/>
    <n v="0"/>
    <n v="0"/>
    <n v="0"/>
    <n v="0"/>
    <m/>
    <s v="Cached food from previous video.  Did not get in on camera B&amp;Ut observed IRL"/>
    <m/>
    <m/>
  </r>
  <r>
    <s v="DSCN0567"/>
    <s v="M4E0909_1"/>
    <n v="1"/>
    <n v="1"/>
    <x v="21"/>
    <d v="2018-09-09T00:00:00"/>
    <s v="September"/>
    <s v="Fall"/>
    <d v="1899-12-30T00:29:00"/>
    <d v="1899-12-30T00:00:29"/>
    <x v="122"/>
    <s v="Full sun"/>
    <x v="21"/>
    <s v="Foraging"/>
    <s v="NA"/>
    <n v="2"/>
    <m/>
    <n v="0"/>
    <s v="Unknown"/>
    <s v="Unknown"/>
    <s v="Ground"/>
    <s v="NA"/>
    <s v="NA"/>
    <s v="NA"/>
    <s v="NA"/>
    <m/>
    <m/>
    <s v="NA"/>
    <s v="NA"/>
    <m/>
    <m/>
    <m/>
    <m/>
    <n v="0"/>
    <n v="0"/>
    <n v="0"/>
    <n v="0"/>
    <n v="15"/>
    <n v="0"/>
    <n v="15"/>
    <m/>
    <m/>
    <m/>
    <m/>
  </r>
  <r>
    <s v="DSCN0568"/>
    <s v="M4E0909_2"/>
    <n v="2"/>
    <n v="1"/>
    <x v="21"/>
    <d v="2018-09-09T00:00:00"/>
    <s v="September"/>
    <s v="Fall"/>
    <d v="1899-12-30T01:42:00"/>
    <d v="1899-12-30T00:01:42"/>
    <x v="122"/>
    <s v="Full sun"/>
    <x v="21"/>
    <s v="Foraging"/>
    <s v="NA"/>
    <n v="1"/>
    <m/>
    <n v="0"/>
    <s v="Insect"/>
    <s v="Insect (winged insect)"/>
    <s v="Ground"/>
    <s v="NA"/>
    <s v="NA"/>
    <s v="NA"/>
    <s v="NA"/>
    <m/>
    <m/>
    <s v="NA"/>
    <s v="NA"/>
    <m/>
    <m/>
    <m/>
    <m/>
    <n v="0"/>
    <n v="0"/>
    <n v="0"/>
    <n v="0"/>
    <n v="2"/>
    <n v="0"/>
    <n v="2"/>
    <m/>
    <m/>
    <m/>
    <m/>
  </r>
  <r>
    <s v="DSCN0574"/>
    <s v="M4E0909_3"/>
    <n v="3"/>
    <n v="1"/>
    <x v="21"/>
    <d v="2018-09-09T00:00:00"/>
    <s v="September"/>
    <s v="Fall"/>
    <d v="1899-12-30T00:10:00"/>
    <d v="1899-12-30T00:00:10"/>
    <x v="122"/>
    <s v="Full sun"/>
    <x v="21"/>
    <s v="Foraging"/>
    <s v="NA"/>
    <n v="1"/>
    <m/>
    <n v="0"/>
    <s v="Insect"/>
    <s v="Insect (caterpillar)"/>
    <s v="Ground"/>
    <s v="NA"/>
    <s v="NA"/>
    <s v="NA"/>
    <s v="NA"/>
    <m/>
    <m/>
    <s v="NA"/>
    <s v="NA"/>
    <m/>
    <m/>
    <m/>
    <m/>
    <n v="0"/>
    <n v="0"/>
    <n v="0"/>
    <n v="0"/>
    <n v="0"/>
    <n v="0"/>
    <n v="0"/>
    <m/>
    <s v="Did not catch food acquisition on tape"/>
    <m/>
    <m/>
  </r>
  <r>
    <s v="DSCN0581"/>
    <s v="M4E0909_4"/>
    <n v="4"/>
    <n v="1"/>
    <x v="21"/>
    <d v="2018-09-09T00:00:00"/>
    <s v="September"/>
    <s v="Fall"/>
    <d v="1899-12-30T01:01:00"/>
    <d v="1899-12-30T00:01:01"/>
    <x v="122"/>
    <s v="Full sun"/>
    <x v="21"/>
    <s v="Foraging/caching"/>
    <s v="Spruce"/>
    <n v="1"/>
    <m/>
    <n v="1"/>
    <s v="Unknown"/>
    <s v="Unknown"/>
    <s v="Ground"/>
    <s v="Exterior spruce foliage"/>
    <s v="Spruce"/>
    <s v="Exterior"/>
    <s v="Foliage"/>
    <m/>
    <m/>
    <s v="Unknown"/>
    <s v="Did not mark (did not recognize as cache while in field)"/>
    <m/>
    <m/>
    <m/>
    <m/>
    <n v="0"/>
    <n v="0"/>
    <n v="0"/>
    <n v="0"/>
    <n v="3"/>
    <n v="0"/>
    <n v="3"/>
    <m/>
    <s v="Not sure about cache B&amp;Ut suspected in field"/>
    <m/>
    <m/>
  </r>
  <r>
    <s v="DSCN0583"/>
    <s v="M4E0909_5"/>
    <n v="5"/>
    <n v="1"/>
    <x v="21"/>
    <d v="2018-09-09T00:00:00"/>
    <s v="September"/>
    <s v="Fall"/>
    <d v="1899-12-30T00:43:00"/>
    <d v="1899-12-30T00:00:43"/>
    <x v="122"/>
    <s v="Full sun"/>
    <x v="21"/>
    <s v="Foraging/caching"/>
    <s v="Spruce"/>
    <n v="1"/>
    <m/>
    <n v="1"/>
    <s v="Unknown"/>
    <s v="Unknown"/>
    <s v="Ground"/>
    <s v="Exterior spruce foliage"/>
    <s v="Spruce"/>
    <s v="Exterior"/>
    <s v="Foliage"/>
    <m/>
    <m/>
    <s v="Unknown"/>
    <n v="63.725580000000001"/>
    <n v="148.98072999999999"/>
    <m/>
    <m/>
    <m/>
    <n v="0"/>
    <n v="0"/>
    <n v="0"/>
    <n v="0"/>
    <n v="11"/>
    <n v="0"/>
    <n v="11"/>
    <m/>
    <m/>
    <m/>
    <m/>
  </r>
  <r>
    <s v="DSCN0306"/>
    <s v="B&amp;U0905_1"/>
    <n v="1"/>
    <n v="2"/>
    <x v="5"/>
    <d v="2018-09-05T00:00:00"/>
    <s v="September"/>
    <s v="Fall"/>
    <d v="1899-12-30T03:10:00"/>
    <d v="1899-12-30T00:03:10"/>
    <x v="122"/>
    <s v="Partly Sunny"/>
    <x v="14"/>
    <s v="Foraging"/>
    <s v="NA"/>
    <n v="1"/>
    <m/>
    <n v="0"/>
    <s v="Insect"/>
    <s v="Insect (caterpillar)"/>
    <s v="Ground"/>
    <s v="NA"/>
    <s v="NA"/>
    <s v="NA"/>
    <s v="NA"/>
    <m/>
    <m/>
    <s v="NA"/>
    <s v="NA"/>
    <m/>
    <m/>
    <m/>
    <m/>
    <n v="0"/>
    <n v="0"/>
    <n v="0"/>
    <n v="0"/>
    <n v="0"/>
    <n v="0"/>
    <n v="0"/>
    <m/>
    <m/>
    <m/>
    <m/>
  </r>
  <r>
    <s v="DSCN0664"/>
    <s v="B&amp;U0912_2"/>
    <n v="2"/>
    <n v="1"/>
    <x v="5"/>
    <d v="2018-09-12T00:00:00"/>
    <s v="September"/>
    <s v="Fall"/>
    <d v="1899-12-30T00:22:00"/>
    <d v="1899-12-30T00:00:22"/>
    <x v="122"/>
    <s v="Overcast"/>
    <x v="14"/>
    <s v="Food handling"/>
    <s v="Spruce"/>
    <n v="1"/>
    <m/>
    <n v="0"/>
    <s v="Unknown"/>
    <s v="Unknown"/>
    <s v="unknown"/>
    <s v="NA"/>
    <s v="NA"/>
    <s v="NA"/>
    <s v="NA"/>
    <m/>
    <m/>
    <s v="NA"/>
    <s v="NA"/>
    <m/>
    <m/>
    <m/>
    <m/>
    <n v="0"/>
    <n v="0"/>
    <n v="0"/>
    <n v="0"/>
    <n v="0"/>
    <n v="0"/>
    <n v="0"/>
    <m/>
    <s v="Collected piece of mystery food!  "/>
    <m/>
    <m/>
  </r>
  <r>
    <s v="DSCN0665"/>
    <s v="B&amp;U0912_3"/>
    <n v="3"/>
    <n v="1"/>
    <x v="5"/>
    <d v="2018-09-12T00:00:00"/>
    <s v="September"/>
    <s v="Fall"/>
    <d v="1899-12-30T00:09:00"/>
    <d v="1899-12-30T00:00:09"/>
    <x v="122"/>
    <s v="Overcast"/>
    <x v="14"/>
    <s v="Caching"/>
    <s v="Spruce"/>
    <n v="0"/>
    <m/>
    <n v="1"/>
    <s v="Unknown"/>
    <s v="Unknown"/>
    <s v="NA"/>
    <s v="Interior foliate spruce, B&amp;Ut placed neatly on branch. "/>
    <s v="Spruce"/>
    <s v="Interior"/>
    <s v="Branch"/>
    <m/>
    <m/>
    <s v="Unknown"/>
    <n v="63.725380000000001"/>
    <n v="148.95672999999999"/>
    <m/>
    <m/>
    <m/>
    <n v="0"/>
    <n v="0"/>
    <n v="0"/>
    <n v="0"/>
    <n v="0"/>
    <n v="0"/>
    <n v="0"/>
    <m/>
    <s v="Same food from previous video.  "/>
    <m/>
    <m/>
  </r>
  <r>
    <s v="DSCN0678"/>
    <s v="B&amp;U0912_6"/>
    <n v="6"/>
    <n v="1"/>
    <x v="5"/>
    <d v="2018-09-12T00:00:00"/>
    <s v="September"/>
    <s v="Fall"/>
    <d v="1899-12-30T00:11:00"/>
    <d v="1899-12-30T00:00:11"/>
    <x v="122"/>
    <s v="Overcast"/>
    <x v="14"/>
    <s v="Foraging"/>
    <s v="NA"/>
    <n v="1"/>
    <m/>
    <n v="0"/>
    <s v="Berry"/>
    <s v="Berry"/>
    <s v="Ground"/>
    <s v="NA"/>
    <s v="NA"/>
    <s v="NA"/>
    <s v="NA"/>
    <m/>
    <m/>
    <s v="NA"/>
    <s v="NA"/>
    <m/>
    <m/>
    <m/>
    <m/>
    <n v="0"/>
    <n v="0"/>
    <n v="0"/>
    <n v="0"/>
    <n v="10"/>
    <n v="0"/>
    <n v="10"/>
    <m/>
    <m/>
    <m/>
    <m/>
  </r>
  <r>
    <s v="DSCN0679"/>
    <s v="B&amp;U0912_7"/>
    <n v="7"/>
    <n v="1"/>
    <x v="5"/>
    <d v="2018-09-12T00:00:00"/>
    <s v="September"/>
    <s v="Fall"/>
    <d v="1899-12-30T00:19:00"/>
    <d v="1899-12-30T00:00:19"/>
    <x v="122"/>
    <s v="Overcast"/>
    <x v="14"/>
    <s v="Caching"/>
    <s v="Spruce"/>
    <n v="0"/>
    <m/>
    <n v="1"/>
    <s v="Berry"/>
    <s v="Berry"/>
    <s v="NA"/>
    <s v="Exterior bare spruce branch"/>
    <s v="Spruce"/>
    <s v="Exterior"/>
    <s v="Branch"/>
    <m/>
    <m/>
    <s v="Unknown"/>
    <n v="63.726410000000001"/>
    <n v="148.95836"/>
    <m/>
    <m/>
    <m/>
    <n v="0"/>
    <n v="0"/>
    <n v="0"/>
    <n v="0"/>
    <n v="0"/>
    <n v="0"/>
    <n v="0"/>
    <m/>
    <m/>
    <m/>
    <m/>
  </r>
  <r>
    <s v="DSCN0777"/>
    <s v="B&amp;U0915_4"/>
    <n v="4"/>
    <n v="2"/>
    <x v="5"/>
    <d v="2018-09-15T00:00:00"/>
    <s v="September"/>
    <s v="Fall"/>
    <d v="1899-12-30T00:23:00"/>
    <d v="1899-12-30T00:00:23"/>
    <x v="122"/>
    <s v="Mostly sunny"/>
    <x v="14"/>
    <s v="Foraging"/>
    <s v="NA"/>
    <n v="1"/>
    <m/>
    <n v="0"/>
    <s v="Animal flesh"/>
    <s v="Animal flesh (Snowshoe hare)"/>
    <s v="Ground"/>
    <s v="NA"/>
    <s v="NA"/>
    <s v="NA"/>
    <s v="NA"/>
    <m/>
    <m/>
    <s v="NA"/>
    <s v="NA"/>
    <m/>
    <m/>
    <m/>
    <m/>
    <n v="0"/>
    <n v="0"/>
    <n v="0"/>
    <n v="0"/>
    <n v="0"/>
    <n v="0"/>
    <n v="0"/>
    <m/>
    <s v="Foraging and caching off dead hare carcass (mostly entrails)"/>
    <m/>
    <m/>
  </r>
  <r>
    <s v="DSCN0797"/>
    <s v="B&amp;U0915_14"/>
    <n v="14"/>
    <n v="1"/>
    <x v="5"/>
    <d v="2018-09-15T00:00:00"/>
    <s v="September"/>
    <s v="Fall"/>
    <d v="1899-12-30T00:29:00"/>
    <d v="1899-12-30T00:00:29"/>
    <x v="122"/>
    <s v="Mostly sunny"/>
    <x v="14"/>
    <s v="Foraging"/>
    <s v="NA"/>
    <s v="unknown"/>
    <m/>
    <n v="0"/>
    <s v="Unknown"/>
    <s v="Unknown"/>
    <s v="NA"/>
    <s v="NA"/>
    <s v="NA"/>
    <s v="NA"/>
    <s v="NA"/>
    <m/>
    <m/>
    <s v="NA"/>
    <s v="NA"/>
    <m/>
    <m/>
    <m/>
    <m/>
    <n v="0"/>
    <n v="0"/>
    <n v="0"/>
    <n v="0"/>
    <n v="23"/>
    <n v="0"/>
    <n v="23"/>
    <m/>
    <m/>
    <m/>
    <m/>
  </r>
  <r>
    <s v="DSCN0798"/>
    <s v="B&amp;U0915_15"/>
    <n v="15"/>
    <n v="1"/>
    <x v="5"/>
    <d v="2018-09-15T00:00:00"/>
    <s v="September"/>
    <s v="Fall"/>
    <d v="1899-12-30T00:26:00"/>
    <d v="1899-12-30T00:00:26"/>
    <x v="122"/>
    <s v="Mostly sunny"/>
    <x v="14"/>
    <s v="Foraging"/>
    <s v="NA"/>
    <s v="unknown"/>
    <m/>
    <n v="0"/>
    <s v="Unknown"/>
    <s v="Unknown"/>
    <s v="NA"/>
    <s v="NA"/>
    <s v="NA"/>
    <s v="NA"/>
    <s v="NA"/>
    <m/>
    <m/>
    <s v="NA"/>
    <s v="NA"/>
    <m/>
    <m/>
    <m/>
    <m/>
    <n v="0"/>
    <n v="0"/>
    <n v="0"/>
    <n v="0"/>
    <n v="5"/>
    <n v="0"/>
    <n v="5"/>
    <m/>
    <m/>
    <m/>
    <m/>
  </r>
  <r>
    <s v="DSCN0801"/>
    <s v="B&amp;U0915_17"/>
    <n v="17"/>
    <n v="1"/>
    <x v="5"/>
    <d v="2018-09-15T00:00:00"/>
    <s v="September"/>
    <s v="Fall"/>
    <d v="1899-12-30T02:39:00"/>
    <d v="1899-12-30T00:02:39"/>
    <x v="122"/>
    <s v="Mostly sunny"/>
    <x v="14"/>
    <s v="Foraging"/>
    <s v="NA"/>
    <n v="2"/>
    <m/>
    <n v="0"/>
    <s v="Unknown"/>
    <s v="Unknown"/>
    <s v="Ground"/>
    <s v="NA"/>
    <s v="NA"/>
    <s v="NA"/>
    <s v="NA"/>
    <m/>
    <m/>
    <s v="NA"/>
    <s v="NA"/>
    <m/>
    <m/>
    <m/>
    <m/>
    <n v="0"/>
    <n v="0"/>
    <n v="0"/>
    <n v="0"/>
    <n v="13"/>
    <n v="0"/>
    <n v="13"/>
    <m/>
    <m/>
    <m/>
    <m/>
  </r>
  <r>
    <s v="DSCN0803"/>
    <s v="B&amp;U0915_18"/>
    <n v="18"/>
    <n v="1"/>
    <x v="5"/>
    <d v="2018-09-15T00:00:00"/>
    <s v="September"/>
    <s v="Fall"/>
    <d v="1899-12-30T00:57:00"/>
    <d v="1899-12-30T00:00:57"/>
    <x v="122"/>
    <s v="Mostly sunny"/>
    <x v="14"/>
    <s v="Caching"/>
    <s v="Spruce"/>
    <n v="0"/>
    <m/>
    <n v="2"/>
    <s v="Unknown"/>
    <s v="Unknown"/>
    <s v="unknown"/>
    <s v="Exterior spruce branch under bark/witch hair"/>
    <s v="Spruce"/>
    <s v="Exterior"/>
    <s v="Under bark and witch hair "/>
    <m/>
    <m/>
    <s v="unknown"/>
    <n v="63.725320000000004"/>
    <n v="148.95212000000001"/>
    <m/>
    <m/>
    <m/>
    <n v="0"/>
    <n v="0"/>
    <n v="0"/>
    <n v="0"/>
    <n v="0"/>
    <n v="0"/>
    <n v="0"/>
    <m/>
    <m/>
    <m/>
    <m/>
  </r>
  <r>
    <s v="DSCN0967"/>
    <s v="B&amp;U0920_7"/>
    <n v="7"/>
    <n v="1"/>
    <x v="5"/>
    <d v="2018-09-20T00:00:00"/>
    <s v="September"/>
    <s v="Fall"/>
    <d v="1899-12-30T00:29:00"/>
    <d v="1899-12-30T00:00:29"/>
    <x v="122"/>
    <s v="Overcast, light rain"/>
    <x v="14"/>
    <s v="Caching"/>
    <s v="Spruce"/>
    <n v="0"/>
    <m/>
    <n v="1"/>
    <s v="Unknown"/>
    <s v="Unknown"/>
    <s v="unknown"/>
    <s v="Spruce trunk under bark"/>
    <s v="Spruce"/>
    <s v="Trunk"/>
    <s v="Under bark"/>
    <m/>
    <m/>
    <s v="Unknown"/>
    <s v="Did not mark (did not recognize as cache while in field)"/>
    <m/>
    <m/>
    <m/>
    <m/>
    <m/>
    <m/>
    <m/>
    <m/>
    <n v="0"/>
    <n v="0"/>
    <n v="0"/>
    <m/>
    <s v="Very close to previous cache tree"/>
    <m/>
    <m/>
  </r>
  <r>
    <s v="DSCN0970"/>
    <s v="B&amp;U0920_8"/>
    <n v="8"/>
    <n v="1"/>
    <x v="5"/>
    <d v="2018-09-20T00:00:00"/>
    <s v="September"/>
    <s v="Fall"/>
    <d v="1899-12-30T00:58:00"/>
    <d v="1899-12-30T00:00:58"/>
    <x v="122"/>
    <s v="Overcast, light rain"/>
    <x v="14"/>
    <s v="Caching"/>
    <s v="Spruce"/>
    <n v="0"/>
    <m/>
    <n v="1"/>
    <s v="Unknown"/>
    <s v="Unknown"/>
    <s v="unknown"/>
    <s v="Interior spruce among bare branch"/>
    <s v="Spruce"/>
    <s v="Interior"/>
    <s v="Branch"/>
    <m/>
    <m/>
    <s v="Unknown"/>
    <n v="63.724829999999997"/>
    <n v="148.95133999999999"/>
    <m/>
    <m/>
    <m/>
    <n v="0"/>
    <n v="0"/>
    <n v="0"/>
    <n v="0"/>
    <n v="0"/>
    <n v="0"/>
    <n v="0"/>
    <m/>
    <m/>
    <m/>
    <m/>
  </r>
  <r>
    <s v="DSCN0972"/>
    <s v="B&amp;U0920_9"/>
    <n v="9"/>
    <n v="1"/>
    <x v="5"/>
    <d v="2018-09-20T00:00:00"/>
    <s v="September"/>
    <s v="Fall"/>
    <d v="1899-12-30T01:17:00"/>
    <d v="1899-12-30T00:01:17"/>
    <x v="122"/>
    <s v="Overcast, light rain"/>
    <x v="14"/>
    <s v="Foraging"/>
    <s v="Aspen"/>
    <s v="unknown"/>
    <m/>
    <n v="0"/>
    <m/>
    <s v="NA"/>
    <s v="NA"/>
    <s v="NA"/>
    <s v="NA"/>
    <s v="NA"/>
    <s v="NA"/>
    <m/>
    <m/>
    <s v="NA"/>
    <s v="NA"/>
    <m/>
    <m/>
    <m/>
    <m/>
    <n v="62"/>
    <n v="0"/>
    <n v="15"/>
    <n v="47"/>
    <n v="0"/>
    <n v="0"/>
    <n v="62"/>
    <m/>
    <m/>
    <m/>
    <m/>
  </r>
  <r>
    <s v="DSCN0974"/>
    <s v="B&amp;U0920_10"/>
    <n v="10"/>
    <n v="1"/>
    <x v="5"/>
    <d v="2018-09-20T00:00:00"/>
    <s v="September"/>
    <s v="Fall"/>
    <d v="1899-12-30T00:53:00"/>
    <d v="1899-12-30T00:00:53"/>
    <x v="122"/>
    <s v="Overcast, light rain"/>
    <x v="14"/>
    <s v="Foraging"/>
    <s v="Alder"/>
    <s v="unknown"/>
    <m/>
    <n v="0"/>
    <m/>
    <s v="NA"/>
    <s v="NA"/>
    <s v="NA"/>
    <s v="NA"/>
    <s v="NA"/>
    <s v="NA"/>
    <m/>
    <m/>
    <s v="NA"/>
    <s v="NA"/>
    <m/>
    <m/>
    <m/>
    <m/>
    <n v="12"/>
    <n v="0"/>
    <n v="0"/>
    <n v="12"/>
    <n v="0"/>
    <n v="0"/>
    <n v="12"/>
    <m/>
    <m/>
    <m/>
    <m/>
  </r>
  <r>
    <s v="DSN0966"/>
    <s v="B&amp;U0920_6"/>
    <n v="6"/>
    <n v="1"/>
    <x v="5"/>
    <d v="2018-09-20T00:00:00"/>
    <s v="September"/>
    <s v="Fall"/>
    <d v="1899-12-30T00:38:00"/>
    <d v="1899-12-30T00:00:38"/>
    <x v="122"/>
    <s v="Overcast, light rain"/>
    <x v="14"/>
    <s v="Caching"/>
    <s v="Spruce"/>
    <n v="0"/>
    <m/>
    <n v="1"/>
    <s v="Unknown"/>
    <s v="Unknown"/>
    <s v="unknown"/>
    <s v="Exterior spruce foliage"/>
    <s v="Spruce"/>
    <s v="Exterior"/>
    <s v="Foliage"/>
    <m/>
    <m/>
    <s v="Unknown"/>
    <n v="63.72569"/>
    <n v="148.95882"/>
    <m/>
    <m/>
    <m/>
    <n v="0"/>
    <n v="0"/>
    <n v="0"/>
    <n v="0"/>
    <n v="0"/>
    <n v="0"/>
    <n v="0"/>
    <m/>
    <s v="Double cache tree!"/>
    <m/>
    <m/>
  </r>
  <r>
    <s v="DSCN0631"/>
    <s v="HS0912_4"/>
    <n v="4"/>
    <n v="1"/>
    <x v="14"/>
    <d v="2018-09-12T00:00:00"/>
    <s v="September"/>
    <s v="Fall"/>
    <d v="1899-12-30T00:19:00"/>
    <d v="1899-12-30T00:00:19"/>
    <x v="122"/>
    <s v="Overcast"/>
    <x v="28"/>
    <s v="Food handling"/>
    <s v="Spruce"/>
    <n v="1"/>
    <m/>
    <n v="0"/>
    <s v="Unknown"/>
    <s v="Unknown"/>
    <s v="unknown"/>
    <s v="NA"/>
    <s v="NA"/>
    <s v="NA"/>
    <s v="NA"/>
    <m/>
    <m/>
    <s v="NA"/>
    <s v="NA"/>
    <m/>
    <m/>
    <m/>
    <m/>
    <n v="0"/>
    <n v="0"/>
    <n v="0"/>
    <n v="0"/>
    <n v="0"/>
    <n v="0"/>
    <n v="0"/>
    <m/>
    <s v="Weird orange food! "/>
    <m/>
    <m/>
  </r>
  <r>
    <s v="DSCN0638"/>
    <s v="HS0912_7"/>
    <n v="7"/>
    <n v="1"/>
    <x v="14"/>
    <d v="2018-09-12T00:00:00"/>
    <s v="September"/>
    <s v="Fall"/>
    <d v="1899-12-30T00:35:00"/>
    <d v="1899-12-30T00:00:35"/>
    <x v="122"/>
    <s v="Overcast"/>
    <x v="28"/>
    <s v="Foraging"/>
    <s v="NA"/>
    <n v="1"/>
    <m/>
    <n v="0"/>
    <s v="Insect"/>
    <s v="Insect"/>
    <s v="Ground"/>
    <s v="NA"/>
    <s v="NA"/>
    <s v="NA"/>
    <s v="NA"/>
    <m/>
    <m/>
    <s v="NA"/>
    <s v="NA"/>
    <m/>
    <m/>
    <m/>
    <m/>
    <n v="0"/>
    <n v="0"/>
    <n v="0"/>
    <n v="0"/>
    <n v="20"/>
    <n v="0"/>
    <n v="20"/>
    <m/>
    <m/>
    <m/>
    <m/>
  </r>
  <r>
    <s v="DSCN0747"/>
    <s v="M4R0907_2"/>
    <n v="2"/>
    <n v="1"/>
    <x v="6"/>
    <d v="2018-09-07T00:00:00"/>
    <s v="September"/>
    <s v="Fall"/>
    <d v="1899-12-30T00:22:00"/>
    <d v="1899-12-30T00:00:22"/>
    <x v="122"/>
    <s v="Overcast"/>
    <x v="15"/>
    <s v="Foraging"/>
    <s v="Spruce"/>
    <s v="unknown"/>
    <m/>
    <n v="0"/>
    <s v="Unknown"/>
    <s v="Unknown"/>
    <s v="NA"/>
    <s v="NA"/>
    <s v="NA"/>
    <s v="NA"/>
    <s v="NA"/>
    <m/>
    <m/>
    <s v="NA"/>
    <s v="NA"/>
    <m/>
    <m/>
    <m/>
    <m/>
    <n v="11"/>
    <n v="0"/>
    <n v="0"/>
    <n v="11"/>
    <n v="0"/>
    <n v="0"/>
    <n v="11"/>
    <m/>
    <m/>
    <m/>
    <m/>
  </r>
  <r>
    <s v="DSCN1024"/>
    <s v="HS0924_1"/>
    <n v="1"/>
    <n v="1"/>
    <x v="14"/>
    <d v="2018-09-24T00:00:00"/>
    <s v="September"/>
    <s v="Fall"/>
    <d v="1899-12-30T00:44:00"/>
    <d v="1899-12-30T00:00:44"/>
    <x v="122"/>
    <s v="Partly cloudy"/>
    <x v="29"/>
    <s v="Foraging"/>
    <s v="NA"/>
    <n v="1"/>
    <m/>
    <n v="0"/>
    <s v="Unknown"/>
    <s v="Unknown"/>
    <s v="Ground"/>
    <s v="NA"/>
    <s v="NA"/>
    <s v="NA"/>
    <s v="NA"/>
    <m/>
    <m/>
    <s v="NA"/>
    <s v="NA"/>
    <m/>
    <m/>
    <m/>
    <m/>
    <n v="0"/>
    <n v="0"/>
    <n v="0"/>
    <n v="0"/>
    <n v="20"/>
    <n v="0"/>
    <n v="20"/>
    <m/>
    <m/>
    <m/>
    <m/>
  </r>
  <r>
    <s v="DSCN1025"/>
    <s v="HS0924_2"/>
    <n v="2"/>
    <n v="1"/>
    <x v="14"/>
    <d v="2018-09-24T00:00:00"/>
    <s v="September"/>
    <s v="Fall"/>
    <d v="1899-12-30T00:16:00"/>
    <d v="1899-12-30T00:00:16"/>
    <x v="122"/>
    <s v="Partly Sunny"/>
    <x v="29"/>
    <s v="Caching"/>
    <s v="Spruce"/>
    <n v="0"/>
    <m/>
    <n v="1"/>
    <s v="Unknown"/>
    <s v="Unknown"/>
    <s v="Ground"/>
    <s v="Top, interior part of foliated spruce on trunk "/>
    <s v="Spruce"/>
    <s v="Trunk"/>
    <s v="On bark"/>
    <m/>
    <m/>
    <s v="unknown"/>
    <n v="63.73798"/>
    <n v="148.90401"/>
    <m/>
    <m/>
    <m/>
    <n v="0"/>
    <n v="0"/>
    <n v="0"/>
    <n v="0"/>
    <n v="0"/>
    <n v="0"/>
    <n v="0"/>
    <m/>
    <s v="Unconfirmed B&amp;Ut suspected cache.  Bird was observed obtaining food in the previous video,  "/>
    <m/>
    <m/>
  </r>
  <r>
    <s v="DCSN0402"/>
    <s v="M2370907_2"/>
    <n v="2"/>
    <n v="1"/>
    <x v="9"/>
    <d v="2018-09-07T00:00:00"/>
    <s v="September"/>
    <s v="Fall"/>
    <d v="1899-12-30T00:31:00"/>
    <d v="1899-12-30T00:00:31"/>
    <x v="122"/>
    <s v="Overcast"/>
    <x v="16"/>
    <s v="Foraging"/>
    <s v="NA"/>
    <n v="1"/>
    <m/>
    <n v="0"/>
    <s v="Mushroom"/>
    <s v="Mushroom"/>
    <s v="Ground"/>
    <s v="NA"/>
    <s v="NA"/>
    <s v="NA"/>
    <s v="NA"/>
    <m/>
    <m/>
    <s v="NA"/>
    <s v="NA"/>
    <m/>
    <m/>
    <m/>
    <m/>
    <n v="0"/>
    <n v="0"/>
    <n v="0"/>
    <n v="0"/>
    <n v="7"/>
    <n v="0"/>
    <n v="7"/>
    <m/>
    <m/>
    <m/>
    <m/>
  </r>
  <r>
    <s v="DSCN0269"/>
    <s v="M2370905_1"/>
    <n v="1"/>
    <n v="1"/>
    <x v="9"/>
    <d v="2018-09-05T00:00:00"/>
    <s v="September"/>
    <s v="Fall"/>
    <m/>
    <m/>
    <x v="122"/>
    <s v="Overcast, raining "/>
    <x v="16"/>
    <s v="Foraging"/>
    <s v="Aspen"/>
    <n v="1"/>
    <m/>
    <n v="0"/>
    <s v="Insect"/>
    <s v="Insect (caterpillar?)"/>
    <s v="Aspen tree branch"/>
    <s v="NA"/>
    <s v="NA"/>
    <s v="NA"/>
    <s v="NA"/>
    <m/>
    <m/>
    <s v="NA"/>
    <s v="NA"/>
    <m/>
    <m/>
    <m/>
    <m/>
    <n v="10"/>
    <n v="0"/>
    <n v="0"/>
    <n v="10"/>
    <n v="0"/>
    <n v="0"/>
    <n v="10"/>
    <s v="searching"/>
    <m/>
    <m/>
    <m/>
  </r>
  <r>
    <s v="DSCN0270"/>
    <s v="M2370905_2"/>
    <n v="2"/>
    <n v="1"/>
    <x v="9"/>
    <d v="2018-09-05T00:00:00"/>
    <s v="September"/>
    <s v="Fall"/>
    <m/>
    <m/>
    <x v="122"/>
    <s v="Overcast, raining "/>
    <x v="16"/>
    <s v="Foraging"/>
    <s v="Spruce"/>
    <n v="1"/>
    <m/>
    <n v="0"/>
    <s v="Unknown"/>
    <s v="Unknown"/>
    <s v="Exterior spruce foliage "/>
    <s v="NA"/>
    <s v="NA"/>
    <s v="NA"/>
    <s v="NA"/>
    <m/>
    <m/>
    <s v="NA"/>
    <s v="NA"/>
    <m/>
    <m/>
    <m/>
    <m/>
    <n v="0"/>
    <n v="11"/>
    <n v="0"/>
    <n v="11"/>
    <n v="0"/>
    <n v="0"/>
    <n v="11"/>
    <s v="searching"/>
    <m/>
    <m/>
    <m/>
  </r>
  <r>
    <s v="DSCN0270"/>
    <s v="M2370905_2"/>
    <n v="2"/>
    <n v="1"/>
    <x v="9"/>
    <d v="2018-09-05T00:00:00"/>
    <s v="September"/>
    <s v="Fall"/>
    <m/>
    <m/>
    <x v="122"/>
    <s v="Overcast, raining "/>
    <x v="16"/>
    <s v="Foraging"/>
    <s v="Spruce"/>
    <n v="1"/>
    <m/>
    <n v="0"/>
    <s v="Unknown"/>
    <s v="Unknown (probably B&amp;Ug)"/>
    <s v="Interior spruce foliage "/>
    <s v="NA"/>
    <s v="NA"/>
    <s v="NA"/>
    <s v="NA"/>
    <m/>
    <m/>
    <s v="NA"/>
    <s v="NA"/>
    <m/>
    <m/>
    <m/>
    <m/>
    <n v="0"/>
    <n v="11"/>
    <n v="0"/>
    <n v="11"/>
    <n v="0"/>
    <n v="0"/>
    <n v="11"/>
    <s v="searching"/>
    <m/>
    <m/>
    <m/>
  </r>
  <r>
    <s v="DSCN0272"/>
    <s v="M2370905_3"/>
    <n v="3"/>
    <n v="1"/>
    <x v="9"/>
    <d v="2018-09-05T00:00:00"/>
    <s v="September"/>
    <s v="Fall"/>
    <d v="1899-12-30T00:35:00"/>
    <d v="1899-12-30T00:00:35"/>
    <x v="122"/>
    <s v="Overcast, raining "/>
    <x v="16"/>
    <s v="Forgaing"/>
    <s v="Spruce"/>
    <n v="1"/>
    <m/>
    <n v="0"/>
    <s v="Unknown"/>
    <s v="unknown (Looks like meat)"/>
    <s v="Interior spruce foliage"/>
    <s v="NA"/>
    <s v="NA"/>
    <s v="NA"/>
    <s v="NA"/>
    <m/>
    <m/>
    <s v="NA"/>
    <s v="NA"/>
    <m/>
    <m/>
    <m/>
    <m/>
    <n v="0"/>
    <n v="0"/>
    <n v="0"/>
    <n v="0"/>
    <n v="0"/>
    <n v="0"/>
    <n v="0"/>
    <m/>
    <s v="Camera immediately on consumption sequence"/>
    <m/>
    <m/>
  </r>
  <r>
    <s v="DSCN0276"/>
    <s v="M2370905_5"/>
    <n v="5"/>
    <n v="1"/>
    <x v="9"/>
    <d v="2018-09-05T00:00:00"/>
    <s v="September"/>
    <s v="Fall"/>
    <d v="1899-12-30T00:42:00"/>
    <d v="1899-12-30T00:00:42"/>
    <x v="122"/>
    <s v="Overcast, raining "/>
    <x v="16"/>
    <s v="Foraging"/>
    <s v="Spruce"/>
    <n v="1"/>
    <m/>
    <n v="0"/>
    <s v="Insect"/>
    <s v="Insect (caterpillar)"/>
    <s v="Spruce foliage"/>
    <s v="NA"/>
    <s v="NA"/>
    <s v="NA"/>
    <s v="NA"/>
    <m/>
    <m/>
    <s v="NA"/>
    <s v="NA"/>
    <m/>
    <m/>
    <m/>
    <m/>
    <n v="0"/>
    <n v="26"/>
    <n v="26"/>
    <n v="0"/>
    <n v="0"/>
    <n v="0"/>
    <n v="26"/>
    <s v="Unknown"/>
    <m/>
    <m/>
    <m/>
  </r>
  <r>
    <s v="DSCN0408"/>
    <s v="M2370907_5"/>
    <n v="5"/>
    <n v="1"/>
    <x v="9"/>
    <d v="2018-09-07T00:00:00"/>
    <s v="September"/>
    <s v="Fall"/>
    <d v="1899-12-30T01:46:00"/>
    <d v="1899-12-30T00:01:46"/>
    <x v="122"/>
    <s v="Overcast"/>
    <x v="16"/>
    <s v="Foraging"/>
    <s v="Aspen"/>
    <n v="1"/>
    <m/>
    <n v="0"/>
    <s v="Unknown"/>
    <s v="Unknown"/>
    <s v="Aspen tree leaf stems"/>
    <s v="NA"/>
    <s v="NA"/>
    <s v="NA"/>
    <s v="NA"/>
    <m/>
    <m/>
    <s v="NA"/>
    <s v="NA"/>
    <m/>
    <m/>
    <m/>
    <m/>
    <n v="81"/>
    <n v="0"/>
    <n v="0"/>
    <n v="81"/>
    <n v="0"/>
    <n v="0"/>
    <n v="81"/>
    <s v="Gleaning"/>
    <m/>
    <n v="0"/>
    <n v="19"/>
  </r>
  <r>
    <s v="DSCN0413"/>
    <s v="M2370907_8"/>
    <n v="8"/>
    <n v="1"/>
    <x v="9"/>
    <d v="2018-09-07T00:00:00"/>
    <s v="September"/>
    <s v="Fall"/>
    <d v="1899-12-30T00:34:00"/>
    <d v="1899-12-30T00:00:34"/>
    <x v="122"/>
    <s v="Overcast"/>
    <x v="16"/>
    <s v="Foraging"/>
    <s v="Aspen"/>
    <n v="2"/>
    <m/>
    <n v="0"/>
    <s v="Unknown"/>
    <s v="Unknown"/>
    <s v="Aspen branch under bark"/>
    <s v="NA"/>
    <s v="NA"/>
    <s v="NA"/>
    <s v="NA"/>
    <m/>
    <m/>
    <s v="NA"/>
    <s v="NA"/>
    <m/>
    <m/>
    <m/>
    <m/>
    <n v="34"/>
    <n v="0"/>
    <n v="0"/>
    <n v="34"/>
    <n v="0"/>
    <n v="0"/>
    <n v="34"/>
    <s v="Probing"/>
    <s v="Watched it poke at caches object for 7 sec.  Object was in tangle of bare spruce branch"/>
    <n v="2"/>
    <n v="0"/>
  </r>
  <r>
    <s v="DSCN0415"/>
    <s v="M2370907_9"/>
    <n v="9"/>
    <n v="1"/>
    <x v="9"/>
    <d v="2018-09-07T00:00:00"/>
    <s v="September"/>
    <s v="Fall"/>
    <d v="1899-12-30T00:48:00"/>
    <d v="1899-12-30T00:00:48"/>
    <x v="122"/>
    <s v="Overcast"/>
    <x v="16"/>
    <s v="Foraging"/>
    <s v="NA"/>
    <n v="1"/>
    <m/>
    <n v="0"/>
    <s v="Berry"/>
    <s v="Berry (Soapberry)"/>
    <s v="Ground"/>
    <s v="NA"/>
    <s v="NA"/>
    <s v="NA"/>
    <s v="NA"/>
    <m/>
    <m/>
    <s v="NA"/>
    <s v="NA"/>
    <m/>
    <m/>
    <m/>
    <m/>
    <n v="0"/>
    <n v="0"/>
    <n v="0"/>
    <n v="0"/>
    <n v="24"/>
    <n v="0"/>
    <n v="24"/>
    <m/>
    <m/>
    <m/>
    <m/>
  </r>
  <r>
    <s v="DSCN0417"/>
    <s v="M2370907_10"/>
    <n v="10"/>
    <n v="1"/>
    <x v="9"/>
    <d v="2018-09-07T00:00:00"/>
    <s v="September"/>
    <s v="Fall"/>
    <d v="1899-12-30T00:22:00"/>
    <d v="1899-12-30T00:00:22"/>
    <x v="122"/>
    <s v="Overcast"/>
    <x v="16"/>
    <s v="Cache recovery"/>
    <s v="Aspen"/>
    <n v="1"/>
    <m/>
    <n v="0"/>
    <s v="Animal flesh"/>
    <s v="Animal flesh"/>
    <s v="Cache site on aspen branch"/>
    <s v="NA"/>
    <s v="NA"/>
    <s v="NA"/>
    <s v="NA"/>
    <m/>
    <m/>
    <s v="NA"/>
    <s v="NA"/>
    <m/>
    <m/>
    <m/>
    <m/>
    <n v="0"/>
    <n v="0"/>
    <n v="0"/>
    <n v="0"/>
    <n v="0"/>
    <n v="0"/>
    <n v="0"/>
    <m/>
    <m/>
    <m/>
    <m/>
  </r>
  <r>
    <s v="DSCN0531"/>
    <s v="M2370909_1"/>
    <n v="1"/>
    <n v="1"/>
    <x v="9"/>
    <d v="2018-09-09T00:00:00"/>
    <s v="September"/>
    <s v="Fall"/>
    <d v="1899-12-30T00:11:00"/>
    <d v="1899-12-30T00:00:11"/>
    <x v="122"/>
    <s v="Full sun"/>
    <x v="16"/>
    <s v="Foraging"/>
    <s v="Spruce"/>
    <n v="1"/>
    <m/>
    <n v="0"/>
    <s v="Unknown"/>
    <s v="Unknown (Probably insect)"/>
    <s v="Exterior spruce foliage"/>
    <s v="NA"/>
    <s v="NA"/>
    <s v="NA"/>
    <s v="NA"/>
    <m/>
    <m/>
    <s v="NA"/>
    <s v="NA"/>
    <m/>
    <m/>
    <m/>
    <m/>
    <n v="0"/>
    <n v="2"/>
    <n v="0"/>
    <n v="2"/>
    <n v="0"/>
    <n v="0"/>
    <n v="2"/>
    <m/>
    <m/>
    <m/>
    <m/>
  </r>
  <r>
    <s v="DSCN0547"/>
    <s v="M2370909_7"/>
    <n v="7"/>
    <n v="1"/>
    <x v="9"/>
    <d v="2018-09-09T00:00:00"/>
    <s v="September"/>
    <s v="Fall"/>
    <d v="1899-12-30T00:09:00"/>
    <d v="1899-12-30T00:00:09"/>
    <x v="122"/>
    <s v="Full sun"/>
    <x v="16"/>
    <s v="Foraging"/>
    <s v="Spruce"/>
    <s v="unknown"/>
    <m/>
    <n v="0"/>
    <s v="Unknown"/>
    <s v="Unknown"/>
    <s v="NA"/>
    <s v="NA"/>
    <s v="NA"/>
    <s v="NA"/>
    <s v="NA"/>
    <m/>
    <m/>
    <s v="NA"/>
    <s v="NA"/>
    <m/>
    <m/>
    <m/>
    <m/>
    <n v="0"/>
    <n v="6"/>
    <n v="6"/>
    <n v="0"/>
    <n v="0"/>
    <n v="0"/>
    <n v="6"/>
    <m/>
    <m/>
    <m/>
    <m/>
  </r>
  <r>
    <s v="DSCN0642"/>
    <s v="M2370912_1"/>
    <n v="1"/>
    <n v="1"/>
    <x v="9"/>
    <d v="2018-09-12T00:00:00"/>
    <s v="September"/>
    <s v="Fall"/>
    <d v="1899-12-30T01:42:00"/>
    <d v="1899-12-30T00:01:42"/>
    <x v="122"/>
    <s v="Overcast"/>
    <x v="16"/>
    <s v="Foraging"/>
    <s v="Aspen"/>
    <n v="1"/>
    <m/>
    <n v="0"/>
    <s v="Unknown"/>
    <s v="Unknown"/>
    <s v="Under bare spruce branch bark"/>
    <s v="NA"/>
    <s v="NA"/>
    <s v="NA"/>
    <s v="NA"/>
    <m/>
    <m/>
    <s v="NA"/>
    <s v="NA"/>
    <m/>
    <m/>
    <m/>
    <m/>
    <n v="88"/>
    <n v="0"/>
    <n v="0"/>
    <n v="88"/>
    <n v="0"/>
    <n v="0"/>
    <n v="88"/>
    <s v="probing"/>
    <m/>
    <n v="6"/>
    <n v="0"/>
  </r>
  <r>
    <s v="DSCN0644"/>
    <s v="M2370912_3"/>
    <n v="3"/>
    <n v="1"/>
    <x v="9"/>
    <d v="2018-09-12T00:00:00"/>
    <s v="September"/>
    <s v="Fall"/>
    <d v="1899-12-30T00:36:00"/>
    <d v="1899-12-30T00:00:36"/>
    <x v="122"/>
    <s v="Overcast"/>
    <x v="16"/>
    <s v="Foraging"/>
    <s v="Spruce"/>
    <n v="1"/>
    <m/>
    <n v="0"/>
    <s v="Unknown"/>
    <s v="Unknown, B&amp;Ut some part of spruce cone, probably seeds"/>
    <s v="Interior spruce foliage"/>
    <s v="NA"/>
    <s v="NA"/>
    <s v="NA"/>
    <s v="NA"/>
    <m/>
    <m/>
    <s v="NA"/>
    <s v="NA"/>
    <m/>
    <m/>
    <m/>
    <m/>
    <n v="0"/>
    <n v="36"/>
    <n v="36"/>
    <n v="0"/>
    <n v="0"/>
    <n v="0"/>
    <n v="36"/>
    <m/>
    <m/>
    <m/>
    <m/>
  </r>
  <r>
    <s v="DSCN0645"/>
    <s v="M2370912_4"/>
    <n v="4"/>
    <n v="1"/>
    <x v="9"/>
    <d v="2018-09-12T00:00:00"/>
    <s v="September"/>
    <s v="Fall"/>
    <d v="1899-12-30T01:03:00"/>
    <d v="1899-12-30T00:01:03"/>
    <x v="122"/>
    <s v="Overcast"/>
    <x v="16"/>
    <s v="Foraging/caching"/>
    <s v="Spruce"/>
    <n v="1"/>
    <m/>
    <n v="1"/>
    <s v="Unknown"/>
    <s v="Unknown"/>
    <s v="Exterior foliated spruce"/>
    <s v="Exterior spruce foliage"/>
    <s v="Spruce"/>
    <s v="Exterior"/>
    <s v="Foliage"/>
    <m/>
    <m/>
    <s v="unknown"/>
    <s v="Did not mark (did not recognize as cache while in field)"/>
    <m/>
    <m/>
    <m/>
    <m/>
    <n v="0"/>
    <n v="2"/>
    <n v="0"/>
    <n v="2"/>
    <n v="0"/>
    <n v="0"/>
    <n v="2"/>
    <m/>
    <s v="Appeared to cache something in foliage (B&amp;Ut unconfirmed) then went and retrieved food item. Food item is unknown B&amp;Ut maybe congealed sap or seeds or something.    "/>
    <m/>
    <m/>
  </r>
  <r>
    <s v="DSCN0647"/>
    <s v="M2370912_5"/>
    <n v="5"/>
    <n v="1"/>
    <x v="9"/>
    <d v="2018-09-12T00:00:00"/>
    <s v="September"/>
    <s v="Fall"/>
    <d v="1899-12-30T01:47:00"/>
    <d v="1899-12-30T00:01:47"/>
    <x v="122"/>
    <s v="Overcast"/>
    <x v="16"/>
    <s v="Food handling/caching"/>
    <s v="Spruce"/>
    <n v="0"/>
    <m/>
    <n v="1"/>
    <s v="Unknown"/>
    <s v="Unknown"/>
    <s v="NA"/>
    <s v="Interior spruce branch"/>
    <s v="Spruce"/>
    <s v="Interior"/>
    <s v="Branch"/>
    <m/>
    <m/>
    <s v="unknown"/>
    <n v="63.72578"/>
    <n v="148.88998000000001"/>
    <m/>
    <m/>
    <m/>
    <n v="0"/>
    <n v="0"/>
    <n v="0"/>
    <n v="0"/>
    <n v="0"/>
    <n v="0"/>
    <n v="0"/>
    <m/>
    <s v="Working at unknown food item from M2370923_4.  left some on branch from video.  That's the marked cache tree. "/>
    <m/>
    <m/>
  </r>
  <r>
    <s v="DSCN0648"/>
    <s v="M2370912_6"/>
    <n v="6"/>
    <n v="1"/>
    <x v="9"/>
    <d v="2018-09-12T00:00:00"/>
    <s v="September"/>
    <s v="Fall"/>
    <d v="1899-12-30T00:41:00"/>
    <d v="1899-12-30T00:00:41"/>
    <x v="122"/>
    <s v="Overcast"/>
    <x v="16"/>
    <s v="Foraging/caching"/>
    <s v="Spruce"/>
    <s v="unknown"/>
    <m/>
    <n v="1"/>
    <s v="Unknown"/>
    <s v="Unknown"/>
    <s v="NA"/>
    <s v="Interior spruce foliage "/>
    <s v="Spruce"/>
    <s v="Interior"/>
    <s v="Foliage"/>
    <m/>
    <m/>
    <s v="unknown"/>
    <n v="63.725769999999997"/>
    <n v="148.89005"/>
    <m/>
    <m/>
    <m/>
    <n v="0"/>
    <n v="0"/>
    <n v="0"/>
    <n v="0"/>
    <n v="8"/>
    <n v="0"/>
    <n v="8"/>
    <m/>
    <s v="Cached part of unknown item from M2370912_4"/>
    <m/>
    <m/>
  </r>
  <r>
    <s v="DSCN0652"/>
    <s v="M2370912_7"/>
    <n v="7"/>
    <n v="1"/>
    <x v="9"/>
    <d v="2018-09-12T00:00:00"/>
    <s v="September"/>
    <s v="Fall"/>
    <d v="1899-12-30T00:21:00"/>
    <d v="1899-12-30T00:00:21"/>
    <x v="122"/>
    <s v="Overcast"/>
    <x v="16"/>
    <s v="Foraging"/>
    <s v="Aspen"/>
    <n v="1"/>
    <m/>
    <n v="0"/>
    <s v="Unknown"/>
    <s v="Unknown"/>
    <s v="Aspen tree leaf stems"/>
    <s v="NA"/>
    <s v="NA"/>
    <s v="NA"/>
    <s v="NA"/>
    <m/>
    <m/>
    <s v="NA"/>
    <s v="NA"/>
    <m/>
    <m/>
    <m/>
    <m/>
    <n v="0"/>
    <n v="15"/>
    <n v="0"/>
    <n v="15"/>
    <n v="0"/>
    <n v="0"/>
    <n v="15"/>
    <s v="Gleaning"/>
    <m/>
    <n v="0"/>
    <n v="2"/>
  </r>
  <r>
    <s v="DSCN0901"/>
    <s v="M2370918_2"/>
    <n v="2"/>
    <n v="1"/>
    <x v="9"/>
    <d v="2018-09-18T00:00:00"/>
    <s v="September"/>
    <s v="Fall"/>
    <d v="1899-12-30T00:41:00"/>
    <d v="1899-12-30T00:00:41"/>
    <x v="122"/>
    <s v="Partly Sunny"/>
    <x v="16"/>
    <s v="Caching"/>
    <s v="Spruce"/>
    <n v="0"/>
    <m/>
    <n v="1"/>
    <s v="Unknown"/>
    <s v="Unknown"/>
    <s v="unknown"/>
    <s v="low to ground Spruce branch/witch hair moss"/>
    <s v="Spruce"/>
    <s v="Exterior"/>
    <s v="Under bark and witch hair "/>
    <m/>
    <m/>
    <s v="unknown"/>
    <n v="63.724200000000003"/>
    <n v="148.88985"/>
    <m/>
    <m/>
    <m/>
    <n v="0"/>
    <n v="0"/>
    <n v="0"/>
    <n v="0"/>
    <n v="0"/>
    <n v="0"/>
    <n v="0"/>
    <m/>
    <s v="Strongly suspected by not 100% confident cache "/>
    <m/>
    <m/>
  </r>
  <r>
    <s v="DSCN0981"/>
    <s v="M2370921_1"/>
    <n v="1"/>
    <n v="1"/>
    <x v="9"/>
    <d v="2018-09-21T00:00:00"/>
    <s v="September"/>
    <s v="Fall"/>
    <d v="1899-12-30T00:21:00"/>
    <d v="1899-12-30T00:00:21"/>
    <x v="122"/>
    <s v="Overcast, light rain"/>
    <x v="16"/>
    <s v="Caching"/>
    <s v="Spruce"/>
    <n v="0"/>
    <m/>
    <n v="1"/>
    <s v="Unknown"/>
    <s v="Unknown"/>
    <s v="unknown"/>
    <s v="Spruce trunk under bark"/>
    <s v="Spruce"/>
    <s v="Trunk"/>
    <s v="Under bark"/>
    <m/>
    <m/>
    <s v="unknown"/>
    <n v="63.723010000000002"/>
    <n v="148.88673"/>
    <m/>
    <m/>
    <m/>
    <n v="0"/>
    <n v="0"/>
    <n v="0"/>
    <n v="0"/>
    <n v="0"/>
    <n v="0"/>
    <n v="0"/>
    <m/>
    <m/>
    <m/>
    <m/>
  </r>
  <r>
    <s v="DSCN0982"/>
    <s v="M2370921_2"/>
    <n v="2"/>
    <n v="1"/>
    <x v="9"/>
    <d v="2018-09-21T00:00:00"/>
    <s v="September"/>
    <s v="Fall"/>
    <d v="1899-12-30T01:04:00"/>
    <d v="1899-12-30T00:01:04"/>
    <x v="122"/>
    <s v="Overcast, light rain"/>
    <x v="16"/>
    <s v="Foraging"/>
    <s v="Spruce"/>
    <n v="1"/>
    <m/>
    <n v="0"/>
    <s v="Unknown"/>
    <s v="Unknown"/>
    <s v="Interior top of foilated spruce"/>
    <s v="NA"/>
    <s v="NA"/>
    <s v="NA"/>
    <s v="NA"/>
    <m/>
    <m/>
    <s v="NA"/>
    <s v="NA"/>
    <m/>
    <m/>
    <m/>
    <m/>
    <n v="0"/>
    <n v="19"/>
    <n v="19"/>
    <n v="0"/>
    <n v="0"/>
    <n v="0"/>
    <n v="19"/>
    <s v="Unknown"/>
    <m/>
    <m/>
    <m/>
  </r>
  <r>
    <s v="DSCN1199"/>
    <s v="M2370927_1"/>
    <n v="1"/>
    <n v="1"/>
    <x v="9"/>
    <d v="2018-09-27T00:00:00"/>
    <s v="September"/>
    <s v="Fall"/>
    <d v="1899-12-30T00:32:00"/>
    <d v="1899-12-30T00:00:32"/>
    <x v="122"/>
    <s v="Partly Sunny"/>
    <x v="16"/>
    <s v="Foraging"/>
    <s v="NA"/>
    <n v="1"/>
    <m/>
    <n v="0"/>
    <s v="Insect"/>
    <s v="Insect (worm or caterpillar)"/>
    <s v="Ground"/>
    <s v="NA"/>
    <s v="NA"/>
    <s v="NA"/>
    <s v="NA"/>
    <m/>
    <m/>
    <s v="NA"/>
    <s v="NA"/>
    <m/>
    <m/>
    <m/>
    <m/>
    <n v="0"/>
    <n v="0"/>
    <n v="0"/>
    <n v="0"/>
    <n v="26"/>
    <n v="0"/>
    <n v="26"/>
    <m/>
    <m/>
    <m/>
    <m/>
  </r>
  <r>
    <s v="DSCN1200"/>
    <s v="M2370927_2"/>
    <n v="2"/>
    <n v="1"/>
    <x v="9"/>
    <d v="2018-09-27T00:00:00"/>
    <s v="September"/>
    <s v="Fall"/>
    <d v="1899-12-30T00:11:00"/>
    <d v="1899-12-30T00:00:11"/>
    <x v="122"/>
    <s v="Partly Sunny"/>
    <x v="16"/>
    <s v="Caching"/>
    <s v="Spruce"/>
    <n v="0"/>
    <m/>
    <n v="1"/>
    <s v="Insect"/>
    <s v="Insect (worm or caterpillar)"/>
    <s v="NA"/>
    <s v="Interior bare spruce branch under bark"/>
    <s v="Spruce"/>
    <s v="Interior"/>
    <s v="Under bark"/>
    <m/>
    <m/>
    <n v="3"/>
    <n v="63.724089999999997"/>
    <n v="148.88977"/>
    <m/>
    <m/>
    <m/>
    <n v="0"/>
    <n v="0"/>
    <n v="0"/>
    <n v="0"/>
    <n v="0"/>
    <n v="0"/>
    <n v="0"/>
    <m/>
    <s v="Same food as in previous video."/>
    <m/>
    <m/>
  </r>
  <r>
    <s v="DSCN1203"/>
    <s v="M2370927_3"/>
    <n v="3"/>
    <n v="1"/>
    <x v="9"/>
    <d v="2018-09-27T00:00:00"/>
    <s v="September"/>
    <s v="Fall"/>
    <d v="1899-12-30T00:29:00"/>
    <d v="1899-12-30T00:00:29"/>
    <x v="122"/>
    <s v="Partly Sunny"/>
    <x v="16"/>
    <s v="Foraging/caching"/>
    <s v="Spruce"/>
    <n v="1"/>
    <m/>
    <n v="1"/>
    <s v="Unknown"/>
    <s v="Unknown"/>
    <s v="Ground"/>
    <s v="Interior bare spruce branch under bark"/>
    <s v="Spruce"/>
    <s v="Interior"/>
    <s v="Under bark"/>
    <m/>
    <m/>
    <n v="17"/>
    <n v="63.723649999999999"/>
    <n v="148.88979"/>
    <m/>
    <m/>
    <m/>
    <n v="0"/>
    <n v="0"/>
    <n v="0"/>
    <n v="0"/>
    <n v="1"/>
    <n v="0"/>
    <n v="1"/>
    <m/>
    <s v="Didn't catch either on video, narration only. "/>
    <m/>
    <m/>
  </r>
  <r>
    <s v="DSCN1210"/>
    <s v="M2370927_4"/>
    <n v="4"/>
    <n v="1"/>
    <x v="9"/>
    <d v="2018-09-27T00:00:00"/>
    <s v="September"/>
    <s v="Fall"/>
    <d v="1899-12-30T00:24:00"/>
    <d v="1899-12-30T00:00:24"/>
    <x v="122"/>
    <s v="Partly Sunny"/>
    <x v="16"/>
    <s v="Food handling"/>
    <s v="Spruce"/>
    <n v="1"/>
    <m/>
    <n v="0"/>
    <s v="Unknown"/>
    <s v="Unknown"/>
    <s v="unknown"/>
    <s v="NA"/>
    <s v="NA"/>
    <s v="NA"/>
    <s v="NA"/>
    <m/>
    <m/>
    <s v="NA"/>
    <s v="NA"/>
    <m/>
    <m/>
    <m/>
    <m/>
    <n v="0"/>
    <n v="0"/>
    <n v="0"/>
    <n v="0"/>
    <n v="0"/>
    <n v="0"/>
    <n v="0"/>
    <m/>
    <m/>
    <m/>
    <m/>
  </r>
  <r>
    <s v="DSCN1214"/>
    <s v="M2370927_6"/>
    <n v="6"/>
    <n v="1"/>
    <x v="9"/>
    <d v="2018-09-27T00:00:00"/>
    <s v="September"/>
    <s v="Fall"/>
    <d v="1899-12-30T00:23:00"/>
    <d v="1899-12-30T00:00:23"/>
    <x v="122"/>
    <s v="Partly Sunny"/>
    <x v="16"/>
    <s v="Foraging"/>
    <s v="NA"/>
    <s v="unknown"/>
    <m/>
    <n v="0"/>
    <s v="Unknown"/>
    <s v="Unknown"/>
    <s v="NA"/>
    <s v="NA"/>
    <s v="NA"/>
    <s v="NA"/>
    <s v="NA"/>
    <m/>
    <m/>
    <s v="NA"/>
    <s v="NA"/>
    <m/>
    <m/>
    <m/>
    <m/>
    <n v="0"/>
    <n v="0"/>
    <n v="0"/>
    <n v="0"/>
    <n v="9"/>
    <n v="0"/>
    <n v="9"/>
    <m/>
    <m/>
    <m/>
    <m/>
  </r>
  <r>
    <s v="No video"/>
    <m/>
    <m/>
    <m/>
    <x v="9"/>
    <d v="2018-09-18T00:00:00"/>
    <s v="September"/>
    <s v="Fall"/>
    <m/>
    <m/>
    <x v="122"/>
    <s v="Overcast"/>
    <x v="16"/>
    <s v="Caching"/>
    <s v="Aspen"/>
    <n v="0"/>
    <m/>
    <n v="1"/>
    <s v="Unknown"/>
    <s v="Unknown"/>
    <s v="unknown"/>
    <s v="Aspen trunk "/>
    <s v="Aspen"/>
    <s v="Trunk"/>
    <s v="Under bark"/>
    <m/>
    <m/>
    <s v="Unknown"/>
    <n v="63.724319999999999"/>
    <n v="148.88916"/>
    <m/>
    <m/>
    <m/>
    <n v="0"/>
    <n v="0"/>
    <n v="0"/>
    <n v="0"/>
    <n v="0"/>
    <n v="0"/>
    <n v="0"/>
    <m/>
    <s v="Observed by DL"/>
    <m/>
    <m/>
  </r>
  <r>
    <s v="No video"/>
    <m/>
    <m/>
    <m/>
    <x v="9"/>
    <d v="2018-09-27T00:00:00"/>
    <s v="September"/>
    <s v="Fall"/>
    <m/>
    <m/>
    <x v="122"/>
    <s v="Partly Sunny"/>
    <x v="16"/>
    <s v="Foraging/caching"/>
    <s v="Spruce"/>
    <n v="1"/>
    <m/>
    <n v="1"/>
    <s v="Unknown"/>
    <s v="Unknown"/>
    <s v="Ground"/>
    <s v="Exterior spruce foliage"/>
    <s v="Spruce"/>
    <s v="Exterior"/>
    <s v="Foliage"/>
    <m/>
    <m/>
    <n v="3"/>
    <n v="63.724739999999997"/>
    <n v="148.88999999999999"/>
    <m/>
    <m/>
    <m/>
    <n v="0"/>
    <n v="0"/>
    <n v="0"/>
    <n v="0"/>
    <n v="2"/>
    <n v="0"/>
    <n v="2"/>
    <m/>
    <s v="Didn't catch either on video, B&amp;Ut KS witnessed both.  We were able to visually confirm cache, though we couldn't figure out what it was! "/>
    <m/>
    <m/>
  </r>
  <r>
    <s v="DSCN0164"/>
    <s v="WW0903_3"/>
    <n v="3"/>
    <n v="2"/>
    <x v="0"/>
    <d v="2018-09-03T00:00:00"/>
    <s v="September"/>
    <s v="Fall"/>
    <d v="1899-12-30T00:41:00"/>
    <d v="1899-12-30T00:00:41"/>
    <x v="122"/>
    <m/>
    <x v="23"/>
    <s v="Foraging"/>
    <s v="Spruce"/>
    <n v="1"/>
    <m/>
    <n v="0"/>
    <s v="Animal flesh"/>
    <s v="Animal flesh (Snowshoe hare)"/>
    <s v="Cached snowshoe hare leg in tree"/>
    <s v="NA"/>
    <s v="NA"/>
    <s v="NA"/>
    <s v="NA"/>
    <m/>
    <m/>
    <s v="NA"/>
    <s v="NA"/>
    <s v="NA"/>
    <m/>
    <m/>
    <m/>
    <n v="0"/>
    <n v="0"/>
    <n v="0"/>
    <n v="0"/>
    <n v="0"/>
    <n v="0"/>
    <n v="0"/>
    <m/>
    <m/>
    <m/>
    <m/>
  </r>
  <r>
    <m/>
    <m/>
    <m/>
    <m/>
    <x v="25"/>
    <m/>
    <m/>
    <m/>
    <m/>
    <m/>
    <x v="122"/>
    <m/>
    <x v="23"/>
    <m/>
    <m/>
    <m/>
    <m/>
    <m/>
    <m/>
    <m/>
    <m/>
    <m/>
    <m/>
    <m/>
    <m/>
    <m/>
    <m/>
    <m/>
    <m/>
    <m/>
    <m/>
    <m/>
    <m/>
    <m/>
    <m/>
    <m/>
    <m/>
    <m/>
    <m/>
    <m/>
    <m/>
    <m/>
    <m/>
    <m/>
  </r>
</pivotCacheRecords>
</file>

<file path=xl/pivotCache/pivotCacheRecords9.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5">
  <r>
    <s v="DSCN4048"/>
    <s v="MC0630_2"/>
    <n v="2"/>
    <n v="1"/>
    <s v="Mercantile"/>
    <d v="2019-06-30T00:00:00"/>
    <x v="0"/>
    <d v="1899-12-30T00:10:00"/>
    <d v="1899-12-30T00:00:10"/>
    <s v="Overcast, hot, smokey"/>
    <s v="WO/OS"/>
    <s v="Foraging"/>
    <s v="Spruce"/>
    <s v="Unknown"/>
    <s v="none"/>
    <n v="0"/>
    <x v="0"/>
    <x v="0"/>
    <s v="NA"/>
    <s v="NA"/>
    <s v="NA"/>
    <s v="NA"/>
    <s v="NA"/>
    <s v="NA"/>
    <s v="NA"/>
    <s v="NA"/>
    <s v="NA"/>
    <s v="NA"/>
    <s v="NA"/>
    <s v="NA"/>
    <s v="NA"/>
    <n v="10"/>
    <n v="0"/>
    <n v="0"/>
    <n v="10"/>
    <n v="0"/>
    <n v="10"/>
    <m/>
    <m/>
    <m/>
    <m/>
  </r>
  <r>
    <s v="DSCB4072"/>
    <s v="MC0630_8"/>
    <n v="8"/>
    <n v="1"/>
    <s v="Mercantile"/>
    <d v="2019-06-30T00:00:00"/>
    <x v="0"/>
    <d v="1899-12-30T00:58:00"/>
    <d v="1899-12-30T00:00:58"/>
    <s v="Overcast, hot, smokey"/>
    <s v="BW/GS"/>
    <s v="Foraging"/>
    <s v="Spruce"/>
    <s v="Unknown"/>
    <n v="0"/>
    <n v="0"/>
    <x v="0"/>
    <x v="0"/>
    <s v="NA"/>
    <s v="NA"/>
    <s v="NA"/>
    <s v="NA"/>
    <s v="NA"/>
    <s v="NA"/>
    <s v="NA"/>
    <s v="NA"/>
    <s v="NA"/>
    <s v="NA"/>
    <s v="NA"/>
    <s v="NA"/>
    <s v="NA"/>
    <n v="0"/>
    <n v="0"/>
    <n v="0"/>
    <n v="0"/>
    <n v="16"/>
    <n v="16"/>
    <s v="Searching"/>
    <m/>
    <m/>
    <m/>
  </r>
  <r>
    <s v="DSCN4064"/>
    <s v="MC0630_6"/>
    <n v="6"/>
    <n v="1"/>
    <s v="Mercantile"/>
    <d v="2019-06-30T00:00:00"/>
    <x v="0"/>
    <d v="1899-12-30T00:27:00"/>
    <d v="1899-12-30T00:00:27"/>
    <s v="Overcast, hot, smokey"/>
    <s v="BW/GS"/>
    <s v="Foraging"/>
    <s v="Spruce"/>
    <n v="1"/>
    <s v="Unknown"/>
    <n v="0"/>
    <x v="1"/>
    <x v="1"/>
    <s v="Interior bare spruce branch under bark"/>
    <s v="NA"/>
    <s v="NA"/>
    <s v="NA"/>
    <s v="NA"/>
    <s v="NA"/>
    <s v="NA"/>
    <s v="NA"/>
    <s v="NA"/>
    <s v="NA"/>
    <s v="NA"/>
    <s v="NA"/>
    <s v="NA"/>
    <n v="27"/>
    <n v="0"/>
    <n v="27"/>
    <n v="0"/>
    <n v="0"/>
    <n v="27"/>
    <s v="Probing"/>
    <m/>
    <n v="1"/>
    <m/>
  </r>
  <r>
    <s v="DSCN4049"/>
    <s v="MC0630_3"/>
    <n v="3"/>
    <n v="1"/>
    <s v="Mercantile"/>
    <d v="2019-06-30T00:00:00"/>
    <x v="0"/>
    <d v="1899-12-30T00:21:00"/>
    <d v="1899-12-30T00:00:21"/>
    <s v="Overcast, hot, smokey"/>
    <s v="WO/OS"/>
    <s v="Foraging"/>
    <s v="Spruce"/>
    <n v="0"/>
    <n v="0"/>
    <n v="0"/>
    <x v="0"/>
    <x v="0"/>
    <s v="NA"/>
    <s v="NA"/>
    <s v="NA"/>
    <s v="NA"/>
    <s v="NA"/>
    <s v="NA"/>
    <s v="NA"/>
    <s v="NA"/>
    <s v="NA"/>
    <s v="NA"/>
    <s v="NA"/>
    <s v="NA"/>
    <s v="NA"/>
    <n v="10"/>
    <n v="0"/>
    <n v="0"/>
    <n v="10"/>
    <n v="0"/>
    <n v="10"/>
    <m/>
    <m/>
    <m/>
    <m/>
  </r>
  <r>
    <s v="DSCN4050"/>
    <s v="MC0630_4"/>
    <n v="4"/>
    <n v="1"/>
    <s v="Mercantile"/>
    <d v="2019-06-30T00:00:00"/>
    <x v="0"/>
    <d v="1899-12-30T00:17:00"/>
    <d v="1899-12-30T00:00:17"/>
    <s v="Overcast, hot, smokey"/>
    <s v="WO/OS"/>
    <s v="Foraging"/>
    <s v="Spruce"/>
    <n v="0"/>
    <n v="0"/>
    <n v="0"/>
    <x v="0"/>
    <x v="0"/>
    <s v="NA"/>
    <s v="NA"/>
    <s v="NA"/>
    <s v="NA"/>
    <s v="NA"/>
    <s v="NA"/>
    <s v="NA"/>
    <s v="NA"/>
    <s v="NA"/>
    <s v="NA"/>
    <s v="NA"/>
    <s v="NA"/>
    <s v="NA"/>
    <n v="16"/>
    <n v="0"/>
    <n v="0"/>
    <n v="16"/>
    <n v="0"/>
    <n v="16"/>
    <m/>
    <m/>
    <m/>
    <m/>
  </r>
  <r>
    <s v="DSCN4071"/>
    <s v="MC0630_7"/>
    <n v="7"/>
    <n v="1"/>
    <s v="Mercantile"/>
    <d v="2019-06-30T00:00:00"/>
    <x v="0"/>
    <d v="1899-12-30T01:03:00"/>
    <d v="1899-12-30T00:01:03"/>
    <s v="Overcast, hot, smokey"/>
    <s v="BW/GS"/>
    <s v="Foraging/Caching"/>
    <s v="Spruce"/>
    <n v="1"/>
    <n v="0"/>
    <n v="1"/>
    <x v="2"/>
    <x v="2"/>
    <s v="Ground"/>
    <s v="Spruce trunk"/>
    <s v="Spruce"/>
    <s v="Trunk"/>
    <s v="Bark"/>
    <s v="S"/>
    <n v="190"/>
    <n v="2"/>
    <n v="63.73545"/>
    <n v="148.89067"/>
    <s v="NA"/>
    <s v="NA"/>
    <s v="NA"/>
    <n v="0"/>
    <n v="0"/>
    <n v="0"/>
    <n v="0"/>
    <n v="38"/>
    <n v="38"/>
    <s v="Searching"/>
    <s v="Deployed camera"/>
    <m/>
    <m/>
  </r>
  <r>
    <s v="DSCN4073"/>
    <s v="MC0630_9"/>
    <n v="9"/>
    <n v="1"/>
    <s v="Mercantile"/>
    <d v="2019-06-30T00:00:00"/>
    <x v="0"/>
    <d v="1899-12-30T00:20:00"/>
    <d v="1899-12-30T00:00:20"/>
    <s v="Overcast, hot, smokey"/>
    <s v="WO/OS"/>
    <s v="Foraging"/>
    <s v="Spruce"/>
    <n v="1"/>
    <s v="NA"/>
    <n v="1"/>
    <x v="3"/>
    <x v="3"/>
    <s v="Unknown"/>
    <s v="Spruce interior foliage"/>
    <s v="Spruce"/>
    <s v="Interior "/>
    <s v="Foliage"/>
    <m/>
    <m/>
    <s v="Unknown"/>
    <n v="63.737050000000004"/>
    <n v="148.89748"/>
    <s v="NA"/>
    <s v="NA"/>
    <s v="NA"/>
    <n v="0"/>
    <n v="0"/>
    <n v="0"/>
    <n v="0"/>
    <n v="0"/>
    <n v="0"/>
    <m/>
    <m/>
    <m/>
    <m/>
  </r>
  <r>
    <s v="DSCN4952"/>
    <s v="MC0630_5"/>
    <n v="5"/>
    <n v="1"/>
    <s v="Mercantile"/>
    <d v="2019-06-30T00:00:00"/>
    <x v="0"/>
    <d v="1899-12-30T00:23:00"/>
    <d v="1899-12-30T00:00:23"/>
    <s v="Overcast, hot, smokey"/>
    <s v="BW/GS"/>
    <s v="Foraging"/>
    <s v="Spruce"/>
    <s v="Unknown"/>
    <s v="Unknown"/>
    <s v="Unknown"/>
    <x v="0"/>
    <x v="0"/>
    <s v="NA"/>
    <s v="NA"/>
    <s v="NA"/>
    <s v="NA"/>
    <s v="NA"/>
    <s v="NA"/>
    <s v="NA"/>
    <s v="NA"/>
    <s v="NA"/>
    <s v="NA"/>
    <s v="NA"/>
    <s v="NA"/>
    <s v="NA"/>
    <n v="9"/>
    <n v="0"/>
    <n v="0"/>
    <n v="9"/>
    <n v="0"/>
    <n v="9"/>
    <s v="Probing"/>
    <m/>
    <s v="unknown"/>
    <m/>
  </r>
  <r>
    <s v="DSCN4089"/>
    <s v="CC0701_7"/>
    <n v="7"/>
    <n v="1"/>
    <s v="Ccamp"/>
    <d v="2019-07-01T00:00:00"/>
    <x v="1"/>
    <d v="1899-12-30T00:42:00"/>
    <d v="1899-12-30T00:00:42"/>
    <s v="Overcast"/>
    <s v="GL/RS"/>
    <s v="Foraging"/>
    <s v="Spruce"/>
    <s v="Unknown"/>
    <n v="0"/>
    <n v="0"/>
    <x v="0"/>
    <x v="0"/>
    <s v="NA"/>
    <s v="NA"/>
    <s v="NA"/>
    <s v="NA"/>
    <s v="NA"/>
    <s v="NA"/>
    <s v="NA"/>
    <s v="NA"/>
    <s v="NA"/>
    <s v="NA"/>
    <s v="NA"/>
    <s v="NA"/>
    <s v="NA"/>
    <n v="42"/>
    <n v="0"/>
    <n v="42"/>
    <n v="0"/>
    <n v="0"/>
    <n v="42"/>
    <s v="Searching"/>
    <m/>
    <m/>
    <m/>
  </r>
  <r>
    <s v="DSCN4091"/>
    <s v="CC0701_8"/>
    <n v="8"/>
    <n v="1"/>
    <s v="Ccamp"/>
    <d v="2019-07-01T00:00:00"/>
    <x v="1"/>
    <d v="1899-12-30T00:19:00"/>
    <d v="1899-12-30T00:00:19"/>
    <s v="Overcast"/>
    <s v="GL/RS"/>
    <s v="Foraging"/>
    <s v="Spruce"/>
    <s v="Unknown"/>
    <n v="0"/>
    <n v="0"/>
    <x v="0"/>
    <x v="0"/>
    <s v="NA"/>
    <s v="NA"/>
    <s v="NA"/>
    <s v="NA"/>
    <s v="NA"/>
    <s v="NA"/>
    <s v="NA"/>
    <s v="NA"/>
    <s v="NA"/>
    <s v="NA"/>
    <s v="NA"/>
    <s v="NA"/>
    <s v="NA"/>
    <n v="0"/>
    <n v="15"/>
    <n v="0"/>
    <n v="15"/>
    <n v="0"/>
    <n v="15"/>
    <s v="Gleaning"/>
    <m/>
    <m/>
    <m/>
  </r>
  <r>
    <s v="DSCN0497"/>
    <s v="CC0701_11"/>
    <n v="11"/>
    <n v="1"/>
    <s v="Ccamp"/>
    <d v="2019-07-01T00:00:00"/>
    <x v="1"/>
    <d v="1899-12-30T00:34:00"/>
    <d v="1899-12-30T00:00:34"/>
    <s v="Overcast"/>
    <s v="GL/RS"/>
    <s v="Foraging"/>
    <s v="Spruce"/>
    <s v="Unknown"/>
    <n v="0"/>
    <n v="0"/>
    <x v="0"/>
    <x v="0"/>
    <s v="NA"/>
    <s v="NA"/>
    <s v="NA"/>
    <s v="NA"/>
    <s v="NA"/>
    <s v="NA"/>
    <s v="NA"/>
    <s v="NA"/>
    <s v="NA"/>
    <s v="NA"/>
    <s v="NA"/>
    <s v="NA"/>
    <s v="NA"/>
    <n v="0"/>
    <n v="32"/>
    <n v="32"/>
    <n v="0"/>
    <n v="0"/>
    <n v="32"/>
    <s v="Searching"/>
    <m/>
    <m/>
    <m/>
  </r>
  <r>
    <s v="DSCN4098"/>
    <s v="CC0701_12"/>
    <n v="12"/>
    <n v="1"/>
    <s v="Ccamp"/>
    <d v="2019-07-01T00:00:00"/>
    <x v="1"/>
    <d v="1899-12-30T00:49:00"/>
    <d v="1899-12-30T00:00:49"/>
    <s v="Overcast"/>
    <s v="GL/RS"/>
    <s v="Foraging"/>
    <s v="Spruce"/>
    <s v="Unknown"/>
    <n v="0"/>
    <n v="0"/>
    <x v="0"/>
    <x v="0"/>
    <s v="NA"/>
    <s v="NA"/>
    <s v="NA"/>
    <s v="NA"/>
    <s v="NA"/>
    <s v="NA"/>
    <s v="NA"/>
    <s v="NA"/>
    <s v="NA"/>
    <s v="NA"/>
    <s v="NA"/>
    <s v="NA"/>
    <s v="NA"/>
    <n v="0"/>
    <n v="36"/>
    <n v="10"/>
    <n v="26"/>
    <n v="0"/>
    <n v="36"/>
    <s v="Searching"/>
    <m/>
    <m/>
    <m/>
  </r>
  <r>
    <s v="DSCN4110"/>
    <s v="CC0701_15"/>
    <n v="15"/>
    <n v="1"/>
    <s v="Ccamp"/>
    <d v="2019-07-01T00:00:00"/>
    <x v="1"/>
    <d v="1899-12-30T00:17:00"/>
    <d v="1899-12-30T00:00:17"/>
    <s v="Overcast"/>
    <s v="GL/RS"/>
    <s v="Foraging"/>
    <s v="Spruce"/>
    <s v="Unknown"/>
    <n v="0"/>
    <n v="0"/>
    <x v="0"/>
    <x v="0"/>
    <s v="NA"/>
    <s v="NA"/>
    <s v="NA"/>
    <s v="NA"/>
    <s v="NA"/>
    <s v="NA"/>
    <s v="NA"/>
    <s v="NA"/>
    <s v="NA"/>
    <s v="NA"/>
    <s v="NA"/>
    <s v="NA"/>
    <s v="NA"/>
    <n v="0"/>
    <n v="10"/>
    <n v="10"/>
    <n v="0"/>
    <n v="0"/>
    <n v="10"/>
    <s v="Gleaning"/>
    <m/>
    <m/>
    <n v="1"/>
  </r>
  <r>
    <s v="DSCN4113"/>
    <s v="CC0701_17"/>
    <n v="17"/>
    <n v="1"/>
    <s v="Ccamp"/>
    <d v="2019-07-01T00:00:00"/>
    <x v="1"/>
    <d v="1899-12-30T00:20:00"/>
    <d v="1899-12-30T00:00:20"/>
    <s v="Overcast"/>
    <s v="GB/BS"/>
    <s v="Foraging"/>
    <s v="NA"/>
    <s v="Unknown"/>
    <n v="0"/>
    <n v="0"/>
    <x v="0"/>
    <x v="0"/>
    <s v="NA"/>
    <s v="NA"/>
    <s v="NA"/>
    <s v="NA"/>
    <s v="NA"/>
    <s v="NA"/>
    <s v="NA"/>
    <s v="NA"/>
    <s v="NA"/>
    <s v="NA"/>
    <s v="NA"/>
    <s v="NA"/>
    <s v="NA"/>
    <n v="0"/>
    <n v="0"/>
    <n v="0"/>
    <n v="0"/>
    <n v="4"/>
    <n v="4"/>
    <s v="Searching"/>
    <m/>
    <m/>
    <m/>
  </r>
  <r>
    <s v="DSCN4115"/>
    <s v="CC0701_18"/>
    <n v="18"/>
    <n v="1"/>
    <s v="Ccamp"/>
    <d v="2019-07-01T00:00:00"/>
    <x v="1"/>
    <d v="1899-12-30T01:36:00"/>
    <d v="1899-12-30T00:01:36"/>
    <s v="Overcast"/>
    <s v="GB/BS"/>
    <s v="Foraging"/>
    <s v="NA"/>
    <s v="Unknown"/>
    <n v="0"/>
    <n v="0"/>
    <x v="0"/>
    <x v="0"/>
    <s v="NA"/>
    <s v="NA"/>
    <s v="NA"/>
    <s v="NA"/>
    <s v="NA"/>
    <s v="NA"/>
    <s v="NA"/>
    <s v="NA"/>
    <s v="NA"/>
    <s v="NA"/>
    <s v="NA"/>
    <s v="NA"/>
    <s v="NA"/>
    <n v="0"/>
    <n v="0"/>
    <n v="0"/>
    <n v="0"/>
    <n v="96"/>
    <n v="96"/>
    <s v="Searching"/>
    <m/>
    <m/>
    <m/>
  </r>
  <r>
    <s v="DSCN4116"/>
    <s v="CC0701_19"/>
    <n v="19"/>
    <n v="1"/>
    <s v="Ccamp"/>
    <d v="2019-07-01T00:00:00"/>
    <x v="1"/>
    <d v="1899-12-30T00:38:00"/>
    <d v="1899-12-30T00:00:38"/>
    <s v="Overcast"/>
    <s v="GB/BS"/>
    <s v="Foraging"/>
    <s v="NA"/>
    <s v="Unknown"/>
    <n v="0"/>
    <n v="0"/>
    <x v="0"/>
    <x v="0"/>
    <s v="NA"/>
    <s v="NA"/>
    <s v="NA"/>
    <s v="NA"/>
    <s v="NA"/>
    <s v="NA"/>
    <s v="NA"/>
    <s v="NA"/>
    <s v="NA"/>
    <s v="NA"/>
    <s v="NA"/>
    <s v="NA"/>
    <s v="NA"/>
    <n v="0"/>
    <n v="0"/>
    <n v="0"/>
    <n v="0"/>
    <n v="38"/>
    <n v="38"/>
    <s v="Searching"/>
    <m/>
    <m/>
    <m/>
  </r>
  <r>
    <s v="DSCN4117"/>
    <s v="CC0701_20"/>
    <n v="20"/>
    <n v="1"/>
    <s v="Ccamp"/>
    <d v="2019-07-01T00:00:00"/>
    <x v="1"/>
    <d v="1899-12-30T00:54:00"/>
    <d v="1899-12-30T00:00:54"/>
    <s v="Overcast"/>
    <s v="GB/BS"/>
    <s v="Foraging"/>
    <s v="Spruce"/>
    <s v="Unknown"/>
    <n v="0"/>
    <n v="0"/>
    <x v="0"/>
    <x v="0"/>
    <s v="NA"/>
    <s v="NA"/>
    <s v="NA"/>
    <s v="NA"/>
    <s v="NA"/>
    <s v="NA"/>
    <s v="NA"/>
    <s v="NA"/>
    <s v="NA"/>
    <s v="NA"/>
    <s v="NA"/>
    <s v="NA"/>
    <s v="NA"/>
    <n v="10"/>
    <n v="0"/>
    <n v="10"/>
    <n v="0"/>
    <n v="4"/>
    <n v="14"/>
    <s v="Gleaning"/>
    <m/>
    <m/>
    <n v="1"/>
  </r>
  <r>
    <s v="DSCN4083"/>
    <s v="CC0701_5"/>
    <n v="5"/>
    <n v="1"/>
    <s v="Ccamp"/>
    <d v="2019-07-01T00:00:00"/>
    <x v="1"/>
    <d v="1899-12-30T01:37:00"/>
    <d v="1899-12-30T00:01:37"/>
    <s v="Overcast"/>
    <s v="GL/RS"/>
    <s v="Foraging"/>
    <s v="Spruce"/>
    <n v="2"/>
    <s v="Unknown"/>
    <n v="0"/>
    <x v="1"/>
    <x v="1"/>
    <s v="Spruce trunk"/>
    <s v="NA"/>
    <s v="NA"/>
    <s v="NA"/>
    <s v="NA"/>
    <s v="NA"/>
    <s v="NA"/>
    <s v="NA"/>
    <s v="NA"/>
    <s v="NA"/>
    <s v="NA"/>
    <s v="NA"/>
    <s v="NA"/>
    <n v="30"/>
    <n v="13"/>
    <n v="30"/>
    <n v="13"/>
    <n v="14"/>
    <n v="57"/>
    <s v="Searching"/>
    <m/>
    <m/>
    <m/>
  </r>
  <r>
    <s v="DSCN4074"/>
    <s v="CC0701_1"/>
    <n v="1"/>
    <n v="1"/>
    <s v="Ccamp"/>
    <d v="2019-07-01T00:00:00"/>
    <x v="1"/>
    <d v="1899-12-30T00:13:00"/>
    <d v="1899-12-30T00:00:13"/>
    <s v="Overcast"/>
    <s v="GB/BS"/>
    <s v="Foraging"/>
    <s v="Spruce"/>
    <n v="1"/>
    <s v="Unknown"/>
    <n v="0"/>
    <x v="1"/>
    <x v="1"/>
    <s v="Exterior spruce foliage"/>
    <s v="NA"/>
    <s v="NA"/>
    <s v="NA"/>
    <s v="NA"/>
    <s v="NA"/>
    <s v="NA"/>
    <s v="NA"/>
    <s v="NA"/>
    <s v="NA"/>
    <s v="NA"/>
    <s v="NA"/>
    <s v="NA"/>
    <n v="0"/>
    <n v="9"/>
    <n v="0"/>
    <n v="9"/>
    <n v="0"/>
    <n v="9"/>
    <s v="Searching"/>
    <m/>
    <m/>
    <m/>
  </r>
  <r>
    <s v="DSCN4078"/>
    <s v="CC0701_2"/>
    <n v="2"/>
    <n v="1"/>
    <s v="Ccamp"/>
    <d v="2019-07-01T00:00:00"/>
    <x v="1"/>
    <d v="1899-12-30T01:08:00"/>
    <d v="1899-12-30T00:01:08"/>
    <s v="Overcast"/>
    <s v="GL/RS"/>
    <s v="Foraging"/>
    <s v="Spruce"/>
    <n v="1"/>
    <s v="Unknown"/>
    <n v="0"/>
    <x v="1"/>
    <x v="1"/>
    <s v="Interior bare spruce branch under bark"/>
    <s v="NA"/>
    <s v="NA"/>
    <s v="NA"/>
    <s v="NA"/>
    <s v="NA"/>
    <s v="NA"/>
    <s v="NA"/>
    <s v="NA"/>
    <s v="NA"/>
    <s v="NA"/>
    <s v="NA"/>
    <s v="NA"/>
    <n v="54"/>
    <n v="0"/>
    <n v="54"/>
    <n v="0"/>
    <n v="0"/>
    <n v="54"/>
    <s v="Searching"/>
    <m/>
    <m/>
    <m/>
  </r>
  <r>
    <s v="DSCN4081"/>
    <s v="CC0701_3"/>
    <n v="3"/>
    <n v="1"/>
    <s v="Ccamp"/>
    <d v="2019-07-01T00:00:00"/>
    <x v="1"/>
    <d v="1899-12-30T00:02:00"/>
    <d v="1899-12-30T00:00:02"/>
    <s v="Overcast"/>
    <s v="GL/RS"/>
    <s v="Foraging"/>
    <s v="NA"/>
    <n v="1"/>
    <n v="0"/>
    <n v="0"/>
    <x v="1"/>
    <x v="1"/>
    <s v="Ground"/>
    <s v="NA"/>
    <s v="NA"/>
    <s v="NA"/>
    <s v="NA"/>
    <s v="NA"/>
    <s v="NA"/>
    <s v="NA"/>
    <s v="NA"/>
    <s v="NA"/>
    <s v="NA"/>
    <s v="NA"/>
    <s v="NA"/>
    <n v="0"/>
    <n v="0"/>
    <n v="0"/>
    <n v="0"/>
    <n v="2"/>
    <n v="2"/>
    <s v="Searching"/>
    <m/>
    <m/>
    <m/>
  </r>
  <r>
    <s v="DSCN4086"/>
    <s v="CC0701_6"/>
    <n v="6"/>
    <n v="1"/>
    <s v="Ccamp"/>
    <d v="2019-07-01T00:00:00"/>
    <x v="1"/>
    <d v="1899-12-30T00:14:00"/>
    <d v="1899-12-30T00:00:14"/>
    <s v="Overcast"/>
    <s v="GB/BS"/>
    <s v="Foraging"/>
    <s v="Spruce"/>
    <n v="1"/>
    <n v="0"/>
    <n v="0"/>
    <x v="4"/>
    <x v="1"/>
    <s v="Spruce crown foliage"/>
    <s v="NA"/>
    <s v="NA"/>
    <s v="NA"/>
    <s v="NA"/>
    <s v="NA"/>
    <s v="NA"/>
    <s v="NA"/>
    <s v="NA"/>
    <s v="NA"/>
    <s v="NA"/>
    <s v="NA"/>
    <s v="NA"/>
    <n v="0"/>
    <n v="5"/>
    <n v="5"/>
    <n v="0"/>
    <n v="0"/>
    <n v="5"/>
    <s v="Searching"/>
    <m/>
    <m/>
    <m/>
  </r>
  <r>
    <s v="DSCN4092"/>
    <s v="CC0701_9"/>
    <n v="9"/>
    <n v="1"/>
    <s v="Ccamp"/>
    <d v="2019-07-01T00:00:00"/>
    <x v="1"/>
    <d v="1899-12-30T00:33:00"/>
    <d v="1899-12-30T00:00:33"/>
    <s v="Overcast"/>
    <s v="GL/RS"/>
    <s v="Foraging"/>
    <s v="Spruce"/>
    <n v="1"/>
    <s v="Unknown"/>
    <n v="0"/>
    <x v="1"/>
    <x v="1"/>
    <s v="Spruce crown foliage"/>
    <s v="NA"/>
    <s v="NA"/>
    <s v="NA"/>
    <s v="NA"/>
    <s v="NA"/>
    <s v="NA"/>
    <s v="NA"/>
    <s v="NA"/>
    <s v="NA"/>
    <s v="NA"/>
    <s v="NA"/>
    <s v="NA"/>
    <n v="0"/>
    <n v="29"/>
    <n v="0"/>
    <n v="29"/>
    <n v="0"/>
    <n v="29"/>
    <s v="Searching"/>
    <m/>
    <m/>
    <m/>
  </r>
  <r>
    <s v="DSCN4095"/>
    <s v="CC0701_10"/>
    <n v="10"/>
    <n v="1"/>
    <s v="Ccamp"/>
    <d v="2019-07-01T00:00:00"/>
    <x v="1"/>
    <d v="1899-12-30T01:38:00"/>
    <d v="1899-12-30T00:01:38"/>
    <s v="Overcast"/>
    <s v="GL/RS"/>
    <s v="Foraging"/>
    <s v="Spruce"/>
    <n v="1"/>
    <s v="Unknown"/>
    <n v="0"/>
    <x v="1"/>
    <x v="1"/>
    <s v="Spruce trunk"/>
    <s v="NA"/>
    <s v="NA"/>
    <s v="NA"/>
    <s v="NA"/>
    <s v="NA"/>
    <s v="NA"/>
    <s v="NA"/>
    <s v="NA"/>
    <s v="NA"/>
    <s v="NA"/>
    <s v="NA"/>
    <s v="NA"/>
    <n v="11"/>
    <n v="0"/>
    <n v="11"/>
    <n v="0"/>
    <n v="0"/>
    <n v="11"/>
    <s v="Gleaning"/>
    <m/>
    <m/>
    <n v="1"/>
  </r>
  <r>
    <s v="DSCN4095"/>
    <s v="CC0701_10"/>
    <n v="10"/>
    <n v="3"/>
    <s v="Ccamp"/>
    <d v="2019-07-01T00:00:00"/>
    <x v="1"/>
    <d v="1899-12-30T01:38:00"/>
    <d v="1899-12-30T00:01:38"/>
    <s v="Overcast"/>
    <s v="GL/RS"/>
    <s v="Foraging"/>
    <s v="Spruce"/>
    <n v="1"/>
    <n v="0"/>
    <n v="0"/>
    <x v="2"/>
    <x v="4"/>
    <s v="Spruce trunk"/>
    <s v="NA"/>
    <s v="NA"/>
    <s v="NA"/>
    <s v="NA"/>
    <s v="NA"/>
    <s v="NA"/>
    <s v="NA"/>
    <s v="NA"/>
    <s v="NA"/>
    <s v="NA"/>
    <s v="NA"/>
    <s v="NA"/>
    <n v="9"/>
    <n v="0"/>
    <n v="9"/>
    <n v="0"/>
    <n v="0"/>
    <n v="9"/>
    <s v="Searching"/>
    <m/>
    <m/>
    <n v="1"/>
  </r>
  <r>
    <s v="DSCN4104"/>
    <s v="CC0701_14"/>
    <n v="14"/>
    <n v="1"/>
    <s v="Ccamp"/>
    <d v="2019-07-01T00:00:00"/>
    <x v="1"/>
    <d v="1899-12-30T01:58:00"/>
    <d v="1899-12-30T00:01:58"/>
    <s v="Overcast"/>
    <s v="GB/BS"/>
    <s v="Foraging"/>
    <s v="Spruce"/>
    <n v="1"/>
    <n v="0"/>
    <n v="0"/>
    <x v="1"/>
    <x v="1"/>
    <s v="Exterior spruce foliage"/>
    <s v="NA"/>
    <s v="NA"/>
    <s v="NA"/>
    <s v="NA"/>
    <s v="NA"/>
    <s v="NA"/>
    <s v="NA"/>
    <s v="NA"/>
    <s v="NA"/>
    <s v="NA"/>
    <s v="NA"/>
    <s v="NA"/>
    <n v="52"/>
    <n v="78"/>
    <n v="52"/>
    <n v="78"/>
    <n v="0"/>
    <n v="130"/>
    <s v="Gleaning"/>
    <m/>
    <m/>
    <n v="3"/>
  </r>
  <r>
    <s v="DSCN4123"/>
    <s v="UNK0701_2"/>
    <n v="2"/>
    <n v="1"/>
    <s v="Unknown"/>
    <d v="2019-07-01T00:00:00"/>
    <x v="1"/>
    <d v="1899-12-30T01:16:00"/>
    <d v="1899-12-30T00:01:16"/>
    <s v="Overcast"/>
    <s v="WG/YS"/>
    <s v="Foraging"/>
    <s v="Spruce"/>
    <n v="1"/>
    <s v="Unknown"/>
    <n v="0"/>
    <x v="1"/>
    <x v="1"/>
    <s v="Exterior bare spruce brnach"/>
    <s v="NA"/>
    <s v="NA"/>
    <s v="NA"/>
    <s v="NA"/>
    <s v="NA"/>
    <s v="NA"/>
    <s v="NA"/>
    <s v="NA"/>
    <s v="NA"/>
    <s v="NA"/>
    <s v="NA"/>
    <s v="NA"/>
    <n v="24"/>
    <n v="0"/>
    <n v="0"/>
    <n v="24"/>
    <n v="19"/>
    <n v="43"/>
    <s v="Searching"/>
    <m/>
    <m/>
    <m/>
  </r>
  <r>
    <s v="DSCN4130"/>
    <s v="UNK0701_4"/>
    <n v="4"/>
    <n v="1"/>
    <s v="Unknown"/>
    <d v="2019-07-01T00:00:00"/>
    <x v="1"/>
    <d v="1899-12-30T00:45:00"/>
    <d v="1899-12-30T00:00:45"/>
    <s v="Overcast"/>
    <s v="WO/??"/>
    <s v="Foraging"/>
    <s v="Spruce"/>
    <n v="1"/>
    <s v="Unknown"/>
    <n v="0"/>
    <x v="1"/>
    <x v="1"/>
    <s v="Interior bare spruce branch under bark"/>
    <s v="NA"/>
    <s v="NA"/>
    <s v="NA"/>
    <s v="NA"/>
    <s v="NA"/>
    <s v="NA"/>
    <s v="NA"/>
    <s v="NA"/>
    <s v="NA"/>
    <s v="NA"/>
    <s v="NA"/>
    <s v="NA"/>
    <n v="14"/>
    <n v="0"/>
    <n v="14"/>
    <n v="0"/>
    <n v="0"/>
    <n v="14"/>
    <s v="Gleaning"/>
    <m/>
    <m/>
    <n v="1"/>
  </r>
  <r>
    <s v="DSCN4131"/>
    <s v="UNK0701_5"/>
    <n v="5"/>
    <n v="1"/>
    <s v="Unknown"/>
    <d v="2019-07-01T00:00:00"/>
    <x v="1"/>
    <d v="1899-12-30T00:23:00"/>
    <d v="1899-12-30T00:00:23"/>
    <s v="Overcast"/>
    <s v="WG/YS"/>
    <s v="Foraging"/>
    <s v="Spruce"/>
    <n v="1"/>
    <s v="Unknown"/>
    <n v="0"/>
    <x v="1"/>
    <x v="1"/>
    <s v="Exterior spruce foliage"/>
    <s v="NA"/>
    <s v="NA"/>
    <s v="NA"/>
    <s v="NA"/>
    <s v="NA"/>
    <s v="NA"/>
    <s v="NA"/>
    <s v="NA"/>
    <s v="NA"/>
    <s v="NA"/>
    <s v="NA"/>
    <s v="NA"/>
    <n v="0"/>
    <n v="23"/>
    <n v="0"/>
    <n v="23"/>
    <n v="0"/>
    <n v="23"/>
    <s v="Gleaning"/>
    <m/>
    <m/>
    <m/>
  </r>
  <r>
    <s v="DSCN4124"/>
    <s v="UNK0701_3"/>
    <n v="3"/>
    <n v="1"/>
    <s v="Unknown"/>
    <d v="2019-07-01T00:00:00"/>
    <x v="1"/>
    <d v="1899-12-30T00:11:00"/>
    <d v="1899-12-30T00:00:11"/>
    <s v="Overcast"/>
    <s v="WG/YS"/>
    <s v="Foraging"/>
    <s v="Spruce"/>
    <n v="0"/>
    <n v="0"/>
    <n v="0"/>
    <x v="0"/>
    <x v="0"/>
    <s v="NA"/>
    <s v="NA"/>
    <s v="NA"/>
    <s v="NA"/>
    <s v="NA"/>
    <s v="NA"/>
    <s v="NA"/>
    <s v="NA"/>
    <s v="NA"/>
    <s v="NA"/>
    <s v="NA"/>
    <s v="NA"/>
    <s v="NA"/>
    <n v="0"/>
    <n v="10"/>
    <n v="10"/>
    <n v="0"/>
    <n v="0"/>
    <n v="10"/>
    <s v="Searching"/>
    <m/>
    <m/>
    <m/>
  </r>
  <r>
    <s v="DSCN4099"/>
    <s v="CC0701_13"/>
    <n v="13"/>
    <n v="1"/>
    <s v="Ccamp"/>
    <d v="2019-07-01T00:00:00"/>
    <x v="1"/>
    <d v="1899-12-30T00:40:00"/>
    <d v="1899-12-30T00:00:40"/>
    <s v="Overcast"/>
    <s v="GL/RS"/>
    <s v="Foraging/Caching"/>
    <s v="Spruce"/>
    <n v="1"/>
    <n v="0"/>
    <n v="1"/>
    <x v="1"/>
    <x v="1"/>
    <s v="Interir spruce foliage"/>
    <s v="Exterior bare spruce branch"/>
    <s v="Spruce"/>
    <s v="Exterior"/>
    <s v="Bark"/>
    <s v="NE"/>
    <n v="34"/>
    <s v="Unknown"/>
    <n v="63.724420000000002"/>
    <n v="148.94866999999999"/>
    <s v="NA"/>
    <s v="NA"/>
    <s v="NA"/>
    <n v="0"/>
    <n v="26"/>
    <n v="26"/>
    <n v="0"/>
    <n v="0"/>
    <n v="26"/>
    <s v="Searching"/>
    <m/>
    <m/>
    <m/>
  </r>
  <r>
    <s v="DSCN4095"/>
    <s v="CC0701_10"/>
    <n v="10"/>
    <n v="2"/>
    <s v="Ccamp"/>
    <d v="2019-07-01T00:00:00"/>
    <x v="1"/>
    <d v="1899-12-30T01:38:00"/>
    <d v="1899-12-30T00:01:38"/>
    <s v="Overcast"/>
    <s v="GL/RS"/>
    <s v="Foraging/Caching"/>
    <s v="Spruce"/>
    <n v="0"/>
    <n v="0"/>
    <n v="1"/>
    <x v="1"/>
    <x v="1"/>
    <s v="Unknown"/>
    <s v="Interior bare spruce branch"/>
    <s v="Spruce"/>
    <s v="Interior "/>
    <s v="Bark"/>
    <m/>
    <m/>
    <s v="Unknown"/>
    <n v="63.724249999999998"/>
    <n v="148.94682"/>
    <s v="NA"/>
    <s v="NA"/>
    <s v="NA"/>
    <n v="65"/>
    <n v="0"/>
    <n v="65"/>
    <n v="0"/>
    <n v="0"/>
    <n v="65"/>
    <s v="Searching"/>
    <m/>
    <m/>
    <n v="1"/>
  </r>
  <r>
    <s v="DSCN4112"/>
    <s v="CC0701_16"/>
    <n v="16"/>
    <n v="1"/>
    <s v="Ccamp"/>
    <d v="2019-07-01T00:00:00"/>
    <x v="1"/>
    <d v="1899-12-30T00:31:00"/>
    <d v="1899-12-30T00:00:31"/>
    <s v="Overcast"/>
    <s v="GB/BS"/>
    <s v="Caching"/>
    <s v="Spruce"/>
    <n v="0"/>
    <n v="0"/>
    <n v="1"/>
    <x v="1"/>
    <x v="1"/>
    <s v="Unknown"/>
    <s v="Spruce trunk"/>
    <s v="Spruce"/>
    <s v="Trunk"/>
    <s v="Bark"/>
    <m/>
    <n v="201"/>
    <s v="Unknown"/>
    <n v="63.725879999999997"/>
    <n v="148.94893999999999"/>
    <s v="NA"/>
    <s v="NA"/>
    <s v="NA"/>
    <n v="0"/>
    <n v="0"/>
    <n v="0"/>
    <n v="0"/>
    <n v="0"/>
    <n v="0"/>
    <m/>
    <m/>
    <m/>
    <m/>
  </r>
  <r>
    <s v="DSCN4121"/>
    <s v="UNK0701_1"/>
    <n v="1"/>
    <n v="1"/>
    <s v="Unknown"/>
    <d v="2019-07-01T00:00:00"/>
    <x v="1"/>
    <d v="1899-12-30T00:24:00"/>
    <d v="1899-12-30T00:00:24"/>
    <s v="Overcast"/>
    <s v="WO/??"/>
    <s v="Caching"/>
    <s v="Spruce"/>
    <n v="0"/>
    <n v="0"/>
    <n v="1"/>
    <x v="1"/>
    <x v="1"/>
    <s v="Exterior spruce "/>
    <s v="Exterior bare spruce branch"/>
    <s v="Spruce"/>
    <s v="Exterior"/>
    <s v="Bark"/>
    <m/>
    <n v="70"/>
    <s v="Unknown"/>
    <n v="63.727580000000003"/>
    <n v="148.95523"/>
    <s v="NA"/>
    <s v="NA"/>
    <s v="NA"/>
    <n v="0"/>
    <n v="0"/>
    <n v="0"/>
    <n v="0"/>
    <n v="0"/>
    <n v="0"/>
    <m/>
    <m/>
    <m/>
    <m/>
  </r>
  <r>
    <s v="DSCN4082"/>
    <s v="CC0701_4"/>
    <n v="4"/>
    <n v="1"/>
    <s v="Ccamp"/>
    <d v="2019-07-01T00:00:00"/>
    <x v="1"/>
    <d v="1899-12-30T01:42:00"/>
    <d v="1899-12-30T00:01:42"/>
    <s v="Overcast"/>
    <s v="GL/RS"/>
    <s v="Foraging"/>
    <s v="Spruce"/>
    <s v="Unknown"/>
    <s v="Unknown"/>
    <s v="Unknown"/>
    <x v="0"/>
    <x v="0"/>
    <s v="NA"/>
    <s v="NA"/>
    <s v="NA"/>
    <s v="NA"/>
    <s v="NA"/>
    <s v="NA"/>
    <s v="NA"/>
    <s v="NA"/>
    <s v="NA"/>
    <s v="NA"/>
    <s v="NA"/>
    <s v="NA"/>
    <s v="NA"/>
    <n v="78"/>
    <n v="0"/>
    <n v="78"/>
    <n v="0"/>
    <n v="0"/>
    <n v="78"/>
    <m/>
    <m/>
    <m/>
    <m/>
  </r>
  <r>
    <s v="DSCN4142"/>
    <s v="M4R0702_3"/>
    <n v="3"/>
    <n v="1"/>
    <s v="Mile 4 Roadside"/>
    <d v="2019-07-02T00:00:00"/>
    <x v="1"/>
    <d v="1899-12-30T00:28:00"/>
    <d v="1899-12-30T00:00:28"/>
    <s v="Overcast"/>
    <s v="YO/BS"/>
    <s v="Foraging"/>
    <s v="Spruce"/>
    <s v="Unknown"/>
    <n v="0"/>
    <n v="0"/>
    <x v="0"/>
    <x v="0"/>
    <s v="NA"/>
    <s v="NA"/>
    <s v="NA"/>
    <s v="NA"/>
    <s v="NA"/>
    <s v="NA"/>
    <s v="NA"/>
    <s v="NA"/>
    <s v="NA"/>
    <s v="NA"/>
    <s v="NA"/>
    <s v="NA"/>
    <s v="NA"/>
    <n v="0"/>
    <n v="0"/>
    <n v="0"/>
    <n v="0"/>
    <n v="28"/>
    <n v="28"/>
    <m/>
    <m/>
    <m/>
    <m/>
  </r>
  <r>
    <s v="DSCN4150"/>
    <s v="M4R0702_5"/>
    <n v="5"/>
    <n v="1"/>
    <s v="Mile 4 Roadside"/>
    <d v="2019-07-02T00:00:00"/>
    <x v="1"/>
    <d v="1899-12-30T00:11:00"/>
    <d v="1899-12-30T00:00:11"/>
    <s v="Overcast"/>
    <s v="OB/YS"/>
    <s v="Foraging"/>
    <s v="Spruce"/>
    <s v="Unknown"/>
    <n v="0"/>
    <n v="0"/>
    <x v="0"/>
    <x v="0"/>
    <s v="NA"/>
    <s v="NA"/>
    <s v="NA"/>
    <s v="NA"/>
    <s v="NA"/>
    <s v="NA"/>
    <s v="NA"/>
    <s v="NA"/>
    <s v="NA"/>
    <s v="NA"/>
    <s v="NA"/>
    <s v="NA"/>
    <s v="NA"/>
    <n v="0"/>
    <n v="10"/>
    <n v="10"/>
    <n v="0"/>
    <n v="0"/>
    <n v="10"/>
    <m/>
    <m/>
    <m/>
    <m/>
  </r>
  <r>
    <s v="DSCN4180"/>
    <s v="M4R0702_11"/>
    <n v="11"/>
    <n v="1"/>
    <s v="Mile 4 Roadside"/>
    <d v="2019-07-02T00:00:00"/>
    <x v="1"/>
    <d v="1899-12-30T01:48:00"/>
    <d v="1899-12-30T00:01:48"/>
    <s v="Overcast"/>
    <s v="YO/BS"/>
    <s v="Foraging"/>
    <s v="Spruce"/>
    <s v="Unknown"/>
    <n v="0"/>
    <n v="0"/>
    <x v="0"/>
    <x v="0"/>
    <s v="NA"/>
    <s v="NA"/>
    <s v="NA"/>
    <s v="NA"/>
    <s v="NA"/>
    <s v="NA"/>
    <s v="NA"/>
    <s v="NA"/>
    <s v="NA"/>
    <s v="NA"/>
    <s v="NA"/>
    <s v="NA"/>
    <s v="NA"/>
    <n v="0"/>
    <n v="0"/>
    <n v="0"/>
    <n v="0"/>
    <n v="95"/>
    <n v="95"/>
    <m/>
    <m/>
    <m/>
    <m/>
  </r>
  <r>
    <s v="DSCN4189"/>
    <s v="M4R0702_14"/>
    <n v="14"/>
    <n v="1"/>
    <s v="Mile 4 Roadside"/>
    <d v="2019-07-02T00:00:00"/>
    <x v="1"/>
    <d v="1899-12-30T00:13:00"/>
    <d v="1899-12-30T00:00:13"/>
    <s v="Overcast"/>
    <s v="YO/BS"/>
    <s v="Foraging"/>
    <s v="NA"/>
    <s v="Unknown"/>
    <n v="0"/>
    <n v="0"/>
    <x v="0"/>
    <x v="0"/>
    <s v="NA"/>
    <s v="NA"/>
    <s v="NA"/>
    <s v="NA"/>
    <s v="NA"/>
    <s v="NA"/>
    <s v="NA"/>
    <s v="NA"/>
    <s v="NA"/>
    <s v="NA"/>
    <s v="NA"/>
    <s v="NA"/>
    <s v="NA"/>
    <n v="0"/>
    <n v="0"/>
    <n v="0"/>
    <n v="0"/>
    <n v="4"/>
    <n v="4"/>
    <s v="Searching"/>
    <m/>
    <m/>
    <m/>
  </r>
  <r>
    <s v="DSCN4190"/>
    <s v="M4R0702_15"/>
    <n v="15"/>
    <n v="1"/>
    <s v="Mile 4 Roadside"/>
    <d v="2019-07-02T00:00:00"/>
    <x v="1"/>
    <d v="1899-12-30T00:21:00"/>
    <d v="1899-12-30T00:00:21"/>
    <s v="Overcast"/>
    <s v="YO/BS"/>
    <s v="Foraging"/>
    <s v="Spruce"/>
    <s v="Unknown"/>
    <n v="0"/>
    <n v="0"/>
    <x v="0"/>
    <x v="0"/>
    <s v="NA"/>
    <s v="NA"/>
    <s v="NA"/>
    <s v="NA"/>
    <s v="NA"/>
    <s v="NA"/>
    <s v="NA"/>
    <s v="NA"/>
    <s v="NA"/>
    <s v="NA"/>
    <s v="NA"/>
    <s v="NA"/>
    <s v="NA"/>
    <n v="0"/>
    <n v="21"/>
    <n v="0"/>
    <n v="21"/>
    <n v="0"/>
    <n v="21"/>
    <s v="Searching"/>
    <m/>
    <m/>
    <m/>
  </r>
  <r>
    <s v="DSCN4139"/>
    <s v="M4R0702_1"/>
    <n v="1"/>
    <n v="1"/>
    <s v="Mile 4 Roadside"/>
    <d v="2019-07-02T00:00:00"/>
    <x v="1"/>
    <d v="1899-12-30T01:01:00"/>
    <d v="1899-12-30T00:01:01"/>
    <s v="Overcast"/>
    <s v="WG/OS"/>
    <s v="Foraging"/>
    <s v="Spruce"/>
    <n v="2"/>
    <n v="0"/>
    <n v="0"/>
    <x v="1"/>
    <x v="1"/>
    <s v="Interior spruce foliage"/>
    <s v="NA"/>
    <s v="NA"/>
    <s v="NA"/>
    <s v="NA"/>
    <s v="NA"/>
    <s v="NA"/>
    <s v="NA"/>
    <s v="NA"/>
    <s v="NA"/>
    <s v="NA"/>
    <s v="NA"/>
    <s v="NA"/>
    <n v="0"/>
    <n v="61"/>
    <n v="61"/>
    <n v="0"/>
    <n v="0"/>
    <n v="61"/>
    <m/>
    <m/>
    <m/>
    <m/>
  </r>
  <r>
    <s v="DSCN4171"/>
    <s v="M4R0702_8"/>
    <n v="8"/>
    <n v="1"/>
    <s v="Mile 4 Roadside"/>
    <d v="2019-07-02T00:00:00"/>
    <x v="1"/>
    <d v="1899-12-30T00:26:00"/>
    <d v="1899-12-30T00:00:26"/>
    <s v="Overcast"/>
    <s v="YO/BS"/>
    <s v="Foraging"/>
    <s v="Spruce"/>
    <n v="2"/>
    <n v="0"/>
    <n v="0"/>
    <x v="4"/>
    <x v="1"/>
    <s v="Exterior spruce foliage"/>
    <s v="NA"/>
    <s v="NA"/>
    <s v="NA"/>
    <s v="NA"/>
    <s v="NA"/>
    <s v="NA"/>
    <s v="NA"/>
    <s v="NA"/>
    <s v="NA"/>
    <s v="NA"/>
    <s v="NA"/>
    <s v="NA"/>
    <n v="0"/>
    <n v="26"/>
    <n v="0"/>
    <n v="26"/>
    <n v="0"/>
    <n v="26"/>
    <m/>
    <m/>
    <m/>
    <m/>
  </r>
  <r>
    <s v="DSCN4168"/>
    <s v="M4R0702_7"/>
    <n v="7"/>
    <n v="1"/>
    <s v="Mile 4 Roadside"/>
    <d v="2019-07-02T00:00:00"/>
    <x v="1"/>
    <d v="1899-12-30T00:38:00"/>
    <d v="1899-12-30T00:00:38"/>
    <s v="Overcast"/>
    <s v="OB/YS"/>
    <s v="Foraging"/>
    <s v="Spruce"/>
    <n v="1"/>
    <n v="0"/>
    <n v="0"/>
    <x v="1"/>
    <x v="5"/>
    <s v="Exterior spruce foliage"/>
    <s v="NA"/>
    <s v="NA"/>
    <s v="NA"/>
    <s v="NA"/>
    <s v="NA"/>
    <s v="NA"/>
    <s v="NA"/>
    <s v="NA"/>
    <s v="NA"/>
    <s v="NA"/>
    <s v="NA"/>
    <s v="NA"/>
    <n v="0"/>
    <n v="31"/>
    <n v="0"/>
    <n v="31"/>
    <n v="7"/>
    <n v="38"/>
    <s v="Gleaning"/>
    <m/>
    <m/>
    <n v="1"/>
  </r>
  <r>
    <s v="DSCN4173"/>
    <s v="M4R0702_9"/>
    <n v="9"/>
    <n v="1"/>
    <s v="Mile 4 Roadside"/>
    <d v="2019-07-02T00:00:00"/>
    <x v="1"/>
    <d v="1899-12-30T00:49:00"/>
    <d v="1899-12-30T00:00:49"/>
    <s v="Overcast"/>
    <s v="OB/YS"/>
    <s v="Foraging"/>
    <s v="Spruce"/>
    <n v="1"/>
    <n v="0"/>
    <n v="0"/>
    <x v="1"/>
    <x v="5"/>
    <s v="Exterior spruce foliage"/>
    <s v="NA"/>
    <s v="NA"/>
    <s v="NA"/>
    <s v="NA"/>
    <s v="NA"/>
    <s v="NA"/>
    <s v="NA"/>
    <s v="NA"/>
    <s v="NA"/>
    <s v="NA"/>
    <s v="NA"/>
    <s v="NA"/>
    <n v="0"/>
    <n v="5"/>
    <n v="0"/>
    <n v="5"/>
    <n v="0"/>
    <n v="5"/>
    <s v="Gleaning"/>
    <m/>
    <m/>
    <n v="1"/>
  </r>
  <r>
    <s v="DSCN4177"/>
    <s v="M4R0702_10"/>
    <n v="10"/>
    <n v="1"/>
    <s v="Mile 4 Roadside"/>
    <d v="2019-07-02T00:00:00"/>
    <x v="1"/>
    <d v="1899-12-30T00:36:00"/>
    <d v="1899-12-30T00:00:36"/>
    <s v="Overcast"/>
    <s v="OB/YS"/>
    <s v="Foraging"/>
    <s v="Spruce"/>
    <n v="1"/>
    <n v="0"/>
    <n v="0"/>
    <x v="1"/>
    <x v="1"/>
    <s v="Interior spruce foliage"/>
    <s v="NA"/>
    <s v="NA"/>
    <s v="NA"/>
    <s v="NA"/>
    <s v="NA"/>
    <s v="NA"/>
    <s v="NA"/>
    <s v="NA"/>
    <s v="NA"/>
    <s v="NA"/>
    <s v="NA"/>
    <s v="NA"/>
    <n v="3"/>
    <n v="30"/>
    <n v="33"/>
    <n v="0"/>
    <n v="0"/>
    <n v="33"/>
    <m/>
    <m/>
    <m/>
    <m/>
  </r>
  <r>
    <s v="DSCN4193"/>
    <s v="M4R0702_16"/>
    <n v="16"/>
    <n v="1"/>
    <s v="Mile 4 Roadside"/>
    <d v="2019-07-02T00:00:00"/>
    <x v="1"/>
    <d v="1899-12-30T00:08:00"/>
    <d v="1899-12-30T00:00:08"/>
    <s v="Overcast"/>
    <s v="YO/BS"/>
    <s v="Foraging"/>
    <s v="Spruce"/>
    <n v="1"/>
    <n v="0"/>
    <n v="0"/>
    <x v="1"/>
    <x v="1"/>
    <s v="NA"/>
    <s v="NA"/>
    <s v="NA"/>
    <s v="NA"/>
    <s v="NA"/>
    <s v="NA"/>
    <s v="NA"/>
    <s v="NA"/>
    <s v="NA"/>
    <s v="NA"/>
    <s v="NA"/>
    <s v="NA"/>
    <s v="NA"/>
    <n v="0"/>
    <n v="8"/>
    <n v="0"/>
    <n v="8"/>
    <n v="0"/>
    <n v="8"/>
    <m/>
    <m/>
    <m/>
    <m/>
  </r>
  <r>
    <s v="DSCN4196"/>
    <s v="M4R0702_18"/>
    <n v="18"/>
    <n v="1"/>
    <s v="Mile 4 Roadside"/>
    <d v="2019-07-02T00:00:00"/>
    <x v="1"/>
    <d v="1899-12-30T00:15:00"/>
    <d v="1899-12-30T00:00:15"/>
    <s v="Overcast"/>
    <s v="YO/BS"/>
    <s v="Foraging"/>
    <s v="Spruce"/>
    <n v="1"/>
    <n v="0"/>
    <n v="0"/>
    <x v="1"/>
    <x v="1"/>
    <s v="Interior spruce foliage"/>
    <s v="NA"/>
    <s v="NA"/>
    <s v="NA"/>
    <s v="NA"/>
    <s v="NA"/>
    <s v="NA"/>
    <s v="NA"/>
    <s v="NA"/>
    <s v="NA"/>
    <s v="NA"/>
    <s v="NA"/>
    <s v="NA"/>
    <n v="0"/>
    <n v="4"/>
    <n v="4"/>
    <n v="0"/>
    <n v="0"/>
    <n v="4"/>
    <s v="Searching"/>
    <m/>
    <m/>
    <m/>
  </r>
  <r>
    <s v="DSCN4141"/>
    <s v="M4R0702_2"/>
    <n v="2"/>
    <n v="1"/>
    <s v="Mile 4 Roadside"/>
    <d v="2019-07-02T00:00:00"/>
    <x v="1"/>
    <d v="1899-12-30T00:27:00"/>
    <d v="1899-12-30T00:00:27"/>
    <s v="Overcast"/>
    <s v="WG/OS"/>
    <s v="Foraging"/>
    <s v="Spruce"/>
    <n v="0"/>
    <n v="0"/>
    <n v="0"/>
    <x v="0"/>
    <x v="0"/>
    <s v="NA"/>
    <s v="NA"/>
    <s v="NA"/>
    <s v="NA"/>
    <s v="NA"/>
    <s v="NA"/>
    <s v="NA"/>
    <s v="NA"/>
    <s v="NA"/>
    <s v="NA"/>
    <s v="NA"/>
    <s v="NA"/>
    <s v="NA"/>
    <n v="16"/>
    <n v="6"/>
    <n v="22"/>
    <n v="0"/>
    <n v="0"/>
    <n v="22"/>
    <m/>
    <m/>
    <m/>
    <m/>
  </r>
  <r>
    <s v="DSCN4194"/>
    <s v="M4R0702_17"/>
    <n v="17"/>
    <n v="1"/>
    <s v="Mile 4 Roadside"/>
    <d v="2019-07-02T00:00:00"/>
    <x v="1"/>
    <d v="1899-12-30T00:21:00"/>
    <d v="1899-12-30T00:00:21"/>
    <s v="Overcast"/>
    <s v="YO/BS"/>
    <s v="Caching"/>
    <s v="Spruce"/>
    <n v="0"/>
    <m/>
    <n v="1"/>
    <x v="1"/>
    <x v="1"/>
    <s v="interior bare spruce bark"/>
    <s v="Exterior bare spruce branch"/>
    <s v="Spruce"/>
    <s v="Exterior"/>
    <s v="Bark"/>
    <m/>
    <n v="87"/>
    <s v="Unknown"/>
    <n v="63.720939999999999"/>
    <n v="148.98759000000001"/>
    <s v="NA"/>
    <s v="NA"/>
    <s v="NA"/>
    <n v="7"/>
    <n v="0"/>
    <n v="7"/>
    <n v="0"/>
    <n v="0"/>
    <n v="7"/>
    <m/>
    <m/>
    <m/>
    <m/>
  </r>
  <r>
    <s v="DSCN4181"/>
    <s v="M4R0702_12"/>
    <n v="12"/>
    <n v="1"/>
    <s v="Mile 4 Roadside"/>
    <d v="2019-07-02T00:00:00"/>
    <x v="1"/>
    <d v="1899-12-30T00:15:00"/>
    <d v="1899-12-30T00:00:15"/>
    <s v="Overcast"/>
    <s v="unknown"/>
    <s v="Foraging"/>
    <s v="Spruce"/>
    <s v="Unknown"/>
    <s v="Unknown"/>
    <s v="Unknown"/>
    <x v="0"/>
    <x v="0"/>
    <s v="NA"/>
    <s v="NA"/>
    <s v="NA"/>
    <s v="NA"/>
    <s v="NA"/>
    <s v="NA"/>
    <s v="NA"/>
    <s v="NA"/>
    <s v="NA"/>
    <s v="NA"/>
    <s v="NA"/>
    <s v="NA"/>
    <s v="NA"/>
    <n v="10"/>
    <n v="0"/>
    <n v="10"/>
    <n v="0"/>
    <n v="0"/>
    <n v="10"/>
    <s v="Searching"/>
    <m/>
    <m/>
    <m/>
  </r>
  <r>
    <s v="DSCN4187"/>
    <s v="M4R0702_13"/>
    <n v="13"/>
    <n v="1"/>
    <s v="Mile 4 Roadside"/>
    <d v="2019-07-02T00:00:00"/>
    <x v="1"/>
    <d v="1899-12-30T00:25:00"/>
    <d v="1899-12-30T00:00:25"/>
    <s v="Overcast"/>
    <s v="YO/BS"/>
    <s v="Foraging"/>
    <s v="Spruce"/>
    <s v="Unknown"/>
    <n v="0"/>
    <s v="Unknown"/>
    <x v="1"/>
    <x v="1"/>
    <s v="Spruce trunk"/>
    <s v="NA"/>
    <s v="NA"/>
    <s v="NA"/>
    <s v="NA"/>
    <s v="NA"/>
    <s v="NA"/>
    <s v="NA"/>
    <s v="NA"/>
    <s v="NA"/>
    <s v="NA"/>
    <s v="NA"/>
    <s v="NA"/>
    <n v="10"/>
    <n v="0"/>
    <n v="10"/>
    <n v="0"/>
    <n v="9"/>
    <n v="19"/>
    <s v="Searching"/>
    <m/>
    <m/>
    <m/>
  </r>
  <r>
    <s v="DSCN4143"/>
    <s v="M4R0702_4"/>
    <n v="4"/>
    <n v="1"/>
    <s v="Mile 4 Roadside"/>
    <d v="2019-07-02T00:00:00"/>
    <x v="1"/>
    <d v="1899-12-30T00:00:43"/>
    <d v="1899-12-30T00:00:43"/>
    <s v="Overcast"/>
    <s v="YO/BS"/>
    <s v="Foraging"/>
    <s v="Spruce"/>
    <n v="1"/>
    <n v="0"/>
    <s v="Unknown"/>
    <x v="1"/>
    <x v="1"/>
    <s v="Ground"/>
    <s v="NA"/>
    <s v="NA"/>
    <s v="NA"/>
    <s v="NA"/>
    <s v="NA"/>
    <s v="NA"/>
    <s v="NA"/>
    <s v="NA"/>
    <s v="NA"/>
    <s v="NA"/>
    <s v="NA"/>
    <s v="NA"/>
    <n v="0"/>
    <n v="0"/>
    <n v="0"/>
    <n v="0"/>
    <n v="18"/>
    <n v="18"/>
    <m/>
    <m/>
    <m/>
    <m/>
  </r>
  <r>
    <s v="DSCN4151"/>
    <s v="M4R0702_6"/>
    <n v="6"/>
    <n v="1"/>
    <s v="Mile 4 Roadside"/>
    <d v="2019-07-02T00:00:00"/>
    <x v="1"/>
    <d v="1899-12-30T00:28:00"/>
    <d v="1899-12-30T00:00:27"/>
    <s v="Overcast"/>
    <s v="OB/YS"/>
    <s v="Foraging"/>
    <s v="NA"/>
    <n v="1"/>
    <n v="0"/>
    <n v="0"/>
    <x v="5"/>
    <x v="6"/>
    <s v="Ground"/>
    <s v="NA"/>
    <s v="NA"/>
    <s v="NA"/>
    <s v="NA"/>
    <s v="NA"/>
    <s v="NA"/>
    <s v="NA"/>
    <s v="NA"/>
    <s v="NA"/>
    <s v="NA"/>
    <s v="NA"/>
    <s v="NA"/>
    <n v="0"/>
    <n v="0"/>
    <n v="0"/>
    <n v="0"/>
    <n v="25"/>
    <n v="25"/>
    <m/>
    <m/>
    <m/>
    <m/>
  </r>
  <r>
    <s v="DSCN4222"/>
    <s v="M4R0704_1"/>
    <n v="1"/>
    <n v="1"/>
    <s v="BU"/>
    <d v="2019-07-04T00:00:00"/>
    <x v="1"/>
    <d v="1899-12-30T00:14:00"/>
    <m/>
    <s v="Overcast"/>
    <s v="WP/BS"/>
    <s v="Foraging"/>
    <s v="Spruce"/>
    <n v="0"/>
    <n v="0"/>
    <n v="0"/>
    <x v="0"/>
    <x v="0"/>
    <s v="NA"/>
    <s v="NA"/>
    <s v="NA"/>
    <s v="NA"/>
    <s v="NA"/>
    <s v="NA"/>
    <s v="NA"/>
    <s v="NA"/>
    <s v="NA"/>
    <s v="NA"/>
    <s v="NA"/>
    <s v="NA"/>
    <s v="NA"/>
    <n v="14"/>
    <n v="0"/>
    <n v="14"/>
    <n v="0"/>
    <n v="0"/>
    <n v="14"/>
    <m/>
    <m/>
    <m/>
    <m/>
  </r>
  <r>
    <m/>
    <m/>
    <m/>
    <m/>
    <m/>
    <m/>
    <x v="2"/>
    <m/>
    <m/>
    <m/>
    <m/>
    <m/>
    <m/>
    <m/>
    <m/>
    <m/>
    <x v="6"/>
    <x v="7"/>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9.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8.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1F9E84E-4EB0-0F42-9A22-CB6729E7F70F}" name="PivotTable5" cacheId="1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7:G28" firstHeaderRow="0" firstDataRow="1" firstDataCol="0"/>
  <pivotFields count="4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s>
  <rowItems count="1">
    <i/>
  </rowItems>
  <colFields count="1">
    <field x="-2"/>
  </colFields>
  <colItems count="7">
    <i>
      <x/>
    </i>
    <i i="1">
      <x v="1"/>
    </i>
    <i i="2">
      <x v="2"/>
    </i>
    <i i="3">
      <x v="3"/>
    </i>
    <i i="4">
      <x v="4"/>
    </i>
    <i i="5">
      <x v="5"/>
    </i>
    <i i="6">
      <x v="6"/>
    </i>
  </colItems>
  <dataFields count="7">
    <dataField name="Sum of Bark FT" fld="31" baseField="0" baseItem="0"/>
    <dataField name="Sum of Foliage FT" fld="32" baseField="0" baseItem="0"/>
    <dataField name="Sum of Interior FT" fld="33" baseField="0" baseItem="0"/>
    <dataField name="Sum of Exterior FT" fld="34" baseField="0" baseItem="0"/>
    <dataField name="Sum of Ground" fld="35" baseField="0" baseItem="0"/>
    <dataField name="Sum of Human surface" fld="36" baseField="0" baseItem="0"/>
    <dataField name="Sum of Total foraging time" fld="37"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30F38D4E-5777-3D4F-B094-AE0AC8BDF2AB}" name="PivotTable4" cacheId="1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55:F64" firstHeaderRow="1" firstDataRow="2" firstDataCol="1"/>
  <pivotFields count="41">
    <pivotField showAll="0"/>
    <pivotField showAll="0"/>
    <pivotField showAll="0"/>
    <pivotField showAll="0"/>
    <pivotField showAll="0"/>
    <pivotField showAll="0"/>
    <pivotField axis="axisCol" showAll="0">
      <items count="4">
        <item x="0"/>
        <item x="1"/>
        <item x="2"/>
        <item t="default"/>
      </items>
    </pivotField>
    <pivotField showAll="0"/>
    <pivotField showAll="0"/>
    <pivotField showAll="0"/>
    <pivotField showAll="0"/>
    <pivotField showAll="0"/>
    <pivotField showAll="0"/>
    <pivotField dataField="1" showAll="0"/>
    <pivotField showAll="0"/>
    <pivotField showAll="0"/>
    <pivotField axis="axisRow" showAll="0">
      <items count="8">
        <item x="3"/>
        <item x="2"/>
        <item x="0"/>
        <item x="1"/>
        <item x="4"/>
        <item x="6"/>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8">
    <i>
      <x/>
    </i>
    <i>
      <x v="1"/>
    </i>
    <i>
      <x v="2"/>
    </i>
    <i>
      <x v="3"/>
    </i>
    <i>
      <x v="4"/>
    </i>
    <i>
      <x v="5"/>
    </i>
    <i>
      <x v="6"/>
    </i>
    <i t="grand">
      <x/>
    </i>
  </rowItems>
  <colFields count="1">
    <field x="6"/>
  </colFields>
  <colItems count="4">
    <i>
      <x/>
    </i>
    <i>
      <x v="1"/>
    </i>
    <i>
      <x v="2"/>
    </i>
    <i t="grand">
      <x/>
    </i>
  </colItems>
  <dataFields count="1">
    <dataField name="Sum of Number of food acquisition successes " fld="13"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5A3E5EC-35F5-954D-8097-A60BEC63A409}" name="PivotTable3" cacheId="1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38:G48" firstHeaderRow="1" firstDataRow="2" firstDataCol="1"/>
  <pivotFields count="41">
    <pivotField showAll="0"/>
    <pivotField showAll="0"/>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dataField="1" showAll="0"/>
    <pivotField showAll="0"/>
    <pivotField showAll="0"/>
    <pivotField axis="axisRow" showAll="0">
      <items count="9">
        <item x="4"/>
        <item x="3"/>
        <item x="7"/>
        <item x="1"/>
        <item x="5"/>
        <item x="6"/>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9">
    <i>
      <x/>
    </i>
    <i>
      <x v="1"/>
    </i>
    <i>
      <x v="2"/>
    </i>
    <i>
      <x v="3"/>
    </i>
    <i>
      <x v="4"/>
    </i>
    <i>
      <x v="5"/>
    </i>
    <i>
      <x v="6"/>
    </i>
    <i>
      <x v="7"/>
    </i>
    <i t="grand">
      <x/>
    </i>
  </rowItems>
  <colFields count="1">
    <field x="6"/>
  </colFields>
  <colItems count="5">
    <i>
      <x/>
    </i>
    <i>
      <x v="1"/>
    </i>
    <i>
      <x v="2"/>
    </i>
    <i>
      <x v="3"/>
    </i>
    <i t="grand">
      <x/>
    </i>
  </colItems>
  <dataFields count="1">
    <dataField name="Sum of Number of food acquisition successes " fld="13"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EF20F963-3D83-9641-B0C5-BA73CABE47E4}" name="PivotTable2" cacheId="1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24:G34" firstHeaderRow="1" firstDataRow="2" firstDataCol="1"/>
  <pivotFields count="38">
    <pivotField showAll="0"/>
    <pivotField showAll="0"/>
    <pivotField showAll="0"/>
    <pivotField showAll="0"/>
    <pivotField showAll="0"/>
    <pivotField showAll="0"/>
    <pivotField axis="axisCol" showAll="0">
      <items count="5">
        <item x="2"/>
        <item x="0"/>
        <item x="1"/>
        <item x="3"/>
        <item t="default"/>
      </items>
    </pivotField>
    <pivotField showAll="0"/>
    <pivotField showAll="0"/>
    <pivotField showAll="0"/>
    <pivotField showAll="0"/>
    <pivotField showAll="0"/>
    <pivotField showAll="0"/>
    <pivotField dataField="1" showAll="0"/>
    <pivotField showAll="0"/>
    <pivotField showAll="0"/>
    <pivotField showAll="0"/>
    <pivotField axis="axisRow" showAll="0">
      <items count="9">
        <item x="6"/>
        <item x="3"/>
        <item x="7"/>
        <item x="4"/>
        <item x="5"/>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
  </rowFields>
  <rowItems count="9">
    <i>
      <x/>
    </i>
    <i>
      <x v="1"/>
    </i>
    <i>
      <x v="2"/>
    </i>
    <i>
      <x v="3"/>
    </i>
    <i>
      <x v="4"/>
    </i>
    <i>
      <x v="5"/>
    </i>
    <i>
      <x v="6"/>
    </i>
    <i>
      <x v="7"/>
    </i>
    <i t="grand">
      <x/>
    </i>
  </rowItems>
  <colFields count="1">
    <field x="6"/>
  </colFields>
  <colItems count="5">
    <i>
      <x/>
    </i>
    <i>
      <x v="1"/>
    </i>
    <i>
      <x v="2"/>
    </i>
    <i>
      <x v="3"/>
    </i>
    <i t="grand">
      <x/>
    </i>
  </colItems>
  <dataFields count="1">
    <dataField name="Sum of Number of food acquisition successes " fld="13"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E3D05CD1-16D4-F445-A735-B3FDFA9350AC}" name="PivotTable1" cacheId="1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4:E12" firstHeaderRow="1" firstDataRow="2" firstDataCol="1"/>
  <pivotFields count="32">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axis="axisCol" showAll="0">
      <items count="3">
        <item x="0"/>
        <item x="1"/>
        <item t="default"/>
      </items>
    </pivotField>
    <pivotField showAll="0"/>
    <pivotField showAll="0"/>
    <pivotField showAll="0"/>
    <pivotField showAll="0"/>
    <pivotField showAll="0"/>
    <pivotField showAll="0"/>
    <pivotField dataField="1" showAll="0"/>
    <pivotField showAll="0"/>
    <pivotField showAll="0"/>
    <pivotField axis="axisRow" showAll="0">
      <items count="7">
        <item x="4"/>
        <item x="2"/>
        <item x="5"/>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4">
        <item x="0"/>
        <item x="1"/>
        <item x="2"/>
        <item t="default"/>
      </items>
    </pivotField>
  </pivotFields>
  <rowFields count="1">
    <field x="16"/>
  </rowFields>
  <rowItems count="7">
    <i>
      <x/>
    </i>
    <i>
      <x v="1"/>
    </i>
    <i>
      <x v="2"/>
    </i>
    <i>
      <x v="3"/>
    </i>
    <i>
      <x v="4"/>
    </i>
    <i>
      <x v="5"/>
    </i>
    <i t="grand">
      <x/>
    </i>
  </rowItems>
  <colFields count="1">
    <field x="6"/>
  </colFields>
  <colItems count="3">
    <i>
      <x/>
    </i>
    <i>
      <x v="1"/>
    </i>
    <i t="grand">
      <x/>
    </i>
  </colItems>
  <dataFields count="1">
    <dataField name="Sum of Number of food acquisition successes " fld="13"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A24A8E50-7431-6C4D-984E-067B853E8CF7}" name="PivotTable4" cacheId="1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75:F85" firstHeaderRow="1" firstDataRow="2" firstDataCol="1"/>
  <pivotFields count="41">
    <pivotField showAll="0"/>
    <pivotField showAll="0"/>
    <pivotField showAll="0"/>
    <pivotField showAll="0"/>
    <pivotField showAll="0"/>
    <pivotField showAll="0"/>
    <pivotField axis="axisCol" showAll="0">
      <items count="4">
        <item x="0"/>
        <item x="1"/>
        <item x="2"/>
        <item t="default"/>
      </items>
    </pivotField>
    <pivotField showAll="0"/>
    <pivotField showAll="0"/>
    <pivotField showAll="0"/>
    <pivotField showAll="0"/>
    <pivotField showAll="0"/>
    <pivotField showAll="0"/>
    <pivotField dataField="1" showAll="0"/>
    <pivotField showAll="0"/>
    <pivotField showAll="0"/>
    <pivotField showAll="0"/>
    <pivotField axis="axisRow" showAll="0">
      <items count="9">
        <item x="3"/>
        <item x="2"/>
        <item x="0"/>
        <item x="4"/>
        <item x="1"/>
        <item x="5"/>
        <item x="7"/>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
  </rowFields>
  <rowItems count="9">
    <i>
      <x/>
    </i>
    <i>
      <x v="1"/>
    </i>
    <i>
      <x v="2"/>
    </i>
    <i>
      <x v="3"/>
    </i>
    <i>
      <x v="4"/>
    </i>
    <i>
      <x v="5"/>
    </i>
    <i>
      <x v="6"/>
    </i>
    <i>
      <x v="7"/>
    </i>
    <i t="grand">
      <x/>
    </i>
  </rowItems>
  <colFields count="1">
    <field x="6"/>
  </colFields>
  <colItems count="4">
    <i>
      <x/>
    </i>
    <i>
      <x v="1"/>
    </i>
    <i>
      <x v="2"/>
    </i>
    <i t="grand">
      <x/>
    </i>
  </colItems>
  <dataFields count="1">
    <dataField name="Sum of Number of food acquisition successes " fld="13"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86FFB903-AF6C-7148-848C-39107C51FC1A}" name="PivotTable5" cacheId="1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K89:N114" firstHeaderRow="1" firstDataRow="2" firstDataCol="1"/>
  <pivotFields count="42">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dataField="1" showAll="0"/>
    <pivotField showAll="0"/>
    <pivotField showAll="0"/>
    <pivotField showAll="0"/>
    <pivotField axis="axisRow" showAll="0">
      <items count="24">
        <item x="17"/>
        <item x="4"/>
        <item x="16"/>
        <item x="7"/>
        <item x="10"/>
        <item x="8"/>
        <item x="6"/>
        <item x="20"/>
        <item x="13"/>
        <item x="15"/>
        <item x="3"/>
        <item x="1"/>
        <item x="2"/>
        <item x="18"/>
        <item x="11"/>
        <item x="5"/>
        <item x="19"/>
        <item x="14"/>
        <item x="21"/>
        <item x="9"/>
        <item x="0"/>
        <item x="12"/>
        <item x="2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
  </rowFields>
  <rowItems count="24">
    <i>
      <x/>
    </i>
    <i>
      <x v="1"/>
    </i>
    <i>
      <x v="2"/>
    </i>
    <i>
      <x v="3"/>
    </i>
    <i>
      <x v="4"/>
    </i>
    <i>
      <x v="5"/>
    </i>
    <i>
      <x v="6"/>
    </i>
    <i>
      <x v="7"/>
    </i>
    <i>
      <x v="8"/>
    </i>
    <i>
      <x v="9"/>
    </i>
    <i>
      <x v="10"/>
    </i>
    <i>
      <x v="11"/>
    </i>
    <i>
      <x v="12"/>
    </i>
    <i>
      <x v="13"/>
    </i>
    <i>
      <x v="14"/>
    </i>
    <i>
      <x v="15"/>
    </i>
    <i>
      <x v="16"/>
    </i>
    <i>
      <x v="17"/>
    </i>
    <i>
      <x v="18"/>
    </i>
    <i>
      <x v="19"/>
    </i>
    <i>
      <x v="20"/>
    </i>
    <i>
      <x v="21"/>
    </i>
    <i>
      <x v="22"/>
    </i>
    <i t="grand">
      <x/>
    </i>
  </rowItems>
  <colFields count="1">
    <field x="6"/>
  </colFields>
  <colItems count="3">
    <i>
      <x/>
    </i>
    <i>
      <x v="1"/>
    </i>
    <i t="grand">
      <x/>
    </i>
  </colItems>
  <dataFields count="1">
    <dataField name="Sum of Number of food acquisition successes " fld="13"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2463BC24-EF30-4340-9BEC-F176F93DDABE}" name="PivotTable1" cacheId="1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M2:P22" firstHeaderRow="1" firstDataRow="2" firstDataCol="1"/>
  <pivotFields count="32">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axis="axisCol" showAll="0">
      <items count="3">
        <item x="0"/>
        <item x="1"/>
        <item t="default"/>
      </items>
    </pivotField>
    <pivotField showAll="0"/>
    <pivotField showAll="0"/>
    <pivotField showAll="0"/>
    <pivotField showAll="0"/>
    <pivotField showAll="0"/>
    <pivotField showAll="0"/>
    <pivotField dataField="1" showAll="0"/>
    <pivotField showAll="0"/>
    <pivotField showAll="0"/>
    <pivotField showAll="0"/>
    <pivotField axis="axisRow" showAll="0">
      <items count="19">
        <item x="5"/>
        <item x="12"/>
        <item x="10"/>
        <item x="7"/>
        <item x="6"/>
        <item x="2"/>
        <item x="11"/>
        <item x="13"/>
        <item x="3"/>
        <item x="16"/>
        <item x="14"/>
        <item x="1"/>
        <item x="8"/>
        <item x="0"/>
        <item x="9"/>
        <item x="15"/>
        <item x="4"/>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4">
        <item x="0"/>
        <item x="1"/>
        <item x="2"/>
        <item t="default"/>
      </items>
    </pivotField>
  </pivotFields>
  <rowFields count="1">
    <field x="17"/>
  </rowFields>
  <rowItems count="19">
    <i>
      <x/>
    </i>
    <i>
      <x v="1"/>
    </i>
    <i>
      <x v="2"/>
    </i>
    <i>
      <x v="3"/>
    </i>
    <i>
      <x v="4"/>
    </i>
    <i>
      <x v="5"/>
    </i>
    <i>
      <x v="6"/>
    </i>
    <i>
      <x v="7"/>
    </i>
    <i>
      <x v="8"/>
    </i>
    <i>
      <x v="9"/>
    </i>
    <i>
      <x v="10"/>
    </i>
    <i>
      <x v="11"/>
    </i>
    <i>
      <x v="12"/>
    </i>
    <i>
      <x v="13"/>
    </i>
    <i>
      <x v="14"/>
    </i>
    <i>
      <x v="15"/>
    </i>
    <i>
      <x v="16"/>
    </i>
    <i>
      <x v="17"/>
    </i>
    <i t="grand">
      <x/>
    </i>
  </rowItems>
  <colFields count="1">
    <field x="6"/>
  </colFields>
  <colItems count="3">
    <i>
      <x/>
    </i>
    <i>
      <x v="1"/>
    </i>
    <i t="grand">
      <x/>
    </i>
  </colItems>
  <dataFields count="1">
    <dataField name="Sum of Number of food acquisition successes " fld="13"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C0C5BC1D-E43D-B144-8ABB-6670BDD8B304}" name="PivotTable2" cacheId="1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3:G70" firstHeaderRow="1" firstDataRow="2" firstDataCol="1"/>
  <pivotFields count="38">
    <pivotField showAll="0"/>
    <pivotField showAll="0"/>
    <pivotField showAll="0"/>
    <pivotField showAll="0"/>
    <pivotField showAll="0"/>
    <pivotField showAll="0"/>
    <pivotField axis="axisCol" showAll="0">
      <items count="5">
        <item x="2"/>
        <item x="0"/>
        <item x="1"/>
        <item x="3"/>
        <item t="default"/>
      </items>
    </pivotField>
    <pivotField showAll="0"/>
    <pivotField showAll="0"/>
    <pivotField showAll="0"/>
    <pivotField showAll="0"/>
    <pivotField showAll="0"/>
    <pivotField showAll="0"/>
    <pivotField dataField="1" showAll="0"/>
    <pivotField showAll="0"/>
    <pivotField showAll="0"/>
    <pivotField showAll="0"/>
    <pivotField showAll="0"/>
    <pivotField axis="axisRow" showAll="0">
      <items count="70">
        <item x="17"/>
        <item x="59"/>
        <item x="13"/>
        <item x="8"/>
        <item x="12"/>
        <item x="34"/>
        <item x="4"/>
        <item x="53"/>
        <item x="51"/>
        <item x="49"/>
        <item x="61"/>
        <item x="26"/>
        <item x="14"/>
        <item x="40"/>
        <item x="57"/>
        <item x="41"/>
        <item x="30"/>
        <item x="38"/>
        <item x="43"/>
        <item x="37"/>
        <item x="23"/>
        <item x="39"/>
        <item x="52"/>
        <item x="42"/>
        <item x="19"/>
        <item x="18"/>
        <item x="9"/>
        <item x="10"/>
        <item x="5"/>
        <item x="31"/>
        <item x="44"/>
        <item x="45"/>
        <item x="0"/>
        <item x="27"/>
        <item x="16"/>
        <item x="60"/>
        <item x="22"/>
        <item x="1"/>
        <item x="7"/>
        <item x="6"/>
        <item x="24"/>
        <item x="2"/>
        <item x="56"/>
        <item x="21"/>
        <item x="25"/>
        <item x="63"/>
        <item x="62"/>
        <item x="15"/>
        <item m="1" x="66"/>
        <item x="29"/>
        <item x="36"/>
        <item x="28"/>
        <item x="3"/>
        <item x="35"/>
        <item x="46"/>
        <item x="58"/>
        <item x="32"/>
        <item m="1" x="68"/>
        <item m="1" x="67"/>
        <item x="48"/>
        <item x="55"/>
        <item x="11"/>
        <item m="1" x="65"/>
        <item x="54"/>
        <item x="64"/>
        <item x="20"/>
        <item x="33"/>
        <item x="47"/>
        <item x="5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8"/>
  </rowFields>
  <rowItems count="6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9"/>
    </i>
    <i>
      <x v="50"/>
    </i>
    <i>
      <x v="51"/>
    </i>
    <i>
      <x v="52"/>
    </i>
    <i>
      <x v="53"/>
    </i>
    <i>
      <x v="54"/>
    </i>
    <i>
      <x v="55"/>
    </i>
    <i>
      <x v="56"/>
    </i>
    <i>
      <x v="59"/>
    </i>
    <i>
      <x v="60"/>
    </i>
    <i>
      <x v="61"/>
    </i>
    <i>
      <x v="63"/>
    </i>
    <i>
      <x v="64"/>
    </i>
    <i>
      <x v="65"/>
    </i>
    <i>
      <x v="66"/>
    </i>
    <i>
      <x v="67"/>
    </i>
    <i>
      <x v="68"/>
    </i>
    <i t="grand">
      <x/>
    </i>
  </rowItems>
  <colFields count="1">
    <field x="6"/>
  </colFields>
  <colItems count="5">
    <i>
      <x/>
    </i>
    <i>
      <x v="1"/>
    </i>
    <i>
      <x v="2"/>
    </i>
    <i>
      <x v="3"/>
    </i>
    <i t="grand">
      <x/>
    </i>
  </colItems>
  <dataFields count="1">
    <dataField name="Sum of Number of food acquisition successes " fld="13"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BFA2727D-6664-0948-85D5-7BD30322629C}" name="PivotTable3" cacheId="1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M27:R71" firstHeaderRow="1" firstDataRow="2" firstDataCol="1"/>
  <pivotFields count="41">
    <pivotField showAll="0"/>
    <pivotField showAll="0"/>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dataField="1" showAll="0"/>
    <pivotField showAll="0"/>
    <pivotField showAll="0"/>
    <pivotField showAll="0"/>
    <pivotField axis="axisRow" showAll="0">
      <items count="43">
        <item x="11"/>
        <item x="26"/>
        <item x="17"/>
        <item x="28"/>
        <item x="8"/>
        <item x="6"/>
        <item x="18"/>
        <item x="25"/>
        <item x="14"/>
        <item x="29"/>
        <item x="20"/>
        <item x="9"/>
        <item x="3"/>
        <item x="39"/>
        <item x="35"/>
        <item x="32"/>
        <item x="13"/>
        <item x="21"/>
        <item x="7"/>
        <item x="40"/>
        <item x="1"/>
        <item x="31"/>
        <item x="34"/>
        <item x="4"/>
        <item x="30"/>
        <item x="15"/>
        <item x="33"/>
        <item x="12"/>
        <item x="24"/>
        <item x="0"/>
        <item x="37"/>
        <item x="38"/>
        <item x="19"/>
        <item x="2"/>
        <item x="23"/>
        <item x="22"/>
        <item x="5"/>
        <item x="36"/>
        <item x="16"/>
        <item x="10"/>
        <item x="27"/>
        <item x="4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
  </rowFields>
  <rowItems count="4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t="grand">
      <x/>
    </i>
  </rowItems>
  <colFields count="1">
    <field x="6"/>
  </colFields>
  <colItems count="5">
    <i>
      <x/>
    </i>
    <i>
      <x v="1"/>
    </i>
    <i>
      <x v="2"/>
    </i>
    <i>
      <x v="3"/>
    </i>
    <i t="grand">
      <x/>
    </i>
  </colItems>
  <dataFields count="1">
    <dataField name="Sum of Number of food acquisition successes " fld="13"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59E4BECB-34C5-9D47-BED5-3207B4AA6AC5}" name="PivotTable2" cacheId="1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B77" firstHeaderRow="1" firstDataRow="1" firstDataCol="1"/>
  <pivotFields count="3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axis="axisRow" showAll="0">
      <items count="9">
        <item x="6"/>
        <item x="3"/>
        <item x="7"/>
        <item x="4"/>
        <item x="5"/>
        <item x="0"/>
        <item x="2"/>
        <item x="1"/>
        <item t="default"/>
      </items>
    </pivotField>
    <pivotField axis="axisRow" showAll="0">
      <items count="70">
        <item x="17"/>
        <item x="59"/>
        <item x="13"/>
        <item x="8"/>
        <item x="12"/>
        <item x="34"/>
        <item x="4"/>
        <item x="53"/>
        <item x="51"/>
        <item x="49"/>
        <item x="61"/>
        <item x="26"/>
        <item x="14"/>
        <item x="40"/>
        <item x="57"/>
        <item x="41"/>
        <item x="30"/>
        <item x="38"/>
        <item x="43"/>
        <item x="37"/>
        <item x="23"/>
        <item x="39"/>
        <item x="52"/>
        <item x="42"/>
        <item x="19"/>
        <item x="18"/>
        <item x="9"/>
        <item x="10"/>
        <item x="5"/>
        <item x="31"/>
        <item x="44"/>
        <item x="45"/>
        <item x="0"/>
        <item x="27"/>
        <item x="16"/>
        <item x="60"/>
        <item x="22"/>
        <item x="1"/>
        <item x="7"/>
        <item x="6"/>
        <item x="24"/>
        <item x="2"/>
        <item x="56"/>
        <item x="21"/>
        <item x="25"/>
        <item x="63"/>
        <item x="62"/>
        <item x="20"/>
        <item x="15"/>
        <item m="1" x="66"/>
        <item x="29"/>
        <item x="36"/>
        <item x="28"/>
        <item x="3"/>
        <item x="35"/>
        <item x="46"/>
        <item x="58"/>
        <item x="32"/>
        <item x="50"/>
        <item x="33"/>
        <item m="1" x="68"/>
        <item m="1" x="67"/>
        <item x="48"/>
        <item x="55"/>
        <item x="11"/>
        <item x="47"/>
        <item m="1" x="65"/>
        <item x="54"/>
        <item x="6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7"/>
    <field x="18"/>
  </rowFields>
  <rowItems count="74">
    <i>
      <x/>
    </i>
    <i r="1">
      <x/>
    </i>
    <i r="1">
      <x v="1"/>
    </i>
    <i r="1">
      <x v="2"/>
    </i>
    <i r="1">
      <x v="3"/>
    </i>
    <i>
      <x v="1"/>
    </i>
    <i r="1">
      <x v="4"/>
    </i>
    <i r="1">
      <x v="5"/>
    </i>
    <i r="1">
      <x v="6"/>
    </i>
    <i r="1">
      <x v="7"/>
    </i>
    <i r="1">
      <x v="8"/>
    </i>
    <i r="1">
      <x v="9"/>
    </i>
    <i r="1">
      <x v="10"/>
    </i>
    <i r="1">
      <x v="11"/>
    </i>
    <i>
      <x v="2"/>
    </i>
    <i r="1">
      <x v="12"/>
    </i>
    <i r="1">
      <x v="13"/>
    </i>
    <i r="1">
      <x v="14"/>
    </i>
    <i r="1">
      <x v="15"/>
    </i>
    <i r="1">
      <x v="16"/>
    </i>
    <i r="1">
      <x v="17"/>
    </i>
    <i r="1">
      <x v="18"/>
    </i>
    <i r="1">
      <x v="19"/>
    </i>
    <i>
      <x v="3"/>
    </i>
    <i r="1">
      <x v="20"/>
    </i>
    <i r="1">
      <x v="21"/>
    </i>
    <i r="1">
      <x v="22"/>
    </i>
    <i r="1">
      <x v="23"/>
    </i>
    <i r="1">
      <x v="24"/>
    </i>
    <i r="1">
      <x v="25"/>
    </i>
    <i r="1">
      <x v="26"/>
    </i>
    <i r="1">
      <x v="27"/>
    </i>
    <i r="1">
      <x v="28"/>
    </i>
    <i r="1">
      <x v="29"/>
    </i>
    <i r="1">
      <x v="30"/>
    </i>
    <i>
      <x v="4"/>
    </i>
    <i r="1">
      <x v="31"/>
    </i>
    <i r="1">
      <x v="38"/>
    </i>
    <i r="1">
      <x v="39"/>
    </i>
    <i r="1">
      <x v="40"/>
    </i>
    <i>
      <x v="5"/>
    </i>
    <i r="1">
      <x v="32"/>
    </i>
    <i r="1">
      <x v="33"/>
    </i>
    <i r="1">
      <x v="34"/>
    </i>
    <i r="1">
      <x v="35"/>
    </i>
    <i r="1">
      <x v="36"/>
    </i>
    <i>
      <x v="6"/>
    </i>
    <i r="1">
      <x v="41"/>
    </i>
    <i r="1">
      <x v="42"/>
    </i>
    <i r="1">
      <x v="43"/>
    </i>
    <i r="1">
      <x v="44"/>
    </i>
    <i r="1">
      <x v="45"/>
    </i>
    <i r="1">
      <x v="46"/>
    </i>
    <i r="1">
      <x v="47"/>
    </i>
    <i r="1">
      <x v="48"/>
    </i>
    <i r="1">
      <x v="50"/>
    </i>
    <i r="1">
      <x v="51"/>
    </i>
    <i r="1">
      <x v="52"/>
    </i>
    <i r="1">
      <x v="53"/>
    </i>
    <i r="1">
      <x v="54"/>
    </i>
    <i r="1">
      <x v="55"/>
    </i>
    <i r="1">
      <x v="56"/>
    </i>
    <i r="1">
      <x v="57"/>
    </i>
    <i r="1">
      <x v="58"/>
    </i>
    <i r="1">
      <x v="59"/>
    </i>
    <i r="1">
      <x v="62"/>
    </i>
    <i r="1">
      <x v="63"/>
    </i>
    <i r="1">
      <x v="64"/>
    </i>
    <i r="1">
      <x v="65"/>
    </i>
    <i r="1">
      <x v="67"/>
    </i>
    <i>
      <x v="7"/>
    </i>
    <i r="1">
      <x v="37"/>
    </i>
    <i r="1">
      <x v="68"/>
    </i>
    <i t="grand">
      <x/>
    </i>
  </rowItems>
  <colItems count="1">
    <i/>
  </colItems>
  <dataFields count="1">
    <dataField name="Sum of Cache deposited?" fld="15"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1C99FC0F-D49C-BD44-A36D-BE98B0DBC4E5}" name="PivotTable4" cacheId="1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1:F22" firstHeaderRow="0" firstDataRow="1" firstDataCol="0"/>
  <pivotFields count="4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s>
  <rowItems count="1">
    <i/>
  </rowItems>
  <colFields count="1">
    <field x="-2"/>
  </colFields>
  <colItems count="6">
    <i>
      <x/>
    </i>
    <i i="1">
      <x v="1"/>
    </i>
    <i i="2">
      <x v="2"/>
    </i>
    <i i="3">
      <x v="3"/>
    </i>
    <i i="4">
      <x v="4"/>
    </i>
    <i i="5">
      <x v="5"/>
    </i>
  </colItems>
  <dataFields count="6">
    <dataField name="Sum of Bark FT" fld="31" baseField="0" baseItem="0"/>
    <dataField name="Sum of Foliage FT" fld="32" baseField="0" baseItem="0"/>
    <dataField name="Sum of Interior FT" fld="33" baseField="0" baseItem="0"/>
    <dataField name="Sum of Exterior FT" fld="34" baseField="0" baseItem="0"/>
    <dataField name="Sum of Ground" fld="35" baseField="0" baseItem="0"/>
    <dataField name="Sum of Total foraging time" fld="36"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0.xml><?xml version="1.0" encoding="utf-8"?>
<pivotTableDefinition xmlns="http://schemas.openxmlformats.org/spreadsheetml/2006/main" xmlns:mc="http://schemas.openxmlformats.org/markup-compatibility/2006" xmlns:xr="http://schemas.microsoft.com/office/spreadsheetml/2014/revision" mc:Ignorable="xr" xr:uid="{05567C54-2566-A947-AB3A-DED1164AAC53}" name="PivotTable1" cacheId="1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J4:K29" firstHeaderRow="1" firstDataRow="1" firstDataCol="1"/>
  <pivotFields count="32">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showAll="0"/>
    <pivotField showAll="0"/>
    <pivotField showAll="0"/>
    <pivotField showAll="0"/>
    <pivotField dataField="1" showAll="0"/>
    <pivotField axis="axisRow" showAll="0">
      <items count="7">
        <item x="4"/>
        <item x="2"/>
        <item x="5"/>
        <item x="1"/>
        <item x="0"/>
        <item x="3"/>
        <item t="default"/>
      </items>
    </pivotField>
    <pivotField axis="axisRow" showAll="0">
      <items count="19">
        <item x="5"/>
        <item x="12"/>
        <item x="10"/>
        <item x="7"/>
        <item x="6"/>
        <item x="2"/>
        <item x="11"/>
        <item x="13"/>
        <item x="3"/>
        <item x="16"/>
        <item x="14"/>
        <item x="1"/>
        <item x="8"/>
        <item x="0"/>
        <item x="9"/>
        <item x="15"/>
        <item x="4"/>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4">
        <item x="0"/>
        <item x="1"/>
        <item x="2"/>
        <item t="default"/>
      </items>
    </pivotField>
  </pivotFields>
  <rowFields count="2">
    <field x="16"/>
    <field x="17"/>
  </rowFields>
  <rowItems count="25">
    <i>
      <x/>
    </i>
    <i r="1">
      <x/>
    </i>
    <i r="1">
      <x v="1"/>
    </i>
    <i r="1">
      <x v="2"/>
    </i>
    <i r="1">
      <x v="3"/>
    </i>
    <i r="1">
      <x v="4"/>
    </i>
    <i>
      <x v="1"/>
    </i>
    <i r="1">
      <x v="5"/>
    </i>
    <i>
      <x v="2"/>
    </i>
    <i r="1">
      <x v="6"/>
    </i>
    <i>
      <x v="3"/>
    </i>
    <i r="1">
      <x v="7"/>
    </i>
    <i r="1">
      <x v="10"/>
    </i>
    <i r="1">
      <x v="11"/>
    </i>
    <i r="1">
      <x v="16"/>
    </i>
    <i>
      <x v="4"/>
    </i>
    <i r="1">
      <x v="12"/>
    </i>
    <i r="1">
      <x v="13"/>
    </i>
    <i r="1">
      <x v="14"/>
    </i>
    <i r="1">
      <x v="15"/>
    </i>
    <i>
      <x v="5"/>
    </i>
    <i r="1">
      <x v="8"/>
    </i>
    <i r="1">
      <x v="9"/>
    </i>
    <i r="1">
      <x v="17"/>
    </i>
    <i t="grand">
      <x/>
    </i>
  </rowItems>
  <colItems count="1">
    <i/>
  </colItems>
  <dataFields count="1">
    <dataField name="Sum of Cache deposited?" fld="15"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1.xml><?xml version="1.0" encoding="utf-8"?>
<pivotTableDefinition xmlns="http://schemas.openxmlformats.org/spreadsheetml/2006/main" xmlns:mc="http://schemas.openxmlformats.org/markup-compatibility/2006" xmlns:xr="http://schemas.microsoft.com/office/spreadsheetml/2014/revision" mc:Ignorable="xr" xr:uid="{AF10D780-26FC-DD4B-8EB1-0D9B82769225}" name="PivotTable5" cacheId="1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D7:AE43" firstHeaderRow="1" firstDataRow="1" firstDataCol="1"/>
  <pivotFields count="42">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axis="axisRow" showAll="0">
      <items count="12">
        <item x="4"/>
        <item x="6"/>
        <item x="2"/>
        <item x="5"/>
        <item x="1"/>
        <item x="3"/>
        <item m="1" x="10"/>
        <item m="1" x="9"/>
        <item x="0"/>
        <item x="8"/>
        <item x="7"/>
        <item t="default"/>
      </items>
    </pivotField>
    <pivotField axis="axisRow" showAll="0">
      <items count="24">
        <item x="17"/>
        <item x="4"/>
        <item x="16"/>
        <item x="7"/>
        <item x="10"/>
        <item x="8"/>
        <item x="6"/>
        <item x="20"/>
        <item x="13"/>
        <item x="15"/>
        <item x="3"/>
        <item x="1"/>
        <item x="2"/>
        <item x="18"/>
        <item x="11"/>
        <item x="5"/>
        <item x="19"/>
        <item x="14"/>
        <item x="21"/>
        <item x="9"/>
        <item x="0"/>
        <item x="12"/>
        <item x="2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6"/>
    <field x="17"/>
  </rowFields>
  <rowItems count="36">
    <i>
      <x/>
    </i>
    <i r="1">
      <x v="1"/>
    </i>
    <i r="1">
      <x v="8"/>
    </i>
    <i>
      <x v="1"/>
    </i>
    <i r="1">
      <x v="2"/>
    </i>
    <i r="1">
      <x v="3"/>
    </i>
    <i r="1">
      <x v="7"/>
    </i>
    <i>
      <x v="2"/>
    </i>
    <i r="1">
      <x v="13"/>
    </i>
    <i r="1">
      <x v="20"/>
    </i>
    <i>
      <x v="3"/>
    </i>
    <i r="1">
      <x v="6"/>
    </i>
    <i r="1">
      <x v="9"/>
    </i>
    <i r="1">
      <x v="17"/>
    </i>
    <i r="1">
      <x v="18"/>
    </i>
    <i r="1">
      <x v="21"/>
    </i>
    <i>
      <x v="4"/>
    </i>
    <i r="1">
      <x/>
    </i>
    <i r="1">
      <x v="4"/>
    </i>
    <i r="1">
      <x v="10"/>
    </i>
    <i r="1">
      <x v="11"/>
    </i>
    <i r="1">
      <x v="14"/>
    </i>
    <i r="1">
      <x v="15"/>
    </i>
    <i>
      <x v="5"/>
    </i>
    <i r="1">
      <x v="12"/>
    </i>
    <i r="1">
      <x v="20"/>
    </i>
    <i>
      <x v="8"/>
    </i>
    <i r="1">
      <x v="5"/>
    </i>
    <i r="1">
      <x v="12"/>
    </i>
    <i r="1">
      <x v="20"/>
    </i>
    <i>
      <x v="9"/>
    </i>
    <i r="1">
      <x v="22"/>
    </i>
    <i>
      <x v="10"/>
    </i>
    <i r="1">
      <x v="16"/>
    </i>
    <i r="1">
      <x v="19"/>
    </i>
    <i t="grand">
      <x/>
    </i>
  </rowItems>
  <colItems count="1">
    <i/>
  </colItems>
  <dataFields count="1">
    <dataField name="Sum of Cache deposited?" fld="15"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2.xml><?xml version="1.0" encoding="utf-8"?>
<pivotTableDefinition xmlns="http://schemas.openxmlformats.org/spreadsheetml/2006/main" xmlns:mc="http://schemas.openxmlformats.org/markup-compatibility/2006" xmlns:xr="http://schemas.microsoft.com/office/spreadsheetml/2014/revision" mc:Ignorable="xr" xr:uid="{F32F41E8-E0FB-4C44-A750-13F0027FC5C6}" name="PivotTable4" cacheId="1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P4:Q21" firstHeaderRow="1" firstDataRow="1" firstDataCol="1"/>
  <pivotFields count="4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axis="axisRow" showAll="0">
      <items count="8">
        <item x="3"/>
        <item x="2"/>
        <item x="0"/>
        <item x="1"/>
        <item x="4"/>
        <item x="6"/>
        <item x="5"/>
        <item t="default"/>
      </items>
    </pivotField>
    <pivotField axis="axisRow" showAll="0">
      <items count="9">
        <item x="3"/>
        <item x="2"/>
        <item x="0"/>
        <item x="4"/>
        <item x="1"/>
        <item x="5"/>
        <item x="7"/>
        <item x="6"/>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6"/>
    <field x="17"/>
  </rowFields>
  <rowItems count="17">
    <i>
      <x/>
    </i>
    <i r="1">
      <x/>
    </i>
    <i>
      <x v="1"/>
    </i>
    <i r="1">
      <x v="1"/>
    </i>
    <i r="1">
      <x v="3"/>
    </i>
    <i>
      <x v="2"/>
    </i>
    <i r="1">
      <x v="2"/>
    </i>
    <i>
      <x v="3"/>
    </i>
    <i r="1">
      <x v="4"/>
    </i>
    <i r="1">
      <x v="5"/>
    </i>
    <i>
      <x v="4"/>
    </i>
    <i r="1">
      <x v="4"/>
    </i>
    <i>
      <x v="5"/>
    </i>
    <i r="1">
      <x v="6"/>
    </i>
    <i>
      <x v="6"/>
    </i>
    <i r="1">
      <x v="7"/>
    </i>
    <i t="grand">
      <x/>
    </i>
  </rowItems>
  <colItems count="1">
    <i/>
  </colItems>
  <dataFields count="1">
    <dataField name="Sum of Cache deposited?" fld="15"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3.xml><?xml version="1.0" encoding="utf-8"?>
<pivotTableDefinition xmlns="http://schemas.openxmlformats.org/spreadsheetml/2006/main" xmlns:mc="http://schemas.openxmlformats.org/markup-compatibility/2006" xmlns:xr="http://schemas.microsoft.com/office/spreadsheetml/2014/revision" mc:Ignorable="xr" xr:uid="{7F086BDB-F1F6-724E-B704-C24078EFE014}" name="PivotTable3" cacheId="1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W5:X57" firstHeaderRow="1" firstDataRow="1" firstDataCol="1"/>
  <pivotFields count="4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axis="axisRow" showAll="0">
      <items count="9">
        <item x="4"/>
        <item x="3"/>
        <item x="7"/>
        <item x="1"/>
        <item x="5"/>
        <item x="6"/>
        <item x="2"/>
        <item x="0"/>
        <item t="default"/>
      </items>
    </pivotField>
    <pivotField axis="axisRow" showAll="0">
      <items count="43">
        <item x="11"/>
        <item x="26"/>
        <item x="17"/>
        <item x="28"/>
        <item x="8"/>
        <item x="6"/>
        <item x="18"/>
        <item x="25"/>
        <item x="14"/>
        <item x="29"/>
        <item x="20"/>
        <item x="9"/>
        <item x="3"/>
        <item x="39"/>
        <item x="35"/>
        <item x="32"/>
        <item x="13"/>
        <item x="21"/>
        <item x="7"/>
        <item x="40"/>
        <item x="1"/>
        <item x="31"/>
        <item x="34"/>
        <item x="4"/>
        <item x="30"/>
        <item x="15"/>
        <item x="33"/>
        <item x="12"/>
        <item x="24"/>
        <item x="0"/>
        <item x="37"/>
        <item x="38"/>
        <item x="19"/>
        <item x="2"/>
        <item x="23"/>
        <item x="22"/>
        <item x="5"/>
        <item x="36"/>
        <item x="16"/>
        <item x="10"/>
        <item x="27"/>
        <item x="4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16"/>
    <field x="17"/>
  </rowFields>
  <rowItems count="52">
    <i>
      <x/>
    </i>
    <i r="1">
      <x/>
    </i>
    <i r="1">
      <x v="1"/>
    </i>
    <i>
      <x v="1"/>
    </i>
    <i r="1">
      <x v="2"/>
    </i>
    <i r="1">
      <x v="3"/>
    </i>
    <i r="1">
      <x v="4"/>
    </i>
    <i r="1">
      <x v="5"/>
    </i>
    <i r="1">
      <x v="6"/>
    </i>
    <i r="1">
      <x v="7"/>
    </i>
    <i r="1">
      <x v="8"/>
    </i>
    <i r="1">
      <x v="9"/>
    </i>
    <i r="1">
      <x v="10"/>
    </i>
    <i r="1">
      <x v="11"/>
    </i>
    <i r="1">
      <x v="12"/>
    </i>
    <i>
      <x v="2"/>
    </i>
    <i r="1">
      <x v="13"/>
    </i>
    <i r="1">
      <x v="15"/>
    </i>
    <i>
      <x v="3"/>
    </i>
    <i r="1">
      <x v="16"/>
    </i>
    <i r="1">
      <x v="17"/>
    </i>
    <i r="1">
      <x v="18"/>
    </i>
    <i r="1">
      <x v="19"/>
    </i>
    <i r="1">
      <x v="20"/>
    </i>
    <i r="1">
      <x v="21"/>
    </i>
    <i r="1">
      <x v="22"/>
    </i>
    <i r="1">
      <x v="23"/>
    </i>
    <i r="1">
      <x v="24"/>
    </i>
    <i r="1">
      <x v="25"/>
    </i>
    <i r="1">
      <x v="26"/>
    </i>
    <i r="1">
      <x v="27"/>
    </i>
    <i r="1">
      <x v="30"/>
    </i>
    <i r="1">
      <x v="31"/>
    </i>
    <i>
      <x v="4"/>
    </i>
    <i r="1">
      <x v="32"/>
    </i>
    <i>
      <x v="5"/>
    </i>
    <i r="1">
      <x v="28"/>
    </i>
    <i>
      <x v="6"/>
    </i>
    <i r="1">
      <x v="33"/>
    </i>
    <i r="1">
      <x v="34"/>
    </i>
    <i r="1">
      <x v="35"/>
    </i>
    <i r="1">
      <x v="36"/>
    </i>
    <i r="1">
      <x v="37"/>
    </i>
    <i r="1">
      <x v="38"/>
    </i>
    <i r="1">
      <x v="39"/>
    </i>
    <i r="1">
      <x v="40"/>
    </i>
    <i>
      <x v="7"/>
    </i>
    <i r="1">
      <x v="14"/>
    </i>
    <i r="1">
      <x v="29"/>
    </i>
    <i r="1">
      <x v="33"/>
    </i>
    <i r="1">
      <x v="41"/>
    </i>
    <i t="grand">
      <x/>
    </i>
  </rowItems>
  <colItems count="1">
    <i/>
  </colItems>
  <dataFields count="1">
    <dataField name="Sum of Cache deposited?" fld="15"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4.xml><?xml version="1.0" encoding="utf-8"?>
<pivotTableDefinition xmlns="http://schemas.openxmlformats.org/spreadsheetml/2006/main" xmlns:mc="http://schemas.openxmlformats.org/markup-compatibility/2006" xmlns:xr="http://schemas.microsoft.com/office/spreadsheetml/2014/revision" mc:Ignorable="xr" xr:uid="{A45803B3-3B03-8E48-A3F4-1417A5FC59F6}" name="PivotTable1" cacheId="15"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D12" firstHeaderRow="1" firstDataRow="2" firstDataCol="1"/>
  <pivotFields count="32">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axis="axisCol" showAll="0">
      <items count="3">
        <item x="0"/>
        <item x="1"/>
        <item t="default"/>
      </items>
    </pivotField>
    <pivotField showAll="0"/>
    <pivotField showAll="0"/>
    <pivotField showAll="0"/>
    <pivotField showAll="0"/>
    <pivotField showAll="0"/>
    <pivotField showAll="0"/>
    <pivotField showAll="0"/>
    <pivotField showAll="0"/>
    <pivotField dataField="1" showAll="0"/>
    <pivotField axis="axisRow" showAll="0">
      <items count="7">
        <item x="4"/>
        <item x="2"/>
        <item x="5"/>
        <item x="1"/>
        <item x="0"/>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0"/>
        <item x="1"/>
        <item x="2"/>
        <item x="3"/>
        <item x="4"/>
        <item x="5"/>
        <item t="default"/>
      </items>
    </pivotField>
    <pivotField showAll="0">
      <items count="4">
        <item x="0"/>
        <item x="1"/>
        <item x="2"/>
        <item t="default"/>
      </items>
    </pivotField>
  </pivotFields>
  <rowFields count="1">
    <field x="16"/>
  </rowFields>
  <rowItems count="7">
    <i>
      <x/>
    </i>
    <i>
      <x v="1"/>
    </i>
    <i>
      <x v="2"/>
    </i>
    <i>
      <x v="3"/>
    </i>
    <i>
      <x v="4"/>
    </i>
    <i>
      <x v="5"/>
    </i>
    <i t="grand">
      <x/>
    </i>
  </rowItems>
  <colFields count="1">
    <field x="6"/>
  </colFields>
  <colItems count="3">
    <i>
      <x/>
    </i>
    <i>
      <x v="1"/>
    </i>
    <i t="grand">
      <x/>
    </i>
  </colItems>
  <dataFields count="1">
    <dataField name="Sum of Cache deposited?" fld="15"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5.xml><?xml version="1.0" encoding="utf-8"?>
<pivotTableDefinition xmlns="http://schemas.openxmlformats.org/spreadsheetml/2006/main" xmlns:mc="http://schemas.openxmlformats.org/markup-compatibility/2006" xmlns:xr="http://schemas.microsoft.com/office/spreadsheetml/2014/revision" mc:Ignorable="xr" xr:uid="{28ABB95B-B368-B64E-8E9A-7A40C2C60EF2}" name="PivotTable2" cacheId="1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4:F34" firstHeaderRow="1" firstDataRow="2" firstDataCol="1"/>
  <pivotFields count="38">
    <pivotField showAll="0"/>
    <pivotField showAll="0"/>
    <pivotField showAll="0"/>
    <pivotField showAll="0"/>
    <pivotField showAll="0"/>
    <pivotField showAll="0"/>
    <pivotField axis="axisCol" showAll="0">
      <items count="5">
        <item x="2"/>
        <item x="0"/>
        <item x="1"/>
        <item x="3"/>
        <item t="default"/>
      </items>
    </pivotField>
    <pivotField showAll="0"/>
    <pivotField showAll="0"/>
    <pivotField showAll="0"/>
    <pivotField showAll="0"/>
    <pivotField showAll="0"/>
    <pivotField showAll="0"/>
    <pivotField showAll="0"/>
    <pivotField showAll="0"/>
    <pivotField dataField="1" showAll="0"/>
    <pivotField showAll="0"/>
    <pivotField axis="axisRow" showAll="0">
      <items count="9">
        <item x="6"/>
        <item x="3"/>
        <item x="7"/>
        <item x="4"/>
        <item x="5"/>
        <item x="0"/>
        <item x="2"/>
        <item x="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7"/>
  </rowFields>
  <rowItems count="9">
    <i>
      <x/>
    </i>
    <i>
      <x v="1"/>
    </i>
    <i>
      <x v="2"/>
    </i>
    <i>
      <x v="3"/>
    </i>
    <i>
      <x v="4"/>
    </i>
    <i>
      <x v="5"/>
    </i>
    <i>
      <x v="6"/>
    </i>
    <i>
      <x v="7"/>
    </i>
    <i t="grand">
      <x/>
    </i>
  </rowItems>
  <colFields count="1">
    <field x="6"/>
  </colFields>
  <colItems count="5">
    <i>
      <x/>
    </i>
    <i>
      <x v="1"/>
    </i>
    <i>
      <x v="2"/>
    </i>
    <i>
      <x v="3"/>
    </i>
    <i t="grand">
      <x/>
    </i>
  </colItems>
  <dataFields count="1">
    <dataField name="Sum of Cache deposited?" fld="15"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6.xml><?xml version="1.0" encoding="utf-8"?>
<pivotTableDefinition xmlns="http://schemas.openxmlformats.org/spreadsheetml/2006/main" xmlns:mc="http://schemas.openxmlformats.org/markup-compatibility/2006" xmlns:xr="http://schemas.microsoft.com/office/spreadsheetml/2014/revision" mc:Ignorable="xr" xr:uid="{0AF33E0D-37F1-4A4C-9F9C-7A8FD5CF8226}" name="PivotTable3" cacheId="1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8:F48" firstHeaderRow="1" firstDataRow="2" firstDataCol="1"/>
  <pivotFields count="41">
    <pivotField showAll="0"/>
    <pivotField showAll="0"/>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dataField="1" showAll="0"/>
    <pivotField axis="axisRow" showAll="0">
      <items count="9">
        <item x="4"/>
        <item x="3"/>
        <item x="7"/>
        <item x="1"/>
        <item x="5"/>
        <item x="6"/>
        <item x="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9">
    <i>
      <x/>
    </i>
    <i>
      <x v="1"/>
    </i>
    <i>
      <x v="2"/>
    </i>
    <i>
      <x v="3"/>
    </i>
    <i>
      <x v="4"/>
    </i>
    <i>
      <x v="5"/>
    </i>
    <i>
      <x v="6"/>
    </i>
    <i>
      <x v="7"/>
    </i>
    <i t="grand">
      <x/>
    </i>
  </rowItems>
  <colFields count="1">
    <field x="6"/>
  </colFields>
  <colItems count="5">
    <i>
      <x/>
    </i>
    <i>
      <x v="1"/>
    </i>
    <i>
      <x v="2"/>
    </i>
    <i>
      <x v="3"/>
    </i>
    <i t="grand">
      <x/>
    </i>
  </colItems>
  <dataFields count="1">
    <dataField name="Sum of Cache deposited?" fld="15"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7.xml><?xml version="1.0" encoding="utf-8"?>
<pivotTableDefinition xmlns="http://schemas.openxmlformats.org/spreadsheetml/2006/main" xmlns:mc="http://schemas.openxmlformats.org/markup-compatibility/2006" xmlns:xr="http://schemas.microsoft.com/office/spreadsheetml/2014/revision" mc:Ignorable="xr" xr:uid="{CA95DB2E-ED6B-224E-8C22-563231AB01E9}" name="PivotTable4" cacheId="1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55:E64" firstHeaderRow="1" firstDataRow="2" firstDataCol="1"/>
  <pivotFields count="41">
    <pivotField showAll="0"/>
    <pivotField showAll="0"/>
    <pivotField showAll="0"/>
    <pivotField showAll="0"/>
    <pivotField showAll="0"/>
    <pivotField showAll="0"/>
    <pivotField axis="axisCol" showAll="0">
      <items count="4">
        <item x="0"/>
        <item x="1"/>
        <item x="2"/>
        <item t="default"/>
      </items>
    </pivotField>
    <pivotField showAll="0"/>
    <pivotField showAll="0"/>
    <pivotField showAll="0"/>
    <pivotField showAll="0"/>
    <pivotField showAll="0"/>
    <pivotField showAll="0"/>
    <pivotField showAll="0"/>
    <pivotField showAll="0"/>
    <pivotField dataField="1" showAll="0"/>
    <pivotField axis="axisRow" showAll="0">
      <items count="8">
        <item x="3"/>
        <item x="2"/>
        <item x="0"/>
        <item x="1"/>
        <item x="4"/>
        <item x="6"/>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8">
    <i>
      <x/>
    </i>
    <i>
      <x v="1"/>
    </i>
    <i>
      <x v="2"/>
    </i>
    <i>
      <x v="3"/>
    </i>
    <i>
      <x v="4"/>
    </i>
    <i>
      <x v="5"/>
    </i>
    <i>
      <x v="6"/>
    </i>
    <i t="grand">
      <x/>
    </i>
  </rowItems>
  <colFields count="1">
    <field x="6"/>
  </colFields>
  <colItems count="4">
    <i>
      <x/>
    </i>
    <i>
      <x v="1"/>
    </i>
    <i>
      <x v="2"/>
    </i>
    <i t="grand">
      <x/>
    </i>
  </colItems>
  <dataFields count="1">
    <dataField name="Sum of Cache deposited?" fld="15"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8.xml><?xml version="1.0" encoding="utf-8"?>
<pivotTableDefinition xmlns="http://schemas.openxmlformats.org/spreadsheetml/2006/main" xmlns:mc="http://schemas.openxmlformats.org/markup-compatibility/2006" xmlns:xr="http://schemas.microsoft.com/office/spreadsheetml/2014/revision" mc:Ignorable="xr" xr:uid="{789C4554-D939-934E-B881-7AD10700A1B1}" name="PivotTable5" cacheId="1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69:D80" firstHeaderRow="1" firstDataRow="2" firstDataCol="1"/>
  <pivotFields count="42">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showAll="0"/>
    <pivotField showAll="0"/>
    <pivotField dataField="1" showAll="0"/>
    <pivotField axis="axisRow" showAll="0">
      <items count="12">
        <item x="4"/>
        <item x="6"/>
        <item x="2"/>
        <item x="5"/>
        <item x="1"/>
        <item x="3"/>
        <item m="1" x="10"/>
        <item m="1" x="9"/>
        <item x="0"/>
        <item x="8"/>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10">
    <i>
      <x/>
    </i>
    <i>
      <x v="1"/>
    </i>
    <i>
      <x v="2"/>
    </i>
    <i>
      <x v="3"/>
    </i>
    <i>
      <x v="4"/>
    </i>
    <i>
      <x v="5"/>
    </i>
    <i>
      <x v="8"/>
    </i>
    <i>
      <x v="9"/>
    </i>
    <i>
      <x v="10"/>
    </i>
    <i t="grand">
      <x/>
    </i>
  </rowItems>
  <colFields count="1">
    <field x="6"/>
  </colFields>
  <colItems count="3">
    <i>
      <x/>
    </i>
    <i>
      <x v="1"/>
    </i>
    <i t="grand">
      <x/>
    </i>
  </colItems>
  <dataFields count="1">
    <dataField name="Sum of Cache deposited?" fld="15"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9.xml><?xml version="1.0" encoding="utf-8"?>
<pivotTableDefinition xmlns="http://schemas.openxmlformats.org/spreadsheetml/2006/main" xmlns:mc="http://schemas.openxmlformats.org/markup-compatibility/2006" xmlns:xr="http://schemas.microsoft.com/office/spreadsheetml/2014/revision" mc:Ignorable="xr" xr:uid="{183A0020-C697-5B4E-8582-A7BDAF1820E7}" name="PivotTable7" cacheId="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21:B41" firstHeaderRow="1" firstDataRow="1" firstDataCol="1"/>
  <pivotFields count="4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items count="5">
        <item x="0"/>
        <item x="1"/>
        <item x="2"/>
        <item x="3"/>
        <item t="default"/>
      </items>
    </pivotField>
    <pivotField showAll="0"/>
    <pivotField showAll="0"/>
    <pivotField showAll="0"/>
    <pivotField showAll="0"/>
    <pivotField showAll="0"/>
    <pivotField showAll="0"/>
    <pivotField axis="axisRow" showAll="0">
      <items count="20">
        <item x="6"/>
        <item x="0"/>
        <item x="5"/>
        <item x="18"/>
        <item x="11"/>
        <item x="15"/>
        <item x="12"/>
        <item x="2"/>
        <item x="17"/>
        <item x="16"/>
        <item x="1"/>
        <item x="3"/>
        <item x="14"/>
        <item x="10"/>
        <item x="8"/>
        <item x="13"/>
        <item x="7"/>
        <item x="4"/>
        <item x="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21"/>
  </rowFields>
  <rowItems count="20">
    <i>
      <x/>
    </i>
    <i>
      <x v="1"/>
    </i>
    <i>
      <x v="2"/>
    </i>
    <i>
      <x v="3"/>
    </i>
    <i>
      <x v="4"/>
    </i>
    <i>
      <x v="5"/>
    </i>
    <i>
      <x v="6"/>
    </i>
    <i>
      <x v="7"/>
    </i>
    <i>
      <x v="8"/>
    </i>
    <i>
      <x v="9"/>
    </i>
    <i>
      <x v="10"/>
    </i>
    <i>
      <x v="11"/>
    </i>
    <i>
      <x v="12"/>
    </i>
    <i>
      <x v="13"/>
    </i>
    <i>
      <x v="14"/>
    </i>
    <i>
      <x v="15"/>
    </i>
    <i>
      <x v="16"/>
    </i>
    <i>
      <x v="17"/>
    </i>
    <i>
      <x v="18"/>
    </i>
    <i t="grand">
      <x/>
    </i>
  </rowItems>
  <colItems count="1">
    <i/>
  </colItems>
  <dataFields count="1">
    <dataField name="Sum of Cache deposited?" fld="14"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4C58435-82E1-6840-AF6E-E09E8DE8555E}" name="PivotTable1" cacheId="14"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F4" firstHeaderRow="0" firstDataRow="1" firstDataCol="0"/>
  <pivotFields count="30">
    <pivotField showAll="0"/>
    <pivotField showAll="0"/>
    <pivotField showAll="0"/>
    <pivotField showAll="0"/>
    <pivotField showAll="0"/>
    <pivotField numFmtId="14"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numFmtId="1" showAll="0"/>
    <pivotField dataField="1" numFmtId="1" showAll="0"/>
    <pivotField dataField="1" numFmtId="1" showAll="0"/>
    <pivotField dataField="1" numFmtId="1" showAll="0"/>
    <pivotField dataField="1" numFmtId="1" showAll="0"/>
    <pivotField dataField="1" numFmtId="1" showAll="0"/>
    <pivotField showAll="0"/>
    <pivotField showAll="0"/>
    <pivotField showAll="0"/>
    <pivotField showAll="0"/>
  </pivotFields>
  <rowItems count="1">
    <i/>
  </rowItems>
  <colFields count="1">
    <field x="-2"/>
  </colFields>
  <colItems count="6">
    <i>
      <x/>
    </i>
    <i i="1">
      <x v="1"/>
    </i>
    <i i="2">
      <x v="2"/>
    </i>
    <i i="3">
      <x v="3"/>
    </i>
    <i i="4">
      <x v="4"/>
    </i>
    <i i="5">
      <x v="5"/>
    </i>
  </colItems>
  <dataFields count="6">
    <dataField name="Sum of Bark FT" fld="20" baseField="0" baseItem="0"/>
    <dataField name="Sum of Foliage FT" fld="21" baseField="0" baseItem="0"/>
    <dataField name="Sum of Interior FT" fld="22" baseField="0" baseItem="0"/>
    <dataField name="Sum of Exterior FT" fld="23" baseField="0" baseItem="0"/>
    <dataField name="Sum of Ground FT" fld="24" baseField="0" baseItem="0"/>
    <dataField name="Sum of Total foraging time" fld="25"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0.xml><?xml version="1.0" encoding="utf-8"?>
<pivotTableDefinition xmlns="http://schemas.openxmlformats.org/spreadsheetml/2006/main" xmlns:mc="http://schemas.openxmlformats.org/markup-compatibility/2006" xmlns:xr="http://schemas.microsoft.com/office/spreadsheetml/2014/revision" mc:Ignorable="xr" xr:uid="{9A60C760-AB3D-E349-A785-ED6D9000F497}" name="PivotTable6" cacheId="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H15" firstHeaderRow="1" firstDataRow="2" firstDataCol="1"/>
  <pivotFields count="4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items count="5">
        <item x="0"/>
        <item x="1"/>
        <item x="2"/>
        <item x="3"/>
        <item t="default"/>
      </items>
    </pivotField>
    <pivotField showAll="0"/>
    <pivotField showAll="0"/>
    <pivotField showAll="0"/>
    <pivotField showAll="0"/>
    <pivotField axis="axisRow" showAll="0">
      <items count="11">
        <item x="7"/>
        <item x="1"/>
        <item x="9"/>
        <item x="5"/>
        <item x="0"/>
        <item x="8"/>
        <item x="6"/>
        <item x="3"/>
        <item x="2"/>
        <item x="4"/>
        <item t="default"/>
      </items>
    </pivotField>
    <pivotField axis="axisCol" showAll="0">
      <items count="7">
        <item x="2"/>
        <item x="0"/>
        <item x="4"/>
        <item x="1"/>
        <item x="3"/>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9"/>
  </rowFields>
  <rowItems count="11">
    <i>
      <x/>
    </i>
    <i>
      <x v="1"/>
    </i>
    <i>
      <x v="2"/>
    </i>
    <i>
      <x v="3"/>
    </i>
    <i>
      <x v="4"/>
    </i>
    <i>
      <x v="5"/>
    </i>
    <i>
      <x v="6"/>
    </i>
    <i>
      <x v="7"/>
    </i>
    <i>
      <x v="8"/>
    </i>
    <i>
      <x v="9"/>
    </i>
    <i t="grand">
      <x/>
    </i>
  </rowItems>
  <colFields count="1">
    <field x="20"/>
  </colFields>
  <colItems count="7">
    <i>
      <x/>
    </i>
    <i>
      <x v="1"/>
    </i>
    <i>
      <x v="2"/>
    </i>
    <i>
      <x v="3"/>
    </i>
    <i>
      <x v="4"/>
    </i>
    <i>
      <x v="5"/>
    </i>
    <i t="grand">
      <x/>
    </i>
  </colItems>
  <dataFields count="1">
    <dataField name="Sum of Cache deposited?" fld="14"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1.xml><?xml version="1.0" encoding="utf-8"?>
<pivotTableDefinition xmlns="http://schemas.openxmlformats.org/spreadsheetml/2006/main" xmlns:mc="http://schemas.openxmlformats.org/markup-compatibility/2006" xmlns:xr="http://schemas.microsoft.com/office/spreadsheetml/2014/revision" mc:Ignorable="xr" xr:uid="{EF42B207-DDD7-1D40-916B-E5211226DA86}" name="PivotTable9" cacheId="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E50:G67" firstHeaderRow="1" firstDataRow="1" firstDataCol="0"/>
  <pivotFields count="4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2.xml><?xml version="1.0" encoding="utf-8"?>
<pivotTableDefinition xmlns="http://schemas.openxmlformats.org/spreadsheetml/2006/main" xmlns:mc="http://schemas.openxmlformats.org/markup-compatibility/2006" xmlns:xr="http://schemas.microsoft.com/office/spreadsheetml/2014/revision" mc:Ignorable="xr" xr:uid="{E9B49344-31BB-EB44-AB96-0B6D7CC63C49}" name="PivotTable8" cacheId="9"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50:D51" firstHeaderRow="0" firstDataRow="1" firstDataCol="0"/>
  <pivotFields count="4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5">
        <item x="0"/>
        <item x="1"/>
        <item x="2"/>
        <item x="3"/>
        <item t="default"/>
      </items>
    </pivotField>
    <pivotField showAll="0"/>
    <pivotField showAll="0"/>
    <pivotField showAll="0"/>
    <pivotField showAll="0"/>
    <pivotField showAll="0"/>
    <pivotField showAll="0"/>
    <pivotField showAll="0"/>
    <pivotField showAll="0"/>
    <pivotField showAll="0"/>
    <pivotField dataField="1" showAll="0">
      <items count="47">
        <item x="3"/>
        <item x="16"/>
        <item x="10"/>
        <item x="7"/>
        <item x="11"/>
        <item x="6"/>
        <item x="20"/>
        <item x="12"/>
        <item x="19"/>
        <item x="9"/>
        <item x="1"/>
        <item x="29"/>
        <item x="8"/>
        <item x="2"/>
        <item x="21"/>
        <item x="32"/>
        <item x="25"/>
        <item x="40"/>
        <item x="18"/>
        <item x="15"/>
        <item x="22"/>
        <item x="14"/>
        <item x="24"/>
        <item x="39"/>
        <item x="42"/>
        <item x="34"/>
        <item x="28"/>
        <item x="33"/>
        <item x="31"/>
        <item x="23"/>
        <item x="41"/>
        <item x="38"/>
        <item x="5"/>
        <item x="44"/>
        <item x="27"/>
        <item x="37"/>
        <item x="45"/>
        <item x="43"/>
        <item x="35"/>
        <item x="4"/>
        <item x="13"/>
        <item x="26"/>
        <item x="0"/>
        <item x="36"/>
        <item x="30"/>
        <item x="1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Items count="1">
    <i/>
  </rowItems>
  <colFields count="1">
    <field x="-2"/>
  </colFields>
  <colItems count="4">
    <i>
      <x/>
    </i>
    <i i="1">
      <x v="1"/>
    </i>
    <i i="2">
      <x v="2"/>
    </i>
    <i i="3">
      <x v="3"/>
    </i>
  </colItems>
  <dataFields count="4">
    <dataField name="Average of Distance from food acqusition site to cache site (m)" fld="24" subtotal="average" baseField="0" baseItem="0"/>
    <dataField name="StdDev of Distance from food acqusition site to cache site (m)" fld="24" subtotal="stdDev" baseField="0" baseItem="0"/>
    <dataField name="Max of Distance from food acqusition site to cache site (m)" fld="24" subtotal="max" baseField="0" baseItem="0"/>
    <dataField name="Min of Distance from food acqusition site to cache site (m)" fld="24" subtotal="min"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E06DD421-F199-BC4C-89F4-AA9487591CA6}" name="PivotTable3" cacheId="1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5:F16" firstHeaderRow="0" firstDataRow="1" firstDataCol="0"/>
  <pivotFields count="41">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s>
  <rowItems count="1">
    <i/>
  </rowItems>
  <colFields count="1">
    <field x="-2"/>
  </colFields>
  <colItems count="6">
    <i>
      <x/>
    </i>
    <i i="1">
      <x v="1"/>
    </i>
    <i i="2">
      <x v="2"/>
    </i>
    <i i="3">
      <x v="3"/>
    </i>
    <i i="4">
      <x v="4"/>
    </i>
    <i i="5">
      <x v="5"/>
    </i>
  </colItems>
  <dataFields count="6">
    <dataField name="Sum of Bark FT" fld="31" baseField="0" baseItem="0"/>
    <dataField name="Sum of Foliage FT" fld="32" baseField="0" baseItem="0"/>
    <dataField name="Sum of Interior FT" fld="33" baseField="0" baseItem="0"/>
    <dataField name="Sum of Exterior FT" fld="34" baseField="0" baseItem="0"/>
    <dataField name="Sum of Ground" fld="35" baseField="0" baseItem="0"/>
    <dataField name="Sum of Total foraging time" fld="36"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ED9EDB31-E99A-494F-AF11-BD8AB0567554}" name="PivotTable2" cacheId="11"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9:G10" firstHeaderRow="0" firstDataRow="1" firstDataCol="0"/>
  <pivotFields count="38">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s>
  <rowItems count="1">
    <i/>
  </rowItems>
  <colFields count="1">
    <field x="-2"/>
  </colFields>
  <colItems count="7">
    <i>
      <x/>
    </i>
    <i i="1">
      <x v="1"/>
    </i>
    <i i="2">
      <x v="2"/>
    </i>
    <i i="3">
      <x v="3"/>
    </i>
    <i i="4">
      <x v="4"/>
    </i>
    <i i="5">
      <x v="5"/>
    </i>
    <i i="6">
      <x v="6"/>
    </i>
  </colItems>
  <dataFields count="7">
    <dataField name="Sum of bark FT (trunk or bare branch)" fld="27" baseField="0" baseItem="0"/>
    <dataField name="Sum of Foliage FT" fld="28" baseField="0" baseItem="0"/>
    <dataField name="Sum of Interior FT" fld="29" baseField="0" baseItem="0"/>
    <dataField name="Sum of Exterior FT" fld="30" baseField="0" baseItem="0"/>
    <dataField name="Sum of Ground" fld="31" baseField="0" baseItem="0"/>
    <dataField name="Sum of Human surface" fld="32" baseField="0" baseItem="0"/>
    <dataField name="Sum of Total foraging time" fld="33"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4410D47-74CC-1D44-93E1-BB4D513D93A5}" name="PivotTable7" cacheId="1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41:O44" firstHeaderRow="1" firstDataRow="3" firstDataCol="0"/>
  <pivotFields count="41">
    <pivotField showAll="0"/>
    <pivotField showAll="0"/>
    <pivotField showAll="0"/>
    <pivotField showAll="0"/>
    <pivotField showAll="0"/>
    <pivotField showAll="0"/>
    <pivotField axis="axisCol" showAll="0">
      <items count="5">
        <item x="1"/>
        <item x="0"/>
        <item x="2"/>
        <item x="3"/>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dataField="1" showAll="0"/>
    <pivotField showAll="0"/>
    <pivotField showAll="0"/>
    <pivotField showAll="0"/>
    <pivotField showAll="0"/>
    <pivotField showAll="0"/>
  </pivotFields>
  <rowItems count="1">
    <i/>
  </rowItems>
  <colFields count="2">
    <field x="6"/>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Interior FT" fld="33" baseField="0" baseItem="0"/>
    <dataField name="Sum of Exterior FT" fld="34" baseField="0" baseItem="0"/>
    <dataField name="Sum of Ground" fld="35"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FD56421-8427-8943-8E95-F9041E0A93E0}" name="PivotTable10" cacheId="1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D26" firstHeaderRow="0" firstDataRow="1" firstDataCol="1"/>
  <pivotFields count="44">
    <pivotField showAll="0"/>
    <pivotField showAll="0"/>
    <pivotField showAll="0"/>
    <pivotField showAll="0"/>
    <pivotField axis="axisRow" showAll="0">
      <items count="32">
        <item x="7"/>
        <item x="5"/>
        <item h="1" sd="0" x="13"/>
        <item h="1" m="1" x="27"/>
        <item x="4"/>
        <item h="1" sd="0" x="23"/>
        <item h="1" sd="0" x="22"/>
        <item h="1" sd="0" x="14"/>
        <item h="1" sd="0" x="19"/>
        <item h="1" sd="0" x="17"/>
        <item x="6"/>
        <item h="1" sd="0" x="1"/>
        <item x="2"/>
        <item m="1" x="26"/>
        <item m="1" x="30"/>
        <item x="9"/>
        <item h="1" sd="0" x="11"/>
        <item h="1" sd="0" x="21"/>
        <item m="1" x="28"/>
        <item h="1" sd="0" x="18"/>
        <item h="1" sd="0" x="24"/>
        <item h="1" x="10"/>
        <item h="1" sd="0" x="3"/>
        <item h="1" sd="0" x="12"/>
        <item h="1" sd="0" x="15"/>
        <item h="1" sd="0" x="16"/>
        <item h="1" sd="0" x="20"/>
        <item h="1" sd="0" x="8"/>
        <item x="0"/>
        <item h="1" x="25"/>
        <item m="1" x="29"/>
        <item t="default"/>
      </items>
    </pivotField>
    <pivotField showAll="0"/>
    <pivotField showAll="0"/>
    <pivotField showAll="0"/>
    <pivotField showAll="0"/>
    <pivotField showAll="0"/>
    <pivotField showAll="0"/>
    <pivotField showAll="0"/>
    <pivotField axis="axisRow" showAll="0" sortType="ascending">
      <items count="52">
        <item h="1" x="42"/>
        <item h="1" x="43"/>
        <item h="1" x="32"/>
        <item x="0"/>
        <item h="1" x="1"/>
        <item x="2"/>
        <item h="1" x="17"/>
        <item h="1" x="3"/>
        <item x="4"/>
        <item x="30"/>
        <item h="1" x="18"/>
        <item x="44"/>
        <item h="1" x="33"/>
        <item x="5"/>
        <item h="1" x="45"/>
        <item x="6"/>
        <item h="1" x="46"/>
        <item h="1" x="19"/>
        <item h="1" x="34"/>
        <item h="1" x="47"/>
        <item h="1" x="35"/>
        <item h="1" x="20"/>
        <item x="7"/>
        <item h="1" x="24"/>
        <item h="1" x="25"/>
        <item h="1" x="36"/>
        <item h="1" x="26"/>
        <item x="8"/>
        <item x="9"/>
        <item h="1" x="37"/>
        <item h="1" x="38"/>
        <item h="1" x="10"/>
        <item h="1" x="11"/>
        <item h="1" x="39"/>
        <item x="12"/>
        <item h="1" x="31"/>
        <item h="1" x="48"/>
        <item h="1" x="49"/>
        <item h="1" x="40"/>
        <item h="1" x="50"/>
        <item x="13"/>
        <item h="1" x="21"/>
        <item x="14"/>
        <item h="1" x="41"/>
        <item h="1" x="27"/>
        <item h="1" x="22"/>
        <item h="1" x="28"/>
        <item h="1" x="15"/>
        <item h="1" x="29"/>
        <item x="16"/>
        <item h="1" x="23"/>
        <item t="default"/>
      </items>
    </pivotField>
    <pivotField showAll="0"/>
    <pivotField showAll="0"/>
    <pivotField dataField="1"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s>
  <rowFields count="2">
    <field x="4"/>
    <field x="12"/>
  </rowFields>
  <rowItems count="23">
    <i>
      <x/>
    </i>
    <i r="1">
      <x v="27"/>
    </i>
    <i r="1">
      <x v="28"/>
    </i>
    <i r="1">
      <x v="40"/>
    </i>
    <i>
      <x v="1"/>
    </i>
    <i r="1">
      <x v="15"/>
    </i>
    <i r="1">
      <x v="42"/>
    </i>
    <i>
      <x v="4"/>
    </i>
    <i r="1">
      <x v="8"/>
    </i>
    <i r="1">
      <x v="13"/>
    </i>
    <i>
      <x v="10"/>
    </i>
    <i r="1">
      <x v="22"/>
    </i>
    <i r="1">
      <x v="34"/>
    </i>
    <i r="1">
      <x v="40"/>
    </i>
    <i>
      <x v="12"/>
    </i>
    <i r="1">
      <x v="5"/>
    </i>
    <i r="1">
      <x v="40"/>
    </i>
    <i>
      <x v="15"/>
    </i>
    <i r="1">
      <x v="9"/>
    </i>
    <i r="1">
      <x v="49"/>
    </i>
    <i>
      <x v="28"/>
    </i>
    <i r="1">
      <x v="3"/>
    </i>
    <i t="grand">
      <x/>
    </i>
  </rowItems>
  <colFields count="1">
    <field x="-2"/>
  </colFields>
  <colItems count="3">
    <i>
      <x/>
    </i>
    <i i="1">
      <x v="1"/>
    </i>
    <i i="2">
      <x v="2"/>
    </i>
  </colItems>
  <dataFields count="3">
    <dataField name="Sum of Number of food acquisition successes " fld="15" baseField="0" baseItem="0"/>
    <dataField name="Sum of Cache deposited?" fld="17" baseField="0" baseItem="0"/>
    <dataField name="Sum of Total foraging time" fld="39" baseField="0" baseItem="0"/>
  </dataFields>
  <formats count="23">
    <format dxfId="23">
      <pivotArea collapsedLevelsAreSubtotals="1" fieldPosition="0">
        <references count="2">
          <reference field="4" count="1" selected="0">
            <x v="4"/>
          </reference>
          <reference field="12" count="2">
            <x v="8"/>
            <x v="13"/>
          </reference>
        </references>
      </pivotArea>
    </format>
    <format dxfId="22">
      <pivotArea dataOnly="0" labelOnly="1" fieldPosition="0">
        <references count="2">
          <reference field="4" count="1" selected="0">
            <x v="4"/>
          </reference>
          <reference field="12" count="2">
            <x v="8"/>
            <x v="13"/>
          </reference>
        </references>
      </pivotArea>
    </format>
    <format dxfId="21">
      <pivotArea dataOnly="0" fieldPosition="0">
        <references count="1">
          <reference field="12" count="1">
            <x v="16"/>
          </reference>
        </references>
      </pivotArea>
    </format>
    <format dxfId="20">
      <pivotArea collapsedLevelsAreSubtotals="1" fieldPosition="0">
        <references count="2">
          <reference field="4" count="1" selected="0">
            <x v="0"/>
          </reference>
          <reference field="12" count="2">
            <x v="27"/>
            <x v="28"/>
          </reference>
        </references>
      </pivotArea>
    </format>
    <format dxfId="19">
      <pivotArea dataOnly="0" labelOnly="1" fieldPosition="0">
        <references count="2">
          <reference field="4" count="1" selected="0">
            <x v="0"/>
          </reference>
          <reference field="12" count="2">
            <x v="27"/>
            <x v="28"/>
          </reference>
        </references>
      </pivotArea>
    </format>
    <format dxfId="18">
      <pivotArea collapsedLevelsAreSubtotals="1" fieldPosition="0">
        <references count="2">
          <reference field="4" count="1" selected="0">
            <x v="1"/>
          </reference>
          <reference field="12" count="1">
            <x v="15"/>
          </reference>
        </references>
      </pivotArea>
    </format>
    <format dxfId="17">
      <pivotArea dataOnly="0" labelOnly="1" fieldPosition="0">
        <references count="2">
          <reference field="4" count="1" selected="0">
            <x v="1"/>
          </reference>
          <reference field="12" count="1">
            <x v="15"/>
          </reference>
        </references>
      </pivotArea>
    </format>
    <format dxfId="16">
      <pivotArea collapsedLevelsAreSubtotals="1" fieldPosition="0">
        <references count="2">
          <reference field="4" count="1" selected="0">
            <x v="1"/>
          </reference>
          <reference field="12" count="1">
            <x v="42"/>
          </reference>
        </references>
      </pivotArea>
    </format>
    <format dxfId="15">
      <pivotArea dataOnly="0" labelOnly="1" fieldPosition="0">
        <references count="2">
          <reference field="4" count="1" selected="0">
            <x v="1"/>
          </reference>
          <reference field="12" count="1">
            <x v="42"/>
          </reference>
        </references>
      </pivotArea>
    </format>
    <format dxfId="14">
      <pivotArea collapsedLevelsAreSubtotals="1" fieldPosition="0">
        <references count="2">
          <reference field="4" count="1" selected="0">
            <x v="10"/>
          </reference>
          <reference field="12" count="1">
            <x v="34"/>
          </reference>
        </references>
      </pivotArea>
    </format>
    <format dxfId="13">
      <pivotArea dataOnly="0" labelOnly="1" fieldPosition="0">
        <references count="2">
          <reference field="4" count="1" selected="0">
            <x v="10"/>
          </reference>
          <reference field="12" count="1">
            <x v="34"/>
          </reference>
        </references>
      </pivotArea>
    </format>
    <format dxfId="12">
      <pivotArea collapsedLevelsAreSubtotals="1" fieldPosition="0">
        <references count="2">
          <reference field="4" count="1" selected="0">
            <x v="10"/>
          </reference>
          <reference field="12" count="1">
            <x v="22"/>
          </reference>
        </references>
      </pivotArea>
    </format>
    <format dxfId="11">
      <pivotArea dataOnly="0" labelOnly="1" fieldPosition="0">
        <references count="2">
          <reference field="4" count="1" selected="0">
            <x v="10"/>
          </reference>
          <reference field="12" count="1">
            <x v="22"/>
          </reference>
        </references>
      </pivotArea>
    </format>
    <format dxfId="10">
      <pivotArea collapsedLevelsAreSubtotals="1" fieldPosition="0">
        <references count="2">
          <reference field="4" count="1" selected="0">
            <x v="12"/>
          </reference>
          <reference field="12" count="1">
            <x v="40"/>
          </reference>
        </references>
      </pivotArea>
    </format>
    <format dxfId="9">
      <pivotArea dataOnly="0" labelOnly="1" fieldPosition="0">
        <references count="2">
          <reference field="4" count="1" selected="0">
            <x v="12"/>
          </reference>
          <reference field="12" count="1">
            <x v="40"/>
          </reference>
        </references>
      </pivotArea>
    </format>
    <format dxfId="8">
      <pivotArea collapsedLevelsAreSubtotals="1" fieldPosition="0">
        <references count="2">
          <reference field="4" count="1" selected="0">
            <x v="12"/>
          </reference>
          <reference field="12" count="1">
            <x v="5"/>
          </reference>
        </references>
      </pivotArea>
    </format>
    <format dxfId="7">
      <pivotArea dataOnly="0" labelOnly="1" fieldPosition="0">
        <references count="2">
          <reference field="4" count="1" selected="0">
            <x v="12"/>
          </reference>
          <reference field="12" count="1">
            <x v="5"/>
          </reference>
        </references>
      </pivotArea>
    </format>
    <format dxfId="6">
      <pivotArea collapsedLevelsAreSubtotals="1" fieldPosition="0">
        <references count="2">
          <reference field="4" count="1" selected="0">
            <x v="15"/>
          </reference>
          <reference field="12" count="1">
            <x v="9"/>
          </reference>
        </references>
      </pivotArea>
    </format>
    <format dxfId="5">
      <pivotArea dataOnly="0" labelOnly="1" fieldPosition="0">
        <references count="2">
          <reference field="4" count="1" selected="0">
            <x v="15"/>
          </reference>
          <reference field="12" count="1">
            <x v="9"/>
          </reference>
        </references>
      </pivotArea>
    </format>
    <format dxfId="4">
      <pivotArea collapsedLevelsAreSubtotals="1" fieldPosition="0">
        <references count="2">
          <reference field="4" count="1" selected="0">
            <x v="15"/>
          </reference>
          <reference field="12" count="1">
            <x v="49"/>
          </reference>
        </references>
      </pivotArea>
    </format>
    <format dxfId="3">
      <pivotArea dataOnly="0" labelOnly="1" fieldPosition="0">
        <references count="2">
          <reference field="4" count="1" selected="0">
            <x v="15"/>
          </reference>
          <reference field="12" count="1">
            <x v="49"/>
          </reference>
        </references>
      </pivotArea>
    </format>
    <format dxfId="2">
      <pivotArea collapsedLevelsAreSubtotals="1" fieldPosition="0">
        <references count="2">
          <reference field="4" count="1" selected="0">
            <x v="28"/>
          </reference>
          <reference field="12" count="2">
            <x v="3"/>
            <x v="10"/>
          </reference>
        </references>
      </pivotArea>
    </format>
    <format dxfId="1">
      <pivotArea dataOnly="0" labelOnly="1" fieldPosition="0">
        <references count="2">
          <reference field="4" count="1" selected="0">
            <x v="28"/>
          </reference>
          <reference field="12" count="2">
            <x v="3"/>
            <x v="10"/>
          </reference>
        </references>
      </pivotArea>
    </format>
  </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EC104FA6-F871-754A-A0FD-B78794AE6A8B}" name="PivotTable1" cacheId="1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79:D232" firstHeaderRow="1" firstDataRow="2" firstDataCol="1"/>
  <pivotFields count="42">
    <pivotField showAll="0"/>
    <pivotField showAll="0"/>
    <pivotField showAll="0"/>
    <pivotField showAll="0"/>
    <pivotField showAll="0"/>
    <pivotField showAll="0"/>
    <pivotField showAll="0"/>
    <pivotField axis="axisCol" showAll="0">
      <items count="3">
        <item x="1"/>
        <item x="0"/>
        <item t="default"/>
      </items>
    </pivotField>
    <pivotField showAll="0"/>
    <pivotField showAll="0"/>
    <pivotField axis="axisRow" showAll="0">
      <items count="52">
        <item x="42"/>
        <item x="43"/>
        <item x="32"/>
        <item x="0"/>
        <item x="1"/>
        <item x="2"/>
        <item x="17"/>
        <item x="3"/>
        <item x="4"/>
        <item x="30"/>
        <item x="18"/>
        <item x="44"/>
        <item x="33"/>
        <item x="5"/>
        <item x="45"/>
        <item x="6"/>
        <item x="46"/>
        <item x="19"/>
        <item x="34"/>
        <item x="47"/>
        <item x="35"/>
        <item x="20"/>
        <item x="7"/>
        <item x="24"/>
        <item x="25"/>
        <item x="36"/>
        <item x="26"/>
        <item x="8"/>
        <item x="9"/>
        <item x="37"/>
        <item x="38"/>
        <item x="10"/>
        <item x="11"/>
        <item x="39"/>
        <item x="12"/>
        <item x="31"/>
        <item x="48"/>
        <item x="49"/>
        <item x="40"/>
        <item x="50"/>
        <item x="13"/>
        <item x="21"/>
        <item x="14"/>
        <item x="41"/>
        <item x="27"/>
        <item x="22"/>
        <item x="28"/>
        <item x="15"/>
        <item x="29"/>
        <item x="16"/>
        <item x="23"/>
        <item t="default"/>
      </items>
    </pivotField>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0"/>
  </rowFields>
  <rowItems count="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t="grand">
      <x/>
    </i>
  </rowItems>
  <colFields count="1">
    <field x="7"/>
  </colFields>
  <colItems count="3">
    <i>
      <x/>
    </i>
    <i>
      <x v="1"/>
    </i>
    <i t="grand">
      <x/>
    </i>
  </colItems>
  <dataFields count="1">
    <dataField name="Sum of Cache deposited?" fld="15"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EE9229B5-522B-4542-813C-276DD1C8F90D}" name="PivotTable5" cacheId="1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69:E80" firstHeaderRow="1" firstDataRow="2" firstDataCol="1"/>
  <pivotFields count="42">
    <pivotField showAll="0"/>
    <pivotField showAll="0"/>
    <pivotField showAll="0"/>
    <pivotField showAll="0"/>
    <pivotField showAll="0"/>
    <pivotField showAll="0"/>
    <pivotField axis="axisCol" showAll="0">
      <items count="3">
        <item x="0"/>
        <item x="1"/>
        <item t="default"/>
      </items>
    </pivotField>
    <pivotField showAll="0"/>
    <pivotField showAll="0"/>
    <pivotField showAll="0"/>
    <pivotField showAll="0"/>
    <pivotField showAll="0"/>
    <pivotField showAll="0"/>
    <pivotField dataField="1" showAll="0"/>
    <pivotField showAll="0"/>
    <pivotField showAll="0"/>
    <pivotField axis="axisRow" showAll="0">
      <items count="12">
        <item x="4"/>
        <item x="6"/>
        <item x="2"/>
        <item x="5"/>
        <item x="1"/>
        <item x="3"/>
        <item m="1" x="10"/>
        <item m="1" x="9"/>
        <item x="0"/>
        <item x="8"/>
        <item x="7"/>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6"/>
  </rowFields>
  <rowItems count="10">
    <i>
      <x/>
    </i>
    <i>
      <x v="1"/>
    </i>
    <i>
      <x v="2"/>
    </i>
    <i>
      <x v="3"/>
    </i>
    <i>
      <x v="4"/>
    </i>
    <i>
      <x v="5"/>
    </i>
    <i>
      <x v="8"/>
    </i>
    <i>
      <x v="9"/>
    </i>
    <i>
      <x v="10"/>
    </i>
    <i t="grand">
      <x/>
    </i>
  </rowItems>
  <colFields count="1">
    <field x="6"/>
  </colFields>
  <colItems count="3">
    <i>
      <x/>
    </i>
    <i>
      <x v="1"/>
    </i>
    <i t="grand">
      <x/>
    </i>
  </colItems>
  <dataFields count="1">
    <dataField name="Sum of Number of food acquisition successes " fld="13"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13.xml.rels><?xml version="1.0" encoding="UTF-8" standalone="yes"?>
<Relationships xmlns="http://schemas.openxmlformats.org/package/2006/relationships"><Relationship Id="rId2" Type="http://schemas.openxmlformats.org/officeDocument/2006/relationships/pivotTable" Target="../pivotTables/pivotTable8.xml"/><Relationship Id="rId1" Type="http://schemas.openxmlformats.org/officeDocument/2006/relationships/pivotTable" Target="../pivotTables/pivotTable7.xml"/></Relationships>
</file>

<file path=xl/worksheets/_rels/sheet14.xml.rels><?xml version="1.0" encoding="UTF-8" standalone="yes"?>
<Relationships xmlns="http://schemas.openxmlformats.org/package/2006/relationships"><Relationship Id="rId3" Type="http://schemas.openxmlformats.org/officeDocument/2006/relationships/pivotTable" Target="../pivotTables/pivotTable11.xml"/><Relationship Id="rId2" Type="http://schemas.openxmlformats.org/officeDocument/2006/relationships/pivotTable" Target="../pivotTables/pivotTable10.xml"/><Relationship Id="rId1" Type="http://schemas.openxmlformats.org/officeDocument/2006/relationships/pivotTable" Target="../pivotTables/pivotTable9.xml"/><Relationship Id="rId6" Type="http://schemas.openxmlformats.org/officeDocument/2006/relationships/drawing" Target="../drawings/drawing1.xml"/><Relationship Id="rId5" Type="http://schemas.openxmlformats.org/officeDocument/2006/relationships/pivotTable" Target="../pivotTables/pivotTable13.xml"/><Relationship Id="rId4" Type="http://schemas.openxmlformats.org/officeDocument/2006/relationships/pivotTable" Target="../pivotTables/pivotTable12.xml"/></Relationships>
</file>

<file path=xl/worksheets/_rels/sheet15.xml.rels><?xml version="1.0" encoding="UTF-8" standalone="yes"?>
<Relationships xmlns="http://schemas.openxmlformats.org/package/2006/relationships"><Relationship Id="rId3" Type="http://schemas.openxmlformats.org/officeDocument/2006/relationships/pivotTable" Target="../pivotTables/pivotTable16.xml"/><Relationship Id="rId2" Type="http://schemas.openxmlformats.org/officeDocument/2006/relationships/pivotTable" Target="../pivotTables/pivotTable15.xml"/><Relationship Id="rId1" Type="http://schemas.openxmlformats.org/officeDocument/2006/relationships/pivotTable" Target="../pivotTables/pivotTable14.xml"/><Relationship Id="rId5" Type="http://schemas.openxmlformats.org/officeDocument/2006/relationships/pivotTable" Target="../pivotTables/pivotTable18.xml"/><Relationship Id="rId4" Type="http://schemas.openxmlformats.org/officeDocument/2006/relationships/pivotTable" Target="../pivotTables/pivotTable17.xml"/></Relationships>
</file>

<file path=xl/worksheets/_rels/sheet16.xml.rels><?xml version="1.0" encoding="UTF-8" standalone="yes"?>
<Relationships xmlns="http://schemas.openxmlformats.org/package/2006/relationships"><Relationship Id="rId3" Type="http://schemas.openxmlformats.org/officeDocument/2006/relationships/pivotTable" Target="../pivotTables/pivotTable21.xml"/><Relationship Id="rId2" Type="http://schemas.openxmlformats.org/officeDocument/2006/relationships/pivotTable" Target="../pivotTables/pivotTable20.xml"/><Relationship Id="rId1" Type="http://schemas.openxmlformats.org/officeDocument/2006/relationships/pivotTable" Target="../pivotTables/pivotTable19.xml"/><Relationship Id="rId5" Type="http://schemas.openxmlformats.org/officeDocument/2006/relationships/pivotTable" Target="../pivotTables/pivotTable23.xml"/><Relationship Id="rId4" Type="http://schemas.openxmlformats.org/officeDocument/2006/relationships/pivotTable" Target="../pivotTables/pivotTable22.xml"/></Relationships>
</file>

<file path=xl/worksheets/_rels/sheet17.xml.rels><?xml version="1.0" encoding="UTF-8" standalone="yes"?>
<Relationships xmlns="http://schemas.openxmlformats.org/package/2006/relationships"><Relationship Id="rId3" Type="http://schemas.openxmlformats.org/officeDocument/2006/relationships/pivotTable" Target="../pivotTables/pivotTable26.xml"/><Relationship Id="rId2" Type="http://schemas.openxmlformats.org/officeDocument/2006/relationships/pivotTable" Target="../pivotTables/pivotTable25.xml"/><Relationship Id="rId1" Type="http://schemas.openxmlformats.org/officeDocument/2006/relationships/pivotTable" Target="../pivotTables/pivotTable24.xml"/><Relationship Id="rId6" Type="http://schemas.openxmlformats.org/officeDocument/2006/relationships/drawing" Target="../drawings/drawing2.xml"/><Relationship Id="rId5" Type="http://schemas.openxmlformats.org/officeDocument/2006/relationships/pivotTable" Target="../pivotTables/pivotTable28.xml"/><Relationship Id="rId4" Type="http://schemas.openxmlformats.org/officeDocument/2006/relationships/pivotTable" Target="../pivotTables/pivotTable27.xml"/></Relationships>
</file>

<file path=xl/worksheets/_rels/sheet18.xml.rels><?xml version="1.0" encoding="UTF-8" standalone="yes"?>
<Relationships xmlns="http://schemas.openxmlformats.org/package/2006/relationships"><Relationship Id="rId3" Type="http://schemas.openxmlformats.org/officeDocument/2006/relationships/pivotTable" Target="../pivotTables/pivotTable31.xml"/><Relationship Id="rId2" Type="http://schemas.openxmlformats.org/officeDocument/2006/relationships/pivotTable" Target="../pivotTables/pivotTable30.xml"/><Relationship Id="rId1" Type="http://schemas.openxmlformats.org/officeDocument/2006/relationships/pivotTable" Target="../pivotTables/pivotTable29.xml"/><Relationship Id="rId4" Type="http://schemas.openxmlformats.org/officeDocument/2006/relationships/pivotTable" Target="../pivotTables/pivotTable3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filterMode="1"/>
  <dimension ref="A1:AF92"/>
  <sheetViews>
    <sheetView topLeftCell="M1" workbookViewId="0">
      <pane ySplit="1" topLeftCell="A6" activePane="bottomLeft" state="frozen"/>
      <selection pane="bottomLeft" activeCell="U50" sqref="U50"/>
    </sheetView>
  </sheetViews>
  <sheetFormatPr baseColWidth="10" defaultRowHeight="16" x14ac:dyDescent="0.2"/>
  <cols>
    <col min="10" max="10" width="10.83203125" style="176"/>
    <col min="11" max="11" width="10.83203125" style="6"/>
    <col min="16" max="16" width="15.5" customWidth="1"/>
    <col min="21" max="21" width="19.6640625" customWidth="1"/>
    <col min="23" max="26" width="10.83203125" style="6"/>
    <col min="27" max="27" width="12.1640625" style="6" customWidth="1"/>
    <col min="28" max="28" width="10.83203125" style="6"/>
  </cols>
  <sheetData>
    <row r="1" spans="1:32" x14ac:dyDescent="0.2">
      <c r="A1" t="s">
        <v>25</v>
      </c>
      <c r="B1" t="s">
        <v>0</v>
      </c>
      <c r="C1" t="s">
        <v>2033</v>
      </c>
      <c r="D1" t="s">
        <v>2034</v>
      </c>
      <c r="E1" t="s">
        <v>1</v>
      </c>
      <c r="F1" t="s">
        <v>2</v>
      </c>
      <c r="G1" t="s">
        <v>4025</v>
      </c>
      <c r="H1" t="s">
        <v>5058</v>
      </c>
      <c r="I1" t="s">
        <v>4</v>
      </c>
      <c r="J1" s="176" t="s">
        <v>4</v>
      </c>
      <c r="K1" s="6" t="s">
        <v>5099</v>
      </c>
      <c r="L1" t="s">
        <v>3</v>
      </c>
      <c r="M1" t="s">
        <v>9</v>
      </c>
      <c r="N1" t="s">
        <v>106</v>
      </c>
      <c r="O1" t="s">
        <v>5</v>
      </c>
      <c r="P1" t="s">
        <v>6</v>
      </c>
      <c r="Q1" t="s">
        <v>7</v>
      </c>
      <c r="R1" t="s">
        <v>98</v>
      </c>
      <c r="S1" t="s">
        <v>4029</v>
      </c>
      <c r="T1" t="s">
        <v>551</v>
      </c>
      <c r="U1" t="s">
        <v>113</v>
      </c>
      <c r="V1" t="s">
        <v>114</v>
      </c>
      <c r="W1" s="6" t="s">
        <v>19</v>
      </c>
      <c r="X1" s="6" t="s">
        <v>20</v>
      </c>
      <c r="Y1" s="6" t="s">
        <v>18</v>
      </c>
      <c r="Z1" s="6" t="s">
        <v>21</v>
      </c>
      <c r="AA1" s="6" t="s">
        <v>4024</v>
      </c>
      <c r="AB1" s="6" t="s">
        <v>8</v>
      </c>
      <c r="AC1" t="s">
        <v>15</v>
      </c>
      <c r="AD1" t="s">
        <v>17</v>
      </c>
      <c r="AE1" t="s">
        <v>56</v>
      </c>
      <c r="AF1" t="s">
        <v>57</v>
      </c>
    </row>
    <row r="2" spans="1:32" hidden="1" x14ac:dyDescent="0.2">
      <c r="A2" t="s">
        <v>22</v>
      </c>
      <c r="B2" t="s">
        <v>26</v>
      </c>
      <c r="C2">
        <v>1</v>
      </c>
      <c r="D2">
        <v>1</v>
      </c>
      <c r="E2" t="s">
        <v>10</v>
      </c>
      <c r="F2" s="1">
        <v>43169</v>
      </c>
      <c r="G2" s="1" t="s">
        <v>4026</v>
      </c>
      <c r="H2" s="1" t="s">
        <v>4752</v>
      </c>
      <c r="I2" s="2">
        <v>2.2916666666666669E-2</v>
      </c>
      <c r="J2" s="176">
        <v>3.8194444444444446E-4</v>
      </c>
      <c r="K2" s="6">
        <v>33</v>
      </c>
      <c r="L2" t="s">
        <v>11</v>
      </c>
      <c r="M2" t="s">
        <v>13</v>
      </c>
      <c r="O2" t="s">
        <v>23</v>
      </c>
      <c r="P2" t="s">
        <v>24</v>
      </c>
      <c r="Q2" t="s">
        <v>24</v>
      </c>
      <c r="S2" t="s">
        <v>176</v>
      </c>
      <c r="T2" t="s">
        <v>24</v>
      </c>
      <c r="W2" s="6">
        <v>0</v>
      </c>
      <c r="X2" s="6">
        <v>9</v>
      </c>
      <c r="Y2" s="6">
        <v>9</v>
      </c>
      <c r="Z2" s="6">
        <v>0</v>
      </c>
      <c r="AA2" s="6">
        <v>0</v>
      </c>
      <c r="AB2" s="6">
        <f t="shared" ref="AB2:AB5" si="0">Y2+Z2+AA2</f>
        <v>9</v>
      </c>
      <c r="AC2" t="s">
        <v>16</v>
      </c>
      <c r="AE2" s="4"/>
      <c r="AF2" s="4"/>
    </row>
    <row r="3" spans="1:32" hidden="1" x14ac:dyDescent="0.2">
      <c r="A3" t="s">
        <v>38</v>
      </c>
      <c r="B3" t="s">
        <v>43</v>
      </c>
      <c r="C3">
        <v>8</v>
      </c>
      <c r="D3">
        <v>1</v>
      </c>
      <c r="E3" t="s">
        <v>10</v>
      </c>
      <c r="F3" s="1">
        <v>43169</v>
      </c>
      <c r="G3" s="1" t="s">
        <v>4026</v>
      </c>
      <c r="H3" s="1" t="s">
        <v>4752</v>
      </c>
      <c r="I3" s="3">
        <v>1.9675925925925926E-4</v>
      </c>
      <c r="J3" s="176">
        <v>1.9675925925925926E-4</v>
      </c>
      <c r="K3" s="6">
        <v>17</v>
      </c>
      <c r="L3" t="s">
        <v>11</v>
      </c>
      <c r="M3" t="s">
        <v>13</v>
      </c>
      <c r="O3" t="s">
        <v>39</v>
      </c>
      <c r="P3" t="s">
        <v>24</v>
      </c>
      <c r="Q3" t="s">
        <v>24</v>
      </c>
      <c r="S3" t="s">
        <v>176</v>
      </c>
      <c r="T3" t="s">
        <v>24</v>
      </c>
      <c r="W3" s="6">
        <v>15</v>
      </c>
      <c r="X3" s="6">
        <v>0</v>
      </c>
      <c r="Y3" s="6">
        <v>0</v>
      </c>
      <c r="Z3" s="6">
        <v>15</v>
      </c>
      <c r="AA3" s="6">
        <v>0</v>
      </c>
      <c r="AB3" s="6">
        <f t="shared" si="0"/>
        <v>15</v>
      </c>
      <c r="AC3" t="s">
        <v>27</v>
      </c>
      <c r="AE3" s="4"/>
      <c r="AF3" s="4"/>
    </row>
    <row r="4" spans="1:32" hidden="1" x14ac:dyDescent="0.2">
      <c r="A4" t="s">
        <v>28</v>
      </c>
      <c r="B4" t="s">
        <v>29</v>
      </c>
      <c r="C4">
        <v>2</v>
      </c>
      <c r="D4">
        <v>1</v>
      </c>
      <c r="E4" t="s">
        <v>10</v>
      </c>
      <c r="F4" s="1">
        <v>43170</v>
      </c>
      <c r="G4" s="1" t="s">
        <v>4026</v>
      </c>
      <c r="H4" s="1" t="s">
        <v>4752</v>
      </c>
      <c r="I4" s="2">
        <v>1.0416666666666666E-2</v>
      </c>
      <c r="J4" s="176">
        <v>1.7361111111111112E-4</v>
      </c>
      <c r="K4" s="6">
        <v>15</v>
      </c>
      <c r="L4" t="s">
        <v>11</v>
      </c>
      <c r="M4" t="s">
        <v>24</v>
      </c>
      <c r="O4" t="s">
        <v>23</v>
      </c>
      <c r="P4" t="s">
        <v>24</v>
      </c>
      <c r="Q4" t="s">
        <v>24</v>
      </c>
      <c r="S4" t="s">
        <v>176</v>
      </c>
      <c r="T4" t="s">
        <v>24</v>
      </c>
      <c r="W4" s="6">
        <v>0</v>
      </c>
      <c r="X4" s="6">
        <v>16</v>
      </c>
      <c r="Y4" s="6">
        <v>8</v>
      </c>
      <c r="Z4" s="6">
        <v>8</v>
      </c>
      <c r="AA4" s="6">
        <v>0</v>
      </c>
      <c r="AB4" s="6">
        <f t="shared" si="0"/>
        <v>16</v>
      </c>
      <c r="AC4" t="s">
        <v>27</v>
      </c>
      <c r="AE4" s="4"/>
      <c r="AF4" s="4"/>
    </row>
    <row r="5" spans="1:32" hidden="1" x14ac:dyDescent="0.2">
      <c r="B5" t="s">
        <v>2254</v>
      </c>
      <c r="C5">
        <v>3</v>
      </c>
      <c r="D5">
        <v>1</v>
      </c>
      <c r="E5" t="s">
        <v>292</v>
      </c>
      <c r="F5" s="1">
        <v>43170</v>
      </c>
      <c r="G5" s="1" t="s">
        <v>4026</v>
      </c>
      <c r="H5" s="1" t="s">
        <v>4752</v>
      </c>
      <c r="I5" s="2">
        <v>3.125E-2</v>
      </c>
      <c r="J5" s="176">
        <v>5.2083333333333333E-4</v>
      </c>
      <c r="K5" s="6">
        <v>45</v>
      </c>
      <c r="M5" t="s">
        <v>241</v>
      </c>
      <c r="N5" t="s">
        <v>1933</v>
      </c>
      <c r="O5" t="s">
        <v>23</v>
      </c>
      <c r="P5">
        <v>1</v>
      </c>
      <c r="Q5">
        <v>0</v>
      </c>
      <c r="R5">
        <v>1</v>
      </c>
      <c r="S5" t="s">
        <v>4030</v>
      </c>
      <c r="T5" t="s">
        <v>2255</v>
      </c>
      <c r="U5" t="s">
        <v>122</v>
      </c>
      <c r="V5" t="s">
        <v>2158</v>
      </c>
      <c r="W5" s="6">
        <v>0</v>
      </c>
      <c r="X5" s="6">
        <v>0</v>
      </c>
      <c r="Y5" s="6">
        <v>0</v>
      </c>
      <c r="Z5" s="6">
        <v>0</v>
      </c>
      <c r="AA5" s="6">
        <v>0</v>
      </c>
      <c r="AB5" s="6">
        <f t="shared" si="0"/>
        <v>0</v>
      </c>
      <c r="AD5" t="s">
        <v>2256</v>
      </c>
    </row>
    <row r="6" spans="1:32" x14ac:dyDescent="0.2">
      <c r="B6" t="s">
        <v>2236</v>
      </c>
      <c r="C6">
        <v>7</v>
      </c>
      <c r="D6">
        <v>1</v>
      </c>
      <c r="E6" t="s">
        <v>2182</v>
      </c>
      <c r="F6" s="1">
        <v>43172</v>
      </c>
      <c r="G6" s="1" t="s">
        <v>4026</v>
      </c>
      <c r="H6" s="1" t="s">
        <v>4752</v>
      </c>
      <c r="I6" s="2">
        <v>2.6388888888888889E-2</v>
      </c>
      <c r="J6" s="176">
        <v>4.3981481481481481E-4</v>
      </c>
      <c r="K6" s="6">
        <v>38</v>
      </c>
      <c r="M6" t="s">
        <v>241</v>
      </c>
      <c r="N6" t="s">
        <v>2238</v>
      </c>
      <c r="O6" t="s">
        <v>23</v>
      </c>
      <c r="P6">
        <v>1</v>
      </c>
      <c r="Q6">
        <v>1</v>
      </c>
      <c r="R6">
        <v>0</v>
      </c>
      <c r="S6" t="s">
        <v>461</v>
      </c>
      <c r="T6" t="s">
        <v>82</v>
      </c>
      <c r="U6" t="s">
        <v>2237</v>
      </c>
      <c r="V6" t="s">
        <v>115</v>
      </c>
      <c r="W6" s="6">
        <v>0</v>
      </c>
      <c r="X6" s="6">
        <v>0</v>
      </c>
      <c r="Y6" s="6">
        <v>0</v>
      </c>
      <c r="Z6" s="6">
        <v>0</v>
      </c>
      <c r="AA6" s="6">
        <v>0</v>
      </c>
      <c r="AB6" s="6">
        <f t="shared" ref="AB6:AB37" si="1">Y6+Z6+AA6</f>
        <v>0</v>
      </c>
      <c r="AD6" t="s">
        <v>2239</v>
      </c>
    </row>
    <row r="7" spans="1:32" hidden="1" x14ac:dyDescent="0.2">
      <c r="A7" t="s">
        <v>199</v>
      </c>
      <c r="B7" t="s">
        <v>2251</v>
      </c>
      <c r="C7">
        <v>1</v>
      </c>
      <c r="D7">
        <v>1</v>
      </c>
      <c r="E7" t="s">
        <v>292</v>
      </c>
      <c r="F7" s="1">
        <v>43170</v>
      </c>
      <c r="G7" s="1" t="s">
        <v>4026</v>
      </c>
      <c r="H7" s="1" t="s">
        <v>4752</v>
      </c>
      <c r="I7" s="2">
        <v>1.8055555555555557E-2</v>
      </c>
      <c r="J7" s="176">
        <v>3.0092592592592595E-4</v>
      </c>
      <c r="K7" s="6">
        <v>26</v>
      </c>
      <c r="M7" t="s">
        <v>241</v>
      </c>
      <c r="N7" t="s">
        <v>102</v>
      </c>
      <c r="O7" t="s">
        <v>23</v>
      </c>
      <c r="P7">
        <v>0</v>
      </c>
      <c r="Q7">
        <v>0</v>
      </c>
      <c r="R7">
        <v>0</v>
      </c>
      <c r="T7" t="s">
        <v>115</v>
      </c>
      <c r="U7" t="s">
        <v>115</v>
      </c>
      <c r="V7" t="s">
        <v>115</v>
      </c>
      <c r="W7" s="6">
        <v>4</v>
      </c>
      <c r="X7" s="6">
        <v>7</v>
      </c>
      <c r="Y7" s="6">
        <v>0</v>
      </c>
      <c r="Z7" s="6">
        <v>11</v>
      </c>
      <c r="AA7" s="6">
        <v>0</v>
      </c>
      <c r="AB7" s="6">
        <f t="shared" si="1"/>
        <v>11</v>
      </c>
      <c r="AC7" t="s">
        <v>27</v>
      </c>
    </row>
    <row r="8" spans="1:32" hidden="1" x14ac:dyDescent="0.2">
      <c r="A8" t="s">
        <v>2252</v>
      </c>
      <c r="B8" t="s">
        <v>2253</v>
      </c>
      <c r="C8">
        <v>2</v>
      </c>
      <c r="D8">
        <v>1</v>
      </c>
      <c r="E8" t="s">
        <v>292</v>
      </c>
      <c r="F8" s="1">
        <v>43170</v>
      </c>
      <c r="G8" s="1" t="s">
        <v>4026</v>
      </c>
      <c r="H8" s="1" t="s">
        <v>4752</v>
      </c>
      <c r="I8" s="2">
        <v>1.8749999999999999E-2</v>
      </c>
      <c r="J8" s="176">
        <v>3.1250000000000001E-4</v>
      </c>
      <c r="K8" s="6">
        <v>27</v>
      </c>
      <c r="M8" t="s">
        <v>241</v>
      </c>
      <c r="N8" t="s">
        <v>102</v>
      </c>
      <c r="O8" t="s">
        <v>23</v>
      </c>
      <c r="P8">
        <v>0</v>
      </c>
      <c r="Q8">
        <v>0</v>
      </c>
      <c r="R8">
        <v>0</v>
      </c>
      <c r="T8" t="s">
        <v>115</v>
      </c>
      <c r="U8" t="s">
        <v>115</v>
      </c>
      <c r="V8" t="s">
        <v>115</v>
      </c>
      <c r="W8" s="6">
        <v>27</v>
      </c>
      <c r="X8" s="6">
        <v>0</v>
      </c>
      <c r="Y8" s="6">
        <v>0</v>
      </c>
      <c r="Z8" s="6">
        <v>27</v>
      </c>
      <c r="AA8" s="6">
        <v>0</v>
      </c>
      <c r="AB8" s="6">
        <f t="shared" si="1"/>
        <v>27</v>
      </c>
      <c r="AC8" t="s">
        <v>27</v>
      </c>
    </row>
    <row r="9" spans="1:32" hidden="1" x14ac:dyDescent="0.2">
      <c r="A9" t="s">
        <v>30</v>
      </c>
      <c r="B9" t="s">
        <v>32</v>
      </c>
      <c r="C9">
        <v>3</v>
      </c>
      <c r="D9">
        <v>1</v>
      </c>
      <c r="E9" t="s">
        <v>10</v>
      </c>
      <c r="F9" s="1">
        <v>43170</v>
      </c>
      <c r="G9" s="1" t="s">
        <v>4026</v>
      </c>
      <c r="H9" s="1" t="s">
        <v>4752</v>
      </c>
      <c r="I9" s="2">
        <v>2.361111111111111E-2</v>
      </c>
      <c r="J9" s="176">
        <v>3.9351851851851852E-4</v>
      </c>
      <c r="K9" s="6">
        <v>34</v>
      </c>
      <c r="L9" t="s">
        <v>11</v>
      </c>
      <c r="M9" t="s">
        <v>13</v>
      </c>
      <c r="O9" t="s">
        <v>23</v>
      </c>
      <c r="P9">
        <v>0</v>
      </c>
      <c r="Q9">
        <v>0</v>
      </c>
      <c r="T9" t="s">
        <v>115</v>
      </c>
      <c r="U9" t="s">
        <v>115</v>
      </c>
      <c r="V9" t="s">
        <v>115</v>
      </c>
      <c r="W9" s="6">
        <v>11</v>
      </c>
      <c r="X9" s="6">
        <v>10</v>
      </c>
      <c r="Y9" s="6">
        <v>0</v>
      </c>
      <c r="Z9" s="6">
        <v>21</v>
      </c>
      <c r="AA9" s="6">
        <v>0</v>
      </c>
      <c r="AB9" s="6">
        <f t="shared" si="1"/>
        <v>21</v>
      </c>
      <c r="AC9" t="s">
        <v>31</v>
      </c>
      <c r="AE9" s="4"/>
      <c r="AF9" s="4"/>
    </row>
    <row r="10" spans="1:32" hidden="1" x14ac:dyDescent="0.2">
      <c r="A10" t="s">
        <v>33</v>
      </c>
      <c r="B10" t="s">
        <v>34</v>
      </c>
      <c r="C10">
        <v>4</v>
      </c>
      <c r="D10">
        <v>1</v>
      </c>
      <c r="E10" t="s">
        <v>10</v>
      </c>
      <c r="F10" s="1">
        <v>43170</v>
      </c>
      <c r="G10" s="1" t="s">
        <v>4026</v>
      </c>
      <c r="H10" s="1" t="s">
        <v>4752</v>
      </c>
      <c r="I10" s="2">
        <v>3.125E-2</v>
      </c>
      <c r="J10" s="176">
        <v>5.2083333333333333E-4</v>
      </c>
      <c r="K10" s="6">
        <v>45</v>
      </c>
      <c r="L10" t="s">
        <v>11</v>
      </c>
      <c r="M10" t="s">
        <v>13</v>
      </c>
      <c r="O10" t="s">
        <v>12</v>
      </c>
      <c r="P10">
        <v>0</v>
      </c>
      <c r="Q10">
        <v>0</v>
      </c>
      <c r="T10" t="s">
        <v>115</v>
      </c>
      <c r="U10" t="s">
        <v>115</v>
      </c>
      <c r="V10" t="s">
        <v>115</v>
      </c>
      <c r="W10" s="6">
        <v>45</v>
      </c>
      <c r="X10" s="6">
        <v>0</v>
      </c>
      <c r="Y10" s="6">
        <v>45</v>
      </c>
      <c r="Z10" s="6">
        <v>0</v>
      </c>
      <c r="AA10" s="6">
        <v>0</v>
      </c>
      <c r="AB10" s="6">
        <f t="shared" si="1"/>
        <v>45</v>
      </c>
      <c r="AC10" t="s">
        <v>27</v>
      </c>
      <c r="AE10" s="4"/>
      <c r="AF10" s="4"/>
    </row>
    <row r="11" spans="1:32" hidden="1" x14ac:dyDescent="0.2">
      <c r="A11" t="s">
        <v>2183</v>
      </c>
      <c r="B11" t="s">
        <v>2184</v>
      </c>
      <c r="C11">
        <v>2</v>
      </c>
      <c r="D11">
        <v>1</v>
      </c>
      <c r="E11" t="s">
        <v>2182</v>
      </c>
      <c r="F11" s="1">
        <v>43171</v>
      </c>
      <c r="G11" s="1" t="s">
        <v>4026</v>
      </c>
      <c r="H11" s="1" t="s">
        <v>4752</v>
      </c>
      <c r="I11" s="2">
        <v>7.6388888888888886E-3</v>
      </c>
      <c r="J11" s="176">
        <v>1.273148148148148E-4</v>
      </c>
      <c r="K11" s="6">
        <v>11</v>
      </c>
      <c r="L11" t="s">
        <v>2185</v>
      </c>
      <c r="M11" t="s">
        <v>241</v>
      </c>
      <c r="N11" t="s">
        <v>102</v>
      </c>
      <c r="O11" t="s">
        <v>23</v>
      </c>
      <c r="P11" t="s">
        <v>24</v>
      </c>
      <c r="Q11" t="s">
        <v>24</v>
      </c>
      <c r="R11" t="s">
        <v>176</v>
      </c>
      <c r="S11" t="s">
        <v>176</v>
      </c>
      <c r="T11" t="s">
        <v>24</v>
      </c>
      <c r="U11" t="s">
        <v>115</v>
      </c>
      <c r="V11" t="s">
        <v>115</v>
      </c>
      <c r="W11" s="6">
        <v>11</v>
      </c>
      <c r="X11" s="6">
        <v>0</v>
      </c>
      <c r="Y11" s="6">
        <v>11</v>
      </c>
      <c r="Z11" s="6">
        <v>0</v>
      </c>
      <c r="AA11" s="6">
        <v>0</v>
      </c>
      <c r="AB11" s="6">
        <f t="shared" si="1"/>
        <v>11</v>
      </c>
      <c r="AC11" t="s">
        <v>165</v>
      </c>
      <c r="AD11" t="s">
        <v>2186</v>
      </c>
      <c r="AE11" s="6">
        <v>2</v>
      </c>
      <c r="AF11" s="6">
        <v>0</v>
      </c>
    </row>
    <row r="12" spans="1:32" hidden="1" x14ac:dyDescent="0.2">
      <c r="A12" t="s">
        <v>45</v>
      </c>
      <c r="B12" t="s">
        <v>46</v>
      </c>
      <c r="C12">
        <v>1</v>
      </c>
      <c r="D12">
        <v>1</v>
      </c>
      <c r="E12" t="s">
        <v>10</v>
      </c>
      <c r="F12" s="1">
        <v>43171</v>
      </c>
      <c r="G12" s="1" t="s">
        <v>4026</v>
      </c>
      <c r="H12" s="1" t="s">
        <v>4752</v>
      </c>
      <c r="I12" s="3">
        <v>3.1250000000000001E-4</v>
      </c>
      <c r="J12" s="176">
        <v>3.1250000000000001E-4</v>
      </c>
      <c r="K12" s="6">
        <v>27</v>
      </c>
      <c r="L12" t="s">
        <v>11</v>
      </c>
      <c r="M12" t="s">
        <v>13</v>
      </c>
      <c r="N12" t="s">
        <v>102</v>
      </c>
      <c r="O12" t="s">
        <v>12</v>
      </c>
      <c r="P12" t="s">
        <v>24</v>
      </c>
      <c r="Q12" t="s">
        <v>24</v>
      </c>
      <c r="S12" t="s">
        <v>176</v>
      </c>
      <c r="T12" t="s">
        <v>24</v>
      </c>
      <c r="W12" s="6">
        <v>26</v>
      </c>
      <c r="X12" s="6">
        <v>0</v>
      </c>
      <c r="Y12" s="6">
        <v>8</v>
      </c>
      <c r="Z12" s="6">
        <v>18</v>
      </c>
      <c r="AA12" s="6">
        <v>0</v>
      </c>
      <c r="AB12" s="6">
        <f t="shared" si="1"/>
        <v>26</v>
      </c>
      <c r="AC12" t="s">
        <v>47</v>
      </c>
      <c r="AE12" s="6">
        <v>1</v>
      </c>
      <c r="AF12" s="6">
        <v>0</v>
      </c>
    </row>
    <row r="13" spans="1:32" hidden="1" x14ac:dyDescent="0.2">
      <c r="A13" t="s">
        <v>48</v>
      </c>
      <c r="B13" t="s">
        <v>49</v>
      </c>
      <c r="C13">
        <v>2</v>
      </c>
      <c r="D13">
        <v>1</v>
      </c>
      <c r="E13" t="s">
        <v>10</v>
      </c>
      <c r="F13" s="1">
        <v>43171</v>
      </c>
      <c r="G13" s="1" t="s">
        <v>4026</v>
      </c>
      <c r="H13" s="1" t="s">
        <v>4752</v>
      </c>
      <c r="I13" s="3">
        <v>4.3981481481481481E-4</v>
      </c>
      <c r="J13" s="176">
        <v>4.3981481481481481E-4</v>
      </c>
      <c r="K13" s="6">
        <v>38</v>
      </c>
      <c r="L13" t="s">
        <v>11</v>
      </c>
      <c r="M13" t="s">
        <v>13</v>
      </c>
      <c r="N13" t="s">
        <v>102</v>
      </c>
      <c r="O13" t="s">
        <v>12</v>
      </c>
      <c r="P13" t="s">
        <v>24</v>
      </c>
      <c r="Q13" t="s">
        <v>24</v>
      </c>
      <c r="S13" t="s">
        <v>176</v>
      </c>
      <c r="T13" t="s">
        <v>24</v>
      </c>
      <c r="W13" s="6">
        <v>21</v>
      </c>
      <c r="X13" s="6">
        <v>0</v>
      </c>
      <c r="Y13" s="6">
        <v>10</v>
      </c>
      <c r="Z13" s="6">
        <v>11</v>
      </c>
      <c r="AA13" s="6">
        <v>0</v>
      </c>
      <c r="AB13" s="6">
        <f t="shared" si="1"/>
        <v>21</v>
      </c>
      <c r="AC13" t="s">
        <v>27</v>
      </c>
      <c r="AE13" s="6">
        <v>0</v>
      </c>
      <c r="AF13" s="6">
        <v>0</v>
      </c>
    </row>
    <row r="14" spans="1:32" hidden="1" x14ac:dyDescent="0.2">
      <c r="A14" t="s">
        <v>50</v>
      </c>
      <c r="B14" t="s">
        <v>51</v>
      </c>
      <c r="C14">
        <v>3</v>
      </c>
      <c r="D14">
        <v>1</v>
      </c>
      <c r="E14" t="s">
        <v>10</v>
      </c>
      <c r="F14" s="1">
        <v>43171</v>
      </c>
      <c r="G14" s="1" t="s">
        <v>4026</v>
      </c>
      <c r="H14" s="1" t="s">
        <v>4752</v>
      </c>
      <c r="I14" s="3">
        <v>5.4398148148148144E-4</v>
      </c>
      <c r="J14" s="176">
        <v>5.4398148148148144E-4</v>
      </c>
      <c r="K14" s="6">
        <v>47</v>
      </c>
      <c r="L14" t="s">
        <v>52</v>
      </c>
      <c r="M14" t="s">
        <v>13</v>
      </c>
      <c r="N14" t="s">
        <v>102</v>
      </c>
      <c r="O14" t="s">
        <v>12</v>
      </c>
      <c r="P14" t="s">
        <v>24</v>
      </c>
      <c r="Q14" t="s">
        <v>24</v>
      </c>
      <c r="S14" t="s">
        <v>176</v>
      </c>
      <c r="T14" t="s">
        <v>24</v>
      </c>
      <c r="W14" s="6">
        <v>34</v>
      </c>
      <c r="X14" s="6">
        <v>0</v>
      </c>
      <c r="Y14" s="6">
        <v>0</v>
      </c>
      <c r="Z14" s="6">
        <v>34</v>
      </c>
      <c r="AA14" s="6">
        <v>0</v>
      </c>
      <c r="AB14" s="6">
        <f t="shared" si="1"/>
        <v>34</v>
      </c>
      <c r="AC14" t="s">
        <v>55</v>
      </c>
      <c r="AE14" s="6">
        <v>2</v>
      </c>
      <c r="AF14" s="6">
        <v>0</v>
      </c>
    </row>
    <row r="15" spans="1:32" hidden="1" x14ac:dyDescent="0.2">
      <c r="A15" t="s">
        <v>53</v>
      </c>
      <c r="B15" t="s">
        <v>54</v>
      </c>
      <c r="C15">
        <v>4</v>
      </c>
      <c r="D15">
        <v>1</v>
      </c>
      <c r="E15" t="s">
        <v>10</v>
      </c>
      <c r="F15" s="1">
        <v>43171</v>
      </c>
      <c r="G15" s="1" t="s">
        <v>4026</v>
      </c>
      <c r="H15" s="1" t="s">
        <v>4752</v>
      </c>
      <c r="I15" s="3">
        <v>9.2592592592592585E-4</v>
      </c>
      <c r="J15" s="176">
        <v>9.2592592592592585E-4</v>
      </c>
      <c r="K15" s="6">
        <v>80</v>
      </c>
      <c r="L15" t="s">
        <v>11</v>
      </c>
      <c r="M15" t="s">
        <v>13</v>
      </c>
      <c r="N15" t="s">
        <v>102</v>
      </c>
      <c r="O15" t="s">
        <v>12</v>
      </c>
      <c r="P15" t="s">
        <v>24</v>
      </c>
      <c r="Q15" t="s">
        <v>24</v>
      </c>
      <c r="S15" t="s">
        <v>176</v>
      </c>
      <c r="T15" t="s">
        <v>24</v>
      </c>
      <c r="W15" s="6">
        <v>80</v>
      </c>
      <c r="X15" s="6">
        <v>0</v>
      </c>
      <c r="Y15" s="6">
        <v>80</v>
      </c>
      <c r="Z15" s="6">
        <v>0</v>
      </c>
      <c r="AA15" s="6">
        <v>0</v>
      </c>
      <c r="AB15" s="6">
        <f t="shared" si="1"/>
        <v>80</v>
      </c>
      <c r="AC15" t="s">
        <v>55</v>
      </c>
      <c r="AE15" s="6">
        <v>6</v>
      </c>
      <c r="AF15" s="6">
        <v>1</v>
      </c>
    </row>
    <row r="16" spans="1:32" hidden="1" x14ac:dyDescent="0.2">
      <c r="A16" t="s">
        <v>58</v>
      </c>
      <c r="B16" t="s">
        <v>59</v>
      </c>
      <c r="C16">
        <v>5</v>
      </c>
      <c r="D16">
        <v>1</v>
      </c>
      <c r="E16" t="s">
        <v>10</v>
      </c>
      <c r="F16" s="1">
        <v>43171</v>
      </c>
      <c r="G16" s="1" t="s">
        <v>4026</v>
      </c>
      <c r="H16" s="1" t="s">
        <v>4752</v>
      </c>
      <c r="I16" s="3">
        <v>6.2500000000000001E-4</v>
      </c>
      <c r="J16" s="176">
        <v>6.2500000000000001E-4</v>
      </c>
      <c r="K16" s="6">
        <v>54</v>
      </c>
      <c r="L16" t="s">
        <v>52</v>
      </c>
      <c r="M16" t="s">
        <v>13</v>
      </c>
      <c r="N16" t="s">
        <v>102</v>
      </c>
      <c r="O16" t="s">
        <v>12</v>
      </c>
      <c r="P16" t="s">
        <v>24</v>
      </c>
      <c r="Q16" t="s">
        <v>24</v>
      </c>
      <c r="S16" t="s">
        <v>176</v>
      </c>
      <c r="T16" t="s">
        <v>24</v>
      </c>
      <c r="W16" s="6">
        <v>53</v>
      </c>
      <c r="X16" s="6">
        <v>0</v>
      </c>
      <c r="Y16" s="6">
        <v>53</v>
      </c>
      <c r="Z16" s="6">
        <v>0</v>
      </c>
      <c r="AA16" s="6">
        <v>0</v>
      </c>
      <c r="AB16" s="6">
        <f t="shared" si="1"/>
        <v>53</v>
      </c>
      <c r="AC16" t="s">
        <v>55</v>
      </c>
      <c r="AE16" s="6">
        <v>8</v>
      </c>
      <c r="AF16" s="6">
        <v>0</v>
      </c>
    </row>
    <row r="17" spans="1:32" hidden="1" x14ac:dyDescent="0.2">
      <c r="A17" t="s">
        <v>2180</v>
      </c>
      <c r="B17" t="s">
        <v>2181</v>
      </c>
      <c r="C17">
        <v>1</v>
      </c>
      <c r="D17">
        <v>1</v>
      </c>
      <c r="E17" t="s">
        <v>2182</v>
      </c>
      <c r="F17" s="1">
        <v>43171</v>
      </c>
      <c r="G17" s="1" t="s">
        <v>4026</v>
      </c>
      <c r="H17" s="1" t="s">
        <v>4752</v>
      </c>
      <c r="I17" s="2">
        <v>2.361111111111111E-2</v>
      </c>
      <c r="J17" s="176">
        <v>3.9351851851851852E-4</v>
      </c>
      <c r="K17" s="6">
        <v>34</v>
      </c>
      <c r="L17" t="s">
        <v>2185</v>
      </c>
      <c r="M17" t="s">
        <v>241</v>
      </c>
      <c r="N17" t="s">
        <v>102</v>
      </c>
      <c r="O17" t="s">
        <v>23</v>
      </c>
      <c r="P17">
        <v>1</v>
      </c>
      <c r="Q17" t="s">
        <v>24</v>
      </c>
      <c r="R17">
        <v>0</v>
      </c>
      <c r="S17" t="s">
        <v>176</v>
      </c>
      <c r="T17" t="s">
        <v>24</v>
      </c>
      <c r="U17" t="s">
        <v>2044</v>
      </c>
      <c r="V17" t="s">
        <v>115</v>
      </c>
      <c r="W17" s="6">
        <v>15</v>
      </c>
      <c r="X17" s="6">
        <v>12</v>
      </c>
      <c r="Y17" s="6">
        <v>0</v>
      </c>
      <c r="Z17" s="6">
        <v>27</v>
      </c>
      <c r="AA17" s="6">
        <v>0</v>
      </c>
      <c r="AB17" s="6">
        <f t="shared" si="1"/>
        <v>27</v>
      </c>
      <c r="AC17" t="s">
        <v>16</v>
      </c>
      <c r="AE17" s="6">
        <v>0</v>
      </c>
      <c r="AF17" s="6">
        <v>2</v>
      </c>
    </row>
    <row r="18" spans="1:32" hidden="1" x14ac:dyDescent="0.2">
      <c r="A18" t="s">
        <v>2187</v>
      </c>
      <c r="B18" t="s">
        <v>2188</v>
      </c>
      <c r="C18">
        <v>3</v>
      </c>
      <c r="D18">
        <v>1</v>
      </c>
      <c r="E18" t="s">
        <v>2182</v>
      </c>
      <c r="F18" s="1">
        <v>43171</v>
      </c>
      <c r="G18" s="1" t="s">
        <v>4026</v>
      </c>
      <c r="H18" s="1" t="s">
        <v>4752</v>
      </c>
      <c r="I18" s="2">
        <v>2.4305555555555556E-2</v>
      </c>
      <c r="J18" s="176">
        <v>4.0509259259259258E-4</v>
      </c>
      <c r="K18" s="6">
        <v>35</v>
      </c>
      <c r="L18" t="s">
        <v>2185</v>
      </c>
      <c r="M18" t="s">
        <v>241</v>
      </c>
      <c r="N18" t="s">
        <v>102</v>
      </c>
      <c r="O18" t="s">
        <v>23</v>
      </c>
      <c r="P18">
        <v>1</v>
      </c>
      <c r="Q18" t="s">
        <v>24</v>
      </c>
      <c r="R18">
        <v>0</v>
      </c>
      <c r="S18" t="s">
        <v>176</v>
      </c>
      <c r="T18" t="s">
        <v>24</v>
      </c>
      <c r="U18" t="s">
        <v>2189</v>
      </c>
      <c r="V18" t="s">
        <v>115</v>
      </c>
      <c r="W18" s="6">
        <v>35</v>
      </c>
      <c r="X18" s="6">
        <v>0</v>
      </c>
      <c r="Y18" s="6">
        <v>35</v>
      </c>
      <c r="Z18" s="6">
        <v>0</v>
      </c>
      <c r="AA18" s="6">
        <v>0</v>
      </c>
      <c r="AB18" s="6">
        <f t="shared" si="1"/>
        <v>35</v>
      </c>
      <c r="AC18" t="s">
        <v>2190</v>
      </c>
      <c r="AD18" t="s">
        <v>2191</v>
      </c>
      <c r="AE18" s="6">
        <v>7</v>
      </c>
      <c r="AF18" s="6">
        <v>0</v>
      </c>
    </row>
    <row r="19" spans="1:32" hidden="1" x14ac:dyDescent="0.2">
      <c r="A19" t="s">
        <v>2192</v>
      </c>
      <c r="B19" t="s">
        <v>2193</v>
      </c>
      <c r="C19">
        <v>4</v>
      </c>
      <c r="D19">
        <v>1</v>
      </c>
      <c r="E19" t="s">
        <v>2182</v>
      </c>
      <c r="F19" s="1">
        <v>43171</v>
      </c>
      <c r="G19" s="1" t="s">
        <v>4026</v>
      </c>
      <c r="H19" s="1" t="s">
        <v>4752</v>
      </c>
      <c r="I19" s="2">
        <v>1.2499999999999999E-2</v>
      </c>
      <c r="J19" s="176">
        <v>2.0833333333333335E-4</v>
      </c>
      <c r="K19" s="6">
        <v>18</v>
      </c>
      <c r="L19" t="s">
        <v>2185</v>
      </c>
      <c r="M19" t="s">
        <v>241</v>
      </c>
      <c r="N19" t="s">
        <v>102</v>
      </c>
      <c r="O19" t="s">
        <v>23</v>
      </c>
      <c r="P19">
        <v>1</v>
      </c>
      <c r="Q19" t="s">
        <v>24</v>
      </c>
      <c r="R19">
        <v>0</v>
      </c>
      <c r="S19" t="s">
        <v>176</v>
      </c>
      <c r="T19" t="s">
        <v>24</v>
      </c>
      <c r="U19" t="s">
        <v>2302</v>
      </c>
      <c r="V19" t="s">
        <v>115</v>
      </c>
      <c r="W19" s="6">
        <v>6</v>
      </c>
      <c r="X19" s="6">
        <v>0</v>
      </c>
      <c r="Y19" s="6">
        <v>0</v>
      </c>
      <c r="Z19" s="6">
        <v>6</v>
      </c>
      <c r="AA19" s="6">
        <v>0</v>
      </c>
      <c r="AB19" s="6">
        <f t="shared" si="1"/>
        <v>6</v>
      </c>
      <c r="AC19" t="s">
        <v>2194</v>
      </c>
      <c r="AE19" s="6">
        <v>0</v>
      </c>
      <c r="AF19" s="6">
        <v>6</v>
      </c>
    </row>
    <row r="20" spans="1:32" x14ac:dyDescent="0.2">
      <c r="A20" t="s">
        <v>81</v>
      </c>
      <c r="B20" t="s">
        <v>80</v>
      </c>
      <c r="C20">
        <v>1</v>
      </c>
      <c r="D20">
        <v>1</v>
      </c>
      <c r="E20" t="s">
        <v>10</v>
      </c>
      <c r="F20" s="1">
        <v>43172</v>
      </c>
      <c r="G20" s="1" t="s">
        <v>4026</v>
      </c>
      <c r="H20" s="1" t="s">
        <v>4752</v>
      </c>
      <c r="I20" s="3">
        <v>4.1666666666666669E-4</v>
      </c>
      <c r="J20" s="176">
        <v>4.1666666666666669E-4</v>
      </c>
      <c r="K20" s="6">
        <v>36</v>
      </c>
      <c r="M20" t="s">
        <v>64</v>
      </c>
      <c r="N20" t="s">
        <v>102</v>
      </c>
      <c r="O20" t="s">
        <v>84</v>
      </c>
      <c r="P20">
        <v>1</v>
      </c>
      <c r="Q20">
        <v>1</v>
      </c>
      <c r="S20" t="s">
        <v>461</v>
      </c>
      <c r="T20" s="4" t="s">
        <v>82</v>
      </c>
      <c r="U20" t="s">
        <v>24</v>
      </c>
      <c r="W20" s="6">
        <v>0</v>
      </c>
      <c r="X20" s="6">
        <v>23</v>
      </c>
      <c r="Y20" s="6">
        <v>23</v>
      </c>
      <c r="Z20" s="6">
        <v>0</v>
      </c>
      <c r="AA20" s="6">
        <v>0</v>
      </c>
      <c r="AB20" s="6">
        <f t="shared" si="1"/>
        <v>23</v>
      </c>
      <c r="AC20" t="s">
        <v>16</v>
      </c>
      <c r="AD20" t="s">
        <v>83</v>
      </c>
      <c r="AE20" s="6">
        <v>0</v>
      </c>
      <c r="AF20" s="6">
        <v>1</v>
      </c>
    </row>
    <row r="21" spans="1:32" hidden="1" x14ac:dyDescent="0.2">
      <c r="A21" t="s">
        <v>74</v>
      </c>
      <c r="B21" t="s">
        <v>75</v>
      </c>
      <c r="C21">
        <v>10</v>
      </c>
      <c r="D21">
        <v>1</v>
      </c>
      <c r="E21" t="s">
        <v>10</v>
      </c>
      <c r="F21" s="1">
        <v>43171</v>
      </c>
      <c r="G21" s="1" t="s">
        <v>4026</v>
      </c>
      <c r="H21" s="1" t="s">
        <v>4752</v>
      </c>
      <c r="I21" s="3">
        <v>2.8935185185185189E-4</v>
      </c>
      <c r="J21" s="176">
        <v>2.8935185185185189E-4</v>
      </c>
      <c r="K21" s="6">
        <v>25</v>
      </c>
      <c r="L21" t="s">
        <v>24</v>
      </c>
      <c r="M21" t="s">
        <v>13</v>
      </c>
      <c r="N21" t="s">
        <v>102</v>
      </c>
      <c r="O21" t="s">
        <v>23</v>
      </c>
      <c r="P21">
        <v>1</v>
      </c>
      <c r="Q21" t="s">
        <v>24</v>
      </c>
      <c r="S21" t="s">
        <v>176</v>
      </c>
      <c r="T21" t="s">
        <v>24</v>
      </c>
      <c r="U21" t="s">
        <v>2300</v>
      </c>
      <c r="W21" s="6">
        <v>0</v>
      </c>
      <c r="X21" s="6">
        <v>9</v>
      </c>
      <c r="Y21" s="6">
        <v>0</v>
      </c>
      <c r="Z21" s="6">
        <v>9</v>
      </c>
      <c r="AA21" s="6">
        <v>0</v>
      </c>
      <c r="AB21" s="6">
        <f t="shared" si="1"/>
        <v>9</v>
      </c>
      <c r="AC21" t="s">
        <v>31</v>
      </c>
      <c r="AE21" s="6">
        <v>0</v>
      </c>
      <c r="AF21" s="6">
        <v>3</v>
      </c>
    </row>
    <row r="22" spans="1:32" hidden="1" x14ac:dyDescent="0.2">
      <c r="A22" t="s">
        <v>60</v>
      </c>
      <c r="B22" t="s">
        <v>61</v>
      </c>
      <c r="C22">
        <v>6</v>
      </c>
      <c r="D22">
        <v>1</v>
      </c>
      <c r="E22" t="s">
        <v>10</v>
      </c>
      <c r="F22" s="1">
        <v>43171</v>
      </c>
      <c r="G22" s="1" t="s">
        <v>4026</v>
      </c>
      <c r="H22" s="1" t="s">
        <v>4752</v>
      </c>
      <c r="I22" s="3">
        <v>1.3078703703703705E-3</v>
      </c>
      <c r="J22" s="176">
        <v>1.3078703703703705E-3</v>
      </c>
      <c r="K22" s="6">
        <v>113</v>
      </c>
      <c r="L22" t="s">
        <v>11</v>
      </c>
      <c r="M22" t="s">
        <v>64</v>
      </c>
      <c r="N22" t="s">
        <v>102</v>
      </c>
      <c r="O22" t="s">
        <v>23</v>
      </c>
      <c r="P22">
        <v>1</v>
      </c>
      <c r="Q22" t="s">
        <v>62</v>
      </c>
      <c r="S22" t="s">
        <v>176</v>
      </c>
      <c r="T22" t="s">
        <v>24</v>
      </c>
      <c r="U22" t="s">
        <v>1035</v>
      </c>
      <c r="W22" s="6">
        <v>13</v>
      </c>
      <c r="X22" s="6">
        <v>19</v>
      </c>
      <c r="Y22" s="6">
        <v>0</v>
      </c>
      <c r="Z22" s="6">
        <v>32</v>
      </c>
      <c r="AA22" s="6">
        <v>0</v>
      </c>
      <c r="AB22" s="6">
        <f t="shared" si="1"/>
        <v>32</v>
      </c>
      <c r="AC22" t="s">
        <v>31</v>
      </c>
      <c r="AD22" t="s">
        <v>63</v>
      </c>
      <c r="AE22" s="6">
        <v>0</v>
      </c>
      <c r="AF22" s="6">
        <v>1</v>
      </c>
    </row>
    <row r="23" spans="1:32" hidden="1" x14ac:dyDescent="0.2">
      <c r="A23" t="s">
        <v>65</v>
      </c>
      <c r="B23" t="s">
        <v>66</v>
      </c>
      <c r="C23">
        <v>7</v>
      </c>
      <c r="D23">
        <v>1</v>
      </c>
      <c r="E23" t="s">
        <v>10</v>
      </c>
      <c r="F23" s="1">
        <v>43171</v>
      </c>
      <c r="G23" s="1" t="s">
        <v>4026</v>
      </c>
      <c r="H23" s="1" t="s">
        <v>4752</v>
      </c>
      <c r="I23" s="3">
        <v>4.7453703703703704E-4</v>
      </c>
      <c r="J23" s="176">
        <v>4.7453703703703704E-4</v>
      </c>
      <c r="K23" s="6">
        <v>41</v>
      </c>
      <c r="L23" t="s">
        <v>11</v>
      </c>
      <c r="M23" t="s">
        <v>13</v>
      </c>
      <c r="N23" t="s">
        <v>102</v>
      </c>
      <c r="O23" t="s">
        <v>23</v>
      </c>
      <c r="P23">
        <v>1</v>
      </c>
      <c r="Q23" t="s">
        <v>24</v>
      </c>
      <c r="S23" t="s">
        <v>176</v>
      </c>
      <c r="T23" t="s">
        <v>24</v>
      </c>
      <c r="U23" t="s">
        <v>709</v>
      </c>
      <c r="W23" s="6">
        <v>10</v>
      </c>
      <c r="X23" s="6">
        <v>0</v>
      </c>
      <c r="Y23" s="6">
        <v>7</v>
      </c>
      <c r="Z23" s="6">
        <v>3</v>
      </c>
      <c r="AA23" s="6">
        <v>0</v>
      </c>
      <c r="AB23" s="6">
        <f t="shared" si="1"/>
        <v>10</v>
      </c>
      <c r="AC23" t="s">
        <v>55</v>
      </c>
      <c r="AD23" t="s">
        <v>67</v>
      </c>
      <c r="AE23" s="6">
        <v>5</v>
      </c>
      <c r="AF23" s="6">
        <v>0</v>
      </c>
    </row>
    <row r="24" spans="1:32" hidden="1" x14ac:dyDescent="0.2">
      <c r="B24" t="s">
        <v>76</v>
      </c>
      <c r="D24">
        <v>1</v>
      </c>
      <c r="E24" t="s">
        <v>10</v>
      </c>
      <c r="F24" s="1">
        <v>43171</v>
      </c>
      <c r="G24" s="1" t="s">
        <v>4026</v>
      </c>
      <c r="H24" s="1" t="s">
        <v>4752</v>
      </c>
      <c r="I24" s="3">
        <v>2.5462962962962961E-4</v>
      </c>
      <c r="J24" s="176">
        <v>2.5462962962962961E-4</v>
      </c>
      <c r="K24" s="6">
        <v>22</v>
      </c>
      <c r="M24" t="s">
        <v>13</v>
      </c>
      <c r="N24" t="s">
        <v>102</v>
      </c>
      <c r="O24" t="s">
        <v>77</v>
      </c>
      <c r="P24">
        <v>1</v>
      </c>
      <c r="Q24">
        <v>0</v>
      </c>
      <c r="S24" t="s">
        <v>3955</v>
      </c>
      <c r="T24" t="s">
        <v>78</v>
      </c>
      <c r="U24" t="s">
        <v>122</v>
      </c>
      <c r="V24" t="s">
        <v>115</v>
      </c>
      <c r="W24" s="6">
        <v>0</v>
      </c>
      <c r="X24" s="6">
        <v>0</v>
      </c>
      <c r="Y24" s="6">
        <v>0</v>
      </c>
      <c r="Z24" s="6">
        <v>0</v>
      </c>
      <c r="AA24" s="6">
        <v>0</v>
      </c>
      <c r="AB24" s="6">
        <f t="shared" si="1"/>
        <v>0</v>
      </c>
      <c r="AC24" t="s">
        <v>79</v>
      </c>
      <c r="AE24" s="6"/>
      <c r="AF24" s="6"/>
    </row>
    <row r="25" spans="1:32" hidden="1" x14ac:dyDescent="0.2">
      <c r="A25" t="s">
        <v>72</v>
      </c>
      <c r="B25" t="s">
        <v>73</v>
      </c>
      <c r="C25">
        <v>9</v>
      </c>
      <c r="D25">
        <v>1</v>
      </c>
      <c r="E25" t="s">
        <v>10</v>
      </c>
      <c r="F25" s="1">
        <v>43171</v>
      </c>
      <c r="G25" s="1" t="s">
        <v>4026</v>
      </c>
      <c r="H25" s="1" t="s">
        <v>4752</v>
      </c>
      <c r="I25" s="3">
        <v>3.8194444444444446E-4</v>
      </c>
      <c r="J25" s="176">
        <v>3.8194444444444446E-4</v>
      </c>
      <c r="K25" s="6">
        <v>33</v>
      </c>
      <c r="L25" t="s">
        <v>24</v>
      </c>
      <c r="M25" t="s">
        <v>13</v>
      </c>
      <c r="N25" t="s">
        <v>102</v>
      </c>
      <c r="O25" t="s">
        <v>23</v>
      </c>
      <c r="P25">
        <v>0</v>
      </c>
      <c r="Q25">
        <v>0</v>
      </c>
      <c r="T25" t="s">
        <v>115</v>
      </c>
      <c r="U25" t="s">
        <v>115</v>
      </c>
      <c r="V25" t="s">
        <v>115</v>
      </c>
      <c r="W25" s="6">
        <v>0</v>
      </c>
      <c r="X25" s="6">
        <v>11</v>
      </c>
      <c r="Y25" s="6">
        <v>0</v>
      </c>
      <c r="Z25" s="6">
        <v>11</v>
      </c>
      <c r="AA25" s="6">
        <v>0</v>
      </c>
      <c r="AB25" s="6">
        <f t="shared" si="1"/>
        <v>11</v>
      </c>
      <c r="AC25" t="s">
        <v>31</v>
      </c>
      <c r="AE25" s="6">
        <v>0</v>
      </c>
      <c r="AF25" s="6">
        <v>1</v>
      </c>
    </row>
    <row r="26" spans="1:32" hidden="1" x14ac:dyDescent="0.2">
      <c r="A26" t="s">
        <v>2226</v>
      </c>
      <c r="B26" t="s">
        <v>2227</v>
      </c>
      <c r="C26">
        <v>3</v>
      </c>
      <c r="D26">
        <v>1</v>
      </c>
      <c r="E26" t="s">
        <v>2182</v>
      </c>
      <c r="F26" s="1">
        <v>43172</v>
      </c>
      <c r="G26" s="1" t="s">
        <v>4026</v>
      </c>
      <c r="H26" s="1" t="s">
        <v>4752</v>
      </c>
      <c r="I26" s="2">
        <v>1.8055555555555557E-2</v>
      </c>
      <c r="J26" s="176">
        <v>3.0092592592592595E-4</v>
      </c>
      <c r="K26" s="6">
        <v>26</v>
      </c>
      <c r="M26" t="s">
        <v>241</v>
      </c>
      <c r="N26" t="s">
        <v>102</v>
      </c>
      <c r="O26" t="s">
        <v>23</v>
      </c>
      <c r="P26" t="s">
        <v>24</v>
      </c>
      <c r="Q26" t="s">
        <v>24</v>
      </c>
      <c r="R26">
        <v>0</v>
      </c>
      <c r="S26" t="s">
        <v>176</v>
      </c>
      <c r="T26" t="s">
        <v>24</v>
      </c>
      <c r="U26" t="s">
        <v>115</v>
      </c>
      <c r="V26" t="s">
        <v>115</v>
      </c>
      <c r="W26" s="6">
        <v>0</v>
      </c>
      <c r="X26" s="6">
        <v>18</v>
      </c>
      <c r="Y26" s="6">
        <v>0</v>
      </c>
      <c r="Z26" s="6">
        <v>18</v>
      </c>
      <c r="AA26" s="6">
        <v>0</v>
      </c>
      <c r="AB26" s="6">
        <f t="shared" si="1"/>
        <v>18</v>
      </c>
      <c r="AC26" t="s">
        <v>27</v>
      </c>
    </row>
    <row r="27" spans="1:32" hidden="1" x14ac:dyDescent="0.2">
      <c r="A27" t="s">
        <v>2222</v>
      </c>
      <c r="B27" t="s">
        <v>2223</v>
      </c>
      <c r="C27">
        <v>1</v>
      </c>
      <c r="D27">
        <v>1</v>
      </c>
      <c r="E27" t="s">
        <v>2182</v>
      </c>
      <c r="F27" s="1">
        <v>43172</v>
      </c>
      <c r="G27" s="1" t="s">
        <v>4026</v>
      </c>
      <c r="H27" s="1" t="s">
        <v>4752</v>
      </c>
      <c r="I27" s="2">
        <v>3.1944444444444449E-2</v>
      </c>
      <c r="J27" s="176">
        <v>5.3240740740740744E-4</v>
      </c>
      <c r="K27" s="6">
        <v>46</v>
      </c>
      <c r="M27" t="s">
        <v>241</v>
      </c>
      <c r="N27" t="s">
        <v>102</v>
      </c>
      <c r="O27" t="s">
        <v>23</v>
      </c>
      <c r="P27" t="s">
        <v>24</v>
      </c>
      <c r="Q27" t="s">
        <v>24</v>
      </c>
      <c r="R27" t="s">
        <v>176</v>
      </c>
      <c r="T27" t="s">
        <v>115</v>
      </c>
      <c r="U27" t="s">
        <v>115</v>
      </c>
      <c r="V27" t="s">
        <v>115</v>
      </c>
      <c r="W27" s="6">
        <v>35</v>
      </c>
      <c r="X27" s="6">
        <v>16</v>
      </c>
      <c r="Y27" s="6">
        <v>35</v>
      </c>
      <c r="Z27" s="6">
        <v>16</v>
      </c>
      <c r="AA27" s="6">
        <v>0</v>
      </c>
      <c r="AB27" s="6">
        <f t="shared" si="1"/>
        <v>51</v>
      </c>
      <c r="AC27" t="s">
        <v>27</v>
      </c>
      <c r="AD27" t="s">
        <v>2224</v>
      </c>
    </row>
    <row r="28" spans="1:32" hidden="1" x14ac:dyDescent="0.2">
      <c r="A28" t="s">
        <v>35</v>
      </c>
      <c r="B28" t="s">
        <v>40</v>
      </c>
      <c r="C28">
        <v>5</v>
      </c>
      <c r="D28">
        <v>1</v>
      </c>
      <c r="E28" t="s">
        <v>10</v>
      </c>
      <c r="F28" s="1">
        <v>43172</v>
      </c>
      <c r="G28" s="1" t="s">
        <v>4026</v>
      </c>
      <c r="H28" s="1" t="s">
        <v>4752</v>
      </c>
      <c r="I28" s="2">
        <v>2.361111111111111E-2</v>
      </c>
      <c r="J28" s="176">
        <v>3.9351851851851852E-4</v>
      </c>
      <c r="K28" s="6">
        <v>34</v>
      </c>
      <c r="L28" t="s">
        <v>11</v>
      </c>
      <c r="M28" t="s">
        <v>13</v>
      </c>
      <c r="O28" t="s">
        <v>12</v>
      </c>
      <c r="P28" t="s">
        <v>24</v>
      </c>
      <c r="Q28" t="s">
        <v>24</v>
      </c>
      <c r="S28" t="s">
        <v>176</v>
      </c>
      <c r="T28" t="s">
        <v>24</v>
      </c>
      <c r="W28" s="6">
        <v>31</v>
      </c>
      <c r="X28" s="6">
        <v>0</v>
      </c>
      <c r="Y28" s="6">
        <v>20</v>
      </c>
      <c r="Z28" s="6">
        <v>11</v>
      </c>
      <c r="AA28" s="6">
        <v>0</v>
      </c>
      <c r="AB28" s="6">
        <f t="shared" si="1"/>
        <v>31</v>
      </c>
      <c r="AC28" t="s">
        <v>27</v>
      </c>
      <c r="AE28" s="4"/>
      <c r="AF28" s="4"/>
    </row>
    <row r="29" spans="1:32" hidden="1" x14ac:dyDescent="0.2">
      <c r="A29" t="s">
        <v>36</v>
      </c>
      <c r="B29" t="s">
        <v>41</v>
      </c>
      <c r="C29">
        <v>6</v>
      </c>
      <c r="D29">
        <v>1</v>
      </c>
      <c r="E29" t="s">
        <v>10</v>
      </c>
      <c r="F29" s="1">
        <v>43172</v>
      </c>
      <c r="G29" s="1" t="s">
        <v>4026</v>
      </c>
      <c r="H29" s="1" t="s">
        <v>4752</v>
      </c>
      <c r="I29" s="3">
        <v>2.199074074074074E-4</v>
      </c>
      <c r="J29" s="176">
        <v>2.199074074074074E-4</v>
      </c>
      <c r="K29" s="6">
        <v>19</v>
      </c>
      <c r="L29" t="s">
        <v>11</v>
      </c>
      <c r="M29" t="s">
        <v>13</v>
      </c>
      <c r="O29" t="s">
        <v>23</v>
      </c>
      <c r="P29" t="s">
        <v>24</v>
      </c>
      <c r="Q29" t="s">
        <v>24</v>
      </c>
      <c r="S29" t="s">
        <v>176</v>
      </c>
      <c r="T29" t="s">
        <v>24</v>
      </c>
      <c r="W29" s="6">
        <v>0</v>
      </c>
      <c r="X29" s="6">
        <v>8</v>
      </c>
      <c r="Y29" s="6">
        <v>0</v>
      </c>
      <c r="Z29" s="6">
        <v>8</v>
      </c>
      <c r="AA29" s="6">
        <v>0</v>
      </c>
      <c r="AB29" s="6">
        <f t="shared" si="1"/>
        <v>8</v>
      </c>
      <c r="AC29" t="s">
        <v>31</v>
      </c>
      <c r="AE29" s="4"/>
      <c r="AF29" s="4"/>
    </row>
    <row r="30" spans="1:32" x14ac:dyDescent="0.2">
      <c r="B30" t="s">
        <v>85</v>
      </c>
      <c r="D30">
        <v>1</v>
      </c>
      <c r="E30" t="s">
        <v>10</v>
      </c>
      <c r="F30" s="1">
        <v>43172</v>
      </c>
      <c r="G30" s="1" t="s">
        <v>4026</v>
      </c>
      <c r="H30" s="1" t="s">
        <v>4752</v>
      </c>
      <c r="I30" s="3">
        <v>2.199074074074074E-4</v>
      </c>
      <c r="J30" s="176">
        <v>2.199074074074074E-4</v>
      </c>
      <c r="K30" s="6">
        <v>19</v>
      </c>
      <c r="M30" t="s">
        <v>64</v>
      </c>
      <c r="N30" t="s">
        <v>102</v>
      </c>
      <c r="O30" t="s">
        <v>23</v>
      </c>
      <c r="P30">
        <v>1</v>
      </c>
      <c r="Q30">
        <v>1</v>
      </c>
      <c r="S30" t="s">
        <v>461</v>
      </c>
      <c r="T30" t="s">
        <v>3957</v>
      </c>
      <c r="U30" t="s">
        <v>176</v>
      </c>
      <c r="V30" t="s">
        <v>115</v>
      </c>
      <c r="W30" s="6">
        <v>0</v>
      </c>
      <c r="X30" s="6">
        <v>0</v>
      </c>
      <c r="Y30" s="6">
        <v>0</v>
      </c>
      <c r="Z30" s="6">
        <v>0</v>
      </c>
      <c r="AA30" s="6">
        <v>0</v>
      </c>
      <c r="AB30" s="6">
        <f t="shared" si="1"/>
        <v>0</v>
      </c>
      <c r="AD30" t="s">
        <v>86</v>
      </c>
      <c r="AE30" s="6"/>
      <c r="AF30" s="6"/>
    </row>
    <row r="31" spans="1:32" hidden="1" x14ac:dyDescent="0.2">
      <c r="A31" t="s">
        <v>254</v>
      </c>
      <c r="B31" t="s">
        <v>2225</v>
      </c>
      <c r="C31">
        <v>2</v>
      </c>
      <c r="D31">
        <v>1</v>
      </c>
      <c r="E31" t="s">
        <v>2182</v>
      </c>
      <c r="F31" s="1">
        <v>43172</v>
      </c>
      <c r="G31" s="1" t="s">
        <v>4026</v>
      </c>
      <c r="H31" s="1" t="s">
        <v>4752</v>
      </c>
      <c r="I31" s="2">
        <v>5.1388888888888894E-2</v>
      </c>
      <c r="J31" s="176">
        <v>8.564814814814815E-4</v>
      </c>
      <c r="K31" s="6">
        <v>74</v>
      </c>
      <c r="M31" t="s">
        <v>241</v>
      </c>
      <c r="N31" t="s">
        <v>102</v>
      </c>
      <c r="O31" t="s">
        <v>23</v>
      </c>
      <c r="P31">
        <v>1</v>
      </c>
      <c r="Q31" t="s">
        <v>24</v>
      </c>
      <c r="R31">
        <v>0</v>
      </c>
      <c r="S31" t="s">
        <v>176</v>
      </c>
      <c r="T31" t="s">
        <v>24</v>
      </c>
      <c r="U31" t="s">
        <v>2059</v>
      </c>
      <c r="V31" t="s">
        <v>115</v>
      </c>
      <c r="W31" s="6">
        <v>0</v>
      </c>
      <c r="X31" s="6">
        <v>44</v>
      </c>
      <c r="Y31" s="6">
        <v>4</v>
      </c>
      <c r="Z31" s="6">
        <v>40</v>
      </c>
      <c r="AA31" s="6">
        <v>0</v>
      </c>
      <c r="AB31" s="6">
        <f t="shared" si="1"/>
        <v>44</v>
      </c>
      <c r="AC31" t="s">
        <v>27</v>
      </c>
    </row>
    <row r="32" spans="1:32" hidden="1" x14ac:dyDescent="0.2">
      <c r="A32" t="s">
        <v>264</v>
      </c>
      <c r="B32" t="s">
        <v>2230</v>
      </c>
      <c r="C32">
        <v>5</v>
      </c>
      <c r="D32">
        <v>1</v>
      </c>
      <c r="E32" t="s">
        <v>2182</v>
      </c>
      <c r="F32" s="1">
        <v>43172</v>
      </c>
      <c r="G32" s="1" t="s">
        <v>4026</v>
      </c>
      <c r="H32" s="1" t="s">
        <v>4752</v>
      </c>
      <c r="I32" s="2">
        <v>3.5416666666666666E-2</v>
      </c>
      <c r="J32" s="176">
        <v>5.9027777777777778E-4</v>
      </c>
      <c r="K32" s="6">
        <v>51</v>
      </c>
      <c r="M32" t="s">
        <v>241</v>
      </c>
      <c r="N32" t="s">
        <v>102</v>
      </c>
      <c r="O32" t="s">
        <v>23</v>
      </c>
      <c r="P32">
        <v>1</v>
      </c>
      <c r="Q32" t="s">
        <v>24</v>
      </c>
      <c r="R32">
        <v>0</v>
      </c>
      <c r="S32" t="s">
        <v>176</v>
      </c>
      <c r="T32" t="s">
        <v>24</v>
      </c>
      <c r="U32" t="s">
        <v>2231</v>
      </c>
      <c r="V32" t="s">
        <v>115</v>
      </c>
      <c r="W32" s="6">
        <v>50</v>
      </c>
      <c r="X32" s="6">
        <v>0</v>
      </c>
      <c r="Y32" s="6">
        <v>50</v>
      </c>
      <c r="Z32" s="6">
        <v>0</v>
      </c>
      <c r="AA32" s="6">
        <v>0</v>
      </c>
      <c r="AB32" s="6">
        <f t="shared" si="1"/>
        <v>50</v>
      </c>
      <c r="AC32" t="s">
        <v>27</v>
      </c>
      <c r="AD32" t="s">
        <v>2232</v>
      </c>
    </row>
    <row r="33" spans="1:32" x14ac:dyDescent="0.2">
      <c r="A33" t="s">
        <v>290</v>
      </c>
      <c r="B33" t="s">
        <v>2260</v>
      </c>
      <c r="C33">
        <v>3</v>
      </c>
      <c r="D33">
        <v>1</v>
      </c>
      <c r="E33" t="s">
        <v>292</v>
      </c>
      <c r="F33" s="1">
        <v>43174</v>
      </c>
      <c r="G33" s="1" t="s">
        <v>4026</v>
      </c>
      <c r="H33" s="1" t="s">
        <v>4752</v>
      </c>
      <c r="I33" s="2">
        <v>6.9444444444444441E-3</v>
      </c>
      <c r="J33" s="176">
        <v>1.1574074074074073E-4</v>
      </c>
      <c r="K33" s="6">
        <v>10</v>
      </c>
      <c r="M33" t="s">
        <v>241</v>
      </c>
      <c r="N33" t="s">
        <v>2238</v>
      </c>
      <c r="O33" t="s">
        <v>23</v>
      </c>
      <c r="P33">
        <v>1</v>
      </c>
      <c r="Q33">
        <v>1</v>
      </c>
      <c r="R33">
        <v>0</v>
      </c>
      <c r="S33" t="s">
        <v>461</v>
      </c>
      <c r="T33" t="s">
        <v>2264</v>
      </c>
      <c r="U33" t="s">
        <v>2303</v>
      </c>
      <c r="V33" t="s">
        <v>115</v>
      </c>
      <c r="W33" s="6">
        <v>0</v>
      </c>
      <c r="X33" s="6">
        <v>0</v>
      </c>
      <c r="Y33" s="6">
        <v>0</v>
      </c>
      <c r="Z33" s="6">
        <v>0</v>
      </c>
      <c r="AA33" s="6">
        <v>0</v>
      </c>
      <c r="AB33" s="6">
        <f t="shared" si="1"/>
        <v>0</v>
      </c>
      <c r="AD33" t="s">
        <v>2261</v>
      </c>
    </row>
    <row r="34" spans="1:32" hidden="1" x14ac:dyDescent="0.2">
      <c r="A34" t="s">
        <v>2233</v>
      </c>
      <c r="B34" t="s">
        <v>2234</v>
      </c>
      <c r="C34">
        <v>6</v>
      </c>
      <c r="D34">
        <v>2</v>
      </c>
      <c r="E34" t="s">
        <v>2182</v>
      </c>
      <c r="F34" s="1">
        <v>43172</v>
      </c>
      <c r="G34" s="1" t="s">
        <v>4026</v>
      </c>
      <c r="H34" s="1" t="s">
        <v>4752</v>
      </c>
      <c r="I34" s="2">
        <v>0.13055555555555556</v>
      </c>
      <c r="J34" s="176">
        <v>2.1759259259259258E-3</v>
      </c>
      <c r="K34" s="6">
        <v>188</v>
      </c>
      <c r="M34" t="s">
        <v>241</v>
      </c>
      <c r="N34" t="s">
        <v>102</v>
      </c>
      <c r="O34" t="s">
        <v>23</v>
      </c>
      <c r="P34">
        <v>1</v>
      </c>
      <c r="Q34">
        <v>1</v>
      </c>
      <c r="R34">
        <v>0</v>
      </c>
      <c r="S34" t="s">
        <v>176</v>
      </c>
      <c r="T34" t="s">
        <v>24</v>
      </c>
      <c r="U34" t="s">
        <v>2304</v>
      </c>
      <c r="V34" t="s">
        <v>115</v>
      </c>
      <c r="W34" s="6">
        <v>0</v>
      </c>
      <c r="X34" s="6">
        <v>0</v>
      </c>
      <c r="Y34" s="6">
        <v>0</v>
      </c>
      <c r="Z34" s="6">
        <v>0</v>
      </c>
      <c r="AA34" s="6">
        <v>0</v>
      </c>
      <c r="AB34" s="6">
        <f t="shared" si="1"/>
        <v>0</v>
      </c>
      <c r="AD34" t="s">
        <v>2235</v>
      </c>
      <c r="AE34">
        <v>21</v>
      </c>
    </row>
    <row r="35" spans="1:32" x14ac:dyDescent="0.2">
      <c r="B35" t="s">
        <v>44</v>
      </c>
      <c r="D35">
        <v>1</v>
      </c>
      <c r="E35" t="s">
        <v>10</v>
      </c>
      <c r="F35" s="1">
        <v>43170</v>
      </c>
      <c r="G35" s="1" t="s">
        <v>4026</v>
      </c>
      <c r="H35" s="1" t="s">
        <v>4752</v>
      </c>
      <c r="I35" s="2">
        <v>2.9166666666666664E-2</v>
      </c>
      <c r="J35" s="176">
        <v>4.8611111111111104E-4</v>
      </c>
      <c r="K35" s="6">
        <v>42</v>
      </c>
      <c r="L35" t="s">
        <v>11</v>
      </c>
      <c r="M35" t="s">
        <v>13</v>
      </c>
      <c r="O35" t="s">
        <v>12</v>
      </c>
      <c r="P35">
        <v>1</v>
      </c>
      <c r="Q35">
        <v>1</v>
      </c>
      <c r="S35" t="s">
        <v>14</v>
      </c>
      <c r="T35" t="s">
        <v>14</v>
      </c>
      <c r="U35" t="s">
        <v>709</v>
      </c>
      <c r="W35" s="6">
        <v>0</v>
      </c>
      <c r="X35" s="6">
        <v>0</v>
      </c>
      <c r="Y35" s="6">
        <v>0</v>
      </c>
      <c r="Z35" s="6">
        <v>0</v>
      </c>
      <c r="AA35" s="6">
        <v>0</v>
      </c>
      <c r="AB35" s="6">
        <f t="shared" si="1"/>
        <v>0</v>
      </c>
      <c r="AC35" t="s">
        <v>16</v>
      </c>
      <c r="AE35" s="4"/>
      <c r="AF35" s="4"/>
    </row>
    <row r="36" spans="1:32" hidden="1" x14ac:dyDescent="0.2">
      <c r="A36" t="s">
        <v>37</v>
      </c>
      <c r="B36" t="s">
        <v>42</v>
      </c>
      <c r="C36">
        <v>7</v>
      </c>
      <c r="D36">
        <v>1</v>
      </c>
      <c r="E36" t="s">
        <v>10</v>
      </c>
      <c r="F36" s="1">
        <v>43172</v>
      </c>
      <c r="G36" s="1" t="s">
        <v>4026</v>
      </c>
      <c r="H36" s="1" t="s">
        <v>4752</v>
      </c>
      <c r="I36" s="2">
        <v>3.6111111111111115E-2</v>
      </c>
      <c r="J36" s="176">
        <v>6.018518518518519E-4</v>
      </c>
      <c r="K36" s="6">
        <v>52</v>
      </c>
      <c r="L36" t="s">
        <v>11</v>
      </c>
      <c r="M36" t="s">
        <v>13</v>
      </c>
      <c r="O36" t="s">
        <v>23</v>
      </c>
      <c r="P36">
        <v>1</v>
      </c>
      <c r="Q36" t="s">
        <v>24</v>
      </c>
      <c r="S36" t="s">
        <v>176</v>
      </c>
      <c r="T36" t="s">
        <v>24</v>
      </c>
      <c r="U36" t="s">
        <v>2037</v>
      </c>
      <c r="W36" s="6">
        <v>18</v>
      </c>
      <c r="X36" s="6">
        <v>10</v>
      </c>
      <c r="Y36" s="6">
        <v>18</v>
      </c>
      <c r="Z36" s="6">
        <v>10</v>
      </c>
      <c r="AA36" s="6">
        <v>0</v>
      </c>
      <c r="AB36" s="6">
        <f t="shared" si="1"/>
        <v>28</v>
      </c>
      <c r="AC36" t="s">
        <v>31</v>
      </c>
      <c r="AE36" s="4"/>
      <c r="AF36" s="4"/>
    </row>
    <row r="37" spans="1:32" x14ac:dyDescent="0.2">
      <c r="A37" t="s">
        <v>68</v>
      </c>
      <c r="B37" t="s">
        <v>69</v>
      </c>
      <c r="C37">
        <v>8</v>
      </c>
      <c r="D37">
        <v>1</v>
      </c>
      <c r="E37" t="s">
        <v>10</v>
      </c>
      <c r="F37" s="1">
        <v>43171</v>
      </c>
      <c r="G37" s="1" t="s">
        <v>4026</v>
      </c>
      <c r="H37" s="1" t="s">
        <v>4752</v>
      </c>
      <c r="I37" s="3">
        <v>1.4930555555555556E-3</v>
      </c>
      <c r="J37" s="176">
        <v>1.4930555555555556E-3</v>
      </c>
      <c r="K37" s="6">
        <v>129</v>
      </c>
      <c r="L37" t="s">
        <v>70</v>
      </c>
      <c r="M37" t="s">
        <v>64</v>
      </c>
      <c r="N37" t="s">
        <v>102</v>
      </c>
      <c r="O37" t="s">
        <v>23</v>
      </c>
      <c r="P37">
        <v>1</v>
      </c>
      <c r="Q37">
        <v>1</v>
      </c>
      <c r="S37" t="s">
        <v>14</v>
      </c>
      <c r="T37" s="4" t="s">
        <v>14</v>
      </c>
      <c r="U37" t="s">
        <v>2300</v>
      </c>
      <c r="W37" s="6">
        <v>0</v>
      </c>
      <c r="X37" s="6">
        <v>12</v>
      </c>
      <c r="Y37" s="6">
        <v>0</v>
      </c>
      <c r="Z37" s="6">
        <v>12</v>
      </c>
      <c r="AA37" s="6">
        <v>0</v>
      </c>
      <c r="AB37" s="6">
        <f t="shared" si="1"/>
        <v>12</v>
      </c>
      <c r="AC37" t="s">
        <v>31</v>
      </c>
      <c r="AD37" t="s">
        <v>71</v>
      </c>
      <c r="AE37" s="6">
        <v>0</v>
      </c>
      <c r="AF37" s="6">
        <v>2</v>
      </c>
    </row>
    <row r="38" spans="1:32" hidden="1" x14ac:dyDescent="0.2">
      <c r="A38" t="s">
        <v>2228</v>
      </c>
      <c r="B38" t="s">
        <v>2229</v>
      </c>
      <c r="C38">
        <v>4</v>
      </c>
      <c r="D38">
        <v>1</v>
      </c>
      <c r="E38" t="s">
        <v>2182</v>
      </c>
      <c r="F38" s="1">
        <v>43172</v>
      </c>
      <c r="G38" s="1" t="s">
        <v>4026</v>
      </c>
      <c r="H38" s="1" t="s">
        <v>4752</v>
      </c>
      <c r="I38" s="2">
        <v>2.013888888888889E-2</v>
      </c>
      <c r="J38" s="176">
        <v>3.3564814814814812E-4</v>
      </c>
      <c r="K38" s="6">
        <v>29</v>
      </c>
      <c r="M38" t="s">
        <v>241</v>
      </c>
      <c r="N38" t="s">
        <v>102</v>
      </c>
      <c r="O38" t="s">
        <v>23</v>
      </c>
      <c r="P38">
        <v>0</v>
      </c>
      <c r="Q38">
        <v>0</v>
      </c>
      <c r="R38">
        <v>0</v>
      </c>
      <c r="T38" t="s">
        <v>115</v>
      </c>
      <c r="U38" t="s">
        <v>115</v>
      </c>
      <c r="V38" t="s">
        <v>115</v>
      </c>
      <c r="W38" s="6">
        <v>0</v>
      </c>
      <c r="X38" s="6">
        <v>20</v>
      </c>
      <c r="Y38" s="6">
        <v>0</v>
      </c>
      <c r="Z38" s="6">
        <v>20</v>
      </c>
      <c r="AA38" s="6">
        <v>0</v>
      </c>
      <c r="AB38" s="6">
        <f t="shared" ref="AB38:AB63" si="2">Y38+Z38+AA38</f>
        <v>20</v>
      </c>
      <c r="AC38" t="s">
        <v>27</v>
      </c>
    </row>
    <row r="39" spans="1:32" hidden="1" x14ac:dyDescent="0.2">
      <c r="A39" t="s">
        <v>2318</v>
      </c>
      <c r="B39" t="s">
        <v>2319</v>
      </c>
      <c r="C39">
        <v>6</v>
      </c>
      <c r="D39">
        <v>1</v>
      </c>
      <c r="E39" t="s">
        <v>10</v>
      </c>
      <c r="F39" s="1">
        <v>43173</v>
      </c>
      <c r="G39" s="1" t="s">
        <v>4026</v>
      </c>
      <c r="H39" s="1" t="s">
        <v>4752</v>
      </c>
      <c r="I39" s="2">
        <v>3.125E-2</v>
      </c>
      <c r="J39" s="176">
        <v>5.2083333333333333E-4</v>
      </c>
      <c r="K39" s="6">
        <v>45</v>
      </c>
      <c r="M39" t="s">
        <v>64</v>
      </c>
      <c r="N39" t="s">
        <v>107</v>
      </c>
      <c r="O39" t="s">
        <v>23</v>
      </c>
      <c r="P39" s="4">
        <v>1</v>
      </c>
      <c r="Q39" t="s">
        <v>24</v>
      </c>
      <c r="R39">
        <v>0</v>
      </c>
      <c r="S39" t="s">
        <v>461</v>
      </c>
      <c r="T39" t="s">
        <v>2125</v>
      </c>
      <c r="U39" t="s">
        <v>24</v>
      </c>
      <c r="V39" t="s">
        <v>115</v>
      </c>
      <c r="W39" s="6">
        <v>0</v>
      </c>
      <c r="X39" s="6">
        <v>0</v>
      </c>
      <c r="Y39" s="6">
        <v>0</v>
      </c>
      <c r="Z39" s="6">
        <v>0</v>
      </c>
      <c r="AA39" s="6">
        <v>0</v>
      </c>
      <c r="AB39" s="6">
        <f t="shared" si="2"/>
        <v>0</v>
      </c>
      <c r="AC39" t="s">
        <v>115</v>
      </c>
      <c r="AD39" s="4" t="s">
        <v>2322</v>
      </c>
    </row>
    <row r="40" spans="1:32" hidden="1" x14ac:dyDescent="0.2">
      <c r="A40" t="s">
        <v>81</v>
      </c>
      <c r="B40" t="s">
        <v>88</v>
      </c>
      <c r="C40">
        <v>1</v>
      </c>
      <c r="D40">
        <v>1</v>
      </c>
      <c r="E40" t="s">
        <v>10</v>
      </c>
      <c r="F40" s="1">
        <v>43173</v>
      </c>
      <c r="G40" s="1" t="s">
        <v>4026</v>
      </c>
      <c r="H40" s="1" t="s">
        <v>4752</v>
      </c>
      <c r="I40" s="2">
        <v>7.7777777777777779E-2</v>
      </c>
      <c r="J40" s="176">
        <v>1.2962962962962963E-3</v>
      </c>
      <c r="K40" s="6">
        <v>112</v>
      </c>
      <c r="M40" t="s">
        <v>13</v>
      </c>
      <c r="N40" t="s">
        <v>102</v>
      </c>
      <c r="O40" t="s">
        <v>23</v>
      </c>
      <c r="P40">
        <v>1</v>
      </c>
      <c r="Q40">
        <v>0</v>
      </c>
      <c r="R40">
        <v>0</v>
      </c>
      <c r="S40" t="s">
        <v>176</v>
      </c>
      <c r="T40" t="s">
        <v>2329</v>
      </c>
      <c r="U40" t="s">
        <v>2308</v>
      </c>
      <c r="W40" s="6">
        <v>70</v>
      </c>
      <c r="X40" s="6">
        <v>18</v>
      </c>
      <c r="Y40" s="6">
        <v>82</v>
      </c>
      <c r="Z40" s="6">
        <v>6</v>
      </c>
      <c r="AA40" s="6">
        <v>0</v>
      </c>
      <c r="AB40" s="6">
        <f t="shared" si="2"/>
        <v>88</v>
      </c>
      <c r="AC40" t="s">
        <v>27</v>
      </c>
      <c r="AE40" s="6">
        <v>0</v>
      </c>
      <c r="AF40" s="6">
        <v>0</v>
      </c>
    </row>
    <row r="41" spans="1:32" hidden="1" x14ac:dyDescent="0.2">
      <c r="A41" t="s">
        <v>2311</v>
      </c>
      <c r="B41" t="s">
        <v>2312</v>
      </c>
      <c r="C41">
        <v>3</v>
      </c>
      <c r="D41">
        <v>1</v>
      </c>
      <c r="E41" t="s">
        <v>10</v>
      </c>
      <c r="F41" s="1">
        <v>43173</v>
      </c>
      <c r="G41" s="1" t="s">
        <v>4026</v>
      </c>
      <c r="H41" s="1" t="s">
        <v>4752</v>
      </c>
      <c r="I41" s="2">
        <v>1.1805555555555555E-2</v>
      </c>
      <c r="J41" s="176">
        <v>1.9675925925925926E-4</v>
      </c>
      <c r="K41" s="6">
        <v>17</v>
      </c>
      <c r="M41" t="s">
        <v>64</v>
      </c>
      <c r="N41" t="s">
        <v>107</v>
      </c>
      <c r="O41" t="s">
        <v>23</v>
      </c>
      <c r="P41">
        <v>1</v>
      </c>
      <c r="Q41">
        <v>0</v>
      </c>
      <c r="R41">
        <v>0</v>
      </c>
      <c r="S41" t="s">
        <v>176</v>
      </c>
      <c r="T41" t="s">
        <v>24</v>
      </c>
      <c r="U41" t="s">
        <v>1035</v>
      </c>
      <c r="W41" s="6">
        <v>0</v>
      </c>
      <c r="X41" s="6">
        <v>0</v>
      </c>
      <c r="Y41" s="6">
        <v>0</v>
      </c>
      <c r="Z41" s="6">
        <v>0</v>
      </c>
      <c r="AA41" s="6">
        <v>0</v>
      </c>
      <c r="AB41" s="6">
        <f t="shared" si="2"/>
        <v>0</v>
      </c>
      <c r="AC41" t="s">
        <v>115</v>
      </c>
      <c r="AD41" t="s">
        <v>2313</v>
      </c>
      <c r="AE41" s="6">
        <v>0</v>
      </c>
      <c r="AF41" s="6">
        <v>0</v>
      </c>
    </row>
    <row r="42" spans="1:32" hidden="1" x14ac:dyDescent="0.2">
      <c r="A42" t="s">
        <v>81</v>
      </c>
      <c r="B42" t="s">
        <v>88</v>
      </c>
      <c r="C42">
        <v>1</v>
      </c>
      <c r="D42">
        <v>2</v>
      </c>
      <c r="E42" t="s">
        <v>10</v>
      </c>
      <c r="F42" s="1">
        <v>43173</v>
      </c>
      <c r="G42" s="1" t="s">
        <v>4026</v>
      </c>
      <c r="H42" s="1" t="s">
        <v>4752</v>
      </c>
      <c r="I42" s="2">
        <v>7.7777777777777779E-2</v>
      </c>
      <c r="J42" s="176">
        <v>1.2962962962962963E-3</v>
      </c>
      <c r="K42" s="6">
        <v>112</v>
      </c>
      <c r="M42" t="s">
        <v>13</v>
      </c>
      <c r="N42" t="s">
        <v>102</v>
      </c>
      <c r="O42" t="s">
        <v>23</v>
      </c>
      <c r="P42">
        <v>1</v>
      </c>
      <c r="Q42">
        <v>0</v>
      </c>
      <c r="R42">
        <v>0</v>
      </c>
      <c r="S42" t="s">
        <v>176</v>
      </c>
      <c r="T42" t="s">
        <v>62</v>
      </c>
      <c r="U42" t="s">
        <v>2308</v>
      </c>
      <c r="V42" t="s">
        <v>115</v>
      </c>
      <c r="W42" s="6">
        <v>0</v>
      </c>
      <c r="X42" s="6">
        <v>0</v>
      </c>
      <c r="Y42" s="6">
        <v>0</v>
      </c>
      <c r="Z42" s="6">
        <v>0</v>
      </c>
      <c r="AA42" s="6">
        <v>0</v>
      </c>
      <c r="AB42" s="6">
        <f t="shared" si="2"/>
        <v>0</v>
      </c>
      <c r="AC42" t="s">
        <v>27</v>
      </c>
      <c r="AE42" s="6">
        <v>0</v>
      </c>
      <c r="AF42" s="6">
        <v>0</v>
      </c>
    </row>
    <row r="43" spans="1:32" hidden="1" x14ac:dyDescent="0.2">
      <c r="A43" t="s">
        <v>87</v>
      </c>
      <c r="B43" t="s">
        <v>88</v>
      </c>
      <c r="C43">
        <v>1</v>
      </c>
      <c r="D43">
        <v>1</v>
      </c>
      <c r="E43" t="s">
        <v>10</v>
      </c>
      <c r="F43" s="1">
        <v>43173</v>
      </c>
      <c r="G43" s="1" t="s">
        <v>4026</v>
      </c>
      <c r="H43" s="1" t="s">
        <v>4752</v>
      </c>
      <c r="I43" s="3">
        <v>1.3078703703703705E-3</v>
      </c>
      <c r="J43" s="176">
        <v>1.3078703703703705E-3</v>
      </c>
      <c r="K43" s="6">
        <v>113</v>
      </c>
      <c r="M43" t="s">
        <v>13</v>
      </c>
      <c r="N43" t="s">
        <v>102</v>
      </c>
      <c r="O43" t="s">
        <v>23</v>
      </c>
      <c r="P43">
        <v>1</v>
      </c>
      <c r="Q43" t="s">
        <v>24</v>
      </c>
      <c r="S43" t="s">
        <v>176</v>
      </c>
      <c r="T43" t="s">
        <v>62</v>
      </c>
      <c r="U43" t="s">
        <v>2305</v>
      </c>
      <c r="V43" t="s">
        <v>115</v>
      </c>
      <c r="W43" s="6">
        <v>68</v>
      </c>
      <c r="X43" s="6">
        <v>12</v>
      </c>
      <c r="Y43" s="6">
        <v>68</v>
      </c>
      <c r="Z43" s="6">
        <v>12</v>
      </c>
      <c r="AA43" s="6">
        <v>0</v>
      </c>
      <c r="AB43" s="6">
        <f t="shared" si="2"/>
        <v>80</v>
      </c>
      <c r="AD43" t="s">
        <v>89</v>
      </c>
      <c r="AE43" s="6"/>
      <c r="AF43" s="6"/>
    </row>
    <row r="44" spans="1:32" hidden="1" x14ac:dyDescent="0.2">
      <c r="A44" t="s">
        <v>2314</v>
      </c>
      <c r="B44" t="s">
        <v>2315</v>
      </c>
      <c r="C44">
        <v>4</v>
      </c>
      <c r="D44">
        <v>1</v>
      </c>
      <c r="E44" t="s">
        <v>10</v>
      </c>
      <c r="F44" s="1">
        <v>43173</v>
      </c>
      <c r="G44" s="1" t="s">
        <v>4026</v>
      </c>
      <c r="H44" s="1" t="s">
        <v>4752</v>
      </c>
      <c r="I44" s="2">
        <v>1.5277777777777777E-2</v>
      </c>
      <c r="J44" s="176">
        <v>2.5462962962962961E-4</v>
      </c>
      <c r="K44" s="6">
        <v>22</v>
      </c>
      <c r="M44" t="s">
        <v>13</v>
      </c>
      <c r="N44" t="s">
        <v>102</v>
      </c>
      <c r="O44" t="s">
        <v>23</v>
      </c>
      <c r="P44">
        <v>0</v>
      </c>
      <c r="Q44">
        <v>0</v>
      </c>
      <c r="R44">
        <v>0</v>
      </c>
      <c r="T44" t="s">
        <v>115</v>
      </c>
      <c r="U44" t="s">
        <v>115</v>
      </c>
      <c r="W44" s="6">
        <v>22</v>
      </c>
      <c r="X44" s="6">
        <v>0</v>
      </c>
      <c r="Y44" s="6">
        <v>22</v>
      </c>
      <c r="Z44" s="6">
        <v>0</v>
      </c>
      <c r="AA44" s="6">
        <v>0</v>
      </c>
      <c r="AB44" s="6">
        <f t="shared" si="2"/>
        <v>22</v>
      </c>
      <c r="AC44" t="s">
        <v>27</v>
      </c>
      <c r="AE44">
        <v>0</v>
      </c>
      <c r="AF44" s="6">
        <v>0</v>
      </c>
    </row>
    <row r="45" spans="1:32" hidden="1" x14ac:dyDescent="0.2">
      <c r="A45" t="s">
        <v>2323</v>
      </c>
      <c r="B45" t="s">
        <v>2324</v>
      </c>
      <c r="C45">
        <v>8</v>
      </c>
      <c r="D45">
        <v>1</v>
      </c>
      <c r="E45" t="s">
        <v>10</v>
      </c>
      <c r="F45" s="1">
        <v>43173</v>
      </c>
      <c r="G45" s="1" t="s">
        <v>4026</v>
      </c>
      <c r="H45" s="1" t="s">
        <v>4752</v>
      </c>
      <c r="I45" s="2">
        <v>3.6805555555555557E-2</v>
      </c>
      <c r="J45" s="176">
        <v>6.134259259259259E-4</v>
      </c>
      <c r="K45" s="6">
        <v>53</v>
      </c>
      <c r="M45" t="s">
        <v>13</v>
      </c>
      <c r="N45" t="s">
        <v>102</v>
      </c>
      <c r="O45" t="s">
        <v>23</v>
      </c>
      <c r="P45">
        <v>0</v>
      </c>
      <c r="Q45">
        <v>0</v>
      </c>
      <c r="R45">
        <v>0</v>
      </c>
      <c r="T45" t="s">
        <v>115</v>
      </c>
      <c r="U45" t="s">
        <v>115</v>
      </c>
      <c r="V45" t="s">
        <v>115</v>
      </c>
      <c r="W45" s="6">
        <v>30</v>
      </c>
      <c r="X45" s="6">
        <v>5</v>
      </c>
      <c r="Y45" s="6">
        <v>30</v>
      </c>
      <c r="Z45" s="6">
        <v>5</v>
      </c>
      <c r="AA45" s="6">
        <v>2</v>
      </c>
      <c r="AB45" s="6">
        <f t="shared" si="2"/>
        <v>37</v>
      </c>
      <c r="AC45" t="s">
        <v>2325</v>
      </c>
    </row>
    <row r="46" spans="1:32" hidden="1" x14ac:dyDescent="0.2">
      <c r="A46" t="s">
        <v>2320</v>
      </c>
      <c r="B46" t="s">
        <v>2321</v>
      </c>
      <c r="C46">
        <v>7</v>
      </c>
      <c r="D46">
        <v>1</v>
      </c>
      <c r="E46" t="s">
        <v>10</v>
      </c>
      <c r="F46" s="1">
        <v>43173</v>
      </c>
      <c r="G46" s="1" t="s">
        <v>4026</v>
      </c>
      <c r="H46" s="1" t="s">
        <v>4752</v>
      </c>
      <c r="I46" s="2">
        <v>5.5555555555555558E-3</v>
      </c>
      <c r="J46" s="176">
        <v>9.2592592592592588E-5</v>
      </c>
      <c r="K46" s="6">
        <v>8</v>
      </c>
      <c r="M46" t="s">
        <v>64</v>
      </c>
      <c r="N46" t="s">
        <v>107</v>
      </c>
      <c r="O46" t="s">
        <v>23</v>
      </c>
      <c r="P46">
        <v>0</v>
      </c>
      <c r="Q46">
        <v>0</v>
      </c>
      <c r="R46">
        <v>0</v>
      </c>
      <c r="S46" t="s">
        <v>461</v>
      </c>
      <c r="T46" t="s">
        <v>2125</v>
      </c>
      <c r="U46" t="s">
        <v>24</v>
      </c>
      <c r="V46" t="s">
        <v>115</v>
      </c>
      <c r="W46" s="6">
        <v>0</v>
      </c>
      <c r="X46" s="6">
        <v>0</v>
      </c>
      <c r="Y46" s="6">
        <v>0</v>
      </c>
      <c r="Z46" s="6">
        <v>0</v>
      </c>
      <c r="AA46" s="6">
        <v>0</v>
      </c>
      <c r="AB46" s="6">
        <f t="shared" si="2"/>
        <v>0</v>
      </c>
    </row>
    <row r="47" spans="1:32" hidden="1" x14ac:dyDescent="0.2">
      <c r="A47" t="s">
        <v>2309</v>
      </c>
      <c r="B47" t="s">
        <v>2310</v>
      </c>
      <c r="C47">
        <v>2</v>
      </c>
      <c r="D47">
        <v>1</v>
      </c>
      <c r="E47" t="s">
        <v>10</v>
      </c>
      <c r="F47" s="1">
        <v>43173</v>
      </c>
      <c r="G47" s="1" t="s">
        <v>4026</v>
      </c>
      <c r="H47" s="1" t="s">
        <v>4752</v>
      </c>
      <c r="I47" s="2">
        <v>3.7499999999999999E-2</v>
      </c>
      <c r="J47" s="176">
        <v>6.2500000000000001E-4</v>
      </c>
      <c r="K47" s="6">
        <v>54</v>
      </c>
      <c r="M47" t="s">
        <v>13</v>
      </c>
      <c r="N47" t="s">
        <v>102</v>
      </c>
      <c r="O47" t="s">
        <v>23</v>
      </c>
      <c r="P47">
        <v>0</v>
      </c>
      <c r="Q47">
        <v>0</v>
      </c>
      <c r="T47" t="s">
        <v>115</v>
      </c>
      <c r="W47" s="6">
        <v>41</v>
      </c>
      <c r="X47" s="6">
        <v>8</v>
      </c>
      <c r="Y47" s="6">
        <v>33</v>
      </c>
      <c r="Z47" s="6">
        <v>16</v>
      </c>
      <c r="AA47" s="6">
        <v>0</v>
      </c>
      <c r="AB47" s="6">
        <f t="shared" si="2"/>
        <v>49</v>
      </c>
      <c r="AC47" t="s">
        <v>27</v>
      </c>
      <c r="AE47" s="6">
        <v>0</v>
      </c>
      <c r="AF47" s="6">
        <v>0</v>
      </c>
    </row>
    <row r="48" spans="1:32" hidden="1" x14ac:dyDescent="0.2">
      <c r="A48" t="s">
        <v>2316</v>
      </c>
      <c r="B48" t="s">
        <v>2317</v>
      </c>
      <c r="C48">
        <v>5</v>
      </c>
      <c r="D48">
        <v>1</v>
      </c>
      <c r="E48" t="s">
        <v>10</v>
      </c>
      <c r="F48" s="1">
        <v>43173</v>
      </c>
      <c r="G48" s="1" t="s">
        <v>4026</v>
      </c>
      <c r="H48" s="1" t="s">
        <v>4752</v>
      </c>
      <c r="I48" s="2">
        <v>4.6527777777777779E-2</v>
      </c>
      <c r="J48" s="176">
        <v>7.7546296296296304E-4</v>
      </c>
      <c r="K48" s="6">
        <v>67</v>
      </c>
      <c r="M48" t="s">
        <v>13</v>
      </c>
      <c r="N48" t="s">
        <v>102</v>
      </c>
      <c r="O48" t="s">
        <v>23</v>
      </c>
      <c r="P48">
        <v>0</v>
      </c>
      <c r="Q48">
        <v>0</v>
      </c>
      <c r="R48">
        <v>0</v>
      </c>
      <c r="T48" t="s">
        <v>115</v>
      </c>
      <c r="U48" t="s">
        <v>115</v>
      </c>
      <c r="W48" s="6">
        <v>67</v>
      </c>
      <c r="X48" s="6">
        <v>0</v>
      </c>
      <c r="Y48" s="6">
        <v>67</v>
      </c>
      <c r="Z48" s="6">
        <v>0</v>
      </c>
      <c r="AA48" s="6">
        <v>0</v>
      </c>
      <c r="AB48" s="6">
        <f t="shared" si="2"/>
        <v>67</v>
      </c>
      <c r="AC48" t="s">
        <v>55</v>
      </c>
      <c r="AE48">
        <v>5</v>
      </c>
      <c r="AF48">
        <v>0</v>
      </c>
    </row>
    <row r="49" spans="1:32" hidden="1" x14ac:dyDescent="0.2">
      <c r="A49" t="s">
        <v>2278</v>
      </c>
      <c r="B49" t="s">
        <v>2279</v>
      </c>
      <c r="C49">
        <v>11</v>
      </c>
      <c r="D49">
        <v>1</v>
      </c>
      <c r="E49" t="s">
        <v>292</v>
      </c>
      <c r="F49" s="1">
        <v>43174</v>
      </c>
      <c r="G49" s="1" t="s">
        <v>4026</v>
      </c>
      <c r="H49" s="1" t="s">
        <v>4752</v>
      </c>
      <c r="I49" s="2">
        <v>4.0972222222222222E-2</v>
      </c>
      <c r="J49" s="176">
        <v>6.8287037037037025E-4</v>
      </c>
      <c r="K49" s="6">
        <v>59</v>
      </c>
      <c r="M49" t="s">
        <v>241</v>
      </c>
      <c r="N49" s="5" t="s">
        <v>102</v>
      </c>
      <c r="O49" s="5" t="s">
        <v>23</v>
      </c>
      <c r="P49" t="s">
        <v>24</v>
      </c>
      <c r="Q49" t="s">
        <v>24</v>
      </c>
      <c r="R49" s="5">
        <v>0</v>
      </c>
      <c r="S49" s="5"/>
      <c r="T49" s="5" t="s">
        <v>115</v>
      </c>
      <c r="U49" s="5" t="s">
        <v>115</v>
      </c>
      <c r="V49" s="5" t="s">
        <v>115</v>
      </c>
      <c r="W49" s="6">
        <v>59</v>
      </c>
      <c r="X49" s="6">
        <v>0</v>
      </c>
      <c r="Y49" s="6">
        <v>59</v>
      </c>
      <c r="Z49" s="6">
        <v>0</v>
      </c>
      <c r="AA49" s="6">
        <v>0</v>
      </c>
      <c r="AB49" s="6">
        <f t="shared" si="2"/>
        <v>59</v>
      </c>
      <c r="AC49" t="s">
        <v>27</v>
      </c>
    </row>
    <row r="50" spans="1:32" x14ac:dyDescent="0.2">
      <c r="A50" t="s">
        <v>2233</v>
      </c>
      <c r="B50" t="s">
        <v>2234</v>
      </c>
      <c r="C50">
        <v>6</v>
      </c>
      <c r="D50">
        <v>1</v>
      </c>
      <c r="E50" t="s">
        <v>2182</v>
      </c>
      <c r="F50" s="1">
        <v>43172</v>
      </c>
      <c r="G50" s="1" t="s">
        <v>4026</v>
      </c>
      <c r="H50" s="1" t="s">
        <v>4752</v>
      </c>
      <c r="I50" s="2">
        <v>0.13055555555555556</v>
      </c>
      <c r="J50" s="176">
        <v>2.1759259259259258E-3</v>
      </c>
      <c r="K50" s="6">
        <v>188</v>
      </c>
      <c r="M50" t="s">
        <v>241</v>
      </c>
      <c r="N50" t="s">
        <v>102</v>
      </c>
      <c r="O50" t="s">
        <v>23</v>
      </c>
      <c r="P50">
        <v>1</v>
      </c>
      <c r="Q50">
        <v>1</v>
      </c>
      <c r="R50">
        <v>0</v>
      </c>
      <c r="S50" t="s">
        <v>176</v>
      </c>
      <c r="T50" t="s">
        <v>24</v>
      </c>
      <c r="U50" t="s">
        <v>2304</v>
      </c>
      <c r="V50" t="s">
        <v>115</v>
      </c>
      <c r="W50" s="6">
        <v>183</v>
      </c>
      <c r="X50" s="6">
        <v>0</v>
      </c>
      <c r="Y50" s="6">
        <v>92</v>
      </c>
      <c r="Z50" s="6">
        <v>91</v>
      </c>
      <c r="AA50" s="6">
        <v>0</v>
      </c>
      <c r="AB50" s="6">
        <f t="shared" si="2"/>
        <v>183</v>
      </c>
      <c r="AD50" t="s">
        <v>2235</v>
      </c>
      <c r="AE50">
        <v>21</v>
      </c>
    </row>
    <row r="51" spans="1:32" hidden="1" x14ac:dyDescent="0.2">
      <c r="A51" t="s">
        <v>280</v>
      </c>
      <c r="B51" t="s">
        <v>2257</v>
      </c>
      <c r="C51">
        <v>1</v>
      </c>
      <c r="D51">
        <v>1</v>
      </c>
      <c r="E51" t="s">
        <v>292</v>
      </c>
      <c r="F51" s="1">
        <v>43174</v>
      </c>
      <c r="G51" s="1" t="s">
        <v>4026</v>
      </c>
      <c r="H51" s="1" t="s">
        <v>4752</v>
      </c>
      <c r="I51" s="2">
        <v>1.6666666666666666E-2</v>
      </c>
      <c r="J51" s="176">
        <v>2.7777777777777778E-4</v>
      </c>
      <c r="K51" s="6">
        <v>24</v>
      </c>
      <c r="M51" t="s">
        <v>241</v>
      </c>
      <c r="N51" t="s">
        <v>102</v>
      </c>
      <c r="O51" t="s">
        <v>23</v>
      </c>
      <c r="P51">
        <v>1</v>
      </c>
      <c r="Q51" t="s">
        <v>24</v>
      </c>
      <c r="R51">
        <v>0</v>
      </c>
      <c r="S51" t="s">
        <v>176</v>
      </c>
      <c r="T51" t="s">
        <v>24</v>
      </c>
      <c r="U51" t="s">
        <v>709</v>
      </c>
      <c r="V51" t="s">
        <v>115</v>
      </c>
      <c r="W51" s="6">
        <v>24</v>
      </c>
      <c r="X51" s="6">
        <v>0</v>
      </c>
      <c r="Y51" s="6">
        <v>24</v>
      </c>
      <c r="Z51" s="6">
        <v>0</v>
      </c>
      <c r="AA51" s="6">
        <v>0</v>
      </c>
      <c r="AB51" s="6">
        <f t="shared" si="2"/>
        <v>24</v>
      </c>
      <c r="AC51" t="s">
        <v>165</v>
      </c>
      <c r="AE51">
        <v>6</v>
      </c>
      <c r="AF51">
        <v>0</v>
      </c>
    </row>
    <row r="52" spans="1:32" hidden="1" x14ac:dyDescent="0.2">
      <c r="A52" t="s">
        <v>2276</v>
      </c>
      <c r="B52" t="s">
        <v>2277</v>
      </c>
      <c r="C52">
        <v>10</v>
      </c>
      <c r="D52">
        <v>1</v>
      </c>
      <c r="E52" t="s">
        <v>292</v>
      </c>
      <c r="F52" s="1">
        <v>43174</v>
      </c>
      <c r="G52" s="1" t="s">
        <v>4026</v>
      </c>
      <c r="H52" s="1" t="s">
        <v>4752</v>
      </c>
      <c r="I52" s="2">
        <v>1.3194444444444444E-2</v>
      </c>
      <c r="J52" s="176">
        <v>2.199074074074074E-4</v>
      </c>
      <c r="K52" s="6">
        <v>19</v>
      </c>
      <c r="M52" t="s">
        <v>241</v>
      </c>
      <c r="N52" s="5" t="s">
        <v>107</v>
      </c>
      <c r="O52" s="5" t="s">
        <v>23</v>
      </c>
      <c r="P52" s="5">
        <v>0</v>
      </c>
      <c r="Q52" s="5">
        <v>0</v>
      </c>
      <c r="R52" s="5">
        <v>0</v>
      </c>
      <c r="S52" t="s">
        <v>461</v>
      </c>
      <c r="T52" s="5" t="s">
        <v>2264</v>
      </c>
      <c r="U52" s="5" t="s">
        <v>115</v>
      </c>
      <c r="V52" s="5" t="s">
        <v>115</v>
      </c>
      <c r="W52" s="6">
        <v>0</v>
      </c>
      <c r="X52" s="6">
        <v>0</v>
      </c>
      <c r="Y52" s="6">
        <v>0</v>
      </c>
      <c r="Z52" s="6">
        <v>0</v>
      </c>
      <c r="AA52" s="6">
        <v>0</v>
      </c>
      <c r="AB52" s="6">
        <f t="shared" si="2"/>
        <v>0</v>
      </c>
    </row>
    <row r="53" spans="1:32" hidden="1" x14ac:dyDescent="0.2">
      <c r="A53" t="s">
        <v>2262</v>
      </c>
      <c r="B53" t="s">
        <v>2263</v>
      </c>
      <c r="C53">
        <v>4</v>
      </c>
      <c r="D53">
        <v>1</v>
      </c>
      <c r="E53" t="s">
        <v>292</v>
      </c>
      <c r="F53" s="1">
        <v>43174</v>
      </c>
      <c r="G53" s="1" t="s">
        <v>4026</v>
      </c>
      <c r="H53" s="1" t="s">
        <v>4752</v>
      </c>
      <c r="I53" s="2">
        <v>9.0277777777777787E-3</v>
      </c>
      <c r="J53" s="176">
        <v>1.5046296296296297E-4</v>
      </c>
      <c r="K53" s="6">
        <v>13</v>
      </c>
      <c r="M53" t="s">
        <v>241</v>
      </c>
      <c r="N53" t="s">
        <v>107</v>
      </c>
      <c r="O53" t="s">
        <v>23</v>
      </c>
      <c r="P53">
        <v>0</v>
      </c>
      <c r="Q53">
        <v>0</v>
      </c>
      <c r="R53">
        <v>0</v>
      </c>
      <c r="S53" t="s">
        <v>461</v>
      </c>
      <c r="T53" t="s">
        <v>2264</v>
      </c>
      <c r="U53" t="s">
        <v>115</v>
      </c>
      <c r="V53" t="s">
        <v>115</v>
      </c>
      <c r="W53" s="6">
        <v>0</v>
      </c>
      <c r="X53" s="6">
        <v>0</v>
      </c>
      <c r="Y53" s="6">
        <v>0</v>
      </c>
      <c r="Z53" s="6">
        <v>0</v>
      </c>
      <c r="AA53" s="6">
        <v>0</v>
      </c>
      <c r="AB53" s="6">
        <f t="shared" si="2"/>
        <v>0</v>
      </c>
    </row>
    <row r="54" spans="1:32" hidden="1" x14ac:dyDescent="0.2">
      <c r="A54" t="s">
        <v>2265</v>
      </c>
      <c r="B54" t="s">
        <v>2266</v>
      </c>
      <c r="C54">
        <v>5</v>
      </c>
      <c r="D54">
        <v>1</v>
      </c>
      <c r="E54" t="s">
        <v>292</v>
      </c>
      <c r="F54" s="1">
        <v>43174</v>
      </c>
      <c r="G54" s="1" t="s">
        <v>4026</v>
      </c>
      <c r="H54" s="1" t="s">
        <v>4752</v>
      </c>
      <c r="I54" s="2">
        <v>3.472222222222222E-3</v>
      </c>
      <c r="J54" s="176">
        <v>5.7870370370370366E-5</v>
      </c>
      <c r="K54" s="6">
        <v>5</v>
      </c>
      <c r="M54" t="s">
        <v>241</v>
      </c>
      <c r="N54" t="s">
        <v>107</v>
      </c>
      <c r="O54" t="s">
        <v>23</v>
      </c>
      <c r="P54">
        <v>0</v>
      </c>
      <c r="Q54">
        <v>0</v>
      </c>
      <c r="R54">
        <v>0</v>
      </c>
      <c r="S54" t="s">
        <v>461</v>
      </c>
      <c r="T54" t="s">
        <v>2264</v>
      </c>
      <c r="U54" t="s">
        <v>115</v>
      </c>
      <c r="V54" t="s">
        <v>115</v>
      </c>
      <c r="W54" s="6">
        <v>0</v>
      </c>
      <c r="X54" s="6">
        <v>0</v>
      </c>
      <c r="Y54" s="6">
        <v>0</v>
      </c>
      <c r="Z54" s="6">
        <v>0</v>
      </c>
      <c r="AA54" s="6">
        <v>0</v>
      </c>
      <c r="AB54" s="6">
        <f t="shared" si="2"/>
        <v>0</v>
      </c>
    </row>
    <row r="55" spans="1:32" hidden="1" x14ac:dyDescent="0.2">
      <c r="A55" t="s">
        <v>2267</v>
      </c>
      <c r="B55" t="s">
        <v>2268</v>
      </c>
      <c r="C55">
        <v>6</v>
      </c>
      <c r="D55">
        <v>1</v>
      </c>
      <c r="E55" t="s">
        <v>292</v>
      </c>
      <c r="F55" s="1">
        <v>43174</v>
      </c>
      <c r="G55" s="1" t="s">
        <v>4026</v>
      </c>
      <c r="H55" s="1" t="s">
        <v>4752</v>
      </c>
      <c r="I55" s="3">
        <v>5.7870370370370366E-5</v>
      </c>
      <c r="J55" s="176">
        <v>5.7870370370370366E-5</v>
      </c>
      <c r="K55" s="6">
        <v>5</v>
      </c>
      <c r="M55" t="s">
        <v>241</v>
      </c>
      <c r="N55" t="s">
        <v>107</v>
      </c>
      <c r="O55" t="s">
        <v>23</v>
      </c>
      <c r="P55">
        <v>0</v>
      </c>
      <c r="Q55">
        <v>0</v>
      </c>
      <c r="R55">
        <v>0</v>
      </c>
      <c r="S55" t="s">
        <v>461</v>
      </c>
      <c r="T55" t="s">
        <v>2264</v>
      </c>
      <c r="U55" t="s">
        <v>115</v>
      </c>
      <c r="V55" t="s">
        <v>115</v>
      </c>
      <c r="W55" s="6">
        <v>0</v>
      </c>
      <c r="X55" s="6">
        <v>0</v>
      </c>
      <c r="Y55" s="6">
        <v>0</v>
      </c>
      <c r="Z55" s="6">
        <v>0</v>
      </c>
      <c r="AA55" s="6">
        <v>0</v>
      </c>
      <c r="AB55" s="6">
        <f t="shared" si="2"/>
        <v>0</v>
      </c>
    </row>
    <row r="56" spans="1:32" hidden="1" x14ac:dyDescent="0.2">
      <c r="A56" t="s">
        <v>2269</v>
      </c>
      <c r="B56" t="s">
        <v>2270</v>
      </c>
      <c r="C56">
        <v>7</v>
      </c>
      <c r="D56">
        <v>1</v>
      </c>
      <c r="E56" t="s">
        <v>292</v>
      </c>
      <c r="F56" s="1">
        <v>43174</v>
      </c>
      <c r="G56" s="1" t="s">
        <v>4026</v>
      </c>
      <c r="H56" s="1" t="s">
        <v>4752</v>
      </c>
      <c r="I56" s="2">
        <v>5.5555555555555558E-3</v>
      </c>
      <c r="J56" s="176">
        <v>9.2592592592592588E-5</v>
      </c>
      <c r="K56" s="6">
        <v>8</v>
      </c>
      <c r="M56" t="s">
        <v>241</v>
      </c>
      <c r="N56" s="5" t="s">
        <v>107</v>
      </c>
      <c r="O56" s="5" t="s">
        <v>23</v>
      </c>
      <c r="P56" s="5">
        <v>0</v>
      </c>
      <c r="Q56" s="5">
        <v>0</v>
      </c>
      <c r="R56" s="5">
        <v>0</v>
      </c>
      <c r="S56" t="s">
        <v>461</v>
      </c>
      <c r="T56" s="5" t="s">
        <v>2264</v>
      </c>
      <c r="U56" s="5" t="s">
        <v>115</v>
      </c>
      <c r="V56" s="5" t="s">
        <v>115</v>
      </c>
      <c r="W56" s="6">
        <v>0</v>
      </c>
      <c r="X56" s="6">
        <v>0</v>
      </c>
      <c r="Y56" s="6">
        <v>0</v>
      </c>
      <c r="Z56" s="6">
        <v>0</v>
      </c>
      <c r="AA56" s="6">
        <v>0</v>
      </c>
      <c r="AB56" s="6">
        <f t="shared" si="2"/>
        <v>0</v>
      </c>
    </row>
    <row r="57" spans="1:32" hidden="1" x14ac:dyDescent="0.2">
      <c r="A57" t="s">
        <v>2271</v>
      </c>
      <c r="B57" t="s">
        <v>2272</v>
      </c>
      <c r="C57">
        <v>8</v>
      </c>
      <c r="D57">
        <v>1</v>
      </c>
      <c r="E57" t="s">
        <v>292</v>
      </c>
      <c r="F57" s="1">
        <v>43174</v>
      </c>
      <c r="G57" s="1" t="s">
        <v>4026</v>
      </c>
      <c r="H57" s="1" t="s">
        <v>4752</v>
      </c>
      <c r="I57" s="2">
        <v>1.7361111111111112E-2</v>
      </c>
      <c r="J57" s="176">
        <v>2.8935185185185189E-4</v>
      </c>
      <c r="K57" s="6">
        <v>25</v>
      </c>
      <c r="M57" t="s">
        <v>241</v>
      </c>
      <c r="N57" s="5" t="s">
        <v>107</v>
      </c>
      <c r="O57" s="5" t="s">
        <v>23</v>
      </c>
      <c r="P57" s="5">
        <v>0</v>
      </c>
      <c r="Q57" s="5">
        <v>0</v>
      </c>
      <c r="R57" s="5">
        <v>0</v>
      </c>
      <c r="S57" t="s">
        <v>461</v>
      </c>
      <c r="T57" s="5" t="s">
        <v>2264</v>
      </c>
      <c r="U57" s="5" t="s">
        <v>115</v>
      </c>
      <c r="V57" s="5" t="s">
        <v>115</v>
      </c>
      <c r="W57" s="6">
        <v>0</v>
      </c>
      <c r="X57" s="6">
        <v>0</v>
      </c>
      <c r="Y57" s="6">
        <v>0</v>
      </c>
      <c r="Z57" s="6">
        <v>0</v>
      </c>
      <c r="AA57" s="6">
        <v>0</v>
      </c>
      <c r="AB57" s="6">
        <f t="shared" si="2"/>
        <v>0</v>
      </c>
      <c r="AD57" t="s">
        <v>2273</v>
      </c>
    </row>
    <row r="58" spans="1:32" hidden="1" x14ac:dyDescent="0.2">
      <c r="A58" t="s">
        <v>293</v>
      </c>
      <c r="B58" t="s">
        <v>2274</v>
      </c>
      <c r="C58">
        <v>9</v>
      </c>
      <c r="D58">
        <v>1</v>
      </c>
      <c r="E58" t="s">
        <v>292</v>
      </c>
      <c r="F58" s="1">
        <v>43174</v>
      </c>
      <c r="G58" s="1" t="s">
        <v>4026</v>
      </c>
      <c r="H58" s="1" t="s">
        <v>4752</v>
      </c>
      <c r="I58" s="2">
        <v>9.0277777777777787E-3</v>
      </c>
      <c r="J58" s="176">
        <v>1.5046296296296297E-4</v>
      </c>
      <c r="K58" s="6">
        <v>13</v>
      </c>
      <c r="M58" t="s">
        <v>241</v>
      </c>
      <c r="N58" s="5" t="s">
        <v>107</v>
      </c>
      <c r="O58" s="5" t="s">
        <v>23</v>
      </c>
      <c r="P58" s="5">
        <v>0</v>
      </c>
      <c r="Q58" s="5">
        <v>0</v>
      </c>
      <c r="R58" s="5">
        <v>0</v>
      </c>
      <c r="S58" t="s">
        <v>461</v>
      </c>
      <c r="T58" s="5" t="s">
        <v>2264</v>
      </c>
      <c r="U58" s="5" t="s">
        <v>115</v>
      </c>
      <c r="V58" s="5" t="s">
        <v>115</v>
      </c>
      <c r="W58" s="6">
        <v>0</v>
      </c>
      <c r="X58" s="6">
        <v>0</v>
      </c>
      <c r="Y58" s="6">
        <v>0</v>
      </c>
      <c r="Z58" s="6">
        <v>0</v>
      </c>
      <c r="AA58" s="6">
        <v>0</v>
      </c>
      <c r="AB58" s="6">
        <f t="shared" si="2"/>
        <v>0</v>
      </c>
      <c r="AD58" t="s">
        <v>2275</v>
      </c>
    </row>
    <row r="59" spans="1:32" hidden="1" x14ac:dyDescent="0.2">
      <c r="A59" t="s">
        <v>2258</v>
      </c>
      <c r="B59" t="s">
        <v>2259</v>
      </c>
      <c r="C59">
        <v>2</v>
      </c>
      <c r="D59">
        <v>1</v>
      </c>
      <c r="E59" t="s">
        <v>292</v>
      </c>
      <c r="F59" s="1">
        <v>43174</v>
      </c>
      <c r="G59" s="1" t="s">
        <v>4026</v>
      </c>
      <c r="H59" s="1" t="s">
        <v>4752</v>
      </c>
      <c r="I59" s="2">
        <v>4.1666666666666666E-3</v>
      </c>
      <c r="J59" s="176">
        <v>6.9444444444444444E-5</v>
      </c>
      <c r="K59" s="6">
        <v>6</v>
      </c>
      <c r="M59" t="s">
        <v>241</v>
      </c>
      <c r="N59" t="s">
        <v>102</v>
      </c>
      <c r="O59" t="s">
        <v>23</v>
      </c>
      <c r="P59">
        <v>0</v>
      </c>
      <c r="Q59">
        <v>0</v>
      </c>
      <c r="R59">
        <v>0</v>
      </c>
      <c r="T59" t="s">
        <v>115</v>
      </c>
      <c r="U59" t="s">
        <v>115</v>
      </c>
      <c r="V59" t="s">
        <v>115</v>
      </c>
      <c r="W59" s="6">
        <v>6</v>
      </c>
      <c r="X59" s="6">
        <v>0</v>
      </c>
      <c r="Y59" s="6">
        <v>6</v>
      </c>
      <c r="Z59" s="6">
        <v>0</v>
      </c>
      <c r="AA59" s="6">
        <v>0</v>
      </c>
      <c r="AB59" s="6">
        <f t="shared" si="2"/>
        <v>6</v>
      </c>
      <c r="AC59" t="s">
        <v>165</v>
      </c>
      <c r="AE59">
        <v>2</v>
      </c>
      <c r="AF59">
        <v>0</v>
      </c>
    </row>
    <row r="60" spans="1:32" hidden="1" x14ac:dyDescent="0.2">
      <c r="A60" t="s">
        <v>307</v>
      </c>
      <c r="B60" t="s">
        <v>2280</v>
      </c>
      <c r="C60">
        <v>12</v>
      </c>
      <c r="D60">
        <v>1</v>
      </c>
      <c r="E60" t="s">
        <v>292</v>
      </c>
      <c r="F60" s="1">
        <v>43174</v>
      </c>
      <c r="G60" s="1" t="s">
        <v>4026</v>
      </c>
      <c r="H60" s="1" t="s">
        <v>4752</v>
      </c>
      <c r="I60" s="2">
        <v>3.4027777777777775E-2</v>
      </c>
      <c r="J60" s="176">
        <v>5.6712962962962956E-4</v>
      </c>
      <c r="K60" s="6">
        <v>49</v>
      </c>
      <c r="M60" t="s">
        <v>241</v>
      </c>
      <c r="N60" s="5" t="s">
        <v>107</v>
      </c>
      <c r="O60" s="5" t="s">
        <v>23</v>
      </c>
      <c r="P60" s="5">
        <v>0</v>
      </c>
      <c r="Q60" s="5">
        <v>0</v>
      </c>
      <c r="R60" s="5">
        <v>0</v>
      </c>
      <c r="S60" s="5" t="s">
        <v>1618</v>
      </c>
      <c r="T60" s="5" t="s">
        <v>3958</v>
      </c>
      <c r="U60" s="5" t="s">
        <v>24</v>
      </c>
      <c r="V60" t="s">
        <v>115</v>
      </c>
      <c r="W60" s="6">
        <v>0</v>
      </c>
      <c r="X60" s="6">
        <v>0</v>
      </c>
      <c r="Y60" s="6">
        <v>0</v>
      </c>
      <c r="Z60" s="6">
        <v>0</v>
      </c>
      <c r="AA60" s="6">
        <v>0</v>
      </c>
      <c r="AB60" s="6">
        <f t="shared" si="2"/>
        <v>0</v>
      </c>
    </row>
    <row r="61" spans="1:32" hidden="1" x14ac:dyDescent="0.2">
      <c r="A61" t="s">
        <v>90</v>
      </c>
      <c r="B61" t="s">
        <v>91</v>
      </c>
      <c r="C61">
        <v>1</v>
      </c>
      <c r="D61">
        <v>1</v>
      </c>
      <c r="E61" t="s">
        <v>10</v>
      </c>
      <c r="F61" s="1">
        <v>43176</v>
      </c>
      <c r="G61" s="1" t="s">
        <v>4026</v>
      </c>
      <c r="H61" s="1" t="s">
        <v>4752</v>
      </c>
      <c r="I61" s="3">
        <v>1.5277777777777779E-3</v>
      </c>
      <c r="J61" s="176">
        <v>1.5277777777777779E-3</v>
      </c>
      <c r="K61" s="6">
        <v>132</v>
      </c>
      <c r="M61" t="s">
        <v>13</v>
      </c>
      <c r="N61" t="s">
        <v>102</v>
      </c>
      <c r="O61" t="s">
        <v>94</v>
      </c>
      <c r="P61">
        <v>1</v>
      </c>
      <c r="Q61" t="s">
        <v>24</v>
      </c>
      <c r="R61">
        <v>1</v>
      </c>
      <c r="S61" t="s">
        <v>176</v>
      </c>
      <c r="T61" t="s">
        <v>24</v>
      </c>
      <c r="U61" t="s">
        <v>2306</v>
      </c>
      <c r="V61" t="s">
        <v>2307</v>
      </c>
      <c r="W61" s="6">
        <v>28</v>
      </c>
      <c r="X61" s="6">
        <v>80</v>
      </c>
      <c r="Y61" s="6">
        <v>80</v>
      </c>
      <c r="Z61" s="6">
        <v>28</v>
      </c>
      <c r="AA61" s="6">
        <v>0</v>
      </c>
      <c r="AB61" s="6">
        <f t="shared" si="2"/>
        <v>108</v>
      </c>
      <c r="AC61" t="s">
        <v>47</v>
      </c>
      <c r="AE61" s="6">
        <v>5</v>
      </c>
      <c r="AF61" s="6">
        <v>11</v>
      </c>
    </row>
    <row r="62" spans="1:32" hidden="1" x14ac:dyDescent="0.2">
      <c r="A62" t="s">
        <v>92</v>
      </c>
      <c r="B62" t="s">
        <v>93</v>
      </c>
      <c r="C62">
        <v>2</v>
      </c>
      <c r="D62">
        <v>1</v>
      </c>
      <c r="E62" t="s">
        <v>10</v>
      </c>
      <c r="F62" s="1">
        <v>43176</v>
      </c>
      <c r="G62" s="1" t="s">
        <v>4026</v>
      </c>
      <c r="H62" s="1" t="s">
        <v>4752</v>
      </c>
      <c r="I62" s="3">
        <v>1.273148148148148E-4</v>
      </c>
      <c r="J62" s="176">
        <v>1.273148148148148E-4</v>
      </c>
      <c r="K62" s="6">
        <v>11</v>
      </c>
      <c r="M62" t="s">
        <v>13</v>
      </c>
      <c r="N62" t="s">
        <v>102</v>
      </c>
      <c r="O62" t="s">
        <v>23</v>
      </c>
      <c r="P62">
        <v>1</v>
      </c>
      <c r="Q62" t="s">
        <v>24</v>
      </c>
      <c r="S62" t="s">
        <v>176</v>
      </c>
      <c r="T62" t="s">
        <v>24</v>
      </c>
      <c r="U62" t="s">
        <v>2301</v>
      </c>
      <c r="V62" t="s">
        <v>115</v>
      </c>
      <c r="W62" s="6">
        <v>0</v>
      </c>
      <c r="X62" s="6">
        <v>11</v>
      </c>
      <c r="Y62" s="6">
        <v>0</v>
      </c>
      <c r="Z62" s="6">
        <v>11</v>
      </c>
      <c r="AA62" s="6">
        <v>0</v>
      </c>
      <c r="AB62" s="6">
        <f t="shared" si="2"/>
        <v>11</v>
      </c>
      <c r="AC62" t="s">
        <v>16</v>
      </c>
      <c r="AE62" s="6"/>
      <c r="AF62" s="6"/>
    </row>
    <row r="63" spans="1:32" x14ac:dyDescent="0.2">
      <c r="A63" t="s">
        <v>2157</v>
      </c>
      <c r="B63" t="s">
        <v>2155</v>
      </c>
      <c r="C63">
        <v>1</v>
      </c>
      <c r="D63">
        <v>1</v>
      </c>
      <c r="E63" t="s">
        <v>2156</v>
      </c>
      <c r="F63" s="1">
        <v>43177</v>
      </c>
      <c r="G63" s="1" t="s">
        <v>4026</v>
      </c>
      <c r="H63" s="1" t="s">
        <v>4752</v>
      </c>
      <c r="I63" s="3">
        <v>4.7453703703703704E-4</v>
      </c>
      <c r="J63" s="176">
        <v>4.7453703703703704E-4</v>
      </c>
      <c r="K63" s="6">
        <v>41</v>
      </c>
      <c r="L63" t="s">
        <v>2163</v>
      </c>
      <c r="M63" t="s">
        <v>344</v>
      </c>
      <c r="N63" t="s">
        <v>102</v>
      </c>
      <c r="O63" t="s">
        <v>23</v>
      </c>
      <c r="P63">
        <v>2</v>
      </c>
      <c r="Q63">
        <v>1</v>
      </c>
      <c r="R63">
        <v>1</v>
      </c>
      <c r="S63" t="s">
        <v>176</v>
      </c>
      <c r="T63" t="s">
        <v>24</v>
      </c>
      <c r="U63" t="s">
        <v>2088</v>
      </c>
      <c r="V63" t="s">
        <v>2158</v>
      </c>
      <c r="W63" s="6">
        <v>25</v>
      </c>
      <c r="X63" s="6">
        <v>0</v>
      </c>
      <c r="Y63" s="6">
        <v>0</v>
      </c>
      <c r="Z63" s="6">
        <v>25</v>
      </c>
      <c r="AA63" s="6">
        <v>0</v>
      </c>
      <c r="AB63" s="6">
        <f t="shared" si="2"/>
        <v>25</v>
      </c>
      <c r="AC63" t="s">
        <v>2159</v>
      </c>
      <c r="AD63" t="s">
        <v>2160</v>
      </c>
      <c r="AE63" s="6">
        <v>0</v>
      </c>
      <c r="AF63" s="6">
        <v>2</v>
      </c>
    </row>
    <row r="64" spans="1:32" hidden="1" x14ac:dyDescent="0.2">
      <c r="B64" t="s">
        <v>2243</v>
      </c>
      <c r="C64">
        <v>2</v>
      </c>
      <c r="D64">
        <v>1</v>
      </c>
      <c r="E64" t="s">
        <v>2182</v>
      </c>
      <c r="F64" s="1">
        <v>43177</v>
      </c>
      <c r="G64" s="1" t="s">
        <v>4026</v>
      </c>
      <c r="H64" s="1" t="s">
        <v>4752</v>
      </c>
      <c r="I64" s="2">
        <v>1.1111111111111112E-2</v>
      </c>
      <c r="J64" s="176">
        <v>1.8518518518518518E-4</v>
      </c>
      <c r="K64" s="6">
        <v>16</v>
      </c>
      <c r="M64" t="s">
        <v>241</v>
      </c>
      <c r="N64" t="s">
        <v>107</v>
      </c>
      <c r="O64" t="s">
        <v>23</v>
      </c>
      <c r="P64">
        <v>1</v>
      </c>
      <c r="Q64">
        <v>0</v>
      </c>
      <c r="R64">
        <v>0</v>
      </c>
      <c r="S64" t="s">
        <v>461</v>
      </c>
      <c r="T64" t="s">
        <v>3956</v>
      </c>
      <c r="U64" t="s">
        <v>24</v>
      </c>
      <c r="V64" t="s">
        <v>115</v>
      </c>
      <c r="W64" s="6">
        <v>0</v>
      </c>
      <c r="X64" s="6">
        <v>0</v>
      </c>
      <c r="Y64" s="6">
        <v>0</v>
      </c>
      <c r="Z64" s="6">
        <v>0</v>
      </c>
      <c r="AA64" s="6">
        <v>0</v>
      </c>
      <c r="AB64" s="6">
        <f t="shared" ref="AB64:AB65" si="3">Y64+Z64+AA64</f>
        <v>0</v>
      </c>
      <c r="AD64" t="s">
        <v>2244</v>
      </c>
    </row>
    <row r="65" spans="1:32" hidden="1" x14ac:dyDescent="0.2">
      <c r="A65" t="s">
        <v>2177</v>
      </c>
      <c r="B65" t="s">
        <v>2178</v>
      </c>
      <c r="C65">
        <v>8</v>
      </c>
      <c r="D65">
        <v>1</v>
      </c>
      <c r="E65" t="s">
        <v>2156</v>
      </c>
      <c r="F65" s="1">
        <v>43177</v>
      </c>
      <c r="G65" s="1" t="s">
        <v>4026</v>
      </c>
      <c r="H65" s="1" t="s">
        <v>4752</v>
      </c>
      <c r="I65" s="2">
        <v>2.1527777777777781E-2</v>
      </c>
      <c r="J65" s="176">
        <v>1.5046296296296297E-4</v>
      </c>
      <c r="K65" s="6">
        <v>13</v>
      </c>
      <c r="L65" t="s">
        <v>2163</v>
      </c>
      <c r="M65" t="s">
        <v>2498</v>
      </c>
      <c r="N65" t="s">
        <v>102</v>
      </c>
      <c r="O65" t="s">
        <v>23</v>
      </c>
      <c r="P65">
        <v>1</v>
      </c>
      <c r="Q65">
        <v>0</v>
      </c>
      <c r="R65">
        <v>0</v>
      </c>
      <c r="S65" t="s">
        <v>3955</v>
      </c>
      <c r="T65" t="s">
        <v>2179</v>
      </c>
      <c r="U65" t="s">
        <v>1940</v>
      </c>
      <c r="W65" s="6">
        <v>27</v>
      </c>
      <c r="X65" s="6">
        <v>0</v>
      </c>
      <c r="Y65" s="6">
        <v>27</v>
      </c>
      <c r="Z65" s="6">
        <v>0</v>
      </c>
      <c r="AA65" s="6">
        <v>0</v>
      </c>
      <c r="AB65" s="6">
        <f t="shared" si="3"/>
        <v>27</v>
      </c>
      <c r="AC65" t="s">
        <v>188</v>
      </c>
      <c r="AE65" s="6"/>
      <c r="AF65" s="6"/>
    </row>
    <row r="66" spans="1:32" hidden="1" x14ac:dyDescent="0.2">
      <c r="B66" t="s">
        <v>2330</v>
      </c>
      <c r="C66">
        <v>5</v>
      </c>
      <c r="D66">
        <v>3</v>
      </c>
      <c r="E66" t="s">
        <v>2182</v>
      </c>
      <c r="F66" s="1">
        <v>43177</v>
      </c>
      <c r="G66" s="1" t="s">
        <v>4026</v>
      </c>
      <c r="H66" s="1" t="s">
        <v>4752</v>
      </c>
      <c r="I66" s="2">
        <v>2.8472222222222222E-2</v>
      </c>
      <c r="J66" s="176">
        <v>4.7453703703703704E-4</v>
      </c>
      <c r="K66" s="6">
        <v>41</v>
      </c>
      <c r="M66" t="s">
        <v>2334</v>
      </c>
      <c r="N66" t="s">
        <v>102</v>
      </c>
      <c r="O66" t="s">
        <v>23</v>
      </c>
      <c r="P66">
        <v>1</v>
      </c>
      <c r="Q66" t="s">
        <v>24</v>
      </c>
      <c r="R66">
        <v>0</v>
      </c>
      <c r="S66" t="s">
        <v>3955</v>
      </c>
      <c r="T66" t="s">
        <v>2331</v>
      </c>
      <c r="U66" t="s">
        <v>2332</v>
      </c>
      <c r="W66" s="6">
        <v>0</v>
      </c>
      <c r="X66" s="6">
        <v>0</v>
      </c>
      <c r="Y66" s="6">
        <v>0</v>
      </c>
      <c r="Z66" s="6">
        <v>0</v>
      </c>
      <c r="AA66" s="6">
        <v>0</v>
      </c>
      <c r="AB66" s="6">
        <f t="shared" ref="AB66:AB92" si="4">Y66+Z66+AA66</f>
        <v>0</v>
      </c>
      <c r="AC66" t="s">
        <v>165</v>
      </c>
      <c r="AE66">
        <v>3</v>
      </c>
      <c r="AF66">
        <v>0</v>
      </c>
    </row>
    <row r="67" spans="1:32" hidden="1" x14ac:dyDescent="0.2">
      <c r="A67" t="s">
        <v>2161</v>
      </c>
      <c r="B67" t="s">
        <v>2162</v>
      </c>
      <c r="C67">
        <v>2</v>
      </c>
      <c r="D67">
        <v>1</v>
      </c>
      <c r="E67" t="s">
        <v>2156</v>
      </c>
      <c r="F67" s="1">
        <v>43177</v>
      </c>
      <c r="G67" s="1" t="s">
        <v>4026</v>
      </c>
      <c r="H67" s="1" t="s">
        <v>4752</v>
      </c>
      <c r="I67" s="2">
        <v>4.3055555555555562E-2</v>
      </c>
      <c r="J67" s="176">
        <v>7.175925925925927E-4</v>
      </c>
      <c r="K67" s="6">
        <v>62</v>
      </c>
      <c r="L67" t="s">
        <v>2163</v>
      </c>
      <c r="M67" t="s">
        <v>344</v>
      </c>
      <c r="N67" t="s">
        <v>102</v>
      </c>
      <c r="O67" t="s">
        <v>23</v>
      </c>
      <c r="P67">
        <v>1</v>
      </c>
      <c r="Q67" t="s">
        <v>24</v>
      </c>
      <c r="R67">
        <v>0</v>
      </c>
      <c r="S67" t="s">
        <v>176</v>
      </c>
      <c r="T67" t="s">
        <v>24</v>
      </c>
      <c r="U67" t="s">
        <v>2088</v>
      </c>
      <c r="V67" t="s">
        <v>115</v>
      </c>
      <c r="W67" s="6">
        <v>50</v>
      </c>
      <c r="X67" s="6">
        <v>0</v>
      </c>
      <c r="Y67" s="6">
        <v>0</v>
      </c>
      <c r="Z67" s="6">
        <v>50</v>
      </c>
      <c r="AA67" s="6">
        <v>0</v>
      </c>
      <c r="AB67" s="6">
        <f t="shared" si="4"/>
        <v>50</v>
      </c>
      <c r="AC67" t="s">
        <v>16</v>
      </c>
      <c r="AE67" s="6">
        <v>0</v>
      </c>
      <c r="AF67" s="6">
        <v>2</v>
      </c>
    </row>
    <row r="68" spans="1:32" hidden="1" x14ac:dyDescent="0.2">
      <c r="A68" t="s">
        <v>2170</v>
      </c>
      <c r="B68" t="s">
        <v>2169</v>
      </c>
      <c r="C68">
        <v>5</v>
      </c>
      <c r="D68">
        <v>1</v>
      </c>
      <c r="E68" t="s">
        <v>2156</v>
      </c>
      <c r="F68" s="1">
        <v>43177</v>
      </c>
      <c r="G68" s="1" t="s">
        <v>4026</v>
      </c>
      <c r="H68" s="1" t="s">
        <v>4752</v>
      </c>
      <c r="I68" s="2">
        <v>3.9583333333333331E-2</v>
      </c>
      <c r="J68" s="176">
        <v>6.5972222222222213E-4</v>
      </c>
      <c r="K68" s="6">
        <v>57</v>
      </c>
      <c r="L68" t="s">
        <v>2163</v>
      </c>
      <c r="M68" t="s">
        <v>344</v>
      </c>
      <c r="N68" t="s">
        <v>102</v>
      </c>
      <c r="O68" t="s">
        <v>23</v>
      </c>
      <c r="P68">
        <v>1</v>
      </c>
      <c r="Q68" t="s">
        <v>24</v>
      </c>
      <c r="R68">
        <v>0</v>
      </c>
      <c r="S68" t="s">
        <v>176</v>
      </c>
      <c r="T68" t="s">
        <v>24</v>
      </c>
      <c r="U68" t="s">
        <v>487</v>
      </c>
      <c r="V68" t="s">
        <v>115</v>
      </c>
      <c r="W68" s="6">
        <v>55</v>
      </c>
      <c r="X68" s="6">
        <v>0</v>
      </c>
      <c r="Y68" s="6">
        <v>44</v>
      </c>
      <c r="Z68" s="6">
        <v>11</v>
      </c>
      <c r="AA68" s="6">
        <v>0</v>
      </c>
      <c r="AB68" s="6">
        <f t="shared" si="4"/>
        <v>55</v>
      </c>
      <c r="AE68" s="6"/>
      <c r="AF68" s="6"/>
    </row>
    <row r="69" spans="1:32" hidden="1" x14ac:dyDescent="0.2">
      <c r="A69" t="s">
        <v>2171</v>
      </c>
      <c r="B69" t="s">
        <v>2172</v>
      </c>
      <c r="C69">
        <v>6</v>
      </c>
      <c r="D69">
        <v>1</v>
      </c>
      <c r="E69" t="s">
        <v>2156</v>
      </c>
      <c r="F69" s="1">
        <v>43177</v>
      </c>
      <c r="G69" s="1" t="s">
        <v>4026</v>
      </c>
      <c r="H69" s="1" t="s">
        <v>4752</v>
      </c>
      <c r="I69" s="2">
        <v>1.0416666666666666E-2</v>
      </c>
      <c r="J69" s="176">
        <v>1.7361111111111112E-4</v>
      </c>
      <c r="K69" s="6">
        <v>15</v>
      </c>
      <c r="L69" t="s">
        <v>2163</v>
      </c>
      <c r="M69" t="s">
        <v>344</v>
      </c>
      <c r="N69" t="s">
        <v>102</v>
      </c>
      <c r="O69" t="s">
        <v>23</v>
      </c>
      <c r="P69">
        <v>1</v>
      </c>
      <c r="Q69" t="s">
        <v>24</v>
      </c>
      <c r="R69">
        <v>0</v>
      </c>
      <c r="S69" t="s">
        <v>176</v>
      </c>
      <c r="T69" t="s">
        <v>24</v>
      </c>
      <c r="U69" t="s">
        <v>2173</v>
      </c>
      <c r="V69" t="s">
        <v>115</v>
      </c>
      <c r="W69" s="6">
        <v>14</v>
      </c>
      <c r="X69" s="6">
        <v>0</v>
      </c>
      <c r="Y69" s="6">
        <v>0</v>
      </c>
      <c r="Z69" s="6">
        <v>14</v>
      </c>
      <c r="AA69" s="6">
        <v>0</v>
      </c>
      <c r="AB69" s="6">
        <f t="shared" si="4"/>
        <v>14</v>
      </c>
      <c r="AC69" t="s">
        <v>165</v>
      </c>
      <c r="AE69" s="6">
        <v>1</v>
      </c>
      <c r="AF69" s="6">
        <v>0</v>
      </c>
    </row>
    <row r="70" spans="1:32" hidden="1" x14ac:dyDescent="0.2">
      <c r="A70" t="s">
        <v>2240</v>
      </c>
      <c r="B70" t="s">
        <v>2241</v>
      </c>
      <c r="C70">
        <v>1</v>
      </c>
      <c r="D70">
        <v>1</v>
      </c>
      <c r="E70" t="s">
        <v>2182</v>
      </c>
      <c r="F70" s="1">
        <v>43177</v>
      </c>
      <c r="G70" s="1" t="s">
        <v>4026</v>
      </c>
      <c r="H70" s="1" t="s">
        <v>4752</v>
      </c>
      <c r="I70" s="2">
        <v>0.1388888888888889</v>
      </c>
      <c r="J70" s="176">
        <v>2.3148148148148151E-3</v>
      </c>
      <c r="K70" s="6">
        <v>200</v>
      </c>
      <c r="M70" t="s">
        <v>241</v>
      </c>
      <c r="N70" t="s">
        <v>102</v>
      </c>
      <c r="O70" t="s">
        <v>243</v>
      </c>
      <c r="P70">
        <v>1</v>
      </c>
      <c r="Q70" t="s">
        <v>24</v>
      </c>
      <c r="R70">
        <v>0</v>
      </c>
      <c r="S70" t="s">
        <v>176</v>
      </c>
      <c r="T70" t="s">
        <v>24</v>
      </c>
      <c r="U70" t="s">
        <v>2242</v>
      </c>
      <c r="V70" t="s">
        <v>115</v>
      </c>
      <c r="W70" s="6">
        <v>83</v>
      </c>
      <c r="X70" s="6">
        <v>98</v>
      </c>
      <c r="Y70" s="6">
        <v>98</v>
      </c>
      <c r="Z70" s="6">
        <v>83</v>
      </c>
      <c r="AA70" s="6">
        <v>0</v>
      </c>
      <c r="AB70" s="6">
        <f t="shared" si="4"/>
        <v>181</v>
      </c>
      <c r="AC70" t="s">
        <v>55</v>
      </c>
      <c r="AE70">
        <v>1</v>
      </c>
      <c r="AF70">
        <v>0</v>
      </c>
    </row>
    <row r="71" spans="1:32" hidden="1" x14ac:dyDescent="0.2">
      <c r="B71" t="s">
        <v>2250</v>
      </c>
      <c r="C71">
        <v>5</v>
      </c>
      <c r="D71">
        <v>2</v>
      </c>
      <c r="E71" t="s">
        <v>2182</v>
      </c>
      <c r="F71" s="1">
        <v>43177</v>
      </c>
      <c r="G71" s="1" t="s">
        <v>4026</v>
      </c>
      <c r="H71" s="1" t="s">
        <v>4752</v>
      </c>
      <c r="I71" s="2">
        <v>2.8472222222222222E-2</v>
      </c>
      <c r="J71" s="176">
        <v>4.7453703703703704E-4</v>
      </c>
      <c r="K71" s="6">
        <v>41</v>
      </c>
      <c r="M71" t="s">
        <v>2334</v>
      </c>
      <c r="N71" t="s">
        <v>102</v>
      </c>
      <c r="O71" t="s">
        <v>23</v>
      </c>
      <c r="P71">
        <v>1</v>
      </c>
      <c r="Q71" t="s">
        <v>24</v>
      </c>
      <c r="R71">
        <v>0</v>
      </c>
      <c r="S71" t="s">
        <v>176</v>
      </c>
      <c r="T71" t="s">
        <v>24</v>
      </c>
      <c r="U71" t="s">
        <v>2059</v>
      </c>
      <c r="V71" t="s">
        <v>115</v>
      </c>
      <c r="W71" s="6">
        <v>0</v>
      </c>
      <c r="X71" s="6">
        <v>34</v>
      </c>
      <c r="Y71" s="6">
        <v>0</v>
      </c>
      <c r="Z71" s="6">
        <v>34</v>
      </c>
      <c r="AA71" s="6">
        <v>0</v>
      </c>
      <c r="AB71" s="6">
        <f t="shared" si="4"/>
        <v>34</v>
      </c>
      <c r="AC71" t="s">
        <v>165</v>
      </c>
      <c r="AE71">
        <v>3</v>
      </c>
      <c r="AF71">
        <v>0</v>
      </c>
    </row>
    <row r="72" spans="1:32" hidden="1" x14ac:dyDescent="0.2">
      <c r="B72" t="s">
        <v>2245</v>
      </c>
      <c r="C72">
        <v>3</v>
      </c>
      <c r="D72">
        <v>1</v>
      </c>
      <c r="E72" t="s">
        <v>2182</v>
      </c>
      <c r="F72" s="1">
        <v>43177</v>
      </c>
      <c r="G72" s="1" t="s">
        <v>4026</v>
      </c>
      <c r="H72" s="1" t="s">
        <v>4752</v>
      </c>
      <c r="I72" s="2">
        <v>1.4583333333333332E-2</v>
      </c>
      <c r="J72" s="176">
        <v>2.4305555555555552E-4</v>
      </c>
      <c r="K72" s="6">
        <v>21</v>
      </c>
      <c r="M72" t="s">
        <v>241</v>
      </c>
      <c r="N72" t="s">
        <v>107</v>
      </c>
      <c r="O72" t="s">
        <v>23</v>
      </c>
      <c r="P72">
        <v>0</v>
      </c>
      <c r="Q72">
        <v>0</v>
      </c>
      <c r="R72">
        <v>0</v>
      </c>
      <c r="S72" t="s">
        <v>461</v>
      </c>
      <c r="T72" t="s">
        <v>3956</v>
      </c>
      <c r="U72" t="s">
        <v>24</v>
      </c>
      <c r="V72" t="s">
        <v>115</v>
      </c>
      <c r="W72" s="6">
        <v>0</v>
      </c>
      <c r="X72" s="6">
        <v>0</v>
      </c>
      <c r="Y72" s="6">
        <v>0</v>
      </c>
      <c r="Z72" s="6">
        <v>0</v>
      </c>
      <c r="AA72" s="6">
        <v>0</v>
      </c>
      <c r="AB72" s="6">
        <f t="shared" si="4"/>
        <v>0</v>
      </c>
      <c r="AD72" t="s">
        <v>2244</v>
      </c>
    </row>
    <row r="73" spans="1:32" hidden="1" x14ac:dyDescent="0.2">
      <c r="A73" t="s">
        <v>2164</v>
      </c>
      <c r="B73" t="s">
        <v>2165</v>
      </c>
      <c r="C73">
        <v>3</v>
      </c>
      <c r="D73">
        <v>1</v>
      </c>
      <c r="E73" t="s">
        <v>2156</v>
      </c>
      <c r="F73" s="1">
        <v>43177</v>
      </c>
      <c r="G73" s="1" t="s">
        <v>4026</v>
      </c>
      <c r="H73" s="1" t="s">
        <v>4752</v>
      </c>
      <c r="I73" s="2">
        <v>2.7777777777777776E-2</v>
      </c>
      <c r="J73" s="176">
        <v>4.6296296296296293E-4</v>
      </c>
      <c r="K73" s="6">
        <v>40</v>
      </c>
      <c r="L73" t="s">
        <v>2163</v>
      </c>
      <c r="M73" t="s">
        <v>344</v>
      </c>
      <c r="N73" t="s">
        <v>102</v>
      </c>
      <c r="O73" t="s">
        <v>23</v>
      </c>
      <c r="P73">
        <v>0</v>
      </c>
      <c r="Q73">
        <v>0</v>
      </c>
      <c r="R73">
        <v>0</v>
      </c>
      <c r="T73" t="s">
        <v>115</v>
      </c>
      <c r="U73" t="s">
        <v>115</v>
      </c>
      <c r="V73" t="s">
        <v>115</v>
      </c>
      <c r="W73" s="6">
        <v>35</v>
      </c>
      <c r="X73" s="6">
        <v>0</v>
      </c>
      <c r="Y73" s="6">
        <v>16</v>
      </c>
      <c r="Z73" s="6">
        <v>19</v>
      </c>
      <c r="AA73" s="6">
        <v>0</v>
      </c>
      <c r="AB73" s="6">
        <f t="shared" si="4"/>
        <v>35</v>
      </c>
      <c r="AC73" t="s">
        <v>2159</v>
      </c>
      <c r="AD73" t="s">
        <v>2166</v>
      </c>
      <c r="AE73" s="6"/>
      <c r="AF73" s="6"/>
    </row>
    <row r="74" spans="1:32" hidden="1" x14ac:dyDescent="0.2">
      <c r="A74" t="s">
        <v>2167</v>
      </c>
      <c r="B74" t="s">
        <v>2168</v>
      </c>
      <c r="C74">
        <v>4</v>
      </c>
      <c r="D74">
        <v>1</v>
      </c>
      <c r="E74" t="s">
        <v>2156</v>
      </c>
      <c r="F74" s="1">
        <v>43177</v>
      </c>
      <c r="G74" s="1" t="s">
        <v>4026</v>
      </c>
      <c r="H74" s="1" t="s">
        <v>4752</v>
      </c>
      <c r="I74" s="2">
        <v>1.7361111111111112E-2</v>
      </c>
      <c r="J74" s="176">
        <v>2.8935185185185189E-4</v>
      </c>
      <c r="K74" s="6">
        <v>25</v>
      </c>
      <c r="L74" t="s">
        <v>2163</v>
      </c>
      <c r="M74" t="s">
        <v>344</v>
      </c>
      <c r="N74" t="s">
        <v>102</v>
      </c>
      <c r="O74" t="s">
        <v>23</v>
      </c>
      <c r="P74">
        <v>0</v>
      </c>
      <c r="Q74">
        <v>0</v>
      </c>
      <c r="R74">
        <v>0</v>
      </c>
      <c r="T74" t="s">
        <v>115</v>
      </c>
      <c r="U74" t="s">
        <v>115</v>
      </c>
      <c r="V74" t="s">
        <v>115</v>
      </c>
      <c r="W74" s="6">
        <v>21</v>
      </c>
      <c r="X74" s="6">
        <v>0</v>
      </c>
      <c r="Y74" s="6">
        <v>21</v>
      </c>
      <c r="Z74" s="6">
        <v>0</v>
      </c>
      <c r="AA74" s="6">
        <v>0</v>
      </c>
      <c r="AB74" s="6">
        <f t="shared" si="4"/>
        <v>21</v>
      </c>
      <c r="AC74" t="s">
        <v>27</v>
      </c>
      <c r="AE74" s="6"/>
      <c r="AF74" s="6"/>
    </row>
    <row r="75" spans="1:32" hidden="1" x14ac:dyDescent="0.2">
      <c r="A75" t="s">
        <v>2174</v>
      </c>
      <c r="B75" t="s">
        <v>2175</v>
      </c>
      <c r="C75">
        <v>7</v>
      </c>
      <c r="D75">
        <v>1</v>
      </c>
      <c r="E75" t="s">
        <v>2156</v>
      </c>
      <c r="F75" s="1">
        <v>43177</v>
      </c>
      <c r="G75" s="1" t="s">
        <v>4026</v>
      </c>
      <c r="H75" s="1" t="s">
        <v>4752</v>
      </c>
      <c r="I75" s="2">
        <v>3.8194444444444441E-2</v>
      </c>
      <c r="J75" s="176">
        <v>6.3657407407407402E-4</v>
      </c>
      <c r="K75" s="6">
        <v>55</v>
      </c>
      <c r="L75" t="s">
        <v>2163</v>
      </c>
      <c r="M75" t="s">
        <v>2498</v>
      </c>
      <c r="N75" t="s">
        <v>102</v>
      </c>
      <c r="O75" t="s">
        <v>23</v>
      </c>
      <c r="P75">
        <v>0</v>
      </c>
      <c r="Q75">
        <v>0</v>
      </c>
      <c r="R75">
        <v>0</v>
      </c>
      <c r="T75" t="s">
        <v>115</v>
      </c>
      <c r="U75" t="s">
        <v>115</v>
      </c>
      <c r="W75" s="6">
        <v>55</v>
      </c>
      <c r="X75" s="6">
        <v>0</v>
      </c>
      <c r="Y75" s="6">
        <v>55</v>
      </c>
      <c r="Z75" s="6">
        <v>0</v>
      </c>
      <c r="AA75" s="6">
        <v>0</v>
      </c>
      <c r="AB75" s="6">
        <f t="shared" si="4"/>
        <v>55</v>
      </c>
      <c r="AC75" t="s">
        <v>16</v>
      </c>
      <c r="AD75" t="s">
        <v>2176</v>
      </c>
      <c r="AE75" s="6">
        <v>0</v>
      </c>
      <c r="AF75" s="6">
        <v>1</v>
      </c>
    </row>
    <row r="76" spans="1:32" hidden="1" x14ac:dyDescent="0.2">
      <c r="B76" t="s">
        <v>2249</v>
      </c>
      <c r="C76">
        <v>5</v>
      </c>
      <c r="D76">
        <v>1</v>
      </c>
      <c r="E76" t="s">
        <v>2182</v>
      </c>
      <c r="F76" s="1">
        <v>43177</v>
      </c>
      <c r="G76" s="1" t="s">
        <v>4026</v>
      </c>
      <c r="H76" s="1" t="s">
        <v>4752</v>
      </c>
      <c r="I76" s="2">
        <v>2.8472222222222222E-2</v>
      </c>
      <c r="J76" s="176">
        <v>4.7453703703703704E-4</v>
      </c>
      <c r="K76" s="6">
        <v>41</v>
      </c>
      <c r="M76" t="s">
        <v>2333</v>
      </c>
      <c r="N76" t="s">
        <v>102</v>
      </c>
      <c r="O76" t="s">
        <v>23</v>
      </c>
      <c r="P76">
        <v>1</v>
      </c>
      <c r="Q76" t="s">
        <v>24</v>
      </c>
      <c r="R76">
        <v>0</v>
      </c>
      <c r="S76" t="s">
        <v>176</v>
      </c>
      <c r="T76" t="s">
        <v>24</v>
      </c>
      <c r="U76" t="s">
        <v>2059</v>
      </c>
      <c r="V76" t="s">
        <v>115</v>
      </c>
      <c r="W76" s="6">
        <v>0</v>
      </c>
      <c r="X76" s="6">
        <v>30</v>
      </c>
      <c r="Y76" s="6">
        <v>0</v>
      </c>
      <c r="Z76" s="6">
        <v>30</v>
      </c>
      <c r="AA76" s="6">
        <v>0</v>
      </c>
      <c r="AB76" s="6">
        <f t="shared" si="4"/>
        <v>30</v>
      </c>
      <c r="AC76" t="s">
        <v>2159</v>
      </c>
    </row>
    <row r="77" spans="1:32" hidden="1" x14ac:dyDescent="0.2">
      <c r="B77" t="s">
        <v>2246</v>
      </c>
      <c r="C77">
        <v>4</v>
      </c>
      <c r="D77">
        <v>1</v>
      </c>
      <c r="E77" t="s">
        <v>2182</v>
      </c>
      <c r="F77" s="1">
        <v>43177</v>
      </c>
      <c r="G77" s="1" t="s">
        <v>4026</v>
      </c>
      <c r="H77" s="1" t="s">
        <v>4752</v>
      </c>
      <c r="I77" s="2">
        <v>0.13402777777777777</v>
      </c>
      <c r="J77" s="176">
        <v>2.2337962962962967E-3</v>
      </c>
      <c r="K77" s="6">
        <v>193</v>
      </c>
      <c r="M77" t="s">
        <v>241</v>
      </c>
      <c r="N77" t="s">
        <v>2247</v>
      </c>
      <c r="O77" t="s">
        <v>2248</v>
      </c>
      <c r="P77">
        <v>0</v>
      </c>
      <c r="Q77">
        <v>0</v>
      </c>
      <c r="R77">
        <v>0</v>
      </c>
      <c r="S77" t="s">
        <v>461</v>
      </c>
      <c r="T77" t="s">
        <v>3956</v>
      </c>
      <c r="U77" t="s">
        <v>24</v>
      </c>
      <c r="V77" t="s">
        <v>115</v>
      </c>
      <c r="W77" s="6">
        <v>0</v>
      </c>
      <c r="X77" s="6">
        <v>0</v>
      </c>
      <c r="Y77" s="6">
        <v>0</v>
      </c>
      <c r="Z77" s="6">
        <v>0</v>
      </c>
      <c r="AA77" s="6">
        <v>0</v>
      </c>
      <c r="AB77" s="6">
        <f t="shared" si="4"/>
        <v>0</v>
      </c>
      <c r="AD77" t="s">
        <v>2244</v>
      </c>
    </row>
    <row r="78" spans="1:32" hidden="1" x14ac:dyDescent="0.2">
      <c r="A78" t="s">
        <v>2195</v>
      </c>
      <c r="B78" t="s">
        <v>2196</v>
      </c>
      <c r="C78">
        <v>1</v>
      </c>
      <c r="D78">
        <v>1</v>
      </c>
      <c r="E78" t="s">
        <v>2156</v>
      </c>
      <c r="F78" s="1">
        <v>43180</v>
      </c>
      <c r="G78" s="1" t="s">
        <v>4026</v>
      </c>
      <c r="H78" s="1" t="s">
        <v>4752</v>
      </c>
      <c r="I78" s="2">
        <v>1.3194444444444444E-2</v>
      </c>
      <c r="J78" s="176">
        <v>2.199074074074074E-4</v>
      </c>
      <c r="K78" s="6">
        <v>19</v>
      </c>
      <c r="M78" t="s">
        <v>344</v>
      </c>
      <c r="N78" t="s">
        <v>102</v>
      </c>
      <c r="O78" t="s">
        <v>115</v>
      </c>
      <c r="P78" t="s">
        <v>24</v>
      </c>
      <c r="Q78" t="s">
        <v>24</v>
      </c>
      <c r="R78">
        <v>0</v>
      </c>
      <c r="S78" t="s">
        <v>176</v>
      </c>
      <c r="T78" t="s">
        <v>24</v>
      </c>
      <c r="U78" t="s">
        <v>115</v>
      </c>
      <c r="V78" t="s">
        <v>115</v>
      </c>
      <c r="W78" s="6">
        <v>0</v>
      </c>
      <c r="X78" s="6">
        <v>0</v>
      </c>
      <c r="Y78" s="6">
        <v>0</v>
      </c>
      <c r="Z78" s="6">
        <v>0</v>
      </c>
      <c r="AA78" s="6">
        <v>19</v>
      </c>
      <c r="AB78" s="6">
        <f t="shared" si="4"/>
        <v>19</v>
      </c>
      <c r="AD78" t="s">
        <v>2197</v>
      </c>
      <c r="AE78" s="6"/>
      <c r="AF78" s="6"/>
    </row>
    <row r="79" spans="1:32" hidden="1" x14ac:dyDescent="0.2">
      <c r="A79" t="s">
        <v>353</v>
      </c>
      <c r="B79" t="s">
        <v>2198</v>
      </c>
      <c r="C79">
        <v>2</v>
      </c>
      <c r="D79">
        <v>1</v>
      </c>
      <c r="E79" t="s">
        <v>2156</v>
      </c>
      <c r="F79" s="1">
        <v>43180</v>
      </c>
      <c r="G79" s="1" t="s">
        <v>4026</v>
      </c>
      <c r="H79" s="1" t="s">
        <v>4752</v>
      </c>
      <c r="I79" s="2">
        <v>2.8472222222222222E-2</v>
      </c>
      <c r="J79" s="176">
        <v>4.7453703703703704E-4</v>
      </c>
      <c r="K79" s="6">
        <v>41</v>
      </c>
      <c r="M79" t="s">
        <v>344</v>
      </c>
      <c r="N79" t="s">
        <v>102</v>
      </c>
      <c r="O79" t="s">
        <v>23</v>
      </c>
      <c r="P79" t="s">
        <v>24</v>
      </c>
      <c r="Q79" t="s">
        <v>24</v>
      </c>
      <c r="R79">
        <v>0</v>
      </c>
      <c r="S79" t="s">
        <v>176</v>
      </c>
      <c r="T79" t="s">
        <v>24</v>
      </c>
      <c r="U79" t="s">
        <v>115</v>
      </c>
      <c r="V79" t="s">
        <v>115</v>
      </c>
      <c r="W79" s="6">
        <v>31</v>
      </c>
      <c r="X79" s="6">
        <v>0</v>
      </c>
      <c r="Y79" s="6">
        <v>0</v>
      </c>
      <c r="Z79" s="6">
        <v>31</v>
      </c>
      <c r="AA79" s="6">
        <v>0</v>
      </c>
      <c r="AB79" s="6">
        <f t="shared" si="4"/>
        <v>31</v>
      </c>
      <c r="AC79" t="s">
        <v>31</v>
      </c>
      <c r="AE79" s="6">
        <v>0</v>
      </c>
      <c r="AF79" s="6">
        <v>1</v>
      </c>
    </row>
    <row r="80" spans="1:32" hidden="1" x14ac:dyDescent="0.2">
      <c r="A80" t="s">
        <v>2207</v>
      </c>
      <c r="B80" t="s">
        <v>2208</v>
      </c>
      <c r="C80">
        <v>7</v>
      </c>
      <c r="D80">
        <v>1</v>
      </c>
      <c r="E80" t="s">
        <v>2156</v>
      </c>
      <c r="F80" s="1">
        <v>43180</v>
      </c>
      <c r="G80" s="1" t="s">
        <v>4026</v>
      </c>
      <c r="H80" s="1" t="s">
        <v>4752</v>
      </c>
      <c r="I80" s="2">
        <v>4.2361111111111106E-2</v>
      </c>
      <c r="J80" s="176">
        <v>7.0601851851851847E-4</v>
      </c>
      <c r="K80" s="6">
        <v>61</v>
      </c>
      <c r="M80" t="s">
        <v>344</v>
      </c>
      <c r="N80" t="s">
        <v>102</v>
      </c>
      <c r="O80" t="s">
        <v>23</v>
      </c>
      <c r="P80" t="s">
        <v>24</v>
      </c>
      <c r="Q80" t="s">
        <v>24</v>
      </c>
      <c r="R80" t="s">
        <v>176</v>
      </c>
      <c r="S80" t="s">
        <v>176</v>
      </c>
      <c r="T80" t="s">
        <v>24</v>
      </c>
      <c r="U80" t="s">
        <v>115</v>
      </c>
      <c r="V80" t="s">
        <v>115</v>
      </c>
      <c r="W80" s="6">
        <v>53</v>
      </c>
      <c r="X80" s="6">
        <v>0</v>
      </c>
      <c r="Y80" s="6">
        <v>53</v>
      </c>
      <c r="Z80" s="6">
        <v>0</v>
      </c>
      <c r="AA80" s="6">
        <v>0</v>
      </c>
      <c r="AB80" s="6">
        <f t="shared" si="4"/>
        <v>53</v>
      </c>
      <c r="AC80" t="s">
        <v>188</v>
      </c>
    </row>
    <row r="81" spans="1:32" hidden="1" x14ac:dyDescent="0.2">
      <c r="A81" t="s">
        <v>2204</v>
      </c>
      <c r="B81" t="s">
        <v>2205</v>
      </c>
      <c r="C81">
        <v>6</v>
      </c>
      <c r="D81">
        <v>1</v>
      </c>
      <c r="E81" t="s">
        <v>2156</v>
      </c>
      <c r="F81" s="1">
        <v>43180</v>
      </c>
      <c r="G81" s="1" t="s">
        <v>4026</v>
      </c>
      <c r="H81" s="1" t="s">
        <v>4752</v>
      </c>
      <c r="I81" s="2">
        <v>7.8472222222222221E-2</v>
      </c>
      <c r="J81" s="176">
        <v>1.3078703703703705E-3</v>
      </c>
      <c r="K81" s="6">
        <v>113</v>
      </c>
      <c r="M81" t="s">
        <v>2206</v>
      </c>
      <c r="N81" t="s">
        <v>102</v>
      </c>
      <c r="O81" t="s">
        <v>23</v>
      </c>
      <c r="P81">
        <v>1</v>
      </c>
      <c r="Q81" t="s">
        <v>24</v>
      </c>
      <c r="R81">
        <v>0</v>
      </c>
      <c r="S81" t="s">
        <v>176</v>
      </c>
      <c r="T81" t="s">
        <v>24</v>
      </c>
      <c r="U81" t="s">
        <v>2326</v>
      </c>
      <c r="V81" t="s">
        <v>115</v>
      </c>
      <c r="W81" s="6">
        <v>49</v>
      </c>
      <c r="X81" s="6">
        <v>34</v>
      </c>
      <c r="Y81" s="6">
        <v>49</v>
      </c>
      <c r="Z81" s="6">
        <v>34</v>
      </c>
      <c r="AA81" s="6">
        <v>0</v>
      </c>
      <c r="AB81" s="6">
        <f t="shared" si="4"/>
        <v>83</v>
      </c>
    </row>
    <row r="82" spans="1:32" hidden="1" x14ac:dyDescent="0.2">
      <c r="A82" t="s">
        <v>2204</v>
      </c>
      <c r="B82" t="s">
        <v>2205</v>
      </c>
      <c r="C82">
        <v>6</v>
      </c>
      <c r="D82">
        <v>2</v>
      </c>
      <c r="E82" t="s">
        <v>2156</v>
      </c>
      <c r="F82" s="1">
        <v>43180</v>
      </c>
      <c r="G82" s="1" t="s">
        <v>4026</v>
      </c>
      <c r="H82" s="1" t="s">
        <v>4752</v>
      </c>
      <c r="I82" s="2">
        <v>7.8472222222222221E-2</v>
      </c>
      <c r="J82" s="176">
        <v>1.3078703703703705E-3</v>
      </c>
      <c r="K82" s="6">
        <v>113</v>
      </c>
      <c r="M82" t="s">
        <v>2206</v>
      </c>
      <c r="N82" t="s">
        <v>102</v>
      </c>
      <c r="O82" t="s">
        <v>23</v>
      </c>
      <c r="P82">
        <v>1</v>
      </c>
      <c r="Q82" t="s">
        <v>24</v>
      </c>
      <c r="R82">
        <v>0</v>
      </c>
      <c r="S82" t="s">
        <v>176</v>
      </c>
      <c r="T82" t="s">
        <v>24</v>
      </c>
      <c r="U82" t="s">
        <v>1035</v>
      </c>
      <c r="V82" t="s">
        <v>115</v>
      </c>
      <c r="W82" s="6">
        <v>0</v>
      </c>
      <c r="X82" s="6">
        <v>0</v>
      </c>
      <c r="Y82" s="6">
        <v>0</v>
      </c>
      <c r="Z82" s="6">
        <v>0</v>
      </c>
      <c r="AA82" s="6">
        <v>0</v>
      </c>
      <c r="AB82" s="6">
        <f t="shared" si="4"/>
        <v>0</v>
      </c>
    </row>
    <row r="83" spans="1:32" hidden="1" x14ac:dyDescent="0.2">
      <c r="A83" t="s">
        <v>2209</v>
      </c>
      <c r="B83" t="s">
        <v>2210</v>
      </c>
      <c r="C83">
        <v>8</v>
      </c>
      <c r="D83">
        <v>1</v>
      </c>
      <c r="E83" t="s">
        <v>2156</v>
      </c>
      <c r="F83" s="1">
        <v>43180</v>
      </c>
      <c r="G83" s="1" t="s">
        <v>4026</v>
      </c>
      <c r="H83" s="1" t="s">
        <v>4752</v>
      </c>
      <c r="I83" s="2">
        <v>4.9305555555555554E-2</v>
      </c>
      <c r="J83" s="176">
        <v>8.2175925925925917E-4</v>
      </c>
      <c r="K83" s="6">
        <v>71</v>
      </c>
      <c r="M83" t="s">
        <v>344</v>
      </c>
      <c r="N83" t="s">
        <v>102</v>
      </c>
      <c r="O83" t="s">
        <v>23</v>
      </c>
      <c r="P83">
        <v>1</v>
      </c>
      <c r="Q83" t="s">
        <v>24</v>
      </c>
      <c r="R83">
        <v>0</v>
      </c>
      <c r="S83" t="s">
        <v>176</v>
      </c>
      <c r="T83" t="s">
        <v>24</v>
      </c>
      <c r="U83" t="s">
        <v>2327</v>
      </c>
      <c r="V83" t="s">
        <v>115</v>
      </c>
      <c r="W83" s="6">
        <v>71</v>
      </c>
      <c r="X83" s="6">
        <v>0</v>
      </c>
      <c r="Y83" s="6">
        <v>71</v>
      </c>
      <c r="Z83" s="6">
        <v>0</v>
      </c>
      <c r="AA83" s="6">
        <v>0</v>
      </c>
      <c r="AB83" s="6">
        <f t="shared" si="4"/>
        <v>71</v>
      </c>
      <c r="AC83" t="s">
        <v>31</v>
      </c>
      <c r="AE83">
        <v>0</v>
      </c>
      <c r="AF83">
        <v>2</v>
      </c>
    </row>
    <row r="84" spans="1:32" hidden="1" x14ac:dyDescent="0.2">
      <c r="A84" t="s">
        <v>2209</v>
      </c>
      <c r="B84" t="s">
        <v>2210</v>
      </c>
      <c r="C84">
        <v>8</v>
      </c>
      <c r="D84">
        <v>2</v>
      </c>
      <c r="E84" t="s">
        <v>2156</v>
      </c>
      <c r="F84" s="1">
        <v>43180</v>
      </c>
      <c r="G84" s="1" t="s">
        <v>4026</v>
      </c>
      <c r="H84" s="1" t="s">
        <v>4752</v>
      </c>
      <c r="I84" s="2">
        <v>4.9305555555555554E-2</v>
      </c>
      <c r="J84" s="176">
        <v>8.2175925925925917E-4</v>
      </c>
      <c r="K84" s="6">
        <v>71</v>
      </c>
      <c r="M84" t="s">
        <v>344</v>
      </c>
      <c r="N84" t="s">
        <v>102</v>
      </c>
      <c r="O84" t="s">
        <v>23</v>
      </c>
      <c r="P84">
        <v>1</v>
      </c>
      <c r="Q84" t="s">
        <v>24</v>
      </c>
      <c r="R84">
        <v>0</v>
      </c>
      <c r="S84" t="s">
        <v>176</v>
      </c>
      <c r="T84" t="s">
        <v>24</v>
      </c>
      <c r="U84" t="s">
        <v>2328</v>
      </c>
      <c r="V84" t="s">
        <v>115</v>
      </c>
      <c r="W84" s="6">
        <v>0</v>
      </c>
      <c r="X84" s="6">
        <v>0</v>
      </c>
      <c r="Y84" s="6">
        <v>0</v>
      </c>
      <c r="Z84" s="6">
        <v>0</v>
      </c>
      <c r="AA84" s="6">
        <v>0</v>
      </c>
      <c r="AB84" s="6">
        <f t="shared" si="4"/>
        <v>0</v>
      </c>
      <c r="AC84" t="s">
        <v>31</v>
      </c>
      <c r="AE84">
        <v>0</v>
      </c>
      <c r="AF84">
        <v>2</v>
      </c>
    </row>
    <row r="85" spans="1:32" hidden="1" x14ac:dyDescent="0.2">
      <c r="A85" t="s">
        <v>2216</v>
      </c>
      <c r="B85" t="s">
        <v>2217</v>
      </c>
      <c r="C85">
        <v>11</v>
      </c>
      <c r="D85">
        <v>1</v>
      </c>
      <c r="E85" t="s">
        <v>2156</v>
      </c>
      <c r="F85" s="1">
        <v>43180</v>
      </c>
      <c r="G85" s="1" t="s">
        <v>4026</v>
      </c>
      <c r="H85" s="1" t="s">
        <v>4752</v>
      </c>
      <c r="I85" s="3">
        <v>9.2592592592592588E-5</v>
      </c>
      <c r="J85" s="176">
        <v>9.2592592592592588E-5</v>
      </c>
      <c r="K85" s="6">
        <v>8</v>
      </c>
      <c r="M85" t="s">
        <v>2498</v>
      </c>
      <c r="N85" t="s">
        <v>102</v>
      </c>
      <c r="O85" t="s">
        <v>23</v>
      </c>
      <c r="P85">
        <v>1</v>
      </c>
      <c r="Q85" t="s">
        <v>24</v>
      </c>
      <c r="R85">
        <v>0</v>
      </c>
      <c r="S85" t="s">
        <v>176</v>
      </c>
      <c r="T85" t="s">
        <v>2218</v>
      </c>
      <c r="U85" t="s">
        <v>2088</v>
      </c>
      <c r="V85" t="s">
        <v>115</v>
      </c>
      <c r="W85" s="6">
        <v>6</v>
      </c>
      <c r="X85" s="6">
        <v>0</v>
      </c>
      <c r="Y85" s="6">
        <v>0</v>
      </c>
      <c r="Z85" s="6">
        <v>6</v>
      </c>
      <c r="AA85" s="6">
        <v>0</v>
      </c>
      <c r="AB85" s="6">
        <f t="shared" si="4"/>
        <v>6</v>
      </c>
      <c r="AC85" t="s">
        <v>165</v>
      </c>
      <c r="AD85">
        <v>1</v>
      </c>
      <c r="AE85">
        <v>0</v>
      </c>
    </row>
    <row r="86" spans="1:32" hidden="1" x14ac:dyDescent="0.2">
      <c r="A86" t="s">
        <v>2219</v>
      </c>
      <c r="B86" t="s">
        <v>2220</v>
      </c>
      <c r="C86">
        <v>12</v>
      </c>
      <c r="D86">
        <v>1</v>
      </c>
      <c r="E86" t="s">
        <v>2156</v>
      </c>
      <c r="F86" s="1">
        <v>43180</v>
      </c>
      <c r="G86" s="1" t="s">
        <v>4026</v>
      </c>
      <c r="H86" s="1" t="s">
        <v>4752</v>
      </c>
      <c r="I86" s="3">
        <v>2.4305555555555552E-4</v>
      </c>
      <c r="J86" s="176">
        <v>2.4305555555555552E-4</v>
      </c>
      <c r="K86" s="6">
        <v>21</v>
      </c>
      <c r="M86" t="s">
        <v>2498</v>
      </c>
      <c r="N86" t="s">
        <v>102</v>
      </c>
      <c r="O86" t="s">
        <v>23</v>
      </c>
      <c r="P86">
        <v>1</v>
      </c>
      <c r="Q86" t="s">
        <v>24</v>
      </c>
      <c r="R86" t="s">
        <v>176</v>
      </c>
      <c r="S86" t="s">
        <v>176</v>
      </c>
      <c r="T86" t="s">
        <v>24</v>
      </c>
      <c r="U86" t="s">
        <v>333</v>
      </c>
      <c r="V86" t="s">
        <v>115</v>
      </c>
      <c r="W86" s="6">
        <v>0</v>
      </c>
      <c r="X86" s="6">
        <v>10</v>
      </c>
      <c r="Y86" s="6">
        <v>10</v>
      </c>
      <c r="Z86" s="6">
        <v>0</v>
      </c>
      <c r="AA86" s="6">
        <v>0</v>
      </c>
      <c r="AB86" s="6">
        <f t="shared" si="4"/>
        <v>10</v>
      </c>
      <c r="AD86" t="s">
        <v>2221</v>
      </c>
    </row>
    <row r="87" spans="1:32" hidden="1" x14ac:dyDescent="0.2">
      <c r="A87" t="s">
        <v>355</v>
      </c>
      <c r="B87" t="s">
        <v>2199</v>
      </c>
      <c r="C87">
        <v>3</v>
      </c>
      <c r="D87">
        <v>1</v>
      </c>
      <c r="E87" t="s">
        <v>2156</v>
      </c>
      <c r="F87" s="1">
        <v>43180</v>
      </c>
      <c r="G87" s="1" t="s">
        <v>4026</v>
      </c>
      <c r="H87" s="1" t="s">
        <v>4752</v>
      </c>
      <c r="I87" s="2">
        <v>1.0416666666666666E-2</v>
      </c>
      <c r="J87" s="176">
        <v>1.7361111111111112E-4</v>
      </c>
      <c r="K87" s="6">
        <v>15</v>
      </c>
      <c r="M87" t="s">
        <v>2498</v>
      </c>
      <c r="N87" t="s">
        <v>102</v>
      </c>
      <c r="O87" t="s">
        <v>516</v>
      </c>
      <c r="P87">
        <v>0</v>
      </c>
      <c r="Q87">
        <v>0</v>
      </c>
      <c r="R87">
        <v>0</v>
      </c>
      <c r="T87" t="s">
        <v>115</v>
      </c>
      <c r="U87" t="s">
        <v>115</v>
      </c>
      <c r="V87" t="s">
        <v>115</v>
      </c>
      <c r="W87" s="6">
        <v>13</v>
      </c>
      <c r="X87" s="6">
        <v>0</v>
      </c>
      <c r="Y87" s="6">
        <v>0</v>
      </c>
      <c r="Z87" s="6">
        <v>13</v>
      </c>
      <c r="AA87" s="6">
        <v>0</v>
      </c>
      <c r="AB87" s="6">
        <f t="shared" si="4"/>
        <v>13</v>
      </c>
      <c r="AC87" t="s">
        <v>188</v>
      </c>
    </row>
    <row r="88" spans="1:32" hidden="1" x14ac:dyDescent="0.2">
      <c r="A88" t="s">
        <v>2200</v>
      </c>
      <c r="B88" t="s">
        <v>2201</v>
      </c>
      <c r="C88">
        <v>4</v>
      </c>
      <c r="D88">
        <v>1</v>
      </c>
      <c r="E88" t="s">
        <v>2156</v>
      </c>
      <c r="F88" s="1">
        <v>43180</v>
      </c>
      <c r="G88" s="1" t="s">
        <v>4026</v>
      </c>
      <c r="H88" s="1" t="s">
        <v>4752</v>
      </c>
      <c r="I88" s="2">
        <v>3.6805555555555557E-2</v>
      </c>
      <c r="J88" s="176">
        <v>6.134259259259259E-4</v>
      </c>
      <c r="K88" s="6">
        <v>53</v>
      </c>
      <c r="M88" t="s">
        <v>2498</v>
      </c>
      <c r="N88" t="s">
        <v>102</v>
      </c>
      <c r="O88" t="s">
        <v>516</v>
      </c>
      <c r="P88">
        <v>0</v>
      </c>
      <c r="Q88">
        <v>0</v>
      </c>
      <c r="R88">
        <v>0</v>
      </c>
      <c r="T88" t="s">
        <v>115</v>
      </c>
      <c r="U88" t="s">
        <v>115</v>
      </c>
      <c r="V88" t="s">
        <v>115</v>
      </c>
      <c r="W88" s="6">
        <v>50</v>
      </c>
      <c r="X88" s="6">
        <v>0</v>
      </c>
      <c r="Y88" s="6">
        <v>50</v>
      </c>
      <c r="Z88" s="6">
        <v>0</v>
      </c>
      <c r="AA88" s="6">
        <v>0</v>
      </c>
      <c r="AB88" s="6">
        <f t="shared" si="4"/>
        <v>50</v>
      </c>
      <c r="AC88" t="s">
        <v>188</v>
      </c>
    </row>
    <row r="89" spans="1:32" hidden="1" x14ac:dyDescent="0.2">
      <c r="A89" t="s">
        <v>2202</v>
      </c>
      <c r="B89" t="s">
        <v>2203</v>
      </c>
      <c r="C89">
        <v>5</v>
      </c>
      <c r="D89">
        <v>1</v>
      </c>
      <c r="E89" t="s">
        <v>2156</v>
      </c>
      <c r="F89" s="1">
        <v>43180</v>
      </c>
      <c r="G89" s="1" t="s">
        <v>4026</v>
      </c>
      <c r="H89" s="1" t="s">
        <v>4752</v>
      </c>
      <c r="I89" s="2">
        <v>3.6805555555555557E-2</v>
      </c>
      <c r="J89" s="176">
        <v>6.134259259259259E-4</v>
      </c>
      <c r="K89" s="6">
        <v>53</v>
      </c>
      <c r="M89" t="s">
        <v>2498</v>
      </c>
      <c r="N89" t="s">
        <v>102</v>
      </c>
      <c r="O89" t="s">
        <v>23</v>
      </c>
      <c r="P89">
        <v>0</v>
      </c>
      <c r="Q89">
        <v>0</v>
      </c>
      <c r="R89">
        <v>0</v>
      </c>
      <c r="T89" t="s">
        <v>115</v>
      </c>
      <c r="U89" t="s">
        <v>115</v>
      </c>
      <c r="V89" t="s">
        <v>115</v>
      </c>
      <c r="W89" s="6">
        <v>34</v>
      </c>
      <c r="X89" s="6">
        <v>0</v>
      </c>
      <c r="Y89" s="6">
        <v>0</v>
      </c>
      <c r="Z89" s="6">
        <v>34</v>
      </c>
      <c r="AA89" s="6">
        <v>0</v>
      </c>
      <c r="AB89" s="6">
        <f t="shared" si="4"/>
        <v>34</v>
      </c>
      <c r="AC89" t="s">
        <v>188</v>
      </c>
    </row>
    <row r="90" spans="1:32" hidden="1" x14ac:dyDescent="0.2">
      <c r="A90" t="s">
        <v>2214</v>
      </c>
      <c r="B90" t="s">
        <v>2215</v>
      </c>
      <c r="C90">
        <v>10</v>
      </c>
      <c r="D90">
        <v>1</v>
      </c>
      <c r="E90" t="s">
        <v>2156</v>
      </c>
      <c r="F90" s="1">
        <v>43180</v>
      </c>
      <c r="G90" s="1" t="s">
        <v>4026</v>
      </c>
      <c r="H90" s="1" t="s">
        <v>4752</v>
      </c>
      <c r="I90" s="2">
        <v>3.125E-2</v>
      </c>
      <c r="J90" s="176">
        <v>5.2083333333333333E-4</v>
      </c>
      <c r="K90" s="6">
        <v>45</v>
      </c>
      <c r="M90" t="s">
        <v>344</v>
      </c>
      <c r="N90" t="s">
        <v>102</v>
      </c>
      <c r="O90" t="s">
        <v>23</v>
      </c>
      <c r="P90">
        <v>0</v>
      </c>
      <c r="Q90">
        <v>0</v>
      </c>
      <c r="R90">
        <v>0</v>
      </c>
      <c r="T90" t="s">
        <v>2213</v>
      </c>
      <c r="U90" t="s">
        <v>1940</v>
      </c>
      <c r="V90" t="s">
        <v>115</v>
      </c>
      <c r="W90" s="6">
        <v>32</v>
      </c>
      <c r="X90" s="6">
        <v>0</v>
      </c>
      <c r="Y90" s="6">
        <v>32</v>
      </c>
      <c r="Z90" s="6">
        <v>0</v>
      </c>
      <c r="AA90" s="6">
        <v>0</v>
      </c>
      <c r="AB90" s="6">
        <f t="shared" si="4"/>
        <v>32</v>
      </c>
      <c r="AC90" t="s">
        <v>188</v>
      </c>
    </row>
    <row r="91" spans="1:32" hidden="1" x14ac:dyDescent="0.2">
      <c r="A91" t="s">
        <v>2211</v>
      </c>
      <c r="B91" t="s">
        <v>2212</v>
      </c>
      <c r="C91">
        <v>9</v>
      </c>
      <c r="D91">
        <v>1</v>
      </c>
      <c r="E91" t="s">
        <v>2156</v>
      </c>
      <c r="F91" s="1">
        <v>43180</v>
      </c>
      <c r="G91" s="1" t="s">
        <v>4026</v>
      </c>
      <c r="H91" s="1" t="s">
        <v>4752</v>
      </c>
      <c r="I91" s="2">
        <v>1.2499999999999999E-2</v>
      </c>
      <c r="J91" s="176">
        <v>2.0833333333333335E-4</v>
      </c>
      <c r="K91" s="6">
        <v>18</v>
      </c>
      <c r="M91" t="s">
        <v>2498</v>
      </c>
      <c r="N91" t="s">
        <v>102</v>
      </c>
      <c r="O91" t="s">
        <v>23</v>
      </c>
      <c r="P91">
        <v>0</v>
      </c>
      <c r="Q91">
        <v>0</v>
      </c>
      <c r="R91">
        <v>0</v>
      </c>
      <c r="T91" t="s">
        <v>2213</v>
      </c>
      <c r="U91" t="s">
        <v>1940</v>
      </c>
      <c r="V91" t="s">
        <v>115</v>
      </c>
      <c r="W91" s="6">
        <v>18</v>
      </c>
      <c r="X91" s="6">
        <v>0</v>
      </c>
      <c r="Y91" s="6">
        <v>18</v>
      </c>
      <c r="Z91" s="6">
        <v>0</v>
      </c>
      <c r="AA91" s="6">
        <v>0</v>
      </c>
      <c r="AB91" s="6">
        <f t="shared" si="4"/>
        <v>18</v>
      </c>
      <c r="AC91" t="s">
        <v>188</v>
      </c>
    </row>
    <row r="92" spans="1:32" hidden="1" x14ac:dyDescent="0.2">
      <c r="A92" t="s">
        <v>95</v>
      </c>
      <c r="B92" t="s">
        <v>96</v>
      </c>
      <c r="C92">
        <v>1</v>
      </c>
      <c r="D92">
        <v>1</v>
      </c>
      <c r="E92" t="s">
        <v>10</v>
      </c>
      <c r="F92" s="1">
        <v>43181</v>
      </c>
      <c r="G92" s="1" t="s">
        <v>4026</v>
      </c>
      <c r="H92" s="1" t="s">
        <v>4752</v>
      </c>
      <c r="I92" s="3">
        <v>1.0416666666666667E-4</v>
      </c>
      <c r="J92" s="176">
        <v>1.0416666666666667E-4</v>
      </c>
      <c r="K92" s="6">
        <v>9</v>
      </c>
      <c r="L92" t="s">
        <v>97</v>
      </c>
      <c r="M92" t="s">
        <v>13</v>
      </c>
      <c r="N92" t="s">
        <v>102</v>
      </c>
      <c r="O92" t="s">
        <v>23</v>
      </c>
      <c r="P92">
        <v>0</v>
      </c>
      <c r="T92" t="s">
        <v>115</v>
      </c>
      <c r="U92" t="s">
        <v>115</v>
      </c>
      <c r="V92" t="s">
        <v>115</v>
      </c>
      <c r="W92" s="6">
        <v>0</v>
      </c>
      <c r="X92" s="6">
        <v>9</v>
      </c>
      <c r="Y92" s="6">
        <v>0</v>
      </c>
      <c r="Z92" s="6">
        <v>9</v>
      </c>
      <c r="AA92" s="6">
        <v>0</v>
      </c>
      <c r="AB92" s="6">
        <f t="shared" si="4"/>
        <v>9</v>
      </c>
      <c r="AC92" t="s">
        <v>27</v>
      </c>
      <c r="AE92" s="6">
        <v>0</v>
      </c>
      <c r="AF92" s="6">
        <v>0</v>
      </c>
    </row>
  </sheetData>
  <autoFilter ref="A1:AF92" xr:uid="{CFAB90C8-F461-EB42-AE4B-FF43B1B90BAB}">
    <filterColumn colId="3">
      <filters>
        <filter val="1"/>
      </filters>
    </filterColumn>
    <filterColumn colId="16">
      <filters>
        <filter val="1"/>
      </filters>
    </filterColumn>
    <sortState xmlns:xlrd2="http://schemas.microsoft.com/office/spreadsheetml/2017/richdata2" ref="A6:AF63">
      <sortCondition ref="S1:S92"/>
    </sortState>
  </autoFilter>
  <sortState xmlns:xlrd2="http://schemas.microsoft.com/office/spreadsheetml/2017/richdata2" ref="A2:AF112">
    <sortCondition ref="T2:T112"/>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0A270F-774B-5440-93FB-77705EB9578F}">
  <sheetPr>
    <tabColor theme="6" tint="0.59999389629810485"/>
  </sheetPr>
  <dimension ref="A1:P50"/>
  <sheetViews>
    <sheetView topLeftCell="E2" workbookViewId="0">
      <selection activeCell="L28" sqref="L28"/>
    </sheetView>
  </sheetViews>
  <sheetFormatPr baseColWidth="10" defaultRowHeight="16" x14ac:dyDescent="0.2"/>
  <cols>
    <col min="1" max="1" width="13.6640625" bestFit="1" customWidth="1"/>
    <col min="2" max="3" width="16" bestFit="1" customWidth="1"/>
    <col min="4" max="4" width="16.5" bestFit="1" customWidth="1"/>
    <col min="5" max="5" width="13.5" bestFit="1" customWidth="1"/>
    <col min="6" max="6" width="23.6640625" bestFit="1" customWidth="1"/>
    <col min="7" max="12" width="16.5" bestFit="1" customWidth="1"/>
    <col min="13" max="13" width="20.83203125" bestFit="1" customWidth="1"/>
    <col min="14" max="14" width="21.1640625" bestFit="1" customWidth="1"/>
    <col min="15" max="15" width="18.33203125" bestFit="1" customWidth="1"/>
    <col min="16" max="16" width="16.5" bestFit="1" customWidth="1"/>
    <col min="17" max="18" width="20.83203125" bestFit="1" customWidth="1"/>
    <col min="19" max="19" width="21.1640625" bestFit="1" customWidth="1"/>
    <col min="20" max="20" width="19.33203125" bestFit="1" customWidth="1"/>
    <col min="21" max="21" width="19.5" bestFit="1" customWidth="1"/>
    <col min="22" max="23" width="20.83203125" bestFit="1" customWidth="1"/>
    <col min="24" max="24" width="21.1640625" bestFit="1" customWidth="1"/>
    <col min="25" max="25" width="19.33203125" bestFit="1" customWidth="1"/>
  </cols>
  <sheetData>
    <row r="1" spans="1:16" x14ac:dyDescent="0.2">
      <c r="K1" t="s">
        <v>4743</v>
      </c>
      <c r="L1" t="s">
        <v>4744</v>
      </c>
      <c r="M1" t="s">
        <v>4745</v>
      </c>
    </row>
    <row r="2" spans="1:16" x14ac:dyDescent="0.2">
      <c r="A2" s="26" t="s">
        <v>4732</v>
      </c>
      <c r="J2" t="s">
        <v>4742</v>
      </c>
      <c r="K2">
        <f>SUM(GETPIVOTDATA("Sum of Total foraging time",$A$3)+GETPIVOTDATA("Sum of Total foraging time",$A$9)+GETPIVOTDATA("Sum of Total foraging time",$A$15)+GETPIVOTDATA("Sum of Total foraging time",$A$21)+GETPIVOTDATA("Sum of Total foraging time",$A$27))</f>
        <v>33774</v>
      </c>
      <c r="L2">
        <f>K2/60</f>
        <v>562.9</v>
      </c>
      <c r="M2">
        <f>L2/60</f>
        <v>9.3816666666666659</v>
      </c>
      <c r="N2">
        <f>K2/K3</f>
        <v>0.40291563275434245</v>
      </c>
    </row>
    <row r="3" spans="1:16" x14ac:dyDescent="0.2">
      <c r="A3" t="s">
        <v>4726</v>
      </c>
      <c r="B3" t="s">
        <v>4727</v>
      </c>
      <c r="C3" t="s">
        <v>4728</v>
      </c>
      <c r="D3" t="s">
        <v>4729</v>
      </c>
      <c r="E3" t="s">
        <v>4730</v>
      </c>
      <c r="F3" t="s">
        <v>4731</v>
      </c>
      <c r="J3" t="s">
        <v>5107</v>
      </c>
      <c r="K3" s="5">
        <v>83824</v>
      </c>
      <c r="L3">
        <f>K3/60</f>
        <v>1397.0666666666666</v>
      </c>
      <c r="M3">
        <f>L3/60</f>
        <v>23.284444444444443</v>
      </c>
    </row>
    <row r="4" spans="1:16" x14ac:dyDescent="0.2">
      <c r="A4" s="29">
        <v>1138</v>
      </c>
      <c r="B4" s="29">
        <v>378</v>
      </c>
      <c r="C4" s="29">
        <v>979</v>
      </c>
      <c r="D4" s="29">
        <v>537</v>
      </c>
      <c r="E4" s="29">
        <v>2</v>
      </c>
      <c r="F4" s="29">
        <v>1518</v>
      </c>
      <c r="J4" s="101" t="s">
        <v>4733</v>
      </c>
      <c r="K4" s="101" t="s">
        <v>4727</v>
      </c>
      <c r="L4" s="101" t="s">
        <v>4728</v>
      </c>
      <c r="M4" s="101" t="s">
        <v>4729</v>
      </c>
      <c r="N4" s="101" t="s">
        <v>4734</v>
      </c>
      <c r="O4" s="101" t="s">
        <v>4735</v>
      </c>
      <c r="P4" s="101" t="s">
        <v>4731</v>
      </c>
    </row>
    <row r="5" spans="1:16" x14ac:dyDescent="0.2">
      <c r="A5" t="s">
        <v>4736</v>
      </c>
      <c r="B5">
        <f>GETPIVOTDATA("Sum of Bark FT",$A$3)+GETPIVOTDATA("Sum of Foliage FT",$A$3)+GETPIVOTDATA("Sum of Ground FT",$A$3)</f>
        <v>1518</v>
      </c>
      <c r="J5">
        <f>SUM(GETPIVOTDATA("Sum of Bark FT",$A$3)+GETPIVOTDATA("Sum of bark FT (trunk or bare branch)",$A$9)+GETPIVOTDATA("Sum of Bark FT",$A$15)+GETPIVOTDATA("Sum of Bark FT",$A$21)+GETPIVOTDATA("Sum of Bark FT",$A$27))</f>
        <v>7108</v>
      </c>
      <c r="K5">
        <f>SUM(GETPIVOTDATA("Sum of Foliage FT",$A$3)+GETPIVOTDATA("Sum of Foliage FT",$A$9)+GETPIVOTDATA("Sum of Foliage FT",$A$15)+GETPIVOTDATA("Sum of Foliage FT",$A$21)+GETPIVOTDATA("Sum of Foliage FT",$A$27))</f>
        <v>3784</v>
      </c>
      <c r="L5">
        <f>SUM(GETPIVOTDATA("Sum of Interior FT",$A$3)+GETPIVOTDATA("Sum of Interior FT",$A$9)+GETPIVOTDATA("Sum of Interior FT",$A$15)+GETPIVOTDATA("Sum of Interior FT",$A$21)+GETPIVOTDATA("Sum of Interior FT",$A$27))</f>
        <v>5404</v>
      </c>
      <c r="M5">
        <f>SUM(GETPIVOTDATA("Sum of Exterior FT",$A$3)+GETPIVOTDATA("Sum of Exterior FT",$A$9)+GETPIVOTDATA("Sum of Exterior FT",$A$15)+GETPIVOTDATA("Sum of Exterior FT",$A$21)+GETPIVOTDATA("Sum of Exterior FT",$A$27))</f>
        <v>5488</v>
      </c>
      <c r="N5">
        <f>SUM(GETPIVOTDATA("Sum of Ground FT",$A$3)+GETPIVOTDATA("Sum of Ground",$A$9)+GETPIVOTDATA("Sum of Ground",$A$15)+GETPIVOTDATA("Sum of Ground",$A$21)+GETPIVOTDATA("Sum of Ground",$A$27))</f>
        <v>22792</v>
      </c>
      <c r="O5">
        <f>SUM(GETPIVOTDATA("Sum of Human surface",$A$9)+GETPIVOTDATA("Sum of Human surface",$A$27))</f>
        <v>90</v>
      </c>
      <c r="P5">
        <f>SUM(GETPIVOTDATA("Sum of Total foraging time",$A$3)+GETPIVOTDATA("Sum of Total foraging time",$A$9)+GETPIVOTDATA("Sum of Total foraging time",$A$15)+GETPIVOTDATA("Sum of Total foraging time",$A$21)+GETPIVOTDATA("Sum of Total foraging time",$A$27))</f>
        <v>33774</v>
      </c>
    </row>
    <row r="6" spans="1:16" x14ac:dyDescent="0.2">
      <c r="A6" t="s">
        <v>4737</v>
      </c>
      <c r="B6">
        <f>GETPIVOTDATA("Sum of Interior FT",$A$3)+GETPIVOTDATA("Sum of Exterior FT",$A$3)+GETPIVOTDATA("Sum of Ground FT",$A$3)</f>
        <v>1518</v>
      </c>
      <c r="O6" t="s">
        <v>4746</v>
      </c>
      <c r="P6">
        <f>SUM(J5+K5+N5+O5)</f>
        <v>33774</v>
      </c>
    </row>
    <row r="7" spans="1:16" x14ac:dyDescent="0.2">
      <c r="O7" t="s">
        <v>4746</v>
      </c>
      <c r="P7">
        <f>SUM(L5+M5+N5+O5)</f>
        <v>33774</v>
      </c>
    </row>
    <row r="8" spans="1:16" x14ac:dyDescent="0.2">
      <c r="A8" s="26" t="s">
        <v>4740</v>
      </c>
      <c r="I8" t="s">
        <v>4748</v>
      </c>
      <c r="J8">
        <f>LOG10(J5)</f>
        <v>3.8517474191332641</v>
      </c>
      <c r="K8">
        <f t="shared" ref="K8:P8" si="0">LOG10(K5)</f>
        <v>3.5779511277297553</v>
      </c>
      <c r="L8">
        <f t="shared" si="0"/>
        <v>3.7327153403499929</v>
      </c>
      <c r="M8">
        <f t="shared" si="0"/>
        <v>3.7394141026986953</v>
      </c>
      <c r="N8">
        <f t="shared" si="0"/>
        <v>4.3577824362314201</v>
      </c>
      <c r="O8">
        <f t="shared" si="0"/>
        <v>1.954242509439325</v>
      </c>
      <c r="P8">
        <f t="shared" si="0"/>
        <v>4.5285824990438455</v>
      </c>
    </row>
    <row r="9" spans="1:16" x14ac:dyDescent="0.2">
      <c r="A9" t="s">
        <v>4733</v>
      </c>
      <c r="B9" t="s">
        <v>4727</v>
      </c>
      <c r="C9" t="s">
        <v>4728</v>
      </c>
      <c r="D9" t="s">
        <v>4729</v>
      </c>
      <c r="E9" t="s">
        <v>4734</v>
      </c>
      <c r="F9" t="s">
        <v>4735</v>
      </c>
      <c r="G9" t="s">
        <v>4731</v>
      </c>
    </row>
    <row r="10" spans="1:16" x14ac:dyDescent="0.2">
      <c r="A10" s="29">
        <v>2625</v>
      </c>
      <c r="B10" s="29">
        <v>2166</v>
      </c>
      <c r="C10" s="29">
        <v>1752</v>
      </c>
      <c r="D10" s="29">
        <v>3039</v>
      </c>
      <c r="E10" s="29">
        <v>3879</v>
      </c>
      <c r="F10" s="29">
        <v>41</v>
      </c>
      <c r="G10" s="29">
        <v>8711</v>
      </c>
      <c r="I10" t="s">
        <v>4747</v>
      </c>
      <c r="J10" s="56">
        <f>J5/P5</f>
        <v>0.21045774856398414</v>
      </c>
      <c r="K10" s="56">
        <f>K5/P5</f>
        <v>0.11203884644993189</v>
      </c>
      <c r="L10" s="56">
        <f>L5/P5</f>
        <v>0.1600047373719429</v>
      </c>
      <c r="M10" s="56">
        <f>M5/P5</f>
        <v>0.1624918576419731</v>
      </c>
      <c r="N10" s="56">
        <f>N5/P5</f>
        <v>0.67483863326819449</v>
      </c>
      <c r="O10" s="56">
        <f>O5/P5</f>
        <v>2.6647717178895007E-3</v>
      </c>
    </row>
    <row r="11" spans="1:16" x14ac:dyDescent="0.2">
      <c r="A11" t="s">
        <v>4738</v>
      </c>
      <c r="B11">
        <f>SUM(GETPIVOTDATA("Sum of bark FT (trunk or bare branch)",$A$9)+GETPIVOTDATA("Sum of Foliage FT",$A$9)+GETPIVOTDATA("Sum of Ground",$A$9)+GETPIVOTDATA("Sum of Human surface",$A$9))</f>
        <v>8711</v>
      </c>
      <c r="J11" s="56">
        <f>J5/(L5+M5)</f>
        <v>0.65258905618802787</v>
      </c>
      <c r="K11" s="56">
        <f>K5/(L5+M5)</f>
        <v>0.34741094381197207</v>
      </c>
    </row>
    <row r="12" spans="1:16" x14ac:dyDescent="0.2">
      <c r="A12" t="s">
        <v>4739</v>
      </c>
      <c r="B12">
        <f>GETPIVOTDATA("Sum of Interior FT",$A$9)+GETPIVOTDATA("Sum of Exterior FT",$A$9)+GETPIVOTDATA("Sum of Ground",$A$9)+GETPIVOTDATA("Sum of Human surface",$A$9)</f>
        <v>8711</v>
      </c>
    </row>
    <row r="13" spans="1:16" x14ac:dyDescent="0.2">
      <c r="I13" t="s">
        <v>4723</v>
      </c>
    </row>
    <row r="14" spans="1:16" x14ac:dyDescent="0.2">
      <c r="A14" s="26" t="s">
        <v>4741</v>
      </c>
      <c r="I14" s="101" t="s">
        <v>4733</v>
      </c>
      <c r="J14" s="101" t="s">
        <v>4727</v>
      </c>
      <c r="K14" s="101" t="s">
        <v>4728</v>
      </c>
      <c r="L14" s="101" t="s">
        <v>4729</v>
      </c>
      <c r="M14" s="101" t="s">
        <v>4734</v>
      </c>
      <c r="N14" s="101" t="s">
        <v>4735</v>
      </c>
      <c r="O14" s="101" t="s">
        <v>4731</v>
      </c>
    </row>
    <row r="15" spans="1:16" x14ac:dyDescent="0.2">
      <c r="A15" t="s">
        <v>4726</v>
      </c>
      <c r="B15" t="s">
        <v>4727</v>
      </c>
      <c r="C15" t="s">
        <v>4728</v>
      </c>
      <c r="D15" t="s">
        <v>4729</v>
      </c>
      <c r="E15" t="s">
        <v>4734</v>
      </c>
      <c r="F15" t="s">
        <v>4731</v>
      </c>
      <c r="I15">
        <f>SUM(GETPIVOTDATA("Sum of Bark FT",$A$3)+GETPIVOTDATA("Sum of Bark FT",$A$15))</f>
        <v>3565</v>
      </c>
      <c r="J15">
        <f>SUM(GETPIVOTDATA("Sum of Foliage FT",$A$3)+GETPIVOTDATA("Sum of Foliage FT",$A$15))</f>
        <v>792</v>
      </c>
      <c r="K15">
        <f>SUM(GETPIVOTDATA("Sum of Interior FT",$A$3)+GETPIVOTDATA("Sum of Interior FT",$A$15))</f>
        <v>2618</v>
      </c>
      <c r="L15">
        <f>SUM(GETPIVOTDATA("Sum of Exterior FT",$A$3)+GETPIVOTDATA("Sum of Exterior FT",$A$15))</f>
        <v>1739</v>
      </c>
      <c r="M15">
        <f>SUM(GETPIVOTDATA("Sum of Ground FT",$A$3)+GETPIVOTDATA("Sum of Ground",$A$15))</f>
        <v>15665</v>
      </c>
      <c r="O15">
        <f>SUM(I15+J15+M15)</f>
        <v>20022</v>
      </c>
    </row>
    <row r="16" spans="1:16" x14ac:dyDescent="0.2">
      <c r="A16" s="29">
        <v>2427</v>
      </c>
      <c r="B16" s="29">
        <v>414</v>
      </c>
      <c r="C16" s="29">
        <v>1639</v>
      </c>
      <c r="D16" s="29">
        <v>1202</v>
      </c>
      <c r="E16" s="29">
        <v>15663</v>
      </c>
      <c r="F16" s="29">
        <v>18504</v>
      </c>
      <c r="H16" t="s">
        <v>4690</v>
      </c>
      <c r="I16" s="56">
        <f>I15/O15</f>
        <v>0.17805414044550993</v>
      </c>
      <c r="J16" s="56">
        <f>J15/O15</f>
        <v>3.9556487863350316E-2</v>
      </c>
      <c r="K16" s="56">
        <f>K15/O15</f>
        <v>0.13075616821496355</v>
      </c>
      <c r="L16" s="56">
        <f>L15/O15</f>
        <v>8.6854460093896718E-2</v>
      </c>
      <c r="M16" s="56">
        <f>M15/O15</f>
        <v>0.78238937169113976</v>
      </c>
    </row>
    <row r="17" spans="1:15" x14ac:dyDescent="0.2">
      <c r="A17" t="s">
        <v>4736</v>
      </c>
      <c r="B17">
        <f>SUM(GETPIVOTDATA("Sum of Bark FT",$A$15)+GETPIVOTDATA("Sum of Foliage FT",$A$15)+GETPIVOTDATA("Sum of Ground",$A$15))</f>
        <v>18504</v>
      </c>
      <c r="H17" t="s">
        <v>4751</v>
      </c>
      <c r="I17" s="56">
        <f>I15/O17</f>
        <v>0.81822354831305943</v>
      </c>
      <c r="J17" s="56">
        <f>J15/O17</f>
        <v>0.18177645168694057</v>
      </c>
      <c r="K17" s="56">
        <f>K15/O17</f>
        <v>0.60087215974294239</v>
      </c>
      <c r="L17" s="56">
        <f>L15/O17</f>
        <v>0.39912784025705761</v>
      </c>
      <c r="O17">
        <f>O15-(M15)</f>
        <v>4357</v>
      </c>
    </row>
    <row r="18" spans="1:15" x14ac:dyDescent="0.2">
      <c r="A18" t="s">
        <v>4737</v>
      </c>
      <c r="B18">
        <f>SUM(GETPIVOTDATA("Sum of Interior FT",$A$15)+GETPIVOTDATA("Sum of Exterior FT",$A$15)+GETPIVOTDATA("Sum of Ground",$A$15))</f>
        <v>18504</v>
      </c>
      <c r="I18" t="s">
        <v>4724</v>
      </c>
    </row>
    <row r="19" spans="1:15" x14ac:dyDescent="0.2">
      <c r="I19" s="101" t="s">
        <v>4733</v>
      </c>
      <c r="J19" s="101" t="s">
        <v>4727</v>
      </c>
      <c r="K19" s="101" t="s">
        <v>4728</v>
      </c>
      <c r="L19" s="101" t="s">
        <v>4729</v>
      </c>
      <c r="M19" s="101" t="s">
        <v>4734</v>
      </c>
      <c r="N19" s="101" t="s">
        <v>4735</v>
      </c>
      <c r="O19" s="101" t="s">
        <v>4731</v>
      </c>
    </row>
    <row r="20" spans="1:15" x14ac:dyDescent="0.2">
      <c r="A20" s="111">
        <v>43617</v>
      </c>
      <c r="I20">
        <f>SUM(GETPIVOTDATA("Sum of bark FT (trunk or bare branch)",$A$9)+GETPIVOTDATA("Sum of Bark FT",$A$27))</f>
        <v>3022</v>
      </c>
      <c r="J20">
        <f>SUM(GETPIVOTDATA("Sum of Foliage FT",$A$9)+GETPIVOTDATA("Sum of Foliage FT",$A$27))</f>
        <v>2504</v>
      </c>
      <c r="K20">
        <f>SUM(GETPIVOTDATA("Sum of Interior FT",$A$9)+GETPIVOTDATA("Sum of Interior FT",$A$27))</f>
        <v>2130</v>
      </c>
      <c r="L20">
        <f>SUM(GETPIVOTDATA("Sum of Exterior FT",$A$9)+GETPIVOTDATA("Sum of Exterior FT",$A$27))</f>
        <v>3396</v>
      </c>
      <c r="M20">
        <f>SUM(GETPIVOTDATA("Sum of Ground",$A$9)+GETPIVOTDATA("Sum of Ground",$A$27))</f>
        <v>6710</v>
      </c>
      <c r="N20">
        <f>SUM(GETPIVOTDATA("Sum of Human surface",$A$9)+GETPIVOTDATA("Sum of Human surface",$A$27))</f>
        <v>90</v>
      </c>
      <c r="O20">
        <f>SUM(I20+J20+M20+N20)</f>
        <v>12326</v>
      </c>
    </row>
    <row r="21" spans="1:15" x14ac:dyDescent="0.2">
      <c r="A21" t="s">
        <v>4726</v>
      </c>
      <c r="B21" t="s">
        <v>4727</v>
      </c>
      <c r="C21" t="s">
        <v>4728</v>
      </c>
      <c r="D21" t="s">
        <v>4729</v>
      </c>
      <c r="E21" t="s">
        <v>4734</v>
      </c>
      <c r="F21" t="s">
        <v>4731</v>
      </c>
      <c r="H21" t="s">
        <v>4690</v>
      </c>
      <c r="I21" s="56">
        <f>I20/O20</f>
        <v>0.24517280545189032</v>
      </c>
      <c r="J21" s="56">
        <f>J20/O20</f>
        <v>0.20314781762128833</v>
      </c>
      <c r="K21" s="56">
        <f>K20/O20</f>
        <v>0.17280545189031316</v>
      </c>
      <c r="L21" s="56">
        <f>L20/O20</f>
        <v>0.2755151711828655</v>
      </c>
      <c r="M21" s="56">
        <f>M20/O20</f>
        <v>0.54437773811455459</v>
      </c>
      <c r="N21" s="56">
        <f>N20/O20</f>
        <v>7.301638812266753E-3</v>
      </c>
    </row>
    <row r="22" spans="1:15" x14ac:dyDescent="0.2">
      <c r="A22" s="29">
        <v>521</v>
      </c>
      <c r="B22" s="29">
        <v>488</v>
      </c>
      <c r="C22" s="29">
        <v>656</v>
      </c>
      <c r="D22" s="29">
        <v>353</v>
      </c>
      <c r="E22" s="29">
        <v>417</v>
      </c>
      <c r="F22" s="29">
        <v>1426</v>
      </c>
      <c r="H22" t="s">
        <v>4751</v>
      </c>
      <c r="I22" s="56">
        <f>I20/O22</f>
        <v>0.54686934491494754</v>
      </c>
      <c r="J22" s="56">
        <f>J20/O22</f>
        <v>0.45313065508505246</v>
      </c>
      <c r="K22" s="56">
        <f>K20/O22</f>
        <v>0.38545059717698155</v>
      </c>
      <c r="L22" s="56">
        <f>L20/O22</f>
        <v>0.61454940282301851</v>
      </c>
      <c r="O22">
        <f>O20-M20-N20</f>
        <v>5526</v>
      </c>
    </row>
    <row r="23" spans="1:15" x14ac:dyDescent="0.2">
      <c r="A23" t="s">
        <v>4736</v>
      </c>
      <c r="B23">
        <f>SUM(GETPIVOTDATA("Sum of Bark FT",$A$21)+GETPIVOTDATA("Sum of Foliage FT",$A$21)+GETPIVOTDATA("Sum of Ground",$A$21))</f>
        <v>1426</v>
      </c>
    </row>
    <row r="24" spans="1:15" x14ac:dyDescent="0.2">
      <c r="A24" t="s">
        <v>4737</v>
      </c>
      <c r="B24">
        <f>SUM(GETPIVOTDATA("Sum of Interior FT",$A$21)+GETPIVOTDATA("Sum of Exterior FT",$A$21)+GETPIVOTDATA("Sum of Ground",$A$21))</f>
        <v>1426</v>
      </c>
    </row>
    <row r="26" spans="1:15" x14ac:dyDescent="0.2">
      <c r="A26" s="111">
        <v>43678</v>
      </c>
      <c r="K26" t="s">
        <v>4749</v>
      </c>
      <c r="L26">
        <f>SUM(L5+M5)</f>
        <v>10892</v>
      </c>
      <c r="M26" s="56">
        <f>L26/L28</f>
        <v>0.32249659501391603</v>
      </c>
    </row>
    <row r="27" spans="1:15" x14ac:dyDescent="0.2">
      <c r="A27" t="s">
        <v>4726</v>
      </c>
      <c r="B27" t="s">
        <v>4727</v>
      </c>
      <c r="C27" t="s">
        <v>4728</v>
      </c>
      <c r="D27" t="s">
        <v>4729</v>
      </c>
      <c r="E27" t="s">
        <v>4734</v>
      </c>
      <c r="F27" t="s">
        <v>4735</v>
      </c>
      <c r="G27" t="s">
        <v>4731</v>
      </c>
      <c r="K27" t="s">
        <v>4750</v>
      </c>
      <c r="L27">
        <f>N5</f>
        <v>22792</v>
      </c>
      <c r="M27" s="56">
        <f>L27/L28</f>
        <v>0.67483863326819449</v>
      </c>
    </row>
    <row r="28" spans="1:15" x14ac:dyDescent="0.2">
      <c r="A28" s="29">
        <v>397</v>
      </c>
      <c r="B28" s="29">
        <v>338</v>
      </c>
      <c r="C28" s="29">
        <v>378</v>
      </c>
      <c r="D28" s="29">
        <v>357</v>
      </c>
      <c r="E28" s="29">
        <v>2831</v>
      </c>
      <c r="F28" s="29">
        <v>49</v>
      </c>
      <c r="G28" s="29">
        <v>3615</v>
      </c>
      <c r="K28" t="s">
        <v>4690</v>
      </c>
      <c r="L28">
        <f>P5</f>
        <v>33774</v>
      </c>
    </row>
    <row r="29" spans="1:15" x14ac:dyDescent="0.2">
      <c r="A29" t="s">
        <v>4738</v>
      </c>
      <c r="B29">
        <f>SUM(GETPIVOTDATA("Sum of Bark FT",$A$27)+GETPIVOTDATA("Sum of Foliage FT",$A$27)+GETPIVOTDATA("Sum of Ground",$A$27)+GETPIVOTDATA("Sum of Human surface",$A$27))</f>
        <v>3615</v>
      </c>
    </row>
    <row r="30" spans="1:15" x14ac:dyDescent="0.2">
      <c r="A30" t="s">
        <v>4739</v>
      </c>
      <c r="B30">
        <f>SUM(GETPIVOTDATA("Sum of Interior FT",$A$27)+GETPIVOTDATA("Sum of Exterior FT",$A$27)+GETPIVOTDATA("Sum of Ground",$A$27)+GETPIVOTDATA("Sum of Human surface",$A$27))</f>
        <v>3615</v>
      </c>
    </row>
    <row r="40" spans="1:15" x14ac:dyDescent="0.2">
      <c r="A40" t="s">
        <v>5062</v>
      </c>
    </row>
    <row r="41" spans="1:15" x14ac:dyDescent="0.2">
      <c r="A41" s="27" t="s">
        <v>4689</v>
      </c>
    </row>
    <row r="42" spans="1:15" x14ac:dyDescent="0.2">
      <c r="A42" t="s">
        <v>4026</v>
      </c>
      <c r="D42" t="s">
        <v>4027</v>
      </c>
      <c r="G42" t="s">
        <v>4028</v>
      </c>
      <c r="J42" t="s">
        <v>2298</v>
      </c>
      <c r="M42" t="s">
        <v>5059</v>
      </c>
      <c r="N42" t="s">
        <v>5060</v>
      </c>
      <c r="O42" t="s">
        <v>5061</v>
      </c>
    </row>
    <row r="43" spans="1:15" x14ac:dyDescent="0.2">
      <c r="A43" t="s">
        <v>4728</v>
      </c>
      <c r="B43" t="s">
        <v>4729</v>
      </c>
      <c r="C43" t="s">
        <v>4734</v>
      </c>
      <c r="D43" t="s">
        <v>4728</v>
      </c>
      <c r="E43" t="s">
        <v>4729</v>
      </c>
      <c r="F43" t="s">
        <v>4734</v>
      </c>
      <c r="G43" t="s">
        <v>4728</v>
      </c>
      <c r="H43" t="s">
        <v>4729</v>
      </c>
      <c r="I43" t="s">
        <v>4734</v>
      </c>
      <c r="J43" t="s">
        <v>4728</v>
      </c>
      <c r="K43" t="s">
        <v>4729</v>
      </c>
      <c r="L43" t="s">
        <v>4734</v>
      </c>
    </row>
    <row r="44" spans="1:15" x14ac:dyDescent="0.2">
      <c r="A44" s="29">
        <v>277</v>
      </c>
      <c r="B44" s="29">
        <v>175</v>
      </c>
      <c r="C44" s="29">
        <v>2878</v>
      </c>
      <c r="D44" s="29">
        <v>1308</v>
      </c>
      <c r="E44" s="29">
        <v>998</v>
      </c>
      <c r="F44" s="29">
        <v>10657</v>
      </c>
      <c r="G44" s="29">
        <v>54</v>
      </c>
      <c r="H44" s="29">
        <v>29</v>
      </c>
      <c r="I44" s="29">
        <v>2128</v>
      </c>
      <c r="J44" s="29"/>
      <c r="K44" s="29"/>
      <c r="L44" s="29"/>
      <c r="M44" s="29">
        <v>1639</v>
      </c>
      <c r="N44" s="29">
        <v>1202</v>
      </c>
      <c r="O44" s="29">
        <v>15663</v>
      </c>
    </row>
    <row r="45" spans="1:15" x14ac:dyDescent="0.2">
      <c r="A45" s="152">
        <v>979</v>
      </c>
      <c r="B45" s="152">
        <v>537</v>
      </c>
      <c r="C45" s="152">
        <v>2</v>
      </c>
    </row>
    <row r="47" spans="1:15" x14ac:dyDescent="0.2">
      <c r="D47" t="s">
        <v>5066</v>
      </c>
    </row>
    <row r="48" spans="1:15" x14ac:dyDescent="0.2">
      <c r="A48" t="s">
        <v>5063</v>
      </c>
      <c r="C48">
        <f>SUM(GETPIVOTDATA("Sum of Total foraging time",$A$3)+GETPIVOTDATA("Sum of Total foraging time",$A$15))</f>
        <v>20022</v>
      </c>
    </row>
    <row r="49" spans="1:4" x14ac:dyDescent="0.2">
      <c r="A49" t="s">
        <v>5064</v>
      </c>
      <c r="C49">
        <f>GETPIVOTDATA("Sum of Ground FT",$A$3)+GETPIVOTDATA("Sum of Ground",$A$15)</f>
        <v>15665</v>
      </c>
      <c r="D49">
        <f>C49/C48</f>
        <v>0.78238937169113976</v>
      </c>
    </row>
    <row r="50" spans="1:4" x14ac:dyDescent="0.2">
      <c r="A50" t="s">
        <v>5065</v>
      </c>
      <c r="C50">
        <f>SUM(GETPIVOTDATA("Sum of Interior FT",$A$3)+GETPIVOTDATA("Sum of Exterior FT",$A$3)+GETPIVOTDATA("Sum of Interior FT",$A$15)+GETPIVOTDATA("Sum of Exterior FT",$A$15))</f>
        <v>4357</v>
      </c>
      <c r="D50">
        <f>C50/C48</f>
        <v>0.21761062830886024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C9563-01AC-1549-8A7E-2E1138C7332B}">
  <sheetPr>
    <tabColor theme="8" tint="0.79998168889431442"/>
  </sheetPr>
  <dimension ref="A1:AP180"/>
  <sheetViews>
    <sheetView topLeftCell="A3" workbookViewId="0">
      <selection activeCell="H24" sqref="H24"/>
    </sheetView>
  </sheetViews>
  <sheetFormatPr baseColWidth="10" defaultRowHeight="16" x14ac:dyDescent="0.2"/>
  <sheetData>
    <row r="1" spans="1:42" x14ac:dyDescent="0.2">
      <c r="A1" t="s">
        <v>25</v>
      </c>
      <c r="B1" t="s">
        <v>0</v>
      </c>
      <c r="C1" t="s">
        <v>2033</v>
      </c>
      <c r="D1" t="s">
        <v>2034</v>
      </c>
      <c r="E1" t="s">
        <v>1</v>
      </c>
      <c r="F1" t="s">
        <v>2</v>
      </c>
      <c r="G1" t="s">
        <v>4025</v>
      </c>
      <c r="H1" t="s">
        <v>5058</v>
      </c>
      <c r="I1" t="s">
        <v>4</v>
      </c>
      <c r="J1" t="s">
        <v>3</v>
      </c>
      <c r="K1" t="s">
        <v>9</v>
      </c>
      <c r="L1" t="s">
        <v>106</v>
      </c>
      <c r="M1" t="s">
        <v>5</v>
      </c>
      <c r="N1" t="s">
        <v>6</v>
      </c>
      <c r="O1" t="s">
        <v>7</v>
      </c>
      <c r="P1" t="s">
        <v>98</v>
      </c>
      <c r="Q1" t="s">
        <v>4029</v>
      </c>
      <c r="R1" t="s">
        <v>551</v>
      </c>
      <c r="S1" t="s">
        <v>113</v>
      </c>
      <c r="T1" t="s">
        <v>114</v>
      </c>
      <c r="U1" t="s">
        <v>3995</v>
      </c>
      <c r="V1" t="s">
        <v>3996</v>
      </c>
      <c r="W1" t="s">
        <v>4000</v>
      </c>
      <c r="X1" t="s">
        <v>2335</v>
      </c>
      <c r="Y1" t="s">
        <v>2378</v>
      </c>
      <c r="AA1" t="s">
        <v>912</v>
      </c>
      <c r="AB1" s="19" t="s">
        <v>2038</v>
      </c>
      <c r="AC1" s="19" t="s">
        <v>2039</v>
      </c>
      <c r="AD1" s="19" t="s">
        <v>2607</v>
      </c>
      <c r="AE1" s="19" t="s">
        <v>2608</v>
      </c>
      <c r="AF1" s="19" t="s">
        <v>3222</v>
      </c>
      <c r="AG1" t="s">
        <v>19</v>
      </c>
      <c r="AH1" t="s">
        <v>20</v>
      </c>
      <c r="AI1" t="s">
        <v>18</v>
      </c>
      <c r="AJ1" t="s">
        <v>21</v>
      </c>
      <c r="AK1" t="s">
        <v>122</v>
      </c>
      <c r="AL1" t="s">
        <v>8</v>
      </c>
      <c r="AM1" t="s">
        <v>15</v>
      </c>
      <c r="AN1" t="s">
        <v>17</v>
      </c>
      <c r="AO1" t="s">
        <v>56</v>
      </c>
      <c r="AP1" t="s">
        <v>57</v>
      </c>
    </row>
    <row r="2" spans="1:42" x14ac:dyDescent="0.2">
      <c r="A2" t="s">
        <v>2549</v>
      </c>
      <c r="B2" t="s">
        <v>2550</v>
      </c>
      <c r="C2">
        <v>3</v>
      </c>
      <c r="D2">
        <v>1</v>
      </c>
      <c r="E2" t="s">
        <v>324</v>
      </c>
      <c r="F2" s="1">
        <v>43550</v>
      </c>
      <c r="G2" s="1" t="s">
        <v>4026</v>
      </c>
      <c r="H2" s="1"/>
      <c r="I2" s="2">
        <v>4.9305555555555554E-2</v>
      </c>
      <c r="J2" s="5" t="s">
        <v>640</v>
      </c>
      <c r="K2" t="s">
        <v>325</v>
      </c>
      <c r="L2" t="s">
        <v>156</v>
      </c>
      <c r="M2" t="s">
        <v>23</v>
      </c>
      <c r="N2">
        <v>0</v>
      </c>
      <c r="O2">
        <v>0</v>
      </c>
      <c r="P2">
        <v>1</v>
      </c>
      <c r="Q2" t="s">
        <v>176</v>
      </c>
      <c r="R2" t="s">
        <v>24</v>
      </c>
      <c r="S2" t="s">
        <v>2383</v>
      </c>
      <c r="T2" t="s">
        <v>2088</v>
      </c>
      <c r="U2" s="5" t="s">
        <v>23</v>
      </c>
      <c r="V2" s="5" t="s">
        <v>3997</v>
      </c>
      <c r="W2" s="5" t="s">
        <v>4021</v>
      </c>
      <c r="X2" t="s">
        <v>2551</v>
      </c>
      <c r="Y2">
        <v>0</v>
      </c>
      <c r="AA2" t="s">
        <v>24</v>
      </c>
      <c r="AB2">
        <v>63.723170000000003</v>
      </c>
      <c r="AC2">
        <v>148.89055999999999</v>
      </c>
      <c r="AG2">
        <v>0</v>
      </c>
      <c r="AH2">
        <v>0</v>
      </c>
      <c r="AI2">
        <v>0</v>
      </c>
      <c r="AJ2">
        <v>0</v>
      </c>
      <c r="AK2">
        <v>0</v>
      </c>
      <c r="AL2">
        <v>0</v>
      </c>
    </row>
    <row r="3" spans="1:42" x14ac:dyDescent="0.2">
      <c r="A3" t="s">
        <v>3090</v>
      </c>
      <c r="B3" t="s">
        <v>3091</v>
      </c>
      <c r="C3">
        <v>9</v>
      </c>
      <c r="D3">
        <v>1</v>
      </c>
      <c r="E3" t="s">
        <v>2601</v>
      </c>
      <c r="F3" s="1">
        <v>43570</v>
      </c>
      <c r="G3" s="1" t="s">
        <v>4027</v>
      </c>
      <c r="H3" s="1"/>
      <c r="I3" s="2">
        <v>8.2638888888888887E-2</v>
      </c>
      <c r="J3" t="s">
        <v>101</v>
      </c>
      <c r="K3" t="s">
        <v>177</v>
      </c>
      <c r="L3" t="s">
        <v>111</v>
      </c>
      <c r="M3" t="s">
        <v>23</v>
      </c>
      <c r="N3">
        <v>0</v>
      </c>
      <c r="O3">
        <v>0</v>
      </c>
      <c r="P3">
        <v>1</v>
      </c>
      <c r="Q3" t="s">
        <v>598</v>
      </c>
      <c r="R3" s="5" t="s">
        <v>3089</v>
      </c>
      <c r="T3" s="5" t="s">
        <v>2088</v>
      </c>
      <c r="U3" s="5" t="s">
        <v>23</v>
      </c>
      <c r="V3" s="5" t="s">
        <v>3997</v>
      </c>
      <c r="W3" s="5" t="s">
        <v>4021</v>
      </c>
      <c r="X3" t="s">
        <v>2551</v>
      </c>
      <c r="Y3">
        <v>0</v>
      </c>
      <c r="AA3">
        <v>40</v>
      </c>
      <c r="AB3">
        <v>63.724319999999999</v>
      </c>
      <c r="AC3">
        <v>148.9547</v>
      </c>
      <c r="AD3" s="5" t="s">
        <v>115</v>
      </c>
      <c r="AE3" s="5" t="s">
        <v>115</v>
      </c>
      <c r="AF3" s="5"/>
      <c r="AG3">
        <v>0</v>
      </c>
      <c r="AH3">
        <v>0</v>
      </c>
      <c r="AI3">
        <v>0</v>
      </c>
      <c r="AJ3">
        <v>0</v>
      </c>
      <c r="AK3">
        <v>0</v>
      </c>
      <c r="AL3">
        <v>0</v>
      </c>
      <c r="AN3" t="s">
        <v>3092</v>
      </c>
    </row>
    <row r="4" spans="1:42" x14ac:dyDescent="0.2">
      <c r="A4" t="s">
        <v>4273</v>
      </c>
      <c r="B4" t="s">
        <v>4275</v>
      </c>
      <c r="C4">
        <v>9</v>
      </c>
      <c r="D4">
        <v>2</v>
      </c>
      <c r="E4" t="s">
        <v>213</v>
      </c>
      <c r="F4" s="1">
        <v>43688</v>
      </c>
      <c r="G4" t="s">
        <v>4031</v>
      </c>
      <c r="H4" t="s">
        <v>4724</v>
      </c>
      <c r="I4" s="2">
        <v>6.8749999999999992E-2</v>
      </c>
      <c r="J4" t="s">
        <v>640</v>
      </c>
      <c r="K4" t="s">
        <v>4258</v>
      </c>
      <c r="L4" t="s">
        <v>111</v>
      </c>
      <c r="M4" t="s">
        <v>23</v>
      </c>
      <c r="N4">
        <v>0</v>
      </c>
      <c r="O4">
        <v>0</v>
      </c>
      <c r="P4">
        <v>1</v>
      </c>
      <c r="Q4" t="s">
        <v>176</v>
      </c>
      <c r="R4" t="s">
        <v>176</v>
      </c>
      <c r="S4" t="s">
        <v>176</v>
      </c>
      <c r="T4" t="s">
        <v>4168</v>
      </c>
      <c r="U4" t="s">
        <v>23</v>
      </c>
      <c r="V4" t="s">
        <v>3997</v>
      </c>
      <c r="W4" t="s">
        <v>4022</v>
      </c>
      <c r="Y4">
        <v>6</v>
      </c>
      <c r="AA4" t="s">
        <v>176</v>
      </c>
      <c r="AB4" s="19">
        <v>63.718780000000002</v>
      </c>
      <c r="AC4" s="19">
        <v>148.97704999999999</v>
      </c>
      <c r="AD4" t="s">
        <v>115</v>
      </c>
      <c r="AE4" t="s">
        <v>115</v>
      </c>
      <c r="AF4" t="s">
        <v>115</v>
      </c>
      <c r="AG4">
        <v>0</v>
      </c>
      <c r="AH4">
        <v>0</v>
      </c>
      <c r="AI4">
        <v>0</v>
      </c>
      <c r="AJ4">
        <v>0</v>
      </c>
      <c r="AK4">
        <v>0</v>
      </c>
      <c r="AL4">
        <v>0</v>
      </c>
      <c r="AM4">
        <v>0</v>
      </c>
    </row>
    <row r="5" spans="1:42" x14ac:dyDescent="0.2">
      <c r="A5" t="s">
        <v>4383</v>
      </c>
      <c r="B5" t="s">
        <v>4384</v>
      </c>
      <c r="C5">
        <v>13</v>
      </c>
      <c r="D5">
        <v>1</v>
      </c>
      <c r="E5" t="s">
        <v>213</v>
      </c>
      <c r="F5" s="1">
        <v>43692</v>
      </c>
      <c r="G5" t="s">
        <v>4031</v>
      </c>
      <c r="H5" t="s">
        <v>4724</v>
      </c>
      <c r="I5" s="2">
        <v>6.3194444444444442E-2</v>
      </c>
      <c r="J5" t="s">
        <v>4358</v>
      </c>
      <c r="K5" t="s">
        <v>4258</v>
      </c>
      <c r="L5" t="s">
        <v>111</v>
      </c>
      <c r="M5" t="s">
        <v>23</v>
      </c>
      <c r="N5">
        <v>0</v>
      </c>
      <c r="O5">
        <v>0</v>
      </c>
      <c r="P5">
        <v>1</v>
      </c>
      <c r="Q5" t="s">
        <v>176</v>
      </c>
      <c r="R5" t="s">
        <v>176</v>
      </c>
      <c r="S5" t="s">
        <v>122</v>
      </c>
      <c r="T5" t="s">
        <v>4385</v>
      </c>
      <c r="U5" t="s">
        <v>23</v>
      </c>
      <c r="V5" t="s">
        <v>3997</v>
      </c>
      <c r="W5" t="s">
        <v>3810</v>
      </c>
      <c r="Y5">
        <v>6</v>
      </c>
      <c r="AA5">
        <v>20</v>
      </c>
      <c r="AB5" s="19">
        <v>63.718119999999999</v>
      </c>
      <c r="AC5" s="19">
        <v>148.97382999999999</v>
      </c>
      <c r="AD5" t="s">
        <v>115</v>
      </c>
      <c r="AE5" t="s">
        <v>115</v>
      </c>
      <c r="AF5" t="s">
        <v>115</v>
      </c>
      <c r="AG5">
        <v>0</v>
      </c>
      <c r="AH5">
        <v>0</v>
      </c>
      <c r="AI5">
        <v>0</v>
      </c>
      <c r="AJ5">
        <v>0</v>
      </c>
      <c r="AK5">
        <v>0</v>
      </c>
      <c r="AL5">
        <v>0</v>
      </c>
      <c r="AM5">
        <v>0</v>
      </c>
    </row>
    <row r="6" spans="1:42" x14ac:dyDescent="0.2">
      <c r="A6" t="s">
        <v>4455</v>
      </c>
      <c r="B6" t="s">
        <v>4461</v>
      </c>
      <c r="C6">
        <v>9</v>
      </c>
      <c r="D6">
        <v>2</v>
      </c>
      <c r="E6" t="s">
        <v>213</v>
      </c>
      <c r="F6" s="1">
        <v>43697</v>
      </c>
      <c r="G6" t="s">
        <v>4031</v>
      </c>
      <c r="H6" t="s">
        <v>4724</v>
      </c>
      <c r="I6" s="2">
        <v>7.4305555555555555E-2</v>
      </c>
      <c r="J6" t="s">
        <v>640</v>
      </c>
      <c r="K6" t="s">
        <v>4280</v>
      </c>
      <c r="L6" t="s">
        <v>568</v>
      </c>
      <c r="M6" t="s">
        <v>23</v>
      </c>
      <c r="N6">
        <v>1</v>
      </c>
      <c r="O6">
        <v>0</v>
      </c>
      <c r="P6">
        <v>1</v>
      </c>
      <c r="Q6" t="s">
        <v>176</v>
      </c>
      <c r="R6" t="s">
        <v>176</v>
      </c>
      <c r="S6" t="s">
        <v>122</v>
      </c>
      <c r="T6" t="s">
        <v>4168</v>
      </c>
      <c r="U6" t="s">
        <v>23</v>
      </c>
      <c r="V6" t="s">
        <v>3997</v>
      </c>
      <c r="W6" t="s">
        <v>4420</v>
      </c>
      <c r="Y6">
        <v>15</v>
      </c>
      <c r="AA6">
        <v>4</v>
      </c>
      <c r="AB6" s="19">
        <v>63.71998</v>
      </c>
      <c r="AC6" s="19">
        <v>148.97801000000001</v>
      </c>
      <c r="AD6" t="s">
        <v>115</v>
      </c>
      <c r="AE6" t="s">
        <v>115</v>
      </c>
      <c r="AF6" t="s">
        <v>115</v>
      </c>
      <c r="AG6">
        <v>0</v>
      </c>
      <c r="AH6">
        <v>0</v>
      </c>
      <c r="AI6">
        <v>0</v>
      </c>
      <c r="AJ6">
        <v>0</v>
      </c>
      <c r="AK6">
        <v>28</v>
      </c>
      <c r="AL6">
        <v>0</v>
      </c>
      <c r="AM6">
        <v>28</v>
      </c>
    </row>
    <row r="7" spans="1:42" x14ac:dyDescent="0.2">
      <c r="A7" t="s">
        <v>4611</v>
      </c>
      <c r="B7" t="s">
        <v>4612</v>
      </c>
      <c r="C7">
        <v>1</v>
      </c>
      <c r="D7">
        <v>1</v>
      </c>
      <c r="E7" t="s">
        <v>2586</v>
      </c>
      <c r="F7" s="1">
        <v>43704</v>
      </c>
      <c r="G7" t="s">
        <v>4031</v>
      </c>
      <c r="H7" t="s">
        <v>4724</v>
      </c>
      <c r="I7" s="2">
        <v>3.0555555555555555E-2</v>
      </c>
      <c r="J7" t="s">
        <v>398</v>
      </c>
      <c r="K7" t="s">
        <v>4339</v>
      </c>
      <c r="L7" t="s">
        <v>4412</v>
      </c>
      <c r="M7" t="s">
        <v>23</v>
      </c>
      <c r="N7">
        <v>1</v>
      </c>
      <c r="O7">
        <v>0</v>
      </c>
      <c r="P7">
        <v>1</v>
      </c>
      <c r="Q7" t="s">
        <v>176</v>
      </c>
      <c r="R7" t="s">
        <v>176</v>
      </c>
      <c r="S7" t="s">
        <v>176</v>
      </c>
      <c r="T7" t="s">
        <v>4386</v>
      </c>
      <c r="U7" t="s">
        <v>23</v>
      </c>
      <c r="V7" t="s">
        <v>3999</v>
      </c>
      <c r="W7" t="s">
        <v>4022</v>
      </c>
      <c r="Y7">
        <v>19</v>
      </c>
      <c r="AA7" t="s">
        <v>176</v>
      </c>
      <c r="AB7" s="19">
        <v>63.723489999999998</v>
      </c>
      <c r="AC7" s="19">
        <v>148.88754</v>
      </c>
      <c r="AD7" t="s">
        <v>115</v>
      </c>
      <c r="AE7" t="s">
        <v>115</v>
      </c>
      <c r="AF7" t="s">
        <v>115</v>
      </c>
      <c r="AG7">
        <v>0</v>
      </c>
      <c r="AH7">
        <v>0</v>
      </c>
      <c r="AI7">
        <v>0</v>
      </c>
      <c r="AJ7">
        <v>0</v>
      </c>
      <c r="AK7">
        <v>0</v>
      </c>
      <c r="AL7">
        <v>0</v>
      </c>
      <c r="AM7">
        <v>0</v>
      </c>
      <c r="AO7" t="s">
        <v>4558</v>
      </c>
    </row>
    <row r="8" spans="1:42" x14ac:dyDescent="0.2">
      <c r="A8" t="s">
        <v>4369</v>
      </c>
      <c r="B8" t="s">
        <v>4370</v>
      </c>
      <c r="C8">
        <v>7</v>
      </c>
      <c r="D8">
        <v>2</v>
      </c>
      <c r="E8" t="s">
        <v>213</v>
      </c>
      <c r="F8" s="1">
        <v>43692</v>
      </c>
      <c r="G8" t="s">
        <v>4031</v>
      </c>
      <c r="H8" t="s">
        <v>4724</v>
      </c>
      <c r="I8" s="2">
        <v>1.6666666666666666E-2</v>
      </c>
      <c r="J8" t="s">
        <v>4358</v>
      </c>
      <c r="K8" t="s">
        <v>176</v>
      </c>
      <c r="L8" t="s">
        <v>111</v>
      </c>
      <c r="M8" t="s">
        <v>23</v>
      </c>
      <c r="N8">
        <v>1</v>
      </c>
      <c r="O8">
        <v>0</v>
      </c>
      <c r="P8">
        <v>1</v>
      </c>
      <c r="Q8" t="s">
        <v>176</v>
      </c>
      <c r="R8" t="s">
        <v>176</v>
      </c>
      <c r="S8" t="s">
        <v>176</v>
      </c>
      <c r="T8" t="s">
        <v>4168</v>
      </c>
      <c r="U8" t="s">
        <v>23</v>
      </c>
      <c r="V8" t="s">
        <v>3997</v>
      </c>
      <c r="W8" t="s">
        <v>4022</v>
      </c>
      <c r="Y8">
        <v>22</v>
      </c>
      <c r="AA8" t="s">
        <v>176</v>
      </c>
      <c r="AB8" s="19">
        <v>63.717779999999998</v>
      </c>
      <c r="AC8" s="19">
        <v>148.97417999999999</v>
      </c>
      <c r="AD8" t="s">
        <v>115</v>
      </c>
      <c r="AE8" t="s">
        <v>115</v>
      </c>
      <c r="AF8" t="s">
        <v>115</v>
      </c>
      <c r="AG8">
        <v>0</v>
      </c>
      <c r="AH8">
        <v>0</v>
      </c>
      <c r="AI8">
        <v>0</v>
      </c>
      <c r="AJ8">
        <v>0</v>
      </c>
      <c r="AK8">
        <v>0</v>
      </c>
      <c r="AL8">
        <v>0</v>
      </c>
      <c r="AM8">
        <v>0</v>
      </c>
    </row>
    <row r="9" spans="1:42" x14ac:dyDescent="0.2">
      <c r="A9" t="s">
        <v>4237</v>
      </c>
      <c r="B9" t="s">
        <v>4238</v>
      </c>
      <c r="C9">
        <v>3</v>
      </c>
      <c r="D9">
        <v>1</v>
      </c>
      <c r="E9" t="s">
        <v>138</v>
      </c>
      <c r="F9" s="1">
        <v>43687</v>
      </c>
      <c r="G9" t="s">
        <v>4031</v>
      </c>
      <c r="H9" t="s">
        <v>4724</v>
      </c>
      <c r="I9" s="2">
        <v>9.7222222222222224E-3</v>
      </c>
      <c r="J9" t="s">
        <v>398</v>
      </c>
      <c r="K9" t="s">
        <v>4232</v>
      </c>
      <c r="L9" t="s">
        <v>111</v>
      </c>
      <c r="M9" t="s">
        <v>23</v>
      </c>
      <c r="N9">
        <v>0</v>
      </c>
      <c r="O9">
        <v>0</v>
      </c>
      <c r="P9">
        <v>1</v>
      </c>
      <c r="Q9" t="s">
        <v>176</v>
      </c>
      <c r="R9" t="s">
        <v>176</v>
      </c>
      <c r="S9" t="s">
        <v>176</v>
      </c>
      <c r="T9" t="s">
        <v>4236</v>
      </c>
      <c r="U9" t="s">
        <v>23</v>
      </c>
      <c r="V9" t="s">
        <v>3997</v>
      </c>
      <c r="W9" t="s">
        <v>2179</v>
      </c>
      <c r="Y9">
        <v>24</v>
      </c>
      <c r="AA9" t="s">
        <v>176</v>
      </c>
      <c r="AB9" s="19">
        <v>63.724029999999999</v>
      </c>
      <c r="AC9" s="19">
        <v>148.95576</v>
      </c>
      <c r="AD9" t="s">
        <v>115</v>
      </c>
      <c r="AE9" t="s">
        <v>115</v>
      </c>
      <c r="AF9" t="s">
        <v>115</v>
      </c>
      <c r="AG9">
        <v>0</v>
      </c>
      <c r="AH9">
        <v>0</v>
      </c>
      <c r="AI9">
        <v>0</v>
      </c>
      <c r="AJ9">
        <v>0</v>
      </c>
      <c r="AK9">
        <v>0</v>
      </c>
      <c r="AL9">
        <v>0</v>
      </c>
      <c r="AM9">
        <v>0</v>
      </c>
    </row>
    <row r="10" spans="1:42" x14ac:dyDescent="0.2">
      <c r="A10" t="s">
        <v>4602</v>
      </c>
      <c r="B10" t="s">
        <v>4603</v>
      </c>
      <c r="C10">
        <v>2</v>
      </c>
      <c r="D10">
        <v>1</v>
      </c>
      <c r="E10" t="s">
        <v>138</v>
      </c>
      <c r="F10" s="1">
        <v>43701</v>
      </c>
      <c r="G10" t="s">
        <v>4031</v>
      </c>
      <c r="H10" t="s">
        <v>4724</v>
      </c>
      <c r="I10" s="2">
        <v>4.5138888888888888E-2</v>
      </c>
      <c r="J10" t="s">
        <v>101</v>
      </c>
      <c r="K10" t="s">
        <v>4232</v>
      </c>
      <c r="L10" t="s">
        <v>111</v>
      </c>
      <c r="M10" t="s">
        <v>23</v>
      </c>
      <c r="N10">
        <v>1</v>
      </c>
      <c r="O10">
        <v>0</v>
      </c>
      <c r="P10">
        <v>1</v>
      </c>
      <c r="Q10" t="s">
        <v>176</v>
      </c>
      <c r="R10" t="s">
        <v>176</v>
      </c>
      <c r="S10" t="s">
        <v>1922</v>
      </c>
      <c r="T10" t="s">
        <v>176</v>
      </c>
      <c r="U10" t="s">
        <v>23</v>
      </c>
      <c r="V10" t="s">
        <v>176</v>
      </c>
      <c r="W10" t="s">
        <v>176</v>
      </c>
      <c r="Y10">
        <v>27</v>
      </c>
      <c r="AA10" t="s">
        <v>176</v>
      </c>
      <c r="AB10" s="19">
        <v>63.722839999999998</v>
      </c>
      <c r="AC10" s="19">
        <v>148.95546999999999</v>
      </c>
      <c r="AD10" t="s">
        <v>115</v>
      </c>
      <c r="AE10" t="s">
        <v>115</v>
      </c>
      <c r="AF10" t="s">
        <v>115</v>
      </c>
      <c r="AG10">
        <v>0</v>
      </c>
      <c r="AH10">
        <v>0</v>
      </c>
      <c r="AI10">
        <v>0</v>
      </c>
      <c r="AJ10">
        <v>0</v>
      </c>
      <c r="AK10">
        <v>0</v>
      </c>
      <c r="AL10">
        <v>0</v>
      </c>
      <c r="AM10">
        <v>0</v>
      </c>
      <c r="AO10" t="s">
        <v>2152</v>
      </c>
    </row>
    <row r="11" spans="1:42" x14ac:dyDescent="0.2">
      <c r="A11" t="s">
        <v>4418</v>
      </c>
      <c r="B11" t="s">
        <v>4419</v>
      </c>
      <c r="C11">
        <v>5</v>
      </c>
      <c r="D11">
        <v>1</v>
      </c>
      <c r="E11" t="s">
        <v>395</v>
      </c>
      <c r="F11" s="1">
        <v>43694</v>
      </c>
      <c r="G11" t="s">
        <v>4031</v>
      </c>
      <c r="H11" t="s">
        <v>4724</v>
      </c>
      <c r="I11" s="2">
        <v>1.8749999999999999E-2</v>
      </c>
      <c r="J11" t="s">
        <v>398</v>
      </c>
      <c r="K11" t="s">
        <v>4250</v>
      </c>
      <c r="L11" t="s">
        <v>568</v>
      </c>
      <c r="M11" t="s">
        <v>23</v>
      </c>
      <c r="N11">
        <v>0</v>
      </c>
      <c r="O11">
        <v>0</v>
      </c>
      <c r="P11">
        <v>1</v>
      </c>
      <c r="Q11" t="s">
        <v>112</v>
      </c>
      <c r="R11" t="s">
        <v>4329</v>
      </c>
      <c r="S11" t="s">
        <v>122</v>
      </c>
      <c r="T11" t="s">
        <v>4385</v>
      </c>
      <c r="U11" t="s">
        <v>23</v>
      </c>
      <c r="V11" t="s">
        <v>3997</v>
      </c>
      <c r="W11" t="s">
        <v>4420</v>
      </c>
      <c r="Y11">
        <v>28</v>
      </c>
      <c r="AA11">
        <v>2</v>
      </c>
      <c r="AB11" s="19">
        <v>63.721559999999997</v>
      </c>
      <c r="AC11" s="19">
        <v>148.98737</v>
      </c>
      <c r="AD11" t="s">
        <v>115</v>
      </c>
      <c r="AE11" t="s">
        <v>115</v>
      </c>
      <c r="AF11" t="s">
        <v>115</v>
      </c>
      <c r="AG11">
        <v>0</v>
      </c>
      <c r="AH11">
        <v>0</v>
      </c>
      <c r="AI11">
        <v>0</v>
      </c>
      <c r="AJ11">
        <v>0</v>
      </c>
      <c r="AK11">
        <v>6</v>
      </c>
      <c r="AL11">
        <v>0</v>
      </c>
      <c r="AM11">
        <v>6</v>
      </c>
      <c r="AO11" t="s">
        <v>4421</v>
      </c>
    </row>
    <row r="12" spans="1:42" x14ac:dyDescent="0.2">
      <c r="A12" t="s">
        <v>3167</v>
      </c>
      <c r="B12" t="s">
        <v>3168</v>
      </c>
      <c r="C12">
        <v>9</v>
      </c>
      <c r="D12">
        <v>1</v>
      </c>
      <c r="E12" t="s">
        <v>834</v>
      </c>
      <c r="F12" s="1">
        <v>43571</v>
      </c>
      <c r="G12" s="1" t="s">
        <v>4027</v>
      </c>
      <c r="H12" s="1"/>
      <c r="I12" s="2">
        <v>2.9166666666666664E-2</v>
      </c>
      <c r="J12" t="s">
        <v>1278</v>
      </c>
      <c r="K12" t="s">
        <v>466</v>
      </c>
      <c r="L12" t="s">
        <v>111</v>
      </c>
      <c r="M12" t="s">
        <v>23</v>
      </c>
      <c r="N12">
        <v>0</v>
      </c>
      <c r="O12">
        <v>0</v>
      </c>
      <c r="P12">
        <v>1</v>
      </c>
      <c r="Q12" t="s">
        <v>461</v>
      </c>
      <c r="R12" s="5" t="s">
        <v>2605</v>
      </c>
      <c r="S12" s="5" t="s">
        <v>115</v>
      </c>
      <c r="T12" s="5" t="s">
        <v>709</v>
      </c>
      <c r="U12" s="5" t="s">
        <v>23</v>
      </c>
      <c r="V12" s="5" t="s">
        <v>4004</v>
      </c>
      <c r="W12" s="5" t="s">
        <v>4005</v>
      </c>
      <c r="X12" s="5" t="s">
        <v>2457</v>
      </c>
      <c r="Y12">
        <v>30</v>
      </c>
      <c r="AA12">
        <v>12</v>
      </c>
      <c r="AB12">
        <v>63.740470000000002</v>
      </c>
      <c r="AC12">
        <v>148.90082000000001</v>
      </c>
      <c r="AD12" s="5" t="s">
        <v>115</v>
      </c>
      <c r="AE12" s="5" t="s">
        <v>115</v>
      </c>
      <c r="AF12" s="5"/>
      <c r="AG12">
        <v>0</v>
      </c>
      <c r="AH12">
        <v>0</v>
      </c>
      <c r="AI12">
        <v>0</v>
      </c>
      <c r="AJ12">
        <v>0</v>
      </c>
      <c r="AK12">
        <v>0</v>
      </c>
      <c r="AL12">
        <v>0</v>
      </c>
    </row>
    <row r="13" spans="1:42" x14ac:dyDescent="0.2">
      <c r="A13" t="s">
        <v>4207</v>
      </c>
      <c r="B13" t="s">
        <v>4208</v>
      </c>
      <c r="C13">
        <v>8</v>
      </c>
      <c r="D13">
        <v>1</v>
      </c>
      <c r="E13" t="s">
        <v>4191</v>
      </c>
      <c r="F13" s="1">
        <v>43687</v>
      </c>
      <c r="G13" t="s">
        <v>4031</v>
      </c>
      <c r="H13" t="s">
        <v>4724</v>
      </c>
      <c r="I13" s="2">
        <v>1.5972222222222224E-2</v>
      </c>
      <c r="J13" t="s">
        <v>398</v>
      </c>
      <c r="K13" t="s">
        <v>241</v>
      </c>
      <c r="L13" t="s">
        <v>111</v>
      </c>
      <c r="M13" t="s">
        <v>23</v>
      </c>
      <c r="N13">
        <v>1</v>
      </c>
      <c r="O13">
        <v>0</v>
      </c>
      <c r="P13">
        <v>1</v>
      </c>
      <c r="Q13" t="s">
        <v>176</v>
      </c>
      <c r="R13" t="s">
        <v>176</v>
      </c>
      <c r="S13" t="s">
        <v>4192</v>
      </c>
      <c r="T13" t="s">
        <v>2301</v>
      </c>
      <c r="U13" t="s">
        <v>23</v>
      </c>
      <c r="V13" t="s">
        <v>3999</v>
      </c>
      <c r="W13" t="s">
        <v>4006</v>
      </c>
      <c r="Y13">
        <v>30</v>
      </c>
      <c r="AA13">
        <v>10</v>
      </c>
      <c r="AB13" s="19">
        <v>63.739519999999999</v>
      </c>
      <c r="AC13" s="19">
        <v>148.89788999999999</v>
      </c>
      <c r="AD13" t="s">
        <v>115</v>
      </c>
      <c r="AE13" t="s">
        <v>115</v>
      </c>
      <c r="AF13" t="s">
        <v>115</v>
      </c>
      <c r="AG13">
        <v>12</v>
      </c>
      <c r="AH13">
        <v>0</v>
      </c>
      <c r="AI13">
        <v>12</v>
      </c>
      <c r="AJ13">
        <v>0</v>
      </c>
      <c r="AK13">
        <v>0</v>
      </c>
      <c r="AL13">
        <v>0</v>
      </c>
      <c r="AM13">
        <v>12</v>
      </c>
    </row>
    <row r="14" spans="1:42" x14ac:dyDescent="0.2">
      <c r="A14" t="s">
        <v>4209</v>
      </c>
      <c r="B14" t="s">
        <v>4210</v>
      </c>
      <c r="C14">
        <v>9</v>
      </c>
      <c r="D14">
        <v>2</v>
      </c>
      <c r="E14" t="s">
        <v>4191</v>
      </c>
      <c r="F14" s="1">
        <v>43687</v>
      </c>
      <c r="G14" t="s">
        <v>4031</v>
      </c>
      <c r="H14" t="s">
        <v>4724</v>
      </c>
      <c r="I14" s="2">
        <v>3.5416666666666666E-2</v>
      </c>
      <c r="J14" t="s">
        <v>398</v>
      </c>
      <c r="K14" t="s">
        <v>241</v>
      </c>
      <c r="L14" t="s">
        <v>111</v>
      </c>
      <c r="M14" t="s">
        <v>23</v>
      </c>
      <c r="N14">
        <v>0</v>
      </c>
      <c r="O14">
        <v>0</v>
      </c>
      <c r="P14">
        <v>1</v>
      </c>
      <c r="Q14" t="s">
        <v>176</v>
      </c>
      <c r="R14" t="s">
        <v>176</v>
      </c>
      <c r="S14" t="s">
        <v>115</v>
      </c>
      <c r="T14" t="s">
        <v>4211</v>
      </c>
      <c r="U14" t="s">
        <v>23</v>
      </c>
      <c r="V14" t="s">
        <v>3999</v>
      </c>
      <c r="W14" t="s">
        <v>4022</v>
      </c>
      <c r="Y14">
        <v>30</v>
      </c>
      <c r="AA14">
        <v>10</v>
      </c>
      <c r="AB14" s="19">
        <v>63.739519999999999</v>
      </c>
      <c r="AC14" s="19">
        <v>148.89788999999999</v>
      </c>
      <c r="AD14" t="s">
        <v>115</v>
      </c>
      <c r="AE14" t="s">
        <v>115</v>
      </c>
      <c r="AF14" t="s">
        <v>115</v>
      </c>
      <c r="AG14">
        <v>0</v>
      </c>
      <c r="AH14">
        <v>0</v>
      </c>
      <c r="AI14">
        <v>0</v>
      </c>
      <c r="AJ14">
        <v>0</v>
      </c>
      <c r="AK14">
        <v>0</v>
      </c>
      <c r="AL14">
        <v>0</v>
      </c>
      <c r="AM14">
        <v>0</v>
      </c>
    </row>
    <row r="15" spans="1:42" x14ac:dyDescent="0.2">
      <c r="A15" t="s">
        <v>3742</v>
      </c>
      <c r="B15" t="s">
        <v>3743</v>
      </c>
      <c r="C15">
        <v>3</v>
      </c>
      <c r="D15">
        <v>1</v>
      </c>
      <c r="E15" t="s">
        <v>2601</v>
      </c>
      <c r="F15" s="1">
        <v>43587</v>
      </c>
      <c r="G15" s="1" t="s">
        <v>4028</v>
      </c>
      <c r="H15" s="1"/>
      <c r="I15" s="2">
        <v>3.888888888888889E-2</v>
      </c>
      <c r="J15" t="s">
        <v>1278</v>
      </c>
      <c r="K15" t="s">
        <v>177</v>
      </c>
      <c r="L15" t="s">
        <v>187</v>
      </c>
      <c r="M15" t="s">
        <v>23</v>
      </c>
      <c r="N15" t="s">
        <v>24</v>
      </c>
      <c r="O15">
        <v>0</v>
      </c>
      <c r="P15">
        <v>1</v>
      </c>
      <c r="Q15" t="s">
        <v>176</v>
      </c>
      <c r="R15" s="5" t="s">
        <v>24</v>
      </c>
      <c r="S15" s="5" t="s">
        <v>24</v>
      </c>
      <c r="T15" s="5" t="s">
        <v>3744</v>
      </c>
      <c r="U15" s="5" t="s">
        <v>23</v>
      </c>
      <c r="V15" s="5" t="s">
        <v>3999</v>
      </c>
      <c r="W15" s="5" t="s">
        <v>4020</v>
      </c>
      <c r="X15" t="s">
        <v>2457</v>
      </c>
      <c r="Y15">
        <v>32</v>
      </c>
      <c r="AA15" s="5" t="s">
        <v>176</v>
      </c>
      <c r="AB15">
        <v>63.72598</v>
      </c>
      <c r="AC15">
        <v>148.96046000000001</v>
      </c>
      <c r="AD15" s="5" t="s">
        <v>115</v>
      </c>
      <c r="AE15" s="5" t="s">
        <v>115</v>
      </c>
      <c r="AF15" s="5" t="s">
        <v>115</v>
      </c>
      <c r="AG15">
        <v>0</v>
      </c>
      <c r="AH15">
        <v>0</v>
      </c>
      <c r="AI15">
        <v>0</v>
      </c>
      <c r="AJ15">
        <v>0</v>
      </c>
      <c r="AK15">
        <v>54</v>
      </c>
      <c r="AL15">
        <v>54</v>
      </c>
      <c r="AM15" t="s">
        <v>188</v>
      </c>
      <c r="AN15" t="s">
        <v>3754</v>
      </c>
    </row>
    <row r="16" spans="1:42" x14ac:dyDescent="0.2">
      <c r="A16" s="5" t="s">
        <v>4085</v>
      </c>
      <c r="B16" s="5" t="s">
        <v>4086</v>
      </c>
      <c r="C16" s="5">
        <v>13</v>
      </c>
      <c r="D16" s="5">
        <v>1</v>
      </c>
      <c r="E16" s="5" t="s">
        <v>140</v>
      </c>
      <c r="F16" s="11">
        <v>43647</v>
      </c>
      <c r="G16" s="5" t="s">
        <v>4058</v>
      </c>
      <c r="I16" s="45">
        <v>2.7777777777777776E-2</v>
      </c>
      <c r="J16" s="5" t="s">
        <v>398</v>
      </c>
      <c r="K16" s="5" t="s">
        <v>670</v>
      </c>
      <c r="L16" s="5" t="s">
        <v>4079</v>
      </c>
      <c r="M16" s="5" t="s">
        <v>23</v>
      </c>
      <c r="N16" s="5">
        <v>1</v>
      </c>
      <c r="O16" s="5">
        <v>0</v>
      </c>
      <c r="P16" s="5">
        <v>1</v>
      </c>
      <c r="Q16" s="5" t="s">
        <v>176</v>
      </c>
      <c r="R16" s="5" t="s">
        <v>176</v>
      </c>
      <c r="S16" s="5" t="s">
        <v>4084</v>
      </c>
      <c r="T16" s="5" t="s">
        <v>487</v>
      </c>
      <c r="U16" s="5" t="s">
        <v>23</v>
      </c>
      <c r="V16" s="5" t="s">
        <v>3997</v>
      </c>
      <c r="W16" s="5" t="s">
        <v>4022</v>
      </c>
      <c r="X16" s="5" t="s">
        <v>2457</v>
      </c>
      <c r="Y16" s="5">
        <v>34</v>
      </c>
      <c r="Z16" s="5"/>
      <c r="AA16" s="47" t="s">
        <v>176</v>
      </c>
      <c r="AB16" s="5">
        <v>63.724420000000002</v>
      </c>
      <c r="AC16" s="5">
        <v>148.94866999999999</v>
      </c>
      <c r="AD16" s="5" t="s">
        <v>115</v>
      </c>
      <c r="AE16" s="5" t="s">
        <v>115</v>
      </c>
      <c r="AF16" s="5" t="s">
        <v>115</v>
      </c>
      <c r="AG16" s="5">
        <v>0</v>
      </c>
      <c r="AH16" s="5">
        <v>26</v>
      </c>
      <c r="AI16" s="5">
        <v>26</v>
      </c>
      <c r="AJ16" s="5">
        <v>0</v>
      </c>
      <c r="AK16" s="5">
        <v>0</v>
      </c>
      <c r="AL16" s="5">
        <v>26</v>
      </c>
      <c r="AM16" s="5" t="s">
        <v>188</v>
      </c>
      <c r="AN16" s="5"/>
      <c r="AO16" s="5"/>
    </row>
    <row r="17" spans="1:41" x14ac:dyDescent="0.2">
      <c r="A17" t="s">
        <v>3913</v>
      </c>
      <c r="B17" t="s">
        <v>3914</v>
      </c>
      <c r="C17">
        <v>14</v>
      </c>
      <c r="D17">
        <v>1</v>
      </c>
      <c r="E17" t="s">
        <v>2462</v>
      </c>
      <c r="F17" s="1">
        <v>43591</v>
      </c>
      <c r="G17" s="1" t="s">
        <v>4028</v>
      </c>
      <c r="H17" s="1"/>
      <c r="I17" s="2">
        <v>6.9444444444444441E-3</v>
      </c>
      <c r="J17" t="s">
        <v>1278</v>
      </c>
      <c r="K17" t="s">
        <v>64</v>
      </c>
      <c r="L17" t="s">
        <v>111</v>
      </c>
      <c r="M17" t="s">
        <v>23</v>
      </c>
      <c r="N17">
        <v>1</v>
      </c>
      <c r="O17">
        <v>0</v>
      </c>
      <c r="P17">
        <v>1</v>
      </c>
      <c r="Q17" t="s">
        <v>598</v>
      </c>
      <c r="R17" s="5" t="s">
        <v>2437</v>
      </c>
      <c r="S17" s="5" t="s">
        <v>24</v>
      </c>
      <c r="T17" s="5" t="s">
        <v>3591</v>
      </c>
      <c r="U17" s="5" t="s">
        <v>23</v>
      </c>
      <c r="V17" s="5" t="s">
        <v>3997</v>
      </c>
      <c r="W17" s="5" t="s">
        <v>4020</v>
      </c>
      <c r="X17" s="5" t="s">
        <v>2457</v>
      </c>
      <c r="Y17">
        <v>39</v>
      </c>
      <c r="AA17" s="5" t="s">
        <v>176</v>
      </c>
      <c r="AB17">
        <v>63.736240000000002</v>
      </c>
      <c r="AC17">
        <v>148.90282999999999</v>
      </c>
      <c r="AD17" s="5" t="s">
        <v>115</v>
      </c>
      <c r="AE17" s="5" t="s">
        <v>115</v>
      </c>
      <c r="AF17" s="5" t="s">
        <v>115</v>
      </c>
      <c r="AG17">
        <v>0</v>
      </c>
      <c r="AH17">
        <v>0</v>
      </c>
      <c r="AI17">
        <v>0</v>
      </c>
      <c r="AJ17">
        <v>0</v>
      </c>
      <c r="AK17">
        <v>0</v>
      </c>
      <c r="AL17">
        <v>0</v>
      </c>
      <c r="AN17" t="s">
        <v>3611</v>
      </c>
    </row>
    <row r="18" spans="1:41" x14ac:dyDescent="0.2">
      <c r="A18" t="s">
        <v>2739</v>
      </c>
      <c r="B18" t="s">
        <v>2740</v>
      </c>
      <c r="C18">
        <v>7</v>
      </c>
      <c r="D18">
        <v>2</v>
      </c>
      <c r="E18" t="s">
        <v>834</v>
      </c>
      <c r="F18" s="1">
        <v>43554</v>
      </c>
      <c r="G18" s="1" t="s">
        <v>4026</v>
      </c>
      <c r="H18" s="1"/>
      <c r="I18" s="2">
        <v>0.11319444444444444</v>
      </c>
      <c r="K18" t="s">
        <v>466</v>
      </c>
      <c r="L18" t="s">
        <v>187</v>
      </c>
      <c r="M18" t="s">
        <v>115</v>
      </c>
      <c r="N18">
        <v>1</v>
      </c>
      <c r="O18">
        <v>0</v>
      </c>
      <c r="P18">
        <v>1</v>
      </c>
      <c r="Q18" t="s">
        <v>598</v>
      </c>
      <c r="R18" s="5" t="s">
        <v>2741</v>
      </c>
      <c r="S18" s="5" t="s">
        <v>122</v>
      </c>
      <c r="T18" s="5" t="s">
        <v>2088</v>
      </c>
      <c r="U18" s="5" t="s">
        <v>23</v>
      </c>
      <c r="V18" s="5" t="s">
        <v>3997</v>
      </c>
      <c r="W18" s="5" t="s">
        <v>4021</v>
      </c>
      <c r="X18" s="5" t="s">
        <v>2457</v>
      </c>
      <c r="Y18">
        <v>40</v>
      </c>
      <c r="AA18" s="5" t="s">
        <v>24</v>
      </c>
      <c r="AB18">
        <v>63.739150000000002</v>
      </c>
      <c r="AC18">
        <v>148.90440000000001</v>
      </c>
      <c r="AD18" s="5" t="s">
        <v>115</v>
      </c>
      <c r="AE18" s="5" t="s">
        <v>115</v>
      </c>
      <c r="AF18" s="5"/>
      <c r="AG18">
        <v>0</v>
      </c>
      <c r="AH18">
        <v>0</v>
      </c>
      <c r="AI18">
        <v>0</v>
      </c>
      <c r="AJ18">
        <v>0</v>
      </c>
      <c r="AK18">
        <v>0</v>
      </c>
      <c r="AL18">
        <v>0</v>
      </c>
      <c r="AM18" t="s">
        <v>188</v>
      </c>
      <c r="AN18" t="s">
        <v>2758</v>
      </c>
    </row>
    <row r="19" spans="1:41" x14ac:dyDescent="0.2">
      <c r="A19" t="s">
        <v>4476</v>
      </c>
      <c r="B19" t="s">
        <v>4480</v>
      </c>
      <c r="C19">
        <v>17</v>
      </c>
      <c r="D19">
        <v>2</v>
      </c>
      <c r="E19" t="s">
        <v>213</v>
      </c>
      <c r="F19" s="1">
        <v>43697</v>
      </c>
      <c r="G19" t="s">
        <v>4031</v>
      </c>
      <c r="H19" t="s">
        <v>4724</v>
      </c>
      <c r="I19" s="2">
        <v>3.6111111111111115E-2</v>
      </c>
      <c r="J19" t="s">
        <v>640</v>
      </c>
      <c r="K19" t="s">
        <v>4478</v>
      </c>
      <c r="L19" t="s">
        <v>568</v>
      </c>
      <c r="M19" t="s">
        <v>23</v>
      </c>
      <c r="N19">
        <v>1</v>
      </c>
      <c r="O19">
        <v>0</v>
      </c>
      <c r="P19">
        <v>1</v>
      </c>
      <c r="Q19" t="s">
        <v>112</v>
      </c>
      <c r="R19" t="s">
        <v>4214</v>
      </c>
      <c r="S19" t="s">
        <v>122</v>
      </c>
      <c r="T19" t="s">
        <v>2301</v>
      </c>
      <c r="U19" t="s">
        <v>23</v>
      </c>
      <c r="V19" t="s">
        <v>3999</v>
      </c>
      <c r="W19" t="s">
        <v>4006</v>
      </c>
      <c r="Y19">
        <v>41</v>
      </c>
      <c r="AA19">
        <v>11</v>
      </c>
      <c r="AB19" s="19">
        <v>63.719990000000003</v>
      </c>
      <c r="AC19" s="19">
        <v>148.97823</v>
      </c>
      <c r="AD19" t="s">
        <v>115</v>
      </c>
      <c r="AE19" t="s">
        <v>115</v>
      </c>
      <c r="AF19" t="s">
        <v>115</v>
      </c>
      <c r="AG19">
        <v>0</v>
      </c>
      <c r="AH19">
        <v>0</v>
      </c>
      <c r="AI19">
        <v>0</v>
      </c>
      <c r="AJ19">
        <v>0</v>
      </c>
      <c r="AK19">
        <v>8</v>
      </c>
      <c r="AL19">
        <v>0</v>
      </c>
      <c r="AM19">
        <v>8</v>
      </c>
    </row>
    <row r="20" spans="1:41" x14ac:dyDescent="0.2">
      <c r="A20" t="s">
        <v>4476</v>
      </c>
      <c r="B20" t="s">
        <v>4480</v>
      </c>
      <c r="C20">
        <v>17</v>
      </c>
      <c r="D20">
        <v>1</v>
      </c>
      <c r="E20" t="s">
        <v>213</v>
      </c>
      <c r="F20" s="1">
        <v>43697</v>
      </c>
      <c r="G20" t="s">
        <v>4031</v>
      </c>
      <c r="H20" t="s">
        <v>4724</v>
      </c>
      <c r="I20" s="2">
        <v>3.6111111111111115E-2</v>
      </c>
      <c r="J20" t="s">
        <v>640</v>
      </c>
      <c r="K20" t="s">
        <v>4478</v>
      </c>
      <c r="L20" t="s">
        <v>568</v>
      </c>
      <c r="M20" t="s">
        <v>23</v>
      </c>
      <c r="N20">
        <v>1</v>
      </c>
      <c r="O20">
        <v>0</v>
      </c>
      <c r="P20">
        <v>1</v>
      </c>
      <c r="Q20" t="s">
        <v>112</v>
      </c>
      <c r="R20" t="s">
        <v>4214</v>
      </c>
      <c r="S20" t="s">
        <v>122</v>
      </c>
      <c r="T20" t="s">
        <v>2300</v>
      </c>
      <c r="U20" t="s">
        <v>23</v>
      </c>
      <c r="V20" t="s">
        <v>3997</v>
      </c>
      <c r="W20" t="s">
        <v>4006</v>
      </c>
      <c r="Y20">
        <v>45</v>
      </c>
      <c r="AA20">
        <v>8</v>
      </c>
      <c r="AB20" s="19">
        <v>63.72</v>
      </c>
      <c r="AC20" s="19">
        <v>148.97820999999999</v>
      </c>
      <c r="AD20" t="s">
        <v>115</v>
      </c>
      <c r="AE20" t="s">
        <v>115</v>
      </c>
      <c r="AF20" t="s">
        <v>115</v>
      </c>
      <c r="AG20">
        <v>0</v>
      </c>
      <c r="AH20">
        <v>0</v>
      </c>
      <c r="AI20">
        <v>0</v>
      </c>
      <c r="AJ20">
        <v>0</v>
      </c>
      <c r="AK20">
        <v>8</v>
      </c>
      <c r="AL20">
        <v>0</v>
      </c>
      <c r="AM20">
        <v>8</v>
      </c>
    </row>
    <row r="21" spans="1:41" x14ac:dyDescent="0.2">
      <c r="A21" t="s">
        <v>4204</v>
      </c>
      <c r="B21" t="s">
        <v>4205</v>
      </c>
      <c r="C21">
        <v>7</v>
      </c>
      <c r="D21">
        <v>1</v>
      </c>
      <c r="E21" t="s">
        <v>4191</v>
      </c>
      <c r="F21" s="1">
        <v>43687</v>
      </c>
      <c r="G21" t="s">
        <v>4031</v>
      </c>
      <c r="H21" t="s">
        <v>4724</v>
      </c>
      <c r="I21" s="2">
        <v>1.3194444444444444E-2</v>
      </c>
      <c r="J21" t="s">
        <v>398</v>
      </c>
      <c r="K21" t="s">
        <v>241</v>
      </c>
      <c r="L21" t="s">
        <v>111</v>
      </c>
      <c r="M21" t="s">
        <v>23</v>
      </c>
      <c r="N21">
        <v>1</v>
      </c>
      <c r="O21">
        <v>0</v>
      </c>
      <c r="P21">
        <v>1</v>
      </c>
      <c r="Q21" t="s">
        <v>461</v>
      </c>
      <c r="R21" t="s">
        <v>461</v>
      </c>
      <c r="S21" t="s">
        <v>4175</v>
      </c>
      <c r="T21" t="s">
        <v>4168</v>
      </c>
      <c r="U21" t="s">
        <v>23</v>
      </c>
      <c r="V21" t="s">
        <v>3997</v>
      </c>
      <c r="W21" t="s">
        <v>4022</v>
      </c>
      <c r="Y21">
        <v>47</v>
      </c>
      <c r="AA21">
        <v>35</v>
      </c>
      <c r="AB21" s="19">
        <v>63.73856</v>
      </c>
      <c r="AC21" s="19">
        <v>148.89789999999999</v>
      </c>
      <c r="AD21" t="s">
        <v>115</v>
      </c>
      <c r="AE21" t="s">
        <v>115</v>
      </c>
      <c r="AF21" t="s">
        <v>115</v>
      </c>
      <c r="AH21">
        <v>0</v>
      </c>
      <c r="AI21">
        <v>0</v>
      </c>
      <c r="AJ21">
        <v>0</v>
      </c>
      <c r="AK21">
        <v>0</v>
      </c>
      <c r="AL21">
        <v>0</v>
      </c>
      <c r="AM21">
        <v>0</v>
      </c>
      <c r="AO21" t="s">
        <v>4206</v>
      </c>
    </row>
    <row r="22" spans="1:41" x14ac:dyDescent="0.2">
      <c r="A22" t="s">
        <v>4433</v>
      </c>
      <c r="B22" t="s">
        <v>4435</v>
      </c>
      <c r="C22">
        <v>1</v>
      </c>
      <c r="D22">
        <v>2</v>
      </c>
      <c r="E22" t="s">
        <v>2537</v>
      </c>
      <c r="F22" s="1">
        <v>43694</v>
      </c>
      <c r="G22" t="s">
        <v>4031</v>
      </c>
      <c r="H22" t="s">
        <v>4724</v>
      </c>
      <c r="I22" s="2">
        <v>3.1944444444444449E-2</v>
      </c>
      <c r="J22" t="s">
        <v>398</v>
      </c>
      <c r="K22" t="s">
        <v>241</v>
      </c>
      <c r="L22" t="s">
        <v>568</v>
      </c>
      <c r="M22" t="s">
        <v>23</v>
      </c>
      <c r="N22">
        <v>1</v>
      </c>
      <c r="O22">
        <v>0</v>
      </c>
      <c r="P22">
        <v>1</v>
      </c>
      <c r="Q22" t="s">
        <v>176</v>
      </c>
      <c r="R22" t="s">
        <v>176</v>
      </c>
      <c r="S22" t="s">
        <v>2300</v>
      </c>
      <c r="T22" t="s">
        <v>4236</v>
      </c>
      <c r="U22" t="s">
        <v>23</v>
      </c>
      <c r="V22" t="s">
        <v>3999</v>
      </c>
      <c r="W22" t="s">
        <v>4434</v>
      </c>
      <c r="Y22">
        <v>47</v>
      </c>
      <c r="AA22">
        <v>0</v>
      </c>
      <c r="AB22" s="19">
        <v>63.7318</v>
      </c>
      <c r="AC22" s="19">
        <v>148.90195</v>
      </c>
      <c r="AD22" t="s">
        <v>115</v>
      </c>
      <c r="AE22" t="s">
        <v>115</v>
      </c>
      <c r="AF22" t="s">
        <v>115</v>
      </c>
      <c r="AG22">
        <v>0</v>
      </c>
      <c r="AH22">
        <v>0</v>
      </c>
      <c r="AI22">
        <v>0</v>
      </c>
      <c r="AJ22">
        <v>0</v>
      </c>
      <c r="AK22">
        <v>4</v>
      </c>
      <c r="AL22">
        <v>0</v>
      </c>
      <c r="AM22">
        <v>4</v>
      </c>
    </row>
    <row r="23" spans="1:41" x14ac:dyDescent="0.2">
      <c r="A23" t="s">
        <v>4501</v>
      </c>
      <c r="B23" t="s">
        <v>4502</v>
      </c>
      <c r="C23">
        <v>3</v>
      </c>
      <c r="D23">
        <v>1</v>
      </c>
      <c r="E23" t="s">
        <v>4191</v>
      </c>
      <c r="F23" s="1">
        <v>43698</v>
      </c>
      <c r="G23" t="s">
        <v>4031</v>
      </c>
      <c r="H23" t="s">
        <v>4724</v>
      </c>
      <c r="I23" s="2">
        <v>9.6527777777777768E-2</v>
      </c>
      <c r="J23" t="s">
        <v>884</v>
      </c>
      <c r="K23" t="s">
        <v>466</v>
      </c>
      <c r="L23" t="s">
        <v>568</v>
      </c>
      <c r="M23" t="s">
        <v>23</v>
      </c>
      <c r="N23">
        <v>1</v>
      </c>
      <c r="O23">
        <v>0</v>
      </c>
      <c r="P23">
        <v>1</v>
      </c>
      <c r="Q23" t="s">
        <v>598</v>
      </c>
      <c r="R23" t="s">
        <v>4432</v>
      </c>
      <c r="S23" t="s">
        <v>122</v>
      </c>
      <c r="T23" t="s">
        <v>4386</v>
      </c>
      <c r="U23" t="s">
        <v>23</v>
      </c>
      <c r="V23" t="s">
        <v>3999</v>
      </c>
      <c r="W23" t="s">
        <v>176</v>
      </c>
      <c r="Y23">
        <v>47</v>
      </c>
      <c r="AA23">
        <v>9</v>
      </c>
      <c r="AB23" s="19">
        <v>63.739420000000003</v>
      </c>
      <c r="AC23" s="19">
        <v>148.90110999999999</v>
      </c>
      <c r="AD23" t="s">
        <v>115</v>
      </c>
      <c r="AE23" t="s">
        <v>115</v>
      </c>
      <c r="AF23" t="s">
        <v>115</v>
      </c>
      <c r="AG23">
        <v>0</v>
      </c>
      <c r="AH23">
        <v>0</v>
      </c>
      <c r="AI23">
        <v>0</v>
      </c>
      <c r="AJ23">
        <v>0</v>
      </c>
      <c r="AK23">
        <v>32</v>
      </c>
      <c r="AL23">
        <v>0</v>
      </c>
      <c r="AM23">
        <v>32</v>
      </c>
    </row>
    <row r="24" spans="1:41" x14ac:dyDescent="0.2">
      <c r="A24" t="s">
        <v>4544</v>
      </c>
      <c r="B24" t="s">
        <v>4545</v>
      </c>
      <c r="C24">
        <v>5</v>
      </c>
      <c r="D24">
        <v>1</v>
      </c>
      <c r="E24" t="s">
        <v>2586</v>
      </c>
      <c r="F24" s="1">
        <v>43699</v>
      </c>
      <c r="G24" t="s">
        <v>4031</v>
      </c>
      <c r="H24" t="s">
        <v>4724</v>
      </c>
      <c r="I24" s="2">
        <v>1.3194444444444444E-2</v>
      </c>
      <c r="J24" t="s">
        <v>398</v>
      </c>
      <c r="K24" t="s">
        <v>4339</v>
      </c>
      <c r="L24" t="s">
        <v>111</v>
      </c>
      <c r="M24" t="s">
        <v>23</v>
      </c>
      <c r="N24">
        <v>0</v>
      </c>
      <c r="O24">
        <v>0</v>
      </c>
      <c r="P24">
        <v>1</v>
      </c>
      <c r="Q24" t="s">
        <v>176</v>
      </c>
      <c r="R24" t="s">
        <v>176</v>
      </c>
      <c r="S24" t="s">
        <v>176</v>
      </c>
      <c r="T24" t="s">
        <v>333</v>
      </c>
      <c r="U24" t="s">
        <v>23</v>
      </c>
      <c r="V24" t="s">
        <v>3999</v>
      </c>
      <c r="W24" t="s">
        <v>4006</v>
      </c>
      <c r="Y24">
        <v>47</v>
      </c>
      <c r="AA24" t="s">
        <v>176</v>
      </c>
      <c r="AB24" s="19">
        <v>63.725569999999998</v>
      </c>
      <c r="AC24" s="19">
        <v>148.88607999999999</v>
      </c>
      <c r="AD24" t="s">
        <v>115</v>
      </c>
      <c r="AE24" t="s">
        <v>115</v>
      </c>
      <c r="AF24" t="s">
        <v>115</v>
      </c>
      <c r="AG24">
        <v>0</v>
      </c>
      <c r="AH24">
        <v>0</v>
      </c>
      <c r="AI24">
        <v>0</v>
      </c>
      <c r="AJ24">
        <v>0</v>
      </c>
      <c r="AK24">
        <v>0</v>
      </c>
      <c r="AL24">
        <v>0</v>
      </c>
      <c r="AM24">
        <v>0</v>
      </c>
    </row>
    <row r="25" spans="1:41" x14ac:dyDescent="0.2">
      <c r="A25" t="s">
        <v>4588</v>
      </c>
      <c r="B25" t="s">
        <v>4589</v>
      </c>
      <c r="C25">
        <v>4</v>
      </c>
      <c r="D25">
        <v>1</v>
      </c>
      <c r="E25" t="s">
        <v>2537</v>
      </c>
      <c r="F25" s="1">
        <v>43700</v>
      </c>
      <c r="G25" t="s">
        <v>4031</v>
      </c>
      <c r="H25" t="s">
        <v>4724</v>
      </c>
      <c r="I25" s="2">
        <v>2.2222222222222223E-2</v>
      </c>
      <c r="J25" t="s">
        <v>398</v>
      </c>
      <c r="K25" t="s">
        <v>241</v>
      </c>
      <c r="L25" t="s">
        <v>568</v>
      </c>
      <c r="M25" t="s">
        <v>23</v>
      </c>
      <c r="N25">
        <v>1</v>
      </c>
      <c r="O25">
        <v>1</v>
      </c>
      <c r="P25">
        <v>1</v>
      </c>
      <c r="Q25" t="s">
        <v>176</v>
      </c>
      <c r="R25" t="s">
        <v>176</v>
      </c>
      <c r="S25" t="s">
        <v>263</v>
      </c>
      <c r="T25" t="s">
        <v>1035</v>
      </c>
      <c r="U25" t="s">
        <v>23</v>
      </c>
      <c r="V25" t="s">
        <v>3997</v>
      </c>
      <c r="W25" t="s">
        <v>4006</v>
      </c>
      <c r="Y25">
        <v>49</v>
      </c>
      <c r="AA25">
        <v>1</v>
      </c>
      <c r="AB25" s="19">
        <v>63.731850000000001</v>
      </c>
      <c r="AC25" s="19">
        <v>148.89995999999999</v>
      </c>
      <c r="AD25" t="s">
        <v>115</v>
      </c>
      <c r="AE25" t="s">
        <v>115</v>
      </c>
      <c r="AF25" t="s">
        <v>115</v>
      </c>
      <c r="AG25">
        <v>4</v>
      </c>
      <c r="AH25">
        <v>0</v>
      </c>
      <c r="AI25">
        <v>4</v>
      </c>
      <c r="AJ25">
        <v>0</v>
      </c>
      <c r="AK25">
        <v>0</v>
      </c>
      <c r="AL25">
        <v>0</v>
      </c>
      <c r="AM25">
        <v>4</v>
      </c>
    </row>
    <row r="26" spans="1:41" x14ac:dyDescent="0.2">
      <c r="A26" t="s">
        <v>2786</v>
      </c>
      <c r="B26" t="s">
        <v>2787</v>
      </c>
      <c r="C26">
        <v>3</v>
      </c>
      <c r="D26">
        <v>1</v>
      </c>
      <c r="E26" t="s">
        <v>2781</v>
      </c>
      <c r="F26" s="1">
        <v>43556</v>
      </c>
      <c r="G26" s="1" t="s">
        <v>4027</v>
      </c>
      <c r="H26" s="1"/>
      <c r="I26" s="2">
        <v>6.5277777777777782E-2</v>
      </c>
      <c r="K26" t="s">
        <v>2782</v>
      </c>
      <c r="L26" t="s">
        <v>111</v>
      </c>
      <c r="M26" t="s">
        <v>23</v>
      </c>
      <c r="N26">
        <v>1</v>
      </c>
      <c r="O26">
        <v>0</v>
      </c>
      <c r="P26">
        <v>1</v>
      </c>
      <c r="Q26" t="s">
        <v>176</v>
      </c>
      <c r="R26" s="5" t="s">
        <v>24</v>
      </c>
      <c r="S26" s="5" t="s">
        <v>2383</v>
      </c>
      <c r="T26" s="5" t="s">
        <v>1035</v>
      </c>
      <c r="U26" s="5" t="s">
        <v>23</v>
      </c>
      <c r="V26" s="5" t="s">
        <v>3997</v>
      </c>
      <c r="W26" s="5" t="s">
        <v>4006</v>
      </c>
      <c r="X26" s="5" t="s">
        <v>2457</v>
      </c>
      <c r="Y26">
        <v>50</v>
      </c>
      <c r="AA26" s="5" t="s">
        <v>24</v>
      </c>
      <c r="AB26">
        <v>63.725149999999999</v>
      </c>
      <c r="AC26">
        <v>148.98685</v>
      </c>
      <c r="AD26" s="5" t="s">
        <v>115</v>
      </c>
      <c r="AE26" s="5" t="s">
        <v>115</v>
      </c>
      <c r="AF26" s="5"/>
      <c r="AG26">
        <v>0</v>
      </c>
      <c r="AH26">
        <v>0</v>
      </c>
      <c r="AI26">
        <v>0</v>
      </c>
      <c r="AJ26">
        <v>0</v>
      </c>
      <c r="AK26">
        <v>0</v>
      </c>
      <c r="AL26">
        <v>0</v>
      </c>
    </row>
    <row r="27" spans="1:41" x14ac:dyDescent="0.2">
      <c r="A27" t="s">
        <v>3635</v>
      </c>
      <c r="B27" t="s">
        <v>3641</v>
      </c>
      <c r="C27">
        <v>6</v>
      </c>
      <c r="D27">
        <v>1</v>
      </c>
      <c r="E27" t="s">
        <v>2487</v>
      </c>
      <c r="F27" s="1">
        <v>43585</v>
      </c>
      <c r="G27" s="1" t="s">
        <v>4027</v>
      </c>
      <c r="H27" s="1"/>
      <c r="I27" s="2">
        <v>3.472222222222222E-3</v>
      </c>
      <c r="J27" t="s">
        <v>3626</v>
      </c>
      <c r="K27" t="s">
        <v>2488</v>
      </c>
      <c r="L27" t="s">
        <v>102</v>
      </c>
      <c r="M27" t="s">
        <v>115</v>
      </c>
      <c r="N27">
        <v>0</v>
      </c>
      <c r="O27">
        <v>0</v>
      </c>
      <c r="P27">
        <v>1</v>
      </c>
      <c r="Q27" t="s">
        <v>176</v>
      </c>
      <c r="R27" s="5" t="s">
        <v>24</v>
      </c>
      <c r="S27" s="5" t="s">
        <v>24</v>
      </c>
      <c r="T27" s="5" t="s">
        <v>2088</v>
      </c>
      <c r="U27" s="5" t="s">
        <v>23</v>
      </c>
      <c r="V27" s="5" t="s">
        <v>3997</v>
      </c>
      <c r="W27" s="5" t="s">
        <v>4021</v>
      </c>
      <c r="X27" s="5" t="s">
        <v>2457</v>
      </c>
      <c r="Y27">
        <v>50</v>
      </c>
      <c r="AA27" s="5" t="s">
        <v>176</v>
      </c>
      <c r="AB27">
        <v>63.720140000000001</v>
      </c>
      <c r="AC27">
        <v>148.98885999999999</v>
      </c>
      <c r="AD27" s="5" t="s">
        <v>115</v>
      </c>
      <c r="AE27" s="5" t="s">
        <v>115</v>
      </c>
      <c r="AF27" s="5" t="s">
        <v>115</v>
      </c>
      <c r="AG27">
        <v>0</v>
      </c>
      <c r="AH27">
        <v>0</v>
      </c>
      <c r="AI27">
        <v>0</v>
      </c>
      <c r="AJ27">
        <v>0</v>
      </c>
      <c r="AK27">
        <v>0</v>
      </c>
      <c r="AL27">
        <v>0</v>
      </c>
      <c r="AN27" t="s">
        <v>3636</v>
      </c>
    </row>
    <row r="28" spans="1:41" x14ac:dyDescent="0.2">
      <c r="A28" t="s">
        <v>4317</v>
      </c>
      <c r="B28" t="s">
        <v>4318</v>
      </c>
      <c r="C28">
        <v>14</v>
      </c>
      <c r="D28">
        <v>1</v>
      </c>
      <c r="E28" t="s">
        <v>138</v>
      </c>
      <c r="F28" s="1">
        <v>43689</v>
      </c>
      <c r="G28" t="s">
        <v>4031</v>
      </c>
      <c r="H28" t="s">
        <v>4724</v>
      </c>
      <c r="I28" s="2">
        <v>9.7222222222222224E-3</v>
      </c>
      <c r="J28" t="s">
        <v>640</v>
      </c>
      <c r="K28" t="s">
        <v>4288</v>
      </c>
      <c r="L28" t="s">
        <v>568</v>
      </c>
      <c r="M28" t="s">
        <v>23</v>
      </c>
      <c r="N28">
        <v>1</v>
      </c>
      <c r="O28">
        <v>0</v>
      </c>
      <c r="P28">
        <v>1</v>
      </c>
      <c r="Q28" t="s">
        <v>112</v>
      </c>
      <c r="R28" t="s">
        <v>4319</v>
      </c>
      <c r="S28" t="s">
        <v>122</v>
      </c>
      <c r="T28" t="s">
        <v>1035</v>
      </c>
      <c r="U28" t="s">
        <v>23</v>
      </c>
      <c r="V28" t="s">
        <v>3997</v>
      </c>
      <c r="W28" t="s">
        <v>4006</v>
      </c>
      <c r="Y28">
        <v>54</v>
      </c>
      <c r="AA28">
        <v>2</v>
      </c>
      <c r="AB28" s="19">
        <v>63.724769999999999</v>
      </c>
      <c r="AC28" s="19">
        <v>148.95863</v>
      </c>
      <c r="AD28" t="s">
        <v>115</v>
      </c>
      <c r="AE28" t="s">
        <v>115</v>
      </c>
      <c r="AF28" t="s">
        <v>115</v>
      </c>
      <c r="AG28">
        <v>0</v>
      </c>
      <c r="AH28">
        <v>0</v>
      </c>
      <c r="AI28">
        <v>0</v>
      </c>
      <c r="AJ28">
        <v>0</v>
      </c>
      <c r="AK28">
        <v>1</v>
      </c>
      <c r="AL28">
        <v>0</v>
      </c>
      <c r="AM28">
        <v>1</v>
      </c>
      <c r="AO28" t="s">
        <v>4322</v>
      </c>
    </row>
    <row r="29" spans="1:41" x14ac:dyDescent="0.2">
      <c r="A29" t="s">
        <v>4597</v>
      </c>
      <c r="B29" t="s">
        <v>4599</v>
      </c>
      <c r="C29">
        <v>2</v>
      </c>
      <c r="D29">
        <v>1</v>
      </c>
      <c r="E29" t="s">
        <v>395</v>
      </c>
      <c r="F29" s="1">
        <v>43701</v>
      </c>
      <c r="G29" t="s">
        <v>4031</v>
      </c>
      <c r="H29" t="s">
        <v>4724</v>
      </c>
      <c r="J29" t="s">
        <v>398</v>
      </c>
      <c r="K29" t="s">
        <v>4598</v>
      </c>
      <c r="L29" t="s">
        <v>568</v>
      </c>
      <c r="M29" t="s">
        <v>23</v>
      </c>
      <c r="N29">
        <v>1</v>
      </c>
      <c r="O29" t="s">
        <v>176</v>
      </c>
      <c r="P29">
        <v>1</v>
      </c>
      <c r="Q29" t="s">
        <v>176</v>
      </c>
      <c r="R29" t="s">
        <v>176</v>
      </c>
      <c r="S29" t="s">
        <v>4302</v>
      </c>
      <c r="T29" t="s">
        <v>4236</v>
      </c>
      <c r="U29" t="s">
        <v>23</v>
      </c>
      <c r="V29" t="s">
        <v>3997</v>
      </c>
      <c r="W29" t="s">
        <v>2179</v>
      </c>
      <c r="Y29">
        <v>54</v>
      </c>
      <c r="AA29">
        <v>1</v>
      </c>
      <c r="AB29" s="19">
        <v>63.725929999999998</v>
      </c>
      <c r="AC29" s="19">
        <v>148.98235</v>
      </c>
      <c r="AD29" t="s">
        <v>115</v>
      </c>
      <c r="AE29" t="s">
        <v>115</v>
      </c>
      <c r="AF29" t="s">
        <v>115</v>
      </c>
      <c r="AG29">
        <v>11</v>
      </c>
      <c r="AH29">
        <v>0</v>
      </c>
      <c r="AI29">
        <v>0</v>
      </c>
      <c r="AJ29">
        <v>11</v>
      </c>
      <c r="AK29">
        <v>0</v>
      </c>
      <c r="AL29">
        <v>0</v>
      </c>
      <c r="AM29">
        <v>11</v>
      </c>
    </row>
    <row r="30" spans="1:41" x14ac:dyDescent="0.2">
      <c r="A30" t="s">
        <v>4574</v>
      </c>
      <c r="B30" t="s">
        <v>4575</v>
      </c>
      <c r="C30">
        <v>9</v>
      </c>
      <c r="D30">
        <v>1</v>
      </c>
      <c r="E30" t="s">
        <v>791</v>
      </c>
      <c r="F30" s="1">
        <v>43699</v>
      </c>
      <c r="G30" t="s">
        <v>4031</v>
      </c>
      <c r="H30" t="s">
        <v>4724</v>
      </c>
      <c r="I30" s="2">
        <v>2.1527777777777781E-2</v>
      </c>
      <c r="J30" t="s">
        <v>398</v>
      </c>
      <c r="K30" t="s">
        <v>241</v>
      </c>
      <c r="L30" t="s">
        <v>568</v>
      </c>
      <c r="M30" t="s">
        <v>23</v>
      </c>
      <c r="N30">
        <v>1</v>
      </c>
      <c r="O30">
        <v>0</v>
      </c>
      <c r="P30">
        <v>1</v>
      </c>
      <c r="Q30" t="s">
        <v>112</v>
      </c>
      <c r="R30" t="s">
        <v>4319</v>
      </c>
      <c r="S30" t="s">
        <v>122</v>
      </c>
      <c r="T30" t="s">
        <v>333</v>
      </c>
      <c r="U30" t="s">
        <v>23</v>
      </c>
      <c r="V30" t="s">
        <v>3999</v>
      </c>
      <c r="W30" t="s">
        <v>4006</v>
      </c>
      <c r="Y30">
        <v>57</v>
      </c>
      <c r="AA30">
        <v>8</v>
      </c>
      <c r="AB30" s="19">
        <v>63.723329999999997</v>
      </c>
      <c r="AC30" s="19">
        <v>148.96884</v>
      </c>
      <c r="AD30" t="s">
        <v>115</v>
      </c>
      <c r="AE30" t="s">
        <v>115</v>
      </c>
      <c r="AF30" t="s">
        <v>115</v>
      </c>
      <c r="AG30">
        <v>0</v>
      </c>
      <c r="AH30">
        <v>0</v>
      </c>
      <c r="AI30">
        <v>0</v>
      </c>
      <c r="AJ30">
        <v>0</v>
      </c>
      <c r="AK30">
        <v>13</v>
      </c>
      <c r="AL30">
        <v>0</v>
      </c>
      <c r="AM30">
        <v>13</v>
      </c>
    </row>
    <row r="31" spans="1:41" x14ac:dyDescent="0.2">
      <c r="A31" t="s">
        <v>4488</v>
      </c>
      <c r="B31" t="s">
        <v>4489</v>
      </c>
      <c r="C31">
        <v>21</v>
      </c>
      <c r="D31">
        <v>2</v>
      </c>
      <c r="E31" t="s">
        <v>213</v>
      </c>
      <c r="F31" s="1">
        <v>43697</v>
      </c>
      <c r="G31" t="s">
        <v>4031</v>
      </c>
      <c r="H31" t="s">
        <v>4724</v>
      </c>
      <c r="J31" t="s">
        <v>640</v>
      </c>
      <c r="K31" t="s">
        <v>4487</v>
      </c>
      <c r="L31" t="s">
        <v>102</v>
      </c>
      <c r="M31" t="s">
        <v>115</v>
      </c>
      <c r="N31">
        <v>1</v>
      </c>
      <c r="O31">
        <v>0</v>
      </c>
      <c r="P31">
        <v>1</v>
      </c>
      <c r="Q31" t="s">
        <v>1342</v>
      </c>
      <c r="R31" t="s">
        <v>14</v>
      </c>
      <c r="S31" t="s">
        <v>122</v>
      </c>
      <c r="T31" t="s">
        <v>4385</v>
      </c>
      <c r="U31" t="s">
        <v>23</v>
      </c>
      <c r="V31" t="s">
        <v>3997</v>
      </c>
      <c r="W31" t="s">
        <v>176</v>
      </c>
      <c r="X31" t="s">
        <v>115</v>
      </c>
      <c r="Y31">
        <v>58</v>
      </c>
      <c r="AA31" t="s">
        <v>176</v>
      </c>
      <c r="AB31" s="19">
        <v>63.719900000000003</v>
      </c>
      <c r="AC31" s="19">
        <v>148.97597999999999</v>
      </c>
      <c r="AD31" t="s">
        <v>115</v>
      </c>
      <c r="AE31" t="s">
        <v>115</v>
      </c>
      <c r="AF31" t="s">
        <v>115</v>
      </c>
      <c r="AG31">
        <v>0</v>
      </c>
      <c r="AH31">
        <v>0</v>
      </c>
      <c r="AI31">
        <v>0</v>
      </c>
      <c r="AJ31">
        <v>0</v>
      </c>
      <c r="AK31">
        <v>14</v>
      </c>
      <c r="AL31">
        <v>0</v>
      </c>
      <c r="AM31">
        <v>14</v>
      </c>
    </row>
    <row r="32" spans="1:41" x14ac:dyDescent="0.2">
      <c r="A32" t="s">
        <v>4571</v>
      </c>
      <c r="B32" t="s">
        <v>4572</v>
      </c>
      <c r="C32">
        <v>8</v>
      </c>
      <c r="D32">
        <v>2</v>
      </c>
      <c r="E32" t="s">
        <v>791</v>
      </c>
      <c r="F32" s="1">
        <v>43699</v>
      </c>
      <c r="G32" t="s">
        <v>4031</v>
      </c>
      <c r="H32" t="s">
        <v>4724</v>
      </c>
      <c r="I32" s="2">
        <v>2.2916666666666669E-2</v>
      </c>
      <c r="J32" t="s">
        <v>398</v>
      </c>
      <c r="K32" t="s">
        <v>241</v>
      </c>
      <c r="L32" t="s">
        <v>111</v>
      </c>
      <c r="M32" t="s">
        <v>23</v>
      </c>
      <c r="N32">
        <v>0</v>
      </c>
      <c r="O32">
        <v>0</v>
      </c>
      <c r="P32">
        <v>1</v>
      </c>
      <c r="Q32" t="s">
        <v>176</v>
      </c>
      <c r="R32" t="s">
        <v>176</v>
      </c>
      <c r="S32" t="s">
        <v>176</v>
      </c>
      <c r="T32" t="s">
        <v>1035</v>
      </c>
      <c r="U32" t="s">
        <v>23</v>
      </c>
      <c r="V32" t="s">
        <v>3997</v>
      </c>
      <c r="W32" t="s">
        <v>4006</v>
      </c>
      <c r="Y32">
        <v>58</v>
      </c>
      <c r="AA32">
        <v>4</v>
      </c>
      <c r="AB32" s="19">
        <v>63.723129999999998</v>
      </c>
      <c r="AC32" s="19">
        <v>148.96812</v>
      </c>
      <c r="AD32" t="s">
        <v>115</v>
      </c>
      <c r="AE32" t="s">
        <v>115</v>
      </c>
      <c r="AF32" t="s">
        <v>115</v>
      </c>
      <c r="AG32">
        <v>0</v>
      </c>
      <c r="AH32">
        <v>0</v>
      </c>
      <c r="AI32">
        <v>0</v>
      </c>
      <c r="AJ32">
        <v>0</v>
      </c>
      <c r="AK32">
        <v>0</v>
      </c>
      <c r="AM32">
        <v>0</v>
      </c>
      <c r="AO32" t="s">
        <v>4573</v>
      </c>
    </row>
    <row r="33" spans="1:41" x14ac:dyDescent="0.2">
      <c r="A33" t="s">
        <v>2962</v>
      </c>
      <c r="B33" t="s">
        <v>2963</v>
      </c>
      <c r="C33">
        <v>16</v>
      </c>
      <c r="D33">
        <v>1</v>
      </c>
      <c r="E33" t="s">
        <v>834</v>
      </c>
      <c r="F33" s="1">
        <v>43560</v>
      </c>
      <c r="G33" s="1" t="s">
        <v>4027</v>
      </c>
      <c r="H33" s="1"/>
      <c r="I33" s="2">
        <v>8.7500000000000008E-2</v>
      </c>
      <c r="K33" t="s">
        <v>466</v>
      </c>
      <c r="L33" t="s">
        <v>111</v>
      </c>
      <c r="M33" t="s">
        <v>23</v>
      </c>
      <c r="N33">
        <v>0</v>
      </c>
      <c r="O33">
        <v>0</v>
      </c>
      <c r="P33">
        <v>1</v>
      </c>
      <c r="Q33" t="s">
        <v>598</v>
      </c>
      <c r="R33" s="5" t="s">
        <v>2801</v>
      </c>
      <c r="S33" s="5" t="s">
        <v>115</v>
      </c>
      <c r="T33" s="5" t="s">
        <v>2088</v>
      </c>
      <c r="U33" s="5" t="s">
        <v>23</v>
      </c>
      <c r="V33" s="5" t="s">
        <v>3997</v>
      </c>
      <c r="W33" s="5" t="s">
        <v>4021</v>
      </c>
      <c r="Y33">
        <v>60</v>
      </c>
      <c r="AA33">
        <v>15</v>
      </c>
      <c r="AB33">
        <v>63.738950000000003</v>
      </c>
      <c r="AC33">
        <v>148.89493999999999</v>
      </c>
      <c r="AD33" s="5" t="s">
        <v>115</v>
      </c>
      <c r="AE33" s="5" t="s">
        <v>115</v>
      </c>
      <c r="AF33" s="5"/>
      <c r="AG33">
        <v>0</v>
      </c>
      <c r="AH33">
        <v>0</v>
      </c>
      <c r="AI33">
        <v>0</v>
      </c>
      <c r="AJ33">
        <v>0</v>
      </c>
      <c r="AK33">
        <v>81</v>
      </c>
      <c r="AL33">
        <v>81</v>
      </c>
      <c r="AM33" t="s">
        <v>188</v>
      </c>
    </row>
    <row r="34" spans="1:41" x14ac:dyDescent="0.2">
      <c r="A34" t="s">
        <v>3152</v>
      </c>
      <c r="B34" t="s">
        <v>3155</v>
      </c>
      <c r="C34">
        <v>4</v>
      </c>
      <c r="D34">
        <v>1</v>
      </c>
      <c r="E34" t="s">
        <v>834</v>
      </c>
      <c r="F34" s="1">
        <v>43571</v>
      </c>
      <c r="G34" s="1" t="s">
        <v>4027</v>
      </c>
      <c r="H34" s="1"/>
      <c r="I34" s="2">
        <v>4.8611111111111112E-3</v>
      </c>
      <c r="J34" t="s">
        <v>1278</v>
      </c>
      <c r="K34" t="s">
        <v>466</v>
      </c>
      <c r="L34" t="s">
        <v>111</v>
      </c>
      <c r="M34" t="s">
        <v>23</v>
      </c>
      <c r="N34">
        <v>0</v>
      </c>
      <c r="O34">
        <v>0</v>
      </c>
      <c r="P34">
        <v>1</v>
      </c>
      <c r="Q34" t="s">
        <v>461</v>
      </c>
      <c r="R34" s="5" t="s">
        <v>2605</v>
      </c>
      <c r="S34" s="5" t="s">
        <v>122</v>
      </c>
      <c r="T34" s="5" t="s">
        <v>1035</v>
      </c>
      <c r="U34" s="5" t="s">
        <v>23</v>
      </c>
      <c r="V34" s="5" t="s">
        <v>3997</v>
      </c>
      <c r="W34" s="5" t="s">
        <v>4006</v>
      </c>
      <c r="X34" s="5" t="s">
        <v>2457</v>
      </c>
      <c r="Y34">
        <v>60</v>
      </c>
      <c r="AA34">
        <v>10</v>
      </c>
      <c r="AB34">
        <v>63.740470000000002</v>
      </c>
      <c r="AC34">
        <v>148.90053</v>
      </c>
      <c r="AD34" s="5" t="s">
        <v>115</v>
      </c>
      <c r="AE34" s="5" t="s">
        <v>115</v>
      </c>
      <c r="AF34" s="5"/>
      <c r="AG34">
        <v>0</v>
      </c>
      <c r="AH34">
        <v>0</v>
      </c>
      <c r="AI34">
        <v>0</v>
      </c>
      <c r="AJ34">
        <v>0</v>
      </c>
      <c r="AK34">
        <v>0</v>
      </c>
      <c r="AL34">
        <v>0</v>
      </c>
      <c r="AN34" t="s">
        <v>3156</v>
      </c>
    </row>
    <row r="35" spans="1:41" x14ac:dyDescent="0.2">
      <c r="A35" t="s">
        <v>4600</v>
      </c>
      <c r="B35" t="s">
        <v>4601</v>
      </c>
      <c r="C35">
        <v>1</v>
      </c>
      <c r="D35">
        <v>1</v>
      </c>
      <c r="E35" t="s">
        <v>138</v>
      </c>
      <c r="F35" s="1">
        <v>43701</v>
      </c>
      <c r="G35" t="s">
        <v>4031</v>
      </c>
      <c r="H35" t="s">
        <v>4724</v>
      </c>
      <c r="I35" s="2">
        <v>2.2222222222222223E-2</v>
      </c>
      <c r="J35" t="s">
        <v>101</v>
      </c>
      <c r="K35" t="s">
        <v>4232</v>
      </c>
      <c r="L35" t="s">
        <v>568</v>
      </c>
      <c r="M35" t="s">
        <v>23</v>
      </c>
      <c r="N35">
        <v>1</v>
      </c>
      <c r="O35">
        <v>0</v>
      </c>
      <c r="P35">
        <v>1</v>
      </c>
      <c r="Q35" t="s">
        <v>176</v>
      </c>
      <c r="R35" t="s">
        <v>176</v>
      </c>
      <c r="S35" t="s">
        <v>122</v>
      </c>
      <c r="T35" t="s">
        <v>4386</v>
      </c>
      <c r="U35" t="s">
        <v>23</v>
      </c>
      <c r="V35" t="s">
        <v>3999</v>
      </c>
      <c r="W35" t="s">
        <v>4022</v>
      </c>
      <c r="Y35">
        <v>61</v>
      </c>
      <c r="AA35" t="s">
        <v>176</v>
      </c>
      <c r="AB35" s="19">
        <v>63.722810000000003</v>
      </c>
      <c r="AC35" s="19">
        <v>148.95544000000001</v>
      </c>
      <c r="AD35" t="s">
        <v>115</v>
      </c>
      <c r="AE35" t="s">
        <v>115</v>
      </c>
      <c r="AF35" t="s">
        <v>115</v>
      </c>
      <c r="AG35">
        <v>0</v>
      </c>
      <c r="AH35">
        <v>0</v>
      </c>
      <c r="AI35">
        <v>0</v>
      </c>
      <c r="AJ35">
        <v>0</v>
      </c>
      <c r="AK35">
        <v>10</v>
      </c>
      <c r="AL35">
        <v>0</v>
      </c>
      <c r="AM35">
        <v>10</v>
      </c>
    </row>
    <row r="36" spans="1:41" x14ac:dyDescent="0.2">
      <c r="A36" t="s">
        <v>4161</v>
      </c>
      <c r="B36" t="s">
        <v>4164</v>
      </c>
      <c r="C36">
        <v>1</v>
      </c>
      <c r="D36">
        <v>1</v>
      </c>
      <c r="E36" t="s">
        <v>4165</v>
      </c>
      <c r="F36" s="1">
        <v>43685</v>
      </c>
      <c r="G36" t="s">
        <v>4031</v>
      </c>
      <c r="H36" t="s">
        <v>4724</v>
      </c>
      <c r="I36" s="2">
        <v>2.013888888888889E-2</v>
      </c>
      <c r="J36" t="s">
        <v>4157</v>
      </c>
      <c r="K36" t="s">
        <v>4163</v>
      </c>
      <c r="L36" t="s">
        <v>111</v>
      </c>
      <c r="M36" t="s">
        <v>23</v>
      </c>
      <c r="N36">
        <v>0</v>
      </c>
      <c r="O36" t="s">
        <v>115</v>
      </c>
      <c r="P36">
        <v>1</v>
      </c>
      <c r="Q36" t="s">
        <v>176</v>
      </c>
      <c r="R36" t="s">
        <v>176</v>
      </c>
      <c r="S36" t="s">
        <v>176</v>
      </c>
      <c r="T36" t="s">
        <v>939</v>
      </c>
      <c r="U36" t="s">
        <v>23</v>
      </c>
      <c r="V36" t="s">
        <v>3999</v>
      </c>
      <c r="W36" t="s">
        <v>4022</v>
      </c>
      <c r="X36" t="s">
        <v>2457</v>
      </c>
      <c r="Y36">
        <v>62</v>
      </c>
      <c r="AA36" t="s">
        <v>176</v>
      </c>
      <c r="AB36" s="19">
        <v>63.720280000000002</v>
      </c>
      <c r="AC36" s="19">
        <v>148.97528</v>
      </c>
      <c r="AD36" t="s">
        <v>115</v>
      </c>
      <c r="AE36" t="s">
        <v>115</v>
      </c>
      <c r="AF36" t="s">
        <v>115</v>
      </c>
      <c r="AG36">
        <v>0</v>
      </c>
      <c r="AH36">
        <v>0</v>
      </c>
      <c r="AI36">
        <v>0</v>
      </c>
      <c r="AJ36">
        <v>0</v>
      </c>
      <c r="AK36">
        <v>0</v>
      </c>
      <c r="AL36">
        <v>0</v>
      </c>
      <c r="AM36">
        <v>0</v>
      </c>
    </row>
    <row r="37" spans="1:41" x14ac:dyDescent="0.2">
      <c r="A37" t="s">
        <v>4186</v>
      </c>
      <c r="B37" t="s">
        <v>4187</v>
      </c>
      <c r="C37">
        <v>10</v>
      </c>
      <c r="D37">
        <v>1</v>
      </c>
      <c r="E37" t="s">
        <v>2537</v>
      </c>
      <c r="F37" s="1">
        <v>43686</v>
      </c>
      <c r="G37" t="s">
        <v>4031</v>
      </c>
      <c r="H37" t="s">
        <v>4724</v>
      </c>
      <c r="I37" s="2">
        <v>1.5277777777777777E-2</v>
      </c>
      <c r="J37" t="s">
        <v>1278</v>
      </c>
      <c r="K37" t="s">
        <v>64</v>
      </c>
      <c r="L37" t="s">
        <v>111</v>
      </c>
      <c r="M37" t="s">
        <v>12</v>
      </c>
      <c r="N37">
        <v>0</v>
      </c>
      <c r="O37">
        <v>0</v>
      </c>
      <c r="P37">
        <v>1</v>
      </c>
      <c r="Q37" t="s">
        <v>176</v>
      </c>
      <c r="R37" t="s">
        <v>176</v>
      </c>
      <c r="S37" t="s">
        <v>176</v>
      </c>
      <c r="T37" t="s">
        <v>4188</v>
      </c>
      <c r="U37" t="s">
        <v>12</v>
      </c>
      <c r="V37" t="s">
        <v>3997</v>
      </c>
      <c r="W37" t="s">
        <v>4022</v>
      </c>
      <c r="Y37">
        <v>65</v>
      </c>
      <c r="AA37" t="s">
        <v>176</v>
      </c>
      <c r="AB37" s="19">
        <v>63.734540000000003</v>
      </c>
      <c r="AC37" s="19">
        <v>148.89734000000001</v>
      </c>
      <c r="AD37" t="s">
        <v>115</v>
      </c>
      <c r="AE37" s="5" t="s">
        <v>115</v>
      </c>
      <c r="AF37" s="5" t="s">
        <v>115</v>
      </c>
      <c r="AG37">
        <v>0</v>
      </c>
      <c r="AH37">
        <v>0</v>
      </c>
      <c r="AI37">
        <v>0</v>
      </c>
      <c r="AJ37">
        <v>0</v>
      </c>
      <c r="AK37">
        <v>0</v>
      </c>
      <c r="AL37">
        <v>0</v>
      </c>
      <c r="AM37">
        <v>0</v>
      </c>
    </row>
    <row r="38" spans="1:41" x14ac:dyDescent="0.2">
      <c r="A38" t="s">
        <v>2938</v>
      </c>
      <c r="B38" t="s">
        <v>2939</v>
      </c>
      <c r="C38">
        <v>5</v>
      </c>
      <c r="D38">
        <v>3</v>
      </c>
      <c r="E38" t="s">
        <v>834</v>
      </c>
      <c r="F38" s="1">
        <v>43560</v>
      </c>
      <c r="G38" s="1" t="s">
        <v>4027</v>
      </c>
      <c r="H38" s="1"/>
      <c r="I38" s="2">
        <v>9.930555555555555E-2</v>
      </c>
      <c r="K38" t="s">
        <v>466</v>
      </c>
      <c r="L38" t="s">
        <v>111</v>
      </c>
      <c r="M38" t="s">
        <v>23</v>
      </c>
      <c r="N38">
        <v>0</v>
      </c>
      <c r="O38">
        <v>0</v>
      </c>
      <c r="P38">
        <v>1</v>
      </c>
      <c r="Q38" t="s">
        <v>598</v>
      </c>
      <c r="R38" s="5" t="s">
        <v>2801</v>
      </c>
      <c r="S38" s="5" t="s">
        <v>115</v>
      </c>
      <c r="T38" s="5" t="s">
        <v>2088</v>
      </c>
      <c r="U38" s="5" t="s">
        <v>23</v>
      </c>
      <c r="V38" s="5" t="s">
        <v>3997</v>
      </c>
      <c r="W38" s="5" t="s">
        <v>4021</v>
      </c>
      <c r="X38" t="s">
        <v>2457</v>
      </c>
      <c r="Y38" s="5">
        <v>66</v>
      </c>
      <c r="Z38" s="5"/>
      <c r="AA38">
        <v>3</v>
      </c>
      <c r="AB38">
        <v>63.738750000000003</v>
      </c>
      <c r="AC38">
        <v>148.89812000000001</v>
      </c>
      <c r="AD38" s="5" t="s">
        <v>115</v>
      </c>
      <c r="AE38" s="5" t="s">
        <v>115</v>
      </c>
      <c r="AF38" s="5"/>
      <c r="AG38">
        <v>0</v>
      </c>
      <c r="AH38">
        <v>0</v>
      </c>
      <c r="AI38">
        <v>0</v>
      </c>
      <c r="AJ38">
        <v>0</v>
      </c>
      <c r="AK38">
        <v>0</v>
      </c>
      <c r="AL38">
        <v>0</v>
      </c>
    </row>
    <row r="39" spans="1:41" x14ac:dyDescent="0.2">
      <c r="A39" t="s">
        <v>3137</v>
      </c>
      <c r="B39" t="s">
        <v>3138</v>
      </c>
      <c r="C39">
        <v>1</v>
      </c>
      <c r="D39">
        <v>1</v>
      </c>
      <c r="E39" t="s">
        <v>2462</v>
      </c>
      <c r="F39" s="1">
        <v>43571</v>
      </c>
      <c r="G39" s="1" t="s">
        <v>4027</v>
      </c>
      <c r="H39" s="1"/>
      <c r="I39" s="2">
        <v>4.7222222222222221E-2</v>
      </c>
      <c r="J39" t="s">
        <v>1278</v>
      </c>
      <c r="K39" t="s">
        <v>64</v>
      </c>
      <c r="L39" t="s">
        <v>102</v>
      </c>
      <c r="M39" t="s">
        <v>23</v>
      </c>
      <c r="N39">
        <v>1</v>
      </c>
      <c r="O39">
        <v>0</v>
      </c>
      <c r="P39">
        <v>1</v>
      </c>
      <c r="Q39" t="s">
        <v>14</v>
      </c>
      <c r="R39" s="5" t="s">
        <v>3139</v>
      </c>
      <c r="S39" s="5" t="s">
        <v>122</v>
      </c>
      <c r="T39" s="5" t="s">
        <v>1035</v>
      </c>
      <c r="U39" s="5" t="s">
        <v>23</v>
      </c>
      <c r="V39" s="5" t="s">
        <v>3997</v>
      </c>
      <c r="W39" s="5" t="s">
        <v>4006</v>
      </c>
      <c r="X39" t="s">
        <v>2825</v>
      </c>
      <c r="Y39">
        <v>70</v>
      </c>
      <c r="AA39">
        <v>1</v>
      </c>
      <c r="AB39">
        <v>63.735900000000001</v>
      </c>
      <c r="AC39">
        <v>148.89832000000001</v>
      </c>
      <c r="AD39" s="5" t="s">
        <v>115</v>
      </c>
      <c r="AE39" s="5" t="s">
        <v>115</v>
      </c>
      <c r="AF39" s="5"/>
      <c r="AG39">
        <v>0</v>
      </c>
      <c r="AH39">
        <v>0</v>
      </c>
      <c r="AI39">
        <v>0</v>
      </c>
      <c r="AJ39">
        <v>0</v>
      </c>
      <c r="AK39">
        <v>33</v>
      </c>
      <c r="AL39">
        <v>33</v>
      </c>
      <c r="AM39" t="s">
        <v>188</v>
      </c>
      <c r="AN39" t="s">
        <v>3140</v>
      </c>
    </row>
    <row r="40" spans="1:41" x14ac:dyDescent="0.2">
      <c r="A40" t="s">
        <v>3245</v>
      </c>
      <c r="B40" t="s">
        <v>3246</v>
      </c>
      <c r="C40">
        <v>1</v>
      </c>
      <c r="D40">
        <v>2</v>
      </c>
      <c r="E40" t="s">
        <v>2462</v>
      </c>
      <c r="F40" s="1">
        <v>43573</v>
      </c>
      <c r="G40" s="1" t="s">
        <v>4027</v>
      </c>
      <c r="H40" s="1"/>
      <c r="I40" s="2">
        <v>9.7222222222222224E-2</v>
      </c>
      <c r="J40" t="s">
        <v>398</v>
      </c>
      <c r="K40" t="s">
        <v>64</v>
      </c>
      <c r="L40" t="s">
        <v>102</v>
      </c>
      <c r="M40" t="s">
        <v>23</v>
      </c>
      <c r="N40">
        <v>1</v>
      </c>
      <c r="O40">
        <v>1</v>
      </c>
      <c r="P40">
        <v>1</v>
      </c>
      <c r="Q40" t="s">
        <v>176</v>
      </c>
      <c r="R40" s="5" t="s">
        <v>3247</v>
      </c>
      <c r="S40" s="5" t="s">
        <v>2061</v>
      </c>
      <c r="T40" s="5" t="s">
        <v>1035</v>
      </c>
      <c r="U40" s="5" t="s">
        <v>23</v>
      </c>
      <c r="V40" s="5" t="s">
        <v>3997</v>
      </c>
      <c r="W40" s="5" t="s">
        <v>4006</v>
      </c>
      <c r="X40" s="5" t="s">
        <v>2825</v>
      </c>
      <c r="Y40">
        <v>70</v>
      </c>
      <c r="AA40" s="5" t="s">
        <v>3026</v>
      </c>
      <c r="AB40">
        <v>63.735770000000002</v>
      </c>
      <c r="AC40">
        <v>148.89865</v>
      </c>
      <c r="AD40">
        <v>63.735770000000002</v>
      </c>
      <c r="AE40">
        <v>148.89854</v>
      </c>
      <c r="AF40" s="5" t="s">
        <v>115</v>
      </c>
      <c r="AG40">
        <v>0</v>
      </c>
      <c r="AH40">
        <v>10</v>
      </c>
      <c r="AI40">
        <v>10</v>
      </c>
      <c r="AJ40">
        <v>0</v>
      </c>
      <c r="AK40">
        <v>0</v>
      </c>
      <c r="AL40">
        <v>10</v>
      </c>
      <c r="AM40" t="s">
        <v>188</v>
      </c>
      <c r="AN40" t="s">
        <v>3248</v>
      </c>
    </row>
    <row r="41" spans="1:41" x14ac:dyDescent="0.2">
      <c r="A41" s="5" t="s">
        <v>4101</v>
      </c>
      <c r="B41" s="5" t="s">
        <v>4102</v>
      </c>
      <c r="C41" s="5">
        <v>1</v>
      </c>
      <c r="D41" s="5">
        <v>1</v>
      </c>
      <c r="E41" s="5" t="s">
        <v>176</v>
      </c>
      <c r="F41" s="11">
        <v>43647</v>
      </c>
      <c r="G41" s="5" t="s">
        <v>4058</v>
      </c>
      <c r="I41" s="45">
        <v>1.6666666666666666E-2</v>
      </c>
      <c r="J41" s="5" t="s">
        <v>398</v>
      </c>
      <c r="K41" s="5" t="s">
        <v>4112</v>
      </c>
      <c r="L41" s="5" t="s">
        <v>111</v>
      </c>
      <c r="M41" s="5" t="s">
        <v>23</v>
      </c>
      <c r="N41" s="5">
        <v>0</v>
      </c>
      <c r="O41" s="5">
        <v>0</v>
      </c>
      <c r="P41" s="5">
        <v>1</v>
      </c>
      <c r="Q41" s="5" t="s">
        <v>176</v>
      </c>
      <c r="R41" s="5" t="s">
        <v>176</v>
      </c>
      <c r="S41" s="5" t="s">
        <v>4103</v>
      </c>
      <c r="T41" s="5" t="s">
        <v>487</v>
      </c>
      <c r="U41" s="5" t="s">
        <v>23</v>
      </c>
      <c r="V41" s="5" t="s">
        <v>3997</v>
      </c>
      <c r="W41" s="5" t="s">
        <v>4022</v>
      </c>
      <c r="X41" s="5"/>
      <c r="Y41" s="5">
        <v>70</v>
      </c>
      <c r="Z41" s="5"/>
      <c r="AA41" s="5" t="s">
        <v>176</v>
      </c>
      <c r="AB41" s="5">
        <v>63.727580000000003</v>
      </c>
      <c r="AC41" s="5">
        <v>148.95523</v>
      </c>
      <c r="AD41" s="5" t="s">
        <v>115</v>
      </c>
      <c r="AE41" s="5" t="s">
        <v>115</v>
      </c>
      <c r="AF41" s="5" t="s">
        <v>115</v>
      </c>
      <c r="AG41" s="5">
        <v>0</v>
      </c>
      <c r="AH41" s="5">
        <v>0</v>
      </c>
      <c r="AI41" s="5">
        <v>0</v>
      </c>
      <c r="AJ41" s="5">
        <v>0</v>
      </c>
      <c r="AK41" s="5">
        <v>0</v>
      </c>
      <c r="AL41" s="5">
        <v>0</v>
      </c>
      <c r="AM41" s="5"/>
      <c r="AN41" s="5"/>
      <c r="AO41" s="5"/>
    </row>
    <row r="42" spans="1:41" x14ac:dyDescent="0.2">
      <c r="A42" t="s">
        <v>4617</v>
      </c>
      <c r="B42" t="s">
        <v>4618</v>
      </c>
      <c r="C42">
        <v>4</v>
      </c>
      <c r="D42">
        <v>1</v>
      </c>
      <c r="E42" t="s">
        <v>2586</v>
      </c>
      <c r="F42" s="1">
        <v>43704</v>
      </c>
      <c r="G42" t="s">
        <v>4031</v>
      </c>
      <c r="H42" t="s">
        <v>4724</v>
      </c>
      <c r="I42" s="2">
        <v>1.8749999999999999E-2</v>
      </c>
      <c r="J42" t="s">
        <v>398</v>
      </c>
      <c r="K42" t="s">
        <v>4339</v>
      </c>
      <c r="L42" t="s">
        <v>111</v>
      </c>
      <c r="M42" t="s">
        <v>23</v>
      </c>
      <c r="N42">
        <v>0</v>
      </c>
      <c r="O42">
        <v>0</v>
      </c>
      <c r="P42">
        <v>1</v>
      </c>
      <c r="Q42" t="s">
        <v>176</v>
      </c>
      <c r="R42" t="s">
        <v>176</v>
      </c>
      <c r="S42" t="s">
        <v>176</v>
      </c>
      <c r="T42" t="s">
        <v>263</v>
      </c>
      <c r="U42" t="s">
        <v>23</v>
      </c>
      <c r="V42" t="s">
        <v>4004</v>
      </c>
      <c r="W42" t="s">
        <v>176</v>
      </c>
      <c r="Y42">
        <v>70</v>
      </c>
      <c r="AA42" t="s">
        <v>176</v>
      </c>
      <c r="AB42" s="19">
        <v>63.723500000000001</v>
      </c>
      <c r="AC42" s="19">
        <v>148.88756000000001</v>
      </c>
      <c r="AD42" t="s">
        <v>115</v>
      </c>
      <c r="AE42" t="s">
        <v>115</v>
      </c>
      <c r="AF42" t="s">
        <v>115</v>
      </c>
      <c r="AG42">
        <v>0</v>
      </c>
      <c r="AH42">
        <v>0</v>
      </c>
      <c r="AI42">
        <v>0</v>
      </c>
      <c r="AJ42">
        <v>0</v>
      </c>
      <c r="AK42">
        <v>0</v>
      </c>
      <c r="AL42">
        <v>0</v>
      </c>
      <c r="AM42">
        <v>0</v>
      </c>
      <c r="AO42" t="s">
        <v>4619</v>
      </c>
    </row>
    <row r="43" spans="1:41" x14ac:dyDescent="0.2">
      <c r="A43" t="s">
        <v>4215</v>
      </c>
      <c r="B43" t="s">
        <v>4216</v>
      </c>
      <c r="C43">
        <v>11</v>
      </c>
      <c r="D43">
        <v>1</v>
      </c>
      <c r="E43" t="s">
        <v>4191</v>
      </c>
      <c r="F43" s="1">
        <v>43687</v>
      </c>
      <c r="G43" t="s">
        <v>4031</v>
      </c>
      <c r="H43" t="s">
        <v>4724</v>
      </c>
      <c r="I43" s="2">
        <v>4.2361111111111106E-2</v>
      </c>
      <c r="J43" t="s">
        <v>398</v>
      </c>
      <c r="K43" t="s">
        <v>241</v>
      </c>
      <c r="L43" t="s">
        <v>102</v>
      </c>
      <c r="M43" t="s">
        <v>23</v>
      </c>
      <c r="N43">
        <v>0</v>
      </c>
      <c r="O43">
        <v>0</v>
      </c>
      <c r="P43">
        <v>1</v>
      </c>
      <c r="Q43" t="s">
        <v>176</v>
      </c>
      <c r="R43" t="s">
        <v>176</v>
      </c>
      <c r="S43" t="s">
        <v>176</v>
      </c>
      <c r="T43" t="s">
        <v>709</v>
      </c>
      <c r="U43" t="s">
        <v>23</v>
      </c>
      <c r="V43" t="s">
        <v>4004</v>
      </c>
      <c r="W43" t="s">
        <v>4022</v>
      </c>
      <c r="Y43">
        <v>72</v>
      </c>
      <c r="AA43" t="s">
        <v>176</v>
      </c>
      <c r="AB43" s="19">
        <v>63.740099999999998</v>
      </c>
      <c r="AC43" s="19">
        <v>148.89954</v>
      </c>
      <c r="AD43" t="s">
        <v>115</v>
      </c>
      <c r="AE43" t="s">
        <v>115</v>
      </c>
      <c r="AF43" t="s">
        <v>115</v>
      </c>
      <c r="AG43">
        <v>0</v>
      </c>
      <c r="AH43">
        <v>0</v>
      </c>
      <c r="AI43">
        <v>0</v>
      </c>
      <c r="AJ43">
        <v>0</v>
      </c>
      <c r="AK43">
        <v>0</v>
      </c>
      <c r="AL43">
        <v>0</v>
      </c>
      <c r="AM43">
        <v>0</v>
      </c>
    </row>
    <row r="44" spans="1:41" x14ac:dyDescent="0.2">
      <c r="A44" t="s">
        <v>4481</v>
      </c>
      <c r="B44" t="s">
        <v>4484</v>
      </c>
      <c r="C44">
        <v>19</v>
      </c>
      <c r="D44">
        <v>1</v>
      </c>
      <c r="E44" t="s">
        <v>213</v>
      </c>
      <c r="F44" s="1">
        <v>43697</v>
      </c>
      <c r="G44" t="s">
        <v>4031</v>
      </c>
      <c r="H44" t="s">
        <v>4724</v>
      </c>
      <c r="I44" s="2">
        <v>1.2499999999999999E-2</v>
      </c>
      <c r="J44" t="s">
        <v>640</v>
      </c>
      <c r="K44" t="s">
        <v>4478</v>
      </c>
      <c r="L44" t="s">
        <v>568</v>
      </c>
      <c r="M44" t="s">
        <v>23</v>
      </c>
      <c r="N44">
        <v>1</v>
      </c>
      <c r="O44">
        <v>0</v>
      </c>
      <c r="P44">
        <v>1</v>
      </c>
      <c r="Q44" t="s">
        <v>598</v>
      </c>
      <c r="R44" t="s">
        <v>4463</v>
      </c>
      <c r="S44" t="s">
        <v>122</v>
      </c>
      <c r="T44" t="s">
        <v>333</v>
      </c>
      <c r="U44" t="s">
        <v>23</v>
      </c>
      <c r="V44" t="s">
        <v>3999</v>
      </c>
      <c r="W44" t="s">
        <v>4006</v>
      </c>
      <c r="Y44">
        <v>75</v>
      </c>
      <c r="AA44">
        <v>4</v>
      </c>
      <c r="AB44" s="19">
        <v>63.720140000000001</v>
      </c>
      <c r="AC44" s="19">
        <v>148.97776999999999</v>
      </c>
      <c r="AD44" t="s">
        <v>115</v>
      </c>
      <c r="AE44" t="s">
        <v>115</v>
      </c>
      <c r="AF44" t="s">
        <v>115</v>
      </c>
      <c r="AG44">
        <v>0</v>
      </c>
      <c r="AH44">
        <v>0</v>
      </c>
      <c r="AI44">
        <v>0</v>
      </c>
      <c r="AJ44">
        <v>0</v>
      </c>
      <c r="AK44">
        <v>2</v>
      </c>
      <c r="AL44">
        <v>0</v>
      </c>
      <c r="AM44">
        <v>2</v>
      </c>
    </row>
    <row r="45" spans="1:41" x14ac:dyDescent="0.2">
      <c r="A45" t="s">
        <v>4410</v>
      </c>
      <c r="B45" t="s">
        <v>4409</v>
      </c>
      <c r="C45">
        <v>1</v>
      </c>
      <c r="D45">
        <v>1</v>
      </c>
      <c r="E45" t="s">
        <v>395</v>
      </c>
      <c r="F45" s="1">
        <v>43694</v>
      </c>
      <c r="G45" t="s">
        <v>4031</v>
      </c>
      <c r="H45" t="s">
        <v>4724</v>
      </c>
      <c r="I45" s="2">
        <v>4.3055555555555562E-2</v>
      </c>
      <c r="J45" t="s">
        <v>398</v>
      </c>
      <c r="K45" t="s">
        <v>4411</v>
      </c>
      <c r="L45" t="s">
        <v>4412</v>
      </c>
      <c r="M45" t="s">
        <v>23</v>
      </c>
      <c r="N45">
        <v>1</v>
      </c>
      <c r="O45">
        <v>0</v>
      </c>
      <c r="P45">
        <v>1</v>
      </c>
      <c r="Q45" t="s">
        <v>176</v>
      </c>
      <c r="R45" t="s">
        <v>176</v>
      </c>
      <c r="S45" t="s">
        <v>176</v>
      </c>
      <c r="T45" t="s">
        <v>709</v>
      </c>
      <c r="U45" t="s">
        <v>23</v>
      </c>
      <c r="V45" t="s">
        <v>4004</v>
      </c>
      <c r="W45" t="s">
        <v>4022</v>
      </c>
      <c r="Y45">
        <v>79</v>
      </c>
      <c r="AA45" t="s">
        <v>176</v>
      </c>
      <c r="AB45" s="19">
        <v>63.719410000000003</v>
      </c>
      <c r="AC45" s="19">
        <v>148.98576</v>
      </c>
      <c r="AD45" t="s">
        <v>115</v>
      </c>
      <c r="AE45" t="s">
        <v>115</v>
      </c>
      <c r="AF45" t="s">
        <v>115</v>
      </c>
      <c r="AG45">
        <v>0</v>
      </c>
      <c r="AH45">
        <v>0</v>
      </c>
      <c r="AI45">
        <v>0</v>
      </c>
      <c r="AJ45">
        <v>0</v>
      </c>
      <c r="AK45">
        <v>0</v>
      </c>
      <c r="AL45">
        <v>0</v>
      </c>
      <c r="AM45">
        <v>0</v>
      </c>
    </row>
    <row r="46" spans="1:41" x14ac:dyDescent="0.2">
      <c r="A46" t="s">
        <v>3513</v>
      </c>
      <c r="B46" t="s">
        <v>3514</v>
      </c>
      <c r="C46">
        <v>29</v>
      </c>
      <c r="D46">
        <v>1</v>
      </c>
      <c r="E46" t="s">
        <v>2462</v>
      </c>
      <c r="F46" s="1">
        <v>43579</v>
      </c>
      <c r="G46" s="1" t="s">
        <v>4027</v>
      </c>
      <c r="H46" s="1"/>
      <c r="I46" s="2">
        <v>7.0833333333333331E-2</v>
      </c>
      <c r="J46" t="s">
        <v>101</v>
      </c>
      <c r="K46" t="s">
        <v>363</v>
      </c>
      <c r="L46" t="s">
        <v>187</v>
      </c>
      <c r="M46" t="s">
        <v>23</v>
      </c>
      <c r="N46">
        <v>1</v>
      </c>
      <c r="O46">
        <v>0</v>
      </c>
      <c r="P46">
        <v>1</v>
      </c>
      <c r="Q46" t="s">
        <v>598</v>
      </c>
      <c r="R46" s="5" t="s">
        <v>2801</v>
      </c>
      <c r="S46" s="5" t="s">
        <v>122</v>
      </c>
      <c r="T46" s="5" t="s">
        <v>2141</v>
      </c>
      <c r="U46" s="5" t="s">
        <v>23</v>
      </c>
      <c r="V46" s="5" t="s">
        <v>3997</v>
      </c>
      <c r="W46" s="5" t="s">
        <v>4020</v>
      </c>
      <c r="X46" s="5" t="s">
        <v>2825</v>
      </c>
      <c r="Y46">
        <v>80</v>
      </c>
      <c r="AA46">
        <v>9</v>
      </c>
      <c r="AB46">
        <v>63.73518</v>
      </c>
      <c r="AC46">
        <v>148.90012999999999</v>
      </c>
      <c r="AD46" s="5" t="s">
        <v>115</v>
      </c>
      <c r="AE46" s="5" t="s">
        <v>115</v>
      </c>
      <c r="AF46" s="5" t="s">
        <v>115</v>
      </c>
      <c r="AG46">
        <v>0</v>
      </c>
      <c r="AH46">
        <v>0</v>
      </c>
      <c r="AI46">
        <v>0</v>
      </c>
      <c r="AJ46">
        <v>0</v>
      </c>
      <c r="AK46">
        <v>6</v>
      </c>
      <c r="AL46">
        <v>6</v>
      </c>
      <c r="AM46" t="s">
        <v>188</v>
      </c>
      <c r="AN46" t="s">
        <v>3015</v>
      </c>
    </row>
    <row r="47" spans="1:41" x14ac:dyDescent="0.2">
      <c r="A47" t="s">
        <v>4281</v>
      </c>
      <c r="B47" t="s">
        <v>4282</v>
      </c>
      <c r="C47">
        <v>12</v>
      </c>
      <c r="D47">
        <v>2</v>
      </c>
      <c r="E47" t="s">
        <v>213</v>
      </c>
      <c r="F47" s="1">
        <v>43688</v>
      </c>
      <c r="G47" t="s">
        <v>4031</v>
      </c>
      <c r="H47" t="s">
        <v>4724</v>
      </c>
      <c r="I47" s="2">
        <v>2.5694444444444447E-2</v>
      </c>
      <c r="J47" t="s">
        <v>640</v>
      </c>
      <c r="K47" t="s">
        <v>4280</v>
      </c>
      <c r="L47" t="s">
        <v>102</v>
      </c>
      <c r="M47" t="s">
        <v>23</v>
      </c>
      <c r="N47">
        <v>1</v>
      </c>
      <c r="O47" t="s">
        <v>176</v>
      </c>
      <c r="P47">
        <v>1</v>
      </c>
      <c r="Q47" t="s">
        <v>176</v>
      </c>
      <c r="R47" t="s">
        <v>176</v>
      </c>
      <c r="S47" t="s">
        <v>4159</v>
      </c>
      <c r="T47" t="s">
        <v>709</v>
      </c>
      <c r="U47" t="s">
        <v>23</v>
      </c>
      <c r="V47" t="s">
        <v>4004</v>
      </c>
      <c r="W47" t="s">
        <v>4022</v>
      </c>
      <c r="X47" t="s">
        <v>115</v>
      </c>
      <c r="Y47">
        <v>80</v>
      </c>
      <c r="AA47">
        <v>10</v>
      </c>
      <c r="AB47" s="19">
        <v>63.718910000000001</v>
      </c>
      <c r="AC47" s="19">
        <v>148.97681</v>
      </c>
      <c r="AD47" t="s">
        <v>115</v>
      </c>
      <c r="AE47" t="s">
        <v>115</v>
      </c>
      <c r="AF47" t="s">
        <v>115</v>
      </c>
      <c r="AG47">
        <v>10</v>
      </c>
      <c r="AH47">
        <v>0</v>
      </c>
      <c r="AI47">
        <v>0</v>
      </c>
      <c r="AJ47">
        <v>10</v>
      </c>
      <c r="AK47">
        <v>0</v>
      </c>
      <c r="AL47">
        <v>0</v>
      </c>
      <c r="AM47">
        <v>10</v>
      </c>
    </row>
    <row r="48" spans="1:41" x14ac:dyDescent="0.2">
      <c r="A48" t="s">
        <v>2375</v>
      </c>
      <c r="B48" t="s">
        <v>2376</v>
      </c>
      <c r="C48">
        <v>14</v>
      </c>
      <c r="D48">
        <v>1</v>
      </c>
      <c r="E48" t="s">
        <v>2343</v>
      </c>
      <c r="F48" s="1">
        <v>43544</v>
      </c>
      <c r="G48" s="1" t="s">
        <v>4026</v>
      </c>
      <c r="H48" s="1"/>
      <c r="I48" s="2">
        <v>4.1666666666666666E-3</v>
      </c>
      <c r="J48" t="s">
        <v>101</v>
      </c>
      <c r="K48" t="s">
        <v>2927</v>
      </c>
      <c r="L48" t="s">
        <v>111</v>
      </c>
      <c r="M48" t="s">
        <v>23</v>
      </c>
      <c r="N48">
        <v>1</v>
      </c>
      <c r="O48">
        <v>0</v>
      </c>
      <c r="P48">
        <v>1</v>
      </c>
      <c r="Q48" t="s">
        <v>598</v>
      </c>
      <c r="R48" t="s">
        <v>2377</v>
      </c>
      <c r="S48" t="s">
        <v>122</v>
      </c>
      <c r="T48" t="s">
        <v>2088</v>
      </c>
      <c r="U48" s="5" t="s">
        <v>23</v>
      </c>
      <c r="V48" s="5" t="s">
        <v>3997</v>
      </c>
      <c r="W48" s="5" t="s">
        <v>4021</v>
      </c>
      <c r="X48" t="s">
        <v>2379</v>
      </c>
      <c r="Y48">
        <v>82</v>
      </c>
      <c r="AA48" t="s">
        <v>176</v>
      </c>
      <c r="AB48">
        <v>63.739370000000001</v>
      </c>
      <c r="AC48">
        <v>148.91734</v>
      </c>
      <c r="AG48">
        <v>0</v>
      </c>
      <c r="AH48">
        <v>0</v>
      </c>
      <c r="AI48">
        <v>0</v>
      </c>
      <c r="AJ48">
        <v>0</v>
      </c>
      <c r="AK48">
        <v>0</v>
      </c>
      <c r="AL48">
        <v>0</v>
      </c>
      <c r="AM48" t="s">
        <v>115</v>
      </c>
      <c r="AN48" t="s">
        <v>2380</v>
      </c>
    </row>
    <row r="49" spans="1:41" x14ac:dyDescent="0.2">
      <c r="A49" s="5" t="s">
        <v>4148</v>
      </c>
      <c r="B49" s="5" t="s">
        <v>4149</v>
      </c>
      <c r="C49" s="5">
        <v>17</v>
      </c>
      <c r="D49" s="5">
        <v>1</v>
      </c>
      <c r="E49" s="5" t="s">
        <v>395</v>
      </c>
      <c r="F49" s="1">
        <v>43648</v>
      </c>
      <c r="G49" s="5" t="s">
        <v>4058</v>
      </c>
      <c r="I49" s="2">
        <v>1.4583333333333332E-2</v>
      </c>
      <c r="J49" s="5" t="s">
        <v>398</v>
      </c>
      <c r="K49" s="5" t="s">
        <v>2488</v>
      </c>
      <c r="L49" s="5" t="s">
        <v>111</v>
      </c>
      <c r="M49" s="5" t="s">
        <v>23</v>
      </c>
      <c r="N49">
        <v>0</v>
      </c>
      <c r="P49" s="5">
        <v>1</v>
      </c>
      <c r="Q49" s="5" t="s">
        <v>176</v>
      </c>
      <c r="R49" s="5" t="s">
        <v>176</v>
      </c>
      <c r="S49" s="5" t="s">
        <v>4150</v>
      </c>
      <c r="T49" s="5" t="s">
        <v>487</v>
      </c>
      <c r="U49" s="5" t="s">
        <v>23</v>
      </c>
      <c r="V49" s="5" t="s">
        <v>3997</v>
      </c>
      <c r="W49" s="5" t="s">
        <v>4022</v>
      </c>
      <c r="X49" s="5"/>
      <c r="Y49" s="5">
        <v>87</v>
      </c>
      <c r="Z49" s="5"/>
      <c r="AA49" s="5" t="s">
        <v>176</v>
      </c>
      <c r="AB49" s="5">
        <v>63.720939999999999</v>
      </c>
      <c r="AC49" s="5">
        <v>148.98759000000001</v>
      </c>
      <c r="AD49" s="5" t="s">
        <v>115</v>
      </c>
      <c r="AE49" s="5" t="s">
        <v>115</v>
      </c>
      <c r="AF49" s="5" t="s">
        <v>115</v>
      </c>
      <c r="AG49" s="5">
        <v>7</v>
      </c>
      <c r="AH49" s="5">
        <v>0</v>
      </c>
      <c r="AI49" s="5">
        <v>7</v>
      </c>
      <c r="AJ49" s="5">
        <v>0</v>
      </c>
      <c r="AK49" s="5">
        <v>0</v>
      </c>
      <c r="AL49" s="5">
        <v>7</v>
      </c>
    </row>
    <row r="50" spans="1:41" x14ac:dyDescent="0.2">
      <c r="A50" t="s">
        <v>4546</v>
      </c>
      <c r="B50" t="s">
        <v>4547</v>
      </c>
      <c r="C50">
        <v>6</v>
      </c>
      <c r="D50">
        <v>1</v>
      </c>
      <c r="E50" t="s">
        <v>2586</v>
      </c>
      <c r="F50" s="1">
        <v>43699</v>
      </c>
      <c r="G50" t="s">
        <v>4031</v>
      </c>
      <c r="H50" t="s">
        <v>4724</v>
      </c>
      <c r="I50" s="2">
        <v>4.6527777777777779E-2</v>
      </c>
      <c r="J50" t="s">
        <v>398</v>
      </c>
      <c r="K50" t="s">
        <v>4339</v>
      </c>
      <c r="L50" t="s">
        <v>4412</v>
      </c>
      <c r="M50" t="s">
        <v>23</v>
      </c>
      <c r="N50">
        <v>0</v>
      </c>
      <c r="O50">
        <v>0</v>
      </c>
      <c r="P50">
        <v>1</v>
      </c>
      <c r="Q50" t="s">
        <v>176</v>
      </c>
      <c r="R50" t="s">
        <v>176</v>
      </c>
      <c r="S50" t="s">
        <v>333</v>
      </c>
      <c r="T50" t="s">
        <v>1035</v>
      </c>
      <c r="U50" t="s">
        <v>23</v>
      </c>
      <c r="V50" t="s">
        <v>3997</v>
      </c>
      <c r="W50" t="s">
        <v>4006</v>
      </c>
      <c r="Y50">
        <v>88</v>
      </c>
      <c r="AA50">
        <v>4</v>
      </c>
      <c r="AB50" s="19">
        <v>63.723080000000003</v>
      </c>
      <c r="AC50" s="19">
        <v>148.88820000000001</v>
      </c>
      <c r="AD50" t="s">
        <v>115</v>
      </c>
      <c r="AE50" t="s">
        <v>115</v>
      </c>
      <c r="AF50" t="s">
        <v>115</v>
      </c>
      <c r="AG50">
        <v>0</v>
      </c>
      <c r="AH50">
        <v>0</v>
      </c>
      <c r="AI50">
        <v>0</v>
      </c>
      <c r="AJ50">
        <v>0</v>
      </c>
      <c r="AK50">
        <v>0</v>
      </c>
      <c r="AL50">
        <v>0</v>
      </c>
      <c r="AM50">
        <v>0</v>
      </c>
    </row>
    <row r="51" spans="1:41" x14ac:dyDescent="0.2">
      <c r="A51" t="s">
        <v>3597</v>
      </c>
      <c r="B51" t="s">
        <v>3598</v>
      </c>
      <c r="C51">
        <v>1</v>
      </c>
      <c r="D51">
        <v>1</v>
      </c>
      <c r="E51" t="s">
        <v>791</v>
      </c>
      <c r="F51" s="1">
        <v>43581</v>
      </c>
      <c r="G51" s="1" t="s">
        <v>4027</v>
      </c>
      <c r="H51" s="1"/>
      <c r="I51" s="2">
        <v>2.7083333333333334E-2</v>
      </c>
      <c r="K51" t="s">
        <v>927</v>
      </c>
      <c r="L51" t="s">
        <v>107</v>
      </c>
      <c r="M51" t="s">
        <v>115</v>
      </c>
      <c r="N51">
        <v>1</v>
      </c>
      <c r="O51">
        <v>1</v>
      </c>
      <c r="P51">
        <v>1</v>
      </c>
      <c r="Q51" t="s">
        <v>1618</v>
      </c>
      <c r="R51" s="5" t="s">
        <v>764</v>
      </c>
      <c r="S51" s="5" t="s">
        <v>24</v>
      </c>
      <c r="T51" s="5" t="s">
        <v>3599</v>
      </c>
      <c r="U51" s="5" t="s">
        <v>23</v>
      </c>
      <c r="V51" s="5" t="s">
        <v>3997</v>
      </c>
      <c r="W51" s="5" t="s">
        <v>4006</v>
      </c>
      <c r="X51" s="5" t="s">
        <v>2825</v>
      </c>
      <c r="Y51" s="5">
        <v>90</v>
      </c>
      <c r="Z51" s="5">
        <f>COUNT(Y2:Y51)</f>
        <v>50</v>
      </c>
      <c r="AA51" s="5" t="s">
        <v>176</v>
      </c>
      <c r="AB51" s="5">
        <v>63.72457</v>
      </c>
      <c r="AC51" s="5">
        <v>148.96351999999999</v>
      </c>
      <c r="AD51" s="5" t="s">
        <v>24</v>
      </c>
      <c r="AE51" s="5" t="s">
        <v>24</v>
      </c>
      <c r="AF51" s="5" t="s">
        <v>115</v>
      </c>
      <c r="AG51">
        <v>0</v>
      </c>
      <c r="AH51">
        <v>0</v>
      </c>
      <c r="AI51">
        <v>0</v>
      </c>
      <c r="AJ51">
        <v>0</v>
      </c>
      <c r="AK51">
        <v>0</v>
      </c>
      <c r="AL51">
        <v>0</v>
      </c>
      <c r="AN51" t="s">
        <v>2480</v>
      </c>
    </row>
    <row r="52" spans="1:41" x14ac:dyDescent="0.2">
      <c r="A52" t="s">
        <v>3013</v>
      </c>
      <c r="B52" t="s">
        <v>3014</v>
      </c>
      <c r="C52">
        <v>1</v>
      </c>
      <c r="D52">
        <v>1</v>
      </c>
      <c r="E52" t="s">
        <v>2487</v>
      </c>
      <c r="F52" s="1">
        <v>43564</v>
      </c>
      <c r="G52" s="1" t="s">
        <v>4027</v>
      </c>
      <c r="H52" s="1"/>
      <c r="I52" s="2">
        <v>2.7083333333333334E-2</v>
      </c>
      <c r="K52" t="s">
        <v>2488</v>
      </c>
      <c r="L52" t="s">
        <v>102</v>
      </c>
      <c r="M52" t="s">
        <v>115</v>
      </c>
      <c r="N52">
        <v>1</v>
      </c>
      <c r="O52">
        <v>0</v>
      </c>
      <c r="P52">
        <v>1</v>
      </c>
      <c r="Q52" t="s">
        <v>598</v>
      </c>
      <c r="R52" s="5" t="s">
        <v>2506</v>
      </c>
      <c r="S52" s="5" t="s">
        <v>122</v>
      </c>
      <c r="T52" s="5" t="s">
        <v>2088</v>
      </c>
      <c r="U52" s="5" t="s">
        <v>23</v>
      </c>
      <c r="V52" s="5" t="s">
        <v>3997</v>
      </c>
      <c r="W52" s="5" t="s">
        <v>4021</v>
      </c>
      <c r="X52" t="s">
        <v>2825</v>
      </c>
      <c r="Y52">
        <v>95</v>
      </c>
      <c r="AA52">
        <v>1</v>
      </c>
      <c r="AB52">
        <v>63.71951</v>
      </c>
      <c r="AC52">
        <v>148.98781</v>
      </c>
      <c r="AD52" s="5" t="s">
        <v>115</v>
      </c>
      <c r="AE52" s="5" t="s">
        <v>115</v>
      </c>
      <c r="AF52" s="5"/>
      <c r="AG52">
        <v>0</v>
      </c>
      <c r="AH52">
        <v>0</v>
      </c>
      <c r="AI52">
        <v>0</v>
      </c>
      <c r="AJ52">
        <v>0</v>
      </c>
      <c r="AK52">
        <v>5</v>
      </c>
      <c r="AL52">
        <v>5</v>
      </c>
      <c r="AM52" t="s">
        <v>188</v>
      </c>
      <c r="AN52" t="s">
        <v>3015</v>
      </c>
    </row>
    <row r="53" spans="1:41" x14ac:dyDescent="0.2">
      <c r="A53" t="s">
        <v>3910</v>
      </c>
      <c r="B53" t="s">
        <v>3911</v>
      </c>
      <c r="C53">
        <v>13</v>
      </c>
      <c r="D53">
        <v>1</v>
      </c>
      <c r="E53" t="s">
        <v>2462</v>
      </c>
      <c r="F53" s="1">
        <v>43591</v>
      </c>
      <c r="G53" s="1" t="s">
        <v>4028</v>
      </c>
      <c r="H53" s="1"/>
      <c r="I53" s="2">
        <v>9.0277777777777787E-3</v>
      </c>
      <c r="J53" t="s">
        <v>1278</v>
      </c>
      <c r="K53" t="s">
        <v>64</v>
      </c>
      <c r="L53" t="s">
        <v>111</v>
      </c>
      <c r="M53" t="s">
        <v>23</v>
      </c>
      <c r="N53">
        <v>0</v>
      </c>
      <c r="O53">
        <v>0</v>
      </c>
      <c r="P53">
        <v>1</v>
      </c>
      <c r="Q53" t="s">
        <v>598</v>
      </c>
      <c r="R53" s="5" t="s">
        <v>2801</v>
      </c>
      <c r="S53" s="5" t="s">
        <v>115</v>
      </c>
      <c r="T53" s="5" t="s">
        <v>333</v>
      </c>
      <c r="U53" s="5" t="s">
        <v>23</v>
      </c>
      <c r="V53" s="5" t="s">
        <v>3999</v>
      </c>
      <c r="W53" s="5" t="s">
        <v>4006</v>
      </c>
      <c r="X53" t="s">
        <v>2825</v>
      </c>
      <c r="Y53">
        <v>95</v>
      </c>
      <c r="AA53">
        <v>21</v>
      </c>
      <c r="AB53">
        <v>63.736319999999999</v>
      </c>
      <c r="AC53">
        <v>148.90260000000001</v>
      </c>
      <c r="AD53" s="5" t="s">
        <v>115</v>
      </c>
      <c r="AE53" s="5" t="s">
        <v>115</v>
      </c>
      <c r="AF53" s="5" t="s">
        <v>115</v>
      </c>
      <c r="AG53">
        <v>0</v>
      </c>
      <c r="AH53">
        <v>0</v>
      </c>
      <c r="AI53">
        <v>0</v>
      </c>
      <c r="AJ53">
        <v>0</v>
      </c>
      <c r="AK53">
        <v>0</v>
      </c>
      <c r="AL53">
        <v>0</v>
      </c>
      <c r="AN53" t="s">
        <v>3611</v>
      </c>
    </row>
    <row r="54" spans="1:41" x14ac:dyDescent="0.2">
      <c r="A54" t="s">
        <v>4268</v>
      </c>
      <c r="B54" t="s">
        <v>4269</v>
      </c>
      <c r="C54">
        <v>6</v>
      </c>
      <c r="D54">
        <v>1</v>
      </c>
      <c r="E54" t="s">
        <v>213</v>
      </c>
      <c r="F54" s="1">
        <v>43688</v>
      </c>
      <c r="G54" t="s">
        <v>4031</v>
      </c>
      <c r="H54" t="s">
        <v>4724</v>
      </c>
      <c r="I54" s="2">
        <v>3.3333333333333333E-2</v>
      </c>
      <c r="J54" t="s">
        <v>640</v>
      </c>
      <c r="K54" t="s">
        <v>4258</v>
      </c>
      <c r="L54" t="s">
        <v>568</v>
      </c>
      <c r="M54" t="s">
        <v>23</v>
      </c>
      <c r="N54">
        <v>1</v>
      </c>
      <c r="O54">
        <v>0</v>
      </c>
      <c r="P54">
        <v>1</v>
      </c>
      <c r="Q54" t="s">
        <v>1342</v>
      </c>
      <c r="R54" t="s">
        <v>4244</v>
      </c>
      <c r="S54" t="s">
        <v>122</v>
      </c>
      <c r="T54" t="s">
        <v>709</v>
      </c>
      <c r="U54" t="s">
        <v>23</v>
      </c>
      <c r="V54" t="s">
        <v>4004</v>
      </c>
      <c r="W54" t="s">
        <v>4022</v>
      </c>
      <c r="Y54">
        <v>95</v>
      </c>
      <c r="AA54">
        <v>9</v>
      </c>
      <c r="AB54" s="19">
        <v>63.718960000000003</v>
      </c>
      <c r="AC54" s="19">
        <v>148.97684000000001</v>
      </c>
      <c r="AD54" t="s">
        <v>115</v>
      </c>
      <c r="AE54" t="s">
        <v>115</v>
      </c>
      <c r="AF54" t="s">
        <v>115</v>
      </c>
      <c r="AG54">
        <v>0</v>
      </c>
      <c r="AH54">
        <v>0</v>
      </c>
      <c r="AI54">
        <v>0</v>
      </c>
      <c r="AJ54">
        <v>0</v>
      </c>
      <c r="AK54">
        <v>27</v>
      </c>
      <c r="AL54">
        <v>0</v>
      </c>
      <c r="AM54">
        <v>27</v>
      </c>
    </row>
    <row r="55" spans="1:41" x14ac:dyDescent="0.2">
      <c r="A55" t="s">
        <v>4555</v>
      </c>
      <c r="B55" t="s">
        <v>4556</v>
      </c>
      <c r="C55">
        <v>2</v>
      </c>
      <c r="D55">
        <v>1</v>
      </c>
      <c r="E55" t="s">
        <v>791</v>
      </c>
      <c r="F55" s="1">
        <v>43699</v>
      </c>
      <c r="G55" t="s">
        <v>4031</v>
      </c>
      <c r="H55" t="s">
        <v>4724</v>
      </c>
      <c r="I55" s="2">
        <v>1.7361111111111112E-2</v>
      </c>
      <c r="J55" t="s">
        <v>398</v>
      </c>
      <c r="K55" t="s">
        <v>924</v>
      </c>
      <c r="L55" t="s">
        <v>568</v>
      </c>
      <c r="M55" t="s">
        <v>23</v>
      </c>
      <c r="N55">
        <v>1</v>
      </c>
      <c r="O55">
        <v>0</v>
      </c>
      <c r="P55">
        <v>1</v>
      </c>
      <c r="Q55" t="s">
        <v>112</v>
      </c>
      <c r="R55" t="s">
        <v>4557</v>
      </c>
      <c r="S55" t="s">
        <v>122</v>
      </c>
      <c r="T55" t="s">
        <v>1035</v>
      </c>
      <c r="U55" t="s">
        <v>23</v>
      </c>
      <c r="V55" t="s">
        <v>3997</v>
      </c>
      <c r="W55" t="s">
        <v>4006</v>
      </c>
      <c r="Y55">
        <v>96</v>
      </c>
      <c r="AA55">
        <v>2</v>
      </c>
      <c r="AB55" s="19">
        <v>63.72128</v>
      </c>
      <c r="AC55" s="19">
        <v>148.96617000000001</v>
      </c>
      <c r="AD55" t="s">
        <v>115</v>
      </c>
      <c r="AE55" t="s">
        <v>115</v>
      </c>
      <c r="AF55" t="s">
        <v>115</v>
      </c>
      <c r="AG55">
        <v>0</v>
      </c>
      <c r="AH55">
        <v>0</v>
      </c>
      <c r="AI55">
        <v>0</v>
      </c>
      <c r="AJ55">
        <v>0</v>
      </c>
      <c r="AK55">
        <v>0</v>
      </c>
      <c r="AL55">
        <v>0</v>
      </c>
      <c r="AM55">
        <v>0</v>
      </c>
      <c r="AO55" t="s">
        <v>4558</v>
      </c>
    </row>
    <row r="56" spans="1:41" x14ac:dyDescent="0.2">
      <c r="A56" t="s">
        <v>4551</v>
      </c>
      <c r="B56" t="s">
        <v>4552</v>
      </c>
      <c r="C56">
        <v>8</v>
      </c>
      <c r="D56">
        <v>1</v>
      </c>
      <c r="E56" t="s">
        <v>2586</v>
      </c>
      <c r="F56" s="1">
        <v>43699</v>
      </c>
      <c r="G56" t="s">
        <v>4031</v>
      </c>
      <c r="H56" t="s">
        <v>4724</v>
      </c>
      <c r="I56" s="2">
        <v>2.6388888888888889E-2</v>
      </c>
      <c r="J56" t="s">
        <v>398</v>
      </c>
      <c r="K56" t="s">
        <v>176</v>
      </c>
      <c r="L56" t="s">
        <v>111</v>
      </c>
      <c r="M56" t="s">
        <v>23</v>
      </c>
      <c r="N56">
        <v>0</v>
      </c>
      <c r="O56">
        <v>0</v>
      </c>
      <c r="P56">
        <v>1</v>
      </c>
      <c r="Q56" t="s">
        <v>112</v>
      </c>
      <c r="R56" t="s">
        <v>4214</v>
      </c>
      <c r="S56" t="s">
        <v>176</v>
      </c>
      <c r="T56" t="s">
        <v>333</v>
      </c>
      <c r="U56" t="s">
        <v>23</v>
      </c>
      <c r="V56" t="s">
        <v>3999</v>
      </c>
      <c r="W56" t="s">
        <v>4006</v>
      </c>
      <c r="Y56">
        <v>96</v>
      </c>
      <c r="AA56" t="s">
        <v>176</v>
      </c>
      <c r="AB56" s="19">
        <v>63.722659999999998</v>
      </c>
      <c r="AC56" s="19">
        <v>148.88942</v>
      </c>
      <c r="AD56" t="s">
        <v>115</v>
      </c>
      <c r="AE56" t="s">
        <v>115</v>
      </c>
      <c r="AF56" t="s">
        <v>115</v>
      </c>
      <c r="AG56">
        <v>0</v>
      </c>
      <c r="AH56">
        <v>0</v>
      </c>
      <c r="AI56">
        <v>0</v>
      </c>
      <c r="AJ56">
        <v>0</v>
      </c>
      <c r="AK56">
        <v>0</v>
      </c>
      <c r="AL56">
        <v>0</v>
      </c>
      <c r="AM56">
        <v>0</v>
      </c>
    </row>
    <row r="57" spans="1:41" x14ac:dyDescent="0.2">
      <c r="A57" t="s">
        <v>4446</v>
      </c>
      <c r="B57" t="s">
        <v>4447</v>
      </c>
      <c r="C57">
        <v>4</v>
      </c>
      <c r="D57">
        <v>1</v>
      </c>
      <c r="E57" t="s">
        <v>213</v>
      </c>
      <c r="F57" s="1">
        <v>43697</v>
      </c>
      <c r="G57" t="s">
        <v>4031</v>
      </c>
      <c r="H57" t="s">
        <v>4724</v>
      </c>
      <c r="I57" s="2">
        <v>3.3333333333333333E-2</v>
      </c>
      <c r="J57" t="s">
        <v>640</v>
      </c>
      <c r="K57" t="s">
        <v>1742</v>
      </c>
      <c r="L57" t="s">
        <v>568</v>
      </c>
      <c r="M57" t="s">
        <v>23</v>
      </c>
      <c r="N57">
        <v>1</v>
      </c>
      <c r="O57">
        <v>0</v>
      </c>
      <c r="P57">
        <v>1</v>
      </c>
      <c r="Q57" t="s">
        <v>598</v>
      </c>
      <c r="R57" t="s">
        <v>598</v>
      </c>
      <c r="S57" t="s">
        <v>122</v>
      </c>
      <c r="T57" t="s">
        <v>333</v>
      </c>
      <c r="U57" t="s">
        <v>23</v>
      </c>
      <c r="V57" t="s">
        <v>3999</v>
      </c>
      <c r="W57" t="s">
        <v>4006</v>
      </c>
      <c r="Y57">
        <v>103</v>
      </c>
      <c r="AB57" s="19">
        <v>63.720759999999999</v>
      </c>
      <c r="AC57" s="19">
        <v>148.97354000000001</v>
      </c>
      <c r="AD57" t="s">
        <v>115</v>
      </c>
      <c r="AE57" t="s">
        <v>115</v>
      </c>
      <c r="AF57" t="s">
        <v>115</v>
      </c>
      <c r="AG57">
        <v>0</v>
      </c>
      <c r="AH57">
        <v>0</v>
      </c>
      <c r="AI57">
        <v>0</v>
      </c>
      <c r="AJ57">
        <v>0</v>
      </c>
      <c r="AK57">
        <v>33</v>
      </c>
      <c r="AL57">
        <v>0</v>
      </c>
      <c r="AM57">
        <v>33</v>
      </c>
    </row>
    <row r="58" spans="1:41" x14ac:dyDescent="0.2">
      <c r="A58" t="s">
        <v>2823</v>
      </c>
      <c r="B58" t="s">
        <v>2824</v>
      </c>
      <c r="C58">
        <v>17</v>
      </c>
      <c r="D58">
        <v>1</v>
      </c>
      <c r="E58" t="s">
        <v>138</v>
      </c>
      <c r="F58" s="1">
        <v>43556</v>
      </c>
      <c r="G58" s="1" t="s">
        <v>4027</v>
      </c>
      <c r="H58" s="1"/>
      <c r="I58" s="2">
        <v>5.5555555555555558E-3</v>
      </c>
      <c r="K58" t="s">
        <v>173</v>
      </c>
      <c r="L58" t="s">
        <v>111</v>
      </c>
      <c r="M58" t="s">
        <v>23</v>
      </c>
      <c r="N58">
        <v>0</v>
      </c>
      <c r="O58">
        <v>0</v>
      </c>
      <c r="P58">
        <v>1</v>
      </c>
      <c r="Q58" t="s">
        <v>598</v>
      </c>
      <c r="R58" s="5" t="s">
        <v>2802</v>
      </c>
      <c r="S58" s="5" t="s">
        <v>122</v>
      </c>
      <c r="T58" s="5" t="s">
        <v>1035</v>
      </c>
      <c r="U58" s="5" t="s">
        <v>23</v>
      </c>
      <c r="V58" s="5" t="s">
        <v>3997</v>
      </c>
      <c r="W58" s="5" t="s">
        <v>4006</v>
      </c>
      <c r="X58" s="5" t="s">
        <v>2825</v>
      </c>
      <c r="Y58">
        <v>105</v>
      </c>
      <c r="AA58">
        <v>30</v>
      </c>
      <c r="AB58">
        <v>63.724870000000003</v>
      </c>
      <c r="AC58">
        <v>148.95508000000001</v>
      </c>
      <c r="AD58">
        <v>0</v>
      </c>
      <c r="AE58">
        <v>0</v>
      </c>
      <c r="AG58">
        <v>0</v>
      </c>
      <c r="AH58">
        <v>0</v>
      </c>
      <c r="AI58">
        <v>0</v>
      </c>
      <c r="AJ58">
        <v>0</v>
      </c>
      <c r="AK58">
        <v>0</v>
      </c>
      <c r="AL58">
        <v>0</v>
      </c>
      <c r="AN58" t="s">
        <v>2826</v>
      </c>
    </row>
    <row r="59" spans="1:41" x14ac:dyDescent="0.2">
      <c r="A59" t="s">
        <v>4525</v>
      </c>
      <c r="B59" t="s">
        <v>4526</v>
      </c>
      <c r="C59">
        <v>14</v>
      </c>
      <c r="D59">
        <v>1</v>
      </c>
      <c r="E59" t="s">
        <v>4191</v>
      </c>
      <c r="F59" s="1">
        <v>43698</v>
      </c>
      <c r="G59" t="s">
        <v>4031</v>
      </c>
      <c r="H59" t="s">
        <v>4724</v>
      </c>
      <c r="I59" s="2">
        <v>4.2361111111111106E-2</v>
      </c>
      <c r="J59" t="s">
        <v>398</v>
      </c>
      <c r="K59" t="s">
        <v>241</v>
      </c>
      <c r="L59" t="s">
        <v>568</v>
      </c>
      <c r="M59" t="s">
        <v>23</v>
      </c>
      <c r="N59">
        <v>1</v>
      </c>
      <c r="O59">
        <v>0</v>
      </c>
      <c r="P59">
        <v>1</v>
      </c>
      <c r="Q59" t="s">
        <v>112</v>
      </c>
      <c r="R59" t="s">
        <v>4319</v>
      </c>
      <c r="S59" t="s">
        <v>122</v>
      </c>
      <c r="T59" t="s">
        <v>1035</v>
      </c>
      <c r="U59" t="s">
        <v>23</v>
      </c>
      <c r="V59" t="s">
        <v>3997</v>
      </c>
      <c r="W59" t="s">
        <v>4006</v>
      </c>
      <c r="Y59">
        <v>112</v>
      </c>
      <c r="AA59">
        <v>2</v>
      </c>
      <c r="AB59" s="19">
        <v>63.740389999999998</v>
      </c>
      <c r="AC59" s="19">
        <v>148.89777000000001</v>
      </c>
      <c r="AD59" t="s">
        <v>115</v>
      </c>
      <c r="AE59" t="s">
        <v>115</v>
      </c>
      <c r="AF59" t="s">
        <v>115</v>
      </c>
      <c r="AG59">
        <v>0</v>
      </c>
      <c r="AH59">
        <v>0</v>
      </c>
      <c r="AI59">
        <v>0</v>
      </c>
      <c r="AJ59">
        <v>0</v>
      </c>
      <c r="AK59">
        <v>7</v>
      </c>
      <c r="AL59">
        <v>0</v>
      </c>
      <c r="AM59">
        <v>7</v>
      </c>
    </row>
    <row r="60" spans="1:41" x14ac:dyDescent="0.2">
      <c r="A60" t="s">
        <v>2848</v>
      </c>
      <c r="B60" t="s">
        <v>2849</v>
      </c>
      <c r="C60">
        <v>4</v>
      </c>
      <c r="D60">
        <v>1</v>
      </c>
      <c r="E60" t="s">
        <v>140</v>
      </c>
      <c r="F60" s="1">
        <v>43557</v>
      </c>
      <c r="G60" s="1" t="s">
        <v>4027</v>
      </c>
      <c r="H60" s="1"/>
      <c r="I60" s="2">
        <v>1.8749999999999999E-2</v>
      </c>
      <c r="J60" s="2"/>
      <c r="K60" t="s">
        <v>149</v>
      </c>
      <c r="L60" t="s">
        <v>111</v>
      </c>
      <c r="M60" t="s">
        <v>23</v>
      </c>
      <c r="N60">
        <v>1</v>
      </c>
      <c r="O60">
        <v>0</v>
      </c>
      <c r="P60">
        <v>1</v>
      </c>
      <c r="Q60" t="s">
        <v>176</v>
      </c>
      <c r="R60" s="5" t="s">
        <v>24</v>
      </c>
      <c r="S60" s="5" t="s">
        <v>122</v>
      </c>
      <c r="T60" s="5" t="s">
        <v>1035</v>
      </c>
      <c r="U60" s="5" t="s">
        <v>23</v>
      </c>
      <c r="V60" s="5" t="s">
        <v>3997</v>
      </c>
      <c r="W60" s="5" t="s">
        <v>4006</v>
      </c>
      <c r="X60" t="s">
        <v>2850</v>
      </c>
      <c r="Y60" s="5">
        <v>115</v>
      </c>
      <c r="Z60" s="5"/>
      <c r="AA60">
        <v>21</v>
      </c>
      <c r="AB60">
        <v>63.724209999999999</v>
      </c>
      <c r="AC60">
        <v>148.95044999999999</v>
      </c>
      <c r="AD60" s="5" t="s">
        <v>115</v>
      </c>
      <c r="AE60" s="5" t="s">
        <v>115</v>
      </c>
      <c r="AF60" s="5"/>
      <c r="AG60">
        <v>0</v>
      </c>
      <c r="AH60">
        <v>0</v>
      </c>
      <c r="AI60">
        <v>0</v>
      </c>
      <c r="AJ60">
        <v>0</v>
      </c>
      <c r="AK60">
        <v>0</v>
      </c>
      <c r="AL60">
        <v>0</v>
      </c>
      <c r="AN60" t="s">
        <v>2851</v>
      </c>
    </row>
    <row r="61" spans="1:41" x14ac:dyDescent="0.2">
      <c r="A61" t="s">
        <v>3761</v>
      </c>
      <c r="B61" t="s">
        <v>3762</v>
      </c>
      <c r="C61">
        <v>4</v>
      </c>
      <c r="D61">
        <v>1</v>
      </c>
      <c r="E61" t="s">
        <v>3171</v>
      </c>
      <c r="F61" s="1">
        <v>43588</v>
      </c>
      <c r="G61" s="1" t="s">
        <v>4028</v>
      </c>
      <c r="H61" s="1"/>
      <c r="I61" s="2">
        <v>6.9444444444444441E-3</v>
      </c>
      <c r="J61" t="s">
        <v>3187</v>
      </c>
      <c r="K61" t="s">
        <v>149</v>
      </c>
      <c r="L61" t="s">
        <v>242</v>
      </c>
      <c r="M61" t="s">
        <v>23</v>
      </c>
      <c r="N61">
        <v>1</v>
      </c>
      <c r="O61">
        <v>0</v>
      </c>
      <c r="P61">
        <v>1</v>
      </c>
      <c r="Q61" t="s">
        <v>598</v>
      </c>
      <c r="R61" s="5" t="s">
        <v>3794</v>
      </c>
      <c r="S61" s="5" t="s">
        <v>122</v>
      </c>
      <c r="T61" s="5" t="s">
        <v>333</v>
      </c>
      <c r="U61" s="5" t="s">
        <v>23</v>
      </c>
      <c r="V61" s="5" t="s">
        <v>3999</v>
      </c>
      <c r="W61" s="5" t="s">
        <v>4006</v>
      </c>
      <c r="X61" s="5" t="s">
        <v>2850</v>
      </c>
      <c r="Y61">
        <v>115</v>
      </c>
      <c r="AA61" s="5">
        <v>10</v>
      </c>
      <c r="AB61">
        <v>63.722990000000003</v>
      </c>
      <c r="AC61" s="5">
        <v>148.94640999999999</v>
      </c>
      <c r="AD61" s="5" t="s">
        <v>115</v>
      </c>
      <c r="AE61" s="5" t="s">
        <v>115</v>
      </c>
      <c r="AF61" s="5" t="s">
        <v>115</v>
      </c>
      <c r="AG61">
        <v>0</v>
      </c>
      <c r="AH61">
        <v>0</v>
      </c>
      <c r="AI61">
        <v>0</v>
      </c>
      <c r="AJ61">
        <v>0</v>
      </c>
      <c r="AK61">
        <v>0</v>
      </c>
      <c r="AL61">
        <v>0</v>
      </c>
      <c r="AN61" t="s">
        <v>3763</v>
      </c>
    </row>
    <row r="62" spans="1:41" x14ac:dyDescent="0.2">
      <c r="A62" t="s">
        <v>4273</v>
      </c>
      <c r="B62" t="s">
        <v>4275</v>
      </c>
      <c r="C62">
        <v>9</v>
      </c>
      <c r="D62">
        <v>1</v>
      </c>
      <c r="E62" t="s">
        <v>213</v>
      </c>
      <c r="F62" s="1">
        <v>43688</v>
      </c>
      <c r="G62" t="s">
        <v>4031</v>
      </c>
      <c r="H62" t="s">
        <v>4724</v>
      </c>
      <c r="I62" s="2">
        <v>6.8749999999999992E-2</v>
      </c>
      <c r="J62" t="s">
        <v>640</v>
      </c>
      <c r="K62" t="s">
        <v>4258</v>
      </c>
      <c r="L62" t="s">
        <v>568</v>
      </c>
      <c r="M62" t="s">
        <v>23</v>
      </c>
      <c r="N62">
        <v>1</v>
      </c>
      <c r="O62">
        <v>0</v>
      </c>
      <c r="P62">
        <v>1</v>
      </c>
      <c r="Q62" t="s">
        <v>176</v>
      </c>
      <c r="R62" t="s">
        <v>176</v>
      </c>
      <c r="S62" t="s">
        <v>176</v>
      </c>
      <c r="T62" t="s">
        <v>4168</v>
      </c>
      <c r="U62" t="s">
        <v>23</v>
      </c>
      <c r="V62" t="s">
        <v>3997</v>
      </c>
      <c r="W62" t="s">
        <v>4022</v>
      </c>
      <c r="Y62">
        <v>119</v>
      </c>
      <c r="AA62" t="s">
        <v>176</v>
      </c>
      <c r="AB62" s="19">
        <v>63.718780000000002</v>
      </c>
      <c r="AC62" s="19">
        <v>148.97704999999999</v>
      </c>
      <c r="AD62" t="s">
        <v>115</v>
      </c>
      <c r="AE62" t="s">
        <v>115</v>
      </c>
      <c r="AF62" t="s">
        <v>115</v>
      </c>
      <c r="AG62">
        <v>0</v>
      </c>
      <c r="AH62">
        <v>0</v>
      </c>
      <c r="AI62">
        <v>0</v>
      </c>
      <c r="AJ62">
        <v>0</v>
      </c>
      <c r="AK62">
        <v>0</v>
      </c>
      <c r="AL62">
        <v>0</v>
      </c>
      <c r="AM62">
        <v>0</v>
      </c>
    </row>
    <row r="63" spans="1:41" x14ac:dyDescent="0.2">
      <c r="A63" t="s">
        <v>4455</v>
      </c>
      <c r="B63" t="s">
        <v>4461</v>
      </c>
      <c r="C63">
        <v>9</v>
      </c>
      <c r="D63">
        <v>1</v>
      </c>
      <c r="E63" t="s">
        <v>213</v>
      </c>
      <c r="F63" s="1">
        <v>43697</v>
      </c>
      <c r="G63" t="s">
        <v>4031</v>
      </c>
      <c r="H63" t="s">
        <v>4724</v>
      </c>
      <c r="I63" s="2">
        <v>7.4305555555555555E-2</v>
      </c>
      <c r="J63" t="s">
        <v>640</v>
      </c>
      <c r="K63" t="s">
        <v>4280</v>
      </c>
      <c r="L63" t="s">
        <v>4235</v>
      </c>
      <c r="M63" t="s">
        <v>23</v>
      </c>
      <c r="N63">
        <v>1</v>
      </c>
      <c r="O63">
        <v>0</v>
      </c>
      <c r="P63">
        <v>1</v>
      </c>
      <c r="Q63" t="s">
        <v>24</v>
      </c>
      <c r="R63" t="s">
        <v>176</v>
      </c>
      <c r="S63" t="s">
        <v>122</v>
      </c>
      <c r="T63" t="s">
        <v>333</v>
      </c>
      <c r="U63" t="s">
        <v>23</v>
      </c>
      <c r="V63" t="s">
        <v>3999</v>
      </c>
      <c r="W63" t="s">
        <v>4006</v>
      </c>
      <c r="Y63">
        <v>119</v>
      </c>
      <c r="AA63">
        <v>3</v>
      </c>
      <c r="AB63" s="19">
        <v>63.720059999999997</v>
      </c>
      <c r="AC63" s="19">
        <v>148.97708</v>
      </c>
      <c r="AD63" t="s">
        <v>115</v>
      </c>
      <c r="AE63" t="s">
        <v>115</v>
      </c>
      <c r="AF63" t="s">
        <v>115</v>
      </c>
      <c r="AG63">
        <v>0</v>
      </c>
      <c r="AH63">
        <v>0</v>
      </c>
      <c r="AI63">
        <v>0</v>
      </c>
      <c r="AJ63">
        <v>0</v>
      </c>
      <c r="AK63">
        <v>0</v>
      </c>
      <c r="AL63">
        <v>0</v>
      </c>
      <c r="AM63">
        <v>0</v>
      </c>
      <c r="AO63" t="s">
        <v>4457</v>
      </c>
    </row>
    <row r="64" spans="1:41" x14ac:dyDescent="0.2">
      <c r="A64" t="s">
        <v>3245</v>
      </c>
      <c r="B64" t="s">
        <v>3246</v>
      </c>
      <c r="C64">
        <v>1</v>
      </c>
      <c r="D64">
        <v>1</v>
      </c>
      <c r="E64" t="s">
        <v>2462</v>
      </c>
      <c r="F64" s="1">
        <v>43573</v>
      </c>
      <c r="G64" s="1" t="s">
        <v>4027</v>
      </c>
      <c r="H64" s="1"/>
      <c r="I64" s="2">
        <v>9.7222222222222224E-2</v>
      </c>
      <c r="J64" t="s">
        <v>398</v>
      </c>
      <c r="K64" t="s">
        <v>64</v>
      </c>
      <c r="L64" t="s">
        <v>102</v>
      </c>
      <c r="M64" t="s">
        <v>115</v>
      </c>
      <c r="N64">
        <v>1</v>
      </c>
      <c r="P64">
        <v>1</v>
      </c>
      <c r="Q64" t="s">
        <v>14</v>
      </c>
      <c r="R64" s="5" t="s">
        <v>3250</v>
      </c>
      <c r="S64" s="5" t="s">
        <v>122</v>
      </c>
      <c r="T64" s="5" t="s">
        <v>1035</v>
      </c>
      <c r="U64" s="5" t="s">
        <v>23</v>
      </c>
      <c r="V64" s="5" t="s">
        <v>3997</v>
      </c>
      <c r="W64" s="5" t="s">
        <v>4006</v>
      </c>
      <c r="X64" s="5" t="s">
        <v>2850</v>
      </c>
      <c r="Y64">
        <v>120</v>
      </c>
      <c r="AA64">
        <v>2</v>
      </c>
      <c r="AB64">
        <v>63.735770000000002</v>
      </c>
      <c r="AC64">
        <v>148.89854</v>
      </c>
      <c r="AD64" s="5" t="s">
        <v>115</v>
      </c>
      <c r="AE64" s="5" t="s">
        <v>115</v>
      </c>
      <c r="AF64" s="5" t="s">
        <v>115</v>
      </c>
      <c r="AG64">
        <v>0</v>
      </c>
      <c r="AH64">
        <v>0</v>
      </c>
      <c r="AI64">
        <v>0</v>
      </c>
      <c r="AJ64">
        <v>0</v>
      </c>
      <c r="AK64">
        <v>10</v>
      </c>
      <c r="AL64">
        <v>10</v>
      </c>
    </row>
    <row r="65" spans="1:41" x14ac:dyDescent="0.2">
      <c r="A65" t="s">
        <v>3282</v>
      </c>
      <c r="B65" t="s">
        <v>3283</v>
      </c>
      <c r="C65">
        <v>4</v>
      </c>
      <c r="D65">
        <v>1</v>
      </c>
      <c r="E65" t="s">
        <v>2601</v>
      </c>
      <c r="F65" s="1">
        <v>43573</v>
      </c>
      <c r="G65" s="1" t="s">
        <v>4027</v>
      </c>
      <c r="H65" s="1"/>
      <c r="I65" s="2">
        <v>1.3194444444444444E-2</v>
      </c>
      <c r="J65" t="s">
        <v>3277</v>
      </c>
      <c r="K65" t="s">
        <v>173</v>
      </c>
      <c r="L65" t="s">
        <v>111</v>
      </c>
      <c r="M65" t="s">
        <v>23</v>
      </c>
      <c r="N65">
        <v>0</v>
      </c>
      <c r="O65">
        <v>0</v>
      </c>
      <c r="P65">
        <v>1</v>
      </c>
      <c r="Q65" t="s">
        <v>598</v>
      </c>
      <c r="R65" s="5" t="s">
        <v>2801</v>
      </c>
      <c r="S65" s="5" t="s">
        <v>115</v>
      </c>
      <c r="T65" s="5" t="s">
        <v>333</v>
      </c>
      <c r="U65" s="5" t="s">
        <v>23</v>
      </c>
      <c r="V65" s="5" t="s">
        <v>3999</v>
      </c>
      <c r="W65" s="5" t="s">
        <v>4006</v>
      </c>
      <c r="X65" s="5" t="s">
        <v>2850</v>
      </c>
      <c r="Y65" s="5">
        <v>120</v>
      </c>
      <c r="Z65" s="5"/>
      <c r="AA65" s="5" t="s">
        <v>176</v>
      </c>
      <c r="AB65" s="5">
        <v>63.726089999999999</v>
      </c>
      <c r="AC65" s="5">
        <v>148.95284000000001</v>
      </c>
      <c r="AD65" s="5" t="s">
        <v>115</v>
      </c>
      <c r="AE65" s="5" t="s">
        <v>115</v>
      </c>
      <c r="AF65" s="5" t="s">
        <v>115</v>
      </c>
      <c r="AG65">
        <v>0</v>
      </c>
      <c r="AH65">
        <v>0</v>
      </c>
      <c r="AI65">
        <v>0</v>
      </c>
      <c r="AJ65">
        <v>0</v>
      </c>
      <c r="AK65">
        <v>0</v>
      </c>
      <c r="AL65">
        <v>0</v>
      </c>
    </row>
    <row r="66" spans="1:41" x14ac:dyDescent="0.2">
      <c r="A66" t="s">
        <v>4492</v>
      </c>
      <c r="B66" t="s">
        <v>4493</v>
      </c>
      <c r="C66">
        <v>23</v>
      </c>
      <c r="D66">
        <v>1</v>
      </c>
      <c r="E66" t="s">
        <v>213</v>
      </c>
      <c r="F66" s="1">
        <v>43697</v>
      </c>
      <c r="G66" t="s">
        <v>4031</v>
      </c>
      <c r="H66" t="s">
        <v>4724</v>
      </c>
      <c r="I66" s="2">
        <v>2.013888888888889E-2</v>
      </c>
      <c r="J66" t="s">
        <v>640</v>
      </c>
      <c r="K66" t="s">
        <v>4258</v>
      </c>
      <c r="L66" t="s">
        <v>568</v>
      </c>
      <c r="M66" t="s">
        <v>23</v>
      </c>
      <c r="N66">
        <v>1</v>
      </c>
      <c r="O66">
        <v>0</v>
      </c>
      <c r="P66">
        <v>1</v>
      </c>
      <c r="Q66" t="s">
        <v>598</v>
      </c>
      <c r="R66" t="s">
        <v>4463</v>
      </c>
      <c r="S66" t="s">
        <v>122</v>
      </c>
      <c r="T66" t="s">
        <v>4385</v>
      </c>
      <c r="U66" t="s">
        <v>23</v>
      </c>
      <c r="V66" t="s">
        <v>3997</v>
      </c>
      <c r="W66" t="s">
        <v>3810</v>
      </c>
      <c r="Y66">
        <v>121</v>
      </c>
      <c r="AA66">
        <v>3</v>
      </c>
      <c r="AB66" s="19">
        <v>63.719799999999999</v>
      </c>
      <c r="AC66" s="19">
        <v>148.97701000000001</v>
      </c>
      <c r="AD66" t="s">
        <v>115</v>
      </c>
      <c r="AE66" t="s">
        <v>115</v>
      </c>
      <c r="AF66" t="s">
        <v>115</v>
      </c>
      <c r="AG66">
        <v>0</v>
      </c>
      <c r="AH66">
        <v>0</v>
      </c>
      <c r="AI66">
        <v>0</v>
      </c>
      <c r="AJ66">
        <v>0</v>
      </c>
      <c r="AK66">
        <v>0</v>
      </c>
      <c r="AL66">
        <v>0</v>
      </c>
      <c r="AM66">
        <v>0</v>
      </c>
      <c r="AO66" t="s">
        <v>4494</v>
      </c>
    </row>
    <row r="67" spans="1:41" x14ac:dyDescent="0.2">
      <c r="A67" t="s">
        <v>4209</v>
      </c>
      <c r="B67" t="s">
        <v>4210</v>
      </c>
      <c r="C67">
        <v>9</v>
      </c>
      <c r="D67">
        <v>1</v>
      </c>
      <c r="E67" t="s">
        <v>4191</v>
      </c>
      <c r="F67" s="1">
        <v>43687</v>
      </c>
      <c r="G67" t="s">
        <v>4031</v>
      </c>
      <c r="H67" t="s">
        <v>4724</v>
      </c>
      <c r="I67" s="2">
        <v>3.5416666666666666E-2</v>
      </c>
      <c r="J67" t="s">
        <v>398</v>
      </c>
      <c r="K67" t="s">
        <v>241</v>
      </c>
      <c r="L67" t="s">
        <v>111</v>
      </c>
      <c r="M67" t="s">
        <v>23</v>
      </c>
      <c r="N67">
        <v>0</v>
      </c>
      <c r="O67">
        <v>0</v>
      </c>
      <c r="P67">
        <v>1</v>
      </c>
      <c r="Q67" t="s">
        <v>176</v>
      </c>
      <c r="R67" t="s">
        <v>176</v>
      </c>
      <c r="S67" t="s">
        <v>115</v>
      </c>
      <c r="T67" t="s">
        <v>4168</v>
      </c>
      <c r="U67" t="s">
        <v>23</v>
      </c>
      <c r="V67" t="s">
        <v>3997</v>
      </c>
      <c r="W67" t="s">
        <v>4022</v>
      </c>
      <c r="Y67">
        <v>123</v>
      </c>
      <c r="AA67">
        <v>10</v>
      </c>
      <c r="AB67" s="19">
        <v>63.739519999999999</v>
      </c>
      <c r="AC67" s="19">
        <v>148.89788999999999</v>
      </c>
      <c r="AD67" t="s">
        <v>115</v>
      </c>
      <c r="AE67" t="s">
        <v>115</v>
      </c>
      <c r="AF67" t="s">
        <v>115</v>
      </c>
      <c r="AG67">
        <v>0</v>
      </c>
      <c r="AH67">
        <v>0</v>
      </c>
      <c r="AI67">
        <v>0</v>
      </c>
      <c r="AJ67">
        <v>0</v>
      </c>
      <c r="AK67">
        <v>0</v>
      </c>
      <c r="AL67">
        <v>0</v>
      </c>
      <c r="AM67">
        <v>0</v>
      </c>
    </row>
    <row r="68" spans="1:41" x14ac:dyDescent="0.2">
      <c r="A68" t="s">
        <v>4215</v>
      </c>
      <c r="B68" t="s">
        <v>4216</v>
      </c>
      <c r="C68">
        <v>11</v>
      </c>
      <c r="D68">
        <v>2</v>
      </c>
      <c r="E68" t="s">
        <v>4191</v>
      </c>
      <c r="F68" s="1">
        <v>43687</v>
      </c>
      <c r="G68" t="s">
        <v>4031</v>
      </c>
      <c r="H68" t="s">
        <v>4724</v>
      </c>
      <c r="I68" s="2">
        <v>4.2361111111111106E-2</v>
      </c>
      <c r="J68" t="s">
        <v>398</v>
      </c>
      <c r="K68" t="s">
        <v>241</v>
      </c>
      <c r="L68" t="s">
        <v>102</v>
      </c>
      <c r="M68" t="s">
        <v>23</v>
      </c>
      <c r="N68">
        <v>1</v>
      </c>
      <c r="O68">
        <v>0</v>
      </c>
      <c r="P68">
        <v>1</v>
      </c>
      <c r="Q68" t="s">
        <v>176</v>
      </c>
      <c r="R68" t="s">
        <v>176</v>
      </c>
      <c r="S68" t="s">
        <v>4159</v>
      </c>
      <c r="T68" t="s">
        <v>709</v>
      </c>
      <c r="U68" t="s">
        <v>23</v>
      </c>
      <c r="V68" t="s">
        <v>4004</v>
      </c>
      <c r="W68" t="s">
        <v>4022</v>
      </c>
      <c r="Y68">
        <v>123</v>
      </c>
      <c r="AA68">
        <v>0</v>
      </c>
      <c r="AB68" s="19">
        <v>63.740020000000001</v>
      </c>
      <c r="AC68" s="19">
        <v>148.89968999999999</v>
      </c>
      <c r="AD68" t="s">
        <v>115</v>
      </c>
      <c r="AE68" t="s">
        <v>115</v>
      </c>
      <c r="AF68" t="s">
        <v>115</v>
      </c>
      <c r="AG68">
        <v>4</v>
      </c>
      <c r="AH68">
        <v>0</v>
      </c>
      <c r="AI68">
        <v>0</v>
      </c>
      <c r="AJ68">
        <v>4</v>
      </c>
      <c r="AK68">
        <v>0</v>
      </c>
      <c r="AL68">
        <v>0</v>
      </c>
      <c r="AM68">
        <v>4</v>
      </c>
    </row>
    <row r="69" spans="1:41" x14ac:dyDescent="0.2">
      <c r="A69" t="s">
        <v>4585</v>
      </c>
      <c r="B69" t="s">
        <v>4582</v>
      </c>
      <c r="C69">
        <v>2</v>
      </c>
      <c r="D69">
        <v>1</v>
      </c>
      <c r="E69" t="s">
        <v>2537</v>
      </c>
      <c r="F69" s="1">
        <v>43700</v>
      </c>
      <c r="G69" t="s">
        <v>4031</v>
      </c>
      <c r="H69" t="s">
        <v>4724</v>
      </c>
      <c r="I69" s="2">
        <v>6.2499999999999995E-3</v>
      </c>
      <c r="J69" t="s">
        <v>398</v>
      </c>
      <c r="K69" t="s">
        <v>4583</v>
      </c>
      <c r="L69" t="s">
        <v>111</v>
      </c>
      <c r="M69" t="s">
        <v>23</v>
      </c>
      <c r="N69">
        <v>0</v>
      </c>
      <c r="O69">
        <v>0</v>
      </c>
      <c r="P69">
        <v>1</v>
      </c>
      <c r="Q69" t="s">
        <v>176</v>
      </c>
      <c r="R69" t="s">
        <v>176</v>
      </c>
      <c r="S69" t="s">
        <v>176</v>
      </c>
      <c r="T69" t="s">
        <v>4584</v>
      </c>
      <c r="U69" t="s">
        <v>12</v>
      </c>
      <c r="V69" t="s">
        <v>3997</v>
      </c>
      <c r="W69" t="s">
        <v>4022</v>
      </c>
      <c r="Y69">
        <v>125</v>
      </c>
      <c r="AA69" t="s">
        <v>176</v>
      </c>
      <c r="AB69" s="19">
        <v>63.732019999999999</v>
      </c>
      <c r="AC69" s="19">
        <v>148.90084999999999</v>
      </c>
      <c r="AD69" t="s">
        <v>115</v>
      </c>
      <c r="AE69" t="s">
        <v>115</v>
      </c>
      <c r="AF69" t="s">
        <v>115</v>
      </c>
      <c r="AG69">
        <v>0</v>
      </c>
      <c r="AH69">
        <v>0</v>
      </c>
      <c r="AI69">
        <v>0</v>
      </c>
      <c r="AJ69">
        <v>0</v>
      </c>
      <c r="AK69">
        <v>0</v>
      </c>
      <c r="AL69">
        <v>0</v>
      </c>
      <c r="AM69">
        <v>0</v>
      </c>
    </row>
    <row r="70" spans="1:41" x14ac:dyDescent="0.2">
      <c r="A70" t="s">
        <v>4518</v>
      </c>
      <c r="B70" t="s">
        <v>4519</v>
      </c>
      <c r="C70">
        <v>11</v>
      </c>
      <c r="D70">
        <v>1</v>
      </c>
      <c r="E70" t="s">
        <v>4191</v>
      </c>
      <c r="F70" s="1">
        <v>43698</v>
      </c>
      <c r="G70" t="s">
        <v>4031</v>
      </c>
      <c r="H70" t="s">
        <v>4724</v>
      </c>
      <c r="I70" s="2">
        <v>2.7777777777777776E-2</v>
      </c>
      <c r="J70" t="s">
        <v>398</v>
      </c>
      <c r="K70" t="s">
        <v>241</v>
      </c>
      <c r="L70" t="s">
        <v>4412</v>
      </c>
      <c r="M70" t="s">
        <v>23</v>
      </c>
      <c r="N70">
        <v>1</v>
      </c>
      <c r="O70">
        <v>0</v>
      </c>
      <c r="P70">
        <v>1</v>
      </c>
      <c r="Q70" t="s">
        <v>176</v>
      </c>
      <c r="R70" t="s">
        <v>176</v>
      </c>
      <c r="S70" t="s">
        <v>176</v>
      </c>
      <c r="T70" t="s">
        <v>1035</v>
      </c>
      <c r="U70" t="s">
        <v>23</v>
      </c>
      <c r="V70" t="s">
        <v>3997</v>
      </c>
      <c r="W70" t="s">
        <v>4006</v>
      </c>
      <c r="Y70">
        <v>130</v>
      </c>
      <c r="AA70" t="s">
        <v>176</v>
      </c>
      <c r="AB70" s="19">
        <v>63.740549999999999</v>
      </c>
      <c r="AC70" s="19">
        <v>148.89922000000001</v>
      </c>
      <c r="AD70" t="s">
        <v>115</v>
      </c>
      <c r="AE70" t="s">
        <v>115</v>
      </c>
      <c r="AF70" t="s">
        <v>115</v>
      </c>
      <c r="AG70">
        <v>0</v>
      </c>
      <c r="AH70">
        <v>0</v>
      </c>
      <c r="AI70">
        <v>0</v>
      </c>
      <c r="AJ70">
        <v>0</v>
      </c>
      <c r="AK70">
        <v>0</v>
      </c>
      <c r="AL70">
        <v>0</v>
      </c>
      <c r="AM70">
        <v>0</v>
      </c>
    </row>
    <row r="71" spans="1:41" x14ac:dyDescent="0.2">
      <c r="A71" t="s">
        <v>4664</v>
      </c>
      <c r="B71" t="s">
        <v>4665</v>
      </c>
      <c r="C71">
        <v>13</v>
      </c>
      <c r="D71">
        <v>1</v>
      </c>
      <c r="E71" t="s">
        <v>395</v>
      </c>
      <c r="F71" s="1">
        <v>43705</v>
      </c>
      <c r="G71" t="s">
        <v>4031</v>
      </c>
      <c r="H71" t="s">
        <v>4724</v>
      </c>
      <c r="I71" s="2">
        <v>1.8749999999999999E-2</v>
      </c>
      <c r="J71" t="s">
        <v>398</v>
      </c>
      <c r="K71" t="s">
        <v>4675</v>
      </c>
      <c r="L71" t="s">
        <v>568</v>
      </c>
      <c r="M71" t="s">
        <v>23</v>
      </c>
      <c r="N71">
        <v>1</v>
      </c>
      <c r="O71">
        <v>0</v>
      </c>
      <c r="P71">
        <v>1</v>
      </c>
      <c r="Q71" t="s">
        <v>598</v>
      </c>
      <c r="R71" t="s">
        <v>4432</v>
      </c>
      <c r="S71" t="s">
        <v>122</v>
      </c>
      <c r="T71" t="s">
        <v>1035</v>
      </c>
      <c r="U71" t="s">
        <v>23</v>
      </c>
      <c r="V71" t="s">
        <v>3997</v>
      </c>
      <c r="W71" t="s">
        <v>4006</v>
      </c>
      <c r="Y71">
        <v>133</v>
      </c>
      <c r="AA71">
        <v>4</v>
      </c>
      <c r="AB71" s="19">
        <v>63.721130000000002</v>
      </c>
      <c r="AC71" s="19">
        <v>148.98087000000001</v>
      </c>
      <c r="AD71" t="s">
        <v>115</v>
      </c>
      <c r="AE71" t="s">
        <v>115</v>
      </c>
      <c r="AF71" t="s">
        <v>115</v>
      </c>
      <c r="AG71">
        <v>0</v>
      </c>
      <c r="AH71">
        <v>0</v>
      </c>
      <c r="AI71">
        <v>0</v>
      </c>
      <c r="AJ71">
        <v>0</v>
      </c>
      <c r="AK71">
        <v>13</v>
      </c>
      <c r="AL71">
        <v>0</v>
      </c>
      <c r="AM71">
        <v>13</v>
      </c>
    </row>
    <row r="72" spans="1:41" x14ac:dyDescent="0.2">
      <c r="A72" t="s">
        <v>4670</v>
      </c>
      <c r="B72" t="s">
        <v>4671</v>
      </c>
      <c r="C72">
        <v>16</v>
      </c>
      <c r="D72">
        <v>1</v>
      </c>
      <c r="E72" t="s">
        <v>395</v>
      </c>
      <c r="F72" s="1">
        <v>43705</v>
      </c>
      <c r="G72" t="s">
        <v>4031</v>
      </c>
      <c r="H72" t="s">
        <v>4724</v>
      </c>
      <c r="I72" s="2">
        <v>5.6944444444444443E-2</v>
      </c>
      <c r="J72" t="s">
        <v>398</v>
      </c>
      <c r="K72" t="s">
        <v>4675</v>
      </c>
      <c r="L72" t="s">
        <v>568</v>
      </c>
      <c r="M72" t="s">
        <v>23</v>
      </c>
      <c r="N72">
        <v>1</v>
      </c>
      <c r="O72">
        <v>0</v>
      </c>
      <c r="P72">
        <v>1</v>
      </c>
      <c r="Q72" t="s">
        <v>176</v>
      </c>
      <c r="R72" t="s">
        <v>176</v>
      </c>
      <c r="S72" t="s">
        <v>122</v>
      </c>
      <c r="T72" t="s">
        <v>4385</v>
      </c>
      <c r="U72" t="s">
        <v>23</v>
      </c>
      <c r="V72" t="s">
        <v>3997</v>
      </c>
      <c r="W72" t="s">
        <v>3810</v>
      </c>
      <c r="Y72">
        <v>135</v>
      </c>
      <c r="AA72">
        <v>5</v>
      </c>
      <c r="AB72" s="19">
        <v>63.721499999999999</v>
      </c>
      <c r="AC72" s="19">
        <v>148.98240999999999</v>
      </c>
      <c r="AD72" t="s">
        <v>115</v>
      </c>
      <c r="AE72" t="s">
        <v>115</v>
      </c>
      <c r="AF72" t="s">
        <v>115</v>
      </c>
      <c r="AG72">
        <v>0</v>
      </c>
      <c r="AH72">
        <v>0</v>
      </c>
      <c r="AI72">
        <v>0</v>
      </c>
      <c r="AJ72">
        <v>0</v>
      </c>
      <c r="AK72">
        <v>16</v>
      </c>
      <c r="AL72">
        <v>0</v>
      </c>
      <c r="AM72">
        <v>16</v>
      </c>
    </row>
    <row r="73" spans="1:41" x14ac:dyDescent="0.2">
      <c r="A73" t="s">
        <v>4253</v>
      </c>
      <c r="B73" t="s">
        <v>4254</v>
      </c>
      <c r="C73">
        <v>5</v>
      </c>
      <c r="D73">
        <v>1</v>
      </c>
      <c r="E73" t="s">
        <v>395</v>
      </c>
      <c r="F73" s="1">
        <v>43688</v>
      </c>
      <c r="G73" t="s">
        <v>4031</v>
      </c>
      <c r="H73" t="s">
        <v>4724</v>
      </c>
      <c r="I73" s="2">
        <v>9.0277777777777787E-3</v>
      </c>
      <c r="J73" t="s">
        <v>640</v>
      </c>
      <c r="K73" t="s">
        <v>4250</v>
      </c>
      <c r="L73" t="s">
        <v>111</v>
      </c>
      <c r="M73" t="s">
        <v>23</v>
      </c>
      <c r="N73">
        <v>1</v>
      </c>
      <c r="O73">
        <v>0</v>
      </c>
      <c r="P73">
        <v>1</v>
      </c>
      <c r="Q73" t="s">
        <v>598</v>
      </c>
      <c r="R73" t="s">
        <v>4255</v>
      </c>
      <c r="S73" t="s">
        <v>122</v>
      </c>
      <c r="T73" t="s">
        <v>4168</v>
      </c>
      <c r="U73" t="s">
        <v>23</v>
      </c>
      <c r="V73" t="s">
        <v>3997</v>
      </c>
      <c r="W73" t="s">
        <v>4022</v>
      </c>
      <c r="Y73">
        <v>142</v>
      </c>
      <c r="AA73">
        <v>3</v>
      </c>
      <c r="AB73" s="19">
        <v>63.721490000000003</v>
      </c>
      <c r="AC73" s="19">
        <v>148.98643000000001</v>
      </c>
      <c r="AD73" t="s">
        <v>115</v>
      </c>
      <c r="AE73" t="s">
        <v>115</v>
      </c>
      <c r="AF73" t="s">
        <v>115</v>
      </c>
      <c r="AG73">
        <v>0</v>
      </c>
      <c r="AH73">
        <v>0</v>
      </c>
      <c r="AI73">
        <v>0</v>
      </c>
      <c r="AJ73">
        <v>0</v>
      </c>
      <c r="AK73">
        <v>0</v>
      </c>
      <c r="AL73">
        <v>0</v>
      </c>
      <c r="AM73">
        <v>0</v>
      </c>
      <c r="AO73" t="s">
        <v>4256</v>
      </c>
    </row>
    <row r="74" spans="1:41" x14ac:dyDescent="0.2">
      <c r="A74" t="s">
        <v>4503</v>
      </c>
      <c r="B74" t="s">
        <v>4504</v>
      </c>
      <c r="C74">
        <v>4</v>
      </c>
      <c r="D74">
        <v>1</v>
      </c>
      <c r="E74" t="s">
        <v>4191</v>
      </c>
      <c r="F74" s="1">
        <v>43698</v>
      </c>
      <c r="G74" t="s">
        <v>4031</v>
      </c>
      <c r="H74" t="s">
        <v>4724</v>
      </c>
      <c r="J74" t="s">
        <v>884</v>
      </c>
      <c r="K74" t="s">
        <v>466</v>
      </c>
      <c r="L74" t="s">
        <v>568</v>
      </c>
      <c r="M74" t="s">
        <v>23</v>
      </c>
      <c r="N74">
        <v>1</v>
      </c>
      <c r="O74">
        <v>0</v>
      </c>
      <c r="P74">
        <v>1</v>
      </c>
      <c r="Q74" t="s">
        <v>176</v>
      </c>
      <c r="R74" t="s">
        <v>176</v>
      </c>
      <c r="S74" t="s">
        <v>122</v>
      </c>
      <c r="T74" t="s">
        <v>333</v>
      </c>
      <c r="U74" t="s">
        <v>23</v>
      </c>
      <c r="V74" t="s">
        <v>3999</v>
      </c>
      <c r="W74" t="s">
        <v>4006</v>
      </c>
      <c r="Y74">
        <v>142</v>
      </c>
      <c r="AA74">
        <v>3</v>
      </c>
      <c r="AB74" s="19">
        <v>63.738419999999998</v>
      </c>
      <c r="AC74" s="19">
        <v>148.90115</v>
      </c>
      <c r="AD74" t="s">
        <v>115</v>
      </c>
      <c r="AE74" t="s">
        <v>115</v>
      </c>
      <c r="AF74" t="s">
        <v>115</v>
      </c>
      <c r="AG74">
        <v>0</v>
      </c>
      <c r="AH74">
        <v>0</v>
      </c>
      <c r="AI74">
        <v>0</v>
      </c>
      <c r="AJ74">
        <v>0</v>
      </c>
      <c r="AK74">
        <v>20</v>
      </c>
      <c r="AL74">
        <v>0</v>
      </c>
      <c r="AM74">
        <v>20</v>
      </c>
    </row>
    <row r="75" spans="1:41" x14ac:dyDescent="0.2">
      <c r="A75" t="s">
        <v>4516</v>
      </c>
      <c r="B75" t="s">
        <v>4517</v>
      </c>
      <c r="C75">
        <v>10</v>
      </c>
      <c r="D75">
        <v>1</v>
      </c>
      <c r="E75" t="s">
        <v>4191</v>
      </c>
      <c r="F75" s="1">
        <v>43698</v>
      </c>
      <c r="G75" t="s">
        <v>4031</v>
      </c>
      <c r="H75" t="s">
        <v>4724</v>
      </c>
      <c r="I75" s="2">
        <v>2.7777777777777776E-2</v>
      </c>
      <c r="J75" t="s">
        <v>398</v>
      </c>
      <c r="K75" t="s">
        <v>241</v>
      </c>
      <c r="L75" t="s">
        <v>111</v>
      </c>
      <c r="M75" t="s">
        <v>23</v>
      </c>
      <c r="N75">
        <v>0</v>
      </c>
      <c r="O75">
        <v>0</v>
      </c>
      <c r="P75">
        <v>1</v>
      </c>
      <c r="Q75" t="s">
        <v>176</v>
      </c>
      <c r="R75" t="s">
        <v>176</v>
      </c>
      <c r="S75" t="s">
        <v>176</v>
      </c>
      <c r="T75" t="s">
        <v>4385</v>
      </c>
      <c r="U75" t="s">
        <v>23</v>
      </c>
      <c r="V75" t="s">
        <v>3997</v>
      </c>
      <c r="W75" t="s">
        <v>176</v>
      </c>
      <c r="Y75">
        <v>145</v>
      </c>
      <c r="AA75" t="s">
        <v>176</v>
      </c>
      <c r="AB75" s="19">
        <v>63.738219999999998</v>
      </c>
      <c r="AC75" s="19">
        <v>148.90351999999999</v>
      </c>
      <c r="AD75" t="s">
        <v>115</v>
      </c>
      <c r="AE75" t="s">
        <v>115</v>
      </c>
      <c r="AF75" t="s">
        <v>115</v>
      </c>
      <c r="AG75">
        <v>0</v>
      </c>
      <c r="AH75">
        <v>0</v>
      </c>
      <c r="AI75">
        <v>0</v>
      </c>
      <c r="AJ75">
        <v>0</v>
      </c>
      <c r="AK75">
        <v>0</v>
      </c>
      <c r="AL75">
        <v>0</v>
      </c>
      <c r="AM75">
        <v>0</v>
      </c>
    </row>
    <row r="76" spans="1:41" x14ac:dyDescent="0.2">
      <c r="A76" t="s">
        <v>4405</v>
      </c>
      <c r="B76" t="s">
        <v>4406</v>
      </c>
      <c r="C76">
        <v>4</v>
      </c>
      <c r="D76">
        <v>1</v>
      </c>
      <c r="E76" t="s">
        <v>1716</v>
      </c>
      <c r="F76" s="1">
        <v>43694</v>
      </c>
      <c r="G76" t="s">
        <v>4031</v>
      </c>
      <c r="H76" t="s">
        <v>4724</v>
      </c>
      <c r="I76" s="2">
        <v>3.888888888888889E-2</v>
      </c>
      <c r="J76" t="s">
        <v>398</v>
      </c>
      <c r="K76" t="s">
        <v>4399</v>
      </c>
      <c r="L76" t="s">
        <v>568</v>
      </c>
      <c r="M76" t="s">
        <v>23</v>
      </c>
      <c r="N76">
        <v>1</v>
      </c>
      <c r="O76">
        <v>0</v>
      </c>
      <c r="P76">
        <v>1</v>
      </c>
      <c r="Q76" t="s">
        <v>461</v>
      </c>
      <c r="R76" t="s">
        <v>4398</v>
      </c>
      <c r="S76" t="s">
        <v>122</v>
      </c>
      <c r="T76" t="s">
        <v>2300</v>
      </c>
      <c r="U76" t="s">
        <v>23</v>
      </c>
      <c r="V76" t="s">
        <v>3997</v>
      </c>
      <c r="W76" t="s">
        <v>4006</v>
      </c>
      <c r="Y76">
        <v>147</v>
      </c>
      <c r="AA76">
        <v>17</v>
      </c>
      <c r="AB76" s="19">
        <v>63.719070000000002</v>
      </c>
      <c r="AC76" s="19">
        <v>148.98415</v>
      </c>
      <c r="AD76" t="s">
        <v>115</v>
      </c>
      <c r="AE76" t="s">
        <v>115</v>
      </c>
      <c r="AF76" t="s">
        <v>115</v>
      </c>
      <c r="AG76">
        <v>0</v>
      </c>
      <c r="AH76">
        <v>0</v>
      </c>
      <c r="AI76">
        <v>0</v>
      </c>
      <c r="AJ76">
        <v>0</v>
      </c>
      <c r="AK76">
        <v>0</v>
      </c>
      <c r="AL76">
        <v>9</v>
      </c>
      <c r="AM76">
        <v>9</v>
      </c>
    </row>
    <row r="77" spans="1:41" x14ac:dyDescent="0.2">
      <c r="B77" t="s">
        <v>4425</v>
      </c>
      <c r="E77" t="s">
        <v>395</v>
      </c>
      <c r="F77" s="1">
        <v>43694</v>
      </c>
      <c r="G77" t="s">
        <v>4031</v>
      </c>
      <c r="H77" t="s">
        <v>4724</v>
      </c>
      <c r="K77" t="s">
        <v>4250</v>
      </c>
      <c r="L77" t="s">
        <v>111</v>
      </c>
      <c r="M77" t="s">
        <v>23</v>
      </c>
      <c r="N77">
        <v>0</v>
      </c>
      <c r="O77">
        <v>0</v>
      </c>
      <c r="P77">
        <v>1</v>
      </c>
      <c r="Q77" t="s">
        <v>112</v>
      </c>
      <c r="R77" t="s">
        <v>4329</v>
      </c>
      <c r="S77" t="s">
        <v>122</v>
      </c>
      <c r="T77" t="s">
        <v>4385</v>
      </c>
      <c r="U77" t="s">
        <v>23</v>
      </c>
      <c r="V77" t="s">
        <v>3997</v>
      </c>
      <c r="W77" t="s">
        <v>4420</v>
      </c>
      <c r="Y77">
        <v>148</v>
      </c>
      <c r="AA77">
        <v>2</v>
      </c>
      <c r="AB77" s="19">
        <v>63.721739999999997</v>
      </c>
      <c r="AC77" s="19">
        <v>148.98727</v>
      </c>
      <c r="AD77" t="s">
        <v>115</v>
      </c>
      <c r="AE77" t="s">
        <v>115</v>
      </c>
      <c r="AF77" t="s">
        <v>115</v>
      </c>
      <c r="AG77">
        <v>0</v>
      </c>
      <c r="AH77">
        <v>0</v>
      </c>
      <c r="AI77">
        <v>0</v>
      </c>
      <c r="AJ77">
        <v>0</v>
      </c>
      <c r="AK77">
        <v>0</v>
      </c>
      <c r="AL77">
        <v>0</v>
      </c>
      <c r="AM77">
        <v>0</v>
      </c>
      <c r="AO77" t="s">
        <v>4426</v>
      </c>
    </row>
    <row r="78" spans="1:41" x14ac:dyDescent="0.2">
      <c r="A78" t="s">
        <v>4428</v>
      </c>
      <c r="B78" t="s">
        <v>4429</v>
      </c>
      <c r="C78">
        <v>7</v>
      </c>
      <c r="D78">
        <v>1</v>
      </c>
      <c r="E78" t="s">
        <v>395</v>
      </c>
      <c r="F78" s="1">
        <v>43694</v>
      </c>
      <c r="G78" t="s">
        <v>4031</v>
      </c>
      <c r="H78" t="s">
        <v>4724</v>
      </c>
      <c r="I78" s="2">
        <v>2.8472222222222222E-2</v>
      </c>
      <c r="J78" t="s">
        <v>398</v>
      </c>
      <c r="K78" t="s">
        <v>4250</v>
      </c>
      <c r="L78" t="s">
        <v>568</v>
      </c>
      <c r="M78" t="s">
        <v>1196</v>
      </c>
      <c r="N78">
        <v>1</v>
      </c>
      <c r="O78">
        <v>0</v>
      </c>
      <c r="P78">
        <v>1</v>
      </c>
      <c r="Q78" t="s">
        <v>112</v>
      </c>
      <c r="R78" t="s">
        <v>4319</v>
      </c>
      <c r="S78" t="s">
        <v>122</v>
      </c>
      <c r="T78" t="s">
        <v>4427</v>
      </c>
      <c r="U78" t="s">
        <v>1196</v>
      </c>
      <c r="V78" t="s">
        <v>3997</v>
      </c>
      <c r="W78" t="s">
        <v>4420</v>
      </c>
      <c r="Y78">
        <v>156</v>
      </c>
      <c r="AA78">
        <v>4</v>
      </c>
      <c r="AD78" t="s">
        <v>115</v>
      </c>
      <c r="AE78" t="s">
        <v>115</v>
      </c>
      <c r="AF78" t="s">
        <v>115</v>
      </c>
      <c r="AG78">
        <v>0</v>
      </c>
      <c r="AH78">
        <v>0</v>
      </c>
      <c r="AI78">
        <v>0</v>
      </c>
      <c r="AJ78">
        <v>0</v>
      </c>
      <c r="AK78">
        <v>15</v>
      </c>
      <c r="AL78">
        <v>0</v>
      </c>
      <c r="AM78">
        <v>15</v>
      </c>
    </row>
    <row r="79" spans="1:41" x14ac:dyDescent="0.2">
      <c r="A79" t="s">
        <v>4627</v>
      </c>
      <c r="B79" t="s">
        <v>4628</v>
      </c>
      <c r="C79">
        <v>7</v>
      </c>
      <c r="D79">
        <v>1</v>
      </c>
      <c r="E79" t="s">
        <v>2586</v>
      </c>
      <c r="F79" s="1">
        <v>43704</v>
      </c>
      <c r="G79" t="s">
        <v>4031</v>
      </c>
      <c r="H79" t="s">
        <v>4724</v>
      </c>
      <c r="I79" s="2">
        <v>1.8055555555555557E-2</v>
      </c>
      <c r="J79" t="s">
        <v>398</v>
      </c>
      <c r="K79" t="s">
        <v>4339</v>
      </c>
      <c r="L79" t="s">
        <v>111</v>
      </c>
      <c r="M79" t="s">
        <v>23</v>
      </c>
      <c r="N79">
        <v>0</v>
      </c>
      <c r="O79">
        <v>0</v>
      </c>
      <c r="P79">
        <v>1</v>
      </c>
      <c r="Q79" t="s">
        <v>176</v>
      </c>
      <c r="R79" t="s">
        <v>176</v>
      </c>
      <c r="S79" t="s">
        <v>176</v>
      </c>
      <c r="T79" t="s">
        <v>1035</v>
      </c>
      <c r="U79" t="s">
        <v>23</v>
      </c>
      <c r="V79" t="s">
        <v>3997</v>
      </c>
      <c r="W79" t="s">
        <v>4006</v>
      </c>
      <c r="Y79">
        <v>156</v>
      </c>
      <c r="AA79" t="s">
        <v>176</v>
      </c>
      <c r="AB79" s="19">
        <v>63.724739999999997</v>
      </c>
      <c r="AC79" s="19">
        <v>148.89146</v>
      </c>
      <c r="AD79" t="s">
        <v>115</v>
      </c>
      <c r="AE79" t="s">
        <v>115</v>
      </c>
      <c r="AF79" t="s">
        <v>115</v>
      </c>
      <c r="AG79">
        <v>0</v>
      </c>
      <c r="AH79">
        <v>0</v>
      </c>
      <c r="AI79">
        <v>0</v>
      </c>
      <c r="AJ79">
        <v>0</v>
      </c>
      <c r="AK79">
        <v>0</v>
      </c>
      <c r="AL79">
        <v>0</v>
      </c>
      <c r="AM79">
        <v>0</v>
      </c>
    </row>
    <row r="80" spans="1:41" x14ac:dyDescent="0.2">
      <c r="A80" t="s">
        <v>3162</v>
      </c>
      <c r="B80" t="s">
        <v>3163</v>
      </c>
      <c r="C80">
        <v>7</v>
      </c>
      <c r="D80">
        <v>1</v>
      </c>
      <c r="E80" t="s">
        <v>834</v>
      </c>
      <c r="F80" s="1">
        <v>43571</v>
      </c>
      <c r="G80" s="1" t="s">
        <v>4027</v>
      </c>
      <c r="H80" s="1"/>
      <c r="I80" s="2">
        <v>5.6944444444444443E-2</v>
      </c>
      <c r="J80" t="s">
        <v>1278</v>
      </c>
      <c r="K80" t="s">
        <v>466</v>
      </c>
      <c r="L80" t="s">
        <v>242</v>
      </c>
      <c r="M80" t="s">
        <v>23</v>
      </c>
      <c r="N80">
        <v>0</v>
      </c>
      <c r="O80">
        <v>0</v>
      </c>
      <c r="P80">
        <v>1</v>
      </c>
      <c r="Q80" t="s">
        <v>461</v>
      </c>
      <c r="R80" s="5" t="s">
        <v>2605</v>
      </c>
      <c r="S80" s="5" t="s">
        <v>115</v>
      </c>
      <c r="T80" s="5" t="s">
        <v>333</v>
      </c>
      <c r="U80" s="5" t="s">
        <v>23</v>
      </c>
      <c r="V80" s="5" t="s">
        <v>3999</v>
      </c>
      <c r="W80" s="5" t="s">
        <v>4006</v>
      </c>
      <c r="X80" s="5" t="s">
        <v>2850</v>
      </c>
      <c r="Y80">
        <v>157</v>
      </c>
      <c r="AA80">
        <v>26</v>
      </c>
      <c r="AB80">
        <v>63.740699999999997</v>
      </c>
      <c r="AC80">
        <v>148.90117000000001</v>
      </c>
      <c r="AD80" s="5" t="s">
        <v>115</v>
      </c>
      <c r="AE80" s="5" t="s">
        <v>115</v>
      </c>
      <c r="AF80" s="5"/>
      <c r="AG80">
        <v>0</v>
      </c>
      <c r="AH80">
        <v>0</v>
      </c>
      <c r="AI80">
        <v>0</v>
      </c>
      <c r="AJ80">
        <v>0</v>
      </c>
      <c r="AK80">
        <v>0</v>
      </c>
      <c r="AL80">
        <v>0</v>
      </c>
      <c r="AN80" t="s">
        <v>3164</v>
      </c>
    </row>
    <row r="81" spans="1:41" x14ac:dyDescent="0.2">
      <c r="A81" t="s">
        <v>4613</v>
      </c>
      <c r="B81" t="s">
        <v>4614</v>
      </c>
      <c r="C81">
        <v>2</v>
      </c>
      <c r="D81">
        <v>1</v>
      </c>
      <c r="E81" t="s">
        <v>2586</v>
      </c>
      <c r="F81" s="1">
        <v>43704</v>
      </c>
      <c r="G81" t="s">
        <v>4031</v>
      </c>
      <c r="H81" t="s">
        <v>4724</v>
      </c>
      <c r="I81" s="2">
        <v>1.7361111111111112E-2</v>
      </c>
      <c r="J81" t="s">
        <v>398</v>
      </c>
      <c r="K81" t="s">
        <v>4339</v>
      </c>
      <c r="L81" t="s">
        <v>111</v>
      </c>
      <c r="M81" t="s">
        <v>23</v>
      </c>
      <c r="N81">
        <v>0</v>
      </c>
      <c r="O81">
        <v>0</v>
      </c>
      <c r="P81">
        <v>1</v>
      </c>
      <c r="Q81" t="s">
        <v>176</v>
      </c>
      <c r="R81" t="s">
        <v>176</v>
      </c>
      <c r="S81" t="s">
        <v>176</v>
      </c>
      <c r="T81" t="s">
        <v>263</v>
      </c>
      <c r="U81" t="s">
        <v>23</v>
      </c>
      <c r="V81" t="s">
        <v>4004</v>
      </c>
      <c r="W81" t="s">
        <v>176</v>
      </c>
      <c r="Y81">
        <v>157</v>
      </c>
      <c r="AB81" s="19">
        <v>63.723489999999998</v>
      </c>
      <c r="AC81" s="19">
        <v>148.88754</v>
      </c>
      <c r="AD81" t="s">
        <v>115</v>
      </c>
      <c r="AE81" t="s">
        <v>115</v>
      </c>
      <c r="AF81" t="s">
        <v>115</v>
      </c>
      <c r="AG81">
        <v>0</v>
      </c>
      <c r="AH81">
        <v>0</v>
      </c>
      <c r="AI81">
        <v>0</v>
      </c>
      <c r="AJ81">
        <v>0</v>
      </c>
      <c r="AK81">
        <v>0</v>
      </c>
      <c r="AL81">
        <v>0</v>
      </c>
      <c r="AM81">
        <v>0</v>
      </c>
    </row>
    <row r="82" spans="1:41" x14ac:dyDescent="0.2">
      <c r="A82" t="s">
        <v>2972</v>
      </c>
      <c r="B82" t="s">
        <v>2973</v>
      </c>
      <c r="C82">
        <v>21</v>
      </c>
      <c r="D82">
        <v>1</v>
      </c>
      <c r="E82" t="s">
        <v>834</v>
      </c>
      <c r="F82" s="1">
        <v>43560</v>
      </c>
      <c r="G82" s="1" t="s">
        <v>4027</v>
      </c>
      <c r="H82" s="1"/>
      <c r="I82" s="2">
        <v>4.8611111111111112E-3</v>
      </c>
      <c r="K82" t="s">
        <v>466</v>
      </c>
      <c r="L82" t="s">
        <v>111</v>
      </c>
      <c r="M82" t="s">
        <v>23</v>
      </c>
      <c r="N82">
        <v>0</v>
      </c>
      <c r="O82">
        <v>0</v>
      </c>
      <c r="P82">
        <v>1</v>
      </c>
      <c r="Q82" t="s">
        <v>598</v>
      </c>
      <c r="R82" s="5" t="s">
        <v>2801</v>
      </c>
      <c r="S82" s="5" t="s">
        <v>115</v>
      </c>
      <c r="T82" s="5" t="s">
        <v>1035</v>
      </c>
      <c r="U82" s="5" t="s">
        <v>23</v>
      </c>
      <c r="V82" s="5" t="s">
        <v>3997</v>
      </c>
      <c r="W82" s="5" t="s">
        <v>4006</v>
      </c>
      <c r="Y82">
        <v>160</v>
      </c>
      <c r="AB82">
        <v>63.739040000000003</v>
      </c>
      <c r="AC82">
        <v>148.89462</v>
      </c>
      <c r="AD82" s="5" t="s">
        <v>115</v>
      </c>
      <c r="AE82" s="5" t="s">
        <v>115</v>
      </c>
      <c r="AF82" s="5"/>
      <c r="AG82">
        <v>0</v>
      </c>
      <c r="AH82">
        <v>0</v>
      </c>
      <c r="AI82">
        <v>0</v>
      </c>
      <c r="AJ82">
        <v>0</v>
      </c>
      <c r="AK82">
        <v>0</v>
      </c>
      <c r="AL82">
        <v>0</v>
      </c>
    </row>
    <row r="83" spans="1:41" x14ac:dyDescent="0.2">
      <c r="A83" t="s">
        <v>4681</v>
      </c>
      <c r="B83" t="s">
        <v>4682</v>
      </c>
      <c r="C83">
        <v>1</v>
      </c>
      <c r="D83">
        <v>1</v>
      </c>
      <c r="E83" t="s">
        <v>213</v>
      </c>
      <c r="F83" s="1">
        <v>43705</v>
      </c>
      <c r="G83" t="s">
        <v>4031</v>
      </c>
      <c r="H83" t="s">
        <v>4724</v>
      </c>
      <c r="I83" s="2">
        <v>2.0833333333333333E-3</v>
      </c>
      <c r="J83" t="s">
        <v>397</v>
      </c>
      <c r="K83" t="s">
        <v>4683</v>
      </c>
      <c r="L83" t="s">
        <v>111</v>
      </c>
      <c r="M83" t="s">
        <v>23</v>
      </c>
      <c r="N83">
        <v>1</v>
      </c>
      <c r="O83">
        <v>0</v>
      </c>
      <c r="P83">
        <v>1</v>
      </c>
      <c r="Q83" t="s">
        <v>598</v>
      </c>
      <c r="R83" t="s">
        <v>4643</v>
      </c>
      <c r="S83" t="s">
        <v>122</v>
      </c>
      <c r="T83" t="s">
        <v>4386</v>
      </c>
      <c r="U83" t="s">
        <v>23</v>
      </c>
      <c r="V83" t="s">
        <v>3999</v>
      </c>
      <c r="W83" t="s">
        <v>3810</v>
      </c>
      <c r="Y83">
        <v>162</v>
      </c>
      <c r="AA83">
        <v>3</v>
      </c>
      <c r="AB83" s="19">
        <v>63.720649999999999</v>
      </c>
      <c r="AC83" s="19">
        <v>148.96965</v>
      </c>
      <c r="AD83" t="s">
        <v>115</v>
      </c>
      <c r="AE83" t="s">
        <v>115</v>
      </c>
      <c r="AF83" t="s">
        <v>115</v>
      </c>
      <c r="AG83">
        <v>0</v>
      </c>
      <c r="AH83">
        <v>0</v>
      </c>
      <c r="AI83">
        <v>0</v>
      </c>
      <c r="AJ83">
        <v>0</v>
      </c>
      <c r="AK83">
        <v>0</v>
      </c>
      <c r="AL83">
        <v>0</v>
      </c>
      <c r="AM83">
        <v>0</v>
      </c>
      <c r="AO83" t="s">
        <v>4684</v>
      </c>
    </row>
    <row r="84" spans="1:41" x14ac:dyDescent="0.2">
      <c r="A84" t="s">
        <v>4624</v>
      </c>
      <c r="B84" t="s">
        <v>4625</v>
      </c>
      <c r="C84">
        <v>6</v>
      </c>
      <c r="D84">
        <v>2</v>
      </c>
      <c r="E84" t="s">
        <v>2586</v>
      </c>
      <c r="F84" s="1">
        <v>43704</v>
      </c>
      <c r="G84" t="s">
        <v>4031</v>
      </c>
      <c r="H84" t="s">
        <v>4724</v>
      </c>
      <c r="I84" s="2">
        <v>4.9305555555555554E-2</v>
      </c>
      <c r="J84" t="s">
        <v>398</v>
      </c>
      <c r="K84" t="s">
        <v>176</v>
      </c>
      <c r="L84" t="s">
        <v>102</v>
      </c>
      <c r="M84" t="s">
        <v>23</v>
      </c>
      <c r="N84">
        <v>1</v>
      </c>
      <c r="O84">
        <v>0</v>
      </c>
      <c r="P84">
        <v>1</v>
      </c>
      <c r="Q84" t="s">
        <v>1342</v>
      </c>
      <c r="R84" t="s">
        <v>4626</v>
      </c>
      <c r="S84" t="s">
        <v>122</v>
      </c>
      <c r="T84" t="s">
        <v>939</v>
      </c>
      <c r="U84" t="s">
        <v>23</v>
      </c>
      <c r="V84" t="s">
        <v>3999</v>
      </c>
      <c r="W84" t="s">
        <v>4022</v>
      </c>
      <c r="Y84">
        <v>164</v>
      </c>
      <c r="AA84">
        <v>2</v>
      </c>
      <c r="AB84" s="19">
        <v>63.72401</v>
      </c>
      <c r="AC84" s="19">
        <v>148.88971000000001</v>
      </c>
      <c r="AD84" t="s">
        <v>115</v>
      </c>
      <c r="AE84" t="s">
        <v>115</v>
      </c>
      <c r="AF84" t="s">
        <v>115</v>
      </c>
      <c r="AG84">
        <v>0</v>
      </c>
      <c r="AH84">
        <v>0</v>
      </c>
      <c r="AI84">
        <v>0</v>
      </c>
      <c r="AJ84">
        <v>0</v>
      </c>
      <c r="AK84">
        <v>14</v>
      </c>
      <c r="AL84">
        <v>0</v>
      </c>
      <c r="AM84">
        <v>14</v>
      </c>
    </row>
    <row r="85" spans="1:41" x14ac:dyDescent="0.2">
      <c r="A85" t="s">
        <v>3788</v>
      </c>
      <c r="B85" t="s">
        <v>3789</v>
      </c>
      <c r="C85">
        <v>16</v>
      </c>
      <c r="D85">
        <v>1</v>
      </c>
      <c r="E85" t="s">
        <v>3171</v>
      </c>
      <c r="F85" s="1">
        <v>43588</v>
      </c>
      <c r="G85" s="1" t="s">
        <v>4028</v>
      </c>
      <c r="H85" s="1"/>
      <c r="I85" s="2">
        <v>2.6388888888888889E-2</v>
      </c>
      <c r="J85" t="s">
        <v>3187</v>
      </c>
      <c r="K85" t="s">
        <v>149</v>
      </c>
      <c r="L85" t="s">
        <v>187</v>
      </c>
      <c r="M85" t="s">
        <v>23</v>
      </c>
      <c r="N85">
        <v>1</v>
      </c>
      <c r="O85">
        <v>0</v>
      </c>
      <c r="P85">
        <v>1</v>
      </c>
      <c r="Q85" t="s">
        <v>598</v>
      </c>
      <c r="R85" s="5" t="s">
        <v>2437</v>
      </c>
      <c r="S85" s="5" t="s">
        <v>122</v>
      </c>
      <c r="T85" s="5" t="s">
        <v>333</v>
      </c>
      <c r="U85" s="5" t="s">
        <v>23</v>
      </c>
      <c r="V85" s="5" t="s">
        <v>3999</v>
      </c>
      <c r="W85" s="5" t="s">
        <v>4006</v>
      </c>
      <c r="X85" s="5" t="s">
        <v>2912</v>
      </c>
      <c r="Y85">
        <v>165</v>
      </c>
      <c r="AA85">
        <v>5</v>
      </c>
      <c r="AB85">
        <v>63.722900000000003</v>
      </c>
      <c r="AC85">
        <v>148.94708</v>
      </c>
      <c r="AE85" s="5" t="s">
        <v>115</v>
      </c>
      <c r="AF85" s="5" t="s">
        <v>115</v>
      </c>
      <c r="AG85">
        <v>0</v>
      </c>
      <c r="AH85">
        <v>0</v>
      </c>
      <c r="AI85">
        <v>0</v>
      </c>
      <c r="AJ85">
        <v>0</v>
      </c>
      <c r="AK85">
        <v>23</v>
      </c>
      <c r="AL85">
        <v>23</v>
      </c>
      <c r="AM85" t="s">
        <v>188</v>
      </c>
    </row>
    <row r="86" spans="1:41" x14ac:dyDescent="0.2">
      <c r="A86" t="s">
        <v>4621</v>
      </c>
      <c r="B86" t="s">
        <v>4622</v>
      </c>
      <c r="C86">
        <v>5</v>
      </c>
      <c r="D86">
        <v>1</v>
      </c>
      <c r="E86" t="s">
        <v>2586</v>
      </c>
      <c r="F86" s="1">
        <v>43704</v>
      </c>
      <c r="G86" t="s">
        <v>4031</v>
      </c>
      <c r="H86" t="s">
        <v>4724</v>
      </c>
      <c r="I86" s="2">
        <v>1.1805555555555555E-2</v>
      </c>
      <c r="J86" t="s">
        <v>398</v>
      </c>
      <c r="K86" t="s">
        <v>4339</v>
      </c>
      <c r="L86" t="s">
        <v>111</v>
      </c>
      <c r="M86" t="s">
        <v>23</v>
      </c>
      <c r="N86">
        <v>1</v>
      </c>
      <c r="O86">
        <v>1</v>
      </c>
      <c r="P86">
        <v>1</v>
      </c>
      <c r="Q86" t="s">
        <v>461</v>
      </c>
      <c r="R86" t="s">
        <v>461</v>
      </c>
      <c r="S86" t="s">
        <v>1035</v>
      </c>
      <c r="T86" t="s">
        <v>4385</v>
      </c>
      <c r="U86" t="s">
        <v>23</v>
      </c>
      <c r="V86" t="s">
        <v>3997</v>
      </c>
      <c r="W86" t="s">
        <v>176</v>
      </c>
      <c r="Y86">
        <v>165</v>
      </c>
      <c r="AA86">
        <v>1</v>
      </c>
      <c r="AB86" s="19">
        <v>63.723939999999999</v>
      </c>
      <c r="AC86" s="19">
        <v>148.88972000000001</v>
      </c>
      <c r="AD86" t="s">
        <v>115</v>
      </c>
      <c r="AE86" t="s">
        <v>115</v>
      </c>
      <c r="AF86" t="s">
        <v>115</v>
      </c>
      <c r="AG86">
        <v>0</v>
      </c>
      <c r="AH86">
        <v>0</v>
      </c>
      <c r="AI86">
        <v>0</v>
      </c>
      <c r="AJ86">
        <v>0</v>
      </c>
      <c r="AK86">
        <v>0</v>
      </c>
      <c r="AL86">
        <v>0</v>
      </c>
      <c r="AM86">
        <v>0</v>
      </c>
      <c r="AO86" t="s">
        <v>4623</v>
      </c>
    </row>
    <row r="87" spans="1:41" x14ac:dyDescent="0.2">
      <c r="A87" t="s">
        <v>4490</v>
      </c>
      <c r="B87" t="s">
        <v>4491</v>
      </c>
      <c r="C87">
        <v>22</v>
      </c>
      <c r="D87">
        <v>1</v>
      </c>
      <c r="E87" t="s">
        <v>213</v>
      </c>
      <c r="F87" s="1">
        <v>43697</v>
      </c>
      <c r="G87" t="s">
        <v>4031</v>
      </c>
      <c r="H87" t="s">
        <v>4724</v>
      </c>
      <c r="J87" t="s">
        <v>640</v>
      </c>
      <c r="K87" t="s">
        <v>4487</v>
      </c>
      <c r="L87" t="s">
        <v>102</v>
      </c>
      <c r="M87" t="s">
        <v>23</v>
      </c>
      <c r="N87">
        <v>1</v>
      </c>
      <c r="O87">
        <v>0</v>
      </c>
      <c r="P87">
        <v>1</v>
      </c>
      <c r="Q87" t="s">
        <v>176</v>
      </c>
      <c r="R87" t="s">
        <v>176</v>
      </c>
      <c r="S87" t="s">
        <v>122</v>
      </c>
      <c r="T87" t="s">
        <v>4168</v>
      </c>
      <c r="U87" t="s">
        <v>23</v>
      </c>
      <c r="V87" t="s">
        <v>3997</v>
      </c>
      <c r="W87" t="s">
        <v>176</v>
      </c>
      <c r="Y87">
        <v>167</v>
      </c>
      <c r="AA87">
        <v>4</v>
      </c>
      <c r="AB87" s="19">
        <v>63.719920000000002</v>
      </c>
      <c r="AC87" s="19">
        <v>148.97591</v>
      </c>
      <c r="AD87" t="s">
        <v>115</v>
      </c>
      <c r="AE87" t="s">
        <v>115</v>
      </c>
      <c r="AF87" t="s">
        <v>115</v>
      </c>
      <c r="AG87">
        <v>0</v>
      </c>
      <c r="AH87">
        <v>0</v>
      </c>
      <c r="AI87">
        <v>0</v>
      </c>
      <c r="AJ87">
        <v>0</v>
      </c>
      <c r="AK87">
        <v>19</v>
      </c>
      <c r="AL87">
        <v>0</v>
      </c>
      <c r="AM87">
        <v>19</v>
      </c>
    </row>
    <row r="88" spans="1:41" x14ac:dyDescent="0.2">
      <c r="A88" t="s">
        <v>4387</v>
      </c>
      <c r="B88" t="s">
        <v>4388</v>
      </c>
      <c r="C88">
        <v>1</v>
      </c>
      <c r="D88">
        <v>1</v>
      </c>
      <c r="E88" t="s">
        <v>138</v>
      </c>
      <c r="F88" s="1">
        <v>43693</v>
      </c>
      <c r="G88" t="s">
        <v>4031</v>
      </c>
      <c r="H88" t="s">
        <v>4724</v>
      </c>
      <c r="I88" s="2">
        <v>1.6666666666666666E-2</v>
      </c>
      <c r="J88" t="s">
        <v>4358</v>
      </c>
      <c r="K88" t="s">
        <v>176</v>
      </c>
      <c r="L88" t="s">
        <v>111</v>
      </c>
      <c r="M88" t="s">
        <v>23</v>
      </c>
      <c r="N88">
        <v>1</v>
      </c>
      <c r="O88">
        <v>0</v>
      </c>
      <c r="P88">
        <v>1</v>
      </c>
      <c r="Q88" t="s">
        <v>176</v>
      </c>
      <c r="R88" t="s">
        <v>176</v>
      </c>
      <c r="S88" t="s">
        <v>176</v>
      </c>
      <c r="T88" t="s">
        <v>4386</v>
      </c>
      <c r="U88" t="s">
        <v>23</v>
      </c>
      <c r="V88" t="s">
        <v>3999</v>
      </c>
      <c r="W88" t="s">
        <v>176</v>
      </c>
      <c r="Y88">
        <v>169</v>
      </c>
      <c r="AA88" t="s">
        <v>176</v>
      </c>
      <c r="AB88" s="19">
        <v>63.72495</v>
      </c>
      <c r="AC88" s="19">
        <v>148.95622</v>
      </c>
      <c r="AD88" t="s">
        <v>115</v>
      </c>
      <c r="AE88" t="s">
        <v>115</v>
      </c>
      <c r="AF88" t="s">
        <v>115</v>
      </c>
      <c r="AG88">
        <v>0</v>
      </c>
      <c r="AH88">
        <v>0</v>
      </c>
      <c r="AI88">
        <v>0</v>
      </c>
      <c r="AJ88">
        <v>0</v>
      </c>
      <c r="AK88">
        <v>0</v>
      </c>
      <c r="AL88">
        <v>0</v>
      </c>
      <c r="AM88">
        <v>0</v>
      </c>
    </row>
    <row r="89" spans="1:41" x14ac:dyDescent="0.2">
      <c r="A89" t="s">
        <v>3683</v>
      </c>
      <c r="B89" t="s">
        <v>3681</v>
      </c>
      <c r="C89">
        <v>24</v>
      </c>
      <c r="D89">
        <v>1</v>
      </c>
      <c r="E89" t="s">
        <v>2487</v>
      </c>
      <c r="F89" s="1">
        <v>43585</v>
      </c>
      <c r="G89" s="1" t="s">
        <v>4027</v>
      </c>
      <c r="H89" s="1"/>
      <c r="I89" s="2">
        <v>7.9861111111111105E-2</v>
      </c>
      <c r="J89" t="s">
        <v>3626</v>
      </c>
      <c r="K89" t="s">
        <v>2488</v>
      </c>
      <c r="L89" t="s">
        <v>111</v>
      </c>
      <c r="M89" t="s">
        <v>23</v>
      </c>
      <c r="N89">
        <v>0</v>
      </c>
      <c r="O89">
        <v>0</v>
      </c>
      <c r="P89">
        <v>1</v>
      </c>
      <c r="Q89" t="s">
        <v>598</v>
      </c>
      <c r="R89" s="5" t="s">
        <v>2801</v>
      </c>
      <c r="S89" s="5" t="s">
        <v>115</v>
      </c>
      <c r="T89" s="5" t="s">
        <v>3599</v>
      </c>
      <c r="U89" s="5" t="s">
        <v>23</v>
      </c>
      <c r="V89" s="5" t="s">
        <v>3997</v>
      </c>
      <c r="W89" s="5" t="s">
        <v>4006</v>
      </c>
      <c r="X89" s="5" t="s">
        <v>2912</v>
      </c>
      <c r="Y89">
        <v>175</v>
      </c>
      <c r="AA89">
        <v>12</v>
      </c>
      <c r="AB89">
        <v>63.720010000000002</v>
      </c>
      <c r="AC89">
        <v>148.98734999999999</v>
      </c>
      <c r="AD89" s="5" t="s">
        <v>115</v>
      </c>
      <c r="AE89" s="5" t="s">
        <v>115</v>
      </c>
      <c r="AF89" s="5" t="s">
        <v>115</v>
      </c>
      <c r="AG89">
        <v>0</v>
      </c>
      <c r="AH89">
        <v>0</v>
      </c>
      <c r="AI89">
        <v>0</v>
      </c>
      <c r="AJ89">
        <v>0</v>
      </c>
      <c r="AK89">
        <v>0</v>
      </c>
      <c r="AL89">
        <v>0</v>
      </c>
      <c r="AN89" t="s">
        <v>3611</v>
      </c>
    </row>
    <row r="90" spans="1:41" x14ac:dyDescent="0.2">
      <c r="A90" t="s">
        <v>4670</v>
      </c>
      <c r="B90" t="s">
        <v>4671</v>
      </c>
      <c r="C90">
        <v>16</v>
      </c>
      <c r="D90">
        <v>2</v>
      </c>
      <c r="E90" t="s">
        <v>395</v>
      </c>
      <c r="F90" s="1">
        <v>43705</v>
      </c>
      <c r="G90" t="s">
        <v>4031</v>
      </c>
      <c r="H90" t="s">
        <v>4724</v>
      </c>
      <c r="I90" s="2">
        <v>5.6944444444444443E-2</v>
      </c>
      <c r="J90" t="s">
        <v>398</v>
      </c>
      <c r="K90" t="s">
        <v>4243</v>
      </c>
      <c r="L90" t="s">
        <v>568</v>
      </c>
      <c r="M90" t="s">
        <v>23</v>
      </c>
      <c r="N90">
        <v>1</v>
      </c>
      <c r="O90">
        <v>0</v>
      </c>
      <c r="P90">
        <v>1</v>
      </c>
      <c r="Q90" t="s">
        <v>176</v>
      </c>
      <c r="R90" t="s">
        <v>176</v>
      </c>
      <c r="S90" t="s">
        <v>122</v>
      </c>
      <c r="T90" t="s">
        <v>4385</v>
      </c>
      <c r="U90" t="s">
        <v>23</v>
      </c>
      <c r="V90" t="s">
        <v>3997</v>
      </c>
      <c r="W90" t="s">
        <v>3810</v>
      </c>
      <c r="Y90">
        <v>182</v>
      </c>
      <c r="AA90">
        <v>5</v>
      </c>
      <c r="AB90" s="19">
        <v>63.721499999999999</v>
      </c>
      <c r="AC90" s="19">
        <v>148.98240999999999</v>
      </c>
      <c r="AD90" t="s">
        <v>115</v>
      </c>
      <c r="AE90" t="s">
        <v>115</v>
      </c>
      <c r="AF90" t="s">
        <v>115</v>
      </c>
      <c r="AG90">
        <v>0</v>
      </c>
      <c r="AH90">
        <v>0</v>
      </c>
      <c r="AI90">
        <v>0</v>
      </c>
      <c r="AJ90">
        <v>0</v>
      </c>
      <c r="AK90">
        <v>0</v>
      </c>
      <c r="AL90">
        <v>0</v>
      </c>
      <c r="AM90">
        <v>0</v>
      </c>
      <c r="AO90" t="s">
        <v>4672</v>
      </c>
    </row>
    <row r="91" spans="1:41" x14ac:dyDescent="0.2">
      <c r="A91" t="s">
        <v>4383</v>
      </c>
      <c r="B91" t="s">
        <v>4384</v>
      </c>
      <c r="C91">
        <v>13</v>
      </c>
      <c r="D91">
        <v>1</v>
      </c>
      <c r="E91" t="s">
        <v>213</v>
      </c>
      <c r="F91" s="1">
        <v>43692</v>
      </c>
      <c r="G91" t="s">
        <v>4031</v>
      </c>
      <c r="H91" t="s">
        <v>4724</v>
      </c>
      <c r="I91" s="2">
        <v>6.3194444444444442E-2</v>
      </c>
      <c r="J91" t="s">
        <v>4358</v>
      </c>
      <c r="K91" t="s">
        <v>4258</v>
      </c>
      <c r="L91" t="s">
        <v>111</v>
      </c>
      <c r="M91" t="s">
        <v>23</v>
      </c>
      <c r="N91">
        <v>0</v>
      </c>
      <c r="O91">
        <v>0</v>
      </c>
      <c r="P91">
        <v>1</v>
      </c>
      <c r="Q91" t="s">
        <v>176</v>
      </c>
      <c r="R91" t="s">
        <v>176</v>
      </c>
      <c r="S91" t="s">
        <v>122</v>
      </c>
      <c r="T91" t="s">
        <v>4386</v>
      </c>
      <c r="U91" t="s">
        <v>23</v>
      </c>
      <c r="V91" t="s">
        <v>3997</v>
      </c>
      <c r="W91" t="s">
        <v>3810</v>
      </c>
      <c r="Y91">
        <v>187</v>
      </c>
      <c r="Z91">
        <f>COUNT(Y52:Y91)</f>
        <v>40</v>
      </c>
      <c r="AA91">
        <v>20</v>
      </c>
      <c r="AB91" s="19">
        <v>63.718119999999999</v>
      </c>
      <c r="AC91" s="19">
        <v>148.97382999999999</v>
      </c>
      <c r="AD91" t="s">
        <v>115</v>
      </c>
      <c r="AE91" t="s">
        <v>115</v>
      </c>
      <c r="AF91" t="s">
        <v>115</v>
      </c>
      <c r="AG91">
        <v>0</v>
      </c>
      <c r="AH91">
        <v>0</v>
      </c>
      <c r="AI91">
        <v>0</v>
      </c>
      <c r="AJ91">
        <v>0</v>
      </c>
      <c r="AK91">
        <v>0</v>
      </c>
      <c r="AL91">
        <v>0</v>
      </c>
      <c r="AM91">
        <v>0</v>
      </c>
    </row>
    <row r="92" spans="1:41" x14ac:dyDescent="0.2">
      <c r="A92" s="5" t="s">
        <v>4046</v>
      </c>
      <c r="B92" s="5" t="s">
        <v>4047</v>
      </c>
      <c r="C92" s="5">
        <v>7</v>
      </c>
      <c r="D92" s="5">
        <v>1</v>
      </c>
      <c r="E92" s="5" t="s">
        <v>2462</v>
      </c>
      <c r="F92" s="11">
        <v>43646</v>
      </c>
      <c r="G92" s="5" t="s">
        <v>4034</v>
      </c>
      <c r="I92" s="45">
        <v>4.3750000000000004E-2</v>
      </c>
      <c r="J92" s="5" t="s">
        <v>4035</v>
      </c>
      <c r="K92" s="5" t="s">
        <v>363</v>
      </c>
      <c r="L92" s="5" t="s">
        <v>4079</v>
      </c>
      <c r="M92" s="5" t="s">
        <v>23</v>
      </c>
      <c r="N92" s="5">
        <v>1</v>
      </c>
      <c r="O92" s="5">
        <v>0</v>
      </c>
      <c r="P92" s="5">
        <v>1</v>
      </c>
      <c r="Q92" s="5" t="s">
        <v>598</v>
      </c>
      <c r="R92" s="5" t="s">
        <v>4048</v>
      </c>
      <c r="S92" s="5" t="s">
        <v>122</v>
      </c>
      <c r="T92" s="5" t="s">
        <v>263</v>
      </c>
      <c r="U92" s="5" t="s">
        <v>23</v>
      </c>
      <c r="V92" s="5" t="s">
        <v>4004</v>
      </c>
      <c r="W92" s="5" t="s">
        <v>4022</v>
      </c>
      <c r="X92" s="5" t="s">
        <v>2912</v>
      </c>
      <c r="Y92" s="5">
        <v>190</v>
      </c>
      <c r="Z92" s="5"/>
      <c r="AA92" s="5">
        <v>2</v>
      </c>
      <c r="AB92" s="5">
        <v>63.73545</v>
      </c>
      <c r="AC92" s="5">
        <v>148.89067</v>
      </c>
      <c r="AD92" s="5" t="s">
        <v>115</v>
      </c>
      <c r="AE92" s="5" t="s">
        <v>115</v>
      </c>
      <c r="AF92" s="5" t="s">
        <v>115</v>
      </c>
      <c r="AG92" s="5">
        <v>0</v>
      </c>
      <c r="AH92" s="5">
        <v>0</v>
      </c>
      <c r="AI92" s="5">
        <v>0</v>
      </c>
      <c r="AJ92" s="5">
        <v>0</v>
      </c>
      <c r="AK92" s="5">
        <v>38</v>
      </c>
      <c r="AL92" s="5">
        <v>38</v>
      </c>
      <c r="AM92" s="5" t="s">
        <v>188</v>
      </c>
      <c r="AN92" s="5" t="s">
        <v>4113</v>
      </c>
      <c r="AO92" s="5"/>
    </row>
    <row r="93" spans="1:41" x14ac:dyDescent="0.2">
      <c r="A93" t="s">
        <v>4520</v>
      </c>
      <c r="B93" t="s">
        <v>4521</v>
      </c>
      <c r="C93">
        <v>12</v>
      </c>
      <c r="D93">
        <v>2</v>
      </c>
      <c r="E93" t="s">
        <v>4191</v>
      </c>
      <c r="F93" s="1">
        <v>43698</v>
      </c>
      <c r="G93" t="s">
        <v>4031</v>
      </c>
      <c r="H93" t="s">
        <v>4724</v>
      </c>
      <c r="I93" s="2">
        <v>2.2222222222222223E-2</v>
      </c>
      <c r="J93" t="s">
        <v>398</v>
      </c>
      <c r="K93" t="s">
        <v>241</v>
      </c>
      <c r="L93" t="s">
        <v>568</v>
      </c>
      <c r="M93" t="s">
        <v>23</v>
      </c>
      <c r="N93">
        <v>1</v>
      </c>
      <c r="O93">
        <v>0</v>
      </c>
      <c r="P93">
        <v>1</v>
      </c>
      <c r="Q93" t="s">
        <v>112</v>
      </c>
      <c r="R93" t="s">
        <v>4319</v>
      </c>
      <c r="S93" t="s">
        <v>122</v>
      </c>
      <c r="T93" t="s">
        <v>1035</v>
      </c>
      <c r="U93" t="s">
        <v>23</v>
      </c>
      <c r="V93" t="s">
        <v>3997</v>
      </c>
      <c r="W93" t="s">
        <v>4006</v>
      </c>
      <c r="Y93">
        <v>192</v>
      </c>
      <c r="AA93">
        <v>4</v>
      </c>
      <c r="AB93" s="19">
        <v>63.740279999999998</v>
      </c>
      <c r="AC93" s="19">
        <v>148.89796000000001</v>
      </c>
      <c r="AD93" t="s">
        <v>115</v>
      </c>
      <c r="AE93" t="s">
        <v>115</v>
      </c>
      <c r="AF93" t="s">
        <v>115</v>
      </c>
      <c r="AG93">
        <v>0</v>
      </c>
      <c r="AH93">
        <v>0</v>
      </c>
      <c r="AI93">
        <v>0</v>
      </c>
      <c r="AJ93">
        <v>0</v>
      </c>
      <c r="AK93">
        <v>8</v>
      </c>
      <c r="AL93">
        <v>0</v>
      </c>
      <c r="AM93">
        <v>8</v>
      </c>
      <c r="AO93" t="s">
        <v>4522</v>
      </c>
    </row>
    <row r="94" spans="1:41" x14ac:dyDescent="0.2">
      <c r="A94" t="s">
        <v>4580</v>
      </c>
      <c r="B94" t="s">
        <v>4581</v>
      </c>
      <c r="C94">
        <v>1</v>
      </c>
      <c r="D94">
        <v>1</v>
      </c>
      <c r="E94" t="s">
        <v>2537</v>
      </c>
      <c r="F94" s="1">
        <v>43700</v>
      </c>
      <c r="G94" t="s">
        <v>4031</v>
      </c>
      <c r="H94" t="s">
        <v>4724</v>
      </c>
      <c r="I94" s="2">
        <v>2.9861111111111113E-2</v>
      </c>
      <c r="J94" t="s">
        <v>398</v>
      </c>
      <c r="K94" t="s">
        <v>176</v>
      </c>
      <c r="L94" t="s">
        <v>111</v>
      </c>
      <c r="M94" t="s">
        <v>23</v>
      </c>
      <c r="N94">
        <v>0</v>
      </c>
      <c r="O94">
        <v>0</v>
      </c>
      <c r="P94">
        <v>1</v>
      </c>
      <c r="Q94" t="s">
        <v>176</v>
      </c>
      <c r="R94" t="s">
        <v>176</v>
      </c>
      <c r="S94" t="s">
        <v>176</v>
      </c>
      <c r="T94" t="s">
        <v>939</v>
      </c>
      <c r="U94" t="s">
        <v>23</v>
      </c>
      <c r="V94" t="s">
        <v>3999</v>
      </c>
      <c r="W94" t="s">
        <v>4022</v>
      </c>
      <c r="Y94">
        <v>194</v>
      </c>
      <c r="AA94" t="s">
        <v>176</v>
      </c>
      <c r="AB94" s="19">
        <v>63.732770000000002</v>
      </c>
      <c r="AC94" s="19">
        <v>148.89841000000001</v>
      </c>
      <c r="AD94" t="s">
        <v>115</v>
      </c>
      <c r="AE94" t="s">
        <v>115</v>
      </c>
      <c r="AF94" t="s">
        <v>115</v>
      </c>
      <c r="AG94">
        <v>0</v>
      </c>
      <c r="AH94">
        <v>0</v>
      </c>
      <c r="AI94">
        <v>0</v>
      </c>
      <c r="AJ94">
        <v>0</v>
      </c>
      <c r="AK94">
        <v>0</v>
      </c>
      <c r="AL94">
        <v>0</v>
      </c>
      <c r="AM94">
        <v>0</v>
      </c>
    </row>
    <row r="95" spans="1:41" x14ac:dyDescent="0.2">
      <c r="A95" t="s">
        <v>4631</v>
      </c>
      <c r="B95" t="s">
        <v>4632</v>
      </c>
      <c r="C95">
        <v>9</v>
      </c>
      <c r="D95">
        <v>1</v>
      </c>
      <c r="E95" t="s">
        <v>2586</v>
      </c>
      <c r="F95" s="1">
        <v>43704</v>
      </c>
      <c r="G95" t="s">
        <v>4031</v>
      </c>
      <c r="H95" t="s">
        <v>4724</v>
      </c>
      <c r="I95" s="2">
        <v>3.2638888888888891E-2</v>
      </c>
      <c r="J95" t="s">
        <v>398</v>
      </c>
      <c r="K95" t="s">
        <v>4339</v>
      </c>
      <c r="L95" t="s">
        <v>568</v>
      </c>
      <c r="M95" t="s">
        <v>23</v>
      </c>
      <c r="N95">
        <v>1</v>
      </c>
      <c r="O95">
        <v>0</v>
      </c>
      <c r="P95">
        <v>1</v>
      </c>
      <c r="Q95" t="s">
        <v>112</v>
      </c>
      <c r="R95" t="s">
        <v>4319</v>
      </c>
      <c r="S95" t="s">
        <v>122</v>
      </c>
      <c r="T95" t="s">
        <v>4385</v>
      </c>
      <c r="U95" t="s">
        <v>23</v>
      </c>
      <c r="V95" t="s">
        <v>3997</v>
      </c>
      <c r="W95" t="s">
        <v>3810</v>
      </c>
      <c r="Y95">
        <v>194</v>
      </c>
      <c r="AA95">
        <v>2</v>
      </c>
      <c r="AB95" s="19">
        <v>63.723239999999997</v>
      </c>
      <c r="AC95" s="19">
        <v>148.88898</v>
      </c>
      <c r="AD95" t="s">
        <v>115</v>
      </c>
      <c r="AE95" t="s">
        <v>115</v>
      </c>
      <c r="AF95" t="s">
        <v>115</v>
      </c>
      <c r="AG95">
        <v>0</v>
      </c>
      <c r="AH95">
        <v>0</v>
      </c>
      <c r="AI95">
        <v>0</v>
      </c>
      <c r="AJ95">
        <v>0</v>
      </c>
      <c r="AK95">
        <v>20</v>
      </c>
      <c r="AL95">
        <v>0</v>
      </c>
      <c r="AM95">
        <v>20</v>
      </c>
    </row>
    <row r="96" spans="1:41" x14ac:dyDescent="0.2">
      <c r="A96" s="5" t="s">
        <v>4091</v>
      </c>
      <c r="B96" s="5" t="s">
        <v>4092</v>
      </c>
      <c r="C96" s="5">
        <v>16</v>
      </c>
      <c r="D96" s="5">
        <v>1</v>
      </c>
      <c r="E96" s="5" t="s">
        <v>140</v>
      </c>
      <c r="F96" s="11">
        <v>43647</v>
      </c>
      <c r="G96" s="5" t="s">
        <v>4058</v>
      </c>
      <c r="I96" s="45">
        <v>2.1527777777777781E-2</v>
      </c>
      <c r="J96" s="5" t="s">
        <v>398</v>
      </c>
      <c r="K96" s="5" t="s">
        <v>149</v>
      </c>
      <c r="L96" s="5" t="s">
        <v>111</v>
      </c>
      <c r="M96" s="5" t="s">
        <v>23</v>
      </c>
      <c r="N96" s="5">
        <v>0</v>
      </c>
      <c r="O96" s="5">
        <v>0</v>
      </c>
      <c r="P96" s="5">
        <v>1</v>
      </c>
      <c r="Q96" s="5" t="s">
        <v>176</v>
      </c>
      <c r="R96" s="5" t="s">
        <v>176</v>
      </c>
      <c r="S96" s="5" t="s">
        <v>176</v>
      </c>
      <c r="T96" s="5" t="s">
        <v>263</v>
      </c>
      <c r="U96" s="5" t="s">
        <v>23</v>
      </c>
      <c r="V96" s="5" t="s">
        <v>4004</v>
      </c>
      <c r="W96" s="5" t="s">
        <v>4022</v>
      </c>
      <c r="X96" s="5"/>
      <c r="Y96" s="5">
        <v>201</v>
      </c>
      <c r="Z96" s="5"/>
      <c r="AA96" s="5" t="s">
        <v>176</v>
      </c>
      <c r="AB96" s="5">
        <v>63.725879999999997</v>
      </c>
      <c r="AC96" s="5">
        <v>148.94893999999999</v>
      </c>
      <c r="AD96" s="5" t="s">
        <v>115</v>
      </c>
      <c r="AE96" s="5" t="s">
        <v>115</v>
      </c>
      <c r="AF96" s="5" t="s">
        <v>115</v>
      </c>
      <c r="AG96" s="5">
        <v>0</v>
      </c>
      <c r="AH96" s="5">
        <v>0</v>
      </c>
      <c r="AI96" s="5">
        <v>0</v>
      </c>
      <c r="AJ96" s="5">
        <v>0</v>
      </c>
      <c r="AK96" s="5">
        <v>0</v>
      </c>
      <c r="AL96" s="5">
        <v>0</v>
      </c>
      <c r="AM96" s="5"/>
      <c r="AN96" s="5"/>
      <c r="AO96" s="5"/>
    </row>
    <row r="97" spans="1:41" x14ac:dyDescent="0.2">
      <c r="A97" t="s">
        <v>4512</v>
      </c>
      <c r="B97" t="s">
        <v>4513</v>
      </c>
      <c r="C97">
        <v>8</v>
      </c>
      <c r="D97">
        <v>1</v>
      </c>
      <c r="E97" t="s">
        <v>4191</v>
      </c>
      <c r="F97" s="1">
        <v>43698</v>
      </c>
      <c r="G97" t="s">
        <v>4031</v>
      </c>
      <c r="H97" t="s">
        <v>4724</v>
      </c>
      <c r="I97" s="2">
        <v>5.4166666666666669E-2</v>
      </c>
      <c r="J97" t="s">
        <v>398</v>
      </c>
      <c r="K97" t="s">
        <v>4509</v>
      </c>
      <c r="L97" t="s">
        <v>568</v>
      </c>
      <c r="M97" t="s">
        <v>23</v>
      </c>
      <c r="N97">
        <v>1</v>
      </c>
      <c r="O97">
        <v>0</v>
      </c>
      <c r="P97">
        <v>1</v>
      </c>
      <c r="Q97" t="s">
        <v>176</v>
      </c>
      <c r="R97" t="s">
        <v>176</v>
      </c>
      <c r="S97" t="s">
        <v>122</v>
      </c>
      <c r="T97" t="s">
        <v>4385</v>
      </c>
      <c r="U97" t="s">
        <v>23</v>
      </c>
      <c r="V97" t="s">
        <v>3997</v>
      </c>
      <c r="W97" t="s">
        <v>176</v>
      </c>
      <c r="Y97">
        <v>202</v>
      </c>
      <c r="AA97">
        <v>4</v>
      </c>
      <c r="AB97" s="19">
        <v>63.738610000000001</v>
      </c>
      <c r="AC97" s="19">
        <v>148.90358000000001</v>
      </c>
      <c r="AD97" t="s">
        <v>115</v>
      </c>
      <c r="AE97" t="s">
        <v>115</v>
      </c>
      <c r="AF97" t="s">
        <v>115</v>
      </c>
      <c r="AG97">
        <v>0</v>
      </c>
      <c r="AH97">
        <v>0</v>
      </c>
      <c r="AI97">
        <v>0</v>
      </c>
      <c r="AJ97">
        <v>0</v>
      </c>
      <c r="AK97">
        <v>70</v>
      </c>
      <c r="AL97">
        <v>0</v>
      </c>
      <c r="AM97">
        <v>70</v>
      </c>
    </row>
    <row r="98" spans="1:41" x14ac:dyDescent="0.2">
      <c r="A98" t="s">
        <v>4624</v>
      </c>
      <c r="B98" t="s">
        <v>4625</v>
      </c>
      <c r="C98">
        <v>6</v>
      </c>
      <c r="D98">
        <v>3</v>
      </c>
      <c r="E98" t="s">
        <v>2586</v>
      </c>
      <c r="F98" s="1">
        <v>43704</v>
      </c>
      <c r="G98" t="s">
        <v>4031</v>
      </c>
      <c r="H98" t="s">
        <v>4724</v>
      </c>
      <c r="I98" s="2">
        <v>4.9305555555555554E-2</v>
      </c>
      <c r="J98" t="s">
        <v>398</v>
      </c>
      <c r="K98" t="s">
        <v>176</v>
      </c>
      <c r="L98" t="s">
        <v>102</v>
      </c>
      <c r="M98" t="s">
        <v>23</v>
      </c>
      <c r="N98">
        <v>0</v>
      </c>
      <c r="O98">
        <v>0</v>
      </c>
      <c r="P98">
        <v>1</v>
      </c>
      <c r="Q98" t="s">
        <v>1342</v>
      </c>
      <c r="R98" t="s">
        <v>4626</v>
      </c>
      <c r="S98" t="s">
        <v>122</v>
      </c>
      <c r="T98" t="s">
        <v>939</v>
      </c>
      <c r="U98" t="s">
        <v>23</v>
      </c>
      <c r="V98" t="s">
        <v>3999</v>
      </c>
      <c r="W98" t="s">
        <v>4022</v>
      </c>
      <c r="Y98">
        <v>202</v>
      </c>
      <c r="AA98">
        <v>2</v>
      </c>
      <c r="AB98" s="19">
        <v>63.72401</v>
      </c>
      <c r="AC98" s="19">
        <v>148.88971000000001</v>
      </c>
      <c r="AD98" t="s">
        <v>115</v>
      </c>
      <c r="AE98" t="s">
        <v>115</v>
      </c>
      <c r="AF98" t="s">
        <v>115</v>
      </c>
      <c r="AG98">
        <v>0</v>
      </c>
      <c r="AH98">
        <v>0</v>
      </c>
      <c r="AI98">
        <v>0</v>
      </c>
      <c r="AJ98">
        <v>0</v>
      </c>
      <c r="AK98">
        <v>0</v>
      </c>
      <c r="AL98">
        <v>0</v>
      </c>
      <c r="AM98">
        <v>0</v>
      </c>
    </row>
    <row r="99" spans="1:41" x14ac:dyDescent="0.2">
      <c r="A99" t="s">
        <v>4369</v>
      </c>
      <c r="B99" t="s">
        <v>4370</v>
      </c>
      <c r="C99">
        <v>7</v>
      </c>
      <c r="D99">
        <v>1</v>
      </c>
      <c r="E99" t="s">
        <v>213</v>
      </c>
      <c r="F99" s="1">
        <v>43692</v>
      </c>
      <c r="G99" t="s">
        <v>4031</v>
      </c>
      <c r="H99" t="s">
        <v>4724</v>
      </c>
      <c r="I99" s="2">
        <v>1.6666666666666666E-2</v>
      </c>
      <c r="J99" t="s">
        <v>4358</v>
      </c>
      <c r="K99" t="s">
        <v>176</v>
      </c>
      <c r="L99" t="s">
        <v>111</v>
      </c>
      <c r="M99" t="s">
        <v>23</v>
      </c>
      <c r="N99">
        <v>1</v>
      </c>
      <c r="O99">
        <v>0</v>
      </c>
      <c r="P99">
        <v>1</v>
      </c>
      <c r="Q99" t="s">
        <v>176</v>
      </c>
      <c r="R99" t="s">
        <v>176</v>
      </c>
      <c r="S99" t="s">
        <v>176</v>
      </c>
      <c r="T99" t="s">
        <v>4168</v>
      </c>
      <c r="U99" t="s">
        <v>23</v>
      </c>
      <c r="V99" t="s">
        <v>3997</v>
      </c>
      <c r="W99" t="s">
        <v>4022</v>
      </c>
      <c r="Y99">
        <v>208</v>
      </c>
      <c r="AA99" t="s">
        <v>176</v>
      </c>
      <c r="AB99" s="19">
        <v>63.717779999999998</v>
      </c>
      <c r="AC99" s="19">
        <v>148.97417999999999</v>
      </c>
      <c r="AD99" t="s">
        <v>115</v>
      </c>
      <c r="AE99" t="s">
        <v>115</v>
      </c>
      <c r="AF99" t="s">
        <v>115</v>
      </c>
      <c r="AG99">
        <v>0</v>
      </c>
      <c r="AH99">
        <v>0</v>
      </c>
      <c r="AI99">
        <v>0</v>
      </c>
      <c r="AJ99">
        <v>0</v>
      </c>
      <c r="AK99">
        <v>0</v>
      </c>
      <c r="AL99">
        <v>0</v>
      </c>
      <c r="AM99">
        <v>0</v>
      </c>
    </row>
    <row r="100" spans="1:41" x14ac:dyDescent="0.2">
      <c r="A100" t="s">
        <v>4514</v>
      </c>
      <c r="B100" t="s">
        <v>4515</v>
      </c>
      <c r="C100">
        <v>9</v>
      </c>
      <c r="D100">
        <v>1</v>
      </c>
      <c r="E100" t="s">
        <v>4191</v>
      </c>
      <c r="F100" s="1">
        <v>43698</v>
      </c>
      <c r="G100" t="s">
        <v>4031</v>
      </c>
      <c r="H100" t="s">
        <v>4724</v>
      </c>
      <c r="I100" s="2">
        <v>2.2916666666666669E-2</v>
      </c>
      <c r="J100" t="s">
        <v>398</v>
      </c>
      <c r="K100" t="s">
        <v>4509</v>
      </c>
      <c r="L100" t="s">
        <v>4235</v>
      </c>
      <c r="M100" t="s">
        <v>23</v>
      </c>
      <c r="N100">
        <v>0</v>
      </c>
      <c r="O100">
        <v>0</v>
      </c>
      <c r="P100">
        <v>1</v>
      </c>
      <c r="Q100" t="s">
        <v>176</v>
      </c>
      <c r="R100" t="s">
        <v>176</v>
      </c>
      <c r="S100" t="s">
        <v>176</v>
      </c>
      <c r="T100" t="s">
        <v>4386</v>
      </c>
      <c r="U100" t="s">
        <v>23</v>
      </c>
      <c r="V100" t="s">
        <v>3999</v>
      </c>
      <c r="W100" t="s">
        <v>176</v>
      </c>
      <c r="Y100">
        <v>212</v>
      </c>
      <c r="AA100" t="s">
        <v>176</v>
      </c>
      <c r="AB100" s="19">
        <v>63.73854</v>
      </c>
      <c r="AC100" s="19">
        <v>148.90338</v>
      </c>
      <c r="AD100" t="s">
        <v>115</v>
      </c>
      <c r="AE100" t="s">
        <v>115</v>
      </c>
      <c r="AF100" t="s">
        <v>115</v>
      </c>
      <c r="AG100">
        <v>0</v>
      </c>
      <c r="AH100">
        <v>0</v>
      </c>
      <c r="AI100">
        <v>0</v>
      </c>
      <c r="AJ100">
        <v>0</v>
      </c>
      <c r="AK100">
        <v>13</v>
      </c>
      <c r="AL100">
        <v>0</v>
      </c>
      <c r="AM100">
        <v>13</v>
      </c>
    </row>
    <row r="101" spans="1:41" x14ac:dyDescent="0.2">
      <c r="A101" t="s">
        <v>4179</v>
      </c>
      <c r="B101" t="s">
        <v>4180</v>
      </c>
      <c r="C101">
        <v>7</v>
      </c>
      <c r="D101">
        <v>1</v>
      </c>
      <c r="E101" t="s">
        <v>2537</v>
      </c>
      <c r="F101" s="1">
        <v>43686</v>
      </c>
      <c r="G101" t="s">
        <v>4031</v>
      </c>
      <c r="H101" t="s">
        <v>4724</v>
      </c>
      <c r="I101" s="2">
        <v>1.5277777777777777E-2</v>
      </c>
      <c r="J101" t="s">
        <v>1278</v>
      </c>
      <c r="K101" t="s">
        <v>363</v>
      </c>
      <c r="L101" t="s">
        <v>111</v>
      </c>
      <c r="M101" t="s">
        <v>23</v>
      </c>
      <c r="N101">
        <v>0</v>
      </c>
      <c r="O101">
        <v>0</v>
      </c>
      <c r="P101">
        <v>1</v>
      </c>
      <c r="Q101" t="s">
        <v>176</v>
      </c>
      <c r="R101" t="s">
        <v>176</v>
      </c>
      <c r="S101" t="s">
        <v>176</v>
      </c>
      <c r="T101" t="s">
        <v>4168</v>
      </c>
      <c r="U101" t="s">
        <v>23</v>
      </c>
      <c r="V101" t="s">
        <v>3997</v>
      </c>
      <c r="W101" t="s">
        <v>4022</v>
      </c>
      <c r="Y101">
        <v>215</v>
      </c>
      <c r="AA101" t="s">
        <v>176</v>
      </c>
      <c r="AB101" s="19">
        <v>63.733350000000002</v>
      </c>
      <c r="AC101" s="19">
        <v>148.89823999999999</v>
      </c>
      <c r="AD101" t="s">
        <v>115</v>
      </c>
      <c r="AE101" t="s">
        <v>115</v>
      </c>
      <c r="AF101" t="s">
        <v>115</v>
      </c>
      <c r="AG101">
        <v>0</v>
      </c>
      <c r="AH101">
        <v>0</v>
      </c>
      <c r="AI101">
        <v>0</v>
      </c>
      <c r="AJ101">
        <v>0</v>
      </c>
      <c r="AK101">
        <v>0</v>
      </c>
      <c r="AL101">
        <v>0</v>
      </c>
      <c r="AM101">
        <v>0</v>
      </c>
    </row>
    <row r="102" spans="1:41" x14ac:dyDescent="0.2">
      <c r="A102" t="s">
        <v>4179</v>
      </c>
      <c r="B102" t="s">
        <v>4180</v>
      </c>
      <c r="C102">
        <v>7</v>
      </c>
      <c r="D102">
        <v>1</v>
      </c>
      <c r="E102" t="s">
        <v>2537</v>
      </c>
      <c r="F102" s="1">
        <v>43686</v>
      </c>
      <c r="G102" t="s">
        <v>4031</v>
      </c>
      <c r="H102" t="s">
        <v>4724</v>
      </c>
      <c r="I102" s="2">
        <v>1.5277777777777777E-2</v>
      </c>
      <c r="J102" t="s">
        <v>1278</v>
      </c>
      <c r="K102" t="s">
        <v>363</v>
      </c>
      <c r="L102" t="s">
        <v>111</v>
      </c>
      <c r="M102" t="s">
        <v>23</v>
      </c>
      <c r="N102">
        <v>0</v>
      </c>
      <c r="O102">
        <v>0</v>
      </c>
      <c r="P102">
        <v>1</v>
      </c>
      <c r="Q102" t="s">
        <v>176</v>
      </c>
      <c r="R102" t="s">
        <v>176</v>
      </c>
      <c r="S102" t="s">
        <v>176</v>
      </c>
      <c r="T102" t="s">
        <v>939</v>
      </c>
      <c r="U102" t="s">
        <v>23</v>
      </c>
      <c r="V102" t="s">
        <v>3999</v>
      </c>
      <c r="W102" t="s">
        <v>4022</v>
      </c>
      <c r="Y102">
        <v>215</v>
      </c>
      <c r="AA102" t="s">
        <v>176</v>
      </c>
      <c r="AB102" s="19">
        <v>63.733350000000002</v>
      </c>
      <c r="AC102" s="19">
        <v>148.89823999999999</v>
      </c>
      <c r="AD102" t="s">
        <v>115</v>
      </c>
      <c r="AE102" t="s">
        <v>115</v>
      </c>
      <c r="AF102" t="s">
        <v>115</v>
      </c>
      <c r="AG102">
        <v>0</v>
      </c>
      <c r="AH102">
        <v>0</v>
      </c>
      <c r="AI102">
        <v>0</v>
      </c>
      <c r="AJ102">
        <v>0</v>
      </c>
      <c r="AK102">
        <v>0</v>
      </c>
      <c r="AL102">
        <v>0</v>
      </c>
      <c r="AM102">
        <v>0</v>
      </c>
      <c r="AO102" t="s">
        <v>4181</v>
      </c>
    </row>
    <row r="103" spans="1:41" x14ac:dyDescent="0.2">
      <c r="A103" t="s">
        <v>3661</v>
      </c>
      <c r="B103" t="s">
        <v>3660</v>
      </c>
      <c r="C103">
        <v>15</v>
      </c>
      <c r="D103">
        <v>2</v>
      </c>
      <c r="E103" t="s">
        <v>2487</v>
      </c>
      <c r="F103" s="1">
        <v>43585</v>
      </c>
      <c r="G103" s="1" t="s">
        <v>4027</v>
      </c>
      <c r="H103" s="1"/>
      <c r="I103" s="2">
        <v>0.15416666666666667</v>
      </c>
      <c r="J103" t="s">
        <v>3626</v>
      </c>
      <c r="K103" t="s">
        <v>2488</v>
      </c>
      <c r="L103" t="s">
        <v>102</v>
      </c>
      <c r="M103" t="s">
        <v>115</v>
      </c>
      <c r="N103">
        <v>1</v>
      </c>
      <c r="O103">
        <v>0</v>
      </c>
      <c r="P103">
        <v>1</v>
      </c>
      <c r="Q103" t="s">
        <v>598</v>
      </c>
      <c r="R103" s="5" t="s">
        <v>2437</v>
      </c>
      <c r="S103" s="5" t="s">
        <v>122</v>
      </c>
      <c r="T103" s="5" t="s">
        <v>2141</v>
      </c>
      <c r="U103" s="5" t="s">
        <v>23</v>
      </c>
      <c r="V103" s="5" t="s">
        <v>3997</v>
      </c>
      <c r="W103" s="5" t="s">
        <v>4020</v>
      </c>
      <c r="X103" s="5" t="s">
        <v>3653</v>
      </c>
      <c r="Y103">
        <v>220</v>
      </c>
      <c r="AA103">
        <v>4</v>
      </c>
      <c r="AB103">
        <v>63.720669999999998</v>
      </c>
      <c r="AC103">
        <v>148.98961</v>
      </c>
      <c r="AD103" s="5" t="s">
        <v>115</v>
      </c>
      <c r="AE103" s="5" t="s">
        <v>115</v>
      </c>
      <c r="AF103" s="5" t="s">
        <v>115</v>
      </c>
      <c r="AG103">
        <v>0</v>
      </c>
      <c r="AH103">
        <v>0</v>
      </c>
      <c r="AI103">
        <v>0</v>
      </c>
      <c r="AJ103">
        <v>0</v>
      </c>
      <c r="AK103">
        <v>168</v>
      </c>
      <c r="AL103">
        <v>168</v>
      </c>
      <c r="AM103" t="s">
        <v>188</v>
      </c>
      <c r="AN103" t="s">
        <v>3663</v>
      </c>
    </row>
    <row r="104" spans="1:41" x14ac:dyDescent="0.2">
      <c r="A104" t="s">
        <v>3652</v>
      </c>
      <c r="B104" t="s">
        <v>3651</v>
      </c>
      <c r="C104">
        <v>11</v>
      </c>
      <c r="D104">
        <v>1</v>
      </c>
      <c r="E104" t="s">
        <v>2487</v>
      </c>
      <c r="F104" s="1">
        <v>43585</v>
      </c>
      <c r="G104" s="1" t="s">
        <v>4027</v>
      </c>
      <c r="H104" s="1"/>
      <c r="I104" s="2">
        <v>6.7361111111111108E-2</v>
      </c>
      <c r="J104" t="s">
        <v>3626</v>
      </c>
      <c r="K104" t="s">
        <v>2498</v>
      </c>
      <c r="L104" t="s">
        <v>102</v>
      </c>
      <c r="M104" t="s">
        <v>115</v>
      </c>
      <c r="N104">
        <v>1</v>
      </c>
      <c r="O104">
        <v>0</v>
      </c>
      <c r="P104">
        <v>1</v>
      </c>
      <c r="Q104" t="s">
        <v>14</v>
      </c>
      <c r="R104" s="5" t="s">
        <v>3279</v>
      </c>
      <c r="S104" s="5" t="s">
        <v>122</v>
      </c>
      <c r="T104" s="5" t="s">
        <v>2088</v>
      </c>
      <c r="U104" s="5" t="s">
        <v>23</v>
      </c>
      <c r="V104" s="5" t="s">
        <v>3997</v>
      </c>
      <c r="W104" s="5" t="s">
        <v>4021</v>
      </c>
      <c r="X104" s="5" t="s">
        <v>3653</v>
      </c>
      <c r="Y104">
        <v>220</v>
      </c>
      <c r="AA104" s="32">
        <v>10.9</v>
      </c>
      <c r="AB104">
        <v>63.719990000000003</v>
      </c>
      <c r="AC104">
        <v>148.98865000000001</v>
      </c>
      <c r="AD104" t="s">
        <v>115</v>
      </c>
      <c r="AE104" t="s">
        <v>115</v>
      </c>
      <c r="AF104" s="5" t="s">
        <v>115</v>
      </c>
      <c r="AG104">
        <v>0</v>
      </c>
      <c r="AH104">
        <v>0</v>
      </c>
      <c r="AI104">
        <v>0</v>
      </c>
      <c r="AJ104">
        <v>0</v>
      </c>
      <c r="AK104">
        <v>85</v>
      </c>
      <c r="AL104">
        <v>85</v>
      </c>
      <c r="AM104" t="s">
        <v>188</v>
      </c>
    </row>
    <row r="105" spans="1:41" x14ac:dyDescent="0.2">
      <c r="A105" t="s">
        <v>2909</v>
      </c>
      <c r="B105" t="s">
        <v>2910</v>
      </c>
      <c r="C105">
        <v>3</v>
      </c>
      <c r="D105">
        <v>1</v>
      </c>
      <c r="E105" t="s">
        <v>2601</v>
      </c>
      <c r="F105" s="1">
        <v>43558</v>
      </c>
      <c r="G105" s="1" t="s">
        <v>4027</v>
      </c>
      <c r="H105" s="1"/>
      <c r="I105" s="2">
        <v>3.472222222222222E-3</v>
      </c>
      <c r="K105" t="s">
        <v>173</v>
      </c>
      <c r="L105" t="s">
        <v>111</v>
      </c>
      <c r="M105" t="s">
        <v>23</v>
      </c>
      <c r="N105">
        <v>0</v>
      </c>
      <c r="O105">
        <v>0</v>
      </c>
      <c r="P105">
        <v>1</v>
      </c>
      <c r="Q105" t="s">
        <v>598</v>
      </c>
      <c r="R105" s="5" t="s">
        <v>2911</v>
      </c>
      <c r="S105" s="5" t="s">
        <v>122</v>
      </c>
      <c r="T105" s="5" t="s">
        <v>2088</v>
      </c>
      <c r="U105" s="5" t="s">
        <v>23</v>
      </c>
      <c r="V105" s="5" t="s">
        <v>3997</v>
      </c>
      <c r="W105" s="5" t="s">
        <v>4021</v>
      </c>
      <c r="X105" s="5" t="s">
        <v>2912</v>
      </c>
      <c r="Y105">
        <v>220</v>
      </c>
      <c r="AA105" t="s">
        <v>24</v>
      </c>
      <c r="AB105">
        <v>63.725769999999997</v>
      </c>
      <c r="AC105">
        <v>148.95903000000001</v>
      </c>
      <c r="AD105" s="5" t="s">
        <v>115</v>
      </c>
      <c r="AE105" s="5" t="s">
        <v>115</v>
      </c>
      <c r="AF105" s="5"/>
      <c r="AG105">
        <v>0</v>
      </c>
      <c r="AH105">
        <v>0</v>
      </c>
      <c r="AI105">
        <v>0</v>
      </c>
      <c r="AJ105">
        <v>0</v>
      </c>
      <c r="AK105">
        <v>0</v>
      </c>
      <c r="AL105">
        <v>0</v>
      </c>
      <c r="AN105" t="s">
        <v>2913</v>
      </c>
    </row>
    <row r="106" spans="1:41" x14ac:dyDescent="0.2">
      <c r="A106" t="s">
        <v>3735</v>
      </c>
      <c r="B106" t="s">
        <v>3736</v>
      </c>
      <c r="C106">
        <v>4</v>
      </c>
      <c r="D106">
        <v>1</v>
      </c>
      <c r="E106" t="s">
        <v>3731</v>
      </c>
      <c r="F106" s="1">
        <v>43587</v>
      </c>
      <c r="G106" s="1" t="s">
        <v>4028</v>
      </c>
      <c r="H106" s="1"/>
      <c r="I106" s="2">
        <v>2.7083333333333334E-2</v>
      </c>
      <c r="J106" t="s">
        <v>1278</v>
      </c>
      <c r="K106" t="s">
        <v>255</v>
      </c>
      <c r="L106" t="s">
        <v>111</v>
      </c>
      <c r="M106" t="s">
        <v>23</v>
      </c>
      <c r="N106">
        <v>0</v>
      </c>
      <c r="O106">
        <v>0</v>
      </c>
      <c r="P106">
        <v>1</v>
      </c>
      <c r="Q106" t="s">
        <v>598</v>
      </c>
      <c r="R106" s="5" t="s">
        <v>2801</v>
      </c>
      <c r="S106" s="5" t="s">
        <v>115</v>
      </c>
      <c r="T106" s="5" t="s">
        <v>2088</v>
      </c>
      <c r="U106" s="5" t="s">
        <v>23</v>
      </c>
      <c r="V106" s="5" t="s">
        <v>3997</v>
      </c>
      <c r="W106" s="5" t="s">
        <v>4021</v>
      </c>
      <c r="X106" s="5" t="s">
        <v>2765</v>
      </c>
      <c r="Y106">
        <v>220</v>
      </c>
      <c r="AA106">
        <v>20</v>
      </c>
      <c r="AB106">
        <v>63.733550000000001</v>
      </c>
      <c r="AC106">
        <v>148.90380999999999</v>
      </c>
      <c r="AD106" s="5" t="s">
        <v>115</v>
      </c>
      <c r="AE106" s="5" t="s">
        <v>115</v>
      </c>
      <c r="AF106" s="5" t="s">
        <v>115</v>
      </c>
      <c r="AG106">
        <v>0</v>
      </c>
      <c r="AH106">
        <v>0</v>
      </c>
      <c r="AI106">
        <v>0</v>
      </c>
      <c r="AJ106">
        <v>0</v>
      </c>
      <c r="AK106">
        <v>0</v>
      </c>
      <c r="AL106">
        <v>0</v>
      </c>
    </row>
    <row r="107" spans="1:41" x14ac:dyDescent="0.2">
      <c r="A107" t="s">
        <v>4523</v>
      </c>
      <c r="B107" t="s">
        <v>4524</v>
      </c>
      <c r="C107">
        <v>13</v>
      </c>
      <c r="D107">
        <v>2</v>
      </c>
      <c r="E107" t="s">
        <v>4191</v>
      </c>
      <c r="F107" s="1">
        <v>43698</v>
      </c>
      <c r="G107" t="s">
        <v>4031</v>
      </c>
      <c r="H107" t="s">
        <v>4724</v>
      </c>
      <c r="I107" s="2">
        <v>2.7083333333333334E-2</v>
      </c>
      <c r="J107" t="s">
        <v>398</v>
      </c>
      <c r="K107" t="s">
        <v>241</v>
      </c>
      <c r="L107" t="s">
        <v>568</v>
      </c>
      <c r="M107" t="s">
        <v>23</v>
      </c>
      <c r="N107">
        <v>1</v>
      </c>
      <c r="O107">
        <v>0</v>
      </c>
      <c r="P107">
        <v>1</v>
      </c>
      <c r="Q107" t="s">
        <v>112</v>
      </c>
      <c r="R107" t="s">
        <v>4319</v>
      </c>
      <c r="S107" t="s">
        <v>122</v>
      </c>
      <c r="T107" t="s">
        <v>333</v>
      </c>
      <c r="U107" t="s">
        <v>23</v>
      </c>
      <c r="V107" t="s">
        <v>3999</v>
      </c>
      <c r="W107" t="s">
        <v>4006</v>
      </c>
      <c r="Y107">
        <v>221</v>
      </c>
      <c r="AA107">
        <v>8</v>
      </c>
      <c r="AB107" s="19">
        <v>63.740409999999997</v>
      </c>
      <c r="AC107" s="19">
        <v>148.89762999999999</v>
      </c>
      <c r="AD107" t="s">
        <v>115</v>
      </c>
      <c r="AE107" t="s">
        <v>115</v>
      </c>
      <c r="AF107" t="s">
        <v>115</v>
      </c>
      <c r="AG107">
        <v>0</v>
      </c>
      <c r="AH107">
        <v>0</v>
      </c>
      <c r="AI107">
        <v>0</v>
      </c>
      <c r="AJ107">
        <v>0</v>
      </c>
      <c r="AK107">
        <v>5</v>
      </c>
      <c r="AL107">
        <v>0</v>
      </c>
      <c r="AM107">
        <v>5</v>
      </c>
    </row>
    <row r="108" spans="1:41" x14ac:dyDescent="0.2">
      <c r="A108" t="s">
        <v>4383</v>
      </c>
      <c r="B108" t="s">
        <v>4384</v>
      </c>
      <c r="C108">
        <v>13</v>
      </c>
      <c r="D108">
        <v>1</v>
      </c>
      <c r="E108" t="s">
        <v>213</v>
      </c>
      <c r="F108" s="1">
        <v>43692</v>
      </c>
      <c r="G108" t="s">
        <v>4031</v>
      </c>
      <c r="H108" t="s">
        <v>4724</v>
      </c>
      <c r="I108" s="2">
        <v>6.3194444444444442E-2</v>
      </c>
      <c r="J108" t="s">
        <v>4358</v>
      </c>
      <c r="K108" t="s">
        <v>4258</v>
      </c>
      <c r="L108" t="s">
        <v>111</v>
      </c>
      <c r="M108" t="s">
        <v>23</v>
      </c>
      <c r="N108">
        <v>0</v>
      </c>
      <c r="O108">
        <v>0</v>
      </c>
      <c r="P108">
        <v>1</v>
      </c>
      <c r="Q108" t="s">
        <v>176</v>
      </c>
      <c r="R108" t="s">
        <v>176</v>
      </c>
      <c r="S108" t="s">
        <v>122</v>
      </c>
      <c r="T108" t="s">
        <v>4386</v>
      </c>
      <c r="U108" t="s">
        <v>23</v>
      </c>
      <c r="V108" t="s">
        <v>3997</v>
      </c>
      <c r="W108" t="s">
        <v>3810</v>
      </c>
      <c r="Y108">
        <v>222</v>
      </c>
      <c r="AA108">
        <v>20</v>
      </c>
      <c r="AB108" s="19">
        <v>63.718119999999999</v>
      </c>
      <c r="AC108" s="19">
        <v>148.97382999999999</v>
      </c>
      <c r="AD108" t="s">
        <v>115</v>
      </c>
      <c r="AE108" t="s">
        <v>115</v>
      </c>
      <c r="AF108" t="s">
        <v>115</v>
      </c>
      <c r="AG108">
        <v>0</v>
      </c>
      <c r="AH108">
        <v>0</v>
      </c>
      <c r="AI108">
        <v>0</v>
      </c>
      <c r="AJ108">
        <v>0</v>
      </c>
      <c r="AK108">
        <v>0</v>
      </c>
      <c r="AL108">
        <v>0</v>
      </c>
      <c r="AM108">
        <v>0</v>
      </c>
    </row>
    <row r="109" spans="1:41" x14ac:dyDescent="0.2">
      <c r="A109" t="s">
        <v>4209</v>
      </c>
      <c r="B109" t="s">
        <v>4210</v>
      </c>
      <c r="C109">
        <v>9</v>
      </c>
      <c r="D109">
        <v>3</v>
      </c>
      <c r="E109" t="s">
        <v>4191</v>
      </c>
      <c r="F109" s="1">
        <v>43687</v>
      </c>
      <c r="G109" t="s">
        <v>4031</v>
      </c>
      <c r="H109" t="s">
        <v>4724</v>
      </c>
      <c r="I109" s="2">
        <v>3.5416666666666666E-2</v>
      </c>
      <c r="J109" t="s">
        <v>398</v>
      </c>
      <c r="K109" t="s">
        <v>241</v>
      </c>
      <c r="L109" t="s">
        <v>111</v>
      </c>
      <c r="M109" t="s">
        <v>23</v>
      </c>
      <c r="N109">
        <v>0</v>
      </c>
      <c r="O109">
        <v>0</v>
      </c>
      <c r="P109">
        <v>1</v>
      </c>
      <c r="Q109" t="s">
        <v>176</v>
      </c>
      <c r="R109" t="s">
        <v>176</v>
      </c>
      <c r="S109" t="s">
        <v>115</v>
      </c>
      <c r="T109" t="s">
        <v>4211</v>
      </c>
      <c r="U109" t="s">
        <v>23</v>
      </c>
      <c r="V109" t="s">
        <v>3999</v>
      </c>
      <c r="W109" t="s">
        <v>4022</v>
      </c>
      <c r="Y109">
        <v>223</v>
      </c>
      <c r="AA109">
        <v>12</v>
      </c>
      <c r="AB109" s="19">
        <v>63.739730000000002</v>
      </c>
      <c r="AC109" s="19">
        <v>148.89786000000001</v>
      </c>
      <c r="AD109" t="s">
        <v>115</v>
      </c>
      <c r="AE109" t="s">
        <v>115</v>
      </c>
      <c r="AF109" t="s">
        <v>115</v>
      </c>
      <c r="AG109">
        <v>0</v>
      </c>
      <c r="AH109">
        <v>0</v>
      </c>
      <c r="AI109">
        <v>0</v>
      </c>
      <c r="AJ109">
        <v>0</v>
      </c>
      <c r="AK109">
        <v>0</v>
      </c>
      <c r="AL109">
        <v>0</v>
      </c>
      <c r="AM109">
        <v>0</v>
      </c>
    </row>
    <row r="110" spans="1:41" x14ac:dyDescent="0.2">
      <c r="A110" t="s">
        <v>4520</v>
      </c>
      <c r="B110" t="s">
        <v>4521</v>
      </c>
      <c r="C110">
        <v>12</v>
      </c>
      <c r="D110">
        <v>1</v>
      </c>
      <c r="E110" t="s">
        <v>4191</v>
      </c>
      <c r="F110" s="1">
        <v>43698</v>
      </c>
      <c r="G110" t="s">
        <v>4031</v>
      </c>
      <c r="H110" t="s">
        <v>4724</v>
      </c>
      <c r="I110" s="2">
        <v>2.2222222222222223E-2</v>
      </c>
      <c r="J110" t="s">
        <v>398</v>
      </c>
      <c r="K110" t="s">
        <v>241</v>
      </c>
      <c r="L110" t="s">
        <v>111</v>
      </c>
      <c r="M110" t="s">
        <v>23</v>
      </c>
      <c r="N110">
        <v>1</v>
      </c>
      <c r="O110">
        <v>0</v>
      </c>
      <c r="P110">
        <v>1</v>
      </c>
      <c r="Q110" t="s">
        <v>112</v>
      </c>
      <c r="R110" t="s">
        <v>4319</v>
      </c>
      <c r="S110" t="s">
        <v>122</v>
      </c>
      <c r="T110" t="s">
        <v>1035</v>
      </c>
      <c r="U110" t="s">
        <v>23</v>
      </c>
      <c r="V110" t="s">
        <v>3997</v>
      </c>
      <c r="W110" t="s">
        <v>4006</v>
      </c>
      <c r="Y110">
        <v>226</v>
      </c>
      <c r="AA110">
        <v>3</v>
      </c>
      <c r="AB110" s="19">
        <v>63.740259999999999</v>
      </c>
      <c r="AC110" s="19">
        <v>148.89783</v>
      </c>
      <c r="AD110" t="s">
        <v>115</v>
      </c>
      <c r="AE110" t="s">
        <v>115</v>
      </c>
      <c r="AF110" t="s">
        <v>115</v>
      </c>
      <c r="AG110">
        <v>0</v>
      </c>
      <c r="AH110">
        <v>0</v>
      </c>
      <c r="AI110">
        <v>0</v>
      </c>
      <c r="AJ110">
        <v>0</v>
      </c>
      <c r="AK110">
        <v>0</v>
      </c>
      <c r="AL110">
        <v>0</v>
      </c>
      <c r="AM110">
        <v>0</v>
      </c>
      <c r="AO110" t="s">
        <v>4522</v>
      </c>
    </row>
    <row r="111" spans="1:41" x14ac:dyDescent="0.2">
      <c r="A111" t="s">
        <v>4624</v>
      </c>
      <c r="B111" t="s">
        <v>4625</v>
      </c>
      <c r="C111">
        <v>6</v>
      </c>
      <c r="D111">
        <v>4</v>
      </c>
      <c r="E111" t="s">
        <v>2586</v>
      </c>
      <c r="F111" s="1">
        <v>43704</v>
      </c>
      <c r="G111" t="s">
        <v>4031</v>
      </c>
      <c r="H111" t="s">
        <v>4724</v>
      </c>
      <c r="I111" s="2">
        <v>4.9305555555555554E-2</v>
      </c>
      <c r="J111" t="s">
        <v>398</v>
      </c>
      <c r="K111" t="s">
        <v>176</v>
      </c>
      <c r="L111" t="s">
        <v>102</v>
      </c>
      <c r="M111" t="s">
        <v>23</v>
      </c>
      <c r="N111">
        <v>0</v>
      </c>
      <c r="O111">
        <v>0</v>
      </c>
      <c r="P111">
        <v>1</v>
      </c>
      <c r="Q111" t="s">
        <v>1342</v>
      </c>
      <c r="R111" t="s">
        <v>4626</v>
      </c>
      <c r="S111" t="s">
        <v>122</v>
      </c>
      <c r="T111" t="s">
        <v>939</v>
      </c>
      <c r="U111" t="s">
        <v>23</v>
      </c>
      <c r="V111" t="s">
        <v>3999</v>
      </c>
      <c r="W111" t="s">
        <v>4022</v>
      </c>
      <c r="Y111">
        <v>226</v>
      </c>
      <c r="AA111">
        <v>2</v>
      </c>
      <c r="AB111" s="19">
        <v>63.72401</v>
      </c>
      <c r="AC111" s="19">
        <v>148.88971000000001</v>
      </c>
      <c r="AD111" t="s">
        <v>115</v>
      </c>
      <c r="AE111" t="s">
        <v>115</v>
      </c>
      <c r="AF111" t="s">
        <v>115</v>
      </c>
      <c r="AG111">
        <v>0</v>
      </c>
      <c r="AH111">
        <v>0</v>
      </c>
      <c r="AI111">
        <v>0</v>
      </c>
      <c r="AJ111">
        <v>0</v>
      </c>
      <c r="AK111">
        <v>0</v>
      </c>
      <c r="AL111">
        <v>0</v>
      </c>
      <c r="AM111">
        <v>0</v>
      </c>
    </row>
    <row r="112" spans="1:41" x14ac:dyDescent="0.2">
      <c r="A112" t="s">
        <v>3882</v>
      </c>
      <c r="B112" t="s">
        <v>3883</v>
      </c>
      <c r="C112">
        <v>4</v>
      </c>
      <c r="D112">
        <v>1</v>
      </c>
      <c r="E112" t="s">
        <v>3171</v>
      </c>
      <c r="F112" s="1">
        <v>43591</v>
      </c>
      <c r="G112" s="1" t="s">
        <v>4028</v>
      </c>
      <c r="H112" s="1"/>
      <c r="I112" s="2">
        <v>7.5694444444444439E-2</v>
      </c>
      <c r="J112" t="s">
        <v>1278</v>
      </c>
      <c r="K112" t="s">
        <v>149</v>
      </c>
      <c r="L112" t="s">
        <v>102</v>
      </c>
      <c r="M112" t="s">
        <v>115</v>
      </c>
      <c r="N112">
        <v>0</v>
      </c>
      <c r="O112">
        <v>0</v>
      </c>
      <c r="P112">
        <v>3</v>
      </c>
      <c r="Q112" t="s">
        <v>176</v>
      </c>
      <c r="R112" s="5" t="s">
        <v>24</v>
      </c>
      <c r="S112" s="5" t="s">
        <v>24</v>
      </c>
      <c r="T112" s="5" t="s">
        <v>2088</v>
      </c>
      <c r="U112" s="5" t="s">
        <v>23</v>
      </c>
      <c r="V112" s="5" t="s">
        <v>3997</v>
      </c>
      <c r="W112" s="5" t="s">
        <v>4021</v>
      </c>
      <c r="X112" s="5" t="s">
        <v>3653</v>
      </c>
      <c r="Y112">
        <v>230</v>
      </c>
      <c r="AA112" s="5" t="s">
        <v>176</v>
      </c>
      <c r="AB112">
        <v>63.72392</v>
      </c>
      <c r="AC112">
        <v>148.95093</v>
      </c>
      <c r="AD112" s="5" t="s">
        <v>115</v>
      </c>
      <c r="AE112" s="5" t="s">
        <v>115</v>
      </c>
      <c r="AF112" s="5" t="s">
        <v>115</v>
      </c>
      <c r="AG112">
        <v>0</v>
      </c>
      <c r="AH112">
        <v>0</v>
      </c>
      <c r="AI112">
        <v>0</v>
      </c>
      <c r="AJ112">
        <v>0</v>
      </c>
      <c r="AK112">
        <v>0</v>
      </c>
      <c r="AL112">
        <v>0</v>
      </c>
      <c r="AN112" t="s">
        <v>3884</v>
      </c>
    </row>
    <row r="113" spans="1:41" x14ac:dyDescent="0.2">
      <c r="A113" t="s">
        <v>4436</v>
      </c>
      <c r="B113" t="s">
        <v>4437</v>
      </c>
      <c r="C113">
        <v>2</v>
      </c>
      <c r="D113">
        <v>2</v>
      </c>
      <c r="E113" t="s">
        <v>2537</v>
      </c>
      <c r="F113" s="1">
        <v>43694</v>
      </c>
      <c r="G113" t="s">
        <v>4031</v>
      </c>
      <c r="H113" t="s">
        <v>4724</v>
      </c>
      <c r="I113" s="2">
        <v>2.8472222222222222E-2</v>
      </c>
      <c r="J113" t="s">
        <v>398</v>
      </c>
      <c r="K113" t="s">
        <v>241</v>
      </c>
      <c r="L113" t="s">
        <v>111</v>
      </c>
      <c r="M113" t="s">
        <v>23</v>
      </c>
      <c r="N113">
        <v>0</v>
      </c>
      <c r="O113">
        <v>0</v>
      </c>
      <c r="P113">
        <v>1</v>
      </c>
      <c r="Q113" t="s">
        <v>176</v>
      </c>
      <c r="R113" t="s">
        <v>176</v>
      </c>
      <c r="S113" t="s">
        <v>122</v>
      </c>
      <c r="T113" t="s">
        <v>4385</v>
      </c>
      <c r="U113" t="s">
        <v>23</v>
      </c>
      <c r="V113" t="s">
        <v>3997</v>
      </c>
      <c r="W113" t="s">
        <v>4022</v>
      </c>
      <c r="X113">
        <v>0</v>
      </c>
      <c r="Y113">
        <v>232</v>
      </c>
      <c r="AD113" t="s">
        <v>115</v>
      </c>
      <c r="AE113" t="s">
        <v>115</v>
      </c>
      <c r="AF113" t="s">
        <v>115</v>
      </c>
      <c r="AG113">
        <v>0</v>
      </c>
      <c r="AH113">
        <v>0</v>
      </c>
      <c r="AI113">
        <v>0</v>
      </c>
      <c r="AJ113">
        <v>0</v>
      </c>
      <c r="AK113">
        <v>0</v>
      </c>
      <c r="AL113">
        <v>0</v>
      </c>
      <c r="AM113">
        <v>0</v>
      </c>
    </row>
    <row r="114" spans="1:41" x14ac:dyDescent="0.2">
      <c r="A114" t="s">
        <v>4530</v>
      </c>
      <c r="B114" t="s">
        <v>4531</v>
      </c>
      <c r="C114">
        <v>16</v>
      </c>
      <c r="D114">
        <v>1</v>
      </c>
      <c r="E114" t="s">
        <v>4191</v>
      </c>
      <c r="F114" s="1">
        <v>43698</v>
      </c>
      <c r="G114" t="s">
        <v>4031</v>
      </c>
      <c r="H114" t="s">
        <v>4724</v>
      </c>
      <c r="I114" s="2">
        <v>2.2916666666666669E-2</v>
      </c>
      <c r="J114" t="s">
        <v>398</v>
      </c>
      <c r="K114" t="s">
        <v>241</v>
      </c>
      <c r="L114" t="s">
        <v>568</v>
      </c>
      <c r="M114" t="s">
        <v>23</v>
      </c>
      <c r="N114">
        <v>1</v>
      </c>
      <c r="O114">
        <v>0</v>
      </c>
      <c r="P114">
        <v>1</v>
      </c>
      <c r="Q114" t="s">
        <v>112</v>
      </c>
      <c r="R114" t="s">
        <v>4319</v>
      </c>
      <c r="S114" t="s">
        <v>122</v>
      </c>
      <c r="T114" t="s">
        <v>4385</v>
      </c>
      <c r="U114" t="s">
        <v>23</v>
      </c>
      <c r="V114" t="s">
        <v>3997</v>
      </c>
      <c r="W114" t="s">
        <v>3810</v>
      </c>
      <c r="Y114">
        <v>232</v>
      </c>
      <c r="AA114">
        <v>9</v>
      </c>
      <c r="AB114" s="19">
        <v>63.740270000000002</v>
      </c>
      <c r="AC114" s="19">
        <v>148.89796000000001</v>
      </c>
      <c r="AD114" t="s">
        <v>115</v>
      </c>
      <c r="AE114" t="s">
        <v>115</v>
      </c>
      <c r="AF114" t="s">
        <v>115</v>
      </c>
      <c r="AG114">
        <v>0</v>
      </c>
      <c r="AH114">
        <v>0</v>
      </c>
      <c r="AI114">
        <v>0</v>
      </c>
      <c r="AJ114">
        <v>0</v>
      </c>
      <c r="AK114">
        <v>4</v>
      </c>
      <c r="AL114">
        <v>0</v>
      </c>
      <c r="AM114">
        <v>4</v>
      </c>
    </row>
    <row r="115" spans="1:41" x14ac:dyDescent="0.2">
      <c r="A115" t="s">
        <v>4485</v>
      </c>
      <c r="B115" t="s">
        <v>4486</v>
      </c>
      <c r="C115">
        <v>20</v>
      </c>
      <c r="D115">
        <v>1</v>
      </c>
      <c r="E115" t="s">
        <v>213</v>
      </c>
      <c r="F115" s="1">
        <v>43697</v>
      </c>
      <c r="G115" t="s">
        <v>4031</v>
      </c>
      <c r="H115" t="s">
        <v>4724</v>
      </c>
      <c r="I115" s="2">
        <v>3.0555555555555555E-2</v>
      </c>
      <c r="J115" t="s">
        <v>640</v>
      </c>
      <c r="K115" t="s">
        <v>4487</v>
      </c>
      <c r="L115" t="s">
        <v>568</v>
      </c>
      <c r="M115" t="s">
        <v>23</v>
      </c>
      <c r="N115">
        <v>1</v>
      </c>
      <c r="O115">
        <v>0</v>
      </c>
      <c r="P115">
        <v>1</v>
      </c>
      <c r="Q115" t="s">
        <v>598</v>
      </c>
      <c r="R115" t="s">
        <v>4463</v>
      </c>
      <c r="S115" t="s">
        <v>122</v>
      </c>
      <c r="T115" t="s">
        <v>4385</v>
      </c>
      <c r="U115" t="s">
        <v>23</v>
      </c>
      <c r="V115" t="s">
        <v>3997</v>
      </c>
      <c r="W115" t="s">
        <v>3810</v>
      </c>
      <c r="Y115">
        <v>235</v>
      </c>
      <c r="AA115">
        <v>1</v>
      </c>
      <c r="AB115" s="19">
        <v>63.719729999999998</v>
      </c>
      <c r="AC115" s="19">
        <v>148.97708</v>
      </c>
      <c r="AD115" t="s">
        <v>115</v>
      </c>
      <c r="AE115" t="s">
        <v>115</v>
      </c>
      <c r="AF115" t="s">
        <v>115</v>
      </c>
      <c r="AG115">
        <v>0</v>
      </c>
      <c r="AH115">
        <v>0</v>
      </c>
      <c r="AI115">
        <v>0</v>
      </c>
      <c r="AJ115">
        <v>0</v>
      </c>
      <c r="AK115">
        <v>35</v>
      </c>
      <c r="AL115">
        <v>0</v>
      </c>
      <c r="AM115">
        <v>35</v>
      </c>
      <c r="AO115" t="s">
        <v>4495</v>
      </c>
    </row>
    <row r="116" spans="1:41" x14ac:dyDescent="0.2">
      <c r="A116" t="s">
        <v>4338</v>
      </c>
      <c r="B116" t="s">
        <v>4340</v>
      </c>
      <c r="C116">
        <v>1</v>
      </c>
      <c r="D116">
        <v>1</v>
      </c>
      <c r="E116" t="s">
        <v>2586</v>
      </c>
      <c r="F116" s="1">
        <v>43690</v>
      </c>
      <c r="G116" t="s">
        <v>4031</v>
      </c>
      <c r="H116" t="s">
        <v>4724</v>
      </c>
      <c r="I116" s="2">
        <v>1.1111111111111112E-2</v>
      </c>
      <c r="J116" t="s">
        <v>884</v>
      </c>
      <c r="K116" t="s">
        <v>4339</v>
      </c>
      <c r="L116" t="s">
        <v>102</v>
      </c>
      <c r="M116" t="s">
        <v>12</v>
      </c>
      <c r="N116">
        <v>0</v>
      </c>
      <c r="O116">
        <v>0</v>
      </c>
      <c r="P116">
        <v>1</v>
      </c>
      <c r="Q116" t="s">
        <v>176</v>
      </c>
      <c r="R116" t="s">
        <v>176</v>
      </c>
      <c r="S116" t="s">
        <v>122</v>
      </c>
      <c r="T116" t="s">
        <v>374</v>
      </c>
      <c r="U116" t="s">
        <v>12</v>
      </c>
      <c r="V116" t="s">
        <v>3997</v>
      </c>
      <c r="W116" t="s">
        <v>4022</v>
      </c>
      <c r="Y116">
        <v>237</v>
      </c>
      <c r="AA116">
        <v>4</v>
      </c>
      <c r="AB116" s="19">
        <v>63.726990000000001</v>
      </c>
      <c r="AC116" s="19">
        <v>148.88686999999999</v>
      </c>
      <c r="AD116" t="s">
        <v>115</v>
      </c>
      <c r="AE116" t="s">
        <v>115</v>
      </c>
      <c r="AF116" t="s">
        <v>115</v>
      </c>
      <c r="AG116">
        <v>0</v>
      </c>
      <c r="AH116">
        <v>0</v>
      </c>
      <c r="AI116">
        <v>0</v>
      </c>
      <c r="AJ116">
        <v>0</v>
      </c>
      <c r="AK116">
        <v>0</v>
      </c>
      <c r="AL116">
        <v>0</v>
      </c>
      <c r="AM116">
        <v>0</v>
      </c>
      <c r="AO116" t="s">
        <v>2405</v>
      </c>
    </row>
    <row r="117" spans="1:41" x14ac:dyDescent="0.2">
      <c r="A117" t="s">
        <v>3735</v>
      </c>
      <c r="B117" t="s">
        <v>3736</v>
      </c>
      <c r="C117">
        <v>4</v>
      </c>
      <c r="D117">
        <v>2</v>
      </c>
      <c r="E117" t="s">
        <v>3731</v>
      </c>
      <c r="F117" s="1">
        <v>43587</v>
      </c>
      <c r="G117" s="1" t="s">
        <v>4028</v>
      </c>
      <c r="H117" s="1"/>
      <c r="I117" s="2">
        <v>2.7083333333333334E-2</v>
      </c>
      <c r="J117" t="s">
        <v>1278</v>
      </c>
      <c r="K117" t="s">
        <v>255</v>
      </c>
      <c r="L117" t="s">
        <v>111</v>
      </c>
      <c r="M117" t="s">
        <v>23</v>
      </c>
      <c r="N117">
        <v>0</v>
      </c>
      <c r="O117">
        <v>0</v>
      </c>
      <c r="P117">
        <v>1</v>
      </c>
      <c r="Q117" t="s">
        <v>598</v>
      </c>
      <c r="R117" s="5" t="s">
        <v>2801</v>
      </c>
      <c r="S117" s="5" t="s">
        <v>115</v>
      </c>
      <c r="T117" s="5" t="s">
        <v>2088</v>
      </c>
      <c r="U117" s="5" t="s">
        <v>23</v>
      </c>
      <c r="V117" s="5" t="s">
        <v>3997</v>
      </c>
      <c r="W117" s="5" t="s">
        <v>4021</v>
      </c>
      <c r="X117" s="5" t="s">
        <v>2765</v>
      </c>
      <c r="Y117">
        <v>240</v>
      </c>
      <c r="AA117">
        <v>20</v>
      </c>
      <c r="AB117">
        <v>63.733550000000001</v>
      </c>
      <c r="AC117">
        <v>148.90380999999999</v>
      </c>
      <c r="AD117" s="5" t="s">
        <v>115</v>
      </c>
      <c r="AE117" s="5" t="s">
        <v>115</v>
      </c>
      <c r="AF117" s="5" t="s">
        <v>115</v>
      </c>
      <c r="AG117">
        <v>0</v>
      </c>
      <c r="AH117">
        <v>0</v>
      </c>
      <c r="AI117">
        <v>0</v>
      </c>
      <c r="AJ117">
        <v>0</v>
      </c>
      <c r="AK117">
        <v>0</v>
      </c>
      <c r="AL117">
        <v>0</v>
      </c>
      <c r="AN117" t="s">
        <v>3737</v>
      </c>
    </row>
    <row r="118" spans="1:41" x14ac:dyDescent="0.2">
      <c r="A118" t="s">
        <v>4551</v>
      </c>
      <c r="B118" t="s">
        <v>4552</v>
      </c>
      <c r="C118">
        <v>8</v>
      </c>
      <c r="D118">
        <v>2</v>
      </c>
      <c r="E118" t="s">
        <v>2586</v>
      </c>
      <c r="F118" s="1">
        <v>43699</v>
      </c>
      <c r="G118" t="s">
        <v>4031</v>
      </c>
      <c r="H118" t="s">
        <v>4724</v>
      </c>
      <c r="I118" s="2">
        <v>2.6388888888888889E-2</v>
      </c>
      <c r="J118" t="s">
        <v>398</v>
      </c>
      <c r="K118" t="s">
        <v>176</v>
      </c>
      <c r="L118" t="s">
        <v>111</v>
      </c>
      <c r="M118" t="s">
        <v>23</v>
      </c>
      <c r="N118">
        <v>1</v>
      </c>
      <c r="O118">
        <v>0</v>
      </c>
      <c r="P118">
        <v>1</v>
      </c>
      <c r="Q118" t="s">
        <v>112</v>
      </c>
      <c r="R118" t="s">
        <v>4214</v>
      </c>
      <c r="S118" t="s">
        <v>122</v>
      </c>
      <c r="T118" t="s">
        <v>333</v>
      </c>
      <c r="U118" t="s">
        <v>23</v>
      </c>
      <c r="V118" t="s">
        <v>3999</v>
      </c>
      <c r="W118" t="s">
        <v>4006</v>
      </c>
      <c r="Y118">
        <v>240</v>
      </c>
      <c r="AA118">
        <v>6</v>
      </c>
      <c r="AB118" s="19">
        <v>63.722819999999999</v>
      </c>
      <c r="AC118" s="19">
        <v>148.88938999999999</v>
      </c>
      <c r="AD118" t="s">
        <v>115</v>
      </c>
      <c r="AE118" t="s">
        <v>115</v>
      </c>
      <c r="AF118" t="s">
        <v>115</v>
      </c>
      <c r="AG118">
        <v>0</v>
      </c>
      <c r="AH118">
        <v>0</v>
      </c>
      <c r="AI118">
        <v>0</v>
      </c>
      <c r="AJ118">
        <v>0</v>
      </c>
      <c r="AK118">
        <v>6</v>
      </c>
      <c r="AL118">
        <v>0</v>
      </c>
      <c r="AM118">
        <v>6</v>
      </c>
    </row>
    <row r="119" spans="1:41" x14ac:dyDescent="0.2">
      <c r="A119" t="s">
        <v>4363</v>
      </c>
      <c r="B119" t="s">
        <v>4364</v>
      </c>
      <c r="C119">
        <v>3</v>
      </c>
      <c r="D119">
        <v>1</v>
      </c>
      <c r="E119" t="s">
        <v>213</v>
      </c>
      <c r="F119" s="1">
        <v>43692</v>
      </c>
      <c r="G119" t="s">
        <v>4031</v>
      </c>
      <c r="H119" t="s">
        <v>4724</v>
      </c>
      <c r="I119" s="2">
        <v>3.8194444444444441E-2</v>
      </c>
      <c r="J119" t="s">
        <v>4358</v>
      </c>
      <c r="K119" t="s">
        <v>241</v>
      </c>
      <c r="L119" t="s">
        <v>111</v>
      </c>
      <c r="M119" t="s">
        <v>23</v>
      </c>
      <c r="N119">
        <v>1</v>
      </c>
      <c r="O119">
        <v>0</v>
      </c>
      <c r="P119">
        <v>1</v>
      </c>
      <c r="Q119" t="s">
        <v>176</v>
      </c>
      <c r="R119" t="s">
        <v>176</v>
      </c>
      <c r="S119" t="s">
        <v>176</v>
      </c>
      <c r="T119" t="s">
        <v>709</v>
      </c>
      <c r="U119" t="s">
        <v>23</v>
      </c>
      <c r="V119" t="s">
        <v>4004</v>
      </c>
      <c r="W119" t="s">
        <v>4022</v>
      </c>
      <c r="Y119">
        <v>243</v>
      </c>
      <c r="AA119" t="s">
        <v>176</v>
      </c>
      <c r="AB119" s="19">
        <v>63.718699999999998</v>
      </c>
      <c r="AC119" s="19">
        <v>148.97443000000001</v>
      </c>
      <c r="AD119" t="s">
        <v>115</v>
      </c>
      <c r="AE119" t="s">
        <v>115</v>
      </c>
      <c r="AF119" t="s">
        <v>115</v>
      </c>
      <c r="AG119">
        <v>0</v>
      </c>
      <c r="AH119">
        <v>0</v>
      </c>
      <c r="AI119">
        <v>0</v>
      </c>
      <c r="AJ119">
        <v>0</v>
      </c>
      <c r="AK119">
        <v>0</v>
      </c>
      <c r="AL119">
        <v>0</v>
      </c>
      <c r="AM119">
        <v>0</v>
      </c>
    </row>
    <row r="120" spans="1:41" x14ac:dyDescent="0.2">
      <c r="A120" t="s">
        <v>4349</v>
      </c>
      <c r="B120" t="s">
        <v>4350</v>
      </c>
      <c r="C120">
        <v>6</v>
      </c>
      <c r="D120">
        <v>1</v>
      </c>
      <c r="E120" t="s">
        <v>2586</v>
      </c>
      <c r="F120" s="1">
        <v>43690</v>
      </c>
      <c r="G120" t="s">
        <v>4031</v>
      </c>
      <c r="H120" t="s">
        <v>4724</v>
      </c>
      <c r="I120" s="2">
        <v>6.458333333333334E-2</v>
      </c>
      <c r="J120" t="s">
        <v>884</v>
      </c>
      <c r="K120" t="s">
        <v>4339</v>
      </c>
      <c r="L120" t="s">
        <v>102</v>
      </c>
      <c r="M120" t="s">
        <v>115</v>
      </c>
      <c r="N120">
        <v>1</v>
      </c>
      <c r="O120">
        <v>0</v>
      </c>
      <c r="P120">
        <v>1</v>
      </c>
      <c r="Q120" t="s">
        <v>112</v>
      </c>
      <c r="R120" t="s">
        <v>4214</v>
      </c>
      <c r="S120" t="s">
        <v>122</v>
      </c>
      <c r="T120" t="s">
        <v>4295</v>
      </c>
      <c r="U120" t="s">
        <v>23</v>
      </c>
      <c r="V120" t="s">
        <v>4004</v>
      </c>
      <c r="W120" t="s">
        <v>3810</v>
      </c>
      <c r="Y120">
        <v>244</v>
      </c>
      <c r="AA120">
        <v>2</v>
      </c>
      <c r="AB120" s="19">
        <v>63.725720000000003</v>
      </c>
      <c r="AC120" s="19">
        <v>148.88728</v>
      </c>
      <c r="AD120" t="s">
        <v>115</v>
      </c>
      <c r="AE120" t="s">
        <v>115</v>
      </c>
      <c r="AF120" t="s">
        <v>115</v>
      </c>
      <c r="AG120">
        <v>0</v>
      </c>
      <c r="AH120">
        <v>0</v>
      </c>
      <c r="AI120">
        <v>0</v>
      </c>
      <c r="AJ120">
        <v>0</v>
      </c>
      <c r="AK120">
        <v>0</v>
      </c>
      <c r="AL120">
        <v>0</v>
      </c>
      <c r="AM120">
        <v>0</v>
      </c>
    </row>
    <row r="121" spans="1:41" x14ac:dyDescent="0.2">
      <c r="A121" t="s">
        <v>4169</v>
      </c>
      <c r="B121" t="s">
        <v>4170</v>
      </c>
      <c r="C121">
        <v>3</v>
      </c>
      <c r="D121">
        <v>1</v>
      </c>
      <c r="E121" t="s">
        <v>2537</v>
      </c>
      <c r="F121" s="1">
        <v>43686</v>
      </c>
      <c r="G121" t="s">
        <v>4031</v>
      </c>
      <c r="H121" t="s">
        <v>4724</v>
      </c>
      <c r="I121" s="2">
        <v>4.8611111111111112E-3</v>
      </c>
      <c r="J121" t="s">
        <v>1278</v>
      </c>
      <c r="K121" t="s">
        <v>363</v>
      </c>
      <c r="L121" t="s">
        <v>111</v>
      </c>
      <c r="M121" t="s">
        <v>23</v>
      </c>
      <c r="N121">
        <v>0</v>
      </c>
      <c r="O121">
        <v>1</v>
      </c>
      <c r="P121">
        <v>1</v>
      </c>
      <c r="Q121" t="s">
        <v>176</v>
      </c>
      <c r="R121" t="s">
        <v>176</v>
      </c>
      <c r="S121" t="s">
        <v>176</v>
      </c>
      <c r="T121" t="s">
        <v>709</v>
      </c>
      <c r="U121" t="s">
        <v>23</v>
      </c>
      <c r="V121" t="s">
        <v>4004</v>
      </c>
      <c r="W121" t="s">
        <v>4022</v>
      </c>
      <c r="Y121">
        <v>246</v>
      </c>
      <c r="AA121" t="s">
        <v>176</v>
      </c>
      <c r="AB121" s="19">
        <v>63.731619999999999</v>
      </c>
      <c r="AC121" s="19">
        <v>148.90079</v>
      </c>
      <c r="AD121" t="s">
        <v>115</v>
      </c>
      <c r="AE121" t="s">
        <v>115</v>
      </c>
      <c r="AF121" t="s">
        <v>115</v>
      </c>
      <c r="AG121">
        <v>0</v>
      </c>
      <c r="AH121">
        <v>0</v>
      </c>
      <c r="AI121">
        <v>0</v>
      </c>
      <c r="AJ121">
        <v>0</v>
      </c>
      <c r="AK121">
        <v>0</v>
      </c>
      <c r="AL121">
        <v>0</v>
      </c>
      <c r="AM121">
        <v>0</v>
      </c>
      <c r="AO121" t="s">
        <v>2405</v>
      </c>
    </row>
    <row r="122" spans="1:41" x14ac:dyDescent="0.2">
      <c r="A122" t="s">
        <v>4532</v>
      </c>
      <c r="B122" t="s">
        <v>4533</v>
      </c>
      <c r="C122">
        <v>1</v>
      </c>
      <c r="D122">
        <v>1</v>
      </c>
      <c r="E122" t="s">
        <v>2586</v>
      </c>
      <c r="F122" s="1">
        <v>43699</v>
      </c>
      <c r="G122" t="s">
        <v>4031</v>
      </c>
      <c r="H122" t="s">
        <v>4724</v>
      </c>
      <c r="I122" s="2">
        <v>3.0555555555555555E-2</v>
      </c>
      <c r="J122" t="s">
        <v>398</v>
      </c>
      <c r="K122" t="s">
        <v>4339</v>
      </c>
      <c r="L122" t="s">
        <v>4534</v>
      </c>
      <c r="M122" t="s">
        <v>23</v>
      </c>
      <c r="N122">
        <v>1</v>
      </c>
      <c r="O122">
        <v>0</v>
      </c>
      <c r="P122">
        <v>1</v>
      </c>
      <c r="Q122" t="s">
        <v>112</v>
      </c>
      <c r="R122" t="s">
        <v>4214</v>
      </c>
      <c r="S122" t="s">
        <v>176</v>
      </c>
      <c r="T122" t="s">
        <v>4386</v>
      </c>
      <c r="U122" t="s">
        <v>23</v>
      </c>
      <c r="V122" t="s">
        <v>3999</v>
      </c>
      <c r="W122" t="s">
        <v>176</v>
      </c>
      <c r="Y122">
        <v>249</v>
      </c>
      <c r="AA122" t="s">
        <v>176</v>
      </c>
      <c r="AB122" s="19">
        <v>63.724719999999998</v>
      </c>
      <c r="AC122" s="19">
        <v>148.88774000000001</v>
      </c>
      <c r="AD122" t="s">
        <v>115</v>
      </c>
      <c r="AE122" t="s">
        <v>115</v>
      </c>
      <c r="AF122" t="s">
        <v>115</v>
      </c>
      <c r="AG122">
        <v>0</v>
      </c>
      <c r="AH122">
        <v>0</v>
      </c>
      <c r="AI122">
        <v>0</v>
      </c>
      <c r="AJ122">
        <v>0</v>
      </c>
      <c r="AK122">
        <v>0</v>
      </c>
      <c r="AL122">
        <v>0</v>
      </c>
      <c r="AM122">
        <v>0</v>
      </c>
      <c r="AO122" t="s">
        <v>4535</v>
      </c>
    </row>
    <row r="123" spans="1:41" x14ac:dyDescent="0.2">
      <c r="A123" t="s">
        <v>4645</v>
      </c>
      <c r="B123" t="s">
        <v>4646</v>
      </c>
      <c r="C123">
        <v>5</v>
      </c>
      <c r="D123">
        <v>2</v>
      </c>
      <c r="E123" t="s">
        <v>395</v>
      </c>
      <c r="F123" s="1">
        <v>43705</v>
      </c>
      <c r="G123" t="s">
        <v>4031</v>
      </c>
      <c r="H123" t="s">
        <v>4724</v>
      </c>
      <c r="I123" s="2">
        <v>3.1944444444444449E-2</v>
      </c>
      <c r="J123" t="s">
        <v>398</v>
      </c>
      <c r="K123" t="s">
        <v>4250</v>
      </c>
      <c r="L123" t="s">
        <v>568</v>
      </c>
      <c r="M123" t="s">
        <v>23</v>
      </c>
      <c r="N123">
        <v>1</v>
      </c>
      <c r="O123">
        <v>0</v>
      </c>
      <c r="P123">
        <v>1</v>
      </c>
      <c r="Q123" t="s">
        <v>598</v>
      </c>
      <c r="R123" t="s">
        <v>4643</v>
      </c>
      <c r="S123" t="s">
        <v>122</v>
      </c>
      <c r="T123" t="s">
        <v>4604</v>
      </c>
      <c r="U123" t="s">
        <v>23</v>
      </c>
      <c r="V123" t="s">
        <v>3999</v>
      </c>
      <c r="W123" t="s">
        <v>2179</v>
      </c>
      <c r="Y123">
        <v>249</v>
      </c>
      <c r="AA123">
        <v>1</v>
      </c>
      <c r="AB123" s="19">
        <v>63.720410000000001</v>
      </c>
      <c r="AC123" s="19">
        <v>148.98446999999999</v>
      </c>
      <c r="AD123" t="s">
        <v>115</v>
      </c>
      <c r="AE123" t="s">
        <v>115</v>
      </c>
      <c r="AF123" t="s">
        <v>115</v>
      </c>
      <c r="AG123">
        <v>0</v>
      </c>
      <c r="AH123">
        <v>0</v>
      </c>
      <c r="AI123">
        <v>0</v>
      </c>
      <c r="AJ123">
        <v>0</v>
      </c>
      <c r="AK123">
        <v>8</v>
      </c>
      <c r="AL123">
        <v>0</v>
      </c>
      <c r="AM123">
        <v>8</v>
      </c>
      <c r="AO123" t="s">
        <v>4647</v>
      </c>
    </row>
    <row r="124" spans="1:41" x14ac:dyDescent="0.2">
      <c r="A124" t="s">
        <v>4227</v>
      </c>
      <c r="B124" t="s">
        <v>4228</v>
      </c>
      <c r="C124">
        <v>5</v>
      </c>
      <c r="D124">
        <v>1</v>
      </c>
      <c r="E124" t="s">
        <v>140</v>
      </c>
      <c r="F124" s="1">
        <v>43687</v>
      </c>
      <c r="G124" t="s">
        <v>4031</v>
      </c>
      <c r="H124" t="s">
        <v>4724</v>
      </c>
      <c r="I124" s="2">
        <v>3.8194444444444441E-2</v>
      </c>
      <c r="J124" t="s">
        <v>398</v>
      </c>
      <c r="K124" t="s">
        <v>4226</v>
      </c>
      <c r="L124" t="s">
        <v>102</v>
      </c>
      <c r="M124" t="s">
        <v>23</v>
      </c>
      <c r="N124">
        <v>1</v>
      </c>
      <c r="O124">
        <v>0</v>
      </c>
      <c r="P124">
        <v>1</v>
      </c>
      <c r="Q124" t="s">
        <v>176</v>
      </c>
      <c r="R124" t="s">
        <v>176</v>
      </c>
      <c r="S124" t="s">
        <v>176</v>
      </c>
      <c r="T124" t="s">
        <v>939</v>
      </c>
      <c r="U124" t="s">
        <v>23</v>
      </c>
      <c r="V124" t="s">
        <v>3999</v>
      </c>
      <c r="W124" t="s">
        <v>4022</v>
      </c>
      <c r="Y124">
        <v>250</v>
      </c>
      <c r="AA124" t="s">
        <v>176</v>
      </c>
      <c r="AB124" s="19">
        <v>63.724339999999998</v>
      </c>
      <c r="AC124" s="19">
        <v>148.94852</v>
      </c>
      <c r="AD124" t="s">
        <v>115</v>
      </c>
      <c r="AE124" t="s">
        <v>115</v>
      </c>
      <c r="AF124" t="s">
        <v>115</v>
      </c>
      <c r="AG124">
        <v>0</v>
      </c>
      <c r="AH124">
        <v>0</v>
      </c>
      <c r="AI124">
        <v>0</v>
      </c>
      <c r="AJ124">
        <v>0</v>
      </c>
      <c r="AK124">
        <v>0</v>
      </c>
      <c r="AL124">
        <v>0</v>
      </c>
      <c r="AM124">
        <v>0</v>
      </c>
      <c r="AO124" t="s">
        <v>4229</v>
      </c>
    </row>
    <row r="125" spans="1:41" x14ac:dyDescent="0.2">
      <c r="A125" t="s">
        <v>4527</v>
      </c>
      <c r="B125" t="s">
        <v>4528</v>
      </c>
      <c r="C125">
        <v>15</v>
      </c>
      <c r="D125">
        <v>2</v>
      </c>
      <c r="E125" t="s">
        <v>4191</v>
      </c>
      <c r="F125" s="1">
        <v>43698</v>
      </c>
      <c r="G125" t="s">
        <v>4031</v>
      </c>
      <c r="H125" t="s">
        <v>4724</v>
      </c>
      <c r="I125" s="2">
        <v>3.125E-2</v>
      </c>
      <c r="J125" t="s">
        <v>398</v>
      </c>
      <c r="K125" t="s">
        <v>241</v>
      </c>
      <c r="L125" t="s">
        <v>111</v>
      </c>
      <c r="M125" t="s">
        <v>23</v>
      </c>
      <c r="N125">
        <v>1</v>
      </c>
      <c r="O125">
        <v>0</v>
      </c>
      <c r="P125">
        <v>1</v>
      </c>
      <c r="Q125" t="s">
        <v>112</v>
      </c>
      <c r="R125" t="s">
        <v>4319</v>
      </c>
      <c r="S125" t="s">
        <v>122</v>
      </c>
      <c r="T125" t="s">
        <v>1035</v>
      </c>
      <c r="U125" t="s">
        <v>23</v>
      </c>
      <c r="V125" t="s">
        <v>3997</v>
      </c>
      <c r="W125" t="s">
        <v>4006</v>
      </c>
      <c r="Y125">
        <v>250</v>
      </c>
      <c r="AA125">
        <v>4</v>
      </c>
      <c r="AB125" s="19">
        <v>63.740279999999998</v>
      </c>
      <c r="AC125" s="19">
        <v>148.89796000000001</v>
      </c>
      <c r="AD125" t="s">
        <v>115</v>
      </c>
      <c r="AE125" t="s">
        <v>115</v>
      </c>
      <c r="AF125" t="s">
        <v>115</v>
      </c>
      <c r="AG125">
        <v>0</v>
      </c>
      <c r="AH125">
        <v>0</v>
      </c>
      <c r="AI125">
        <v>0</v>
      </c>
      <c r="AJ125">
        <v>0</v>
      </c>
      <c r="AK125">
        <v>4</v>
      </c>
      <c r="AL125">
        <v>0</v>
      </c>
      <c r="AM125">
        <v>4</v>
      </c>
      <c r="AO125" t="s">
        <v>4529</v>
      </c>
    </row>
    <row r="126" spans="1:41" x14ac:dyDescent="0.2">
      <c r="A126" t="s">
        <v>4523</v>
      </c>
      <c r="B126" t="s">
        <v>4524</v>
      </c>
      <c r="C126">
        <v>13</v>
      </c>
      <c r="D126">
        <v>1</v>
      </c>
      <c r="E126" t="s">
        <v>4191</v>
      </c>
      <c r="F126" s="1">
        <v>43698</v>
      </c>
      <c r="G126" t="s">
        <v>4031</v>
      </c>
      <c r="H126" t="s">
        <v>4724</v>
      </c>
      <c r="I126" s="2">
        <v>2.7083333333333334E-2</v>
      </c>
      <c r="J126" t="s">
        <v>398</v>
      </c>
      <c r="K126" t="s">
        <v>241</v>
      </c>
      <c r="L126" t="s">
        <v>568</v>
      </c>
      <c r="M126" t="s">
        <v>23</v>
      </c>
      <c r="N126">
        <v>1</v>
      </c>
      <c r="O126">
        <v>0</v>
      </c>
      <c r="P126">
        <v>1</v>
      </c>
      <c r="Q126" t="s">
        <v>112</v>
      </c>
      <c r="R126" t="s">
        <v>4319</v>
      </c>
      <c r="S126" t="s">
        <v>122</v>
      </c>
      <c r="T126" t="s">
        <v>1035</v>
      </c>
      <c r="U126" t="s">
        <v>23</v>
      </c>
      <c r="V126" t="s">
        <v>3997</v>
      </c>
      <c r="W126" t="s">
        <v>4006</v>
      </c>
      <c r="Y126">
        <v>254</v>
      </c>
      <c r="AA126">
        <v>9</v>
      </c>
      <c r="AB126" s="19">
        <v>63.740310000000001</v>
      </c>
      <c r="AC126" s="19">
        <v>148.89779999999999</v>
      </c>
      <c r="AD126" t="s">
        <v>115</v>
      </c>
      <c r="AE126" t="s">
        <v>115</v>
      </c>
      <c r="AF126" t="s">
        <v>115</v>
      </c>
      <c r="AG126">
        <v>0</v>
      </c>
      <c r="AH126">
        <v>0</v>
      </c>
      <c r="AI126">
        <v>0</v>
      </c>
      <c r="AJ126">
        <v>0</v>
      </c>
      <c r="AK126">
        <v>9</v>
      </c>
      <c r="AL126">
        <v>0</v>
      </c>
      <c r="AM126">
        <v>9</v>
      </c>
    </row>
    <row r="127" spans="1:41" x14ac:dyDescent="0.2">
      <c r="A127" t="s">
        <v>4525</v>
      </c>
      <c r="B127" t="s">
        <v>4526</v>
      </c>
      <c r="C127">
        <v>14</v>
      </c>
      <c r="D127">
        <v>3</v>
      </c>
      <c r="E127" t="s">
        <v>4191</v>
      </c>
      <c r="F127" s="1">
        <v>43698</v>
      </c>
      <c r="G127" t="s">
        <v>4031</v>
      </c>
      <c r="H127" t="s">
        <v>4724</v>
      </c>
      <c r="I127" s="2">
        <v>4.2361111111111106E-2</v>
      </c>
      <c r="J127" t="s">
        <v>398</v>
      </c>
      <c r="K127" t="s">
        <v>241</v>
      </c>
      <c r="L127" t="s">
        <v>568</v>
      </c>
      <c r="M127" t="s">
        <v>23</v>
      </c>
      <c r="N127">
        <v>1</v>
      </c>
      <c r="O127">
        <v>0</v>
      </c>
      <c r="P127">
        <v>1</v>
      </c>
      <c r="Q127" t="s">
        <v>112</v>
      </c>
      <c r="R127" t="s">
        <v>4319</v>
      </c>
      <c r="S127" t="s">
        <v>122</v>
      </c>
      <c r="T127" t="s">
        <v>4386</v>
      </c>
      <c r="U127" t="s">
        <v>23</v>
      </c>
      <c r="V127" t="s">
        <v>3999</v>
      </c>
      <c r="W127" t="s">
        <v>3810</v>
      </c>
      <c r="Y127">
        <v>254</v>
      </c>
      <c r="AA127">
        <v>10</v>
      </c>
      <c r="AB127" s="19">
        <v>63.740360000000003</v>
      </c>
      <c r="AC127" s="19">
        <v>148.89764</v>
      </c>
      <c r="AD127" t="s">
        <v>115</v>
      </c>
      <c r="AE127" t="s">
        <v>115</v>
      </c>
      <c r="AF127" t="s">
        <v>115</v>
      </c>
      <c r="AG127">
        <v>0</v>
      </c>
      <c r="AH127">
        <v>0</v>
      </c>
      <c r="AI127">
        <v>0</v>
      </c>
      <c r="AJ127">
        <v>0</v>
      </c>
      <c r="AK127">
        <v>4</v>
      </c>
      <c r="AL127">
        <v>0</v>
      </c>
      <c r="AM127">
        <v>4</v>
      </c>
    </row>
    <row r="128" spans="1:41" x14ac:dyDescent="0.2">
      <c r="A128" t="s">
        <v>4251</v>
      </c>
      <c r="B128" t="s">
        <v>4252</v>
      </c>
      <c r="C128">
        <v>4</v>
      </c>
      <c r="D128">
        <v>2</v>
      </c>
      <c r="E128" t="s">
        <v>395</v>
      </c>
      <c r="F128" s="1">
        <v>43688</v>
      </c>
      <c r="G128" t="s">
        <v>4031</v>
      </c>
      <c r="H128" t="s">
        <v>4724</v>
      </c>
      <c r="I128" s="2">
        <v>5.347222222222222E-2</v>
      </c>
      <c r="J128" t="s">
        <v>640</v>
      </c>
      <c r="K128" t="s">
        <v>4250</v>
      </c>
      <c r="L128" t="s">
        <v>568</v>
      </c>
      <c r="M128" t="s">
        <v>23</v>
      </c>
      <c r="N128">
        <v>1</v>
      </c>
      <c r="O128">
        <v>0</v>
      </c>
      <c r="P128">
        <v>1</v>
      </c>
      <c r="Q128" t="s">
        <v>112</v>
      </c>
      <c r="R128" t="s">
        <v>4249</v>
      </c>
      <c r="S128" t="s">
        <v>122</v>
      </c>
      <c r="T128" t="s">
        <v>4168</v>
      </c>
      <c r="U128" t="s">
        <v>23</v>
      </c>
      <c r="V128" t="s">
        <v>3997</v>
      </c>
      <c r="W128" t="s">
        <v>4022</v>
      </c>
      <c r="Y128">
        <v>256</v>
      </c>
      <c r="AA128">
        <v>0</v>
      </c>
      <c r="AB128" s="19">
        <v>63.721499999999999</v>
      </c>
      <c r="AC128" s="19">
        <v>148.98625000000001</v>
      </c>
      <c r="AD128" t="s">
        <v>115</v>
      </c>
      <c r="AE128" t="s">
        <v>115</v>
      </c>
      <c r="AF128" t="s">
        <v>115</v>
      </c>
      <c r="AG128">
        <v>0</v>
      </c>
      <c r="AH128">
        <v>0</v>
      </c>
      <c r="AI128">
        <v>0</v>
      </c>
      <c r="AJ128">
        <v>0</v>
      </c>
      <c r="AK128">
        <v>10</v>
      </c>
      <c r="AL128">
        <v>0</v>
      </c>
      <c r="AM128">
        <v>10</v>
      </c>
    </row>
    <row r="129" spans="1:41" x14ac:dyDescent="0.2">
      <c r="A129" t="s">
        <v>4656</v>
      </c>
      <c r="B129" t="s">
        <v>4657</v>
      </c>
      <c r="C129">
        <v>9</v>
      </c>
      <c r="D129">
        <v>1</v>
      </c>
      <c r="E129" t="s">
        <v>395</v>
      </c>
      <c r="F129" s="1">
        <v>43705</v>
      </c>
      <c r="G129" t="s">
        <v>4031</v>
      </c>
      <c r="H129" t="s">
        <v>4724</v>
      </c>
      <c r="I129" s="2">
        <v>1.7361111111111112E-2</v>
      </c>
      <c r="J129" t="s">
        <v>398</v>
      </c>
      <c r="K129" t="s">
        <v>4675</v>
      </c>
      <c r="L129" t="s">
        <v>111</v>
      </c>
      <c r="M129" t="s">
        <v>23</v>
      </c>
      <c r="N129">
        <v>1</v>
      </c>
      <c r="O129">
        <v>0</v>
      </c>
      <c r="P129">
        <v>1</v>
      </c>
      <c r="Q129" t="s">
        <v>176</v>
      </c>
      <c r="R129" t="s">
        <v>176</v>
      </c>
      <c r="S129" t="s">
        <v>122</v>
      </c>
      <c r="T129" t="s">
        <v>4385</v>
      </c>
      <c r="U129" t="s">
        <v>23</v>
      </c>
      <c r="V129" t="s">
        <v>3997</v>
      </c>
      <c r="W129" t="s">
        <v>176</v>
      </c>
      <c r="Y129">
        <v>259</v>
      </c>
      <c r="AA129">
        <v>7</v>
      </c>
      <c r="AB129" s="19">
        <v>63.721550000000001</v>
      </c>
      <c r="AC129" s="19">
        <v>148.98175000000001</v>
      </c>
      <c r="AD129" t="s">
        <v>115</v>
      </c>
      <c r="AE129" t="s">
        <v>115</v>
      </c>
      <c r="AF129" t="s">
        <v>115</v>
      </c>
      <c r="AG129">
        <v>0</v>
      </c>
      <c r="AH129">
        <v>0</v>
      </c>
      <c r="AI129">
        <v>0</v>
      </c>
      <c r="AJ129">
        <v>0</v>
      </c>
      <c r="AK129">
        <v>0</v>
      </c>
      <c r="AL129">
        <v>0</v>
      </c>
      <c r="AM129">
        <v>0</v>
      </c>
      <c r="AO129" t="s">
        <v>4658</v>
      </c>
    </row>
    <row r="130" spans="1:41" x14ac:dyDescent="0.2">
      <c r="A130" t="s">
        <v>4273</v>
      </c>
      <c r="B130" t="s">
        <v>4275</v>
      </c>
      <c r="C130">
        <v>9</v>
      </c>
      <c r="D130">
        <v>3</v>
      </c>
      <c r="E130" t="s">
        <v>213</v>
      </c>
      <c r="F130" s="1">
        <v>43688</v>
      </c>
      <c r="G130" t="s">
        <v>4031</v>
      </c>
      <c r="H130" t="s">
        <v>4724</v>
      </c>
      <c r="I130" s="2">
        <v>6.8749999999999992E-2</v>
      </c>
      <c r="J130" t="s">
        <v>640</v>
      </c>
      <c r="K130" t="s">
        <v>4258</v>
      </c>
      <c r="L130" t="s">
        <v>111</v>
      </c>
      <c r="M130" t="s">
        <v>23</v>
      </c>
      <c r="N130">
        <v>0</v>
      </c>
      <c r="O130">
        <v>0</v>
      </c>
      <c r="P130">
        <v>1</v>
      </c>
      <c r="Q130" t="s">
        <v>176</v>
      </c>
      <c r="R130" t="s">
        <v>176</v>
      </c>
      <c r="S130" t="s">
        <v>176</v>
      </c>
      <c r="T130" t="s">
        <v>4168</v>
      </c>
      <c r="U130" t="s">
        <v>23</v>
      </c>
      <c r="V130" t="s">
        <v>3997</v>
      </c>
      <c r="W130" t="s">
        <v>4022</v>
      </c>
      <c r="Y130">
        <v>260</v>
      </c>
      <c r="AA130" t="s">
        <v>176</v>
      </c>
      <c r="AB130" s="19">
        <v>63.718780000000002</v>
      </c>
      <c r="AC130" s="19">
        <v>148.97704999999999</v>
      </c>
      <c r="AD130" t="s">
        <v>115</v>
      </c>
      <c r="AE130" t="s">
        <v>115</v>
      </c>
      <c r="AF130" t="s">
        <v>115</v>
      </c>
      <c r="AG130">
        <v>0</v>
      </c>
      <c r="AH130">
        <v>0</v>
      </c>
      <c r="AI130">
        <v>0</v>
      </c>
      <c r="AJ130">
        <v>0</v>
      </c>
      <c r="AK130">
        <v>0</v>
      </c>
      <c r="AL130">
        <v>0</v>
      </c>
      <c r="AM130">
        <v>0</v>
      </c>
    </row>
    <row r="131" spans="1:41" x14ac:dyDescent="0.2">
      <c r="A131" t="s">
        <v>4559</v>
      </c>
      <c r="B131" t="s">
        <v>4560</v>
      </c>
      <c r="C131">
        <v>3</v>
      </c>
      <c r="D131">
        <v>1</v>
      </c>
      <c r="E131" t="s">
        <v>791</v>
      </c>
      <c r="F131" s="1">
        <v>43699</v>
      </c>
      <c r="G131" t="s">
        <v>4031</v>
      </c>
      <c r="H131" t="s">
        <v>4724</v>
      </c>
      <c r="I131" s="2">
        <v>4.6527777777777779E-2</v>
      </c>
      <c r="J131" t="s">
        <v>398</v>
      </c>
      <c r="K131" t="s">
        <v>4280</v>
      </c>
      <c r="L131" t="s">
        <v>102</v>
      </c>
      <c r="M131" t="s">
        <v>23</v>
      </c>
      <c r="N131">
        <v>1</v>
      </c>
      <c r="O131">
        <v>0</v>
      </c>
      <c r="P131">
        <v>1</v>
      </c>
      <c r="Q131" t="s">
        <v>112</v>
      </c>
      <c r="R131" t="s">
        <v>4557</v>
      </c>
      <c r="S131" t="s">
        <v>122</v>
      </c>
      <c r="T131" t="s">
        <v>4385</v>
      </c>
      <c r="U131" t="s">
        <v>23</v>
      </c>
      <c r="V131" t="s">
        <v>3997</v>
      </c>
      <c r="W131" t="s">
        <v>3810</v>
      </c>
      <c r="Y131">
        <v>260</v>
      </c>
      <c r="AA131">
        <v>8</v>
      </c>
      <c r="AB131" s="19">
        <v>63.72137</v>
      </c>
      <c r="AC131" s="19">
        <v>148.96625</v>
      </c>
      <c r="AD131" t="s">
        <v>115</v>
      </c>
      <c r="AE131" t="s">
        <v>115</v>
      </c>
      <c r="AF131" t="s">
        <v>115</v>
      </c>
      <c r="AG131">
        <v>0</v>
      </c>
      <c r="AH131">
        <v>0</v>
      </c>
      <c r="AI131">
        <v>0</v>
      </c>
      <c r="AJ131">
        <v>0</v>
      </c>
      <c r="AK131">
        <v>19</v>
      </c>
      <c r="AL131">
        <v>0</v>
      </c>
      <c r="AM131">
        <v>19</v>
      </c>
    </row>
    <row r="132" spans="1:41" x14ac:dyDescent="0.2">
      <c r="A132" t="s">
        <v>4546</v>
      </c>
      <c r="B132" t="s">
        <v>4547</v>
      </c>
      <c r="C132">
        <v>6</v>
      </c>
      <c r="D132">
        <v>1</v>
      </c>
      <c r="E132" t="s">
        <v>2586</v>
      </c>
      <c r="F132" s="1">
        <v>43699</v>
      </c>
      <c r="G132" t="s">
        <v>4031</v>
      </c>
      <c r="H132" t="s">
        <v>4724</v>
      </c>
      <c r="I132" s="2">
        <v>4.6527777777777779E-2</v>
      </c>
      <c r="J132" t="s">
        <v>398</v>
      </c>
      <c r="K132" t="s">
        <v>4339</v>
      </c>
      <c r="L132" t="s">
        <v>4412</v>
      </c>
      <c r="M132" t="s">
        <v>23</v>
      </c>
      <c r="N132">
        <v>1</v>
      </c>
      <c r="O132">
        <v>0</v>
      </c>
      <c r="P132">
        <v>1</v>
      </c>
      <c r="Q132" t="s">
        <v>176</v>
      </c>
      <c r="R132" t="s">
        <v>176</v>
      </c>
      <c r="S132" t="s">
        <v>333</v>
      </c>
      <c r="T132" t="s">
        <v>1035</v>
      </c>
      <c r="U132" t="s">
        <v>23</v>
      </c>
      <c r="V132" t="s">
        <v>3997</v>
      </c>
      <c r="W132" t="s">
        <v>4006</v>
      </c>
      <c r="Y132">
        <v>263</v>
      </c>
      <c r="AA132">
        <v>0</v>
      </c>
      <c r="AB132" s="19">
        <v>63.723080000000003</v>
      </c>
      <c r="AC132" s="19">
        <v>148.88818000000001</v>
      </c>
      <c r="AD132" t="s">
        <v>115</v>
      </c>
      <c r="AE132" t="s">
        <v>115</v>
      </c>
      <c r="AF132" t="s">
        <v>115</v>
      </c>
      <c r="AG132">
        <v>0</v>
      </c>
      <c r="AH132">
        <v>0</v>
      </c>
      <c r="AI132">
        <v>0</v>
      </c>
      <c r="AJ132">
        <v>0</v>
      </c>
      <c r="AK132">
        <v>0</v>
      </c>
      <c r="AL132">
        <v>0</v>
      </c>
      <c r="AM132">
        <v>0</v>
      </c>
    </row>
    <row r="133" spans="1:41" x14ac:dyDescent="0.2">
      <c r="A133" t="s">
        <v>3232</v>
      </c>
      <c r="B133" t="s">
        <v>3233</v>
      </c>
      <c r="C133">
        <v>3</v>
      </c>
      <c r="D133">
        <v>1</v>
      </c>
      <c r="E133" t="s">
        <v>791</v>
      </c>
      <c r="F133" s="1">
        <v>43572</v>
      </c>
      <c r="G133" s="1" t="s">
        <v>4027</v>
      </c>
      <c r="H133" s="1"/>
      <c r="I133" s="2">
        <v>4.7916666666666663E-2</v>
      </c>
      <c r="J133" t="s">
        <v>3187</v>
      </c>
      <c r="K133" t="s">
        <v>924</v>
      </c>
      <c r="L133" t="s">
        <v>111</v>
      </c>
      <c r="M133" t="s">
        <v>115</v>
      </c>
      <c r="N133">
        <v>0</v>
      </c>
      <c r="O133">
        <v>0</v>
      </c>
      <c r="P133">
        <v>1</v>
      </c>
      <c r="Q133" t="s">
        <v>598</v>
      </c>
      <c r="R133" s="5" t="s">
        <v>2801</v>
      </c>
      <c r="S133" s="5" t="s">
        <v>115</v>
      </c>
      <c r="T133" s="5" t="s">
        <v>2068</v>
      </c>
      <c r="U133" s="5" t="s">
        <v>23</v>
      </c>
      <c r="V133" s="5" t="s">
        <v>3997</v>
      </c>
      <c r="W133" s="5" t="s">
        <v>4005</v>
      </c>
      <c r="X133" s="5" t="s">
        <v>3238</v>
      </c>
      <c r="Y133" s="5">
        <v>265</v>
      </c>
      <c r="Z133" s="5"/>
      <c r="AA133" s="5">
        <v>9</v>
      </c>
      <c r="AB133" s="5">
        <v>63.725189999999998</v>
      </c>
      <c r="AC133" s="5">
        <v>148.96460999999999</v>
      </c>
      <c r="AD133" s="5" t="s">
        <v>115</v>
      </c>
      <c r="AE133" s="5" t="s">
        <v>115</v>
      </c>
      <c r="AF133" s="5" t="s">
        <v>115</v>
      </c>
      <c r="AG133" s="5">
        <v>0</v>
      </c>
      <c r="AH133" s="5">
        <v>0</v>
      </c>
      <c r="AI133" s="5">
        <v>0</v>
      </c>
      <c r="AJ133" s="5">
        <v>0</v>
      </c>
      <c r="AK133" s="5">
        <v>0</v>
      </c>
      <c r="AL133">
        <v>0</v>
      </c>
    </row>
    <row r="134" spans="1:41" x14ac:dyDescent="0.2">
      <c r="A134" t="s">
        <v>4362</v>
      </c>
      <c r="B134" t="s">
        <v>4361</v>
      </c>
      <c r="C134">
        <v>4</v>
      </c>
      <c r="D134">
        <v>1</v>
      </c>
      <c r="E134" t="s">
        <v>213</v>
      </c>
      <c r="F134" s="1">
        <v>43692</v>
      </c>
      <c r="G134" t="s">
        <v>4031</v>
      </c>
      <c r="H134" t="s">
        <v>4724</v>
      </c>
      <c r="I134" s="2">
        <v>8.3333333333333332E-3</v>
      </c>
      <c r="J134" t="s">
        <v>4358</v>
      </c>
      <c r="K134" t="s">
        <v>241</v>
      </c>
      <c r="L134" t="s">
        <v>111</v>
      </c>
      <c r="M134" t="s">
        <v>23</v>
      </c>
      <c r="N134">
        <v>1</v>
      </c>
      <c r="O134">
        <v>0</v>
      </c>
      <c r="P134">
        <v>1</v>
      </c>
      <c r="Q134" t="s">
        <v>176</v>
      </c>
      <c r="R134" t="s">
        <v>176</v>
      </c>
      <c r="S134" t="s">
        <v>122</v>
      </c>
      <c r="T134" t="s">
        <v>709</v>
      </c>
      <c r="U134" t="s">
        <v>23</v>
      </c>
      <c r="V134" t="s">
        <v>4004</v>
      </c>
      <c r="W134" t="s">
        <v>4022</v>
      </c>
      <c r="Y134">
        <v>265</v>
      </c>
      <c r="AA134" t="s">
        <v>176</v>
      </c>
      <c r="AB134" s="19">
        <v>63.718510000000002</v>
      </c>
      <c r="AC134" s="19">
        <v>148.97434999999999</v>
      </c>
      <c r="AD134" t="s">
        <v>115</v>
      </c>
      <c r="AE134" t="s">
        <v>115</v>
      </c>
      <c r="AF134" t="s">
        <v>115</v>
      </c>
      <c r="AG134">
        <v>0</v>
      </c>
      <c r="AH134">
        <v>0</v>
      </c>
      <c r="AI134">
        <v>0</v>
      </c>
      <c r="AJ134">
        <v>0</v>
      </c>
      <c r="AK134">
        <v>0</v>
      </c>
      <c r="AL134">
        <v>0</v>
      </c>
      <c r="AM134">
        <v>0</v>
      </c>
    </row>
    <row r="135" spans="1:41" x14ac:dyDescent="0.2">
      <c r="A135" t="s">
        <v>2555</v>
      </c>
      <c r="B135" t="s">
        <v>2556</v>
      </c>
      <c r="C135">
        <v>5</v>
      </c>
      <c r="D135">
        <v>1</v>
      </c>
      <c r="E135" t="s">
        <v>324</v>
      </c>
      <c r="F135" s="1">
        <v>43550</v>
      </c>
      <c r="G135" s="1" t="s">
        <v>4026</v>
      </c>
      <c r="H135" s="1"/>
      <c r="I135" s="2">
        <v>4.5833333333333337E-2</v>
      </c>
      <c r="J135" s="5" t="s">
        <v>640</v>
      </c>
      <c r="K135" t="s">
        <v>325</v>
      </c>
      <c r="L135" t="s">
        <v>187</v>
      </c>
      <c r="M135" t="s">
        <v>23</v>
      </c>
      <c r="N135">
        <v>1</v>
      </c>
      <c r="O135">
        <v>0</v>
      </c>
      <c r="P135">
        <v>1</v>
      </c>
      <c r="Q135" t="s">
        <v>14</v>
      </c>
      <c r="R135" t="s">
        <v>2557</v>
      </c>
      <c r="S135" t="s">
        <v>122</v>
      </c>
      <c r="T135" t="s">
        <v>1035</v>
      </c>
      <c r="U135" s="5" t="s">
        <v>23</v>
      </c>
      <c r="V135" s="5" t="s">
        <v>3997</v>
      </c>
      <c r="W135" s="5" t="s">
        <v>4006</v>
      </c>
      <c r="X135" t="s">
        <v>2558</v>
      </c>
      <c r="Y135">
        <v>270</v>
      </c>
      <c r="Z135">
        <f>COUNT(Y92:Y135)</f>
        <v>44</v>
      </c>
      <c r="AA135">
        <v>10</v>
      </c>
      <c r="AB135">
        <v>63.723640000000003</v>
      </c>
      <c r="AC135">
        <v>148.89089999999999</v>
      </c>
      <c r="AG135">
        <v>0</v>
      </c>
      <c r="AH135">
        <v>0</v>
      </c>
      <c r="AI135">
        <v>0</v>
      </c>
      <c r="AJ135">
        <v>0</v>
      </c>
      <c r="AK135">
        <v>4</v>
      </c>
      <c r="AL135">
        <v>4</v>
      </c>
      <c r="AM135" t="s">
        <v>188</v>
      </c>
    </row>
    <row r="136" spans="1:41" x14ac:dyDescent="0.2">
      <c r="A136" t="s">
        <v>4373</v>
      </c>
      <c r="B136" t="s">
        <v>4374</v>
      </c>
      <c r="C136">
        <v>9</v>
      </c>
      <c r="D136">
        <v>1</v>
      </c>
      <c r="E136" t="s">
        <v>213</v>
      </c>
      <c r="F136" s="1">
        <v>43692</v>
      </c>
      <c r="G136" t="s">
        <v>4031</v>
      </c>
      <c r="H136" t="s">
        <v>4724</v>
      </c>
      <c r="I136" s="2">
        <v>2.361111111111111E-2</v>
      </c>
      <c r="J136" t="s">
        <v>4358</v>
      </c>
      <c r="K136" t="s">
        <v>4163</v>
      </c>
      <c r="L136" t="s">
        <v>111</v>
      </c>
      <c r="M136" t="s">
        <v>23</v>
      </c>
      <c r="N136">
        <v>0</v>
      </c>
      <c r="O136">
        <v>0</v>
      </c>
      <c r="P136">
        <v>1</v>
      </c>
      <c r="Q136" t="s">
        <v>176</v>
      </c>
      <c r="R136" t="s">
        <v>176</v>
      </c>
      <c r="S136" t="s">
        <v>176</v>
      </c>
      <c r="T136" t="s">
        <v>4295</v>
      </c>
      <c r="U136" t="s">
        <v>23</v>
      </c>
      <c r="V136" t="s">
        <v>4004</v>
      </c>
      <c r="W136" t="s">
        <v>4022</v>
      </c>
      <c r="Y136">
        <v>274</v>
      </c>
      <c r="AA136" t="s">
        <v>115</v>
      </c>
      <c r="AB136" s="19">
        <v>63.717779999999998</v>
      </c>
      <c r="AC136" s="19">
        <v>148.97417999999999</v>
      </c>
      <c r="AD136" t="s">
        <v>115</v>
      </c>
      <c r="AE136" t="s">
        <v>115</v>
      </c>
      <c r="AF136" t="s">
        <v>115</v>
      </c>
      <c r="AG136">
        <v>0</v>
      </c>
      <c r="AH136">
        <v>0</v>
      </c>
      <c r="AI136">
        <v>0</v>
      </c>
      <c r="AJ136">
        <v>0</v>
      </c>
      <c r="AK136">
        <v>0</v>
      </c>
      <c r="AL136">
        <v>0</v>
      </c>
      <c r="AM136">
        <v>0</v>
      </c>
    </row>
    <row r="137" spans="1:41" x14ac:dyDescent="0.2">
      <c r="A137" t="s">
        <v>4645</v>
      </c>
      <c r="B137" t="s">
        <v>4646</v>
      </c>
      <c r="C137">
        <v>5</v>
      </c>
      <c r="D137">
        <v>1</v>
      </c>
      <c r="E137" t="s">
        <v>395</v>
      </c>
      <c r="F137" s="1">
        <v>43705</v>
      </c>
      <c r="G137" t="s">
        <v>4031</v>
      </c>
      <c r="H137" t="s">
        <v>4724</v>
      </c>
      <c r="I137" s="2">
        <v>3.1944444444444449E-2</v>
      </c>
      <c r="J137" t="s">
        <v>398</v>
      </c>
      <c r="K137" t="s">
        <v>2498</v>
      </c>
      <c r="L137" t="s">
        <v>568</v>
      </c>
      <c r="M137" t="s">
        <v>23</v>
      </c>
      <c r="N137">
        <v>1</v>
      </c>
      <c r="O137">
        <v>0</v>
      </c>
      <c r="P137">
        <v>1</v>
      </c>
      <c r="Q137" t="s">
        <v>176</v>
      </c>
      <c r="R137" t="s">
        <v>176</v>
      </c>
      <c r="S137" t="s">
        <v>122</v>
      </c>
      <c r="T137" t="s">
        <v>4604</v>
      </c>
      <c r="U137" t="s">
        <v>23</v>
      </c>
      <c r="V137" t="s">
        <v>3999</v>
      </c>
      <c r="W137" t="s">
        <v>2179</v>
      </c>
      <c r="Y137">
        <v>275</v>
      </c>
      <c r="AA137">
        <v>13</v>
      </c>
      <c r="AB137" s="19">
        <v>63.720410000000001</v>
      </c>
      <c r="AC137" s="19">
        <v>148.98446999999999</v>
      </c>
      <c r="AD137" t="s">
        <v>115</v>
      </c>
      <c r="AE137" t="s">
        <v>115</v>
      </c>
      <c r="AF137" t="s">
        <v>115</v>
      </c>
      <c r="AG137">
        <v>0</v>
      </c>
      <c r="AH137">
        <v>0</v>
      </c>
      <c r="AI137">
        <v>0</v>
      </c>
      <c r="AJ137">
        <v>0</v>
      </c>
      <c r="AK137">
        <v>8</v>
      </c>
      <c r="AL137">
        <v>0</v>
      </c>
      <c r="AM137">
        <v>8</v>
      </c>
    </row>
    <row r="138" spans="1:41" x14ac:dyDescent="0.2">
      <c r="A138" t="s">
        <v>2753</v>
      </c>
      <c r="B138" t="s">
        <v>2754</v>
      </c>
      <c r="C138">
        <v>13</v>
      </c>
      <c r="D138">
        <v>1</v>
      </c>
      <c r="E138" t="s">
        <v>834</v>
      </c>
      <c r="F138" s="1">
        <v>43554</v>
      </c>
      <c r="G138" s="1" t="s">
        <v>4026</v>
      </c>
      <c r="H138" s="1"/>
      <c r="I138" s="2">
        <v>5.347222222222222E-2</v>
      </c>
      <c r="K138" t="s">
        <v>466</v>
      </c>
      <c r="L138" t="s">
        <v>242</v>
      </c>
      <c r="M138" t="s">
        <v>115</v>
      </c>
      <c r="N138">
        <v>0</v>
      </c>
      <c r="O138">
        <v>0</v>
      </c>
      <c r="P138">
        <v>1</v>
      </c>
      <c r="Q138" t="s">
        <v>598</v>
      </c>
      <c r="R138" s="5" t="s">
        <v>2802</v>
      </c>
      <c r="S138" s="5" t="s">
        <v>115</v>
      </c>
      <c r="T138" s="5" t="s">
        <v>2088</v>
      </c>
      <c r="U138" s="5" t="s">
        <v>23</v>
      </c>
      <c r="V138" s="5" t="s">
        <v>3997</v>
      </c>
      <c r="W138" s="5" t="s">
        <v>4021</v>
      </c>
      <c r="X138" s="5" t="s">
        <v>2558</v>
      </c>
      <c r="Y138">
        <v>280</v>
      </c>
      <c r="AA138">
        <v>19</v>
      </c>
      <c r="AB138">
        <v>63.740380000000002</v>
      </c>
      <c r="AC138">
        <v>148.90360999999999</v>
      </c>
      <c r="AD138" s="5" t="s">
        <v>115</v>
      </c>
      <c r="AE138" s="5" t="s">
        <v>115</v>
      </c>
      <c r="AF138" s="5"/>
      <c r="AG138">
        <v>0</v>
      </c>
      <c r="AH138">
        <v>0</v>
      </c>
      <c r="AI138">
        <v>0</v>
      </c>
      <c r="AJ138">
        <v>0</v>
      </c>
      <c r="AK138">
        <v>0</v>
      </c>
      <c r="AL138">
        <v>0</v>
      </c>
      <c r="AN138" t="s">
        <v>2755</v>
      </c>
    </row>
    <row r="139" spans="1:41" x14ac:dyDescent="0.2">
      <c r="A139" t="s">
        <v>2815</v>
      </c>
      <c r="B139" t="s">
        <v>2816</v>
      </c>
      <c r="C139">
        <v>14</v>
      </c>
      <c r="D139">
        <v>1</v>
      </c>
      <c r="E139" t="s">
        <v>138</v>
      </c>
      <c r="F139" s="1">
        <v>43556</v>
      </c>
      <c r="G139" s="1" t="s">
        <v>4027</v>
      </c>
      <c r="H139" s="1"/>
      <c r="I139" s="2">
        <v>9.1666666666666674E-2</v>
      </c>
      <c r="K139" t="s">
        <v>173</v>
      </c>
      <c r="L139" t="s">
        <v>187</v>
      </c>
      <c r="M139" t="s">
        <v>23</v>
      </c>
      <c r="N139">
        <v>1</v>
      </c>
      <c r="O139">
        <v>0</v>
      </c>
      <c r="P139">
        <v>1</v>
      </c>
      <c r="Q139" t="s">
        <v>176</v>
      </c>
      <c r="R139" s="5" t="s">
        <v>24</v>
      </c>
      <c r="S139" s="5" t="s">
        <v>122</v>
      </c>
      <c r="T139" s="5" t="s">
        <v>2088</v>
      </c>
      <c r="U139" s="5" t="s">
        <v>23</v>
      </c>
      <c r="V139" s="5" t="s">
        <v>3997</v>
      </c>
      <c r="W139" s="5" t="s">
        <v>4021</v>
      </c>
      <c r="X139" s="5" t="s">
        <v>2558</v>
      </c>
      <c r="Y139">
        <v>280</v>
      </c>
      <c r="AA139">
        <v>5</v>
      </c>
      <c r="AB139">
        <v>63.724850000000004</v>
      </c>
      <c r="AC139">
        <v>148.95644999999999</v>
      </c>
      <c r="AD139">
        <v>0</v>
      </c>
      <c r="AE139">
        <v>0</v>
      </c>
      <c r="AG139">
        <v>0</v>
      </c>
      <c r="AH139">
        <v>0</v>
      </c>
      <c r="AI139">
        <v>0</v>
      </c>
      <c r="AJ139">
        <v>0</v>
      </c>
      <c r="AK139">
        <v>0</v>
      </c>
      <c r="AL139">
        <v>0</v>
      </c>
      <c r="AN139" t="s">
        <v>2817</v>
      </c>
    </row>
    <row r="140" spans="1:41" x14ac:dyDescent="0.2">
      <c r="A140" t="s">
        <v>4424</v>
      </c>
      <c r="B140" t="s">
        <v>4422</v>
      </c>
      <c r="C140">
        <v>6</v>
      </c>
      <c r="D140">
        <v>1</v>
      </c>
      <c r="E140" t="s">
        <v>395</v>
      </c>
      <c r="F140" s="1">
        <v>43694</v>
      </c>
      <c r="G140" t="s">
        <v>4031</v>
      </c>
      <c r="H140" t="s">
        <v>4724</v>
      </c>
      <c r="I140" s="2">
        <v>5.5555555555555558E-3</v>
      </c>
      <c r="J140" t="s">
        <v>398</v>
      </c>
      <c r="K140" t="s">
        <v>4250</v>
      </c>
      <c r="L140" t="s">
        <v>111</v>
      </c>
      <c r="M140" t="s">
        <v>23</v>
      </c>
      <c r="N140">
        <v>0</v>
      </c>
      <c r="O140">
        <v>0</v>
      </c>
      <c r="P140">
        <v>1</v>
      </c>
      <c r="Q140" t="s">
        <v>112</v>
      </c>
      <c r="R140" t="s">
        <v>4329</v>
      </c>
      <c r="S140" t="s">
        <v>115</v>
      </c>
      <c r="T140" t="s">
        <v>333</v>
      </c>
      <c r="U140" t="s">
        <v>23</v>
      </c>
      <c r="V140" t="s">
        <v>3999</v>
      </c>
      <c r="W140" t="s">
        <v>4006</v>
      </c>
      <c r="Y140">
        <v>281</v>
      </c>
      <c r="AA140">
        <v>2</v>
      </c>
      <c r="AB140" s="19">
        <v>63.721559999999997</v>
      </c>
      <c r="AC140" s="19">
        <v>148.98737</v>
      </c>
      <c r="AD140" t="s">
        <v>115</v>
      </c>
      <c r="AE140" t="s">
        <v>115</v>
      </c>
      <c r="AF140" t="s">
        <v>115</v>
      </c>
      <c r="AG140">
        <v>0</v>
      </c>
      <c r="AH140">
        <v>0</v>
      </c>
      <c r="AI140">
        <v>0</v>
      </c>
      <c r="AJ140">
        <v>0</v>
      </c>
      <c r="AK140">
        <v>0</v>
      </c>
      <c r="AL140">
        <v>0</v>
      </c>
      <c r="AM140">
        <v>0</v>
      </c>
    </row>
    <row r="141" spans="1:41" x14ac:dyDescent="0.2">
      <c r="A141" t="s">
        <v>4270</v>
      </c>
      <c r="B141" t="s">
        <v>4271</v>
      </c>
      <c r="C141">
        <v>7</v>
      </c>
      <c r="D141">
        <v>1</v>
      </c>
      <c r="E141" t="s">
        <v>213</v>
      </c>
      <c r="F141" s="1">
        <v>43688</v>
      </c>
      <c r="G141" t="s">
        <v>4031</v>
      </c>
      <c r="H141" t="s">
        <v>4724</v>
      </c>
      <c r="I141" s="2">
        <v>2.2916666666666669E-2</v>
      </c>
      <c r="J141" t="s">
        <v>640</v>
      </c>
      <c r="K141" t="s">
        <v>4258</v>
      </c>
      <c r="L141" t="s">
        <v>102</v>
      </c>
      <c r="M141" t="s">
        <v>23</v>
      </c>
      <c r="N141">
        <v>0</v>
      </c>
      <c r="O141">
        <v>0</v>
      </c>
      <c r="P141">
        <v>1</v>
      </c>
      <c r="Q141" t="s">
        <v>176</v>
      </c>
      <c r="R141" t="s">
        <v>176</v>
      </c>
      <c r="S141" t="s">
        <v>176</v>
      </c>
      <c r="T141" t="s">
        <v>115</v>
      </c>
      <c r="U141" t="s">
        <v>23</v>
      </c>
      <c r="V141" t="s">
        <v>4004</v>
      </c>
      <c r="W141" t="s">
        <v>4022</v>
      </c>
      <c r="Y141">
        <v>284</v>
      </c>
      <c r="AA141" t="s">
        <v>176</v>
      </c>
      <c r="AB141" s="19">
        <v>63.718960000000003</v>
      </c>
      <c r="AC141" s="19">
        <v>148.97684000000001</v>
      </c>
      <c r="AD141" t="s">
        <v>115</v>
      </c>
      <c r="AE141" t="s">
        <v>115</v>
      </c>
      <c r="AF141" t="s">
        <v>115</v>
      </c>
      <c r="AG141">
        <v>0</v>
      </c>
      <c r="AH141">
        <v>0</v>
      </c>
      <c r="AI141">
        <v>0</v>
      </c>
      <c r="AJ141">
        <v>0</v>
      </c>
      <c r="AK141">
        <v>0</v>
      </c>
      <c r="AL141">
        <v>0</v>
      </c>
      <c r="AM141">
        <v>0</v>
      </c>
    </row>
    <row r="142" spans="1:41" x14ac:dyDescent="0.2">
      <c r="A142" t="s">
        <v>4251</v>
      </c>
      <c r="B142" t="s">
        <v>4252</v>
      </c>
      <c r="C142">
        <v>4</v>
      </c>
      <c r="D142">
        <v>1</v>
      </c>
      <c r="E142" t="s">
        <v>395</v>
      </c>
      <c r="F142" s="1">
        <v>43688</v>
      </c>
      <c r="G142" t="s">
        <v>4031</v>
      </c>
      <c r="H142" t="s">
        <v>4724</v>
      </c>
      <c r="I142" s="2">
        <v>5.347222222222222E-2</v>
      </c>
      <c r="J142" t="s">
        <v>640</v>
      </c>
      <c r="K142" t="s">
        <v>4250</v>
      </c>
      <c r="L142" t="s">
        <v>568</v>
      </c>
      <c r="M142" t="s">
        <v>23</v>
      </c>
      <c r="N142">
        <v>1</v>
      </c>
      <c r="O142">
        <v>0</v>
      </c>
      <c r="P142">
        <v>1</v>
      </c>
      <c r="Q142" t="s">
        <v>112</v>
      </c>
      <c r="R142" t="s">
        <v>4249</v>
      </c>
      <c r="S142" t="s">
        <v>122</v>
      </c>
      <c r="T142" t="s">
        <v>4168</v>
      </c>
      <c r="U142" t="s">
        <v>23</v>
      </c>
      <c r="V142" t="s">
        <v>3997</v>
      </c>
      <c r="W142" t="s">
        <v>4022</v>
      </c>
      <c r="Y142">
        <v>287</v>
      </c>
      <c r="AA142">
        <v>5</v>
      </c>
      <c r="AB142" s="19">
        <v>63.721490000000003</v>
      </c>
      <c r="AC142" s="19">
        <v>148.98625000000001</v>
      </c>
      <c r="AD142" t="s">
        <v>115</v>
      </c>
      <c r="AE142" t="s">
        <v>115</v>
      </c>
      <c r="AF142" t="s">
        <v>115</v>
      </c>
      <c r="AG142">
        <v>0</v>
      </c>
      <c r="AH142">
        <v>0</v>
      </c>
      <c r="AI142">
        <v>0</v>
      </c>
      <c r="AJ142">
        <v>0</v>
      </c>
      <c r="AK142">
        <v>11</v>
      </c>
      <c r="AL142">
        <v>0</v>
      </c>
      <c r="AM142">
        <v>11</v>
      </c>
    </row>
    <row r="143" spans="1:41" x14ac:dyDescent="0.2">
      <c r="A143" t="s">
        <v>4245</v>
      </c>
      <c r="B143" t="s">
        <v>4246</v>
      </c>
      <c r="C143">
        <v>2</v>
      </c>
      <c r="D143">
        <v>1</v>
      </c>
      <c r="E143" t="s">
        <v>395</v>
      </c>
      <c r="F143" s="1">
        <v>43688</v>
      </c>
      <c r="G143" t="s">
        <v>4031</v>
      </c>
      <c r="H143" t="s">
        <v>4724</v>
      </c>
      <c r="I143" s="2">
        <v>2.013888888888889E-2</v>
      </c>
      <c r="J143" t="s">
        <v>640</v>
      </c>
      <c r="K143" t="s">
        <v>4243</v>
      </c>
      <c r="L143" t="s">
        <v>111</v>
      </c>
      <c r="M143" t="s">
        <v>23</v>
      </c>
      <c r="N143">
        <v>0</v>
      </c>
      <c r="O143">
        <v>0</v>
      </c>
      <c r="P143">
        <v>1</v>
      </c>
      <c r="Q143" t="s">
        <v>176</v>
      </c>
      <c r="R143" t="s">
        <v>176</v>
      </c>
      <c r="S143" t="s">
        <v>176</v>
      </c>
      <c r="T143" t="s">
        <v>709</v>
      </c>
      <c r="U143" t="s">
        <v>23</v>
      </c>
      <c r="V143" t="s">
        <v>4004</v>
      </c>
      <c r="W143" t="s">
        <v>4022</v>
      </c>
      <c r="Y143">
        <v>288</v>
      </c>
      <c r="AA143" t="s">
        <v>176</v>
      </c>
      <c r="AB143" s="19">
        <v>63.721469999999997</v>
      </c>
      <c r="AC143" s="19">
        <v>148.98651000000001</v>
      </c>
      <c r="AD143" t="s">
        <v>115</v>
      </c>
      <c r="AE143" t="s">
        <v>115</v>
      </c>
      <c r="AF143" t="s">
        <v>115</v>
      </c>
      <c r="AG143">
        <v>0</v>
      </c>
      <c r="AH143">
        <v>0</v>
      </c>
      <c r="AI143">
        <v>0</v>
      </c>
      <c r="AJ143">
        <v>0</v>
      </c>
      <c r="AK143">
        <v>0</v>
      </c>
      <c r="AL143">
        <v>0</v>
      </c>
      <c r="AM143">
        <v>0</v>
      </c>
    </row>
    <row r="144" spans="1:41" x14ac:dyDescent="0.2">
      <c r="A144" t="s">
        <v>4356</v>
      </c>
      <c r="B144" t="s">
        <v>4357</v>
      </c>
      <c r="C144">
        <v>1</v>
      </c>
      <c r="D144">
        <v>1</v>
      </c>
      <c r="E144" t="s">
        <v>213</v>
      </c>
      <c r="F144" s="1">
        <v>43692</v>
      </c>
      <c r="G144" t="s">
        <v>4031</v>
      </c>
      <c r="H144" t="s">
        <v>4724</v>
      </c>
      <c r="I144" s="2">
        <v>2.7083333333333334E-2</v>
      </c>
      <c r="J144" t="s">
        <v>4358</v>
      </c>
      <c r="K144" t="s">
        <v>1742</v>
      </c>
      <c r="L144" t="s">
        <v>111</v>
      </c>
      <c r="M144" t="s">
        <v>23</v>
      </c>
      <c r="N144">
        <v>1</v>
      </c>
      <c r="P144">
        <v>1</v>
      </c>
      <c r="Q144" t="s">
        <v>176</v>
      </c>
      <c r="R144" t="s">
        <v>176</v>
      </c>
      <c r="S144" t="s">
        <v>122</v>
      </c>
      <c r="T144" t="s">
        <v>709</v>
      </c>
      <c r="U144" t="s">
        <v>23</v>
      </c>
      <c r="V144" t="s">
        <v>4004</v>
      </c>
      <c r="W144" t="s">
        <v>4022</v>
      </c>
      <c r="Y144">
        <v>288</v>
      </c>
      <c r="AA144" t="s">
        <v>176</v>
      </c>
      <c r="AB144" s="19">
        <v>63.73507</v>
      </c>
      <c r="AC144" s="19">
        <v>148.91918999999999</v>
      </c>
      <c r="AD144" t="s">
        <v>115</v>
      </c>
      <c r="AE144" t="s">
        <v>115</v>
      </c>
      <c r="AF144" t="s">
        <v>115</v>
      </c>
      <c r="AG144">
        <v>0</v>
      </c>
      <c r="AH144">
        <v>0</v>
      </c>
      <c r="AI144">
        <v>0</v>
      </c>
      <c r="AJ144">
        <v>0</v>
      </c>
      <c r="AK144">
        <v>0</v>
      </c>
      <c r="AL144">
        <v>0</v>
      </c>
      <c r="AM144">
        <v>0</v>
      </c>
    </row>
    <row r="145" spans="1:41" x14ac:dyDescent="0.2">
      <c r="A145" t="s">
        <v>4673</v>
      </c>
      <c r="B145" t="s">
        <v>4674</v>
      </c>
      <c r="C145">
        <v>17</v>
      </c>
      <c r="D145">
        <v>1</v>
      </c>
      <c r="E145" t="s">
        <v>395</v>
      </c>
      <c r="F145" s="1">
        <v>43705</v>
      </c>
      <c r="G145" t="s">
        <v>4031</v>
      </c>
      <c r="H145" t="s">
        <v>4724</v>
      </c>
      <c r="I145" s="2">
        <v>1.1805555555555555E-2</v>
      </c>
      <c r="J145" t="s">
        <v>398</v>
      </c>
      <c r="K145" t="s">
        <v>4675</v>
      </c>
      <c r="L145" t="s">
        <v>4412</v>
      </c>
      <c r="M145" t="s">
        <v>23</v>
      </c>
      <c r="N145">
        <v>1</v>
      </c>
      <c r="O145">
        <v>0</v>
      </c>
      <c r="P145">
        <v>1</v>
      </c>
      <c r="Q145" t="s">
        <v>598</v>
      </c>
      <c r="R145" t="s">
        <v>4432</v>
      </c>
      <c r="S145" t="s">
        <v>122</v>
      </c>
      <c r="T145" t="s">
        <v>4385</v>
      </c>
      <c r="U145" t="s">
        <v>23</v>
      </c>
      <c r="V145" t="s">
        <v>3997</v>
      </c>
      <c r="W145" t="s">
        <v>176</v>
      </c>
      <c r="Y145">
        <v>290</v>
      </c>
      <c r="AA145">
        <v>11</v>
      </c>
      <c r="AB145" s="19">
        <v>63.721820000000001</v>
      </c>
      <c r="AC145" s="19">
        <v>148.98206999999999</v>
      </c>
      <c r="AD145" t="s">
        <v>115</v>
      </c>
      <c r="AE145" t="s">
        <v>115</v>
      </c>
      <c r="AF145" t="s">
        <v>115</v>
      </c>
      <c r="AG145">
        <v>0</v>
      </c>
      <c r="AH145">
        <v>0</v>
      </c>
      <c r="AI145">
        <v>0</v>
      </c>
      <c r="AJ145">
        <v>0</v>
      </c>
      <c r="AK145">
        <v>0</v>
      </c>
      <c r="AL145">
        <v>0</v>
      </c>
      <c r="AM145">
        <v>0</v>
      </c>
      <c r="AO145" t="s">
        <v>4676</v>
      </c>
    </row>
    <row r="146" spans="1:41" x14ac:dyDescent="0.2">
      <c r="A146" t="s">
        <v>4641</v>
      </c>
      <c r="B146" t="s">
        <v>4642</v>
      </c>
      <c r="C146">
        <v>4</v>
      </c>
      <c r="D146">
        <v>1</v>
      </c>
      <c r="E146" t="s">
        <v>395</v>
      </c>
      <c r="F146" s="1">
        <v>43705</v>
      </c>
      <c r="G146" t="s">
        <v>4031</v>
      </c>
      <c r="H146" t="s">
        <v>4724</v>
      </c>
      <c r="I146" s="2">
        <v>1.8055555555555557E-2</v>
      </c>
      <c r="J146" t="s">
        <v>398</v>
      </c>
      <c r="K146" t="s">
        <v>4250</v>
      </c>
      <c r="L146" t="s">
        <v>111</v>
      </c>
      <c r="M146" t="s">
        <v>115</v>
      </c>
      <c r="N146">
        <v>1</v>
      </c>
      <c r="O146">
        <v>0</v>
      </c>
      <c r="P146">
        <v>1</v>
      </c>
      <c r="Q146" t="s">
        <v>598</v>
      </c>
      <c r="R146" t="s">
        <v>4643</v>
      </c>
      <c r="S146" t="s">
        <v>122</v>
      </c>
      <c r="T146" t="s">
        <v>4604</v>
      </c>
      <c r="U146" t="s">
        <v>23</v>
      </c>
      <c r="V146" t="s">
        <v>3999</v>
      </c>
      <c r="W146" t="s">
        <v>2179</v>
      </c>
      <c r="Y146">
        <v>291</v>
      </c>
      <c r="AA146" t="s">
        <v>176</v>
      </c>
      <c r="AB146" s="19">
        <v>63.720359999999999</v>
      </c>
      <c r="AC146" s="19">
        <v>148.98394999999999</v>
      </c>
      <c r="AD146" t="s">
        <v>115</v>
      </c>
      <c r="AE146" t="s">
        <v>115</v>
      </c>
      <c r="AF146" t="s">
        <v>115</v>
      </c>
      <c r="AG146">
        <v>0</v>
      </c>
      <c r="AH146">
        <v>0</v>
      </c>
      <c r="AI146">
        <v>0</v>
      </c>
      <c r="AJ146">
        <v>0</v>
      </c>
      <c r="AK146">
        <v>0</v>
      </c>
      <c r="AL146">
        <v>0</v>
      </c>
      <c r="AM146">
        <v>0</v>
      </c>
      <c r="AO146" t="s">
        <v>4644</v>
      </c>
    </row>
    <row r="147" spans="1:41" x14ac:dyDescent="0.2">
      <c r="A147" t="s">
        <v>4166</v>
      </c>
      <c r="B147" t="s">
        <v>4167</v>
      </c>
      <c r="C147">
        <v>2</v>
      </c>
      <c r="D147">
        <v>1</v>
      </c>
      <c r="E147" t="s">
        <v>2537</v>
      </c>
      <c r="F147" s="1">
        <v>43686</v>
      </c>
      <c r="G147" t="s">
        <v>4031</v>
      </c>
      <c r="H147" t="s">
        <v>4724</v>
      </c>
      <c r="I147" s="2">
        <v>1.8749999999999999E-2</v>
      </c>
      <c r="J147" t="s">
        <v>1278</v>
      </c>
      <c r="K147" t="s">
        <v>363</v>
      </c>
      <c r="L147" t="s">
        <v>111</v>
      </c>
      <c r="M147" t="s">
        <v>23</v>
      </c>
      <c r="N147">
        <v>0</v>
      </c>
      <c r="O147">
        <v>0</v>
      </c>
      <c r="P147">
        <v>1</v>
      </c>
      <c r="Q147" t="s">
        <v>176</v>
      </c>
      <c r="R147" t="s">
        <v>176</v>
      </c>
      <c r="S147" t="s">
        <v>176</v>
      </c>
      <c r="T147" t="s">
        <v>4168</v>
      </c>
      <c r="U147" t="s">
        <v>23</v>
      </c>
      <c r="V147" t="s">
        <v>3997</v>
      </c>
      <c r="W147" t="s">
        <v>4022</v>
      </c>
      <c r="Y147">
        <v>300</v>
      </c>
      <c r="AA147" t="s">
        <v>176</v>
      </c>
      <c r="AB147" s="19">
        <v>63.733980000000003</v>
      </c>
      <c r="AC147" s="19">
        <v>148.89940000000001</v>
      </c>
      <c r="AD147" t="s">
        <v>115</v>
      </c>
      <c r="AE147" t="s">
        <v>115</v>
      </c>
      <c r="AF147" t="s">
        <v>115</v>
      </c>
      <c r="AG147">
        <v>0</v>
      </c>
      <c r="AH147">
        <v>0</v>
      </c>
      <c r="AI147">
        <v>0</v>
      </c>
      <c r="AJ147">
        <v>0</v>
      </c>
      <c r="AK147">
        <v>0</v>
      </c>
      <c r="AL147">
        <v>0</v>
      </c>
      <c r="AM147">
        <v>0</v>
      </c>
      <c r="AO147" t="s">
        <v>2405</v>
      </c>
    </row>
    <row r="148" spans="1:41" x14ac:dyDescent="0.2">
      <c r="A148" t="s">
        <v>4527</v>
      </c>
      <c r="B148" t="s">
        <v>4528</v>
      </c>
      <c r="C148">
        <v>15</v>
      </c>
      <c r="D148">
        <v>1</v>
      </c>
      <c r="E148" t="s">
        <v>4191</v>
      </c>
      <c r="F148" s="1">
        <v>43698</v>
      </c>
      <c r="G148" t="s">
        <v>4031</v>
      </c>
      <c r="H148" t="s">
        <v>4724</v>
      </c>
      <c r="I148" s="2">
        <v>3.125E-2</v>
      </c>
      <c r="J148" t="s">
        <v>398</v>
      </c>
      <c r="K148" t="s">
        <v>241</v>
      </c>
      <c r="L148" t="s">
        <v>111</v>
      </c>
      <c r="M148" t="s">
        <v>23</v>
      </c>
      <c r="N148">
        <v>1</v>
      </c>
      <c r="O148">
        <v>0</v>
      </c>
      <c r="P148">
        <v>1</v>
      </c>
      <c r="Q148" t="s">
        <v>112</v>
      </c>
      <c r="R148" t="s">
        <v>4319</v>
      </c>
      <c r="S148" t="s">
        <v>122</v>
      </c>
      <c r="T148" t="s">
        <v>333</v>
      </c>
      <c r="U148" t="s">
        <v>23</v>
      </c>
      <c r="V148" t="s">
        <v>3999</v>
      </c>
      <c r="W148" t="s">
        <v>4006</v>
      </c>
      <c r="Y148">
        <v>300</v>
      </c>
      <c r="AA148">
        <v>4</v>
      </c>
      <c r="AB148" s="19">
        <v>63.740340000000003</v>
      </c>
      <c r="AC148" s="19">
        <v>148.89777000000001</v>
      </c>
      <c r="AD148" t="s">
        <v>115</v>
      </c>
      <c r="AE148" t="s">
        <v>115</v>
      </c>
      <c r="AF148" t="s">
        <v>115</v>
      </c>
      <c r="AG148">
        <v>0</v>
      </c>
      <c r="AH148">
        <v>0</v>
      </c>
      <c r="AI148">
        <v>0</v>
      </c>
      <c r="AJ148">
        <v>0</v>
      </c>
      <c r="AK148">
        <v>0</v>
      </c>
      <c r="AL148">
        <v>0</v>
      </c>
      <c r="AM148">
        <v>0</v>
      </c>
      <c r="AO148" t="s">
        <v>4529</v>
      </c>
    </row>
    <row r="149" spans="1:41" x14ac:dyDescent="0.2">
      <c r="A149" t="s">
        <v>4195</v>
      </c>
      <c r="B149" t="s">
        <v>4196</v>
      </c>
      <c r="C149">
        <v>3</v>
      </c>
      <c r="D149">
        <v>1</v>
      </c>
      <c r="E149" t="s">
        <v>4191</v>
      </c>
      <c r="F149" s="1">
        <v>43687</v>
      </c>
      <c r="G149" t="s">
        <v>4031</v>
      </c>
      <c r="H149" t="s">
        <v>4724</v>
      </c>
      <c r="I149" s="2">
        <v>8.3333333333333332E-3</v>
      </c>
      <c r="J149" t="s">
        <v>398</v>
      </c>
      <c r="K149" t="s">
        <v>241</v>
      </c>
      <c r="L149" t="s">
        <v>111</v>
      </c>
      <c r="M149" t="s">
        <v>23</v>
      </c>
      <c r="N149">
        <v>0</v>
      </c>
      <c r="O149">
        <v>0</v>
      </c>
      <c r="P149">
        <v>1</v>
      </c>
      <c r="Q149" t="s">
        <v>176</v>
      </c>
      <c r="R149" t="s">
        <v>176</v>
      </c>
      <c r="S149" t="s">
        <v>176</v>
      </c>
      <c r="T149" t="s">
        <v>709</v>
      </c>
      <c r="U149" t="s">
        <v>23</v>
      </c>
      <c r="V149" t="s">
        <v>4004</v>
      </c>
      <c r="W149" t="s">
        <v>4022</v>
      </c>
      <c r="Y149">
        <v>302</v>
      </c>
      <c r="AA149" t="s">
        <v>176</v>
      </c>
      <c r="AB149" s="19">
        <v>63.739220000000003</v>
      </c>
      <c r="AC149" s="19">
        <v>148.90398999999999</v>
      </c>
      <c r="AD149" t="s">
        <v>115</v>
      </c>
      <c r="AE149" t="s">
        <v>115</v>
      </c>
      <c r="AF149" t="s">
        <v>115</v>
      </c>
      <c r="AG149">
        <v>0</v>
      </c>
      <c r="AH149">
        <v>0</v>
      </c>
      <c r="AI149">
        <v>0</v>
      </c>
      <c r="AJ149">
        <v>0</v>
      </c>
      <c r="AK149">
        <v>0</v>
      </c>
      <c r="AL149">
        <v>0</v>
      </c>
      <c r="AM149">
        <v>0</v>
      </c>
    </row>
    <row r="150" spans="1:41" x14ac:dyDescent="0.2">
      <c r="A150" t="s">
        <v>4571</v>
      </c>
      <c r="B150" t="s">
        <v>4572</v>
      </c>
      <c r="C150">
        <v>8</v>
      </c>
      <c r="D150">
        <v>1</v>
      </c>
      <c r="E150" t="s">
        <v>791</v>
      </c>
      <c r="F150" s="1">
        <v>43699</v>
      </c>
      <c r="G150" t="s">
        <v>4031</v>
      </c>
      <c r="H150" t="s">
        <v>4724</v>
      </c>
      <c r="I150" s="2">
        <v>2.2916666666666669E-2</v>
      </c>
      <c r="J150" t="s">
        <v>398</v>
      </c>
      <c r="K150" t="s">
        <v>241</v>
      </c>
      <c r="L150" t="s">
        <v>111</v>
      </c>
      <c r="M150" t="s">
        <v>23</v>
      </c>
      <c r="N150">
        <v>0</v>
      </c>
      <c r="O150">
        <v>0</v>
      </c>
      <c r="P150">
        <v>1</v>
      </c>
      <c r="Q150" t="s">
        <v>176</v>
      </c>
      <c r="R150" t="s">
        <v>176</v>
      </c>
      <c r="S150" t="s">
        <v>176</v>
      </c>
      <c r="T150" t="s">
        <v>1035</v>
      </c>
      <c r="U150" t="s">
        <v>23</v>
      </c>
      <c r="V150" t="s">
        <v>3997</v>
      </c>
      <c r="W150" t="s">
        <v>4006</v>
      </c>
      <c r="Y150">
        <v>302</v>
      </c>
      <c r="AA150">
        <v>4</v>
      </c>
      <c r="AB150" s="19">
        <v>63.723129999999998</v>
      </c>
      <c r="AC150" s="19">
        <v>148.96812</v>
      </c>
      <c r="AD150" t="s">
        <v>115</v>
      </c>
      <c r="AE150" t="s">
        <v>115</v>
      </c>
      <c r="AF150" t="s">
        <v>115</v>
      </c>
      <c r="AG150">
        <v>0</v>
      </c>
      <c r="AH150">
        <v>0</v>
      </c>
      <c r="AI150">
        <v>0</v>
      </c>
      <c r="AJ150">
        <v>0</v>
      </c>
      <c r="AK150">
        <v>0</v>
      </c>
      <c r="AM150">
        <v>0</v>
      </c>
    </row>
    <row r="151" spans="1:41" x14ac:dyDescent="0.2">
      <c r="A151" t="s">
        <v>4436</v>
      </c>
      <c r="B151" t="s">
        <v>4437</v>
      </c>
      <c r="C151">
        <v>2</v>
      </c>
      <c r="D151">
        <v>1</v>
      </c>
      <c r="E151" t="s">
        <v>2537</v>
      </c>
      <c r="F151" s="1">
        <v>43694</v>
      </c>
      <c r="G151" t="s">
        <v>4031</v>
      </c>
      <c r="H151" t="s">
        <v>4724</v>
      </c>
      <c r="I151" s="2">
        <v>2.8472222222222222E-2</v>
      </c>
      <c r="J151" t="s">
        <v>398</v>
      </c>
      <c r="K151" t="s">
        <v>241</v>
      </c>
      <c r="L151" t="s">
        <v>568</v>
      </c>
      <c r="M151" t="s">
        <v>23</v>
      </c>
      <c r="N151">
        <v>1</v>
      </c>
      <c r="O151">
        <v>0</v>
      </c>
      <c r="P151">
        <v>1</v>
      </c>
      <c r="Q151" t="s">
        <v>176</v>
      </c>
      <c r="R151" t="s">
        <v>176</v>
      </c>
      <c r="S151" t="s">
        <v>122</v>
      </c>
      <c r="T151" t="s">
        <v>4385</v>
      </c>
      <c r="U151" t="s">
        <v>23</v>
      </c>
      <c r="V151" t="s">
        <v>3997</v>
      </c>
      <c r="W151" t="s">
        <v>4022</v>
      </c>
      <c r="X151">
        <v>0</v>
      </c>
      <c r="Y151">
        <v>305</v>
      </c>
      <c r="AA151">
        <v>18</v>
      </c>
      <c r="AB151" s="19">
        <v>63.731560000000002</v>
      </c>
      <c r="AC151" s="19">
        <v>148.9014</v>
      </c>
      <c r="AD151" t="s">
        <v>115</v>
      </c>
      <c r="AE151" t="s">
        <v>115</v>
      </c>
      <c r="AF151" t="s">
        <v>115</v>
      </c>
      <c r="AG151">
        <v>0</v>
      </c>
      <c r="AH151">
        <v>0</v>
      </c>
      <c r="AI151">
        <v>0</v>
      </c>
      <c r="AJ151">
        <v>0</v>
      </c>
      <c r="AK151">
        <v>0</v>
      </c>
      <c r="AL151">
        <v>0</v>
      </c>
      <c r="AM151">
        <v>0</v>
      </c>
    </row>
    <row r="152" spans="1:41" x14ac:dyDescent="0.2">
      <c r="A152" t="s">
        <v>4602</v>
      </c>
      <c r="B152" t="s">
        <v>4603</v>
      </c>
      <c r="C152">
        <v>2</v>
      </c>
      <c r="D152">
        <v>3</v>
      </c>
      <c r="E152" t="s">
        <v>138</v>
      </c>
      <c r="F152" s="1">
        <v>43701</v>
      </c>
      <c r="G152" t="s">
        <v>4031</v>
      </c>
      <c r="H152" t="s">
        <v>4724</v>
      </c>
      <c r="I152" s="2">
        <v>4.5138888888888888E-2</v>
      </c>
      <c r="J152" t="s">
        <v>101</v>
      </c>
      <c r="K152" t="s">
        <v>4232</v>
      </c>
      <c r="L152" t="s">
        <v>568</v>
      </c>
      <c r="M152" t="s">
        <v>23</v>
      </c>
      <c r="N152">
        <v>1</v>
      </c>
      <c r="O152">
        <v>0</v>
      </c>
      <c r="P152">
        <v>1</v>
      </c>
      <c r="Q152" t="s">
        <v>598</v>
      </c>
      <c r="R152" t="s">
        <v>598</v>
      </c>
      <c r="S152" t="s">
        <v>122</v>
      </c>
      <c r="T152" t="s">
        <v>4385</v>
      </c>
      <c r="U152" t="s">
        <v>23</v>
      </c>
      <c r="V152" t="s">
        <v>3997</v>
      </c>
      <c r="W152" t="s">
        <v>176</v>
      </c>
      <c r="Y152">
        <v>306</v>
      </c>
      <c r="AA152">
        <v>5</v>
      </c>
      <c r="AB152" s="19">
        <v>63.722999999999999</v>
      </c>
      <c r="AC152" s="19">
        <v>148.95535000000001</v>
      </c>
      <c r="AD152" t="s">
        <v>115</v>
      </c>
      <c r="AE152" t="s">
        <v>115</v>
      </c>
      <c r="AF152" t="s">
        <v>115</v>
      </c>
      <c r="AG152">
        <v>0</v>
      </c>
      <c r="AH152">
        <v>0</v>
      </c>
      <c r="AI152">
        <v>0</v>
      </c>
      <c r="AJ152">
        <v>0</v>
      </c>
      <c r="AK152">
        <v>9</v>
      </c>
      <c r="AL152">
        <v>0</v>
      </c>
      <c r="AM152">
        <v>9</v>
      </c>
      <c r="AO152" t="s">
        <v>4495</v>
      </c>
    </row>
    <row r="153" spans="1:41" x14ac:dyDescent="0.2">
      <c r="A153" t="s">
        <v>4645</v>
      </c>
      <c r="B153" t="s">
        <v>4646</v>
      </c>
      <c r="C153">
        <v>5</v>
      </c>
      <c r="D153">
        <v>3</v>
      </c>
      <c r="E153" t="s">
        <v>395</v>
      </c>
      <c r="F153" s="1">
        <v>43705</v>
      </c>
      <c r="G153" t="s">
        <v>4031</v>
      </c>
      <c r="H153" t="s">
        <v>4724</v>
      </c>
      <c r="I153" s="2">
        <v>3.1944444444444449E-2</v>
      </c>
      <c r="J153" t="s">
        <v>398</v>
      </c>
      <c r="K153" t="s">
        <v>176</v>
      </c>
      <c r="L153" t="s">
        <v>568</v>
      </c>
      <c r="M153" t="s">
        <v>23</v>
      </c>
      <c r="N153">
        <v>0</v>
      </c>
      <c r="O153">
        <v>0</v>
      </c>
      <c r="P153">
        <v>1</v>
      </c>
      <c r="Q153" t="s">
        <v>598</v>
      </c>
      <c r="R153" t="s">
        <v>4643</v>
      </c>
      <c r="S153" t="s">
        <v>176</v>
      </c>
      <c r="T153" t="s">
        <v>4604</v>
      </c>
      <c r="U153" t="s">
        <v>23</v>
      </c>
      <c r="V153" t="s">
        <v>3999</v>
      </c>
      <c r="W153" t="s">
        <v>2179</v>
      </c>
      <c r="Y153">
        <v>307</v>
      </c>
      <c r="AA153" t="s">
        <v>176</v>
      </c>
      <c r="AB153" s="19">
        <v>63.720410000000001</v>
      </c>
      <c r="AC153" s="19">
        <v>148.98446999999999</v>
      </c>
      <c r="AD153" t="s">
        <v>115</v>
      </c>
      <c r="AE153" t="s">
        <v>115</v>
      </c>
      <c r="AF153" t="s">
        <v>115</v>
      </c>
      <c r="AG153">
        <v>0</v>
      </c>
      <c r="AH153">
        <v>0</v>
      </c>
      <c r="AI153">
        <v>0</v>
      </c>
      <c r="AJ153">
        <v>0</v>
      </c>
      <c r="AK153">
        <v>0</v>
      </c>
      <c r="AL153">
        <v>0</v>
      </c>
      <c r="AM153">
        <v>0</v>
      </c>
      <c r="AO153" t="s">
        <v>4648</v>
      </c>
    </row>
    <row r="154" spans="1:41" x14ac:dyDescent="0.2">
      <c r="A154" t="s">
        <v>4451</v>
      </c>
      <c r="B154" t="s">
        <v>4454</v>
      </c>
      <c r="C154">
        <v>7</v>
      </c>
      <c r="D154">
        <v>1</v>
      </c>
      <c r="E154" t="s">
        <v>213</v>
      </c>
      <c r="F154" s="1">
        <v>43697</v>
      </c>
      <c r="G154" t="s">
        <v>4031</v>
      </c>
      <c r="H154" t="s">
        <v>4724</v>
      </c>
      <c r="I154" s="2">
        <v>6.9444444444444441E-3</v>
      </c>
      <c r="J154" t="s">
        <v>640</v>
      </c>
      <c r="K154" t="s">
        <v>4280</v>
      </c>
      <c r="L154" t="s">
        <v>568</v>
      </c>
      <c r="M154" t="s">
        <v>23</v>
      </c>
      <c r="N154">
        <v>1</v>
      </c>
      <c r="O154">
        <v>0</v>
      </c>
      <c r="P154">
        <v>1</v>
      </c>
      <c r="Q154" t="s">
        <v>176</v>
      </c>
      <c r="R154" t="s">
        <v>176</v>
      </c>
      <c r="S154" t="s">
        <v>122</v>
      </c>
      <c r="T154" t="s">
        <v>176</v>
      </c>
      <c r="U154" t="s">
        <v>23</v>
      </c>
      <c r="V154" t="s">
        <v>176</v>
      </c>
      <c r="W154" t="s">
        <v>176</v>
      </c>
      <c r="X154" t="s">
        <v>115</v>
      </c>
      <c r="Y154">
        <v>308</v>
      </c>
      <c r="AA154">
        <v>5</v>
      </c>
      <c r="AB154" s="19">
        <v>63.720039999999997</v>
      </c>
      <c r="AC154" s="19">
        <v>148.97745</v>
      </c>
      <c r="AD154" t="s">
        <v>115</v>
      </c>
      <c r="AE154" t="s">
        <v>115</v>
      </c>
      <c r="AF154" t="s">
        <v>115</v>
      </c>
      <c r="AG154">
        <v>0</v>
      </c>
      <c r="AH154">
        <v>0</v>
      </c>
      <c r="AI154">
        <v>0</v>
      </c>
      <c r="AJ154">
        <v>0</v>
      </c>
      <c r="AK154">
        <v>2</v>
      </c>
      <c r="AM154">
        <v>2</v>
      </c>
    </row>
    <row r="155" spans="1:41" x14ac:dyDescent="0.2">
      <c r="A155" t="s">
        <v>4613</v>
      </c>
      <c r="B155" t="s">
        <v>4614</v>
      </c>
      <c r="C155">
        <v>2</v>
      </c>
      <c r="D155">
        <v>2</v>
      </c>
      <c r="E155" t="s">
        <v>2586</v>
      </c>
      <c r="F155" s="1">
        <v>43704</v>
      </c>
      <c r="G155" t="s">
        <v>4031</v>
      </c>
      <c r="H155" t="s">
        <v>4724</v>
      </c>
      <c r="I155" s="2">
        <v>1.7361111111111112E-2</v>
      </c>
      <c r="J155" t="s">
        <v>398</v>
      </c>
      <c r="K155" t="s">
        <v>4339</v>
      </c>
      <c r="L155" t="s">
        <v>111</v>
      </c>
      <c r="M155" t="s">
        <v>23</v>
      </c>
      <c r="N155">
        <v>0</v>
      </c>
      <c r="O155">
        <v>0</v>
      </c>
      <c r="P155">
        <v>1</v>
      </c>
      <c r="Q155" t="s">
        <v>176</v>
      </c>
      <c r="R155" t="s">
        <v>176</v>
      </c>
      <c r="S155" t="s">
        <v>176</v>
      </c>
      <c r="T155" t="s">
        <v>263</v>
      </c>
      <c r="U155" t="s">
        <v>23</v>
      </c>
      <c r="V155" t="s">
        <v>4004</v>
      </c>
      <c r="W155" t="s">
        <v>176</v>
      </c>
      <c r="Y155">
        <v>309</v>
      </c>
      <c r="AB155" s="19">
        <v>63.723489999999998</v>
      </c>
      <c r="AC155" s="19">
        <v>148.88757000000001</v>
      </c>
      <c r="AD155" t="s">
        <v>115</v>
      </c>
      <c r="AE155" t="s">
        <v>115</v>
      </c>
      <c r="AF155" t="s">
        <v>115</v>
      </c>
      <c r="AG155">
        <v>0</v>
      </c>
      <c r="AH155">
        <v>0</v>
      </c>
      <c r="AI155">
        <v>0</v>
      </c>
      <c r="AJ155">
        <v>0</v>
      </c>
      <c r="AK155">
        <v>0</v>
      </c>
      <c r="AL155">
        <v>0</v>
      </c>
      <c r="AM155">
        <v>0</v>
      </c>
      <c r="AO155" t="s">
        <v>4620</v>
      </c>
    </row>
    <row r="156" spans="1:41" x14ac:dyDescent="0.2">
      <c r="A156" t="s">
        <v>4448</v>
      </c>
      <c r="B156" t="s">
        <v>4450</v>
      </c>
      <c r="C156">
        <v>5</v>
      </c>
      <c r="D156">
        <v>1</v>
      </c>
      <c r="E156" t="s">
        <v>213</v>
      </c>
      <c r="F156" s="1">
        <v>43697</v>
      </c>
      <c r="G156" t="s">
        <v>4031</v>
      </c>
      <c r="H156" t="s">
        <v>4724</v>
      </c>
      <c r="I156" s="2">
        <v>6.9444444444444434E-2</v>
      </c>
      <c r="J156" t="s">
        <v>640</v>
      </c>
      <c r="K156" t="s">
        <v>4280</v>
      </c>
      <c r="L156" t="s">
        <v>568</v>
      </c>
      <c r="M156" t="s">
        <v>23</v>
      </c>
      <c r="N156">
        <v>1</v>
      </c>
      <c r="O156">
        <v>0</v>
      </c>
      <c r="P156">
        <v>1</v>
      </c>
      <c r="Q156" t="s">
        <v>176</v>
      </c>
      <c r="R156" t="s">
        <v>176</v>
      </c>
      <c r="S156" t="s">
        <v>122</v>
      </c>
      <c r="T156" t="s">
        <v>4168</v>
      </c>
      <c r="U156" t="s">
        <v>23</v>
      </c>
      <c r="V156" t="s">
        <v>3997</v>
      </c>
      <c r="W156" t="s">
        <v>4022</v>
      </c>
      <c r="Y156">
        <v>311</v>
      </c>
      <c r="AA156">
        <v>3</v>
      </c>
      <c r="AB156" s="19">
        <v>63.719830000000002</v>
      </c>
      <c r="AC156" s="19">
        <v>148.97626</v>
      </c>
      <c r="AD156" t="s">
        <v>115</v>
      </c>
      <c r="AE156" t="s">
        <v>115</v>
      </c>
      <c r="AF156" t="s">
        <v>115</v>
      </c>
      <c r="AG156">
        <v>0</v>
      </c>
      <c r="AH156">
        <v>0</v>
      </c>
      <c r="AI156">
        <v>0</v>
      </c>
      <c r="AJ156">
        <v>0</v>
      </c>
      <c r="AK156">
        <v>10</v>
      </c>
      <c r="AL156">
        <v>0</v>
      </c>
      <c r="AM156">
        <v>10</v>
      </c>
    </row>
    <row r="157" spans="1:41" x14ac:dyDescent="0.2">
      <c r="A157" t="s">
        <v>4448</v>
      </c>
      <c r="B157" t="s">
        <v>4450</v>
      </c>
      <c r="C157">
        <v>5</v>
      </c>
      <c r="D157">
        <v>2</v>
      </c>
      <c r="E157" t="s">
        <v>213</v>
      </c>
      <c r="F157" s="1">
        <v>43697</v>
      </c>
      <c r="G157" t="s">
        <v>4031</v>
      </c>
      <c r="H157" t="s">
        <v>4724</v>
      </c>
      <c r="I157" s="2">
        <v>6.9444444444444434E-2</v>
      </c>
      <c r="J157" t="s">
        <v>640</v>
      </c>
      <c r="K157" t="s">
        <v>4280</v>
      </c>
      <c r="L157" t="s">
        <v>568</v>
      </c>
      <c r="M157" t="s">
        <v>23</v>
      </c>
      <c r="N157">
        <v>0</v>
      </c>
      <c r="O157">
        <v>0</v>
      </c>
      <c r="P157">
        <v>1</v>
      </c>
      <c r="Q157" t="s">
        <v>176</v>
      </c>
      <c r="R157" t="s">
        <v>176</v>
      </c>
      <c r="S157" t="s">
        <v>122</v>
      </c>
      <c r="T157" t="s">
        <v>4168</v>
      </c>
      <c r="U157" t="s">
        <v>23</v>
      </c>
      <c r="V157" t="s">
        <v>3997</v>
      </c>
      <c r="W157" t="s">
        <v>4022</v>
      </c>
      <c r="Y157">
        <v>311</v>
      </c>
      <c r="AA157">
        <v>3</v>
      </c>
      <c r="AB157" s="19">
        <v>63.719830000000002</v>
      </c>
      <c r="AC157" s="19">
        <v>148.97626</v>
      </c>
      <c r="AD157" t="s">
        <v>115</v>
      </c>
      <c r="AE157" t="s">
        <v>115</v>
      </c>
      <c r="AF157" t="s">
        <v>115</v>
      </c>
      <c r="AG157">
        <v>0</v>
      </c>
      <c r="AH157">
        <v>0</v>
      </c>
      <c r="AI157">
        <v>0</v>
      </c>
      <c r="AJ157">
        <v>0</v>
      </c>
      <c r="AK157">
        <v>64</v>
      </c>
      <c r="AL157">
        <v>0</v>
      </c>
      <c r="AM157">
        <v>64</v>
      </c>
    </row>
    <row r="158" spans="1:41" x14ac:dyDescent="0.2">
      <c r="A158" t="s">
        <v>2763</v>
      </c>
      <c r="B158" t="s">
        <v>2764</v>
      </c>
      <c r="C158">
        <v>17</v>
      </c>
      <c r="D158">
        <v>1</v>
      </c>
      <c r="E158" t="s">
        <v>834</v>
      </c>
      <c r="F158" s="1">
        <v>43554</v>
      </c>
      <c r="G158" s="1" t="s">
        <v>4026</v>
      </c>
      <c r="H158" s="1"/>
      <c r="I158" s="2">
        <v>6.2499999999999995E-3</v>
      </c>
      <c r="K158" t="s">
        <v>466</v>
      </c>
      <c r="L158" t="s">
        <v>111</v>
      </c>
      <c r="M158" t="s">
        <v>115</v>
      </c>
      <c r="N158">
        <v>0</v>
      </c>
      <c r="O158">
        <v>0</v>
      </c>
      <c r="P158">
        <v>1</v>
      </c>
      <c r="Q158" t="s">
        <v>598</v>
      </c>
      <c r="R158" s="5" t="s">
        <v>2437</v>
      </c>
      <c r="S158" s="5" t="s">
        <v>122</v>
      </c>
      <c r="T158" s="5" t="s">
        <v>2088</v>
      </c>
      <c r="U158" s="5"/>
      <c r="V158" s="5"/>
      <c r="W158" s="5"/>
      <c r="X158" t="s">
        <v>2765</v>
      </c>
      <c r="Y158" s="5">
        <v>315</v>
      </c>
      <c r="Z158" s="5"/>
      <c r="AA158">
        <v>20</v>
      </c>
      <c r="AB158">
        <v>63.740479999999998</v>
      </c>
      <c r="AC158">
        <v>148.90235999999999</v>
      </c>
      <c r="AD158" s="5" t="s">
        <v>115</v>
      </c>
      <c r="AE158" s="5" t="s">
        <v>115</v>
      </c>
      <c r="AF158" s="5"/>
      <c r="AG158">
        <v>0</v>
      </c>
      <c r="AH158">
        <v>0</v>
      </c>
      <c r="AI158">
        <v>0</v>
      </c>
      <c r="AJ158">
        <v>0</v>
      </c>
      <c r="AK158">
        <v>0</v>
      </c>
      <c r="AL158">
        <v>0</v>
      </c>
      <c r="AN158" t="s">
        <v>2766</v>
      </c>
    </row>
    <row r="159" spans="1:41" x14ac:dyDescent="0.2">
      <c r="A159" t="s">
        <v>4525</v>
      </c>
      <c r="B159" t="s">
        <v>4526</v>
      </c>
      <c r="C159">
        <v>14</v>
      </c>
      <c r="D159">
        <v>2</v>
      </c>
      <c r="E159" t="s">
        <v>4191</v>
      </c>
      <c r="F159" s="1">
        <v>43698</v>
      </c>
      <c r="G159" t="s">
        <v>4031</v>
      </c>
      <c r="H159" t="s">
        <v>4724</v>
      </c>
      <c r="I159" s="2">
        <v>4.2361111111111106E-2</v>
      </c>
      <c r="J159" t="s">
        <v>398</v>
      </c>
      <c r="K159" t="s">
        <v>241</v>
      </c>
      <c r="L159" t="s">
        <v>568</v>
      </c>
      <c r="M159" t="s">
        <v>23</v>
      </c>
      <c r="N159">
        <v>1</v>
      </c>
      <c r="O159">
        <v>0</v>
      </c>
      <c r="P159">
        <v>1</v>
      </c>
      <c r="Q159" t="s">
        <v>112</v>
      </c>
      <c r="R159" t="s">
        <v>4319</v>
      </c>
      <c r="S159" t="s">
        <v>122</v>
      </c>
      <c r="T159" t="s">
        <v>1035</v>
      </c>
      <c r="U159" t="s">
        <v>23</v>
      </c>
      <c r="V159" t="s">
        <v>3997</v>
      </c>
      <c r="W159" t="s">
        <v>4006</v>
      </c>
      <c r="Y159">
        <v>318</v>
      </c>
      <c r="AA159">
        <v>6</v>
      </c>
      <c r="AB159" s="19">
        <v>63.740319999999997</v>
      </c>
      <c r="AC159" s="19">
        <v>148.89780999999999</v>
      </c>
      <c r="AD159" t="s">
        <v>115</v>
      </c>
      <c r="AE159" t="s">
        <v>115</v>
      </c>
      <c r="AF159" t="s">
        <v>115</v>
      </c>
      <c r="AG159">
        <v>0</v>
      </c>
      <c r="AH159">
        <v>0</v>
      </c>
      <c r="AI159">
        <v>0</v>
      </c>
      <c r="AJ159">
        <v>0</v>
      </c>
      <c r="AK159">
        <v>4</v>
      </c>
      <c r="AL159">
        <v>0</v>
      </c>
      <c r="AM159">
        <v>4</v>
      </c>
    </row>
    <row r="160" spans="1:41" x14ac:dyDescent="0.2">
      <c r="A160" t="s">
        <v>4379</v>
      </c>
      <c r="B160" t="s">
        <v>4380</v>
      </c>
      <c r="C160">
        <v>11</v>
      </c>
      <c r="D160">
        <v>1</v>
      </c>
      <c r="E160" t="s">
        <v>213</v>
      </c>
      <c r="F160" s="49">
        <v>43692</v>
      </c>
      <c r="G160" t="s">
        <v>4031</v>
      </c>
      <c r="H160" t="s">
        <v>4724</v>
      </c>
      <c r="I160" s="2">
        <v>2.1527777777777781E-2</v>
      </c>
      <c r="J160" t="s">
        <v>4358</v>
      </c>
      <c r="K160" t="s">
        <v>4258</v>
      </c>
      <c r="L160" t="s">
        <v>111</v>
      </c>
      <c r="M160" t="s">
        <v>23</v>
      </c>
      <c r="N160">
        <v>0</v>
      </c>
      <c r="O160">
        <v>0</v>
      </c>
      <c r="P160">
        <v>1</v>
      </c>
      <c r="Q160" t="s">
        <v>176</v>
      </c>
      <c r="R160" t="s">
        <v>176</v>
      </c>
      <c r="S160" t="s">
        <v>122</v>
      </c>
      <c r="T160" t="s">
        <v>4168</v>
      </c>
      <c r="U160" t="s">
        <v>23</v>
      </c>
      <c r="V160" t="s">
        <v>3997</v>
      </c>
      <c r="W160" t="s">
        <v>4022</v>
      </c>
      <c r="Y160">
        <v>321</v>
      </c>
      <c r="AA160">
        <v>7</v>
      </c>
      <c r="AB160" s="19">
        <v>63.717759999999998</v>
      </c>
      <c r="AC160" s="19">
        <v>148.97272000000001</v>
      </c>
      <c r="AD160" t="s">
        <v>115</v>
      </c>
      <c r="AE160" t="s">
        <v>115</v>
      </c>
      <c r="AF160" t="s">
        <v>115</v>
      </c>
      <c r="AG160">
        <v>0</v>
      </c>
      <c r="AH160">
        <v>0</v>
      </c>
      <c r="AI160">
        <v>0</v>
      </c>
      <c r="AJ160">
        <v>0</v>
      </c>
      <c r="AK160">
        <v>0</v>
      </c>
      <c r="AL160">
        <v>0</v>
      </c>
      <c r="AM160">
        <v>0</v>
      </c>
    </row>
    <row r="161" spans="1:41" x14ac:dyDescent="0.2">
      <c r="A161" t="s">
        <v>4468</v>
      </c>
      <c r="B161" t="s">
        <v>4470</v>
      </c>
      <c r="C161">
        <v>13</v>
      </c>
      <c r="D161">
        <v>1</v>
      </c>
      <c r="E161" t="s">
        <v>213</v>
      </c>
      <c r="F161" s="1">
        <v>43697</v>
      </c>
      <c r="G161" t="s">
        <v>4031</v>
      </c>
      <c r="H161" t="s">
        <v>4724</v>
      </c>
      <c r="I161" s="2">
        <v>6.5972222222222224E-2</v>
      </c>
      <c r="J161" t="s">
        <v>640</v>
      </c>
      <c r="K161" t="s">
        <v>4280</v>
      </c>
      <c r="L161" t="s">
        <v>111</v>
      </c>
      <c r="M161" t="s">
        <v>23</v>
      </c>
      <c r="N161">
        <v>1</v>
      </c>
      <c r="O161">
        <v>0</v>
      </c>
      <c r="P161">
        <v>1</v>
      </c>
      <c r="Q161" t="s">
        <v>176</v>
      </c>
      <c r="R161" t="s">
        <v>176</v>
      </c>
      <c r="S161" t="s">
        <v>122</v>
      </c>
      <c r="T161" t="s">
        <v>4386</v>
      </c>
      <c r="U161" t="s">
        <v>23</v>
      </c>
      <c r="V161" t="s">
        <v>3999</v>
      </c>
      <c r="W161" t="s">
        <v>176</v>
      </c>
      <c r="Y161">
        <v>323</v>
      </c>
      <c r="AA161">
        <v>8</v>
      </c>
      <c r="AB161" s="19">
        <v>63.719900000000003</v>
      </c>
      <c r="AC161" s="19">
        <v>148.97828999999999</v>
      </c>
      <c r="AD161" t="s">
        <v>115</v>
      </c>
      <c r="AE161" t="s">
        <v>115</v>
      </c>
      <c r="AF161" t="s">
        <v>115</v>
      </c>
      <c r="AG161">
        <v>0</v>
      </c>
      <c r="AH161">
        <v>0</v>
      </c>
      <c r="AI161">
        <v>0</v>
      </c>
      <c r="AJ161">
        <v>0</v>
      </c>
      <c r="AK161">
        <v>0</v>
      </c>
      <c r="AL161">
        <v>0</v>
      </c>
      <c r="AM161">
        <v>0</v>
      </c>
      <c r="AO161" t="s">
        <v>4467</v>
      </c>
    </row>
    <row r="162" spans="1:41" x14ac:dyDescent="0.2">
      <c r="A162" t="s">
        <v>3036</v>
      </c>
      <c r="B162" t="s">
        <v>3037</v>
      </c>
      <c r="C162">
        <v>9</v>
      </c>
      <c r="D162">
        <v>1</v>
      </c>
      <c r="E162" t="s">
        <v>2487</v>
      </c>
      <c r="F162" s="1">
        <v>43564</v>
      </c>
      <c r="G162" s="1" t="s">
        <v>4027</v>
      </c>
      <c r="H162" s="1"/>
      <c r="I162" s="2">
        <v>3.1944444444444449E-2</v>
      </c>
      <c r="K162" t="s">
        <v>2498</v>
      </c>
      <c r="L162" t="s">
        <v>187</v>
      </c>
      <c r="M162" t="s">
        <v>23</v>
      </c>
      <c r="N162">
        <v>1</v>
      </c>
      <c r="O162">
        <v>0</v>
      </c>
      <c r="P162">
        <v>1</v>
      </c>
      <c r="Q162" t="s">
        <v>598</v>
      </c>
      <c r="R162" s="5" t="s">
        <v>2437</v>
      </c>
      <c r="S162" s="5" t="s">
        <v>122</v>
      </c>
      <c r="T162" s="5" t="s">
        <v>2088</v>
      </c>
      <c r="U162" s="5" t="s">
        <v>23</v>
      </c>
      <c r="V162" s="5" t="s">
        <v>3997</v>
      </c>
      <c r="W162" s="5" t="s">
        <v>4021</v>
      </c>
      <c r="X162" s="5" t="s">
        <v>2765</v>
      </c>
      <c r="Y162">
        <v>330</v>
      </c>
      <c r="AA162">
        <v>5</v>
      </c>
      <c r="AB162">
        <v>63.719679999999997</v>
      </c>
      <c r="AC162">
        <v>148.98660000000001</v>
      </c>
      <c r="AD162" s="5" t="s">
        <v>115</v>
      </c>
      <c r="AE162" s="5" t="s">
        <v>115</v>
      </c>
      <c r="AF162" s="5"/>
      <c r="AG162">
        <v>0</v>
      </c>
      <c r="AH162">
        <v>0</v>
      </c>
      <c r="AI162">
        <v>0</v>
      </c>
      <c r="AJ162">
        <v>0</v>
      </c>
      <c r="AK162">
        <v>7</v>
      </c>
      <c r="AL162">
        <v>7</v>
      </c>
      <c r="AM162" t="s">
        <v>188</v>
      </c>
    </row>
    <row r="163" spans="1:41" x14ac:dyDescent="0.2">
      <c r="A163" t="s">
        <v>2580</v>
      </c>
      <c r="B163" t="s">
        <v>2581</v>
      </c>
      <c r="C163">
        <v>3</v>
      </c>
      <c r="D163">
        <v>1</v>
      </c>
      <c r="E163" t="s">
        <v>834</v>
      </c>
      <c r="F163" s="1">
        <v>43550</v>
      </c>
      <c r="G163" s="1" t="s">
        <v>4026</v>
      </c>
      <c r="H163" s="1"/>
      <c r="I163" s="2">
        <v>3.888888888888889E-2</v>
      </c>
      <c r="J163" s="5" t="s">
        <v>2576</v>
      </c>
      <c r="K163" t="s">
        <v>466</v>
      </c>
      <c r="L163" t="s">
        <v>187</v>
      </c>
      <c r="M163" t="s">
        <v>23</v>
      </c>
      <c r="N163">
        <v>1</v>
      </c>
      <c r="O163">
        <v>0</v>
      </c>
      <c r="P163">
        <v>1</v>
      </c>
      <c r="Q163" t="s">
        <v>14</v>
      </c>
      <c r="R163" t="s">
        <v>2582</v>
      </c>
      <c r="S163" t="s">
        <v>122</v>
      </c>
      <c r="T163" t="s">
        <v>2088</v>
      </c>
      <c r="U163" s="5" t="s">
        <v>23</v>
      </c>
      <c r="V163" s="5" t="s">
        <v>3997</v>
      </c>
      <c r="W163" s="5" t="s">
        <v>4021</v>
      </c>
      <c r="X163" t="s">
        <v>2551</v>
      </c>
      <c r="Y163">
        <v>335</v>
      </c>
      <c r="AA163">
        <v>3</v>
      </c>
      <c r="AB163">
        <v>63.73948</v>
      </c>
      <c r="AC163">
        <v>148.89815999999999</v>
      </c>
      <c r="AG163">
        <v>0</v>
      </c>
      <c r="AH163">
        <v>0</v>
      </c>
      <c r="AI163">
        <v>0</v>
      </c>
      <c r="AJ163">
        <v>0</v>
      </c>
      <c r="AK163">
        <v>34</v>
      </c>
      <c r="AL163">
        <v>34</v>
      </c>
      <c r="AN163" t="s">
        <v>2583</v>
      </c>
    </row>
    <row r="164" spans="1:41" x14ac:dyDescent="0.2">
      <c r="A164" t="s">
        <v>4233</v>
      </c>
      <c r="B164" t="s">
        <v>4234</v>
      </c>
      <c r="C164">
        <v>2</v>
      </c>
      <c r="D164">
        <v>1</v>
      </c>
      <c r="E164" t="s">
        <v>138</v>
      </c>
      <c r="F164" s="1">
        <v>43687</v>
      </c>
      <c r="G164" t="s">
        <v>4031</v>
      </c>
      <c r="H164" t="s">
        <v>4724</v>
      </c>
      <c r="I164" s="2">
        <v>3.2638888888888891E-2</v>
      </c>
      <c r="J164" t="s">
        <v>398</v>
      </c>
      <c r="K164" t="s">
        <v>4232</v>
      </c>
      <c r="L164" t="s">
        <v>4235</v>
      </c>
      <c r="M164" t="s">
        <v>23</v>
      </c>
      <c r="N164">
        <v>0</v>
      </c>
      <c r="O164">
        <v>0</v>
      </c>
      <c r="P164">
        <v>1</v>
      </c>
      <c r="Q164" t="s">
        <v>176</v>
      </c>
      <c r="R164" t="s">
        <v>176</v>
      </c>
      <c r="S164" t="s">
        <v>176</v>
      </c>
      <c r="T164" t="s">
        <v>4236</v>
      </c>
      <c r="U164" t="s">
        <v>23</v>
      </c>
      <c r="V164" t="s">
        <v>3997</v>
      </c>
      <c r="W164" t="s">
        <v>2179</v>
      </c>
      <c r="Y164">
        <v>335</v>
      </c>
      <c r="AA164" t="s">
        <v>176</v>
      </c>
      <c r="AB164" s="19">
        <v>63.723979999999997</v>
      </c>
      <c r="AC164" s="19">
        <v>148.95451</v>
      </c>
      <c r="AD164" t="s">
        <v>115</v>
      </c>
      <c r="AE164" t="s">
        <v>115</v>
      </c>
      <c r="AF164" t="s">
        <v>115</v>
      </c>
      <c r="AG164">
        <v>11</v>
      </c>
      <c r="AH164">
        <v>0</v>
      </c>
      <c r="AI164">
        <v>11</v>
      </c>
      <c r="AJ164">
        <v>0</v>
      </c>
      <c r="AK164">
        <v>0</v>
      </c>
      <c r="AL164">
        <v>0</v>
      </c>
      <c r="AM164">
        <v>11</v>
      </c>
    </row>
    <row r="165" spans="1:41" x14ac:dyDescent="0.2">
      <c r="A165" t="s">
        <v>4565</v>
      </c>
      <c r="B165" t="s">
        <v>4566</v>
      </c>
      <c r="C165">
        <v>5</v>
      </c>
      <c r="D165">
        <v>1</v>
      </c>
      <c r="E165" t="s">
        <v>791</v>
      </c>
      <c r="F165" s="1">
        <v>43699</v>
      </c>
      <c r="G165" t="s">
        <v>4031</v>
      </c>
      <c r="H165" t="s">
        <v>4724</v>
      </c>
      <c r="I165" s="2">
        <v>1.6666666666666666E-2</v>
      </c>
      <c r="J165" t="s">
        <v>398</v>
      </c>
      <c r="K165" t="s">
        <v>4280</v>
      </c>
      <c r="L165" t="s">
        <v>111</v>
      </c>
      <c r="M165" t="s">
        <v>23</v>
      </c>
      <c r="N165">
        <v>0</v>
      </c>
      <c r="O165">
        <v>0</v>
      </c>
      <c r="P165">
        <v>1</v>
      </c>
      <c r="Q165" t="s">
        <v>1618</v>
      </c>
      <c r="R165" t="s">
        <v>4564</v>
      </c>
      <c r="S165" t="s">
        <v>122</v>
      </c>
      <c r="T165" t="s">
        <v>709</v>
      </c>
      <c r="U165" t="s">
        <v>23</v>
      </c>
      <c r="V165" t="s">
        <v>4004</v>
      </c>
      <c r="W165" t="s">
        <v>4022</v>
      </c>
      <c r="Y165">
        <v>337</v>
      </c>
      <c r="AA165">
        <v>10</v>
      </c>
      <c r="AB165" s="19">
        <v>63.721580000000003</v>
      </c>
      <c r="AC165" s="19">
        <v>148.96747999999999</v>
      </c>
      <c r="AD165" t="s">
        <v>115</v>
      </c>
      <c r="AE165" t="s">
        <v>115</v>
      </c>
      <c r="AF165" t="s">
        <v>115</v>
      </c>
      <c r="AG165">
        <v>0</v>
      </c>
      <c r="AH165">
        <v>0</v>
      </c>
      <c r="AI165">
        <v>0</v>
      </c>
      <c r="AJ165">
        <v>0</v>
      </c>
      <c r="AK165">
        <v>0</v>
      </c>
      <c r="AL165">
        <v>0</v>
      </c>
      <c r="AM165">
        <v>0</v>
      </c>
    </row>
    <row r="166" spans="1:41" x14ac:dyDescent="0.2">
      <c r="A166" t="s">
        <v>4576</v>
      </c>
      <c r="B166" t="s">
        <v>4577</v>
      </c>
      <c r="C166">
        <v>10</v>
      </c>
      <c r="D166">
        <v>1</v>
      </c>
      <c r="E166" t="s">
        <v>791</v>
      </c>
      <c r="F166" s="1">
        <v>43699</v>
      </c>
      <c r="G166" t="s">
        <v>4031</v>
      </c>
      <c r="H166" t="s">
        <v>4724</v>
      </c>
      <c r="I166" s="2">
        <v>3.125E-2</v>
      </c>
      <c r="J166" t="s">
        <v>398</v>
      </c>
      <c r="K166" t="s">
        <v>241</v>
      </c>
      <c r="L166" t="s">
        <v>568</v>
      </c>
      <c r="M166" t="s">
        <v>23</v>
      </c>
      <c r="N166">
        <v>1</v>
      </c>
      <c r="O166">
        <v>0</v>
      </c>
      <c r="P166">
        <v>1</v>
      </c>
      <c r="Q166" t="s">
        <v>112</v>
      </c>
      <c r="R166" t="s">
        <v>4319</v>
      </c>
      <c r="S166" t="s">
        <v>4578</v>
      </c>
      <c r="T166" t="s">
        <v>1035</v>
      </c>
      <c r="U166" t="s">
        <v>23</v>
      </c>
      <c r="V166" t="s">
        <v>3997</v>
      </c>
      <c r="W166" t="s">
        <v>4006</v>
      </c>
      <c r="Y166">
        <v>339</v>
      </c>
      <c r="AA166">
        <v>13</v>
      </c>
      <c r="AB166" s="19">
        <v>63.723280000000003</v>
      </c>
      <c r="AC166" s="19">
        <v>148.96852000000001</v>
      </c>
      <c r="AD166" t="s">
        <v>115</v>
      </c>
      <c r="AE166" t="s">
        <v>115</v>
      </c>
      <c r="AF166" t="s">
        <v>115</v>
      </c>
      <c r="AG166">
        <v>0</v>
      </c>
      <c r="AH166">
        <v>0</v>
      </c>
      <c r="AI166">
        <v>0</v>
      </c>
      <c r="AJ166">
        <v>0</v>
      </c>
      <c r="AK166">
        <v>5</v>
      </c>
      <c r="AL166">
        <v>0</v>
      </c>
      <c r="AM166">
        <v>5</v>
      </c>
      <c r="AO166" t="s">
        <v>4579</v>
      </c>
    </row>
    <row r="167" spans="1:41" x14ac:dyDescent="0.2">
      <c r="A167" t="s">
        <v>2935</v>
      </c>
      <c r="B167" t="s">
        <v>2936</v>
      </c>
      <c r="C167">
        <v>4</v>
      </c>
      <c r="D167">
        <v>1</v>
      </c>
      <c r="E167" t="s">
        <v>834</v>
      </c>
      <c r="F167" s="1">
        <v>43560</v>
      </c>
      <c r="G167" s="1" t="s">
        <v>4027</v>
      </c>
      <c r="H167" s="1"/>
      <c r="I167" s="2">
        <v>2.2916666666666669E-2</v>
      </c>
      <c r="K167" t="s">
        <v>466</v>
      </c>
      <c r="L167" t="s">
        <v>111</v>
      </c>
      <c r="M167" t="s">
        <v>23</v>
      </c>
      <c r="N167">
        <v>0</v>
      </c>
      <c r="O167">
        <v>0</v>
      </c>
      <c r="P167">
        <v>1</v>
      </c>
      <c r="Q167" t="s">
        <v>598</v>
      </c>
      <c r="R167" s="5" t="s">
        <v>2801</v>
      </c>
      <c r="S167" s="5" t="s">
        <v>115</v>
      </c>
      <c r="T167" s="5" t="s">
        <v>2088</v>
      </c>
      <c r="U167" s="5" t="s">
        <v>23</v>
      </c>
      <c r="V167" s="5" t="s">
        <v>3997</v>
      </c>
      <c r="W167" s="5" t="s">
        <v>4021</v>
      </c>
      <c r="X167" s="5" t="s">
        <v>2551</v>
      </c>
      <c r="Y167">
        <v>340</v>
      </c>
      <c r="AA167">
        <v>10</v>
      </c>
      <c r="AB167">
        <v>63.738860000000003</v>
      </c>
      <c r="AC167">
        <v>148.89845</v>
      </c>
      <c r="AD167" s="5" t="s">
        <v>115</v>
      </c>
      <c r="AE167" s="5" t="s">
        <v>115</v>
      </c>
      <c r="AF167" s="5"/>
      <c r="AG167">
        <v>0</v>
      </c>
      <c r="AH167">
        <v>0</v>
      </c>
      <c r="AI167">
        <v>0</v>
      </c>
      <c r="AJ167">
        <v>0</v>
      </c>
      <c r="AK167">
        <v>0</v>
      </c>
      <c r="AL167">
        <v>0</v>
      </c>
      <c r="AN167" t="s">
        <v>2937</v>
      </c>
    </row>
    <row r="168" spans="1:41" x14ac:dyDescent="0.2">
      <c r="A168" t="s">
        <v>4247</v>
      </c>
      <c r="B168" t="s">
        <v>4248</v>
      </c>
      <c r="C168">
        <v>3</v>
      </c>
      <c r="D168">
        <v>2</v>
      </c>
      <c r="E168" t="s">
        <v>395</v>
      </c>
      <c r="F168" s="1">
        <v>43688</v>
      </c>
      <c r="G168" t="s">
        <v>4031</v>
      </c>
      <c r="H168" t="s">
        <v>4724</v>
      </c>
      <c r="I168" s="2">
        <v>2.6388888888888889E-2</v>
      </c>
      <c r="J168" t="s">
        <v>640</v>
      </c>
      <c r="K168" t="s">
        <v>4250</v>
      </c>
      <c r="L168" t="s">
        <v>102</v>
      </c>
      <c r="M168" t="s">
        <v>23</v>
      </c>
      <c r="N168">
        <v>1</v>
      </c>
      <c r="O168">
        <v>0</v>
      </c>
      <c r="P168">
        <v>1</v>
      </c>
      <c r="Q168" t="s">
        <v>112</v>
      </c>
      <c r="R168" t="s">
        <v>4249</v>
      </c>
      <c r="S168" t="s">
        <v>122</v>
      </c>
      <c r="T168" t="s">
        <v>4168</v>
      </c>
      <c r="U168" t="s">
        <v>23</v>
      </c>
      <c r="V168" t="s">
        <v>3997</v>
      </c>
      <c r="W168" t="s">
        <v>4022</v>
      </c>
      <c r="Y168">
        <v>340</v>
      </c>
      <c r="AA168">
        <v>0</v>
      </c>
      <c r="AB168" s="19">
        <v>63.721499999999999</v>
      </c>
      <c r="AC168" s="19">
        <v>148.98625000000001</v>
      </c>
      <c r="AD168" t="s">
        <v>115</v>
      </c>
      <c r="AE168" t="s">
        <v>115</v>
      </c>
      <c r="AF168" t="s">
        <v>115</v>
      </c>
      <c r="AG168">
        <v>0</v>
      </c>
      <c r="AH168">
        <v>0</v>
      </c>
      <c r="AI168">
        <v>0</v>
      </c>
      <c r="AJ168">
        <v>0</v>
      </c>
      <c r="AK168">
        <v>12</v>
      </c>
      <c r="AL168">
        <v>0</v>
      </c>
      <c r="AM168">
        <v>12</v>
      </c>
    </row>
    <row r="169" spans="1:41" x14ac:dyDescent="0.2">
      <c r="A169" t="s">
        <v>4631</v>
      </c>
      <c r="B169" t="s">
        <v>4632</v>
      </c>
      <c r="C169">
        <v>9</v>
      </c>
      <c r="D169">
        <v>1</v>
      </c>
      <c r="E169" t="s">
        <v>2586</v>
      </c>
      <c r="F169" s="1">
        <v>43704</v>
      </c>
      <c r="G169" t="s">
        <v>4031</v>
      </c>
      <c r="H169" t="s">
        <v>4724</v>
      </c>
      <c r="I169" s="2">
        <v>3.2638888888888891E-2</v>
      </c>
      <c r="J169" t="s">
        <v>398</v>
      </c>
      <c r="K169" t="s">
        <v>4339</v>
      </c>
      <c r="L169" t="s">
        <v>568</v>
      </c>
      <c r="M169" t="s">
        <v>23</v>
      </c>
      <c r="N169">
        <v>1</v>
      </c>
      <c r="O169">
        <v>0</v>
      </c>
      <c r="P169">
        <v>1</v>
      </c>
      <c r="Q169" t="s">
        <v>112</v>
      </c>
      <c r="R169" t="s">
        <v>4214</v>
      </c>
      <c r="S169" t="s">
        <v>122</v>
      </c>
      <c r="T169" t="s">
        <v>4385</v>
      </c>
      <c r="U169" t="s">
        <v>23</v>
      </c>
      <c r="V169" t="s">
        <v>3997</v>
      </c>
      <c r="W169" t="s">
        <v>3810</v>
      </c>
      <c r="Y169">
        <v>341</v>
      </c>
      <c r="AA169">
        <v>4</v>
      </c>
      <c r="AB169" s="19">
        <v>63.723219999999998</v>
      </c>
      <c r="AC169" s="19">
        <v>148.88901999999999</v>
      </c>
      <c r="AD169" t="s">
        <v>115</v>
      </c>
      <c r="AE169" t="s">
        <v>115</v>
      </c>
      <c r="AF169" t="s">
        <v>115</v>
      </c>
      <c r="AG169">
        <v>0</v>
      </c>
      <c r="AH169">
        <v>0</v>
      </c>
      <c r="AI169">
        <v>0</v>
      </c>
      <c r="AJ169">
        <v>0</v>
      </c>
      <c r="AK169">
        <v>5</v>
      </c>
      <c r="AL169">
        <v>0</v>
      </c>
      <c r="AM169">
        <v>5</v>
      </c>
    </row>
    <row r="170" spans="1:41" x14ac:dyDescent="0.2">
      <c r="A170" t="s">
        <v>4273</v>
      </c>
      <c r="B170" t="s">
        <v>4275</v>
      </c>
      <c r="C170">
        <v>9</v>
      </c>
      <c r="D170">
        <v>4</v>
      </c>
      <c r="E170" t="s">
        <v>213</v>
      </c>
      <c r="F170" s="1">
        <v>43688</v>
      </c>
      <c r="G170" t="s">
        <v>4031</v>
      </c>
      <c r="H170" t="s">
        <v>4724</v>
      </c>
      <c r="I170" s="2">
        <v>6.8749999999999992E-2</v>
      </c>
      <c r="J170" t="s">
        <v>640</v>
      </c>
      <c r="K170" t="s">
        <v>4258</v>
      </c>
      <c r="L170" t="s">
        <v>568</v>
      </c>
      <c r="M170" t="s">
        <v>23</v>
      </c>
      <c r="N170">
        <v>1</v>
      </c>
      <c r="O170">
        <v>0</v>
      </c>
      <c r="P170">
        <v>1</v>
      </c>
      <c r="Q170" t="s">
        <v>1342</v>
      </c>
      <c r="R170" t="s">
        <v>4244</v>
      </c>
      <c r="S170" t="s">
        <v>122</v>
      </c>
      <c r="T170" t="s">
        <v>4168</v>
      </c>
      <c r="U170" t="s">
        <v>23</v>
      </c>
      <c r="V170" t="s">
        <v>3997</v>
      </c>
      <c r="W170" t="s">
        <v>4022</v>
      </c>
      <c r="Y170">
        <v>343</v>
      </c>
      <c r="AA170">
        <v>11</v>
      </c>
      <c r="AB170" s="19">
        <v>63.718699999999998</v>
      </c>
      <c r="AC170" s="19">
        <v>148.97682</v>
      </c>
      <c r="AD170" t="s">
        <v>115</v>
      </c>
      <c r="AE170" t="s">
        <v>115</v>
      </c>
      <c r="AF170" t="s">
        <v>115</v>
      </c>
      <c r="AG170">
        <v>0</v>
      </c>
      <c r="AH170">
        <v>0</v>
      </c>
      <c r="AI170">
        <v>0</v>
      </c>
      <c r="AJ170">
        <v>0</v>
      </c>
      <c r="AK170">
        <v>24</v>
      </c>
      <c r="AL170">
        <v>0</v>
      </c>
      <c r="AM170">
        <v>24</v>
      </c>
    </row>
    <row r="171" spans="1:41" x14ac:dyDescent="0.2">
      <c r="A171" t="s">
        <v>4602</v>
      </c>
      <c r="B171" t="s">
        <v>4603</v>
      </c>
      <c r="C171">
        <v>2</v>
      </c>
      <c r="D171">
        <v>2</v>
      </c>
      <c r="E171" t="s">
        <v>138</v>
      </c>
      <c r="F171" s="1">
        <v>43701</v>
      </c>
      <c r="G171" t="s">
        <v>4031</v>
      </c>
      <c r="H171" t="s">
        <v>4724</v>
      </c>
      <c r="I171" s="2">
        <v>4.5138888888888888E-2</v>
      </c>
      <c r="J171" t="s">
        <v>101</v>
      </c>
      <c r="K171" t="s">
        <v>4232</v>
      </c>
      <c r="L171" t="s">
        <v>568</v>
      </c>
      <c r="M171" t="s">
        <v>23</v>
      </c>
      <c r="N171">
        <v>1</v>
      </c>
      <c r="O171">
        <v>0</v>
      </c>
      <c r="P171">
        <v>1</v>
      </c>
      <c r="Q171" t="s">
        <v>598</v>
      </c>
      <c r="R171" t="s">
        <v>598</v>
      </c>
      <c r="S171" t="s">
        <v>122</v>
      </c>
      <c r="T171" t="s">
        <v>4604</v>
      </c>
      <c r="U171" t="s">
        <v>23</v>
      </c>
      <c r="V171" t="s">
        <v>3999</v>
      </c>
      <c r="W171" t="s">
        <v>2179</v>
      </c>
      <c r="Y171">
        <v>343</v>
      </c>
      <c r="AA171">
        <v>3</v>
      </c>
      <c r="AB171" s="19">
        <v>63.722969999999997</v>
      </c>
      <c r="AC171" s="19">
        <v>148.95541</v>
      </c>
      <c r="AD171" t="s">
        <v>115</v>
      </c>
      <c r="AE171" t="s">
        <v>115</v>
      </c>
      <c r="AF171" t="s">
        <v>115</v>
      </c>
      <c r="AG171">
        <v>0</v>
      </c>
      <c r="AH171">
        <v>0</v>
      </c>
      <c r="AI171">
        <v>0</v>
      </c>
      <c r="AJ171">
        <v>0</v>
      </c>
      <c r="AK171">
        <v>13</v>
      </c>
      <c r="AL171">
        <v>0</v>
      </c>
      <c r="AM171">
        <v>13</v>
      </c>
    </row>
    <row r="172" spans="1:41" x14ac:dyDescent="0.2">
      <c r="A172" t="s">
        <v>4666</v>
      </c>
      <c r="B172" t="s">
        <v>4667</v>
      </c>
      <c r="C172">
        <v>14</v>
      </c>
      <c r="D172">
        <v>1</v>
      </c>
      <c r="E172" t="s">
        <v>395</v>
      </c>
      <c r="F172" s="1">
        <v>43705</v>
      </c>
      <c r="G172" t="s">
        <v>4031</v>
      </c>
      <c r="H172" t="s">
        <v>4724</v>
      </c>
      <c r="I172" s="2">
        <v>4.6527777777777779E-2</v>
      </c>
      <c r="J172" t="s">
        <v>398</v>
      </c>
      <c r="K172" t="s">
        <v>4675</v>
      </c>
      <c r="L172" t="s">
        <v>568</v>
      </c>
      <c r="M172" t="s">
        <v>23</v>
      </c>
      <c r="N172">
        <v>1</v>
      </c>
      <c r="O172">
        <v>0</v>
      </c>
      <c r="P172">
        <v>1</v>
      </c>
      <c r="Q172" t="s">
        <v>176</v>
      </c>
      <c r="R172" t="s">
        <v>176</v>
      </c>
      <c r="S172" t="s">
        <v>122</v>
      </c>
      <c r="T172" t="s">
        <v>4604</v>
      </c>
      <c r="U172" t="s">
        <v>23</v>
      </c>
      <c r="V172" t="s">
        <v>3999</v>
      </c>
      <c r="W172" t="s">
        <v>2179</v>
      </c>
      <c r="Y172">
        <v>343</v>
      </c>
      <c r="AA172">
        <v>2</v>
      </c>
      <c r="AB172" s="19">
        <v>63.720950000000002</v>
      </c>
      <c r="AC172" s="19">
        <v>148.98137</v>
      </c>
      <c r="AD172" t="s">
        <v>115</v>
      </c>
      <c r="AE172" t="s">
        <v>115</v>
      </c>
      <c r="AF172" t="s">
        <v>115</v>
      </c>
      <c r="AG172">
        <v>0</v>
      </c>
      <c r="AH172">
        <v>0</v>
      </c>
      <c r="AI172">
        <v>0</v>
      </c>
      <c r="AJ172">
        <v>0</v>
      </c>
      <c r="AK172">
        <v>45</v>
      </c>
      <c r="AL172">
        <v>0</v>
      </c>
      <c r="AM172">
        <v>45</v>
      </c>
    </row>
    <row r="173" spans="1:41" x14ac:dyDescent="0.2">
      <c r="A173" t="s">
        <v>4219</v>
      </c>
      <c r="B173" t="s">
        <v>4220</v>
      </c>
      <c r="C173">
        <v>2</v>
      </c>
      <c r="D173">
        <v>1</v>
      </c>
      <c r="E173" t="s">
        <v>140</v>
      </c>
      <c r="F173" s="1">
        <v>43687</v>
      </c>
      <c r="G173" t="s">
        <v>4031</v>
      </c>
      <c r="H173" t="s">
        <v>4724</v>
      </c>
      <c r="I173" s="2">
        <v>3.2638888888888891E-2</v>
      </c>
      <c r="J173" t="s">
        <v>398</v>
      </c>
      <c r="K173" t="s">
        <v>149</v>
      </c>
      <c r="L173" t="s">
        <v>111</v>
      </c>
      <c r="M173" t="s">
        <v>23</v>
      </c>
      <c r="N173">
        <v>1</v>
      </c>
      <c r="O173">
        <v>0</v>
      </c>
      <c r="P173">
        <v>1</v>
      </c>
      <c r="Q173" t="s">
        <v>176</v>
      </c>
      <c r="R173" t="s">
        <v>176</v>
      </c>
      <c r="S173" t="s">
        <v>176</v>
      </c>
      <c r="T173" t="s">
        <v>2300</v>
      </c>
      <c r="U173" t="s">
        <v>23</v>
      </c>
      <c r="V173" t="s">
        <v>3997</v>
      </c>
      <c r="W173" t="s">
        <v>4006</v>
      </c>
      <c r="Y173">
        <v>352</v>
      </c>
      <c r="AA173" t="s">
        <v>176</v>
      </c>
      <c r="AB173" s="19">
        <v>63.724060000000001</v>
      </c>
      <c r="AC173" s="19">
        <v>148.94916000000001</v>
      </c>
      <c r="AD173" t="s">
        <v>115</v>
      </c>
      <c r="AE173" t="s">
        <v>115</v>
      </c>
      <c r="AF173" t="s">
        <v>115</v>
      </c>
      <c r="AG173">
        <v>0</v>
      </c>
      <c r="AH173">
        <v>0</v>
      </c>
      <c r="AI173">
        <v>0</v>
      </c>
      <c r="AJ173">
        <v>0</v>
      </c>
      <c r="AK173">
        <v>0</v>
      </c>
      <c r="AL173">
        <v>0</v>
      </c>
      <c r="AM173">
        <v>0</v>
      </c>
    </row>
    <row r="174" spans="1:41" x14ac:dyDescent="0.2">
      <c r="A174" t="s">
        <v>3864</v>
      </c>
      <c r="B174" t="s">
        <v>3865</v>
      </c>
      <c r="C174">
        <v>2</v>
      </c>
      <c r="D174">
        <v>1</v>
      </c>
      <c r="E174" t="s">
        <v>2601</v>
      </c>
      <c r="F174" s="1">
        <v>43590</v>
      </c>
      <c r="G174" s="1" t="s">
        <v>4028</v>
      </c>
      <c r="H174" s="1"/>
      <c r="I174" s="2">
        <v>3.3333333333333333E-2</v>
      </c>
      <c r="J174" t="s">
        <v>1278</v>
      </c>
      <c r="K174" t="s">
        <v>177</v>
      </c>
      <c r="L174" t="s">
        <v>187</v>
      </c>
      <c r="M174" t="s">
        <v>115</v>
      </c>
      <c r="N174" t="s">
        <v>24</v>
      </c>
      <c r="O174">
        <v>0</v>
      </c>
      <c r="P174">
        <v>1</v>
      </c>
      <c r="Q174" t="s">
        <v>598</v>
      </c>
      <c r="R174" s="5" t="s">
        <v>2437</v>
      </c>
      <c r="S174" s="5" t="s">
        <v>24</v>
      </c>
      <c r="T174" s="5" t="s">
        <v>3866</v>
      </c>
      <c r="U174" s="5" t="s">
        <v>23</v>
      </c>
      <c r="V174" s="5" t="s">
        <v>3999</v>
      </c>
      <c r="W174" s="5" t="s">
        <v>4021</v>
      </c>
      <c r="X174" s="5" t="s">
        <v>2551</v>
      </c>
      <c r="Y174">
        <v>355</v>
      </c>
      <c r="AA174" s="5" t="s">
        <v>176</v>
      </c>
      <c r="AB174">
        <v>63.72616</v>
      </c>
      <c r="AC174">
        <v>148.96205</v>
      </c>
      <c r="AD174" s="5" t="s">
        <v>115</v>
      </c>
      <c r="AE174" s="5" t="s">
        <v>115</v>
      </c>
      <c r="AF174" s="5" t="s">
        <v>115</v>
      </c>
      <c r="AG174">
        <v>0</v>
      </c>
      <c r="AH174">
        <v>0</v>
      </c>
      <c r="AI174">
        <v>0</v>
      </c>
      <c r="AJ174">
        <v>0</v>
      </c>
      <c r="AK174">
        <v>44</v>
      </c>
      <c r="AL174">
        <v>44</v>
      </c>
      <c r="AM174" t="s">
        <v>188</v>
      </c>
    </row>
    <row r="175" spans="1:41" x14ac:dyDescent="0.2">
      <c r="A175" t="s">
        <v>4433</v>
      </c>
      <c r="B175" t="s">
        <v>4435</v>
      </c>
      <c r="C175">
        <v>1</v>
      </c>
      <c r="D175">
        <v>1</v>
      </c>
      <c r="E175" t="s">
        <v>2537</v>
      </c>
      <c r="F175" s="1">
        <v>43694</v>
      </c>
      <c r="G175" t="s">
        <v>4031</v>
      </c>
      <c r="H175" t="s">
        <v>4724</v>
      </c>
      <c r="I175" s="2">
        <v>3.1944444444444449E-2</v>
      </c>
      <c r="J175" t="s">
        <v>398</v>
      </c>
      <c r="K175" t="s">
        <v>241</v>
      </c>
      <c r="L175" t="s">
        <v>568</v>
      </c>
      <c r="M175" t="s">
        <v>23</v>
      </c>
      <c r="N175">
        <v>1</v>
      </c>
      <c r="O175">
        <v>0</v>
      </c>
      <c r="P175">
        <v>1</v>
      </c>
      <c r="Q175" t="s">
        <v>176</v>
      </c>
      <c r="R175" t="s">
        <v>176</v>
      </c>
      <c r="S175" t="s">
        <v>122</v>
      </c>
      <c r="T175" t="s">
        <v>939</v>
      </c>
      <c r="U175" t="s">
        <v>23</v>
      </c>
      <c r="V175" t="s">
        <v>3999</v>
      </c>
      <c r="W175" t="s">
        <v>4434</v>
      </c>
      <c r="Y175">
        <v>358</v>
      </c>
      <c r="Z175">
        <f>COUNT(Y136:Y175)</f>
        <v>40</v>
      </c>
      <c r="AA175">
        <v>1</v>
      </c>
      <c r="AB175" s="19">
        <v>63.7318</v>
      </c>
      <c r="AC175" s="19">
        <v>148.90196</v>
      </c>
      <c r="AD175" t="s">
        <v>115</v>
      </c>
      <c r="AE175" t="s">
        <v>115</v>
      </c>
      <c r="AF175" t="s">
        <v>115</v>
      </c>
      <c r="AG175">
        <v>0</v>
      </c>
      <c r="AH175">
        <v>0</v>
      </c>
      <c r="AI175">
        <v>0</v>
      </c>
      <c r="AJ175">
        <v>0</v>
      </c>
      <c r="AK175">
        <v>4</v>
      </c>
      <c r="AL175">
        <v>0</v>
      </c>
      <c r="AM175">
        <v>4</v>
      </c>
    </row>
    <row r="177" spans="1:26" x14ac:dyDescent="0.2">
      <c r="A177" s="153" t="s">
        <v>5108</v>
      </c>
      <c r="X177" t="s">
        <v>5109</v>
      </c>
      <c r="Y177" t="s">
        <v>2457</v>
      </c>
      <c r="Z177" s="56">
        <f>50/174</f>
        <v>0.28735632183908044</v>
      </c>
    </row>
    <row r="178" spans="1:26" x14ac:dyDescent="0.2">
      <c r="A178" s="183" t="s">
        <v>5110</v>
      </c>
      <c r="X178" t="s">
        <v>5111</v>
      </c>
      <c r="Y178" t="s">
        <v>2850</v>
      </c>
      <c r="Z178" s="56">
        <f>40/174</f>
        <v>0.22988505747126436</v>
      </c>
    </row>
    <row r="179" spans="1:26" x14ac:dyDescent="0.2">
      <c r="X179" t="s">
        <v>5112</v>
      </c>
      <c r="Y179" t="s">
        <v>3653</v>
      </c>
      <c r="Z179" s="56">
        <f>44/174</f>
        <v>0.25287356321839083</v>
      </c>
    </row>
    <row r="180" spans="1:26" x14ac:dyDescent="0.2">
      <c r="X180" t="s">
        <v>5113</v>
      </c>
      <c r="Y180" t="s">
        <v>2765</v>
      </c>
      <c r="Z180" s="56">
        <f>40/174</f>
        <v>0.22988505747126436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670ACC-42AF-0D4F-94D6-D099BBE445B1}">
  <dimension ref="A1:B8"/>
  <sheetViews>
    <sheetView workbookViewId="0">
      <selection activeCell="B8" sqref="B8"/>
    </sheetView>
  </sheetViews>
  <sheetFormatPr baseColWidth="10" defaultRowHeight="16" x14ac:dyDescent="0.2"/>
  <sheetData>
    <row r="1" spans="1:2" x14ac:dyDescent="0.2">
      <c r="A1" t="s">
        <v>5105</v>
      </c>
    </row>
    <row r="2" spans="1:2" x14ac:dyDescent="0.2">
      <c r="B2" t="s">
        <v>5104</v>
      </c>
    </row>
    <row r="3" spans="1:2" x14ac:dyDescent="0.2">
      <c r="A3" t="s">
        <v>4023</v>
      </c>
      <c r="B3">
        <v>4345</v>
      </c>
    </row>
    <row r="4" spans="1:2" x14ac:dyDescent="0.2">
      <c r="A4" t="s">
        <v>3959</v>
      </c>
      <c r="B4">
        <v>34679</v>
      </c>
    </row>
    <row r="5" spans="1:2" x14ac:dyDescent="0.2">
      <c r="A5" t="s">
        <v>5106</v>
      </c>
      <c r="B5">
        <v>31488</v>
      </c>
    </row>
    <row r="6" spans="1:2" x14ac:dyDescent="0.2">
      <c r="A6" s="111">
        <v>43617</v>
      </c>
      <c r="B6">
        <v>2185</v>
      </c>
    </row>
    <row r="7" spans="1:2" x14ac:dyDescent="0.2">
      <c r="A7" s="111">
        <v>43678</v>
      </c>
      <c r="B7">
        <v>11127</v>
      </c>
    </row>
    <row r="8" spans="1:2" x14ac:dyDescent="0.2">
      <c r="A8" t="s">
        <v>4690</v>
      </c>
      <c r="B8">
        <f>SUM(B3:B7)</f>
        <v>83824</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937D7-33D1-5044-BFCB-AF90DC528E42}">
  <sheetPr>
    <tabColor theme="3" tint="0.59999389629810485"/>
  </sheetPr>
  <dimension ref="A1:Q232"/>
  <sheetViews>
    <sheetView zoomScale="101" workbookViewId="0">
      <selection activeCell="I9" sqref="I9"/>
    </sheetView>
  </sheetViews>
  <sheetFormatPr baseColWidth="10" defaultRowHeight="16" x14ac:dyDescent="0.2"/>
  <cols>
    <col min="1" max="1" width="13.5" bestFit="1" customWidth="1"/>
    <col min="2" max="2" width="20.6640625" bestFit="1" customWidth="1"/>
    <col min="3" max="3" width="22.1640625" bestFit="1" customWidth="1"/>
    <col min="4" max="4" width="23.6640625" bestFit="1" customWidth="1"/>
    <col min="5" max="5" width="20.6640625" bestFit="1" customWidth="1"/>
    <col min="17" max="18" width="14.6640625" customWidth="1"/>
    <col min="20" max="20" width="12.5" customWidth="1"/>
    <col min="21" max="22" width="13.1640625" customWidth="1"/>
    <col min="23" max="24" width="8.6640625" bestFit="1" customWidth="1"/>
    <col min="25" max="25" width="11.33203125" bestFit="1" customWidth="1"/>
    <col min="26" max="26" width="8.1640625" bestFit="1" customWidth="1"/>
    <col min="27" max="27" width="10" bestFit="1" customWidth="1"/>
    <col min="28" max="28" width="10.5" bestFit="1" customWidth="1"/>
    <col min="29" max="30" width="8.33203125" bestFit="1" customWidth="1"/>
    <col min="31" max="31" width="8.83203125" bestFit="1" customWidth="1"/>
    <col min="32" max="32" width="10" bestFit="1" customWidth="1"/>
    <col min="33" max="33" width="6.83203125" bestFit="1" customWidth="1"/>
    <col min="34" max="34" width="22.1640625" bestFit="1" customWidth="1"/>
    <col min="35" max="35" width="5" bestFit="1" customWidth="1"/>
    <col min="36" max="36" width="7.5" bestFit="1" customWidth="1"/>
    <col min="37" max="37" width="3.6640625" bestFit="1" customWidth="1"/>
    <col min="38" max="38" width="6.6640625" bestFit="1" customWidth="1"/>
    <col min="39" max="39" width="11.83203125" bestFit="1" customWidth="1"/>
    <col min="40" max="40" width="5" bestFit="1" customWidth="1"/>
    <col min="41" max="41" width="10.33203125" bestFit="1" customWidth="1"/>
    <col min="42" max="43" width="8.6640625" bestFit="1" customWidth="1"/>
    <col min="44" max="44" width="11.33203125" bestFit="1" customWidth="1"/>
    <col min="45" max="45" width="8.1640625" bestFit="1" customWidth="1"/>
    <col min="46" max="46" width="10" bestFit="1" customWidth="1"/>
    <col min="47" max="47" width="10.5" bestFit="1" customWidth="1"/>
    <col min="48" max="49" width="8.33203125" bestFit="1" customWidth="1"/>
    <col min="50" max="50" width="7.83203125" bestFit="1" customWidth="1"/>
    <col min="52" max="52" width="14.33203125" bestFit="1" customWidth="1"/>
    <col min="53" max="53" width="11.5" bestFit="1" customWidth="1"/>
    <col min="54" max="54" width="10.1640625" bestFit="1" customWidth="1"/>
    <col min="55" max="55" width="10" bestFit="1" customWidth="1"/>
    <col min="56" max="56" width="9.5" bestFit="1" customWidth="1"/>
    <col min="57" max="57" width="5.6640625" bestFit="1" customWidth="1"/>
    <col min="58" max="58" width="6.6640625" bestFit="1" customWidth="1"/>
    <col min="59" max="60" width="10" bestFit="1" customWidth="1"/>
    <col min="61" max="61" width="8.83203125" bestFit="1" customWidth="1"/>
    <col min="62" max="62" width="10" bestFit="1" customWidth="1"/>
    <col min="63" max="63" width="6.83203125" bestFit="1" customWidth="1"/>
    <col min="64" max="64" width="23.6640625" bestFit="1" customWidth="1"/>
    <col min="65" max="65" width="5.1640625" bestFit="1" customWidth="1"/>
    <col min="66" max="66" width="7.5" bestFit="1" customWidth="1"/>
    <col min="67" max="67" width="5.1640625" bestFit="1" customWidth="1"/>
    <col min="68" max="68" width="6.6640625" bestFit="1" customWidth="1"/>
    <col min="69" max="69" width="11.83203125" bestFit="1" customWidth="1"/>
    <col min="70" max="70" width="5" bestFit="1" customWidth="1"/>
    <col min="71" max="71" width="10.33203125" bestFit="1" customWidth="1"/>
    <col min="72" max="73" width="8.6640625" bestFit="1" customWidth="1"/>
    <col min="74" max="74" width="11.33203125" bestFit="1" customWidth="1"/>
    <col min="75" max="75" width="8.1640625" bestFit="1" customWidth="1"/>
    <col min="76" max="76" width="10" bestFit="1" customWidth="1"/>
    <col min="77" max="77" width="10.5" bestFit="1" customWidth="1"/>
    <col min="78" max="79" width="8.33203125" bestFit="1" customWidth="1"/>
    <col min="80" max="80" width="7.83203125" bestFit="1" customWidth="1"/>
    <col min="82" max="82" width="14.33203125" bestFit="1" customWidth="1"/>
    <col min="83" max="83" width="11.5" bestFit="1" customWidth="1"/>
    <col min="84" max="84" width="10.1640625" bestFit="1" customWidth="1"/>
    <col min="85" max="85" width="10" bestFit="1" customWidth="1"/>
    <col min="86" max="86" width="9.5" bestFit="1" customWidth="1"/>
    <col min="87" max="87" width="5.6640625" bestFit="1" customWidth="1"/>
    <col min="88" max="88" width="6.6640625" bestFit="1" customWidth="1"/>
    <col min="89" max="90" width="10" bestFit="1" customWidth="1"/>
    <col min="91" max="91" width="8.83203125" bestFit="1" customWidth="1"/>
    <col min="92" max="92" width="10" bestFit="1" customWidth="1"/>
    <col min="93" max="93" width="6.83203125" bestFit="1" customWidth="1"/>
    <col min="94" max="94" width="44.5" bestFit="1" customWidth="1"/>
    <col min="95" max="95" width="27" bestFit="1" customWidth="1"/>
    <col min="96" max="96" width="28.5" bestFit="1" customWidth="1"/>
  </cols>
  <sheetData>
    <row r="1" spans="1:17" x14ac:dyDescent="0.2">
      <c r="A1" t="s">
        <v>5114</v>
      </c>
    </row>
    <row r="3" spans="1:17" x14ac:dyDescent="0.2">
      <c r="A3" s="27" t="s">
        <v>2297</v>
      </c>
      <c r="B3" t="s">
        <v>4685</v>
      </c>
      <c r="C3" t="s">
        <v>4717</v>
      </c>
      <c r="D3" t="s">
        <v>4731</v>
      </c>
      <c r="J3" t="s">
        <v>5049</v>
      </c>
      <c r="K3" t="s">
        <v>5087</v>
      </c>
      <c r="L3" t="s">
        <v>5050</v>
      </c>
      <c r="M3" t="s">
        <v>5090</v>
      </c>
      <c r="N3" t="s">
        <v>5048</v>
      </c>
      <c r="O3" t="s">
        <v>5088</v>
      </c>
      <c r="P3" t="s">
        <v>5051</v>
      </c>
      <c r="Q3" t="s">
        <v>5091</v>
      </c>
    </row>
    <row r="4" spans="1:17" x14ac:dyDescent="0.2">
      <c r="A4" s="28" t="s">
        <v>791</v>
      </c>
      <c r="B4" s="29">
        <v>38</v>
      </c>
      <c r="C4" s="29">
        <v>22</v>
      </c>
      <c r="D4" s="29">
        <v>1054</v>
      </c>
      <c r="E4" t="s">
        <v>791</v>
      </c>
      <c r="F4">
        <v>1924</v>
      </c>
      <c r="I4" t="s">
        <v>2591</v>
      </c>
      <c r="J4">
        <f>GETPIVOTDATA("Sum of Number of food acquisition successes ",$A$3,"Territory name","Air Quality","Band combo ","PG/PS")/GETPIVOTDATA("Sum of Total foraging time",$A$3,"Territory name","Air Quality","Band combo ","PG/PS")</f>
        <v>3.048065650644783E-2</v>
      </c>
      <c r="K4">
        <f>J4*60</f>
        <v>1.8288393903868698</v>
      </c>
      <c r="L4">
        <f>K4*60</f>
        <v>109.7303634232122</v>
      </c>
      <c r="M4">
        <f>(GETPIVOTDATA("Sum of Number of food acquisition successes ",$A$3,"Territory name","Air Quality")/(853+155))*60</f>
        <v>2.2619047619047619</v>
      </c>
      <c r="N4">
        <f>GETPIVOTDATA("Sum of Cache deposited?",$A$3,"Territory name","Air Quality","Band combo ","PG/PS")/GETPIVOTDATA("Sum of Total foraging time",$A$3,"Territory name","Air Quality","Band combo ","PG/PS")</f>
        <v>1.1723329425556858E-2</v>
      </c>
      <c r="O4">
        <f>N4*60</f>
        <v>0.70339976553341144</v>
      </c>
      <c r="P4">
        <f>O4*60</f>
        <v>42.203985932004684</v>
      </c>
      <c r="Q4">
        <f>(GETPIVOTDATA("Sum of Cache deposited?",$A$3,"Territory name","Air Quality")/(853+155))*60</f>
        <v>1.3095238095238095</v>
      </c>
    </row>
    <row r="5" spans="1:17" x14ac:dyDescent="0.2">
      <c r="A5" s="131" t="s">
        <v>924</v>
      </c>
      <c r="B5" s="132">
        <v>26</v>
      </c>
      <c r="C5" s="132">
        <v>10</v>
      </c>
      <c r="D5" s="132">
        <v>853</v>
      </c>
      <c r="E5" t="s">
        <v>924</v>
      </c>
      <c r="F5">
        <v>1332</v>
      </c>
      <c r="J5">
        <f>GETPIVOTDATA("Sum of Number of food acquisition successes ",$A$3,"Territory name","Air Quality","Band combo ","PL/PS")/GETPIVOTDATA("Sum of Total foraging time",$A$3,"Territory name","Air Quality","Band combo ","PL/PS")</f>
        <v>7.7419354838709681E-2</v>
      </c>
      <c r="K5">
        <f t="shared" ref="K5:L16" si="0">J5*60</f>
        <v>4.645161290322581</v>
      </c>
      <c r="L5">
        <f t="shared" si="0"/>
        <v>278.70967741935488</v>
      </c>
      <c r="N5">
        <f>GETPIVOTDATA("Sum of Cache deposited?",$A$3,"Territory name","Air Quality","Band combo ","PL/PS")/GETPIVOTDATA("Sum of Total foraging time",$A$3,"Territory name","Air Quality","Band combo ","PL/PS")</f>
        <v>7.7419354838709681E-2</v>
      </c>
      <c r="O5">
        <f t="shared" ref="O5:P16" si="1">N5*60</f>
        <v>4.645161290322581</v>
      </c>
      <c r="P5">
        <f t="shared" si="1"/>
        <v>278.70967741935488</v>
      </c>
    </row>
    <row r="6" spans="1:17" x14ac:dyDescent="0.2">
      <c r="A6" s="131" t="s">
        <v>927</v>
      </c>
      <c r="B6" s="132">
        <v>12</v>
      </c>
      <c r="C6" s="132">
        <v>12</v>
      </c>
      <c r="D6" s="132">
        <v>155</v>
      </c>
      <c r="E6" t="s">
        <v>927</v>
      </c>
      <c r="F6">
        <v>540</v>
      </c>
      <c r="I6" t="s">
        <v>138</v>
      </c>
      <c r="J6">
        <f>GETPIVOTDATA("Sum of Number of food acquisition successes ",$A$3,"Territory name","B&amp;U","Band combo ","GR/PS")/GETPIVOTDATA("Sum of Total foraging time",$A$3,"Territory name","B&amp;U","Band combo ","GR/PS")</f>
        <v>2.8381374722838137E-2</v>
      </c>
      <c r="K6">
        <f t="shared" si="0"/>
        <v>1.7028824833702882</v>
      </c>
      <c r="L6">
        <f t="shared" si="0"/>
        <v>102.17294900221729</v>
      </c>
      <c r="M6">
        <f>(GETPIVOTDATA("Sum of Number of food acquisition successes ",$A$3,"Territory name","B&amp;U")/GETPIVOTDATA("Sum of Total foraging time",$A$3,"Territory name","B&amp;U"))*60</f>
        <v>1.6074887023886379</v>
      </c>
      <c r="N6">
        <f>GETPIVOTDATA("Sum of Cache deposited?",$A$3,"Territory name","B&amp;U","Band combo ","GR/PS")/GETPIVOTDATA("Sum of Total foraging time",$A$3,"Territory name","B&amp;U","Band combo ","GR/PS")</f>
        <v>1.3303769401330377E-2</v>
      </c>
      <c r="O6">
        <f t="shared" si="1"/>
        <v>0.79822616407982261</v>
      </c>
      <c r="P6">
        <f t="shared" si="1"/>
        <v>47.893569844789354</v>
      </c>
      <c r="Q6">
        <f>GETPIVOTDATA("Sum of Cache deposited?",$A$3,"Territory name","B&amp;U")/GETPIVOTDATA("Sum of Total foraging time",$A$3,"Territory name","B&amp;U")*60</f>
        <v>0.79406068431245969</v>
      </c>
    </row>
    <row r="7" spans="1:17" x14ac:dyDescent="0.2">
      <c r="A7" s="130" t="s">
        <v>64</v>
      </c>
      <c r="B7" s="29">
        <v>0</v>
      </c>
      <c r="C7" s="29">
        <v>0</v>
      </c>
      <c r="D7" s="29">
        <v>46</v>
      </c>
      <c r="E7" t="s">
        <v>64</v>
      </c>
      <c r="F7">
        <v>52</v>
      </c>
      <c r="J7">
        <f>GETPIVOTDATA("Sum of Number of food acquisition successes ",$A$3,"Territory name","B&amp;U","Band combo ","WP/BS")/GETPIVOTDATA("Sum of Total foraging time",$A$3,"Territory name","B&amp;U","Band combo ","WP/BS")</f>
        <v>2.2538552787663108E-2</v>
      </c>
      <c r="K7">
        <f t="shared" si="0"/>
        <v>1.3523131672597866</v>
      </c>
      <c r="L7">
        <f t="shared" si="0"/>
        <v>81.138790035587192</v>
      </c>
      <c r="N7">
        <f>GETPIVOTDATA("Sum of Cache deposited?",$A$3,"Territory name","B&amp;U","Band combo ","WP/BS")/GETPIVOTDATA("Sum of Total foraging time",$A$3,"Territory name","B&amp;U","Band combo ","WP/BS")</f>
        <v>1.3048635824436536E-2</v>
      </c>
      <c r="O7">
        <f t="shared" si="1"/>
        <v>0.78291814946619209</v>
      </c>
      <c r="P7">
        <f t="shared" si="1"/>
        <v>46.975088967971523</v>
      </c>
    </row>
    <row r="8" spans="1:17" x14ac:dyDescent="0.2">
      <c r="A8" s="28" t="s">
        <v>2601</v>
      </c>
      <c r="B8" s="29">
        <v>83</v>
      </c>
      <c r="C8" s="29">
        <v>41</v>
      </c>
      <c r="D8" s="29">
        <v>3098</v>
      </c>
      <c r="E8" t="s">
        <v>2601</v>
      </c>
      <c r="F8">
        <v>8128</v>
      </c>
      <c r="I8" t="s">
        <v>3171</v>
      </c>
      <c r="J8">
        <f>GETPIVOTDATA("Sum of Number of food acquisition successes ",$A$3,"Territory name","CCAMP","Band combo ","GB/BS")/GETPIVOTDATA("Sum of Total foraging time",$A$3,"Territory name","CCAMP","Band combo ","GB/BS")</f>
        <v>1.5413234121711401E-2</v>
      </c>
      <c r="K8">
        <f t="shared" si="0"/>
        <v>0.92479404730268411</v>
      </c>
      <c r="L8">
        <f t="shared" si="0"/>
        <v>55.487642838161044</v>
      </c>
      <c r="M8">
        <f>GETPIVOTDATA("Sum of Number of food acquisition successes ",$A$3,"Territory name","CCAMP")/GETPIVOTDATA("Sum of Total foraging time",$A$3,"Territory name","CCAMP")*60</f>
        <v>1.0952201731275875</v>
      </c>
      <c r="N8">
        <f>GETPIVOTDATA("Sum of Cache deposited?",$A$3,"Territory name","CCAMP","Band combo ","GB/BS")/GETPIVOTDATA("Sum of Total foraging time",$A$3,"Territory name","CCAMP","Band combo ","GB/BS")</f>
        <v>6.3778899813978209E-3</v>
      </c>
      <c r="O8">
        <f t="shared" si="1"/>
        <v>0.38267339888386925</v>
      </c>
      <c r="P8">
        <f t="shared" si="1"/>
        <v>22.960403933032154</v>
      </c>
      <c r="Q8">
        <f>GETPIVOTDATA("Sum of Cache deposited?",$A$3,"Territory name","CCAMP")/GETPIVOTDATA("Sum of Total foraging time",$A$3,"Territory name","CCAMP")*60</f>
        <v>0.41776439593526532</v>
      </c>
    </row>
    <row r="9" spans="1:17" x14ac:dyDescent="0.2">
      <c r="A9" s="131" t="s">
        <v>173</v>
      </c>
      <c r="B9" s="132">
        <v>64</v>
      </c>
      <c r="C9" s="132">
        <v>30</v>
      </c>
      <c r="D9" s="132">
        <v>2255</v>
      </c>
      <c r="E9" t="s">
        <v>173</v>
      </c>
      <c r="F9">
        <v>6300</v>
      </c>
      <c r="J9">
        <f>GETPIVOTDATA("Sum of Number of food acquisition successes ",$A$3,"Territory name","CCAMP","Band combo ","GL/RS")/GETPIVOTDATA("Sum of Total foraging time",$A$3,"Territory name","CCAMP","Band combo ","GL/RS")</f>
        <v>2.5145067698259187E-2</v>
      </c>
      <c r="K9">
        <f t="shared" si="0"/>
        <v>1.5087040618955512</v>
      </c>
      <c r="L9">
        <f t="shared" si="0"/>
        <v>90.522243713733076</v>
      </c>
      <c r="N9">
        <f>GETPIVOTDATA("Sum of Cache deposited?",$A$3,"Territory name","CCAMP","Band combo ","GL/RS")/GETPIVOTDATA("Sum of Total foraging time",$A$3,"Territory name","CCAMP","Band combo ","GL/RS")</f>
        <v>8.3816892327530628E-3</v>
      </c>
      <c r="O9">
        <f t="shared" si="1"/>
        <v>0.50290135396518376</v>
      </c>
      <c r="P9">
        <f t="shared" si="1"/>
        <v>30.174081237911025</v>
      </c>
    </row>
    <row r="10" spans="1:17" x14ac:dyDescent="0.2">
      <c r="A10" s="131" t="s">
        <v>177</v>
      </c>
      <c r="B10" s="132">
        <v>19</v>
      </c>
      <c r="C10" s="132">
        <v>11</v>
      </c>
      <c r="D10" s="132">
        <v>843</v>
      </c>
      <c r="E10" t="s">
        <v>177</v>
      </c>
      <c r="F10">
        <v>1828</v>
      </c>
      <c r="I10" t="s">
        <v>2538</v>
      </c>
      <c r="J10">
        <f>GETPIVOTDATA("Sum of Number of food acquisition successes ",$A$3,"Territory name","M4Roadside","Band combo ","OB/YS")/GETPIVOTDATA("Sum of Total foraging time",$A$3,"Territory name","M4Roadside","Band combo ","OB/YS")</f>
        <v>4.3930635838150288E-2</v>
      </c>
      <c r="K10">
        <f t="shared" si="0"/>
        <v>2.6358381502890174</v>
      </c>
      <c r="L10">
        <f t="shared" si="0"/>
        <v>158.15028901734104</v>
      </c>
      <c r="M10">
        <f>(GETPIVOTDATA("Sum of Number of food acquisition successes ",$A$3,"Territory name","M4Roadside")/(865+126))*60</f>
        <v>3.2694248234106964</v>
      </c>
      <c r="N10">
        <f>GETPIVOTDATA("Sum of Cache deposited?",$A$3,"Territory name","M4Roadside","Band combo ","OB/YS")/GETPIVOTDATA("Sum of Total foraging time",$A$3,"Territory name","M4Roadside","Band combo ","OB/YS")</f>
        <v>2.0809248554913295E-2</v>
      </c>
      <c r="O10">
        <f t="shared" si="1"/>
        <v>1.2485549132947977</v>
      </c>
      <c r="P10">
        <f t="shared" si="1"/>
        <v>74.913294797687868</v>
      </c>
      <c r="Q10">
        <f>(GETPIVOTDATA("Sum of Cache deposited?",$A$3,"Territory name","M4Roadside")/(865+126))*60</f>
        <v>1.4530776992936427</v>
      </c>
    </row>
    <row r="11" spans="1:17" x14ac:dyDescent="0.2">
      <c r="A11" s="28" t="s">
        <v>3171</v>
      </c>
      <c r="B11" s="29">
        <v>97</v>
      </c>
      <c r="C11" s="29">
        <v>37</v>
      </c>
      <c r="D11" s="29">
        <v>5314</v>
      </c>
      <c r="E11" t="s">
        <v>3171</v>
      </c>
      <c r="F11">
        <v>7864</v>
      </c>
      <c r="J11">
        <f>GETPIVOTDATA("Sum of Number of food acquisition successes ",$A$3,"Territory name","M4Roadside","Band combo ","WG/OS")/GETPIVOTDATA("Sum of Total foraging time",$A$3,"Territory name","M4Roadside","Band combo ","WG/OS")</f>
        <v>0.12698412698412698</v>
      </c>
      <c r="K11">
        <f t="shared" si="0"/>
        <v>7.6190476190476186</v>
      </c>
      <c r="L11">
        <f t="shared" si="0"/>
        <v>457.14285714285711</v>
      </c>
      <c r="N11">
        <f>GETPIVOTDATA("Sum of Cache deposited?",$A$3,"Territory name","M4Roadside","Band combo ","WG/OS")/GETPIVOTDATA("Sum of Total foraging time",$A$3,"Territory name","M4Roadside","Band combo ","WG/OS")</f>
        <v>4.7619047619047616E-2</v>
      </c>
      <c r="O11">
        <f t="shared" si="1"/>
        <v>2.8571428571428568</v>
      </c>
      <c r="P11">
        <f t="shared" si="1"/>
        <v>171.42857142857142</v>
      </c>
    </row>
    <row r="12" spans="1:17" x14ac:dyDescent="0.2">
      <c r="A12" s="131" t="s">
        <v>149</v>
      </c>
      <c r="B12" s="132">
        <v>58</v>
      </c>
      <c r="C12" s="132">
        <v>24</v>
      </c>
      <c r="D12" s="132">
        <v>3763</v>
      </c>
      <c r="E12" t="s">
        <v>149</v>
      </c>
      <c r="F12">
        <v>5624</v>
      </c>
      <c r="I12" t="s">
        <v>2602</v>
      </c>
      <c r="J12">
        <f>GETPIVOTDATA("Sum of Number of food acquisition successes ",$A$3,"Territory name","Mercantile","Band combo ","BW/GS")/GETPIVOTDATA("Sum of Total foraging time",$A$3,"Territory name","Mercantile","Band combo ","BW/GS")</f>
        <v>4.0062434963579606E-2</v>
      </c>
      <c r="K12">
        <f t="shared" si="0"/>
        <v>2.4037460978147762</v>
      </c>
      <c r="L12">
        <f t="shared" si="0"/>
        <v>144.22476586888658</v>
      </c>
      <c r="M12">
        <f>GETPIVOTDATA("Sum of Number of food acquisition successes ",$A$3,"Territory name","Mercantile")/GETPIVOTDATA("Sum of Total foraging time",$A$3,"Territory name","Mercantile")*60</f>
        <v>2.2619808306709266</v>
      </c>
      <c r="N12">
        <f>GETPIVOTDATA("Sum of Cache deposited?",$A$3,"Territory name","Mercantile","Band combo ","BW/GS")/GETPIVOTDATA("Sum of Total foraging time",$A$3,"Territory name","Mercantile","Band combo ","BW/GS")</f>
        <v>1.3007284079084287E-2</v>
      </c>
      <c r="O12">
        <f t="shared" si="1"/>
        <v>0.78043704474505726</v>
      </c>
      <c r="P12">
        <f t="shared" si="1"/>
        <v>46.826222684703438</v>
      </c>
      <c r="Q12">
        <f>GETPIVOTDATA("Sum of Cache deposited?",$A$3,"Territory name","Mercantile")/GETPIVOTDATA("Sum of Total foraging time",$A$3,"Territory name","Mercantile")*60</f>
        <v>0.95846645367412142</v>
      </c>
    </row>
    <row r="13" spans="1:17" x14ac:dyDescent="0.2">
      <c r="A13" s="131" t="s">
        <v>670</v>
      </c>
      <c r="B13" s="132">
        <v>39</v>
      </c>
      <c r="C13" s="132">
        <v>13</v>
      </c>
      <c r="D13" s="132">
        <v>1551</v>
      </c>
      <c r="E13" t="s">
        <v>670</v>
      </c>
      <c r="F13">
        <v>2240</v>
      </c>
      <c r="J13">
        <f>GETPIVOTDATA("Sum of Number of food acquisition successes ",$A$3,"Territory name","Mercantile","Band combo ","WO/OS")/GETPIVOTDATA("Sum of Total foraging time",$A$3,"Territory name","Mercantile","Band combo ","WO/OS")</f>
        <v>3.3940397350993377E-2</v>
      </c>
      <c r="K13">
        <f t="shared" si="0"/>
        <v>2.0364238410596025</v>
      </c>
      <c r="L13">
        <f t="shared" si="0"/>
        <v>122.18543046357615</v>
      </c>
      <c r="N13">
        <f>GETPIVOTDATA("Sum of Cache deposited?",$A$3,"Territory name","Mercantile","Band combo ","WO/OS")/GETPIVOTDATA("Sum of Total foraging time",$A$3,"Territory name","Mercantile","Band combo ","WO/OS")</f>
        <v>2.0695364238410598E-2</v>
      </c>
      <c r="O13">
        <f t="shared" si="1"/>
        <v>1.2417218543046358</v>
      </c>
      <c r="P13">
        <f t="shared" si="1"/>
        <v>74.503311258278146</v>
      </c>
    </row>
    <row r="14" spans="1:17" x14ac:dyDescent="0.2">
      <c r="A14" s="28" t="s">
        <v>2487</v>
      </c>
      <c r="B14" s="29">
        <v>54</v>
      </c>
      <c r="C14" s="29">
        <v>24</v>
      </c>
      <c r="D14" s="29">
        <v>1080</v>
      </c>
      <c r="E14" t="s">
        <v>2487</v>
      </c>
      <c r="F14">
        <v>2558</v>
      </c>
      <c r="I14" t="s">
        <v>2586</v>
      </c>
      <c r="J14">
        <f>GETPIVOTDATA("Sum of Number of food acquisition successes ",$A$3,"Territory name","Mile 237","Band combo ","GB/PS")/GETPIVOTDATA("Sum of Total foraging time",$A$3,"Territory name","Mile 237","Band combo ","GB/PS")</f>
        <v>5.6547619047619048E-2</v>
      </c>
      <c r="K14">
        <f t="shared" si="0"/>
        <v>3.3928571428571428</v>
      </c>
      <c r="L14">
        <f t="shared" si="0"/>
        <v>203.57142857142856</v>
      </c>
      <c r="M14">
        <f>GETPIVOTDATA("Sum of Number of food acquisition successes ",$A$3,"Territory name","Mile 237")/GETPIVOTDATA("Sum of Total foraging time",$A$3,"Territory name","Mile 237")*60</f>
        <v>1.8395839036408432</v>
      </c>
      <c r="N14">
        <f>GETPIVOTDATA("Sum of Cache deposited?",$A$3,"Territory name","Mile 237","Band combo ","GB/PS")/GETPIVOTDATA("Sum of Total foraging time",$A$3,"Territory name","Mile 237","Band combo ","GB/PS")</f>
        <v>8.9285714285714281E-3</v>
      </c>
      <c r="O14">
        <f t="shared" si="1"/>
        <v>0.5357142857142857</v>
      </c>
      <c r="P14">
        <f t="shared" si="1"/>
        <v>32.142857142857139</v>
      </c>
      <c r="Q14">
        <f>GETPIVOTDATA("Sum of Cache deposited?",$A$3,"Territory name","Mile 237")/GETPIVOTDATA("Sum of Total foraging time",$A$3,"Territory name","Mile 237")*60</f>
        <v>0.34492198193265811</v>
      </c>
    </row>
    <row r="15" spans="1:17" x14ac:dyDescent="0.2">
      <c r="A15" s="131" t="s">
        <v>2498</v>
      </c>
      <c r="B15" s="132">
        <v>38</v>
      </c>
      <c r="C15" s="132">
        <v>18</v>
      </c>
      <c r="D15" s="132">
        <v>865</v>
      </c>
      <c r="E15" t="s">
        <v>2498</v>
      </c>
      <c r="F15">
        <v>1960</v>
      </c>
      <c r="J15">
        <f>GETPIVOTDATA("Sum of Number of food acquisition successes ",$A$3,"Territory name","Mile 237","Band combo ","YP/RS")/GETPIVOTDATA("Sum of Total foraging time",$A$3,"Territory name","Mile 237","Band combo ","YP/RS")</f>
        <v>2.8037383177570093E-2</v>
      </c>
      <c r="K15">
        <f t="shared" si="0"/>
        <v>1.6822429906542056</v>
      </c>
      <c r="L15">
        <f t="shared" si="0"/>
        <v>100.93457943925233</v>
      </c>
      <c r="N15">
        <f>GETPIVOTDATA("Sum of Cache deposited?",$A$3,"Territory name","Mile 237","Band combo ","YP/RS")/GETPIVOTDATA("Sum of Total foraging time",$A$3,"Territory name","Mile 237","Band combo ","YP/RS")</f>
        <v>5.426590292432921E-3</v>
      </c>
      <c r="O15">
        <f t="shared" si="1"/>
        <v>0.32559541754597526</v>
      </c>
      <c r="P15">
        <f t="shared" si="1"/>
        <v>19.535725052758515</v>
      </c>
    </row>
    <row r="16" spans="1:17" x14ac:dyDescent="0.2">
      <c r="A16" s="131" t="s">
        <v>344</v>
      </c>
      <c r="B16" s="132">
        <v>16</v>
      </c>
      <c r="C16" s="132">
        <v>6</v>
      </c>
      <c r="D16" s="132">
        <v>126</v>
      </c>
      <c r="E16" t="s">
        <v>344</v>
      </c>
      <c r="F16">
        <v>478</v>
      </c>
      <c r="I16" t="s">
        <v>5089</v>
      </c>
      <c r="J16">
        <f>GETPIVOTDATA("Sum of Number of food acquisition successes ",$A$3,"Territory name","WAC West","Band combo ","BP/PS")/GETPIVOTDATA("Sum of Total foraging time",$A$3,"Territory name","WAC West","Band combo ","BP/PS")</f>
        <v>2.8351156428749066E-2</v>
      </c>
      <c r="K16">
        <f t="shared" si="0"/>
        <v>1.7010693857249439</v>
      </c>
      <c r="L16">
        <f t="shared" si="0"/>
        <v>102.06416314349664</v>
      </c>
      <c r="M16">
        <f>GETPIVOTDATA("Sum of Number of food acquisition successes ",$A$3,"Territory name","WAC West")/GETPIVOTDATA("Sum of Total foraging time",$A$3,"Territory name","WAC West")*60</f>
        <v>1.7010693857249439</v>
      </c>
      <c r="N16">
        <f>GETPIVOTDATA("Sum of Cache deposited?",$A$3,"Territory name","WAC West","Band combo ","BP/PS")/GETPIVOTDATA("Sum of Total foraging time",$A$3,"Territory name","WAC West","Band combo ","BP/PS")</f>
        <v>1.2434717731907486E-2</v>
      </c>
      <c r="O16">
        <f t="shared" si="1"/>
        <v>0.74608306391444912</v>
      </c>
      <c r="P16">
        <f t="shared" si="1"/>
        <v>44.764983834866946</v>
      </c>
      <c r="Q16">
        <f>GETPIVOTDATA("Sum of Cache deposited?",$A$3,"Territory name","WAC West")/GETPIVOTDATA("Sum of Total foraging time",$A$3,"Territory name","WAC West")*60</f>
        <v>0.74608306391444912</v>
      </c>
    </row>
    <row r="17" spans="1:11" x14ac:dyDescent="0.2">
      <c r="A17" s="130" t="s">
        <v>64</v>
      </c>
      <c r="B17" s="29">
        <v>0</v>
      </c>
      <c r="C17" s="29">
        <v>0</v>
      </c>
      <c r="D17" s="29">
        <v>89</v>
      </c>
      <c r="E17" t="s">
        <v>64</v>
      </c>
      <c r="F17">
        <v>120</v>
      </c>
      <c r="K17" t="s">
        <v>5093</v>
      </c>
    </row>
    <row r="18" spans="1:11" x14ac:dyDescent="0.2">
      <c r="A18" s="28" t="s">
        <v>2462</v>
      </c>
      <c r="B18" s="29">
        <v>118</v>
      </c>
      <c r="C18" s="29">
        <v>50</v>
      </c>
      <c r="D18" s="29">
        <v>3130</v>
      </c>
      <c r="E18" t="s">
        <v>2462</v>
      </c>
      <c r="F18">
        <v>6468</v>
      </c>
      <c r="I18" t="s">
        <v>5092</v>
      </c>
      <c r="J18">
        <f>AVERAGE(M4:M16)</f>
        <v>2.0052389401240567</v>
      </c>
      <c r="K18">
        <f>STDEV(M4:M16)</f>
        <v>0.6875390663777019</v>
      </c>
    </row>
    <row r="19" spans="1:11" x14ac:dyDescent="0.2">
      <c r="A19" s="131" t="s">
        <v>363</v>
      </c>
      <c r="B19" s="132">
        <v>77</v>
      </c>
      <c r="C19" s="132">
        <v>25</v>
      </c>
      <c r="D19" s="132">
        <v>1922</v>
      </c>
      <c r="E19" t="s">
        <v>363</v>
      </c>
      <c r="F19">
        <v>3823</v>
      </c>
      <c r="I19" t="s">
        <v>5094</v>
      </c>
      <c r="J19">
        <f>AVERAGE(Q4:Q16)</f>
        <v>0.86055686979805801</v>
      </c>
      <c r="K19">
        <f>STDEV(Q4:Q16)</f>
        <v>0.41667514132289679</v>
      </c>
    </row>
    <row r="20" spans="1:11" x14ac:dyDescent="0.2">
      <c r="A20" s="131" t="s">
        <v>64</v>
      </c>
      <c r="B20" s="132">
        <v>41</v>
      </c>
      <c r="C20" s="132">
        <v>25</v>
      </c>
      <c r="D20" s="132">
        <v>1208</v>
      </c>
      <c r="E20" t="s">
        <v>64</v>
      </c>
      <c r="F20">
        <v>2645</v>
      </c>
    </row>
    <row r="21" spans="1:11" x14ac:dyDescent="0.2">
      <c r="A21" s="28" t="s">
        <v>324</v>
      </c>
      <c r="B21" s="29">
        <v>112</v>
      </c>
      <c r="C21" s="29">
        <v>21</v>
      </c>
      <c r="D21" s="29">
        <v>3653</v>
      </c>
      <c r="E21" t="s">
        <v>324</v>
      </c>
      <c r="F21">
        <v>6704</v>
      </c>
    </row>
    <row r="22" spans="1:11" x14ac:dyDescent="0.2">
      <c r="A22" s="131" t="s">
        <v>337</v>
      </c>
      <c r="B22" s="132">
        <v>19</v>
      </c>
      <c r="C22" s="132">
        <v>3</v>
      </c>
      <c r="D22" s="132">
        <v>336</v>
      </c>
      <c r="E22" t="s">
        <v>337</v>
      </c>
      <c r="F22">
        <v>1043</v>
      </c>
    </row>
    <row r="23" spans="1:11" x14ac:dyDescent="0.2">
      <c r="A23" s="131" t="s">
        <v>325</v>
      </c>
      <c r="B23" s="132">
        <v>93</v>
      </c>
      <c r="C23" s="132">
        <v>18</v>
      </c>
      <c r="D23" s="132">
        <v>3317</v>
      </c>
      <c r="E23" t="s">
        <v>325</v>
      </c>
      <c r="F23">
        <v>5661</v>
      </c>
    </row>
    <row r="24" spans="1:11" x14ac:dyDescent="0.2">
      <c r="A24" s="28" t="s">
        <v>834</v>
      </c>
      <c r="B24" s="29">
        <v>114</v>
      </c>
      <c r="C24" s="29">
        <v>50</v>
      </c>
      <c r="D24" s="29">
        <v>4021</v>
      </c>
      <c r="E24" t="s">
        <v>834</v>
      </c>
      <c r="F24">
        <v>7225</v>
      </c>
    </row>
    <row r="25" spans="1:11" x14ac:dyDescent="0.2">
      <c r="A25" s="131" t="s">
        <v>466</v>
      </c>
      <c r="B25" s="132">
        <v>114</v>
      </c>
      <c r="C25" s="132">
        <v>50</v>
      </c>
      <c r="D25" s="132">
        <v>4021</v>
      </c>
      <c r="E25" t="s">
        <v>466</v>
      </c>
      <c r="F25">
        <v>7225</v>
      </c>
    </row>
    <row r="26" spans="1:11" x14ac:dyDescent="0.2">
      <c r="A26" s="28" t="s">
        <v>2299</v>
      </c>
      <c r="B26" s="29">
        <v>616</v>
      </c>
      <c r="C26" s="29">
        <v>245</v>
      </c>
      <c r="D26" s="29">
        <v>21350</v>
      </c>
      <c r="E26" t="s">
        <v>2299</v>
      </c>
      <c r="F26">
        <v>40871</v>
      </c>
    </row>
    <row r="28" spans="1:11" x14ac:dyDescent="0.2">
      <c r="D28" s="56"/>
    </row>
    <row r="38" spans="1:2" x14ac:dyDescent="0.2">
      <c r="A38" t="s">
        <v>5096</v>
      </c>
    </row>
    <row r="39" spans="1:2" x14ac:dyDescent="0.2">
      <c r="A39" t="s">
        <v>5098</v>
      </c>
    </row>
    <row r="40" spans="1:2" x14ac:dyDescent="0.2">
      <c r="A40" t="s">
        <v>2297</v>
      </c>
      <c r="B40" t="s">
        <v>5097</v>
      </c>
    </row>
    <row r="41" spans="1:2" x14ac:dyDescent="0.2">
      <c r="A41" t="s">
        <v>791</v>
      </c>
      <c r="B41">
        <v>1924</v>
      </c>
    </row>
    <row r="42" spans="1:2" x14ac:dyDescent="0.2">
      <c r="A42" t="s">
        <v>924</v>
      </c>
      <c r="B42">
        <v>1332</v>
      </c>
    </row>
    <row r="43" spans="1:2" x14ac:dyDescent="0.2">
      <c r="A43" t="s">
        <v>927</v>
      </c>
      <c r="B43">
        <v>540</v>
      </c>
    </row>
    <row r="44" spans="1:2" x14ac:dyDescent="0.2">
      <c r="A44" t="s">
        <v>64</v>
      </c>
      <c r="B44">
        <v>52</v>
      </c>
    </row>
    <row r="45" spans="1:2" x14ac:dyDescent="0.2">
      <c r="A45" t="s">
        <v>2601</v>
      </c>
      <c r="B45">
        <v>8128</v>
      </c>
    </row>
    <row r="46" spans="1:2" x14ac:dyDescent="0.2">
      <c r="A46" t="s">
        <v>173</v>
      </c>
      <c r="B46">
        <v>6300</v>
      </c>
    </row>
    <row r="47" spans="1:2" x14ac:dyDescent="0.2">
      <c r="A47" t="s">
        <v>177</v>
      </c>
      <c r="B47">
        <v>1828</v>
      </c>
    </row>
    <row r="48" spans="1:2" x14ac:dyDescent="0.2">
      <c r="A48" t="s">
        <v>3171</v>
      </c>
      <c r="B48">
        <v>7864</v>
      </c>
    </row>
    <row r="49" spans="1:2" x14ac:dyDescent="0.2">
      <c r="A49" t="s">
        <v>149</v>
      </c>
      <c r="B49">
        <v>5624</v>
      </c>
    </row>
    <row r="50" spans="1:2" x14ac:dyDescent="0.2">
      <c r="A50" t="s">
        <v>670</v>
      </c>
      <c r="B50">
        <v>2240</v>
      </c>
    </row>
    <row r="51" spans="1:2" x14ac:dyDescent="0.2">
      <c r="A51" t="s">
        <v>2487</v>
      </c>
      <c r="B51">
        <v>2558</v>
      </c>
    </row>
    <row r="52" spans="1:2" x14ac:dyDescent="0.2">
      <c r="A52" t="s">
        <v>2498</v>
      </c>
      <c r="B52">
        <v>1960</v>
      </c>
    </row>
    <row r="53" spans="1:2" x14ac:dyDescent="0.2">
      <c r="A53" t="s">
        <v>344</v>
      </c>
      <c r="B53">
        <v>478</v>
      </c>
    </row>
    <row r="54" spans="1:2" x14ac:dyDescent="0.2">
      <c r="A54" t="s">
        <v>64</v>
      </c>
      <c r="B54">
        <v>120</v>
      </c>
    </row>
    <row r="55" spans="1:2" x14ac:dyDescent="0.2">
      <c r="A55" t="s">
        <v>2462</v>
      </c>
      <c r="B55">
        <v>6468</v>
      </c>
    </row>
    <row r="56" spans="1:2" x14ac:dyDescent="0.2">
      <c r="A56" t="s">
        <v>363</v>
      </c>
      <c r="B56">
        <v>3823</v>
      </c>
    </row>
    <row r="57" spans="1:2" x14ac:dyDescent="0.2">
      <c r="A57" t="s">
        <v>64</v>
      </c>
      <c r="B57">
        <v>2645</v>
      </c>
    </row>
    <row r="58" spans="1:2" x14ac:dyDescent="0.2">
      <c r="A58" t="s">
        <v>324</v>
      </c>
      <c r="B58">
        <v>6704</v>
      </c>
    </row>
    <row r="59" spans="1:2" x14ac:dyDescent="0.2">
      <c r="A59" t="s">
        <v>337</v>
      </c>
      <c r="B59">
        <v>1043</v>
      </c>
    </row>
    <row r="60" spans="1:2" x14ac:dyDescent="0.2">
      <c r="A60" t="s">
        <v>325</v>
      </c>
      <c r="B60">
        <v>5661</v>
      </c>
    </row>
    <row r="61" spans="1:2" x14ac:dyDescent="0.2">
      <c r="A61" t="s">
        <v>834</v>
      </c>
      <c r="B61">
        <v>7225</v>
      </c>
    </row>
    <row r="62" spans="1:2" x14ac:dyDescent="0.2">
      <c r="A62" t="s">
        <v>466</v>
      </c>
      <c r="B62">
        <v>7225</v>
      </c>
    </row>
    <row r="63" spans="1:2" x14ac:dyDescent="0.2">
      <c r="A63" t="s">
        <v>2299</v>
      </c>
      <c r="B63">
        <v>40871</v>
      </c>
    </row>
    <row r="179" spans="1:4" x14ac:dyDescent="0.2">
      <c r="A179" s="27" t="s">
        <v>4717</v>
      </c>
      <c r="B179" s="27" t="s">
        <v>4689</v>
      </c>
    </row>
    <row r="180" spans="1:4" x14ac:dyDescent="0.2">
      <c r="A180" s="27" t="s">
        <v>2297</v>
      </c>
      <c r="B180" t="s">
        <v>4724</v>
      </c>
      <c r="C180" t="s">
        <v>4752</v>
      </c>
      <c r="D180" t="s">
        <v>2299</v>
      </c>
    </row>
    <row r="181" spans="1:4" x14ac:dyDescent="0.2">
      <c r="A181" s="28" t="s">
        <v>3954</v>
      </c>
      <c r="B181" s="29">
        <v>0</v>
      </c>
      <c r="C181" s="29"/>
      <c r="D181" s="29">
        <v>0</v>
      </c>
    </row>
    <row r="182" spans="1:4" x14ac:dyDescent="0.2">
      <c r="A182" s="28" t="s">
        <v>454</v>
      </c>
      <c r="B182" s="29">
        <v>0</v>
      </c>
      <c r="C182" s="29"/>
      <c r="D182" s="29">
        <v>0</v>
      </c>
    </row>
    <row r="183" spans="1:4" x14ac:dyDescent="0.2">
      <c r="A183" s="28" t="s">
        <v>1993</v>
      </c>
      <c r="B183" s="29">
        <v>1</v>
      </c>
      <c r="C183" s="29"/>
      <c r="D183" s="29">
        <v>1</v>
      </c>
    </row>
    <row r="184" spans="1:4" x14ac:dyDescent="0.2">
      <c r="A184" s="28" t="s">
        <v>466</v>
      </c>
      <c r="B184" s="29">
        <v>39</v>
      </c>
      <c r="C184" s="29">
        <v>11</v>
      </c>
      <c r="D184" s="29">
        <v>50</v>
      </c>
    </row>
    <row r="185" spans="1:4" x14ac:dyDescent="0.2">
      <c r="A185" s="28" t="s">
        <v>2782</v>
      </c>
      <c r="B185" s="29"/>
      <c r="C185" s="29">
        <v>1</v>
      </c>
      <c r="D185" s="29">
        <v>1</v>
      </c>
    </row>
    <row r="186" spans="1:4" x14ac:dyDescent="0.2">
      <c r="A186" s="28" t="s">
        <v>363</v>
      </c>
      <c r="B186" s="29">
        <v>23</v>
      </c>
      <c r="C186" s="29">
        <v>2</v>
      </c>
      <c r="D186" s="29">
        <v>25</v>
      </c>
    </row>
    <row r="187" spans="1:4" x14ac:dyDescent="0.2">
      <c r="A187" s="28" t="s">
        <v>230</v>
      </c>
      <c r="B187" s="29">
        <v>0</v>
      </c>
      <c r="C187" s="29"/>
      <c r="D187" s="29">
        <v>0</v>
      </c>
    </row>
    <row r="188" spans="1:4" x14ac:dyDescent="0.2">
      <c r="A188" s="28" t="s">
        <v>3405</v>
      </c>
      <c r="B188" s="29"/>
      <c r="C188" s="29">
        <v>0</v>
      </c>
      <c r="D188" s="29">
        <v>0</v>
      </c>
    </row>
    <row r="189" spans="1:4" x14ac:dyDescent="0.2">
      <c r="A189" s="28" t="s">
        <v>149</v>
      </c>
      <c r="B189" s="29">
        <v>14</v>
      </c>
      <c r="C189" s="29">
        <v>10</v>
      </c>
      <c r="D189" s="29">
        <v>24</v>
      </c>
    </row>
    <row r="190" spans="1:4" x14ac:dyDescent="0.2">
      <c r="A190" s="28" t="s">
        <v>337</v>
      </c>
      <c r="B190" s="29">
        <v>3</v>
      </c>
      <c r="C190" s="29">
        <v>0</v>
      </c>
      <c r="D190" s="29">
        <v>3</v>
      </c>
    </row>
    <row r="191" spans="1:4" x14ac:dyDescent="0.2">
      <c r="A191" s="28" t="s">
        <v>166</v>
      </c>
      <c r="B191" s="29">
        <v>0</v>
      </c>
      <c r="C191" s="29"/>
      <c r="D191" s="29">
        <v>0</v>
      </c>
    </row>
    <row r="192" spans="1:4" x14ac:dyDescent="0.2">
      <c r="A192" s="28" t="s">
        <v>283</v>
      </c>
      <c r="B192" s="29">
        <v>0</v>
      </c>
      <c r="C192" s="29"/>
      <c r="D192" s="29">
        <v>0</v>
      </c>
    </row>
    <row r="193" spans="1:4" x14ac:dyDescent="0.2">
      <c r="A193" s="28" t="s">
        <v>578</v>
      </c>
      <c r="B193" s="29">
        <v>1</v>
      </c>
      <c r="C193" s="29"/>
      <c r="D193" s="29">
        <v>1</v>
      </c>
    </row>
    <row r="194" spans="1:4" x14ac:dyDescent="0.2">
      <c r="A194" s="28" t="s">
        <v>670</v>
      </c>
      <c r="B194" s="29">
        <v>13</v>
      </c>
      <c r="C194" s="29">
        <v>0</v>
      </c>
      <c r="D194" s="29">
        <v>13</v>
      </c>
    </row>
    <row r="195" spans="1:4" x14ac:dyDescent="0.2">
      <c r="A195" s="28" t="s">
        <v>735</v>
      </c>
      <c r="B195" s="29">
        <v>0</v>
      </c>
      <c r="C195" s="29"/>
      <c r="D195" s="29">
        <v>0</v>
      </c>
    </row>
    <row r="196" spans="1:4" x14ac:dyDescent="0.2">
      <c r="A196" s="28" t="s">
        <v>173</v>
      </c>
      <c r="B196" s="29">
        <v>26</v>
      </c>
      <c r="C196" s="29">
        <v>4</v>
      </c>
      <c r="D196" s="29">
        <v>30</v>
      </c>
    </row>
    <row r="197" spans="1:4" x14ac:dyDescent="0.2">
      <c r="A197" s="28" t="s">
        <v>548</v>
      </c>
      <c r="B197" s="29">
        <v>8</v>
      </c>
      <c r="C197" s="29"/>
      <c r="D197" s="29">
        <v>8</v>
      </c>
    </row>
    <row r="198" spans="1:4" x14ac:dyDescent="0.2">
      <c r="A198" s="28" t="s">
        <v>202</v>
      </c>
      <c r="B198" s="29">
        <v>0</v>
      </c>
      <c r="C198" s="29"/>
      <c r="D198" s="29">
        <v>0</v>
      </c>
    </row>
    <row r="199" spans="1:4" x14ac:dyDescent="0.2">
      <c r="A199" s="28" t="s">
        <v>1215</v>
      </c>
      <c r="B199" s="29">
        <v>10</v>
      </c>
      <c r="C199" s="29"/>
      <c r="D199" s="29">
        <v>10</v>
      </c>
    </row>
    <row r="200" spans="1:4" x14ac:dyDescent="0.2">
      <c r="A200" s="28" t="s">
        <v>115</v>
      </c>
      <c r="B200" s="29">
        <v>1</v>
      </c>
      <c r="C200" s="29"/>
      <c r="D200" s="29">
        <v>1</v>
      </c>
    </row>
    <row r="201" spans="1:4" x14ac:dyDescent="0.2">
      <c r="A201" s="28" t="s">
        <v>1095</v>
      </c>
      <c r="B201" s="29">
        <v>2</v>
      </c>
      <c r="C201" s="29"/>
      <c r="D201" s="29">
        <v>2</v>
      </c>
    </row>
    <row r="202" spans="1:4" x14ac:dyDescent="0.2">
      <c r="A202" s="28" t="s">
        <v>1261</v>
      </c>
      <c r="B202" s="29">
        <v>0</v>
      </c>
      <c r="C202" s="29"/>
      <c r="D202" s="29">
        <v>0</v>
      </c>
    </row>
    <row r="203" spans="1:4" x14ac:dyDescent="0.2">
      <c r="A203" s="28" t="s">
        <v>2498</v>
      </c>
      <c r="B203" s="29">
        <v>15</v>
      </c>
      <c r="C203" s="29">
        <v>4</v>
      </c>
      <c r="D203" s="29">
        <v>19</v>
      </c>
    </row>
    <row r="204" spans="1:4" x14ac:dyDescent="0.2">
      <c r="A204" s="28" t="s">
        <v>2355</v>
      </c>
      <c r="B204" s="29"/>
      <c r="C204" s="29">
        <v>0</v>
      </c>
      <c r="D204" s="29">
        <v>0</v>
      </c>
    </row>
    <row r="205" spans="1:4" x14ac:dyDescent="0.2">
      <c r="A205" s="28" t="s">
        <v>2665</v>
      </c>
      <c r="B205" s="29"/>
      <c r="C205" s="29">
        <v>0</v>
      </c>
      <c r="D205" s="29">
        <v>0</v>
      </c>
    </row>
    <row r="206" spans="1:4" x14ac:dyDescent="0.2">
      <c r="A206" s="28" t="s">
        <v>1738</v>
      </c>
      <c r="B206" s="29">
        <v>0</v>
      </c>
      <c r="C206" s="29"/>
      <c r="D206" s="29">
        <v>0</v>
      </c>
    </row>
    <row r="207" spans="1:4" x14ac:dyDescent="0.2">
      <c r="A207" s="28" t="s">
        <v>2429</v>
      </c>
      <c r="B207" s="29"/>
      <c r="C207" s="29">
        <v>0</v>
      </c>
      <c r="D207" s="29">
        <v>0</v>
      </c>
    </row>
    <row r="208" spans="1:4" x14ac:dyDescent="0.2">
      <c r="A208" s="28" t="s">
        <v>924</v>
      </c>
      <c r="B208" s="29">
        <v>8</v>
      </c>
      <c r="C208" s="29">
        <v>2</v>
      </c>
      <c r="D208" s="29">
        <v>10</v>
      </c>
    </row>
    <row r="209" spans="1:4" x14ac:dyDescent="0.2">
      <c r="A209" s="28" t="s">
        <v>927</v>
      </c>
      <c r="B209" s="29">
        <v>10</v>
      </c>
      <c r="C209" s="29">
        <v>2</v>
      </c>
      <c r="D209" s="29">
        <v>12</v>
      </c>
    </row>
    <row r="210" spans="1:4" x14ac:dyDescent="0.2">
      <c r="A210" s="28" t="s">
        <v>1718</v>
      </c>
      <c r="B210" s="29">
        <v>0</v>
      </c>
      <c r="C210" s="29"/>
      <c r="D210" s="29">
        <v>0</v>
      </c>
    </row>
    <row r="211" spans="1:4" x14ac:dyDescent="0.2">
      <c r="A211" s="28" t="s">
        <v>1742</v>
      </c>
      <c r="B211" s="29">
        <v>0</v>
      </c>
      <c r="C211" s="29"/>
      <c r="D211" s="29">
        <v>0</v>
      </c>
    </row>
    <row r="212" spans="1:4" x14ac:dyDescent="0.2">
      <c r="A212" s="28" t="s">
        <v>3051</v>
      </c>
      <c r="B212" s="29">
        <v>24</v>
      </c>
      <c r="C212" s="29">
        <v>0</v>
      </c>
      <c r="D212" s="29">
        <v>24</v>
      </c>
    </row>
    <row r="213" spans="1:4" x14ac:dyDescent="0.2">
      <c r="A213" s="28" t="s">
        <v>24</v>
      </c>
      <c r="B213" s="29">
        <v>36</v>
      </c>
      <c r="C213" s="29">
        <v>0</v>
      </c>
      <c r="D213" s="29">
        <v>36</v>
      </c>
    </row>
    <row r="214" spans="1:4" x14ac:dyDescent="0.2">
      <c r="A214" s="28" t="s">
        <v>1987</v>
      </c>
      <c r="B214" s="29">
        <v>0</v>
      </c>
      <c r="C214" s="29"/>
      <c r="D214" s="29">
        <v>0</v>
      </c>
    </row>
    <row r="215" spans="1:4" x14ac:dyDescent="0.2">
      <c r="A215" s="28" t="s">
        <v>344</v>
      </c>
      <c r="B215" s="29">
        <v>6</v>
      </c>
      <c r="C215" s="29">
        <v>0</v>
      </c>
      <c r="D215" s="29">
        <v>6</v>
      </c>
    </row>
    <row r="216" spans="1:4" x14ac:dyDescent="0.2">
      <c r="A216" s="28" t="s">
        <v>255</v>
      </c>
      <c r="B216" s="29">
        <v>4</v>
      </c>
      <c r="C216" s="29">
        <v>2</v>
      </c>
      <c r="D216" s="29">
        <v>6</v>
      </c>
    </row>
    <row r="217" spans="1:4" x14ac:dyDescent="0.2">
      <c r="A217" s="28" t="s">
        <v>2050</v>
      </c>
      <c r="B217" s="29">
        <v>0</v>
      </c>
      <c r="C217" s="29"/>
      <c r="D217" s="29">
        <v>0</v>
      </c>
    </row>
    <row r="218" spans="1:4" x14ac:dyDescent="0.2">
      <c r="A218" s="28" t="s">
        <v>260</v>
      </c>
      <c r="B218" s="29">
        <v>0</v>
      </c>
      <c r="C218" s="29"/>
      <c r="D218" s="29">
        <v>0</v>
      </c>
    </row>
    <row r="219" spans="1:4" x14ac:dyDescent="0.2">
      <c r="A219" s="28" t="s">
        <v>1699</v>
      </c>
      <c r="B219" s="29">
        <v>0</v>
      </c>
      <c r="C219" s="29"/>
      <c r="D219" s="29">
        <v>0</v>
      </c>
    </row>
    <row r="220" spans="1:4" x14ac:dyDescent="0.2">
      <c r="A220" s="28" t="s">
        <v>738</v>
      </c>
      <c r="B220" s="29">
        <v>0</v>
      </c>
      <c r="C220" s="29"/>
      <c r="D220" s="29">
        <v>0</v>
      </c>
    </row>
    <row r="221" spans="1:4" x14ac:dyDescent="0.2">
      <c r="A221" s="28" t="s">
        <v>64</v>
      </c>
      <c r="B221" s="29">
        <v>20</v>
      </c>
      <c r="C221" s="29">
        <v>5</v>
      </c>
      <c r="D221" s="29">
        <v>25</v>
      </c>
    </row>
    <row r="222" spans="1:4" x14ac:dyDescent="0.2">
      <c r="A222" s="28" t="s">
        <v>217</v>
      </c>
      <c r="B222" s="29">
        <v>2</v>
      </c>
      <c r="C222" s="29"/>
      <c r="D222" s="29">
        <v>2</v>
      </c>
    </row>
    <row r="223" spans="1:4" x14ac:dyDescent="0.2">
      <c r="A223" s="28" t="s">
        <v>177</v>
      </c>
      <c r="B223" s="29">
        <v>8</v>
      </c>
      <c r="C223" s="29">
        <v>3</v>
      </c>
      <c r="D223" s="29">
        <v>11</v>
      </c>
    </row>
    <row r="224" spans="1:4" x14ac:dyDescent="0.2">
      <c r="A224" s="28" t="s">
        <v>1711</v>
      </c>
      <c r="B224" s="29">
        <v>0</v>
      </c>
      <c r="C224" s="29"/>
      <c r="D224" s="29">
        <v>0</v>
      </c>
    </row>
    <row r="225" spans="1:4" x14ac:dyDescent="0.2">
      <c r="A225" s="28" t="s">
        <v>2927</v>
      </c>
      <c r="B225" s="29"/>
      <c r="C225" s="29">
        <v>1</v>
      </c>
      <c r="D225" s="29">
        <v>1</v>
      </c>
    </row>
    <row r="226" spans="1:4" x14ac:dyDescent="0.2">
      <c r="A226" s="28" t="s">
        <v>220</v>
      </c>
      <c r="B226" s="29">
        <v>0</v>
      </c>
      <c r="C226" s="29"/>
      <c r="D226" s="29">
        <v>0</v>
      </c>
    </row>
    <row r="227" spans="1:4" x14ac:dyDescent="0.2">
      <c r="A227" s="28" t="s">
        <v>589</v>
      </c>
      <c r="B227" s="29">
        <v>0</v>
      </c>
      <c r="C227" s="29">
        <v>1</v>
      </c>
      <c r="D227" s="29">
        <v>1</v>
      </c>
    </row>
    <row r="228" spans="1:4" x14ac:dyDescent="0.2">
      <c r="A228" s="28" t="s">
        <v>2488</v>
      </c>
      <c r="B228" s="29">
        <v>17</v>
      </c>
      <c r="C228" s="29">
        <v>4</v>
      </c>
      <c r="D228" s="29">
        <v>21</v>
      </c>
    </row>
    <row r="229" spans="1:4" x14ac:dyDescent="0.2">
      <c r="A229" s="28" t="s">
        <v>932</v>
      </c>
      <c r="B229" s="29">
        <v>1</v>
      </c>
      <c r="C229" s="29">
        <v>0</v>
      </c>
      <c r="D229" s="29">
        <v>1</v>
      </c>
    </row>
    <row r="230" spans="1:4" x14ac:dyDescent="0.2">
      <c r="A230" s="28" t="s">
        <v>325</v>
      </c>
      <c r="B230" s="29">
        <v>14</v>
      </c>
      <c r="C230" s="29">
        <v>4</v>
      </c>
      <c r="D230" s="29">
        <v>18</v>
      </c>
    </row>
    <row r="231" spans="1:4" x14ac:dyDescent="0.2">
      <c r="A231" s="28" t="s">
        <v>2298</v>
      </c>
      <c r="B231" s="29">
        <v>0</v>
      </c>
      <c r="C231" s="29"/>
      <c r="D231" s="29">
        <v>0</v>
      </c>
    </row>
    <row r="232" spans="1:4" x14ac:dyDescent="0.2">
      <c r="A232" s="28" t="s">
        <v>2299</v>
      </c>
      <c r="B232" s="29">
        <v>306</v>
      </c>
      <c r="C232" s="29">
        <v>56</v>
      </c>
      <c r="D232" s="29">
        <v>362</v>
      </c>
    </row>
  </sheetData>
  <pageMargins left="0.7" right="0.7" top="0.75" bottom="0.75" header="0.3" footer="0.3"/>
  <pageSetup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91921-3A09-A44C-BD7B-1A5399509E23}">
  <sheetPr>
    <tabColor theme="9" tint="0.39997558519241921"/>
  </sheetPr>
  <dimension ref="B2:AM92"/>
  <sheetViews>
    <sheetView topLeftCell="AE1" zoomScale="97" workbookViewId="0">
      <selection activeCell="AR51" sqref="AR51"/>
    </sheetView>
  </sheetViews>
  <sheetFormatPr baseColWidth="10" defaultRowHeight="16" x14ac:dyDescent="0.2"/>
  <cols>
    <col min="2" max="2" width="40.83203125" bestFit="1" customWidth="1"/>
    <col min="3" max="3" width="16" bestFit="1" customWidth="1"/>
    <col min="4" max="4" width="4.83203125" bestFit="1" customWidth="1"/>
    <col min="5" max="5" width="7.1640625" bestFit="1" customWidth="1"/>
    <col min="6" max="7" width="11.33203125" bestFit="1" customWidth="1"/>
    <col min="8" max="8" width="5.5" bestFit="1" customWidth="1"/>
    <col min="9" max="9" width="11" bestFit="1" customWidth="1"/>
    <col min="10" max="10" width="6.33203125" bestFit="1" customWidth="1"/>
    <col min="11" max="11" width="10" customWidth="1"/>
    <col min="12" max="12" width="5.6640625" bestFit="1" customWidth="1"/>
    <col min="13" max="13" width="15.1640625" bestFit="1" customWidth="1"/>
    <col min="14" max="14" width="11" bestFit="1" customWidth="1"/>
    <col min="15" max="15" width="23.6640625" bestFit="1" customWidth="1"/>
    <col min="16" max="16" width="8.5" bestFit="1" customWidth="1"/>
    <col min="17" max="17" width="9" bestFit="1" customWidth="1"/>
    <col min="18" max="18" width="20.1640625" bestFit="1" customWidth="1"/>
    <col min="19" max="19" width="10.1640625" bestFit="1" customWidth="1"/>
    <col min="20" max="20" width="6.83203125" bestFit="1" customWidth="1"/>
  </cols>
  <sheetData>
    <row r="2" spans="2:16" x14ac:dyDescent="0.2">
      <c r="O2" t="s">
        <v>4713</v>
      </c>
      <c r="P2" t="s">
        <v>4714</v>
      </c>
    </row>
    <row r="3" spans="2:16" x14ac:dyDescent="0.2">
      <c r="B3" s="26" t="s">
        <v>4023</v>
      </c>
      <c r="M3" s="51" t="s">
        <v>461</v>
      </c>
      <c r="N3">
        <f>SUM(GETPIVOTDATA("Number of food acquisition successes ",$B$4,"Food category","Animal flesh")+GETPIVOTDATA("Number of food acquisition successes ",$B$24,"Food category","Animal flesh")+GETPIVOTDATA("Number of food acquisition successes ",$B$38,"Food category","Animal flesh")+GETPIVOTDATA("Number of food acquisition successes ",$B$69,"Food category","Animal flesh"))</f>
        <v>103</v>
      </c>
      <c r="O3" s="56">
        <f>N3/N10</f>
        <v>9.0034965034965039E-2</v>
      </c>
      <c r="P3" s="56">
        <f>N3/P10</f>
        <v>0.22294372294372294</v>
      </c>
    </row>
    <row r="4" spans="2:16" x14ac:dyDescent="0.2">
      <c r="B4" s="27" t="s">
        <v>4685</v>
      </c>
      <c r="C4" s="27" t="s">
        <v>4689</v>
      </c>
      <c r="M4" s="51" t="s">
        <v>14</v>
      </c>
      <c r="N4">
        <f>SUM(GETPIVOTDATA("Number of food acquisition successes ",$B$4,"Food category","Berry")+GETPIVOTDATA("Number of food acquisition successes ",$B$24,"Food category","Berry")+GETPIVOTDATA("Number of food acquisition successes ",$B$38,"Food category","Berry")+GETPIVOTDATA("Number of food acquisition successes ",$B$69,"Food category","Berries"))</f>
        <v>131</v>
      </c>
      <c r="O4" s="56">
        <f>N4/N10</f>
        <v>0.1145104895104895</v>
      </c>
      <c r="P4" s="56">
        <f>N4/P10</f>
        <v>0.28354978354978355</v>
      </c>
    </row>
    <row r="5" spans="2:16" x14ac:dyDescent="0.2">
      <c r="B5" s="27" t="s">
        <v>2297</v>
      </c>
      <c r="C5" t="s">
        <v>4026</v>
      </c>
      <c r="D5" t="s">
        <v>2298</v>
      </c>
      <c r="E5" t="s">
        <v>2299</v>
      </c>
      <c r="M5" s="51" t="s">
        <v>1618</v>
      </c>
      <c r="N5">
        <f>GETPIVOTDATA("Number of food acquisition successes ",$B$4,"Food category","Human food")+GETPIVOTDATA("Number of food acquisition successes ",$B$24,"Food category","Human food")+GETPIVOTDATA("Number of food acquisition successes ",$B$38,"Food category","Human food")+GETPIVOTDATA("Number of food acquisition successes ",$B$55,"Food category","Human food")+GETPIVOTDATA("Number of food acquisition successes ",$B$69,"Food category","Human food")</f>
        <v>26</v>
      </c>
      <c r="O5" s="56">
        <f>N5/N10</f>
        <v>2.2727272727272728E-2</v>
      </c>
      <c r="P5" s="56">
        <f>N5/P10</f>
        <v>5.627705627705628E-2</v>
      </c>
    </row>
    <row r="6" spans="2:16" x14ac:dyDescent="0.2">
      <c r="B6" s="28" t="s">
        <v>461</v>
      </c>
      <c r="C6" s="29">
        <v>6</v>
      </c>
      <c r="D6" s="29"/>
      <c r="E6" s="29">
        <v>6</v>
      </c>
      <c r="M6" s="51" t="s">
        <v>598</v>
      </c>
      <c r="N6">
        <f>SUM(GETPIVOTDATA("Number of food acquisition successes ",$B$24,"Food category","Insect")+GETPIVOTDATA("Number of food acquisition successes ",$B$38,"Food category","Insect")+GETPIVOTDATA("Number of food acquisition successes ",$B$55,"Food category","Insect")+GETPIVOTDATA("Number of food acquisition successes ",$B$69,"Food category","Insect"))</f>
        <v>121</v>
      </c>
      <c r="O6" s="56">
        <f>N6/N10</f>
        <v>0.10576923076923077</v>
      </c>
      <c r="P6" s="56">
        <f>N6/P10</f>
        <v>0.26190476190476192</v>
      </c>
    </row>
    <row r="7" spans="2:16" x14ac:dyDescent="0.2">
      <c r="B7" s="28" t="s">
        <v>14</v>
      </c>
      <c r="C7" s="29">
        <v>2</v>
      </c>
      <c r="D7" s="29"/>
      <c r="E7" s="29">
        <v>2</v>
      </c>
      <c r="M7" s="51" t="s">
        <v>3955</v>
      </c>
      <c r="N7">
        <f>GETPIVOTDATA("Number of food acquisition successes ",$B$4,"Food category","Misc")+GETPIVOTDATA("Number of food acquisition successes ",$B$24,"Food category","Misc")+GETPIVOTDATA("Number of food acquisition successes ",$B$38,"Food category","Misc")+GETPIVOTDATA("Number of food acquisition successes ",$B$69,"Food category","Misc")</f>
        <v>11</v>
      </c>
      <c r="O7" s="56">
        <f>N7/N10</f>
        <v>9.6153846153846159E-3</v>
      </c>
      <c r="P7" s="56">
        <f>N7/P10</f>
        <v>2.3809523809523808E-2</v>
      </c>
    </row>
    <row r="8" spans="2:16" x14ac:dyDescent="0.2">
      <c r="B8" s="28" t="s">
        <v>1618</v>
      </c>
      <c r="C8" s="29">
        <v>0</v>
      </c>
      <c r="D8" s="29"/>
      <c r="E8" s="29">
        <v>0</v>
      </c>
      <c r="M8" s="51" t="s">
        <v>112</v>
      </c>
      <c r="N8">
        <f>SUM(GETPIVOTDATA("Number of food acquisition successes ",$B$24,"Food category","Mushroom")+GETPIVOTDATA("Number of food acquisition successes ",$B$38,"Food category","Mushroom")+GETPIVOTDATA("Number of food acquisition successes ",$B$69,"Food category","Mushroom"))+1</f>
        <v>70</v>
      </c>
      <c r="O8" s="56">
        <f>N8/N10</f>
        <v>6.1188811188811192E-2</v>
      </c>
      <c r="P8" s="56">
        <f>N8/P10</f>
        <v>0.15151515151515152</v>
      </c>
    </row>
    <row r="9" spans="2:16" x14ac:dyDescent="0.2">
      <c r="B9" s="28" t="s">
        <v>4030</v>
      </c>
      <c r="C9" s="29">
        <v>4</v>
      </c>
      <c r="D9" s="29"/>
      <c r="E9" s="29">
        <v>4</v>
      </c>
      <c r="M9" s="51" t="s">
        <v>176</v>
      </c>
      <c r="N9">
        <f>SUM(GETPIVOTDATA("Number of food acquisition successes ",$B$4,"Food category","Unknown")+GETPIVOTDATA("Number of food acquisition successes ",$B$24,"Food category","Unknown")+GETPIVOTDATA("Number of food acquisition successes ",$B$38,"Food category","Unknown")+GETPIVOTDATA("Number of food acquisition successes ",$B$55,"Food category","Unknown")+GETPIVOTDATA("Number of food acquisition successes ",$B$55,"Food category","Unknown (maybe insect)")+GETPIVOTDATA("Number of food acquisition successes ",$B$69,"Food category","Unknown"))</f>
        <v>682</v>
      </c>
      <c r="O9" s="56">
        <f>N9/N10</f>
        <v>0.59615384615384615</v>
      </c>
    </row>
    <row r="10" spans="2:16" x14ac:dyDescent="0.2">
      <c r="B10" s="28" t="s">
        <v>176</v>
      </c>
      <c r="C10" s="29">
        <v>32</v>
      </c>
      <c r="D10" s="29"/>
      <c r="E10" s="29">
        <v>32</v>
      </c>
      <c r="M10" s="52" t="s">
        <v>4690</v>
      </c>
      <c r="N10">
        <f>SUM(N3:N9)</f>
        <v>1144</v>
      </c>
      <c r="P10">
        <f>SUM(N3+N4+N5+N6+N7+N8)</f>
        <v>462</v>
      </c>
    </row>
    <row r="11" spans="2:16" x14ac:dyDescent="0.2">
      <c r="B11" s="28" t="s">
        <v>2298</v>
      </c>
      <c r="C11" s="29">
        <v>0</v>
      </c>
      <c r="D11" s="29"/>
      <c r="E11" s="29">
        <v>0</v>
      </c>
    </row>
    <row r="12" spans="2:16" x14ac:dyDescent="0.2">
      <c r="B12" s="28" t="s">
        <v>2299</v>
      </c>
      <c r="C12" s="29">
        <v>44</v>
      </c>
      <c r="D12" s="29"/>
      <c r="E12" s="29">
        <v>44</v>
      </c>
    </row>
    <row r="17" spans="2:39" x14ac:dyDescent="0.2">
      <c r="Y17" t="s">
        <v>4752</v>
      </c>
      <c r="Z17" t="s">
        <v>4724</v>
      </c>
      <c r="AA17" t="s">
        <v>4753</v>
      </c>
      <c r="AB17" t="s">
        <v>4758</v>
      </c>
      <c r="AE17" t="s">
        <v>4752</v>
      </c>
      <c r="AF17" t="s">
        <v>4724</v>
      </c>
    </row>
    <row r="18" spans="2:39" x14ac:dyDescent="0.2">
      <c r="N18" t="s">
        <v>4026</v>
      </c>
      <c r="O18" t="s">
        <v>4027</v>
      </c>
      <c r="P18" t="s">
        <v>4028</v>
      </c>
      <c r="Q18" t="s">
        <v>4034</v>
      </c>
      <c r="R18" t="s">
        <v>4058</v>
      </c>
      <c r="S18" t="s">
        <v>4031</v>
      </c>
      <c r="T18" t="s">
        <v>4691</v>
      </c>
      <c r="U18" t="s">
        <v>4692</v>
      </c>
      <c r="X18" s="53" t="s">
        <v>461</v>
      </c>
      <c r="Y18">
        <f>SUM(N19:P19)</f>
        <v>13</v>
      </c>
      <c r="Z18">
        <f>SUM(S19:U19)</f>
        <v>90</v>
      </c>
      <c r="AA18" s="56">
        <f>Y18/Y26</f>
        <v>9.9236641221374045E-2</v>
      </c>
      <c r="AB18" s="56">
        <f>Z18/Z26</f>
        <v>0.27522935779816515</v>
      </c>
      <c r="AD18" s="53" t="s">
        <v>461</v>
      </c>
      <c r="AE18" s="56">
        <v>9.9236641221374045E-2</v>
      </c>
      <c r="AF18" s="56">
        <v>0.27522935779816515</v>
      </c>
    </row>
    <row r="19" spans="2:39" x14ac:dyDescent="0.2">
      <c r="M19" s="53" t="s">
        <v>461</v>
      </c>
      <c r="N19">
        <f>SUM(GETPIVOTDATA("Number of food acquisition successes ",$B$4,"Month","March","Food category","Animal flesh")+GETPIVOTDATA("Number of food acquisition successes ",$B$38,"Month","March","Food category","Animal flesh"))</f>
        <v>8</v>
      </c>
      <c r="O19">
        <f>GETPIVOTDATA("Number of food acquisition successes ",$B$38,"Month","April","Food category","Animal flesh")</f>
        <v>5</v>
      </c>
      <c r="P19">
        <f>GETPIVOTDATA("Number of food acquisition successes ",$B$38,"Month","May","Food category","Animal flesh")</f>
        <v>0</v>
      </c>
      <c r="Q19">
        <f>GETPIVOTDATA("Number of food acquisition successes ",$B$55,"Month","June","Food category","Human food")</f>
        <v>1</v>
      </c>
      <c r="R19">
        <f>GETPIVOTDATA("Number of food acquisition successes ",$B$55,"Month","July","Food category","Human food")</f>
        <v>0</v>
      </c>
      <c r="S19">
        <f>SUM(GETPIVOTDATA("Number of food acquisition successes ",$B$24,"Month","August","Food category","Animal flesh")+GETPIVOTDATA("Number of food acquisition successes ",$B$69,"Month","August","Food category","Animal flesh"))</f>
        <v>5</v>
      </c>
      <c r="T19">
        <f>GETPIVOTDATA("Number of food acquisition successes ",$B$24,"Month","September","Food category","Animal flesh")</f>
        <v>25</v>
      </c>
      <c r="U19">
        <f>GETPIVOTDATA("Number of food acquisition successes ",$B$24,"Month","October","Food category","Animal flesh")</f>
        <v>60</v>
      </c>
      <c r="X19" s="54" t="s">
        <v>14</v>
      </c>
      <c r="Y19">
        <f t="shared" ref="Y19:Y25" si="0">SUM(N20:P20)</f>
        <v>38</v>
      </c>
      <c r="Z19">
        <f t="shared" ref="Z19:Z25" si="1">SUM(S20:U20)</f>
        <v>93</v>
      </c>
      <c r="AA19" s="56">
        <f>Y19/Y26</f>
        <v>0.29007633587786258</v>
      </c>
      <c r="AB19" s="56">
        <f>Z19/Z26</f>
        <v>0.28440366972477066</v>
      </c>
      <c r="AD19" s="54" t="s">
        <v>14</v>
      </c>
      <c r="AE19" s="56">
        <v>0.29007633587786258</v>
      </c>
      <c r="AF19" s="56">
        <v>0.28440366972477066</v>
      </c>
    </row>
    <row r="20" spans="2:39" x14ac:dyDescent="0.2">
      <c r="M20" s="54" t="s">
        <v>14</v>
      </c>
      <c r="N20">
        <f>SUM(GETPIVOTDATA("Number of food acquisition successes ",$B$4,"Month","March","Food category","Berry")+GETPIVOTDATA("Number of food acquisition successes ",$B$38,"Month","March","Food category","Berry"))</f>
        <v>19</v>
      </c>
      <c r="O20">
        <f>GETPIVOTDATA("Number of food acquisition successes ",$B$38,"Month","April","Food category","Berry")</f>
        <v>18</v>
      </c>
      <c r="P20">
        <f>GETPIVOTDATA("Number of food acquisition successes ",$B$38,"Month","May","Food category","Berry")</f>
        <v>1</v>
      </c>
      <c r="Q20">
        <f>GETPIVOTDATA("Number of food acquisition successes ",$B$55,"Month","June","Food category","Insect")</f>
        <v>1</v>
      </c>
      <c r="R20">
        <f>0</f>
        <v>0</v>
      </c>
      <c r="S20">
        <f>SUM(GETPIVOTDATA("Number of food acquisition successes ",$B$24,"Month","August","Food category","Berry")+GETPIVOTDATA("Number of food acquisition successes ",$B$69,"Month","August","Food category","Berries"))</f>
        <v>16</v>
      </c>
      <c r="T20">
        <f>GETPIVOTDATA("Number of food acquisition successes ",$B$24,"Month","September","Food category","Berry")</f>
        <v>28</v>
      </c>
      <c r="U20">
        <f>GETPIVOTDATA("Number of food acquisition successes ",$B$24,"Month","October","Food category","Berry")</f>
        <v>49</v>
      </c>
      <c r="X20" s="54" t="s">
        <v>1618</v>
      </c>
      <c r="Y20">
        <f t="shared" si="0"/>
        <v>2</v>
      </c>
      <c r="Z20">
        <f t="shared" si="1"/>
        <v>23</v>
      </c>
      <c r="AA20" s="56">
        <f>Y20/Y26</f>
        <v>1.5267175572519083E-2</v>
      </c>
      <c r="AB20" s="56">
        <f>Z20/Z26</f>
        <v>7.0336391437308868E-2</v>
      </c>
      <c r="AD20" s="54" t="s">
        <v>1618</v>
      </c>
      <c r="AE20" s="56">
        <v>1.5267175572519083E-2</v>
      </c>
      <c r="AF20" s="56">
        <v>7.0336391437308868E-2</v>
      </c>
    </row>
    <row r="21" spans="2:39" x14ac:dyDescent="0.2">
      <c r="M21" s="54" t="s">
        <v>1618</v>
      </c>
      <c r="N21">
        <f>SUM(GETPIVOTDATA("Number of food acquisition successes ",$B$4,"Month","March","Food category","Human food")+GETPIVOTDATA("Number of food acquisition successes ",$B$38,"Month","March","Food category","Human food"))</f>
        <v>0</v>
      </c>
      <c r="O21">
        <f>GETPIVOTDATA("Number of food acquisition successes ",$B$38,"Month","April","Food category","Human food")</f>
        <v>2</v>
      </c>
      <c r="P21">
        <f>GETPIVOTDATA("Number of food acquisition successes ",$B$38,"Month","May","Food category","Human food")</f>
        <v>0</v>
      </c>
      <c r="Q21">
        <v>0</v>
      </c>
      <c r="R21">
        <f>GETPIVOTDATA("Number of food acquisition successes ",$B$55,"Month","July","Food category","Human food")</f>
        <v>0</v>
      </c>
      <c r="S21">
        <f>SUM(GETPIVOTDATA("Number of food acquisition successes ",$B$24,"Month","August","Food category","Human food")+GETPIVOTDATA("Number of food acquisition successes ",$B$69,"Month","August","Food category","Human food"))</f>
        <v>3</v>
      </c>
      <c r="T21">
        <f>GETPIVOTDATA("Number of food acquisition successes ",$B$24,"Month","September","Food category","Human food")</f>
        <v>18</v>
      </c>
      <c r="U21">
        <f>GETPIVOTDATA("Number of food acquisition successes ",$B$24,"Month","October","Food category","Human food")</f>
        <v>2</v>
      </c>
      <c r="X21" s="54" t="s">
        <v>598</v>
      </c>
      <c r="Y21">
        <f t="shared" si="0"/>
        <v>71</v>
      </c>
      <c r="Z21">
        <f t="shared" si="1"/>
        <v>48</v>
      </c>
      <c r="AA21" s="56">
        <f>Y21/Y26</f>
        <v>0.5419847328244275</v>
      </c>
      <c r="AB21" s="56">
        <f>Z21/Z26</f>
        <v>0.14678899082568808</v>
      </c>
      <c r="AD21" s="54" t="s">
        <v>598</v>
      </c>
      <c r="AE21" s="56">
        <v>0.5419847328244275</v>
      </c>
      <c r="AF21" s="56">
        <v>0.14678899082568808</v>
      </c>
    </row>
    <row r="22" spans="2:39" x14ac:dyDescent="0.2">
      <c r="M22" s="54" t="s">
        <v>598</v>
      </c>
      <c r="N22">
        <f>SUM(GETPIVOTDATA("Number of food acquisition successes ",$B$38,"Month","March","Food category","Insect"))</f>
        <v>11</v>
      </c>
      <c r="O22">
        <f>GETPIVOTDATA("Number of food acquisition successes ",$B$38,"Month","April","Food category","Insect")</f>
        <v>48</v>
      </c>
      <c r="P22">
        <f>GETPIVOTDATA("Number of food acquisition successes ",$B$38,"Month","May","Food category","Insect")</f>
        <v>12</v>
      </c>
      <c r="Q22">
        <f>GETPIVOTDATA("Number of food acquisition successes ",$B$55,"Month","June","Food category","Insect")</f>
        <v>1</v>
      </c>
      <c r="R22">
        <f>GETPIVOTDATA("Number of food acquisition successes ",$B$55,"Month","July","Food category","Insect")</f>
        <v>1</v>
      </c>
      <c r="S22">
        <f>SUM(GETPIVOTDATA("Number of food acquisition successes ",$B$24,"Month","August","Food category","Insect")+GETPIVOTDATA("Number of food acquisition successes ",$B$69,"Month","August","Food category","Insect"))</f>
        <v>20</v>
      </c>
      <c r="T22">
        <f>GETPIVOTDATA("Number of food acquisition successes ",$B$24,"Month","September","Food category","Insect")</f>
        <v>21</v>
      </c>
      <c r="U22">
        <f>GETPIVOTDATA("Number of food acquisition successes ",$B$24,"Month","October","Food category","Insect")</f>
        <v>7</v>
      </c>
      <c r="X22" s="54" t="s">
        <v>3955</v>
      </c>
      <c r="Y22">
        <f t="shared" si="0"/>
        <v>5</v>
      </c>
      <c r="Z22">
        <f t="shared" si="1"/>
        <v>6</v>
      </c>
      <c r="AA22" s="56">
        <f>Y22/Y26</f>
        <v>3.8167938931297711E-2</v>
      </c>
      <c r="AB22" s="56">
        <f>Z22/Z26</f>
        <v>1.834862385321101E-2</v>
      </c>
      <c r="AD22" s="54" t="s">
        <v>3955</v>
      </c>
      <c r="AE22" s="56">
        <v>3.8167938931297711E-2</v>
      </c>
      <c r="AF22" s="56">
        <v>1.834862385321101E-2</v>
      </c>
    </row>
    <row r="23" spans="2:39" x14ac:dyDescent="0.2">
      <c r="B23" s="26" t="s">
        <v>3959</v>
      </c>
      <c r="M23" s="54" t="s">
        <v>3955</v>
      </c>
      <c r="N23">
        <f>GETPIVOTDATA("Number of food acquisition successes ",$B$4,"Month","March","Food category","Misc")+GETPIVOTDATA("Number of food acquisition successes ",$B$38,"Month","March","Food category","Misc")</f>
        <v>5</v>
      </c>
      <c r="O23">
        <v>0</v>
      </c>
      <c r="P23">
        <f>GETPIVOTDATA("Number of food acquisition successes ",$B$38,"Month","May","Food category","Misc")</f>
        <v>0</v>
      </c>
      <c r="Q23">
        <v>0</v>
      </c>
      <c r="R23">
        <f>0</f>
        <v>0</v>
      </c>
      <c r="S23">
        <f>SUM(GETPIVOTDATA("Number of food acquisition successes ",$B$24,"Month","August","Food category","Misc")+GETPIVOTDATA("Number of food acquisition successes ",$B$69,"Month","August","Food category","Misc"))</f>
        <v>4</v>
      </c>
      <c r="T23">
        <f>GETPIVOTDATA("Number of food acquisition successes ",$B$24,"Month","September","Food category","Misc")</f>
        <v>2</v>
      </c>
      <c r="U23">
        <f>GETPIVOTDATA("Number of food acquisition successes ",$B$24,"Month","October","Food category","Misc")</f>
        <v>0</v>
      </c>
      <c r="X23" s="54" t="s">
        <v>112</v>
      </c>
      <c r="Y23">
        <f t="shared" si="0"/>
        <v>2</v>
      </c>
      <c r="Z23">
        <f t="shared" si="1"/>
        <v>67</v>
      </c>
      <c r="AA23" s="56">
        <f>Y23/Y26</f>
        <v>1.5267175572519083E-2</v>
      </c>
      <c r="AB23" s="56">
        <f>Z23/Z26</f>
        <v>0.20489296636085627</v>
      </c>
      <c r="AD23" s="54" t="s">
        <v>112</v>
      </c>
      <c r="AE23" s="56">
        <v>1.5267175572519083E-2</v>
      </c>
      <c r="AF23" s="56">
        <v>0.20489296636085627</v>
      </c>
    </row>
    <row r="24" spans="2:39" x14ac:dyDescent="0.2">
      <c r="B24" s="27" t="s">
        <v>4685</v>
      </c>
      <c r="C24" s="27" t="s">
        <v>4689</v>
      </c>
      <c r="M24" s="54" t="s">
        <v>112</v>
      </c>
      <c r="N24">
        <f>GETPIVOTDATA("Number of food acquisition successes ",$B$38,"Month","March","Food category","Mushroom")</f>
        <v>1</v>
      </c>
      <c r="O24">
        <f>GETPIVOTDATA("Number of food acquisition successes ",$B$38,"Month","April","Food category","Mushroom")</f>
        <v>1</v>
      </c>
      <c r="P24">
        <f>GETPIVOTDATA("Number of food acquisition successes ",$B$38,"Month","May","Food category","Mushroom")</f>
        <v>0</v>
      </c>
      <c r="Q24">
        <v>1</v>
      </c>
      <c r="R24">
        <f>0</f>
        <v>0</v>
      </c>
      <c r="S24">
        <f>SUM(GETPIVOTDATA("Number of food acquisition successes ",$B$24,"Month","August","Food category","Mushroom")+GETPIVOTDATA("Number of food acquisition successes ",$B$69,"Month","August","Food category","Mushroom"))</f>
        <v>44</v>
      </c>
      <c r="T24">
        <f>GETPIVOTDATA("Number of food acquisition successes ",$B$24,"Month","September","Food category","Mushroom")</f>
        <v>22</v>
      </c>
      <c r="U24">
        <f>GETPIVOTDATA("Number of food acquisition successes ",$B$24,"Month","October","Food category","Mushroom")</f>
        <v>1</v>
      </c>
      <c r="X24" s="54" t="s">
        <v>176</v>
      </c>
      <c r="Y24">
        <f t="shared" si="0"/>
        <v>320</v>
      </c>
      <c r="Z24">
        <f t="shared" si="1"/>
        <v>338</v>
      </c>
    </row>
    <row r="25" spans="2:39" x14ac:dyDescent="0.2">
      <c r="B25" s="27" t="s">
        <v>2297</v>
      </c>
      <c r="C25" t="s">
        <v>4031</v>
      </c>
      <c r="D25" t="s">
        <v>4032</v>
      </c>
      <c r="E25" t="s">
        <v>4033</v>
      </c>
      <c r="F25" t="s">
        <v>2298</v>
      </c>
      <c r="G25" t="s">
        <v>2299</v>
      </c>
      <c r="M25" s="54" t="s">
        <v>176</v>
      </c>
      <c r="N25">
        <f>SUM(GETPIVOTDATA("Number of food acquisition successes ",$B$4,"Month","March","Food category","Unknown")+GETPIVOTDATA("Number of food acquisition successes ",$B$38,"Month","March","Food category","Unknown"))</f>
        <v>107</v>
      </c>
      <c r="O25">
        <f>GETPIVOTDATA("Number of food acquisition successes ",$B$38,"Month","April","Food category","Unknown")</f>
        <v>180</v>
      </c>
      <c r="P25">
        <f>GETPIVOTDATA("Number of food acquisition successes ",$B$38,"Month","May","Food category","Unknown")</f>
        <v>33</v>
      </c>
      <c r="Q25">
        <v>0</v>
      </c>
      <c r="R25">
        <f>GETPIVOTDATA("Number of food acquisition successes ",$B$55,"Month","July","Food category","Unknown")+GETPIVOTDATA("Number of food acquisition successes ",$B$55,"Month","July","Food category","Unknown (maybe insect)")</f>
        <v>23</v>
      </c>
      <c r="S25">
        <f>SUM(GETPIVOTDATA("Number of food acquisition successes ",$B$24,"Month","August","Food category","Unknown")+GETPIVOTDATA("Number of food acquisition successes ",$B$69,"Month","August","Food category","Unknown"))</f>
        <v>98</v>
      </c>
      <c r="T25">
        <f>GETPIVOTDATA("Number of food acquisition successes ",$B$24,"Month","September","Food category","Unknown")</f>
        <v>108</v>
      </c>
      <c r="U25">
        <f>GETPIVOTDATA("Number of food acquisition successes ",$B$24,"Month","October","Food category","Unknown")</f>
        <v>132</v>
      </c>
      <c r="V25" s="26" t="s">
        <v>4693</v>
      </c>
      <c r="X25" s="55" t="s">
        <v>4690</v>
      </c>
      <c r="Y25">
        <f t="shared" si="0"/>
        <v>451</v>
      </c>
      <c r="Z25">
        <f t="shared" si="1"/>
        <v>665</v>
      </c>
    </row>
    <row r="26" spans="2:39" x14ac:dyDescent="0.2">
      <c r="B26" s="28" t="s">
        <v>461</v>
      </c>
      <c r="C26" s="29">
        <v>1</v>
      </c>
      <c r="D26" s="29">
        <v>25</v>
      </c>
      <c r="E26" s="29">
        <v>60</v>
      </c>
      <c r="F26" s="29"/>
      <c r="G26" s="29">
        <v>86</v>
      </c>
      <c r="M26" s="55" t="s">
        <v>4690</v>
      </c>
      <c r="N26">
        <f>SUM(N19:N25)</f>
        <v>151</v>
      </c>
      <c r="O26">
        <f t="shared" ref="O26:U26" si="2">SUM(O19:O25)</f>
        <v>254</v>
      </c>
      <c r="P26">
        <f t="shared" si="2"/>
        <v>46</v>
      </c>
      <c r="Q26">
        <f t="shared" si="2"/>
        <v>4</v>
      </c>
      <c r="R26">
        <f t="shared" si="2"/>
        <v>24</v>
      </c>
      <c r="S26">
        <f t="shared" si="2"/>
        <v>190</v>
      </c>
      <c r="T26">
        <f t="shared" si="2"/>
        <v>224</v>
      </c>
      <c r="U26">
        <f t="shared" si="2"/>
        <v>251</v>
      </c>
      <c r="V26">
        <f>SUM(N26:U26)</f>
        <v>1144</v>
      </c>
      <c r="X26" s="55" t="s">
        <v>4722</v>
      </c>
      <c r="Y26">
        <f>Y25-Y24</f>
        <v>131</v>
      </c>
      <c r="Z26">
        <f>Z25-Z24</f>
        <v>327</v>
      </c>
    </row>
    <row r="27" spans="2:39" x14ac:dyDescent="0.2">
      <c r="B27" s="28" t="s">
        <v>14</v>
      </c>
      <c r="C27" s="29">
        <v>5</v>
      </c>
      <c r="D27" s="29">
        <v>28</v>
      </c>
      <c r="E27" s="29">
        <v>49</v>
      </c>
      <c r="F27" s="29"/>
      <c r="G27" s="29">
        <v>82</v>
      </c>
    </row>
    <row r="28" spans="2:39" x14ac:dyDescent="0.2">
      <c r="B28" s="28" t="s">
        <v>1618</v>
      </c>
      <c r="C28" s="29"/>
      <c r="D28" s="29">
        <v>18</v>
      </c>
      <c r="E28" s="29">
        <v>2</v>
      </c>
      <c r="F28" s="29"/>
      <c r="G28" s="29">
        <v>20</v>
      </c>
    </row>
    <row r="29" spans="2:39" x14ac:dyDescent="0.2">
      <c r="B29" s="28" t="s">
        <v>598</v>
      </c>
      <c r="C29" s="29">
        <v>3</v>
      </c>
      <c r="D29" s="29">
        <v>21</v>
      </c>
      <c r="E29" s="29">
        <v>7</v>
      </c>
      <c r="F29" s="29"/>
      <c r="G29" s="29">
        <v>31</v>
      </c>
    </row>
    <row r="30" spans="2:39" x14ac:dyDescent="0.2">
      <c r="B30" s="28" t="s">
        <v>3955</v>
      </c>
      <c r="C30" s="29">
        <v>2</v>
      </c>
      <c r="D30" s="29">
        <v>2</v>
      </c>
      <c r="E30" s="29"/>
      <c r="F30" s="29"/>
      <c r="G30" s="29">
        <v>4</v>
      </c>
      <c r="M30" t="s">
        <v>4698</v>
      </c>
    </row>
    <row r="31" spans="2:39" x14ac:dyDescent="0.2">
      <c r="B31" s="28" t="s">
        <v>112</v>
      </c>
      <c r="C31" s="29">
        <v>6</v>
      </c>
      <c r="D31" s="29">
        <v>22</v>
      </c>
      <c r="E31" s="29">
        <v>1</v>
      </c>
      <c r="F31" s="29"/>
      <c r="G31" s="29">
        <v>29</v>
      </c>
      <c r="U31" s="26" t="s">
        <v>4718</v>
      </c>
      <c r="AE31" t="s">
        <v>4718</v>
      </c>
    </row>
    <row r="32" spans="2:39" x14ac:dyDescent="0.2">
      <c r="B32" s="28" t="s">
        <v>176</v>
      </c>
      <c r="C32" s="29">
        <v>14</v>
      </c>
      <c r="D32" s="29">
        <v>108</v>
      </c>
      <c r="E32" s="29">
        <v>132</v>
      </c>
      <c r="F32" s="29"/>
      <c r="G32" s="29">
        <v>254</v>
      </c>
      <c r="M32" t="s">
        <v>4694</v>
      </c>
      <c r="N32" t="s">
        <v>4025</v>
      </c>
      <c r="O32" t="s">
        <v>4695</v>
      </c>
      <c r="R32" t="s">
        <v>4697</v>
      </c>
      <c r="V32" t="s">
        <v>4026</v>
      </c>
      <c r="W32" t="s">
        <v>4027</v>
      </c>
      <c r="X32" t="s">
        <v>4028</v>
      </c>
      <c r="Y32" t="s">
        <v>4034</v>
      </c>
      <c r="Z32" t="s">
        <v>4058</v>
      </c>
      <c r="AA32" t="s">
        <v>4031</v>
      </c>
      <c r="AB32" t="s">
        <v>4032</v>
      </c>
      <c r="AC32" t="s">
        <v>4692</v>
      </c>
      <c r="AF32" t="s">
        <v>4026</v>
      </c>
      <c r="AG32" t="s">
        <v>4027</v>
      </c>
      <c r="AH32" t="s">
        <v>4028</v>
      </c>
      <c r="AI32" t="s">
        <v>4034</v>
      </c>
      <c r="AJ32" t="s">
        <v>4058</v>
      </c>
      <c r="AK32" t="s">
        <v>4031</v>
      </c>
      <c r="AL32" t="s">
        <v>4032</v>
      </c>
      <c r="AM32" t="s">
        <v>4692</v>
      </c>
    </row>
    <row r="33" spans="2:39" x14ac:dyDescent="0.2">
      <c r="B33" s="28" t="s">
        <v>2298</v>
      </c>
      <c r="C33" s="29">
        <v>0</v>
      </c>
      <c r="D33" s="29">
        <v>0</v>
      </c>
      <c r="E33" s="29">
        <v>0</v>
      </c>
      <c r="F33" s="29"/>
      <c r="G33" s="29">
        <v>0</v>
      </c>
      <c r="M33">
        <v>2018</v>
      </c>
      <c r="N33" t="s">
        <v>4026</v>
      </c>
      <c r="O33">
        <v>10</v>
      </c>
      <c r="R33" t="s">
        <v>4026</v>
      </c>
      <c r="S33">
        <f>O33+O37</f>
        <v>17</v>
      </c>
      <c r="U33" s="53" t="s">
        <v>461</v>
      </c>
      <c r="V33" cm="1">
        <f t="array" ref="V33:V40">N19:N26/S33*23</f>
        <v>10.823529411764707</v>
      </c>
      <c r="W33" cm="1">
        <f t="array" ref="W33:W40">O19:O26/S34*23</f>
        <v>6.3888888888888893</v>
      </c>
      <c r="X33" cm="1">
        <f t="array" ref="X33:X40">P19:P26/S35*23</f>
        <v>0</v>
      </c>
      <c r="Y33" cm="1">
        <f t="array" ref="Y33:Y40">Q19:Q26/S36*23</f>
        <v>23</v>
      </c>
      <c r="Z33" cm="1">
        <f t="array" ref="Z33:Z40">R19:R26/S37*23</f>
        <v>0</v>
      </c>
      <c r="AA33" cm="1">
        <f t="array" ref="AA33:AA40">S19:S26/S38*23</f>
        <v>5.4761904761904763</v>
      </c>
      <c r="AB33" cm="1">
        <f t="array" ref="AB33:AB40">T19:T26/S39*23</f>
        <v>25</v>
      </c>
      <c r="AC33" cm="1">
        <f t="array" ref="AC33:AC40">U19:U26/S40*23</f>
        <v>65.714285714285722</v>
      </c>
      <c r="AE33" t="s">
        <v>461</v>
      </c>
      <c r="AF33">
        <v>10.823529411764707</v>
      </c>
      <c r="AG33">
        <v>6.3888888888888893</v>
      </c>
      <c r="AH33">
        <v>0</v>
      </c>
      <c r="AI33">
        <v>23</v>
      </c>
      <c r="AJ33">
        <v>0</v>
      </c>
      <c r="AK33">
        <v>5.4761904761904763</v>
      </c>
      <c r="AL33">
        <v>25</v>
      </c>
      <c r="AM33">
        <v>65.714285714285722</v>
      </c>
    </row>
    <row r="34" spans="2:39" x14ac:dyDescent="0.2">
      <c r="B34" s="28" t="s">
        <v>2299</v>
      </c>
      <c r="C34" s="29">
        <v>31</v>
      </c>
      <c r="D34" s="29">
        <v>224</v>
      </c>
      <c r="E34" s="29">
        <v>251</v>
      </c>
      <c r="F34" s="29"/>
      <c r="G34" s="29">
        <v>506</v>
      </c>
      <c r="M34">
        <v>2018</v>
      </c>
      <c r="N34" t="s">
        <v>4031</v>
      </c>
      <c r="O34">
        <v>4</v>
      </c>
      <c r="R34" t="s">
        <v>4027</v>
      </c>
      <c r="S34">
        <f>O38</f>
        <v>18</v>
      </c>
      <c r="U34" s="54" t="s">
        <v>1342</v>
      </c>
      <c r="V34">
        <v>25.705882352941178</v>
      </c>
      <c r="W34">
        <v>23</v>
      </c>
      <c r="X34">
        <v>3.2857142857142856</v>
      </c>
      <c r="Y34">
        <v>23</v>
      </c>
      <c r="Z34">
        <v>0</v>
      </c>
      <c r="AA34">
        <v>17.523809523809522</v>
      </c>
      <c r="AB34">
        <v>28</v>
      </c>
      <c r="AC34">
        <v>53.666666666666671</v>
      </c>
      <c r="AE34" t="s">
        <v>1342</v>
      </c>
      <c r="AF34">
        <v>25.705882352941178</v>
      </c>
      <c r="AG34">
        <v>23</v>
      </c>
      <c r="AH34">
        <v>3.2857142857142856</v>
      </c>
      <c r="AI34">
        <v>23</v>
      </c>
      <c r="AJ34">
        <v>0</v>
      </c>
      <c r="AK34">
        <v>17.523809523809522</v>
      </c>
      <c r="AL34">
        <v>28</v>
      </c>
      <c r="AM34">
        <v>53.666666666666671</v>
      </c>
    </row>
    <row r="35" spans="2:39" x14ac:dyDescent="0.2">
      <c r="M35">
        <v>2018</v>
      </c>
      <c r="N35" t="s">
        <v>4696</v>
      </c>
      <c r="O35">
        <v>23</v>
      </c>
      <c r="R35" t="s">
        <v>4028</v>
      </c>
      <c r="S35">
        <f>O39</f>
        <v>7</v>
      </c>
      <c r="U35" s="54" t="s">
        <v>1618</v>
      </c>
      <c r="V35">
        <v>0</v>
      </c>
      <c r="W35">
        <v>2.5555555555555554</v>
      </c>
      <c r="X35">
        <v>0</v>
      </c>
      <c r="Y35">
        <v>0</v>
      </c>
      <c r="Z35">
        <v>0</v>
      </c>
      <c r="AA35">
        <v>3.2857142857142856</v>
      </c>
      <c r="AB35">
        <v>18</v>
      </c>
      <c r="AC35">
        <v>2.1904761904761902</v>
      </c>
      <c r="AE35" t="s">
        <v>1618</v>
      </c>
      <c r="AF35">
        <v>0</v>
      </c>
      <c r="AG35">
        <v>2.5555555555555554</v>
      </c>
      <c r="AH35">
        <v>0</v>
      </c>
      <c r="AI35">
        <v>0</v>
      </c>
      <c r="AJ35">
        <v>0</v>
      </c>
      <c r="AK35">
        <v>3.2857142857142856</v>
      </c>
      <c r="AL35">
        <v>18</v>
      </c>
      <c r="AM35">
        <v>2.1904761904761902</v>
      </c>
    </row>
    <row r="36" spans="2:39" x14ac:dyDescent="0.2">
      <c r="M36">
        <v>2018</v>
      </c>
      <c r="N36" t="s">
        <v>4033</v>
      </c>
      <c r="O36">
        <v>21</v>
      </c>
      <c r="R36" t="s">
        <v>4034</v>
      </c>
      <c r="S36">
        <f>O40</f>
        <v>1</v>
      </c>
      <c r="U36" s="54" t="s">
        <v>4706</v>
      </c>
      <c r="V36">
        <v>14.882352941176471</v>
      </c>
      <c r="W36">
        <v>61.333333333333329</v>
      </c>
      <c r="X36">
        <v>39.428571428571423</v>
      </c>
      <c r="Y36">
        <v>23</v>
      </c>
      <c r="Z36">
        <v>7.6666666666666661</v>
      </c>
      <c r="AA36">
        <v>21.904761904761905</v>
      </c>
      <c r="AB36">
        <v>21</v>
      </c>
      <c r="AC36">
        <v>7.6666666666666661</v>
      </c>
      <c r="AE36" t="s">
        <v>4706</v>
      </c>
      <c r="AF36">
        <v>14.882352941176471</v>
      </c>
      <c r="AG36">
        <v>61.333333333333329</v>
      </c>
      <c r="AH36">
        <v>39.428571428571423</v>
      </c>
      <c r="AI36">
        <v>23</v>
      </c>
      <c r="AJ36">
        <v>7.6666666666666661</v>
      </c>
      <c r="AK36">
        <v>21.904761904761905</v>
      </c>
      <c r="AL36">
        <v>21</v>
      </c>
      <c r="AM36">
        <v>7.6666666666666661</v>
      </c>
    </row>
    <row r="37" spans="2:39" x14ac:dyDescent="0.2">
      <c r="B37" s="26" t="s">
        <v>4686</v>
      </c>
      <c r="M37">
        <v>2019</v>
      </c>
      <c r="N37" t="s">
        <v>4026</v>
      </c>
      <c r="O37">
        <v>7</v>
      </c>
      <c r="R37" t="s">
        <v>4058</v>
      </c>
      <c r="S37">
        <v>3</v>
      </c>
      <c r="U37" s="54" t="s">
        <v>3955</v>
      </c>
      <c r="V37">
        <v>6.7647058823529411</v>
      </c>
      <c r="W37">
        <v>0</v>
      </c>
      <c r="X37">
        <v>0</v>
      </c>
      <c r="Y37">
        <v>0</v>
      </c>
      <c r="Z37">
        <v>0</v>
      </c>
      <c r="AA37">
        <v>4.3809523809523805</v>
      </c>
      <c r="AB37">
        <v>2</v>
      </c>
      <c r="AC37">
        <v>0</v>
      </c>
      <c r="AE37" t="s">
        <v>3955</v>
      </c>
      <c r="AF37">
        <v>6.7647058823529411</v>
      </c>
      <c r="AG37">
        <v>0</v>
      </c>
      <c r="AH37">
        <v>0</v>
      </c>
      <c r="AI37">
        <v>0</v>
      </c>
      <c r="AJ37">
        <v>0</v>
      </c>
      <c r="AK37">
        <v>4.3809523809523805</v>
      </c>
      <c r="AL37">
        <v>2</v>
      </c>
      <c r="AM37">
        <v>0</v>
      </c>
    </row>
    <row r="38" spans="2:39" x14ac:dyDescent="0.2">
      <c r="B38" s="27" t="s">
        <v>4685</v>
      </c>
      <c r="C38" s="27" t="s">
        <v>4689</v>
      </c>
      <c r="M38">
        <v>2019</v>
      </c>
      <c r="N38" t="s">
        <v>4027</v>
      </c>
      <c r="O38">
        <v>18</v>
      </c>
      <c r="R38" t="s">
        <v>4031</v>
      </c>
      <c r="S38">
        <f>O34+O42</f>
        <v>21</v>
      </c>
      <c r="U38" s="54" t="s">
        <v>4708</v>
      </c>
      <c r="V38">
        <v>1.3529411764705883</v>
      </c>
      <c r="W38">
        <v>1.2777777777777777</v>
      </c>
      <c r="X38">
        <v>0</v>
      </c>
      <c r="Y38">
        <v>23</v>
      </c>
      <c r="Z38">
        <v>0</v>
      </c>
      <c r="AA38">
        <v>48.19047619047619</v>
      </c>
      <c r="AB38">
        <v>22</v>
      </c>
      <c r="AC38">
        <v>1.0952380952380951</v>
      </c>
      <c r="AE38" t="s">
        <v>4708</v>
      </c>
      <c r="AF38">
        <v>1.3529411764705883</v>
      </c>
      <c r="AG38">
        <v>1.2777777777777777</v>
      </c>
      <c r="AH38">
        <v>0</v>
      </c>
      <c r="AI38">
        <v>0</v>
      </c>
      <c r="AJ38">
        <v>0</v>
      </c>
      <c r="AK38">
        <v>48.19047619047619</v>
      </c>
      <c r="AL38">
        <v>22</v>
      </c>
      <c r="AM38">
        <v>1.0952380952380951</v>
      </c>
    </row>
    <row r="39" spans="2:39" x14ac:dyDescent="0.2">
      <c r="B39" s="27" t="s">
        <v>2297</v>
      </c>
      <c r="C39" t="s">
        <v>4026</v>
      </c>
      <c r="D39" t="s">
        <v>4027</v>
      </c>
      <c r="E39" t="s">
        <v>4028</v>
      </c>
      <c r="F39" t="s">
        <v>2298</v>
      </c>
      <c r="G39" t="s">
        <v>2299</v>
      </c>
      <c r="M39">
        <v>2019</v>
      </c>
      <c r="N39" t="s">
        <v>4028</v>
      </c>
      <c r="O39">
        <v>7</v>
      </c>
      <c r="R39" t="s">
        <v>4032</v>
      </c>
      <c r="S39">
        <f>O35</f>
        <v>23</v>
      </c>
      <c r="U39" s="54" t="s">
        <v>176</v>
      </c>
      <c r="V39">
        <v>144.76470588235293</v>
      </c>
      <c r="W39">
        <v>230</v>
      </c>
      <c r="X39">
        <v>108.42857142857143</v>
      </c>
      <c r="Y39">
        <v>0</v>
      </c>
      <c r="Z39">
        <v>176.33333333333334</v>
      </c>
      <c r="AA39">
        <v>107.33333333333334</v>
      </c>
      <c r="AB39">
        <v>108.00000000000001</v>
      </c>
      <c r="AC39">
        <v>144.57142857142856</v>
      </c>
      <c r="AD39" s="26"/>
      <c r="AE39" t="s">
        <v>176</v>
      </c>
      <c r="AF39">
        <v>144.76470588235293</v>
      </c>
      <c r="AG39">
        <v>230</v>
      </c>
      <c r="AH39">
        <v>108.42857142857143</v>
      </c>
      <c r="AI39">
        <v>0</v>
      </c>
      <c r="AJ39">
        <v>176.33333333333334</v>
      </c>
      <c r="AK39">
        <v>107.33333333333334</v>
      </c>
      <c r="AL39">
        <v>108.00000000000001</v>
      </c>
      <c r="AM39">
        <v>144.57142857142856</v>
      </c>
    </row>
    <row r="40" spans="2:39" x14ac:dyDescent="0.2">
      <c r="B40" s="28" t="s">
        <v>461</v>
      </c>
      <c r="C40" s="29">
        <v>2</v>
      </c>
      <c r="D40" s="29">
        <v>5</v>
      </c>
      <c r="E40" s="29"/>
      <c r="F40" s="29"/>
      <c r="G40" s="29">
        <v>7</v>
      </c>
      <c r="M40">
        <v>2019</v>
      </c>
      <c r="N40" t="s">
        <v>4034</v>
      </c>
      <c r="O40">
        <v>1</v>
      </c>
      <c r="R40" t="s">
        <v>4692</v>
      </c>
      <c r="S40">
        <f>O36</f>
        <v>21</v>
      </c>
      <c r="U40" s="55" t="s">
        <v>4690</v>
      </c>
      <c r="V40">
        <v>204.29411764705884</v>
      </c>
      <c r="W40">
        <v>324.55555555555554</v>
      </c>
      <c r="X40">
        <v>151.14285714285714</v>
      </c>
      <c r="Y40">
        <v>92</v>
      </c>
      <c r="Z40">
        <v>184</v>
      </c>
      <c r="AA40">
        <v>208.0952380952381</v>
      </c>
      <c r="AB40">
        <v>224</v>
      </c>
      <c r="AC40">
        <v>274.90476190476193</v>
      </c>
      <c r="AE40" t="s">
        <v>4690</v>
      </c>
      <c r="AF40">
        <v>204.29411764705884</v>
      </c>
      <c r="AG40">
        <v>324.55555555555554</v>
      </c>
      <c r="AH40">
        <v>151.14285714285714</v>
      </c>
      <c r="AI40">
        <v>69</v>
      </c>
      <c r="AJ40">
        <v>184</v>
      </c>
      <c r="AK40">
        <v>208.0952380952381</v>
      </c>
      <c r="AL40">
        <v>224</v>
      </c>
      <c r="AM40">
        <v>274.90476190476193</v>
      </c>
    </row>
    <row r="41" spans="2:39" x14ac:dyDescent="0.2">
      <c r="B41" s="28" t="s">
        <v>14</v>
      </c>
      <c r="C41" s="29">
        <v>17</v>
      </c>
      <c r="D41" s="29">
        <v>18</v>
      </c>
      <c r="E41" s="29">
        <v>1</v>
      </c>
      <c r="F41" s="29"/>
      <c r="G41" s="29">
        <v>36</v>
      </c>
      <c r="M41">
        <v>2019</v>
      </c>
      <c r="N41" t="s">
        <v>4058</v>
      </c>
      <c r="O41">
        <v>3</v>
      </c>
    </row>
    <row r="42" spans="2:39" x14ac:dyDescent="0.2">
      <c r="B42" s="28" t="s">
        <v>1618</v>
      </c>
      <c r="C42" s="29"/>
      <c r="D42" s="29">
        <v>2</v>
      </c>
      <c r="E42" s="29"/>
      <c r="F42" s="29"/>
      <c r="G42" s="29">
        <v>2</v>
      </c>
      <c r="M42">
        <v>2019</v>
      </c>
      <c r="N42" t="s">
        <v>4031</v>
      </c>
      <c r="O42">
        <v>17</v>
      </c>
      <c r="AF42" t="s">
        <v>4718</v>
      </c>
    </row>
    <row r="43" spans="2:39" x14ac:dyDescent="0.2">
      <c r="B43" s="28" t="s">
        <v>598</v>
      </c>
      <c r="C43" s="29">
        <v>11</v>
      </c>
      <c r="D43" s="29">
        <v>48</v>
      </c>
      <c r="E43" s="29">
        <v>12</v>
      </c>
      <c r="F43" s="29"/>
      <c r="G43" s="29">
        <v>71</v>
      </c>
      <c r="AG43" t="s">
        <v>4723</v>
      </c>
      <c r="AH43" t="s">
        <v>4724</v>
      </c>
      <c r="AI43" t="s">
        <v>4723</v>
      </c>
      <c r="AJ43" t="s">
        <v>4724</v>
      </c>
    </row>
    <row r="44" spans="2:39" x14ac:dyDescent="0.2">
      <c r="B44" s="28" t="s">
        <v>3955</v>
      </c>
      <c r="C44" s="29">
        <v>1</v>
      </c>
      <c r="D44" s="29"/>
      <c r="E44" s="29"/>
      <c r="F44" s="29"/>
      <c r="G44" s="29">
        <v>1</v>
      </c>
      <c r="AF44" t="s">
        <v>461</v>
      </c>
      <c r="AG44" s="58">
        <f>SUM(AF33:AH33)</f>
        <v>17.212418300653596</v>
      </c>
      <c r="AH44" s="58">
        <f>SUM(AK33:AM33)</f>
        <v>96.190476190476204</v>
      </c>
      <c r="AI44" s="56">
        <f>AG44/AG52</f>
        <v>8.7461807071147993E-2</v>
      </c>
      <c r="AJ44" s="56">
        <f>AH44/AH52</f>
        <v>0.27712992179997259</v>
      </c>
    </row>
    <row r="45" spans="2:39" x14ac:dyDescent="0.2">
      <c r="B45" s="28" t="s">
        <v>112</v>
      </c>
      <c r="C45" s="29">
        <v>1</v>
      </c>
      <c r="D45" s="29">
        <v>1</v>
      </c>
      <c r="E45" s="29"/>
      <c r="F45" s="29"/>
      <c r="G45" s="29">
        <v>2</v>
      </c>
      <c r="M45" t="s">
        <v>4701</v>
      </c>
      <c r="AF45" t="s">
        <v>1342</v>
      </c>
      <c r="AG45" s="58">
        <f t="shared" ref="AG45:AG51" si="3">SUM(AF34:AH34)</f>
        <v>51.991596638655459</v>
      </c>
      <c r="AH45" s="58">
        <f t="shared" ref="AH45:AH51" si="4">SUM(AK34:AM34)</f>
        <v>99.19047619047619</v>
      </c>
      <c r="AI45" s="56">
        <f>AG45/AG52</f>
        <v>0.26418594500218245</v>
      </c>
      <c r="AJ45" s="56">
        <f>AH45/AH52</f>
        <v>0.28577308272739743</v>
      </c>
    </row>
    <row r="46" spans="2:39" x14ac:dyDescent="0.2">
      <c r="B46" s="28" t="s">
        <v>176</v>
      </c>
      <c r="C46" s="29">
        <v>75</v>
      </c>
      <c r="D46" s="29">
        <v>180</v>
      </c>
      <c r="E46" s="29">
        <v>33</v>
      </c>
      <c r="F46" s="29"/>
      <c r="G46" s="29">
        <v>288</v>
      </c>
      <c r="N46" t="s">
        <v>4699</v>
      </c>
      <c r="O46" t="s">
        <v>4700</v>
      </c>
      <c r="Q46" t="s">
        <v>4756</v>
      </c>
      <c r="R46" t="s">
        <v>4757</v>
      </c>
      <c r="AF46" t="s">
        <v>1618</v>
      </c>
      <c r="AG46" s="58">
        <f t="shared" si="3"/>
        <v>2.5555555555555554</v>
      </c>
      <c r="AH46" s="58">
        <f t="shared" si="4"/>
        <v>23.476190476190474</v>
      </c>
      <c r="AI46" s="56">
        <f>AG46/AG52</f>
        <v>1.2985595809690094E-2</v>
      </c>
      <c r="AJ46" s="56">
        <f>AH46/AH52</f>
        <v>6.7636164082864575E-2</v>
      </c>
    </row>
    <row r="47" spans="2:39" x14ac:dyDescent="0.2">
      <c r="B47" s="28" t="s">
        <v>2298</v>
      </c>
      <c r="C47" s="29">
        <v>0</v>
      </c>
      <c r="D47" s="29">
        <v>0</v>
      </c>
      <c r="E47" s="29">
        <v>0</v>
      </c>
      <c r="F47" s="29"/>
      <c r="G47" s="29">
        <v>0</v>
      </c>
      <c r="M47" t="s">
        <v>4026</v>
      </c>
      <c r="N47">
        <v>151</v>
      </c>
      <c r="O47">
        <v>17</v>
      </c>
      <c r="P47">
        <f>N47/O47</f>
        <v>8.882352941176471</v>
      </c>
      <c r="Q47">
        <f>SUM(O47:O49)</f>
        <v>42</v>
      </c>
      <c r="R47">
        <f>SUM(O52:O54)</f>
        <v>65</v>
      </c>
      <c r="AF47" t="s">
        <v>4706</v>
      </c>
      <c r="AG47" s="58">
        <f t="shared" si="3"/>
        <v>115.64425770308122</v>
      </c>
      <c r="AH47" s="58">
        <f t="shared" si="4"/>
        <v>50.571428571428569</v>
      </c>
      <c r="AI47" s="56">
        <f>AG47/AG52</f>
        <v>0.58762549105194239</v>
      </c>
      <c r="AJ47" s="56">
        <f>AH47/AH52</f>
        <v>0.14569899849087664</v>
      </c>
    </row>
    <row r="48" spans="2:39" x14ac:dyDescent="0.2">
      <c r="B48" s="28" t="s">
        <v>2299</v>
      </c>
      <c r="C48" s="29">
        <v>107</v>
      </c>
      <c r="D48" s="29">
        <v>254</v>
      </c>
      <c r="E48" s="29">
        <v>46</v>
      </c>
      <c r="F48" s="29"/>
      <c r="G48" s="29">
        <v>407</v>
      </c>
      <c r="M48" t="s">
        <v>4027</v>
      </c>
      <c r="N48">
        <v>254</v>
      </c>
      <c r="O48">
        <v>18</v>
      </c>
      <c r="P48">
        <f t="shared" ref="P48:P54" si="5">N48/O48</f>
        <v>14.111111111111111</v>
      </c>
      <c r="AF48" t="s">
        <v>3955</v>
      </c>
      <c r="AG48" s="58">
        <f t="shared" si="3"/>
        <v>6.7647058823529411</v>
      </c>
      <c r="AH48" s="58">
        <f t="shared" si="4"/>
        <v>6.3809523809523805</v>
      </c>
      <c r="AI48" s="56">
        <f>AG48/AG52</f>
        <v>3.4373635966826716E-2</v>
      </c>
      <c r="AJ48" s="56">
        <f>AH48/AH52</f>
        <v>1.8383866099602138E-2</v>
      </c>
    </row>
    <row r="49" spans="2:36" x14ac:dyDescent="0.2">
      <c r="M49" t="s">
        <v>4028</v>
      </c>
      <c r="N49">
        <v>46</v>
      </c>
      <c r="O49">
        <v>7</v>
      </c>
      <c r="P49">
        <f t="shared" si="5"/>
        <v>6.5714285714285712</v>
      </c>
      <c r="AF49" t="s">
        <v>4708</v>
      </c>
      <c r="AG49" s="58">
        <f t="shared" si="3"/>
        <v>2.630718954248366</v>
      </c>
      <c r="AH49" s="58">
        <f t="shared" si="4"/>
        <v>71.285714285714292</v>
      </c>
      <c r="AI49" s="56">
        <f>AG49/AG52</f>
        <v>1.3367525098210391E-2</v>
      </c>
      <c r="AJ49" s="56">
        <f>AH49/AH52</f>
        <v>0.2053779667992866</v>
      </c>
    </row>
    <row r="50" spans="2:36" x14ac:dyDescent="0.2">
      <c r="M50" t="s">
        <v>4034</v>
      </c>
      <c r="N50">
        <v>3</v>
      </c>
      <c r="O50">
        <v>1</v>
      </c>
      <c r="P50">
        <f t="shared" si="5"/>
        <v>3</v>
      </c>
      <c r="AF50" t="s">
        <v>176</v>
      </c>
      <c r="AG50" s="58">
        <f t="shared" si="3"/>
        <v>483.19327731092437</v>
      </c>
      <c r="AH50" s="58">
        <f t="shared" si="4"/>
        <v>359.90476190476193</v>
      </c>
    </row>
    <row r="51" spans="2:36" x14ac:dyDescent="0.2">
      <c r="M51" t="s">
        <v>4058</v>
      </c>
      <c r="N51">
        <v>24</v>
      </c>
      <c r="O51">
        <v>3</v>
      </c>
      <c r="P51">
        <f t="shared" si="5"/>
        <v>8</v>
      </c>
      <c r="AF51" t="s">
        <v>4690</v>
      </c>
      <c r="AG51" s="58">
        <f t="shared" si="3"/>
        <v>679.99253034547155</v>
      </c>
      <c r="AH51" s="58">
        <f t="shared" si="4"/>
        <v>707</v>
      </c>
    </row>
    <row r="52" spans="2:36" x14ac:dyDescent="0.2">
      <c r="M52" t="s">
        <v>4031</v>
      </c>
      <c r="N52">
        <v>190</v>
      </c>
      <c r="O52">
        <v>21</v>
      </c>
      <c r="P52">
        <f t="shared" si="5"/>
        <v>9.0476190476190474</v>
      </c>
      <c r="AF52" t="s">
        <v>4725</v>
      </c>
      <c r="AG52" s="58">
        <f>SUM(AG44:AG49)</f>
        <v>196.79925303454712</v>
      </c>
      <c r="AH52" s="58">
        <f>SUM(AH44:AH49)</f>
        <v>347.09523809523813</v>
      </c>
    </row>
    <row r="53" spans="2:36" x14ac:dyDescent="0.2">
      <c r="M53" t="s">
        <v>4032</v>
      </c>
      <c r="N53">
        <v>224</v>
      </c>
      <c r="O53">
        <v>23</v>
      </c>
      <c r="P53">
        <f t="shared" si="5"/>
        <v>9.7391304347826093</v>
      </c>
    </row>
    <row r="54" spans="2:36" x14ac:dyDescent="0.2">
      <c r="B54" s="50" t="s">
        <v>4687</v>
      </c>
      <c r="M54" t="s">
        <v>4692</v>
      </c>
      <c r="N54">
        <v>251</v>
      </c>
      <c r="O54">
        <v>21</v>
      </c>
      <c r="P54">
        <f t="shared" si="5"/>
        <v>11.952380952380953</v>
      </c>
    </row>
    <row r="55" spans="2:36" x14ac:dyDescent="0.2">
      <c r="B55" s="27" t="s">
        <v>4685</v>
      </c>
      <c r="C55" s="27" t="s">
        <v>4689</v>
      </c>
      <c r="AF55">
        <f>AH44/AG44</f>
        <v>5.5884347283625813</v>
      </c>
    </row>
    <row r="56" spans="2:36" x14ac:dyDescent="0.2">
      <c r="B56" s="27" t="s">
        <v>2297</v>
      </c>
      <c r="C56" t="s">
        <v>4034</v>
      </c>
      <c r="D56" t="s">
        <v>4058</v>
      </c>
      <c r="E56" t="s">
        <v>2298</v>
      </c>
      <c r="F56" t="s">
        <v>2299</v>
      </c>
      <c r="AF56">
        <f>AH45/AG45</f>
        <v>1.9078174667313186</v>
      </c>
    </row>
    <row r="57" spans="2:36" x14ac:dyDescent="0.2">
      <c r="B57" s="28" t="s">
        <v>1618</v>
      </c>
      <c r="C57" s="29">
        <v>1</v>
      </c>
      <c r="D57" s="29"/>
      <c r="E57" s="29"/>
      <c r="F57" s="29">
        <v>1</v>
      </c>
    </row>
    <row r="58" spans="2:36" x14ac:dyDescent="0.2">
      <c r="B58" s="28" t="s">
        <v>598</v>
      </c>
      <c r="C58" s="29">
        <v>1</v>
      </c>
      <c r="D58" s="29">
        <v>1</v>
      </c>
      <c r="E58" s="29"/>
      <c r="F58" s="29">
        <v>2</v>
      </c>
    </row>
    <row r="59" spans="2:36" x14ac:dyDescent="0.2">
      <c r="B59" s="28" t="s">
        <v>115</v>
      </c>
      <c r="C59" s="29">
        <v>0</v>
      </c>
      <c r="D59" s="29">
        <v>0</v>
      </c>
      <c r="E59" s="29"/>
      <c r="F59" s="29">
        <v>0</v>
      </c>
    </row>
    <row r="60" spans="2:36" x14ac:dyDescent="0.2">
      <c r="B60" s="28" t="s">
        <v>176</v>
      </c>
      <c r="C60" s="29">
        <v>1</v>
      </c>
      <c r="D60" s="29">
        <v>20</v>
      </c>
      <c r="E60" s="29"/>
      <c r="F60" s="29">
        <v>21</v>
      </c>
    </row>
    <row r="61" spans="2:36" x14ac:dyDescent="0.2">
      <c r="B61" s="28" t="s">
        <v>4069</v>
      </c>
      <c r="C61" s="29"/>
      <c r="D61" s="29">
        <v>3</v>
      </c>
      <c r="E61" s="29"/>
      <c r="F61" s="29">
        <v>3</v>
      </c>
    </row>
    <row r="62" spans="2:36" x14ac:dyDescent="0.2">
      <c r="B62" s="28" t="s">
        <v>2298</v>
      </c>
      <c r="C62" s="29"/>
      <c r="D62" s="29"/>
      <c r="E62" s="29"/>
      <c r="F62" s="29"/>
    </row>
    <row r="63" spans="2:36" x14ac:dyDescent="0.2">
      <c r="B63" s="28" t="s">
        <v>112</v>
      </c>
      <c r="C63" s="29"/>
      <c r="D63" s="29">
        <v>1</v>
      </c>
      <c r="E63" s="29"/>
      <c r="F63" s="29">
        <v>1</v>
      </c>
    </row>
    <row r="64" spans="2:36" x14ac:dyDescent="0.2">
      <c r="B64" s="28" t="s">
        <v>2299</v>
      </c>
      <c r="C64" s="29">
        <v>3</v>
      </c>
      <c r="D64" s="29">
        <v>25</v>
      </c>
      <c r="E64" s="29"/>
      <c r="F64" s="29">
        <v>28</v>
      </c>
    </row>
    <row r="68" spans="2:5" x14ac:dyDescent="0.2">
      <c r="B68" s="50" t="s">
        <v>4688</v>
      </c>
    </row>
    <row r="69" spans="2:5" x14ac:dyDescent="0.2">
      <c r="B69" s="27" t="s">
        <v>4685</v>
      </c>
      <c r="C69" s="27" t="s">
        <v>4689</v>
      </c>
    </row>
    <row r="70" spans="2:5" x14ac:dyDescent="0.2">
      <c r="B70" s="27" t="s">
        <v>2297</v>
      </c>
      <c r="C70" t="s">
        <v>4031</v>
      </c>
      <c r="D70" t="s">
        <v>2298</v>
      </c>
      <c r="E70" t="s">
        <v>2299</v>
      </c>
    </row>
    <row r="71" spans="2:5" x14ac:dyDescent="0.2">
      <c r="B71" s="28" t="s">
        <v>461</v>
      </c>
      <c r="C71" s="29">
        <v>4</v>
      </c>
      <c r="D71" s="29"/>
      <c r="E71" s="29">
        <v>4</v>
      </c>
    </row>
    <row r="72" spans="2:5" x14ac:dyDescent="0.2">
      <c r="B72" s="28" t="s">
        <v>1342</v>
      </c>
      <c r="C72" s="29">
        <v>11</v>
      </c>
      <c r="D72" s="29"/>
      <c r="E72" s="29">
        <v>11</v>
      </c>
    </row>
    <row r="73" spans="2:5" x14ac:dyDescent="0.2">
      <c r="B73" s="28" t="s">
        <v>1618</v>
      </c>
      <c r="C73" s="29">
        <v>3</v>
      </c>
      <c r="D73" s="29"/>
      <c r="E73" s="29">
        <v>3</v>
      </c>
    </row>
    <row r="74" spans="2:5" x14ac:dyDescent="0.2">
      <c r="B74" s="28" t="s">
        <v>598</v>
      </c>
      <c r="C74" s="29">
        <v>17</v>
      </c>
      <c r="D74" s="29"/>
      <c r="E74" s="29">
        <v>17</v>
      </c>
    </row>
    <row r="75" spans="2:5" x14ac:dyDescent="0.2">
      <c r="B75" s="28" t="s">
        <v>112</v>
      </c>
      <c r="C75" s="29">
        <v>38</v>
      </c>
      <c r="D75" s="29"/>
      <c r="E75" s="29">
        <v>38</v>
      </c>
    </row>
    <row r="76" spans="2:5" x14ac:dyDescent="0.2">
      <c r="B76" s="28" t="s">
        <v>115</v>
      </c>
      <c r="C76" s="29">
        <v>0</v>
      </c>
      <c r="D76" s="29"/>
      <c r="E76" s="29">
        <v>0</v>
      </c>
    </row>
    <row r="77" spans="2:5" x14ac:dyDescent="0.2">
      <c r="B77" s="28" t="s">
        <v>176</v>
      </c>
      <c r="C77" s="29">
        <v>84</v>
      </c>
      <c r="D77" s="29"/>
      <c r="E77" s="29">
        <v>84</v>
      </c>
    </row>
    <row r="78" spans="2:5" x14ac:dyDescent="0.2">
      <c r="B78" s="28" t="s">
        <v>2298</v>
      </c>
      <c r="C78" s="29"/>
      <c r="D78" s="29"/>
      <c r="E78" s="29"/>
    </row>
    <row r="79" spans="2:5" x14ac:dyDescent="0.2">
      <c r="B79" s="28" t="s">
        <v>3955</v>
      </c>
      <c r="C79" s="29">
        <v>2</v>
      </c>
      <c r="D79" s="29"/>
      <c r="E79" s="29">
        <v>2</v>
      </c>
    </row>
    <row r="80" spans="2:5" x14ac:dyDescent="0.2">
      <c r="B80" s="28" t="s">
        <v>2299</v>
      </c>
      <c r="C80" s="29">
        <v>159</v>
      </c>
      <c r="D80" s="29"/>
      <c r="E80" s="29">
        <v>159</v>
      </c>
    </row>
    <row r="83" spans="2:10" x14ac:dyDescent="0.2">
      <c r="B83" s="28" t="s">
        <v>5118</v>
      </c>
    </row>
    <row r="84" spans="2:10" x14ac:dyDescent="0.2">
      <c r="B84" s="26" t="s">
        <v>5115</v>
      </c>
      <c r="C84" s="26"/>
      <c r="D84" s="26" t="s">
        <v>461</v>
      </c>
      <c r="E84" s="26" t="s">
        <v>5120</v>
      </c>
      <c r="F84" s="26" t="s">
        <v>3958</v>
      </c>
      <c r="G84" s="26" t="s">
        <v>62</v>
      </c>
      <c r="H84" s="26" t="s">
        <v>4690</v>
      </c>
    </row>
    <row r="85" spans="2:10" x14ac:dyDescent="0.2">
      <c r="B85" t="s">
        <v>5116</v>
      </c>
      <c r="C85">
        <v>8</v>
      </c>
      <c r="D85">
        <v>4</v>
      </c>
      <c r="E85">
        <v>2</v>
      </c>
      <c r="F85">
        <v>0</v>
      </c>
      <c r="G85">
        <v>2</v>
      </c>
      <c r="H85">
        <f>SUM(D85:G85)</f>
        <v>8</v>
      </c>
      <c r="I85" s="56">
        <f>H85/C91</f>
        <v>0.2</v>
      </c>
      <c r="J85">
        <f>(H85+H87)/C91</f>
        <v>0.92500000000000004</v>
      </c>
    </row>
    <row r="86" spans="2:10" x14ac:dyDescent="0.2">
      <c r="B86" t="s">
        <v>3959</v>
      </c>
      <c r="C86">
        <v>0</v>
      </c>
      <c r="D86">
        <v>0</v>
      </c>
      <c r="E86">
        <v>0</v>
      </c>
      <c r="F86">
        <v>0</v>
      </c>
      <c r="H86">
        <f t="shared" ref="H86:H90" si="6">SUM(D86:G86)</f>
        <v>0</v>
      </c>
      <c r="I86" s="56">
        <v>0</v>
      </c>
    </row>
    <row r="87" spans="2:10" x14ac:dyDescent="0.2">
      <c r="B87" t="s">
        <v>5117</v>
      </c>
      <c r="C87">
        <v>29</v>
      </c>
      <c r="D87">
        <v>3</v>
      </c>
      <c r="E87">
        <v>1</v>
      </c>
      <c r="F87">
        <v>2</v>
      </c>
      <c r="G87">
        <v>23</v>
      </c>
      <c r="H87">
        <f t="shared" si="6"/>
        <v>29</v>
      </c>
      <c r="I87" s="56">
        <f>H87/C91</f>
        <v>0.72499999999999998</v>
      </c>
    </row>
    <row r="88" spans="2:10" x14ac:dyDescent="0.2">
      <c r="B88" s="111">
        <v>43617</v>
      </c>
      <c r="C88">
        <v>0</v>
      </c>
      <c r="D88">
        <v>0</v>
      </c>
      <c r="E88">
        <v>0</v>
      </c>
      <c r="F88">
        <v>0</v>
      </c>
      <c r="G88">
        <v>0</v>
      </c>
      <c r="H88">
        <f t="shared" si="6"/>
        <v>0</v>
      </c>
      <c r="I88" s="56">
        <f>0</f>
        <v>0</v>
      </c>
    </row>
    <row r="89" spans="2:10" x14ac:dyDescent="0.2">
      <c r="B89" s="111">
        <v>43678</v>
      </c>
      <c r="C89">
        <v>3</v>
      </c>
      <c r="D89">
        <v>1</v>
      </c>
      <c r="E89">
        <v>0</v>
      </c>
      <c r="F89">
        <v>0</v>
      </c>
      <c r="G89">
        <v>2</v>
      </c>
      <c r="H89">
        <f t="shared" si="6"/>
        <v>3</v>
      </c>
      <c r="I89" s="56">
        <f>H89/C91</f>
        <v>7.4999999999999997E-2</v>
      </c>
    </row>
    <row r="90" spans="2:10" x14ac:dyDescent="0.2">
      <c r="C90" s="184" t="s">
        <v>5121</v>
      </c>
      <c r="D90" s="184">
        <f>SUM(D85:D89)</f>
        <v>8</v>
      </c>
      <c r="E90" s="184">
        <f t="shared" ref="E90:G90" si="7">SUM(E85:E89)</f>
        <v>3</v>
      </c>
      <c r="F90" s="184">
        <f t="shared" si="7"/>
        <v>2</v>
      </c>
      <c r="G90" s="184">
        <f t="shared" si="7"/>
        <v>27</v>
      </c>
      <c r="H90">
        <f t="shared" si="6"/>
        <v>40</v>
      </c>
    </row>
    <row r="91" spans="2:10" x14ac:dyDescent="0.2">
      <c r="C91">
        <f>SUM(C85:C89)</f>
        <v>40</v>
      </c>
      <c r="D91" s="56">
        <f>D90/C91</f>
        <v>0.2</v>
      </c>
      <c r="E91" s="56">
        <f>E90/C91</f>
        <v>7.4999999999999997E-2</v>
      </c>
      <c r="F91" s="56">
        <f>F90/C91</f>
        <v>0.05</v>
      </c>
      <c r="G91" s="56">
        <f>G90/C91</f>
        <v>0.67500000000000004</v>
      </c>
    </row>
    <row r="92" spans="2:10" x14ac:dyDescent="0.2">
      <c r="B92" t="s">
        <v>5119</v>
      </c>
      <c r="C92">
        <f>46/1144</f>
        <v>4.0209790209790208E-2</v>
      </c>
    </row>
  </sheetData>
  <pageMargins left="0.7" right="0.7" top="0.75" bottom="0.75" header="0.3" footer="0.3"/>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2E021-EB16-3745-A638-165474C14B6F}">
  <sheetPr>
    <tabColor theme="9" tint="-0.499984740745262"/>
  </sheetPr>
  <dimension ref="B1:Y114"/>
  <sheetViews>
    <sheetView showGridLines="0" tabSelected="1" topLeftCell="L1" zoomScale="74" zoomScaleNormal="74" workbookViewId="0">
      <selection activeCell="U19" sqref="U19"/>
    </sheetView>
  </sheetViews>
  <sheetFormatPr baseColWidth="10" defaultRowHeight="16" x14ac:dyDescent="0.2"/>
  <cols>
    <col min="2" max="2" width="39.6640625" bestFit="1" customWidth="1"/>
    <col min="3" max="3" width="15.5" bestFit="1" customWidth="1"/>
    <col min="4" max="4" width="4.33203125" bestFit="1" customWidth="1"/>
    <col min="5" max="5" width="6.83203125" bestFit="1" customWidth="1"/>
    <col min="6" max="7" width="10.83203125" bestFit="1" customWidth="1"/>
    <col min="8" max="8" width="5.5" bestFit="1" customWidth="1"/>
    <col min="9" max="9" width="11" bestFit="1" customWidth="1"/>
    <col min="10" max="10" width="6.33203125" bestFit="1" customWidth="1"/>
    <col min="11" max="11" width="39.6640625" bestFit="1" customWidth="1"/>
    <col min="12" max="12" width="15.5" bestFit="1" customWidth="1"/>
    <col min="13" max="13" width="39.6640625" bestFit="1" customWidth="1"/>
    <col min="14" max="14" width="15.5" bestFit="1" customWidth="1"/>
    <col min="15" max="15" width="6.83203125" bestFit="1" customWidth="1"/>
    <col min="16" max="16" width="10.83203125" bestFit="1" customWidth="1"/>
    <col min="17" max="17" width="6.83203125" bestFit="1" customWidth="1"/>
    <col min="18" max="18" width="10.83203125" bestFit="1" customWidth="1"/>
    <col min="19" max="19" width="10.1640625" bestFit="1" customWidth="1"/>
    <col min="20" max="20" width="6.83203125" bestFit="1" customWidth="1"/>
    <col min="21" max="21" width="35.33203125" customWidth="1"/>
    <col min="22" max="22" width="22.83203125" customWidth="1"/>
    <col min="23" max="23" width="25.1640625" customWidth="1"/>
    <col min="24" max="24" width="14.6640625" customWidth="1"/>
    <col min="25" max="25" width="34" style="153" customWidth="1"/>
  </cols>
  <sheetData>
    <row r="1" spans="2:25" x14ac:dyDescent="0.2">
      <c r="M1" s="26" t="s">
        <v>4023</v>
      </c>
    </row>
    <row r="2" spans="2:25" x14ac:dyDescent="0.2">
      <c r="B2" s="26" t="s">
        <v>3959</v>
      </c>
      <c r="M2" s="27" t="s">
        <v>4685</v>
      </c>
      <c r="N2" s="27" t="s">
        <v>4689</v>
      </c>
    </row>
    <row r="3" spans="2:25" x14ac:dyDescent="0.2">
      <c r="B3" s="27" t="s">
        <v>4685</v>
      </c>
      <c r="C3" s="27" t="s">
        <v>4689</v>
      </c>
      <c r="M3" s="27" t="s">
        <v>2297</v>
      </c>
      <c r="N3" t="s">
        <v>4026</v>
      </c>
      <c r="O3" t="s">
        <v>2298</v>
      </c>
      <c r="P3" t="s">
        <v>2299</v>
      </c>
    </row>
    <row r="4" spans="2:25" x14ac:dyDescent="0.2">
      <c r="B4" s="27" t="s">
        <v>2297</v>
      </c>
      <c r="C4" t="s">
        <v>4031</v>
      </c>
      <c r="D4" t="s">
        <v>4032</v>
      </c>
      <c r="E4" t="s">
        <v>4033</v>
      </c>
      <c r="F4" t="s">
        <v>2298</v>
      </c>
      <c r="G4" t="s">
        <v>2299</v>
      </c>
      <c r="M4" s="28" t="s">
        <v>82</v>
      </c>
      <c r="N4" s="29">
        <v>2</v>
      </c>
      <c r="O4" s="29"/>
      <c r="P4" s="29">
        <v>2</v>
      </c>
    </row>
    <row r="5" spans="2:25" x14ac:dyDescent="0.2">
      <c r="B5" s="28" t="s">
        <v>461</v>
      </c>
      <c r="C5" s="29"/>
      <c r="D5" s="29">
        <v>7</v>
      </c>
      <c r="E5" s="29">
        <v>2</v>
      </c>
      <c r="F5" s="29"/>
      <c r="G5" s="29">
        <v>9</v>
      </c>
      <c r="M5" s="28" t="s">
        <v>3956</v>
      </c>
      <c r="N5" s="29">
        <v>1</v>
      </c>
      <c r="O5" s="29"/>
      <c r="P5" s="29">
        <v>1</v>
      </c>
    </row>
    <row r="6" spans="2:25" x14ac:dyDescent="0.2">
      <c r="B6" s="28" t="s">
        <v>2118</v>
      </c>
      <c r="C6" s="29"/>
      <c r="D6" s="29"/>
      <c r="E6" s="29">
        <v>1</v>
      </c>
      <c r="F6" s="29"/>
      <c r="G6" s="29">
        <v>1</v>
      </c>
      <c r="M6" s="28" t="s">
        <v>2264</v>
      </c>
      <c r="N6" s="29">
        <v>1</v>
      </c>
      <c r="O6" s="29"/>
      <c r="P6" s="29">
        <v>1</v>
      </c>
      <c r="U6" s="170" t="s">
        <v>5086</v>
      </c>
      <c r="V6" s="170" t="s">
        <v>4715</v>
      </c>
      <c r="W6" s="170" t="s">
        <v>5068</v>
      </c>
      <c r="X6" s="170" t="s">
        <v>4716</v>
      </c>
      <c r="Y6" s="170" t="s">
        <v>5083</v>
      </c>
    </row>
    <row r="7" spans="2:25" x14ac:dyDescent="0.2">
      <c r="B7" s="28" t="s">
        <v>2125</v>
      </c>
      <c r="C7" s="29"/>
      <c r="D7" s="29">
        <v>18</v>
      </c>
      <c r="E7" s="29">
        <v>57</v>
      </c>
      <c r="F7" s="29"/>
      <c r="G7" s="29">
        <v>75</v>
      </c>
      <c r="M7" s="28" t="s">
        <v>2125</v>
      </c>
      <c r="N7" s="29">
        <v>1</v>
      </c>
      <c r="O7" s="29"/>
      <c r="P7" s="29">
        <v>1</v>
      </c>
      <c r="U7" s="186" t="s">
        <v>4702</v>
      </c>
      <c r="V7" s="188">
        <v>103</v>
      </c>
      <c r="W7" s="185">
        <f t="shared" ref="W7:W40" si="0">V7/461</f>
        <v>0.22342733188720174</v>
      </c>
      <c r="X7" s="188">
        <v>51</v>
      </c>
      <c r="Y7" s="187">
        <f>X7/248</f>
        <v>0.20564516129032259</v>
      </c>
    </row>
    <row r="8" spans="2:25" x14ac:dyDescent="0.2">
      <c r="B8" s="28" t="s">
        <v>191</v>
      </c>
      <c r="C8" s="29">
        <v>1</v>
      </c>
      <c r="D8" s="29"/>
      <c r="E8" s="29"/>
      <c r="F8" s="29"/>
      <c r="G8" s="29">
        <v>1</v>
      </c>
      <c r="M8" s="28" t="s">
        <v>3957</v>
      </c>
      <c r="N8" s="29">
        <v>1</v>
      </c>
      <c r="O8" s="29"/>
      <c r="P8" s="29">
        <v>1</v>
      </c>
      <c r="U8" s="158" t="s">
        <v>5070</v>
      </c>
      <c r="V8" s="156">
        <f>SUM(GETPIVOTDATA("Number of food acquisition successes ",$M$2,"Food item","Animal flesh (Hare skull)")+GETPIVOTDATA("Number of food acquisition successes ",$M$2,"Food item","Animal flesh (Snowshoe hare)")+GETPIVOTDATA("Number of food acquisition successes ",$M$27,"Food item","Animal flesh (snowshoe hare)")+GETPIVOTDATA("Number of food acquisition successes ",$B$3,"Food item","Animal flesh (Snowshoe hare)"))</f>
        <v>83</v>
      </c>
      <c r="W8" s="159">
        <f t="shared" si="0"/>
        <v>0.18004338394793926</v>
      </c>
      <c r="X8" s="156">
        <v>44</v>
      </c>
      <c r="Y8" s="160">
        <f t="shared" ref="Y8:Y40" si="1">X8/248</f>
        <v>0.17741935483870969</v>
      </c>
    </row>
    <row r="9" spans="2:25" x14ac:dyDescent="0.2">
      <c r="B9" s="28" t="s">
        <v>14</v>
      </c>
      <c r="C9" s="29"/>
      <c r="D9" s="29">
        <v>6</v>
      </c>
      <c r="E9" s="29">
        <v>7</v>
      </c>
      <c r="F9" s="29"/>
      <c r="G9" s="29">
        <v>13</v>
      </c>
      <c r="M9" s="28" t="s">
        <v>14</v>
      </c>
      <c r="N9" s="29">
        <v>2</v>
      </c>
      <c r="O9" s="29"/>
      <c r="P9" s="29">
        <v>2</v>
      </c>
      <c r="U9" s="161" t="s">
        <v>5071</v>
      </c>
      <c r="V9" s="156">
        <f>GETPIVOTDATA("Number of food acquisition successes ",$B$3,"Food item","Animal flesh (Piece of vole)")+GETPIVOTDATA("Number of food acquisition successes ",$M$2,"Food item","Animal flesh (vole)")</f>
        <v>2</v>
      </c>
      <c r="W9" s="163">
        <f t="shared" si="0"/>
        <v>4.3383947939262474E-3</v>
      </c>
      <c r="X9" s="156">
        <v>2</v>
      </c>
      <c r="Y9" s="164">
        <f t="shared" si="1"/>
        <v>8.0645161290322578E-3</v>
      </c>
    </row>
    <row r="10" spans="2:25" x14ac:dyDescent="0.2">
      <c r="B10" s="28" t="s">
        <v>2143</v>
      </c>
      <c r="C10" s="29"/>
      <c r="D10" s="29">
        <v>1</v>
      </c>
      <c r="E10" s="29"/>
      <c r="F10" s="29"/>
      <c r="G10" s="29">
        <v>1</v>
      </c>
      <c r="M10" s="28" t="s">
        <v>3958</v>
      </c>
      <c r="N10" s="29">
        <v>0</v>
      </c>
      <c r="O10" s="29"/>
      <c r="P10" s="29">
        <v>0</v>
      </c>
      <c r="U10" s="186" t="s">
        <v>1342</v>
      </c>
      <c r="V10" s="189">
        <v>131</v>
      </c>
      <c r="W10" s="185">
        <f t="shared" si="0"/>
        <v>0.2841648590021692</v>
      </c>
      <c r="X10" s="189">
        <v>60</v>
      </c>
      <c r="Y10" s="187">
        <f t="shared" si="1"/>
        <v>0.24193548387096775</v>
      </c>
    </row>
    <row r="11" spans="2:25" x14ac:dyDescent="0.2">
      <c r="B11" s="28" t="s">
        <v>2128</v>
      </c>
      <c r="C11" s="29">
        <v>5</v>
      </c>
      <c r="D11" s="29">
        <v>17</v>
      </c>
      <c r="E11" s="29">
        <v>36</v>
      </c>
      <c r="F11" s="29"/>
      <c r="G11" s="29">
        <v>58</v>
      </c>
      <c r="M11" s="28" t="s">
        <v>2179</v>
      </c>
      <c r="N11" s="29">
        <v>1</v>
      </c>
      <c r="O11" s="29"/>
      <c r="P11" s="29">
        <v>1</v>
      </c>
      <c r="U11" s="158" t="s">
        <v>5072</v>
      </c>
      <c r="V11" s="156">
        <f>SUM(GETPIVOTDATA("Number of food acquisition successes ",$M$27,"Food item","Berry (3 bluberries, 1 crowberry)")+GETPIVOTDATA("Number of food acquisition successes ",$B$3,"Food item","Berry (Blueberry)")+GETPIVOTDATA("Number of food acquisition successes ",$B$3,"Food item","Berry (blueberries_"))</f>
        <v>60</v>
      </c>
      <c r="W11" s="159">
        <f t="shared" si="0"/>
        <v>0.13015184381778741</v>
      </c>
      <c r="X11" s="156">
        <v>39</v>
      </c>
      <c r="Y11" s="160">
        <f t="shared" si="1"/>
        <v>0.15725806451612903</v>
      </c>
    </row>
    <row r="12" spans="2:25" x14ac:dyDescent="0.2">
      <c r="B12" s="28" t="s">
        <v>2129</v>
      </c>
      <c r="C12" s="29"/>
      <c r="D12" s="29"/>
      <c r="E12" s="29">
        <v>1</v>
      </c>
      <c r="F12" s="29"/>
      <c r="G12" s="29">
        <v>1</v>
      </c>
      <c r="M12" s="28" t="s">
        <v>115</v>
      </c>
      <c r="N12" s="29">
        <v>0</v>
      </c>
      <c r="O12" s="29"/>
      <c r="P12" s="29">
        <v>0</v>
      </c>
      <c r="U12" s="165" t="s">
        <v>5073</v>
      </c>
      <c r="V12" s="156">
        <f>SUM(GETPIVOTDATA("Number of food acquisition successes ",$M$27,"Food item","Berries (Cranberries; 4)")+GETPIVOTDATA("Number of food acquisition successes ",$M$27,"Food item","Berry (2 Cranberries)")+GETPIVOTDATA("Number of food acquisition successes ",$M$27,"Food item","Berry (2- cranberry)")+GETPIVOTDATA("Number of food acquisition successes ",$M$27,"Food item","Berry (3- cranberry)")+GETPIVOTDATA("Number of food acquisition successes ",$M$27,"Food item","Berry (cranberry)")+GETPIVOTDATA("Number of food acquisition successes ",$B$3,"Food item","Berry (Cranberry)"))</f>
        <v>11</v>
      </c>
      <c r="W12" s="157">
        <f t="shared" si="0"/>
        <v>2.3861171366594359E-2</v>
      </c>
      <c r="X12" s="156">
        <v>8</v>
      </c>
      <c r="Y12" s="166">
        <f t="shared" si="1"/>
        <v>3.2258064516129031E-2</v>
      </c>
    </row>
    <row r="13" spans="2:25" x14ac:dyDescent="0.2">
      <c r="B13" s="28" t="s">
        <v>2110</v>
      </c>
      <c r="C13" s="29"/>
      <c r="D13" s="29"/>
      <c r="E13" s="29">
        <v>2</v>
      </c>
      <c r="F13" s="29"/>
      <c r="G13" s="29">
        <v>2</v>
      </c>
      <c r="M13" s="28" t="s">
        <v>2213</v>
      </c>
      <c r="N13" s="29">
        <v>0</v>
      </c>
      <c r="O13" s="29"/>
      <c r="P13" s="29">
        <v>0</v>
      </c>
      <c r="U13" s="165" t="s">
        <v>5074</v>
      </c>
      <c r="V13" s="156">
        <f>SUM(GETPIVOTDATA("Number of food acquisition successes ",$M$27,"Food item","Berry (crowberry)")+GETPIVOTDATA("Number of food acquisition successes ",$M$27,"Food item","Berry (2-crowberries)"))</f>
        <v>4</v>
      </c>
      <c r="W13" s="157">
        <f t="shared" si="0"/>
        <v>8.6767895878524948E-3</v>
      </c>
      <c r="X13" s="156">
        <v>0</v>
      </c>
      <c r="Y13" s="166">
        <f t="shared" si="1"/>
        <v>0</v>
      </c>
    </row>
    <row r="14" spans="2:25" x14ac:dyDescent="0.2">
      <c r="B14" s="28" t="s">
        <v>2131</v>
      </c>
      <c r="C14" s="29"/>
      <c r="D14" s="29"/>
      <c r="E14" s="29">
        <v>1</v>
      </c>
      <c r="F14" s="29"/>
      <c r="G14" s="29">
        <v>1</v>
      </c>
      <c r="M14" s="28" t="s">
        <v>2331</v>
      </c>
      <c r="N14" s="29">
        <v>1</v>
      </c>
      <c r="O14" s="29"/>
      <c r="P14" s="29">
        <v>1</v>
      </c>
      <c r="U14" s="165" t="s">
        <v>5075</v>
      </c>
      <c r="V14" s="156">
        <f>SUM(GETPIVOTDATA("Number of food acquisition successes ",$B$3,"Food item","Berry (Pumpkin berry)"))</f>
        <v>1</v>
      </c>
      <c r="W14" s="157">
        <f t="shared" si="0"/>
        <v>2.1691973969631237E-3</v>
      </c>
      <c r="X14" s="156">
        <v>0</v>
      </c>
      <c r="Y14" s="166">
        <f t="shared" si="1"/>
        <v>0</v>
      </c>
    </row>
    <row r="15" spans="2:25" x14ac:dyDescent="0.2">
      <c r="B15" s="28" t="s">
        <v>2123</v>
      </c>
      <c r="C15" s="29"/>
      <c r="D15" s="29"/>
      <c r="E15" s="29">
        <v>0</v>
      </c>
      <c r="F15" s="29"/>
      <c r="G15" s="29">
        <v>0</v>
      </c>
      <c r="M15" s="28" t="s">
        <v>2255</v>
      </c>
      <c r="N15" s="29">
        <v>1</v>
      </c>
      <c r="O15" s="29"/>
      <c r="P15" s="29">
        <v>1</v>
      </c>
      <c r="U15" s="161" t="s">
        <v>5076</v>
      </c>
      <c r="V15" s="156">
        <f>SUM(GETPIVOTDATA("Number of food acquisition successes ",$B$3,"Food item","Berry (Soapberry)"))</f>
        <v>6</v>
      </c>
      <c r="W15" s="163">
        <f t="shared" si="0"/>
        <v>1.3015184381778741E-2</v>
      </c>
      <c r="X15" s="156">
        <v>3</v>
      </c>
      <c r="Y15" s="164">
        <f t="shared" si="1"/>
        <v>1.2096774193548387E-2</v>
      </c>
    </row>
    <row r="16" spans="2:25" x14ac:dyDescent="0.2">
      <c r="B16" s="28" t="s">
        <v>2130</v>
      </c>
      <c r="C16" s="29"/>
      <c r="D16" s="29">
        <v>4</v>
      </c>
      <c r="E16" s="29">
        <v>2</v>
      </c>
      <c r="F16" s="29"/>
      <c r="G16" s="29">
        <v>6</v>
      </c>
      <c r="M16" s="28" t="s">
        <v>2329</v>
      </c>
      <c r="N16" s="29">
        <v>1</v>
      </c>
      <c r="O16" s="29"/>
      <c r="P16" s="29">
        <v>1</v>
      </c>
      <c r="U16" s="186" t="s">
        <v>1618</v>
      </c>
      <c r="V16" s="189">
        <v>26</v>
      </c>
      <c r="W16" s="185">
        <f t="shared" si="0"/>
        <v>5.6399132321041212E-2</v>
      </c>
      <c r="X16" s="189">
        <v>42</v>
      </c>
      <c r="Y16" s="187">
        <f t="shared" si="1"/>
        <v>0.16935483870967741</v>
      </c>
    </row>
    <row r="17" spans="2:25" x14ac:dyDescent="0.2">
      <c r="B17" s="28" t="s">
        <v>1618</v>
      </c>
      <c r="C17" s="29"/>
      <c r="D17" s="29">
        <v>7</v>
      </c>
      <c r="E17" s="29">
        <v>1</v>
      </c>
      <c r="F17" s="29"/>
      <c r="G17" s="29">
        <v>8</v>
      </c>
      <c r="M17" s="28" t="s">
        <v>24</v>
      </c>
      <c r="N17" s="29">
        <v>28</v>
      </c>
      <c r="O17" s="29"/>
      <c r="P17" s="29">
        <v>28</v>
      </c>
      <c r="U17" s="158" t="s">
        <v>764</v>
      </c>
      <c r="V17" s="156">
        <f>GETPIVOTDATA("Number of food acquisition successes ",$M$27,"Food item","Human food (Bread)")+GETPIVOTDATA("Number of food acquisition successes ",$M$27,"Food item","Bread")+GETPIVOTDATA("Number of food acquisition successes ",$B$3,"Food item","Human food (Bread)")</f>
        <v>7</v>
      </c>
      <c r="W17" s="159">
        <f t="shared" si="0"/>
        <v>1.5184381778741865E-2</v>
      </c>
      <c r="X17" s="156">
        <v>6</v>
      </c>
      <c r="Y17" s="160">
        <f t="shared" si="1"/>
        <v>2.4193548387096774E-2</v>
      </c>
    </row>
    <row r="18" spans="2:25" x14ac:dyDescent="0.2">
      <c r="B18" s="28" t="s">
        <v>2132</v>
      </c>
      <c r="C18" s="29"/>
      <c r="D18" s="29">
        <v>5</v>
      </c>
      <c r="E18" s="29"/>
      <c r="F18" s="29"/>
      <c r="G18" s="29">
        <v>5</v>
      </c>
      <c r="M18" s="28" t="s">
        <v>62</v>
      </c>
      <c r="N18" s="29">
        <v>2</v>
      </c>
      <c r="O18" s="29"/>
      <c r="P18" s="29">
        <v>2</v>
      </c>
      <c r="U18" s="165" t="s">
        <v>4704</v>
      </c>
      <c r="V18" s="156">
        <f>GETPIVOTDATA("Number of food acquisition successes ",$B$3,"Food item","Human food (French fry)")</f>
        <v>2</v>
      </c>
      <c r="W18" s="157">
        <f t="shared" si="0"/>
        <v>4.3383947939262474E-3</v>
      </c>
      <c r="X18" s="156">
        <v>4</v>
      </c>
      <c r="Y18" s="166">
        <f t="shared" si="1"/>
        <v>1.6129032258064516E-2</v>
      </c>
    </row>
    <row r="19" spans="2:25" x14ac:dyDescent="0.2">
      <c r="B19" s="28" t="s">
        <v>2134</v>
      </c>
      <c r="C19" s="29"/>
      <c r="D19" s="29"/>
      <c r="E19" s="29">
        <v>1</v>
      </c>
      <c r="F19" s="29"/>
      <c r="G19" s="29">
        <v>1</v>
      </c>
      <c r="M19" s="28" t="s">
        <v>2218</v>
      </c>
      <c r="N19" s="29">
        <v>1</v>
      </c>
      <c r="O19" s="29"/>
      <c r="P19" s="29">
        <v>1</v>
      </c>
      <c r="U19" s="165" t="s">
        <v>4703</v>
      </c>
      <c r="V19" s="156">
        <f>GETPIVOTDATA("Number of food acquisition successes ",$B$3,"Food item","Human food (orange peel)")</f>
        <v>1</v>
      </c>
      <c r="W19" s="157">
        <f t="shared" si="0"/>
        <v>2.1691973969631237E-3</v>
      </c>
      <c r="X19" s="156">
        <v>1</v>
      </c>
      <c r="Y19" s="166">
        <f t="shared" si="1"/>
        <v>4.0322580645161289E-3</v>
      </c>
    </row>
    <row r="20" spans="2:25" x14ac:dyDescent="0.2">
      <c r="B20" s="28" t="s">
        <v>2112</v>
      </c>
      <c r="C20" s="29"/>
      <c r="D20" s="29">
        <v>2</v>
      </c>
      <c r="E20" s="29"/>
      <c r="F20" s="29"/>
      <c r="G20" s="29">
        <v>2</v>
      </c>
      <c r="M20" s="28" t="s">
        <v>78</v>
      </c>
      <c r="N20" s="29">
        <v>1</v>
      </c>
      <c r="O20" s="29"/>
      <c r="P20" s="29">
        <v>1</v>
      </c>
      <c r="U20" s="165" t="s">
        <v>4705</v>
      </c>
      <c r="V20" s="156">
        <f>GETPIVOTDATA("Number of food acquisition successes ",$B$3,"Food item","Human food, probably sausage")</f>
        <v>1</v>
      </c>
      <c r="W20" s="157">
        <f t="shared" si="0"/>
        <v>2.1691973969631237E-3</v>
      </c>
      <c r="X20" s="156">
        <v>2</v>
      </c>
      <c r="Y20" s="166">
        <f t="shared" si="1"/>
        <v>8.0645161290322578E-3</v>
      </c>
    </row>
    <row r="21" spans="2:25" x14ac:dyDescent="0.2">
      <c r="B21" s="28" t="s">
        <v>2137</v>
      </c>
      <c r="C21" s="29"/>
      <c r="D21" s="29">
        <v>0</v>
      </c>
      <c r="E21" s="29"/>
      <c r="F21" s="29"/>
      <c r="G21" s="29">
        <v>0</v>
      </c>
      <c r="M21" s="28" t="s">
        <v>2298</v>
      </c>
      <c r="N21" s="29"/>
      <c r="O21" s="29"/>
      <c r="P21" s="29"/>
      <c r="U21" s="161" t="s">
        <v>4710</v>
      </c>
      <c r="V21" s="156">
        <f>GETPIVOTDATA("Number of food acquisition successes ",$K$89,"Food item","Pretzels")</f>
        <v>1</v>
      </c>
      <c r="W21" s="163">
        <f t="shared" si="0"/>
        <v>2.1691973969631237E-3</v>
      </c>
      <c r="X21" s="156">
        <v>1</v>
      </c>
      <c r="Y21" s="164">
        <f t="shared" si="1"/>
        <v>4.0322580645161289E-3</v>
      </c>
    </row>
    <row r="22" spans="2:25" x14ac:dyDescent="0.2">
      <c r="B22" s="28" t="s">
        <v>4011</v>
      </c>
      <c r="C22" s="29"/>
      <c r="D22" s="29">
        <v>1</v>
      </c>
      <c r="E22" s="29"/>
      <c r="F22" s="29"/>
      <c r="G22" s="29">
        <v>1</v>
      </c>
      <c r="M22" s="28" t="s">
        <v>2299</v>
      </c>
      <c r="N22" s="29">
        <v>44</v>
      </c>
      <c r="O22" s="29"/>
      <c r="P22" s="29">
        <v>44</v>
      </c>
      <c r="U22" s="186" t="s">
        <v>5122</v>
      </c>
      <c r="V22" s="189">
        <v>121</v>
      </c>
      <c r="W22" s="185">
        <f t="shared" si="0"/>
        <v>0.26247288503253796</v>
      </c>
      <c r="X22" s="189">
        <v>53</v>
      </c>
      <c r="Y22" s="187">
        <f t="shared" si="1"/>
        <v>0.21370967741935484</v>
      </c>
    </row>
    <row r="23" spans="2:25" x14ac:dyDescent="0.2">
      <c r="B23" s="28" t="s">
        <v>2135</v>
      </c>
      <c r="C23" s="29"/>
      <c r="D23" s="29">
        <v>1</v>
      </c>
      <c r="E23" s="29"/>
      <c r="F23" s="29"/>
      <c r="G23" s="29">
        <v>1</v>
      </c>
      <c r="U23" s="168" t="s">
        <v>5069</v>
      </c>
      <c r="V23" s="156">
        <f>GETPIVOTDATA("Number of food acquisition successes ",$M$27,"Food item","Insect (Balck caterpiller)")+GETPIVOTDATA("Number of food acquisition successes ",$M$27,"Food item","Insect (Black caterpiller)")+GETPIVOTDATA("Number of food acquisition successes ",$M$27,"Food item","Insect (small Black caterpiller)")</f>
        <v>25</v>
      </c>
      <c r="W23" s="159">
        <f t="shared" si="0"/>
        <v>5.4229934924078092E-2</v>
      </c>
      <c r="X23" s="156">
        <v>16</v>
      </c>
      <c r="Y23" s="160">
        <f t="shared" si="1"/>
        <v>6.4516129032258063E-2</v>
      </c>
    </row>
    <row r="24" spans="2:25" x14ac:dyDescent="0.2">
      <c r="B24" s="28" t="s">
        <v>2136</v>
      </c>
      <c r="C24" s="29"/>
      <c r="D24" s="29">
        <v>2</v>
      </c>
      <c r="E24" s="29"/>
      <c r="F24" s="29"/>
      <c r="G24" s="29">
        <v>2</v>
      </c>
      <c r="U24" s="165" t="s">
        <v>2741</v>
      </c>
      <c r="V24" s="156">
        <v>2</v>
      </c>
      <c r="W24" s="157">
        <f t="shared" si="0"/>
        <v>4.3383947939262474E-3</v>
      </c>
      <c r="X24" s="156">
        <v>3</v>
      </c>
      <c r="Y24" s="166">
        <f t="shared" si="1"/>
        <v>1.2096774193548387E-2</v>
      </c>
    </row>
    <row r="25" spans="2:25" x14ac:dyDescent="0.2">
      <c r="B25" s="28" t="s">
        <v>598</v>
      </c>
      <c r="C25" s="29"/>
      <c r="D25" s="29">
        <v>2</v>
      </c>
      <c r="E25" s="29">
        <v>2</v>
      </c>
      <c r="F25" s="29"/>
      <c r="G25" s="29">
        <v>4</v>
      </c>
      <c r="U25" s="165" t="s">
        <v>4463</v>
      </c>
      <c r="V25" s="156">
        <f>GETPIVOTDATA("Number of food acquisition successes ",$B$3,"Food item","Insect (slug)")+GETPIVOTDATA("Number of food acquisition successes ",$K$89,"Food item","Slug")</f>
        <v>6</v>
      </c>
      <c r="W25" s="157">
        <f t="shared" si="0"/>
        <v>1.3015184381778741E-2</v>
      </c>
      <c r="X25" s="156">
        <v>3</v>
      </c>
      <c r="Y25" s="166">
        <f t="shared" si="1"/>
        <v>1.2096774193548387E-2</v>
      </c>
    </row>
    <row r="26" spans="2:25" x14ac:dyDescent="0.2">
      <c r="B26" s="28" t="s">
        <v>2106</v>
      </c>
      <c r="C26" s="29"/>
      <c r="D26" s="29">
        <v>1</v>
      </c>
      <c r="E26" s="29"/>
      <c r="F26" s="29"/>
      <c r="G26" s="29">
        <v>1</v>
      </c>
      <c r="M26" s="26" t="s">
        <v>4686</v>
      </c>
      <c r="U26" s="165" t="s">
        <v>4707</v>
      </c>
      <c r="V26" s="156">
        <f>SUM(GETPIVOTDATA("Number of food acquisition successes ",$B$3,"Food item","Insect (Moth)"))</f>
        <v>1</v>
      </c>
      <c r="W26" s="157">
        <f t="shared" si="0"/>
        <v>2.1691973969631237E-3</v>
      </c>
      <c r="X26" s="156">
        <v>0</v>
      </c>
      <c r="Y26" s="166">
        <f t="shared" si="1"/>
        <v>0</v>
      </c>
    </row>
    <row r="27" spans="2:25" x14ac:dyDescent="0.2">
      <c r="B27" s="28" t="s">
        <v>2107</v>
      </c>
      <c r="C27" s="29"/>
      <c r="D27" s="29"/>
      <c r="E27" s="29">
        <v>2</v>
      </c>
      <c r="F27" s="29"/>
      <c r="G27" s="29">
        <v>2</v>
      </c>
      <c r="M27" s="27" t="s">
        <v>4685</v>
      </c>
      <c r="N27" s="27" t="s">
        <v>4689</v>
      </c>
      <c r="U27" s="165" t="s">
        <v>5082</v>
      </c>
      <c r="V27" s="156">
        <v>61</v>
      </c>
      <c r="W27" s="157">
        <f t="shared" si="0"/>
        <v>0.13232104121475055</v>
      </c>
      <c r="X27" s="156">
        <v>18</v>
      </c>
      <c r="Y27" s="166">
        <f t="shared" si="1"/>
        <v>7.2580645161290328E-2</v>
      </c>
    </row>
    <row r="28" spans="2:25" x14ac:dyDescent="0.2">
      <c r="B28" s="28" t="s">
        <v>2109</v>
      </c>
      <c r="C28" s="29"/>
      <c r="D28" s="29">
        <v>3</v>
      </c>
      <c r="E28" s="29"/>
      <c r="F28" s="29"/>
      <c r="G28" s="29">
        <v>3</v>
      </c>
      <c r="M28" s="27" t="s">
        <v>2297</v>
      </c>
      <c r="N28" t="s">
        <v>4026</v>
      </c>
      <c r="O28" t="s">
        <v>4027</v>
      </c>
      <c r="P28" t="s">
        <v>4028</v>
      </c>
      <c r="Q28" t="s">
        <v>2298</v>
      </c>
      <c r="R28" t="s">
        <v>2299</v>
      </c>
      <c r="U28" s="165" t="s">
        <v>5077</v>
      </c>
      <c r="V28" s="156">
        <v>1</v>
      </c>
      <c r="W28" s="157">
        <f t="shared" si="0"/>
        <v>2.1691973969631237E-3</v>
      </c>
      <c r="X28" s="156">
        <v>1</v>
      </c>
      <c r="Y28" s="166">
        <f t="shared" si="1"/>
        <v>4.0322580645161289E-3</v>
      </c>
    </row>
    <row r="29" spans="2:25" x14ac:dyDescent="0.2">
      <c r="B29" s="28" t="s">
        <v>2113</v>
      </c>
      <c r="C29" s="29"/>
      <c r="D29" s="29">
        <v>1</v>
      </c>
      <c r="E29" s="29"/>
      <c r="F29" s="29"/>
      <c r="G29" s="29">
        <v>1</v>
      </c>
      <c r="M29" s="28" t="s">
        <v>2605</v>
      </c>
      <c r="N29" s="29">
        <v>2</v>
      </c>
      <c r="O29" s="29">
        <v>4</v>
      </c>
      <c r="P29" s="29"/>
      <c r="Q29" s="29"/>
      <c r="R29" s="29">
        <v>6</v>
      </c>
      <c r="U29" s="165" t="s">
        <v>5067</v>
      </c>
      <c r="V29" s="167">
        <v>1</v>
      </c>
      <c r="W29" s="157">
        <f t="shared" si="0"/>
        <v>2.1691973969631237E-3</v>
      </c>
      <c r="X29" s="156">
        <v>0</v>
      </c>
      <c r="Y29" s="166">
        <f t="shared" si="1"/>
        <v>0</v>
      </c>
    </row>
    <row r="30" spans="2:25" x14ac:dyDescent="0.2">
      <c r="B30" s="28" t="s">
        <v>2108</v>
      </c>
      <c r="C30" s="29"/>
      <c r="D30" s="29">
        <v>10</v>
      </c>
      <c r="E30" s="29"/>
      <c r="F30" s="29"/>
      <c r="G30" s="29">
        <v>10</v>
      </c>
      <c r="M30" s="28" t="s">
        <v>3071</v>
      </c>
      <c r="N30" s="29"/>
      <c r="O30" s="29">
        <v>1</v>
      </c>
      <c r="P30" s="29"/>
      <c r="Q30" s="29"/>
      <c r="R30" s="29">
        <v>1</v>
      </c>
      <c r="U30" s="161" t="s">
        <v>4709</v>
      </c>
      <c r="V30" s="156">
        <f>SUM(GETPIVOTDATA("Number of food acquisition successes ",$K$89,"Food item","Snail"))</f>
        <v>3</v>
      </c>
      <c r="W30" s="163">
        <f t="shared" si="0"/>
        <v>6.5075921908893707E-3</v>
      </c>
      <c r="X30" s="156">
        <v>4</v>
      </c>
      <c r="Y30" s="164">
        <f t="shared" si="1"/>
        <v>1.6129032258064516E-2</v>
      </c>
    </row>
    <row r="31" spans="2:25" x14ac:dyDescent="0.2">
      <c r="B31" s="28" t="s">
        <v>2114</v>
      </c>
      <c r="C31" s="29">
        <v>1</v>
      </c>
      <c r="D31" s="29"/>
      <c r="E31" s="29"/>
      <c r="F31" s="29"/>
      <c r="G31" s="29">
        <v>1</v>
      </c>
      <c r="M31" s="28" t="s">
        <v>2582</v>
      </c>
      <c r="N31" s="29">
        <v>1</v>
      </c>
      <c r="O31" s="29"/>
      <c r="P31" s="29"/>
      <c r="Q31" s="29"/>
      <c r="R31" s="29">
        <v>1</v>
      </c>
      <c r="U31" s="186" t="s">
        <v>4708</v>
      </c>
      <c r="V31" s="189">
        <v>70</v>
      </c>
      <c r="W31" s="185">
        <f t="shared" si="0"/>
        <v>0.15184381778741865</v>
      </c>
      <c r="X31" s="189">
        <v>41</v>
      </c>
      <c r="Y31" s="187">
        <f t="shared" si="1"/>
        <v>0.16532258064516128</v>
      </c>
    </row>
    <row r="32" spans="2:25" x14ac:dyDescent="0.2">
      <c r="B32" s="28" t="s">
        <v>2117</v>
      </c>
      <c r="C32" s="29">
        <v>1</v>
      </c>
      <c r="D32" s="29"/>
      <c r="E32" s="29"/>
      <c r="F32" s="29"/>
      <c r="G32" s="29">
        <v>1</v>
      </c>
      <c r="M32" s="28" t="s">
        <v>3250</v>
      </c>
      <c r="N32" s="29"/>
      <c r="O32" s="29">
        <v>1</v>
      </c>
      <c r="P32" s="29"/>
      <c r="Q32" s="29"/>
      <c r="R32" s="29">
        <v>1</v>
      </c>
      <c r="U32" s="169" t="s">
        <v>5078</v>
      </c>
      <c r="V32" s="156">
        <f>GETPIVOTDATA("Number of food acquisition successes ",$B$3,"Food item","Mushroom (amanita)")+GETPIVOTDATA("Number of food acquisition successes ",$K$89,"Food item","Amanita")</f>
        <v>7</v>
      </c>
      <c r="W32" s="159">
        <f t="shared" si="0"/>
        <v>1.5184381778741865E-2</v>
      </c>
      <c r="X32" s="156">
        <v>3</v>
      </c>
      <c r="Y32" s="160">
        <f t="shared" si="1"/>
        <v>1.2096774193548387E-2</v>
      </c>
    </row>
    <row r="33" spans="2:25" x14ac:dyDescent="0.2">
      <c r="B33" s="28" t="s">
        <v>2124</v>
      </c>
      <c r="C33" s="29">
        <v>1</v>
      </c>
      <c r="D33" s="29"/>
      <c r="E33" s="29"/>
      <c r="F33" s="29"/>
      <c r="G33" s="29">
        <v>1</v>
      </c>
      <c r="M33" s="28" t="s">
        <v>14</v>
      </c>
      <c r="N33" s="29">
        <v>10</v>
      </c>
      <c r="O33" s="29">
        <v>9</v>
      </c>
      <c r="P33" s="29"/>
      <c r="Q33" s="29"/>
      <c r="R33" s="29">
        <v>19</v>
      </c>
      <c r="U33" s="165" t="s">
        <v>5079</v>
      </c>
      <c r="V33" s="156">
        <f>GETPIVOTDATA("Number of food acquisition successes ",$B$3,"Food item","Mushroom (Bolet)")+GETPIVOTDATA("Number of food acquisition successes ",$K$89,"Food item","Bolete mushroom")</f>
        <v>19</v>
      </c>
      <c r="W33" s="157">
        <f t="shared" si="0"/>
        <v>4.1214750542299353E-2</v>
      </c>
      <c r="X33" s="156">
        <v>15</v>
      </c>
      <c r="Y33" s="166">
        <f t="shared" si="1"/>
        <v>6.0483870967741937E-2</v>
      </c>
    </row>
    <row r="34" spans="2:25" x14ac:dyDescent="0.2">
      <c r="B34" s="28" t="s">
        <v>2127</v>
      </c>
      <c r="C34" s="29"/>
      <c r="D34" s="29">
        <v>1</v>
      </c>
      <c r="E34" s="29"/>
      <c r="F34" s="29"/>
      <c r="G34" s="29">
        <v>1</v>
      </c>
      <c r="M34" s="28" t="s">
        <v>3279</v>
      </c>
      <c r="N34" s="29"/>
      <c r="O34" s="29">
        <v>2</v>
      </c>
      <c r="P34" s="29"/>
      <c r="Q34" s="29"/>
      <c r="R34" s="29">
        <v>2</v>
      </c>
      <c r="U34" s="161" t="s">
        <v>5080</v>
      </c>
      <c r="V34" s="156">
        <f>GETPIVOTDATA("Number of food acquisition successes ",$B$3,"Food item","Mushroom (puffball)")</f>
        <v>1</v>
      </c>
      <c r="W34" s="163">
        <f t="shared" si="0"/>
        <v>2.1691973969631237E-3</v>
      </c>
      <c r="X34" s="156">
        <v>6</v>
      </c>
      <c r="Y34" s="164">
        <f t="shared" si="1"/>
        <v>2.4193548387096774E-2</v>
      </c>
    </row>
    <row r="35" spans="2:25" x14ac:dyDescent="0.2">
      <c r="B35" s="28" t="s">
        <v>1012</v>
      </c>
      <c r="C35" s="29"/>
      <c r="D35" s="29">
        <v>3</v>
      </c>
      <c r="E35" s="29">
        <v>3</v>
      </c>
      <c r="F35" s="29"/>
      <c r="G35" s="29">
        <v>6</v>
      </c>
      <c r="M35" s="28" t="s">
        <v>3139</v>
      </c>
      <c r="N35" s="29"/>
      <c r="O35" s="29">
        <v>1</v>
      </c>
      <c r="P35" s="29"/>
      <c r="Q35" s="29"/>
      <c r="R35" s="29">
        <v>1</v>
      </c>
      <c r="U35" s="186" t="s">
        <v>3955</v>
      </c>
      <c r="V35" s="189">
        <v>11</v>
      </c>
      <c r="W35" s="185">
        <f t="shared" si="0"/>
        <v>2.3861171366594359E-2</v>
      </c>
      <c r="X35" s="189">
        <v>1</v>
      </c>
      <c r="Y35" s="187">
        <f t="shared" si="1"/>
        <v>4.0322580645161289E-3</v>
      </c>
    </row>
    <row r="36" spans="2:25" x14ac:dyDescent="0.2">
      <c r="B36" s="28" t="s">
        <v>1039</v>
      </c>
      <c r="C36" s="29"/>
      <c r="D36" s="29">
        <v>1</v>
      </c>
      <c r="E36" s="29"/>
      <c r="F36" s="29"/>
      <c r="G36" s="29">
        <v>1</v>
      </c>
      <c r="M36" s="28" t="s">
        <v>2465</v>
      </c>
      <c r="N36" s="29">
        <v>1</v>
      </c>
      <c r="O36" s="29"/>
      <c r="P36" s="29"/>
      <c r="Q36" s="29"/>
      <c r="R36" s="29">
        <v>1</v>
      </c>
      <c r="U36" s="158" t="s">
        <v>360</v>
      </c>
      <c r="V36" s="156">
        <f>GETPIVOTDATA("Number of food acquisition successes ",$B$3,"Food item","Toilet paper")+GETPIVOTDATA("Number of food acquisition successes ",$M$2,"Food item","Toilet Paper")</f>
        <v>2</v>
      </c>
      <c r="W36" s="159">
        <f t="shared" si="0"/>
        <v>4.3383947939262474E-3</v>
      </c>
      <c r="X36" s="156">
        <v>1</v>
      </c>
      <c r="Y36" s="160">
        <f t="shared" si="1"/>
        <v>4.0322580645161289E-3</v>
      </c>
    </row>
    <row r="37" spans="2:25" x14ac:dyDescent="0.2">
      <c r="B37" s="28" t="s">
        <v>112</v>
      </c>
      <c r="C37" s="29">
        <v>6</v>
      </c>
      <c r="D37" s="29">
        <v>15</v>
      </c>
      <c r="E37" s="29"/>
      <c r="F37" s="29"/>
      <c r="G37" s="29">
        <v>21</v>
      </c>
      <c r="M37" s="28" t="s">
        <v>3241</v>
      </c>
      <c r="N37" s="29"/>
      <c r="O37" s="29">
        <v>1</v>
      </c>
      <c r="P37" s="29"/>
      <c r="Q37" s="29"/>
      <c r="R37" s="29">
        <v>1</v>
      </c>
      <c r="U37" s="165" t="s">
        <v>4712</v>
      </c>
      <c r="V37" s="156">
        <f>GETPIVOTDATA("Number of food acquisition successes ",$B$3,"Food item","Slime mold?")+GETPIVOTDATA("Number of food acquisition successes ",$B$3,"Food item","Slime mold? ")</f>
        <v>2</v>
      </c>
      <c r="W37" s="157">
        <f t="shared" si="0"/>
        <v>4.3383947939262474E-3</v>
      </c>
      <c r="X37" s="156">
        <v>0</v>
      </c>
      <c r="Y37" s="166">
        <f t="shared" si="1"/>
        <v>0</v>
      </c>
    </row>
    <row r="38" spans="2:25" x14ac:dyDescent="0.2">
      <c r="B38" s="28" t="s">
        <v>425</v>
      </c>
      <c r="C38" s="29"/>
      <c r="D38" s="29">
        <v>5</v>
      </c>
      <c r="E38" s="29"/>
      <c r="F38" s="29"/>
      <c r="G38" s="29">
        <v>5</v>
      </c>
      <c r="M38" s="28" t="s">
        <v>2472</v>
      </c>
      <c r="N38" s="29">
        <v>1</v>
      </c>
      <c r="O38" s="29"/>
      <c r="P38" s="29"/>
      <c r="Q38" s="29"/>
      <c r="R38" s="29">
        <v>1</v>
      </c>
      <c r="U38" s="165" t="s">
        <v>5081</v>
      </c>
      <c r="V38" s="156">
        <f>GETPIVOTDATA("Number of food acquisition successes ",$M$27,"Food item","Spruce cone")</f>
        <v>1</v>
      </c>
      <c r="W38" s="157">
        <f t="shared" si="0"/>
        <v>2.1691973969631237E-3</v>
      </c>
      <c r="X38" s="156">
        <v>0</v>
      </c>
      <c r="Y38" s="166">
        <f t="shared" si="1"/>
        <v>0</v>
      </c>
    </row>
    <row r="39" spans="2:25" x14ac:dyDescent="0.2">
      <c r="B39" s="28" t="s">
        <v>2138</v>
      </c>
      <c r="C39" s="29"/>
      <c r="D39" s="29">
        <v>1</v>
      </c>
      <c r="E39" s="29"/>
      <c r="F39" s="29"/>
      <c r="G39" s="29">
        <v>1</v>
      </c>
      <c r="M39" s="28" t="s">
        <v>3262</v>
      </c>
      <c r="N39" s="29"/>
      <c r="O39" s="29">
        <v>1</v>
      </c>
      <c r="P39" s="29"/>
      <c r="Q39" s="29"/>
      <c r="R39" s="29">
        <v>1</v>
      </c>
      <c r="U39" s="165" t="s">
        <v>2179</v>
      </c>
      <c r="V39" s="156">
        <f>GETPIVOTDATA("Number of food acquisition successes ",$M$2,"Food item","urine snow")</f>
        <v>1</v>
      </c>
      <c r="W39" s="157">
        <f t="shared" si="0"/>
        <v>2.1691973969631237E-3</v>
      </c>
      <c r="X39" s="156">
        <v>0</v>
      </c>
      <c r="Y39" s="166">
        <f t="shared" si="1"/>
        <v>0</v>
      </c>
    </row>
    <row r="40" spans="2:25" x14ac:dyDescent="0.2">
      <c r="B40" s="28" t="s">
        <v>2111</v>
      </c>
      <c r="C40" s="29"/>
      <c r="D40" s="29"/>
      <c r="E40" s="29">
        <v>1</v>
      </c>
      <c r="F40" s="29"/>
      <c r="G40" s="29">
        <v>1</v>
      </c>
      <c r="M40" s="28" t="s">
        <v>2557</v>
      </c>
      <c r="N40" s="29">
        <v>2</v>
      </c>
      <c r="O40" s="29">
        <v>2</v>
      </c>
      <c r="P40" s="29">
        <v>1</v>
      </c>
      <c r="Q40" s="29"/>
      <c r="R40" s="29">
        <v>5</v>
      </c>
      <c r="U40" s="161" t="s">
        <v>4711</v>
      </c>
      <c r="V40" s="162">
        <v>1</v>
      </c>
      <c r="W40" s="163">
        <f t="shared" si="0"/>
        <v>2.1691973969631237E-3</v>
      </c>
      <c r="X40" s="162">
        <v>0</v>
      </c>
      <c r="Y40" s="164">
        <f t="shared" si="1"/>
        <v>0</v>
      </c>
    </row>
    <row r="41" spans="2:25" x14ac:dyDescent="0.2">
      <c r="B41" s="28" t="s">
        <v>2122</v>
      </c>
      <c r="C41" s="29"/>
      <c r="D41" s="29">
        <v>1</v>
      </c>
      <c r="E41" s="29"/>
      <c r="F41" s="29"/>
      <c r="G41" s="29">
        <v>1</v>
      </c>
      <c r="M41" s="28" t="s">
        <v>2448</v>
      </c>
      <c r="N41" s="29">
        <v>2</v>
      </c>
      <c r="O41" s="29">
        <v>1</v>
      </c>
      <c r="P41" s="29"/>
      <c r="Q41" s="29"/>
      <c r="R41" s="29">
        <v>3</v>
      </c>
      <c r="U41" s="155" t="s">
        <v>5084</v>
      </c>
      <c r="V41" s="154" t="s">
        <v>5102</v>
      </c>
      <c r="W41" s="154"/>
      <c r="X41" s="154" t="s">
        <v>5085</v>
      </c>
      <c r="Y41" s="154"/>
    </row>
    <row r="42" spans="2:25" x14ac:dyDescent="0.2">
      <c r="B42" s="28" t="s">
        <v>115</v>
      </c>
      <c r="C42" s="29">
        <v>0</v>
      </c>
      <c r="D42" s="29">
        <v>0</v>
      </c>
      <c r="E42" s="29">
        <v>0</v>
      </c>
      <c r="F42" s="29"/>
      <c r="G42" s="29">
        <v>0</v>
      </c>
      <c r="M42" s="28" t="s">
        <v>764</v>
      </c>
      <c r="N42" s="29"/>
      <c r="O42" s="29">
        <v>1</v>
      </c>
      <c r="P42" s="29"/>
      <c r="Q42" s="29"/>
      <c r="R42" s="29">
        <v>1</v>
      </c>
    </row>
    <row r="43" spans="2:25" x14ac:dyDescent="0.2">
      <c r="B43" s="28" t="s">
        <v>2049</v>
      </c>
      <c r="C43" s="29">
        <v>1</v>
      </c>
      <c r="D43" s="29"/>
      <c r="E43" s="29"/>
      <c r="F43" s="29"/>
      <c r="G43" s="29">
        <v>1</v>
      </c>
      <c r="M43" s="28" t="s">
        <v>2625</v>
      </c>
      <c r="N43" s="29">
        <v>0</v>
      </c>
      <c r="O43" s="29"/>
      <c r="P43" s="29"/>
      <c r="Q43" s="29"/>
      <c r="R43" s="29">
        <v>0</v>
      </c>
    </row>
    <row r="44" spans="2:25" x14ac:dyDescent="0.2">
      <c r="B44" s="28" t="s">
        <v>2048</v>
      </c>
      <c r="C44" s="29">
        <v>1</v>
      </c>
      <c r="D44" s="29"/>
      <c r="E44" s="29"/>
      <c r="F44" s="29"/>
      <c r="G44" s="29">
        <v>1</v>
      </c>
      <c r="M44" s="28" t="s">
        <v>2132</v>
      </c>
      <c r="N44" s="29"/>
      <c r="O44" s="29">
        <v>1</v>
      </c>
      <c r="P44" s="29"/>
      <c r="Q44" s="29"/>
      <c r="R44" s="29">
        <v>1</v>
      </c>
    </row>
    <row r="45" spans="2:25" x14ac:dyDescent="0.2">
      <c r="B45" s="28" t="s">
        <v>360</v>
      </c>
      <c r="C45" s="29"/>
      <c r="D45" s="29">
        <v>1</v>
      </c>
      <c r="E45" s="29"/>
      <c r="F45" s="29"/>
      <c r="G45" s="29">
        <v>1</v>
      </c>
      <c r="M45" s="28" t="s">
        <v>598</v>
      </c>
      <c r="N45" s="29"/>
      <c r="O45" s="29">
        <v>7</v>
      </c>
      <c r="P45" s="29">
        <v>1</v>
      </c>
      <c r="Q45" s="29"/>
      <c r="R45" s="29">
        <v>8</v>
      </c>
    </row>
    <row r="46" spans="2:25" x14ac:dyDescent="0.2">
      <c r="B46" s="28" t="s">
        <v>176</v>
      </c>
      <c r="C46" s="29">
        <v>12</v>
      </c>
      <c r="D46" s="29">
        <v>95</v>
      </c>
      <c r="E46" s="29">
        <v>120</v>
      </c>
      <c r="F46" s="29"/>
      <c r="G46" s="29">
        <v>227</v>
      </c>
      <c r="M46" s="28" t="s">
        <v>2802</v>
      </c>
      <c r="N46" s="29">
        <v>0</v>
      </c>
      <c r="O46" s="29">
        <v>1</v>
      </c>
      <c r="P46" s="29"/>
      <c r="Q46" s="29"/>
      <c r="R46" s="29">
        <v>1</v>
      </c>
    </row>
    <row r="47" spans="2:25" x14ac:dyDescent="0.2">
      <c r="B47" s="28" t="s">
        <v>1585</v>
      </c>
      <c r="C47" s="29"/>
      <c r="D47" s="29"/>
      <c r="E47" s="29">
        <v>2</v>
      </c>
      <c r="F47" s="29"/>
      <c r="G47" s="29">
        <v>2</v>
      </c>
      <c r="M47" s="28" t="s">
        <v>2801</v>
      </c>
      <c r="N47" s="29">
        <v>1</v>
      </c>
      <c r="O47" s="29">
        <v>19</v>
      </c>
      <c r="P47" s="29">
        <v>3</v>
      </c>
      <c r="Q47" s="29"/>
      <c r="R47" s="29">
        <v>23</v>
      </c>
    </row>
    <row r="48" spans="2:25" x14ac:dyDescent="0.2">
      <c r="B48" s="28" t="s">
        <v>332</v>
      </c>
      <c r="C48" s="29"/>
      <c r="D48" s="29">
        <v>1</v>
      </c>
      <c r="E48" s="29"/>
      <c r="F48" s="29"/>
      <c r="G48" s="29">
        <v>1</v>
      </c>
      <c r="M48" s="28" t="s">
        <v>3794</v>
      </c>
      <c r="N48" s="29"/>
      <c r="O48" s="29"/>
      <c r="P48" s="29">
        <v>1</v>
      </c>
      <c r="Q48" s="29"/>
      <c r="R48" s="29">
        <v>1</v>
      </c>
    </row>
    <row r="49" spans="2:18" x14ac:dyDescent="0.2">
      <c r="B49" s="28" t="s">
        <v>2115</v>
      </c>
      <c r="C49" s="29"/>
      <c r="D49" s="29">
        <v>1</v>
      </c>
      <c r="E49" s="29"/>
      <c r="F49" s="29"/>
      <c r="G49" s="29">
        <v>1</v>
      </c>
      <c r="M49" s="28" t="s">
        <v>2437</v>
      </c>
      <c r="N49" s="29">
        <v>2</v>
      </c>
      <c r="O49" s="29">
        <v>10</v>
      </c>
      <c r="P49" s="29">
        <v>7</v>
      </c>
      <c r="Q49" s="29"/>
      <c r="R49" s="29">
        <v>19</v>
      </c>
    </row>
    <row r="50" spans="2:18" x14ac:dyDescent="0.2">
      <c r="B50" s="28" t="s">
        <v>2116</v>
      </c>
      <c r="C50" s="29"/>
      <c r="D50" s="29"/>
      <c r="E50" s="29">
        <v>1</v>
      </c>
      <c r="F50" s="29"/>
      <c r="G50" s="29">
        <v>1</v>
      </c>
      <c r="M50" s="28" t="s">
        <v>2699</v>
      </c>
      <c r="N50" s="29">
        <v>1</v>
      </c>
      <c r="O50" s="29"/>
      <c r="P50" s="29"/>
      <c r="Q50" s="29"/>
      <c r="R50" s="29">
        <v>1</v>
      </c>
    </row>
    <row r="51" spans="2:18" x14ac:dyDescent="0.2">
      <c r="B51" s="28" t="s">
        <v>2119</v>
      </c>
      <c r="C51" s="29"/>
      <c r="D51" s="29"/>
      <c r="E51" s="29">
        <v>1</v>
      </c>
      <c r="F51" s="29"/>
      <c r="G51" s="29">
        <v>1</v>
      </c>
      <c r="M51" s="28" t="s">
        <v>2455</v>
      </c>
      <c r="N51" s="29">
        <v>1</v>
      </c>
      <c r="O51" s="29"/>
      <c r="P51" s="29"/>
      <c r="Q51" s="29"/>
      <c r="R51" s="29">
        <v>1</v>
      </c>
    </row>
    <row r="52" spans="2:18" x14ac:dyDescent="0.2">
      <c r="B52" s="28" t="s">
        <v>2140</v>
      </c>
      <c r="C52" s="29"/>
      <c r="D52" s="29">
        <v>1</v>
      </c>
      <c r="E52" s="29"/>
      <c r="F52" s="29"/>
      <c r="G52" s="29">
        <v>1</v>
      </c>
      <c r="M52" s="28" t="s">
        <v>2506</v>
      </c>
      <c r="N52" s="29">
        <v>2</v>
      </c>
      <c r="O52" s="29">
        <v>10</v>
      </c>
      <c r="P52" s="29"/>
      <c r="Q52" s="29"/>
      <c r="R52" s="29">
        <v>12</v>
      </c>
    </row>
    <row r="53" spans="2:18" x14ac:dyDescent="0.2">
      <c r="B53" s="28" t="s">
        <v>2120</v>
      </c>
      <c r="C53" s="29"/>
      <c r="D53" s="29">
        <v>2</v>
      </c>
      <c r="E53" s="29"/>
      <c r="F53" s="29"/>
      <c r="G53" s="29">
        <v>2</v>
      </c>
      <c r="M53" s="28" t="s">
        <v>3089</v>
      </c>
      <c r="N53" s="29"/>
      <c r="O53" s="29">
        <v>1</v>
      </c>
      <c r="P53" s="29"/>
      <c r="Q53" s="29"/>
      <c r="R53" s="29">
        <v>1</v>
      </c>
    </row>
    <row r="54" spans="2:18" x14ac:dyDescent="0.2">
      <c r="B54" s="28" t="s">
        <v>746</v>
      </c>
      <c r="C54" s="29"/>
      <c r="D54" s="29">
        <v>1</v>
      </c>
      <c r="E54" s="29"/>
      <c r="F54" s="29"/>
      <c r="G54" s="29">
        <v>1</v>
      </c>
      <c r="M54" s="28" t="s">
        <v>2565</v>
      </c>
      <c r="N54" s="29">
        <v>1</v>
      </c>
      <c r="O54" s="29"/>
      <c r="P54" s="29"/>
      <c r="Q54" s="29"/>
      <c r="R54" s="29">
        <v>1</v>
      </c>
    </row>
    <row r="55" spans="2:18" x14ac:dyDescent="0.2">
      <c r="B55" s="28" t="s">
        <v>2126</v>
      </c>
      <c r="C55" s="29"/>
      <c r="D55" s="29">
        <v>1</v>
      </c>
      <c r="E55" s="29"/>
      <c r="F55" s="29"/>
      <c r="G55" s="29">
        <v>1</v>
      </c>
      <c r="M55" s="28" t="s">
        <v>2377</v>
      </c>
      <c r="N55" s="29">
        <v>2</v>
      </c>
      <c r="O55" s="29"/>
      <c r="P55" s="29"/>
      <c r="Q55" s="29"/>
      <c r="R55" s="29">
        <v>2</v>
      </c>
    </row>
    <row r="56" spans="2:18" x14ac:dyDescent="0.2">
      <c r="B56" s="28" t="s">
        <v>136</v>
      </c>
      <c r="C56" s="29">
        <v>1</v>
      </c>
      <c r="D56" s="29"/>
      <c r="E56" s="29"/>
      <c r="F56" s="29"/>
      <c r="G56" s="29">
        <v>1</v>
      </c>
      <c r="M56" s="28" t="s">
        <v>3100</v>
      </c>
      <c r="N56" s="29"/>
      <c r="O56" s="29">
        <v>0</v>
      </c>
      <c r="P56" s="29"/>
      <c r="Q56" s="29"/>
      <c r="R56" s="29">
        <v>0</v>
      </c>
    </row>
    <row r="57" spans="2:18" x14ac:dyDescent="0.2">
      <c r="B57" s="28" t="s">
        <v>683</v>
      </c>
      <c r="C57" s="29"/>
      <c r="D57" s="29">
        <v>1</v>
      </c>
      <c r="E57" s="29"/>
      <c r="F57" s="29"/>
      <c r="G57" s="29">
        <v>1</v>
      </c>
      <c r="M57" s="28" t="s">
        <v>2466</v>
      </c>
      <c r="N57" s="29">
        <v>1</v>
      </c>
      <c r="O57" s="29">
        <v>1</v>
      </c>
      <c r="P57" s="29"/>
      <c r="Q57" s="29"/>
      <c r="R57" s="29">
        <v>2</v>
      </c>
    </row>
    <row r="58" spans="2:18" x14ac:dyDescent="0.2">
      <c r="B58" s="28" t="s">
        <v>2083</v>
      </c>
      <c r="C58" s="29"/>
      <c r="D58" s="29"/>
      <c r="E58" s="29">
        <v>1</v>
      </c>
      <c r="F58" s="29"/>
      <c r="G58" s="29">
        <v>1</v>
      </c>
      <c r="M58" s="28" t="s">
        <v>115</v>
      </c>
      <c r="N58" s="29">
        <v>0</v>
      </c>
      <c r="O58" s="29">
        <v>0</v>
      </c>
      <c r="P58" s="29">
        <v>0</v>
      </c>
      <c r="Q58" s="29"/>
      <c r="R58" s="29">
        <v>0</v>
      </c>
    </row>
    <row r="59" spans="2:18" x14ac:dyDescent="0.2">
      <c r="B59" s="28" t="s">
        <v>1712</v>
      </c>
      <c r="C59" s="29"/>
      <c r="D59" s="29"/>
      <c r="E59" s="29">
        <v>2</v>
      </c>
      <c r="F59" s="29"/>
      <c r="G59" s="29">
        <v>2</v>
      </c>
      <c r="M59" s="28" t="s">
        <v>2741</v>
      </c>
      <c r="N59" s="29">
        <v>1</v>
      </c>
      <c r="O59" s="29"/>
      <c r="P59" s="29"/>
      <c r="Q59" s="29"/>
      <c r="R59" s="29">
        <v>1</v>
      </c>
    </row>
    <row r="60" spans="2:18" x14ac:dyDescent="0.2">
      <c r="B60" s="28" t="s">
        <v>555</v>
      </c>
      <c r="C60" s="29"/>
      <c r="D60" s="29">
        <v>1</v>
      </c>
      <c r="E60" s="29"/>
      <c r="F60" s="29"/>
      <c r="G60" s="29">
        <v>1</v>
      </c>
      <c r="M60" s="28" t="s">
        <v>2911</v>
      </c>
      <c r="N60" s="29"/>
      <c r="O60" s="29">
        <v>0</v>
      </c>
      <c r="P60" s="29"/>
      <c r="Q60" s="29"/>
      <c r="R60" s="29">
        <v>0</v>
      </c>
    </row>
    <row r="61" spans="2:18" x14ac:dyDescent="0.2">
      <c r="B61" s="28" t="s">
        <v>1131</v>
      </c>
      <c r="C61" s="29"/>
      <c r="D61" s="29"/>
      <c r="E61" s="29">
        <v>2</v>
      </c>
      <c r="F61" s="29"/>
      <c r="G61" s="29">
        <v>2</v>
      </c>
      <c r="M61" s="28" t="s">
        <v>1531</v>
      </c>
      <c r="N61" s="29">
        <v>1</v>
      </c>
      <c r="O61" s="29"/>
      <c r="P61" s="29"/>
      <c r="Q61" s="29"/>
      <c r="R61" s="29">
        <v>1</v>
      </c>
    </row>
    <row r="62" spans="2:18" x14ac:dyDescent="0.2">
      <c r="B62" s="28" t="s">
        <v>1569</v>
      </c>
      <c r="C62" s="29"/>
      <c r="D62" s="29"/>
      <c r="E62" s="29">
        <v>1</v>
      </c>
      <c r="F62" s="29"/>
      <c r="G62" s="29">
        <v>1</v>
      </c>
      <c r="M62" s="28" t="s">
        <v>24</v>
      </c>
      <c r="N62" s="29">
        <v>69</v>
      </c>
      <c r="O62" s="29">
        <v>158</v>
      </c>
      <c r="P62" s="29">
        <v>28</v>
      </c>
      <c r="Q62" s="29"/>
      <c r="R62" s="29">
        <v>255</v>
      </c>
    </row>
    <row r="63" spans="2:18" x14ac:dyDescent="0.2">
      <c r="B63" s="28" t="s">
        <v>2121</v>
      </c>
      <c r="C63" s="29">
        <v>1</v>
      </c>
      <c r="D63" s="29"/>
      <c r="E63" s="29"/>
      <c r="F63" s="29"/>
      <c r="G63" s="29">
        <v>1</v>
      </c>
      <c r="M63" s="28" t="s">
        <v>2829</v>
      </c>
      <c r="N63" s="29"/>
      <c r="O63" s="29">
        <v>1</v>
      </c>
      <c r="P63" s="29"/>
      <c r="Q63" s="29"/>
      <c r="R63" s="29">
        <v>1</v>
      </c>
    </row>
    <row r="64" spans="2:18" x14ac:dyDescent="0.2">
      <c r="B64" s="28" t="s">
        <v>2133</v>
      </c>
      <c r="C64" s="29"/>
      <c r="D64" s="29"/>
      <c r="E64" s="29">
        <v>1</v>
      </c>
      <c r="F64" s="29"/>
      <c r="G64" s="29">
        <v>1</v>
      </c>
      <c r="M64" s="28" t="s">
        <v>3052</v>
      </c>
      <c r="N64" s="29"/>
      <c r="O64" s="29">
        <v>1</v>
      </c>
      <c r="P64" s="29"/>
      <c r="Q64" s="29"/>
      <c r="R64" s="29">
        <v>1</v>
      </c>
    </row>
    <row r="65" spans="2:18" x14ac:dyDescent="0.2">
      <c r="B65" s="28" t="s">
        <v>2298</v>
      </c>
      <c r="C65" s="29"/>
      <c r="D65" s="29"/>
      <c r="E65" s="29"/>
      <c r="F65" s="29"/>
      <c r="G65" s="29"/>
      <c r="M65" s="28" t="s">
        <v>3565</v>
      </c>
      <c r="N65" s="29"/>
      <c r="O65" s="29">
        <v>1</v>
      </c>
      <c r="P65" s="29"/>
      <c r="Q65" s="29"/>
      <c r="R65" s="29">
        <v>1</v>
      </c>
    </row>
    <row r="66" spans="2:18" x14ac:dyDescent="0.2">
      <c r="B66" s="28" t="s">
        <v>4901</v>
      </c>
      <c r="C66" s="29"/>
      <c r="D66" s="29">
        <v>2</v>
      </c>
      <c r="E66" s="29"/>
      <c r="F66" s="29"/>
      <c r="G66" s="29">
        <v>2</v>
      </c>
      <c r="M66" s="28" t="s">
        <v>2696</v>
      </c>
      <c r="N66" s="29">
        <v>1</v>
      </c>
      <c r="O66" s="29"/>
      <c r="P66" s="29"/>
      <c r="Q66" s="29"/>
      <c r="R66" s="29">
        <v>1</v>
      </c>
    </row>
    <row r="67" spans="2:18" x14ac:dyDescent="0.2">
      <c r="B67" s="28" t="s">
        <v>4923</v>
      </c>
      <c r="C67" s="29"/>
      <c r="D67" s="29">
        <v>2</v>
      </c>
      <c r="E67" s="29"/>
      <c r="F67" s="29"/>
      <c r="G67" s="29">
        <v>2</v>
      </c>
      <c r="M67" s="28" t="s">
        <v>3058</v>
      </c>
      <c r="N67" s="29"/>
      <c r="O67" s="29">
        <v>1</v>
      </c>
      <c r="P67" s="29"/>
      <c r="Q67" s="29"/>
      <c r="R67" s="29">
        <v>1</v>
      </c>
    </row>
    <row r="68" spans="2:18" x14ac:dyDescent="0.2">
      <c r="B68" s="28" t="s">
        <v>4980</v>
      </c>
      <c r="C68" s="29"/>
      <c r="D68" s="29"/>
      <c r="E68" s="29">
        <v>1</v>
      </c>
      <c r="F68" s="29"/>
      <c r="G68" s="29">
        <v>1</v>
      </c>
      <c r="M68" s="28" t="s">
        <v>2727</v>
      </c>
      <c r="N68" s="29">
        <v>5</v>
      </c>
      <c r="O68" s="29">
        <v>16</v>
      </c>
      <c r="P68" s="29">
        <v>5</v>
      </c>
      <c r="Q68" s="29"/>
      <c r="R68" s="29">
        <v>26</v>
      </c>
    </row>
    <row r="69" spans="2:18" x14ac:dyDescent="0.2">
      <c r="B69" s="28" t="s">
        <v>4990</v>
      </c>
      <c r="C69" s="29"/>
      <c r="D69" s="29"/>
      <c r="E69" s="29">
        <v>0</v>
      </c>
      <c r="F69" s="29"/>
      <c r="G69" s="29">
        <v>0</v>
      </c>
      <c r="M69" s="28" t="s">
        <v>3247</v>
      </c>
      <c r="N69" s="29"/>
      <c r="O69" s="29">
        <v>2</v>
      </c>
      <c r="P69" s="29"/>
      <c r="Q69" s="29"/>
      <c r="R69" s="29">
        <v>2</v>
      </c>
    </row>
    <row r="70" spans="2:18" x14ac:dyDescent="0.2">
      <c r="B70" s="28" t="s">
        <v>2299</v>
      </c>
      <c r="C70" s="29">
        <v>31</v>
      </c>
      <c r="D70" s="29">
        <v>224</v>
      </c>
      <c r="E70" s="29">
        <v>251</v>
      </c>
      <c r="F70" s="29"/>
      <c r="G70" s="29">
        <v>506</v>
      </c>
      <c r="M70" s="28" t="s">
        <v>2298</v>
      </c>
      <c r="N70" s="29"/>
      <c r="O70" s="29"/>
      <c r="P70" s="29"/>
      <c r="Q70" s="29"/>
      <c r="R70" s="29"/>
    </row>
    <row r="71" spans="2:18" x14ac:dyDescent="0.2">
      <c r="M71" s="28" t="s">
        <v>2299</v>
      </c>
      <c r="N71" s="29">
        <v>107</v>
      </c>
      <c r="O71" s="29">
        <v>254</v>
      </c>
      <c r="P71" s="29">
        <v>46</v>
      </c>
      <c r="Q71" s="29"/>
      <c r="R71" s="29">
        <v>407</v>
      </c>
    </row>
    <row r="72" spans="2:18" x14ac:dyDescent="0.2">
      <c r="B72" s="28"/>
    </row>
    <row r="73" spans="2:18" x14ac:dyDescent="0.2">
      <c r="M73" s="28"/>
    </row>
    <row r="74" spans="2:18" x14ac:dyDescent="0.2">
      <c r="B74" s="50" t="s">
        <v>4687</v>
      </c>
    </row>
    <row r="75" spans="2:18" x14ac:dyDescent="0.2">
      <c r="B75" s="27" t="s">
        <v>4685</v>
      </c>
      <c r="C75" s="27" t="s">
        <v>4689</v>
      </c>
    </row>
    <row r="76" spans="2:18" x14ac:dyDescent="0.2">
      <c r="B76" s="27" t="s">
        <v>2297</v>
      </c>
      <c r="C76" t="s">
        <v>4034</v>
      </c>
      <c r="D76" t="s">
        <v>4058</v>
      </c>
      <c r="E76" t="s">
        <v>2298</v>
      </c>
      <c r="F76" t="s">
        <v>2299</v>
      </c>
    </row>
    <row r="77" spans="2:18" x14ac:dyDescent="0.2">
      <c r="B77" s="28" t="s">
        <v>4053</v>
      </c>
      <c r="C77" s="29">
        <v>1</v>
      </c>
      <c r="D77" s="29"/>
      <c r="E77" s="29"/>
      <c r="F77" s="29">
        <v>1</v>
      </c>
    </row>
    <row r="78" spans="2:18" x14ac:dyDescent="0.2">
      <c r="B78" s="28" t="s">
        <v>4048</v>
      </c>
      <c r="C78" s="29">
        <v>1</v>
      </c>
      <c r="D78" s="29"/>
      <c r="E78" s="29"/>
      <c r="F78" s="29">
        <v>1</v>
      </c>
    </row>
    <row r="79" spans="2:18" x14ac:dyDescent="0.2">
      <c r="B79" s="28" t="s">
        <v>115</v>
      </c>
      <c r="C79" s="29">
        <v>0</v>
      </c>
      <c r="D79" s="29">
        <v>0</v>
      </c>
      <c r="E79" s="29"/>
      <c r="F79" s="29">
        <v>0</v>
      </c>
    </row>
    <row r="80" spans="2:18" x14ac:dyDescent="0.2">
      <c r="B80" s="28" t="s">
        <v>4080</v>
      </c>
      <c r="C80" s="29"/>
      <c r="D80" s="29">
        <v>1</v>
      </c>
      <c r="E80" s="29"/>
      <c r="F80" s="29">
        <v>1</v>
      </c>
    </row>
    <row r="81" spans="2:14" x14ac:dyDescent="0.2">
      <c r="B81" s="28" t="s">
        <v>176</v>
      </c>
      <c r="C81" s="29">
        <v>1</v>
      </c>
      <c r="D81" s="29">
        <v>21</v>
      </c>
      <c r="E81" s="29"/>
      <c r="F81" s="29">
        <v>22</v>
      </c>
    </row>
    <row r="82" spans="2:14" x14ac:dyDescent="0.2">
      <c r="B82" s="28" t="s">
        <v>4069</v>
      </c>
      <c r="C82" s="29"/>
      <c r="D82" s="29">
        <v>2</v>
      </c>
      <c r="E82" s="29"/>
      <c r="F82" s="29">
        <v>2</v>
      </c>
    </row>
    <row r="83" spans="2:14" x14ac:dyDescent="0.2">
      <c r="B83" s="28" t="s">
        <v>2298</v>
      </c>
      <c r="C83" s="29"/>
      <c r="D83" s="29"/>
      <c r="E83" s="29"/>
      <c r="F83" s="29"/>
    </row>
    <row r="84" spans="2:14" x14ac:dyDescent="0.2">
      <c r="B84" s="28" t="s">
        <v>112</v>
      </c>
      <c r="C84" s="29"/>
      <c r="D84" s="29">
        <v>1</v>
      </c>
      <c r="E84" s="29"/>
      <c r="F84" s="29">
        <v>1</v>
      </c>
    </row>
    <row r="85" spans="2:14" x14ac:dyDescent="0.2">
      <c r="B85" s="28" t="s">
        <v>2299</v>
      </c>
      <c r="C85" s="29">
        <v>3</v>
      </c>
      <c r="D85" s="29">
        <v>25</v>
      </c>
      <c r="E85" s="29"/>
      <c r="F85" s="29">
        <v>28</v>
      </c>
    </row>
    <row r="86" spans="2:14" x14ac:dyDescent="0.2">
      <c r="B86" s="28"/>
    </row>
    <row r="88" spans="2:14" x14ac:dyDescent="0.2">
      <c r="K88" s="50" t="s">
        <v>4688</v>
      </c>
    </row>
    <row r="89" spans="2:14" x14ac:dyDescent="0.2">
      <c r="K89" s="27" t="s">
        <v>4685</v>
      </c>
      <c r="L89" s="27" t="s">
        <v>4689</v>
      </c>
    </row>
    <row r="90" spans="2:14" x14ac:dyDescent="0.2">
      <c r="K90" s="27" t="s">
        <v>2297</v>
      </c>
      <c r="L90" t="s">
        <v>4031</v>
      </c>
      <c r="M90" t="s">
        <v>2298</v>
      </c>
      <c r="N90" t="s">
        <v>2299</v>
      </c>
    </row>
    <row r="91" spans="2:14" x14ac:dyDescent="0.2">
      <c r="K91" s="28" t="s">
        <v>4557</v>
      </c>
      <c r="L91" s="29">
        <v>2</v>
      </c>
      <c r="M91" s="29"/>
      <c r="N91" s="29">
        <v>2</v>
      </c>
    </row>
    <row r="92" spans="2:14" x14ac:dyDescent="0.2">
      <c r="K92" s="28" t="s">
        <v>461</v>
      </c>
      <c r="L92" s="29">
        <v>2</v>
      </c>
      <c r="M92" s="29"/>
      <c r="N92" s="29">
        <v>2</v>
      </c>
    </row>
    <row r="93" spans="2:14" x14ac:dyDescent="0.2">
      <c r="K93" s="28" t="s">
        <v>14</v>
      </c>
      <c r="L93" s="29">
        <v>1</v>
      </c>
      <c r="M93" s="29"/>
      <c r="N93" s="29">
        <v>1</v>
      </c>
    </row>
    <row r="94" spans="2:14" x14ac:dyDescent="0.2">
      <c r="K94" s="28" t="s">
        <v>4244</v>
      </c>
      <c r="L94" s="29">
        <v>9</v>
      </c>
      <c r="M94" s="29"/>
      <c r="N94" s="29">
        <v>9</v>
      </c>
    </row>
    <row r="95" spans="2:14" x14ac:dyDescent="0.2">
      <c r="K95" s="28" t="s">
        <v>4319</v>
      </c>
      <c r="L95" s="29">
        <v>18</v>
      </c>
      <c r="M95" s="29"/>
      <c r="N95" s="29">
        <v>18</v>
      </c>
    </row>
    <row r="96" spans="2:14" x14ac:dyDescent="0.2">
      <c r="K96" s="28" t="s">
        <v>4299</v>
      </c>
      <c r="L96" s="29">
        <v>1</v>
      </c>
      <c r="M96" s="29"/>
      <c r="N96" s="29">
        <v>1</v>
      </c>
    </row>
    <row r="97" spans="11:14" x14ac:dyDescent="0.2">
      <c r="K97" s="28" t="s">
        <v>4255</v>
      </c>
      <c r="L97" s="29">
        <v>1</v>
      </c>
      <c r="M97" s="29"/>
      <c r="N97" s="29">
        <v>1</v>
      </c>
    </row>
    <row r="98" spans="11:14" x14ac:dyDescent="0.2">
      <c r="K98" s="28" t="s">
        <v>4626</v>
      </c>
      <c r="L98" s="29">
        <v>1</v>
      </c>
      <c r="M98" s="29"/>
      <c r="N98" s="29">
        <v>1</v>
      </c>
    </row>
    <row r="99" spans="11:14" x14ac:dyDescent="0.2">
      <c r="K99" s="28" t="s">
        <v>4398</v>
      </c>
      <c r="L99" s="29">
        <v>2</v>
      </c>
      <c r="M99" s="29"/>
      <c r="N99" s="29">
        <v>2</v>
      </c>
    </row>
    <row r="100" spans="11:14" x14ac:dyDescent="0.2">
      <c r="K100" s="28" t="s">
        <v>598</v>
      </c>
      <c r="L100" s="29">
        <v>4</v>
      </c>
      <c r="M100" s="29"/>
      <c r="N100" s="29">
        <v>4</v>
      </c>
    </row>
    <row r="101" spans="11:14" x14ac:dyDescent="0.2">
      <c r="K101" s="28" t="s">
        <v>4214</v>
      </c>
      <c r="L101" s="29">
        <v>9</v>
      </c>
      <c r="M101" s="29"/>
      <c r="N101" s="29">
        <v>9</v>
      </c>
    </row>
    <row r="102" spans="11:14" x14ac:dyDescent="0.2">
      <c r="K102" s="28" t="s">
        <v>2466</v>
      </c>
      <c r="L102" s="29">
        <v>1</v>
      </c>
      <c r="M102" s="29"/>
      <c r="N102" s="29">
        <v>1</v>
      </c>
    </row>
    <row r="103" spans="11:14" x14ac:dyDescent="0.2">
      <c r="K103" s="28" t="s">
        <v>115</v>
      </c>
      <c r="L103" s="29">
        <v>1</v>
      </c>
      <c r="M103" s="29"/>
      <c r="N103" s="29">
        <v>1</v>
      </c>
    </row>
    <row r="104" spans="11:14" x14ac:dyDescent="0.2">
      <c r="K104" s="28" t="s">
        <v>4564</v>
      </c>
      <c r="L104" s="29">
        <v>1</v>
      </c>
      <c r="M104" s="29"/>
      <c r="N104" s="29">
        <v>1</v>
      </c>
    </row>
    <row r="105" spans="11:14" x14ac:dyDescent="0.2">
      <c r="K105" s="28" t="s">
        <v>4329</v>
      </c>
      <c r="L105" s="29">
        <v>3</v>
      </c>
      <c r="M105" s="29"/>
      <c r="N105" s="29">
        <v>3</v>
      </c>
    </row>
    <row r="106" spans="11:14" x14ac:dyDescent="0.2">
      <c r="K106" s="28" t="s">
        <v>4249</v>
      </c>
      <c r="L106" s="29">
        <v>5</v>
      </c>
      <c r="M106" s="29"/>
      <c r="N106" s="29">
        <v>5</v>
      </c>
    </row>
    <row r="107" spans="11:14" x14ac:dyDescent="0.2">
      <c r="K107" s="28" t="s">
        <v>4592</v>
      </c>
      <c r="L107" s="29">
        <v>1</v>
      </c>
      <c r="M107" s="29"/>
      <c r="N107" s="29">
        <v>1</v>
      </c>
    </row>
    <row r="108" spans="11:14" x14ac:dyDescent="0.2">
      <c r="K108" s="28" t="s">
        <v>4463</v>
      </c>
      <c r="L108" s="29">
        <v>5</v>
      </c>
      <c r="M108" s="29"/>
      <c r="N108" s="29">
        <v>5</v>
      </c>
    </row>
    <row r="109" spans="11:14" x14ac:dyDescent="0.2">
      <c r="K109" s="28" t="s">
        <v>4643</v>
      </c>
      <c r="L109" s="29">
        <v>3</v>
      </c>
      <c r="M109" s="29"/>
      <c r="N109" s="29">
        <v>3</v>
      </c>
    </row>
    <row r="110" spans="11:14" x14ac:dyDescent="0.2">
      <c r="K110" s="28" t="s">
        <v>1531</v>
      </c>
      <c r="L110" s="29">
        <v>1</v>
      </c>
      <c r="M110" s="29"/>
      <c r="N110" s="29">
        <v>1</v>
      </c>
    </row>
    <row r="111" spans="11:14" x14ac:dyDescent="0.2">
      <c r="K111" s="28" t="s">
        <v>176</v>
      </c>
      <c r="L111" s="29">
        <v>84</v>
      </c>
      <c r="M111" s="29"/>
      <c r="N111" s="29">
        <v>84</v>
      </c>
    </row>
    <row r="112" spans="11:14" x14ac:dyDescent="0.2">
      <c r="K112" s="28" t="s">
        <v>4432</v>
      </c>
      <c r="L112" s="29">
        <v>4</v>
      </c>
      <c r="M112" s="29"/>
      <c r="N112" s="29">
        <v>4</v>
      </c>
    </row>
    <row r="113" spans="11:14" x14ac:dyDescent="0.2">
      <c r="K113" s="28" t="s">
        <v>2298</v>
      </c>
      <c r="L113" s="29"/>
      <c r="M113" s="29"/>
      <c r="N113" s="29"/>
    </row>
    <row r="114" spans="11:14" x14ac:dyDescent="0.2">
      <c r="K114" s="28" t="s">
        <v>2299</v>
      </c>
      <c r="L114" s="29">
        <v>159</v>
      </c>
      <c r="M114" s="29"/>
      <c r="N114" s="29">
        <v>159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E81C-FF5E-6C4A-BA1C-CB447B13B0BF}">
  <sheetPr>
    <tabColor theme="2" tint="-0.249977111117893"/>
  </sheetPr>
  <dimension ref="A2:AE77"/>
  <sheetViews>
    <sheetView topLeftCell="Y1" zoomScale="99" workbookViewId="0">
      <selection activeCell="B22" sqref="B22"/>
    </sheetView>
  </sheetViews>
  <sheetFormatPr baseColWidth="10" defaultRowHeight="16" x14ac:dyDescent="0.2"/>
  <cols>
    <col min="1" max="1" width="73.33203125" bestFit="1" customWidth="1"/>
    <col min="2" max="2" width="22.33203125" bestFit="1" customWidth="1"/>
    <col min="3" max="3" width="10.33203125" bestFit="1" customWidth="1"/>
    <col min="4" max="4" width="7.6640625" bestFit="1" customWidth="1"/>
    <col min="5" max="5" width="6.83203125" bestFit="1" customWidth="1"/>
    <col min="6" max="6" width="11" bestFit="1" customWidth="1"/>
    <col min="7" max="7" width="10.33203125" bestFit="1" customWidth="1"/>
    <col min="8" max="8" width="7.6640625" bestFit="1" customWidth="1"/>
    <col min="9" max="9" width="6.83203125" bestFit="1" customWidth="1"/>
    <col min="10" max="10" width="31" bestFit="1" customWidth="1"/>
    <col min="11" max="11" width="22.33203125" bestFit="1" customWidth="1"/>
    <col min="12" max="12" width="14.33203125" customWidth="1"/>
    <col min="13" max="13" width="15.1640625" bestFit="1" customWidth="1"/>
    <col min="14" max="14" width="11" bestFit="1" customWidth="1"/>
    <col min="15" max="15" width="23.6640625" bestFit="1" customWidth="1"/>
    <col min="16" max="16" width="26.33203125" bestFit="1" customWidth="1"/>
    <col min="17" max="17" width="22.33203125" bestFit="1" customWidth="1"/>
    <col min="18" max="18" width="20.1640625" bestFit="1" customWidth="1"/>
    <col min="19" max="19" width="10.1640625" bestFit="1" customWidth="1"/>
    <col min="20" max="20" width="6.83203125" bestFit="1" customWidth="1"/>
    <col min="23" max="23" width="58.83203125" bestFit="1" customWidth="1"/>
    <col min="24" max="24" width="22.33203125" bestFit="1" customWidth="1"/>
    <col min="30" max="30" width="28.1640625" bestFit="1" customWidth="1"/>
    <col min="31" max="31" width="22.33203125" bestFit="1" customWidth="1"/>
  </cols>
  <sheetData>
    <row r="2" spans="1:31" x14ac:dyDescent="0.2">
      <c r="A2" s="26" t="s">
        <v>3959</v>
      </c>
    </row>
    <row r="3" spans="1:31" x14ac:dyDescent="0.2">
      <c r="A3" s="27" t="s">
        <v>2297</v>
      </c>
      <c r="B3" t="s">
        <v>4717</v>
      </c>
      <c r="H3" s="26"/>
      <c r="J3" s="26" t="s">
        <v>4023</v>
      </c>
      <c r="O3" s="56"/>
      <c r="P3" s="50" t="s">
        <v>4687</v>
      </c>
    </row>
    <row r="4" spans="1:31" x14ac:dyDescent="0.2">
      <c r="A4" s="28" t="s">
        <v>461</v>
      </c>
      <c r="B4" s="29">
        <v>45</v>
      </c>
      <c r="J4" s="27" t="s">
        <v>2297</v>
      </c>
      <c r="K4" t="s">
        <v>4717</v>
      </c>
      <c r="O4" s="56"/>
      <c r="P4" s="27" t="s">
        <v>2297</v>
      </c>
      <c r="Q4" t="s">
        <v>4717</v>
      </c>
      <c r="W4" s="26" t="s">
        <v>4686</v>
      </c>
    </row>
    <row r="5" spans="1:31" x14ac:dyDescent="0.2">
      <c r="A5" s="130" t="s">
        <v>461</v>
      </c>
      <c r="B5" s="29">
        <v>2</v>
      </c>
      <c r="J5" s="28" t="s">
        <v>461</v>
      </c>
      <c r="K5" s="29">
        <v>0</v>
      </c>
      <c r="N5" s="26"/>
      <c r="O5" s="56"/>
      <c r="P5" s="28" t="s">
        <v>1618</v>
      </c>
      <c r="Q5" s="29">
        <v>1</v>
      </c>
      <c r="W5" s="27" t="s">
        <v>2297</v>
      </c>
      <c r="X5" t="s">
        <v>4717</v>
      </c>
    </row>
    <row r="6" spans="1:31" x14ac:dyDescent="0.2">
      <c r="A6" s="130" t="s">
        <v>2118</v>
      </c>
      <c r="B6" s="29">
        <v>2</v>
      </c>
      <c r="J6" s="130" t="s">
        <v>82</v>
      </c>
      <c r="K6" s="29">
        <v>0</v>
      </c>
      <c r="N6" s="51"/>
      <c r="O6" s="56"/>
      <c r="P6" s="130" t="s">
        <v>4053</v>
      </c>
      <c r="Q6" s="29">
        <v>1</v>
      </c>
      <c r="W6" s="28" t="s">
        <v>461</v>
      </c>
      <c r="X6" s="29">
        <v>3</v>
      </c>
      <c r="AD6" s="50" t="s">
        <v>4688</v>
      </c>
    </row>
    <row r="7" spans="1:31" x14ac:dyDescent="0.2">
      <c r="A7" s="130" t="s">
        <v>2125</v>
      </c>
      <c r="B7" s="29">
        <v>41</v>
      </c>
      <c r="J7" s="130" t="s">
        <v>3956</v>
      </c>
      <c r="K7" s="29">
        <v>0</v>
      </c>
      <c r="N7" s="51"/>
      <c r="O7" s="56"/>
      <c r="P7" s="28" t="s">
        <v>598</v>
      </c>
      <c r="Q7" s="29">
        <v>1</v>
      </c>
      <c r="W7" s="130" t="s">
        <v>2605</v>
      </c>
      <c r="X7" s="29">
        <v>3</v>
      </c>
      <c r="AD7" s="27" t="s">
        <v>2297</v>
      </c>
      <c r="AE7" t="s">
        <v>4717</v>
      </c>
    </row>
    <row r="8" spans="1:31" x14ac:dyDescent="0.2">
      <c r="A8" s="130" t="s">
        <v>191</v>
      </c>
      <c r="B8" s="29">
        <v>0</v>
      </c>
      <c r="J8" s="130" t="s">
        <v>2264</v>
      </c>
      <c r="K8" s="29">
        <v>0</v>
      </c>
      <c r="N8" s="51"/>
      <c r="O8" s="56"/>
      <c r="P8" s="130" t="s">
        <v>4048</v>
      </c>
      <c r="Q8" s="29">
        <v>1</v>
      </c>
      <c r="W8" s="130" t="s">
        <v>3071</v>
      </c>
      <c r="X8" s="29">
        <v>0</v>
      </c>
      <c r="AD8" s="28" t="s">
        <v>461</v>
      </c>
      <c r="AE8" s="29">
        <v>3</v>
      </c>
    </row>
    <row r="9" spans="1:31" x14ac:dyDescent="0.2">
      <c r="A9" s="28" t="s">
        <v>14</v>
      </c>
      <c r="B9" s="29">
        <v>48</v>
      </c>
      <c r="J9" s="130" t="s">
        <v>2125</v>
      </c>
      <c r="K9" s="29">
        <v>0</v>
      </c>
      <c r="N9" s="51"/>
      <c r="O9" s="56"/>
      <c r="P9" s="130" t="s">
        <v>4080</v>
      </c>
      <c r="Q9" s="29">
        <v>0</v>
      </c>
      <c r="W9" s="28" t="s">
        <v>14</v>
      </c>
      <c r="X9" s="29">
        <v>6</v>
      </c>
      <c r="AD9" s="130" t="s">
        <v>461</v>
      </c>
      <c r="AE9" s="29">
        <v>2</v>
      </c>
    </row>
    <row r="10" spans="1:31" x14ac:dyDescent="0.2">
      <c r="A10" s="130" t="s">
        <v>14</v>
      </c>
      <c r="B10" s="29">
        <v>5</v>
      </c>
      <c r="J10" s="130" t="s">
        <v>3957</v>
      </c>
      <c r="K10" s="29"/>
      <c r="N10" s="51"/>
      <c r="P10" s="28" t="s">
        <v>115</v>
      </c>
      <c r="Q10" s="29">
        <v>0</v>
      </c>
      <c r="W10" s="130" t="s">
        <v>2582</v>
      </c>
      <c r="X10" s="29">
        <v>1</v>
      </c>
      <c r="AD10" s="130" t="s">
        <v>4398</v>
      </c>
      <c r="AE10" s="29">
        <v>1</v>
      </c>
    </row>
    <row r="11" spans="1:31" x14ac:dyDescent="0.2">
      <c r="A11" s="130" t="s">
        <v>2143</v>
      </c>
      <c r="B11" s="29">
        <v>0</v>
      </c>
      <c r="J11" s="28" t="s">
        <v>14</v>
      </c>
      <c r="K11" s="29"/>
      <c r="N11" s="51"/>
      <c r="P11" s="130" t="s">
        <v>115</v>
      </c>
      <c r="Q11" s="29">
        <v>0</v>
      </c>
      <c r="W11" s="130" t="s">
        <v>3250</v>
      </c>
      <c r="X11" s="29">
        <v>1</v>
      </c>
      <c r="AD11" s="28" t="s">
        <v>1342</v>
      </c>
      <c r="AE11" s="29">
        <v>6</v>
      </c>
    </row>
    <row r="12" spans="1:31" x14ac:dyDescent="0.2">
      <c r="A12" s="130" t="s">
        <v>2128</v>
      </c>
      <c r="B12" s="29">
        <v>37</v>
      </c>
      <c r="J12" s="130" t="s">
        <v>14</v>
      </c>
      <c r="K12" s="29"/>
      <c r="N12" s="52"/>
      <c r="P12" s="28" t="s">
        <v>176</v>
      </c>
      <c r="Q12" s="29">
        <v>5</v>
      </c>
      <c r="W12" s="130" t="s">
        <v>14</v>
      </c>
      <c r="X12" s="29">
        <v>1</v>
      </c>
      <c r="AD12" s="130" t="s">
        <v>14</v>
      </c>
      <c r="AE12" s="29">
        <v>1</v>
      </c>
    </row>
    <row r="13" spans="1:31" x14ac:dyDescent="0.2">
      <c r="A13" s="130" t="s">
        <v>2129</v>
      </c>
      <c r="B13" s="29">
        <v>1</v>
      </c>
      <c r="J13" s="28" t="s">
        <v>1618</v>
      </c>
      <c r="K13" s="29">
        <v>0</v>
      </c>
      <c r="P13" s="130" t="s">
        <v>176</v>
      </c>
      <c r="Q13" s="29">
        <v>5</v>
      </c>
      <c r="W13" s="130" t="s">
        <v>3279</v>
      </c>
      <c r="X13" s="29">
        <v>1</v>
      </c>
      <c r="AD13" s="130" t="s">
        <v>4244</v>
      </c>
      <c r="AE13" s="29">
        <v>2</v>
      </c>
    </row>
    <row r="14" spans="1:31" x14ac:dyDescent="0.2">
      <c r="A14" s="130" t="s">
        <v>2110</v>
      </c>
      <c r="B14" s="29">
        <v>1</v>
      </c>
      <c r="J14" s="130" t="s">
        <v>3958</v>
      </c>
      <c r="K14" s="29">
        <v>0</v>
      </c>
      <c r="P14" s="130" t="s">
        <v>4069</v>
      </c>
      <c r="Q14" s="29">
        <v>0</v>
      </c>
      <c r="W14" s="130" t="s">
        <v>3139</v>
      </c>
      <c r="X14" s="29">
        <v>1</v>
      </c>
      <c r="AD14" s="130" t="s">
        <v>4626</v>
      </c>
      <c r="AE14" s="29">
        <v>3</v>
      </c>
    </row>
    <row r="15" spans="1:31" x14ac:dyDescent="0.2">
      <c r="A15" s="130" t="s">
        <v>2131</v>
      </c>
      <c r="B15" s="29">
        <v>0</v>
      </c>
      <c r="J15" s="28" t="s">
        <v>4030</v>
      </c>
      <c r="K15" s="29">
        <v>1</v>
      </c>
      <c r="P15" s="28" t="s">
        <v>4069</v>
      </c>
      <c r="Q15" s="29">
        <v>0</v>
      </c>
      <c r="W15" s="130" t="s">
        <v>2465</v>
      </c>
      <c r="X15" s="29">
        <v>0</v>
      </c>
      <c r="AD15" s="28" t="s">
        <v>1618</v>
      </c>
      <c r="AE15" s="29">
        <v>1</v>
      </c>
    </row>
    <row r="16" spans="1:31" x14ac:dyDescent="0.2">
      <c r="A16" s="130" t="s">
        <v>2123</v>
      </c>
      <c r="B16" s="29">
        <v>1</v>
      </c>
      <c r="J16" s="130" t="s">
        <v>2179</v>
      </c>
      <c r="K16" s="29">
        <v>0</v>
      </c>
      <c r="P16" s="130" t="s">
        <v>176</v>
      </c>
      <c r="Q16" s="29">
        <v>0</v>
      </c>
      <c r="W16" s="130" t="s">
        <v>3241</v>
      </c>
      <c r="X16" s="29">
        <v>0</v>
      </c>
      <c r="AD16" s="130" t="s">
        <v>4564</v>
      </c>
      <c r="AE16" s="29">
        <v>1</v>
      </c>
    </row>
    <row r="17" spans="1:31" x14ac:dyDescent="0.2">
      <c r="A17" s="130" t="s">
        <v>2130</v>
      </c>
      <c r="B17" s="29">
        <v>3</v>
      </c>
      <c r="J17" s="130" t="s">
        <v>2331</v>
      </c>
      <c r="K17" s="29">
        <v>0</v>
      </c>
      <c r="P17" s="28" t="s">
        <v>2298</v>
      </c>
      <c r="Q17" s="29"/>
      <c r="V17" s="7"/>
      <c r="W17" s="130" t="s">
        <v>2472</v>
      </c>
      <c r="X17" s="29">
        <v>0</v>
      </c>
      <c r="AD17" s="130" t="s">
        <v>176</v>
      </c>
      <c r="AE17" s="29">
        <v>0</v>
      </c>
    </row>
    <row r="18" spans="1:31" x14ac:dyDescent="0.2">
      <c r="A18" s="28" t="s">
        <v>1618</v>
      </c>
      <c r="B18" s="29">
        <v>38</v>
      </c>
      <c r="J18" s="130" t="s">
        <v>2255</v>
      </c>
      <c r="K18" s="29">
        <v>1</v>
      </c>
      <c r="P18" s="130" t="s">
        <v>2298</v>
      </c>
      <c r="Q18" s="29"/>
      <c r="V18" s="7"/>
      <c r="W18" s="130" t="s">
        <v>3262</v>
      </c>
      <c r="X18" s="29">
        <v>0</v>
      </c>
      <c r="AD18" s="28" t="s">
        <v>598</v>
      </c>
      <c r="AE18" s="29">
        <v>14</v>
      </c>
    </row>
    <row r="19" spans="1:31" x14ac:dyDescent="0.2">
      <c r="A19" s="130" t="s">
        <v>1618</v>
      </c>
      <c r="B19" s="29">
        <v>5</v>
      </c>
      <c r="J19" s="130" t="s">
        <v>78</v>
      </c>
      <c r="K19" s="29"/>
      <c r="P19" s="28" t="s">
        <v>112</v>
      </c>
      <c r="Q19" s="29">
        <v>0</v>
      </c>
      <c r="V19" s="7"/>
      <c r="W19" s="130" t="s">
        <v>2557</v>
      </c>
      <c r="X19" s="29">
        <v>1</v>
      </c>
      <c r="Y19" s="7"/>
      <c r="Z19" s="7"/>
      <c r="AA19" s="7"/>
      <c r="AB19" s="7"/>
      <c r="AC19" s="7"/>
      <c r="AD19" s="130" t="s">
        <v>4255</v>
      </c>
      <c r="AE19" s="29">
        <v>1</v>
      </c>
    </row>
    <row r="20" spans="1:31" x14ac:dyDescent="0.2">
      <c r="A20" s="130" t="s">
        <v>2132</v>
      </c>
      <c r="B20" s="29">
        <v>4</v>
      </c>
      <c r="J20" s="28" t="s">
        <v>176</v>
      </c>
      <c r="K20" s="29">
        <v>2</v>
      </c>
      <c r="L20" s="5"/>
      <c r="M20" s="5"/>
      <c r="N20" s="5"/>
      <c r="O20" s="5"/>
      <c r="P20" s="130" t="s">
        <v>112</v>
      </c>
      <c r="Q20" s="29">
        <v>0</v>
      </c>
      <c r="V20" s="7"/>
      <c r="W20" s="130" t="s">
        <v>2448</v>
      </c>
      <c r="X20" s="29">
        <v>0</v>
      </c>
      <c r="Y20" s="7"/>
      <c r="Z20" s="7"/>
      <c r="AA20" s="7"/>
      <c r="AB20" s="7"/>
      <c r="AC20" s="7"/>
      <c r="AD20" s="130" t="s">
        <v>598</v>
      </c>
      <c r="AE20" s="29">
        <v>3</v>
      </c>
    </row>
    <row r="21" spans="1:31" ht="19" customHeight="1" x14ac:dyDescent="0.2">
      <c r="A21" s="130" t="s">
        <v>2134</v>
      </c>
      <c r="B21" s="29">
        <v>0</v>
      </c>
      <c r="J21" s="130" t="s">
        <v>2329</v>
      </c>
      <c r="K21" s="29">
        <v>0</v>
      </c>
      <c r="M21" s="54"/>
      <c r="P21" s="28" t="s">
        <v>2299</v>
      </c>
      <c r="Q21" s="29">
        <v>7</v>
      </c>
      <c r="W21" s="28" t="s">
        <v>1618</v>
      </c>
      <c r="X21" s="29">
        <v>2</v>
      </c>
      <c r="AC21" s="22"/>
      <c r="AD21" s="130" t="s">
        <v>4463</v>
      </c>
      <c r="AE21" s="29">
        <v>3</v>
      </c>
    </row>
    <row r="22" spans="1:31" ht="19" customHeight="1" x14ac:dyDescent="0.2">
      <c r="A22" s="130" t="s">
        <v>2112</v>
      </c>
      <c r="B22" s="29">
        <v>4</v>
      </c>
      <c r="J22" s="130" t="s">
        <v>24</v>
      </c>
      <c r="K22" s="29">
        <v>2</v>
      </c>
      <c r="M22" s="54"/>
      <c r="W22" s="130" t="s">
        <v>764</v>
      </c>
      <c r="X22" s="29">
        <v>2</v>
      </c>
      <c r="AC22" s="7"/>
      <c r="AD22" s="130" t="s">
        <v>4643</v>
      </c>
      <c r="AE22" s="29">
        <v>4</v>
      </c>
    </row>
    <row r="23" spans="1:31" ht="19" customHeight="1" x14ac:dyDescent="0.2">
      <c r="A23" s="130" t="s">
        <v>2137</v>
      </c>
      <c r="B23" s="29">
        <v>21</v>
      </c>
      <c r="J23" s="130" t="s">
        <v>62</v>
      </c>
      <c r="K23" s="29">
        <v>0</v>
      </c>
      <c r="M23" s="54"/>
      <c r="W23" s="130" t="s">
        <v>2132</v>
      </c>
      <c r="X23" s="29">
        <v>0</v>
      </c>
      <c r="AC23" s="7"/>
      <c r="AD23" s="130" t="s">
        <v>4432</v>
      </c>
      <c r="AE23" s="29">
        <v>3</v>
      </c>
    </row>
    <row r="24" spans="1:31" ht="19" customHeight="1" x14ac:dyDescent="0.2">
      <c r="A24" s="130" t="s">
        <v>4011</v>
      </c>
      <c r="B24" s="29">
        <v>1</v>
      </c>
      <c r="J24" s="130" t="s">
        <v>2218</v>
      </c>
      <c r="K24" s="29">
        <v>0</v>
      </c>
      <c r="M24" s="54"/>
      <c r="W24" s="28" t="s">
        <v>598</v>
      </c>
      <c r="X24" s="29">
        <v>30</v>
      </c>
      <c r="AC24" s="7"/>
      <c r="AD24" s="28" t="s">
        <v>112</v>
      </c>
      <c r="AE24" s="29">
        <v>30</v>
      </c>
    </row>
    <row r="25" spans="1:31" ht="19" customHeight="1" x14ac:dyDescent="0.2">
      <c r="A25" s="130" t="s">
        <v>2135</v>
      </c>
      <c r="B25" s="29">
        <v>2</v>
      </c>
      <c r="J25" s="28" t="s">
        <v>2298</v>
      </c>
      <c r="K25" s="29">
        <v>0</v>
      </c>
      <c r="M25" s="54"/>
      <c r="W25" s="130" t="s">
        <v>598</v>
      </c>
      <c r="X25" s="29">
        <v>0</v>
      </c>
      <c r="AC25" s="7"/>
      <c r="AD25" s="130" t="s">
        <v>4557</v>
      </c>
      <c r="AE25" s="29">
        <v>2</v>
      </c>
    </row>
    <row r="26" spans="1:31" x14ac:dyDescent="0.2">
      <c r="A26" s="130" t="s">
        <v>2136</v>
      </c>
      <c r="B26" s="29">
        <v>1</v>
      </c>
      <c r="J26" s="130" t="s">
        <v>115</v>
      </c>
      <c r="K26" s="29">
        <v>0</v>
      </c>
      <c r="M26" s="55"/>
      <c r="W26" s="130" t="s">
        <v>2802</v>
      </c>
      <c r="X26" s="29">
        <v>2</v>
      </c>
      <c r="AC26" s="7"/>
      <c r="AD26" s="130" t="s">
        <v>4319</v>
      </c>
      <c r="AE26" s="29">
        <v>15</v>
      </c>
    </row>
    <row r="27" spans="1:31" x14ac:dyDescent="0.2">
      <c r="A27" s="28" t="s">
        <v>598</v>
      </c>
      <c r="B27" s="29">
        <v>8</v>
      </c>
      <c r="J27" s="130" t="s">
        <v>2213</v>
      </c>
      <c r="K27" s="29">
        <v>0</v>
      </c>
      <c r="W27" s="130" t="s">
        <v>2801</v>
      </c>
      <c r="X27" s="29">
        <v>12</v>
      </c>
      <c r="AC27" s="7"/>
      <c r="AD27" s="130" t="s">
        <v>4214</v>
      </c>
      <c r="AE27" s="29">
        <v>7</v>
      </c>
    </row>
    <row r="28" spans="1:31" x14ac:dyDescent="0.2">
      <c r="A28" s="130" t="s">
        <v>598</v>
      </c>
      <c r="B28" s="29">
        <v>0</v>
      </c>
      <c r="J28" s="130" t="s">
        <v>2298</v>
      </c>
      <c r="K28" s="29"/>
      <c r="W28" s="130" t="s">
        <v>3794</v>
      </c>
      <c r="X28" s="29">
        <v>1</v>
      </c>
      <c r="AC28" s="7"/>
      <c r="AD28" s="130" t="s">
        <v>2466</v>
      </c>
      <c r="AE28" s="29">
        <v>0</v>
      </c>
    </row>
    <row r="29" spans="1:31" x14ac:dyDescent="0.2">
      <c r="A29" s="130" t="s">
        <v>2106</v>
      </c>
      <c r="B29" s="29">
        <v>0</v>
      </c>
      <c r="J29" s="28" t="s">
        <v>2299</v>
      </c>
      <c r="K29" s="29">
        <v>3</v>
      </c>
      <c r="W29" s="130" t="s">
        <v>2437</v>
      </c>
      <c r="X29" s="29">
        <v>8</v>
      </c>
      <c r="AC29" s="7"/>
      <c r="AD29" s="130" t="s">
        <v>4329</v>
      </c>
      <c r="AE29" s="29">
        <v>3</v>
      </c>
    </row>
    <row r="30" spans="1:31" x14ac:dyDescent="0.2">
      <c r="A30" s="130" t="s">
        <v>2107</v>
      </c>
      <c r="B30" s="29">
        <v>2</v>
      </c>
      <c r="W30" s="130" t="s">
        <v>2699</v>
      </c>
      <c r="X30" s="29">
        <v>0</v>
      </c>
      <c r="AC30" s="7"/>
      <c r="AD30" s="130" t="s">
        <v>4249</v>
      </c>
      <c r="AE30" s="29">
        <v>3</v>
      </c>
    </row>
    <row r="31" spans="1:31" x14ac:dyDescent="0.2">
      <c r="A31" s="130" t="s">
        <v>2109</v>
      </c>
      <c r="B31" s="29">
        <v>0</v>
      </c>
      <c r="J31" s="51"/>
      <c r="M31" s="56"/>
      <c r="N31" s="56"/>
      <c r="W31" s="130" t="s">
        <v>2455</v>
      </c>
      <c r="X31" s="29">
        <v>1</v>
      </c>
      <c r="AC31" s="7"/>
      <c r="AD31" s="28" t="s">
        <v>115</v>
      </c>
      <c r="AE31" s="29">
        <v>0</v>
      </c>
    </row>
    <row r="32" spans="1:31" x14ac:dyDescent="0.2">
      <c r="A32" s="130" t="s">
        <v>2113</v>
      </c>
      <c r="B32" s="29">
        <v>0</v>
      </c>
      <c r="J32" s="51"/>
      <c r="M32" s="56"/>
      <c r="N32" s="56"/>
      <c r="W32" s="130" t="s">
        <v>2506</v>
      </c>
      <c r="X32" s="29">
        <v>1</v>
      </c>
      <c r="AC32" s="7"/>
      <c r="AD32" s="130" t="s">
        <v>115</v>
      </c>
      <c r="AE32" s="29">
        <v>0</v>
      </c>
    </row>
    <row r="33" spans="1:31" x14ac:dyDescent="0.2">
      <c r="A33" s="130" t="s">
        <v>2108</v>
      </c>
      <c r="B33" s="29">
        <v>2</v>
      </c>
      <c r="J33" s="51"/>
      <c r="M33" s="56"/>
      <c r="N33" s="56"/>
      <c r="W33" s="130" t="s">
        <v>3089</v>
      </c>
      <c r="X33" s="29">
        <v>1</v>
      </c>
      <c r="AC33" s="7"/>
      <c r="AD33" s="130" t="s">
        <v>176</v>
      </c>
      <c r="AE33" s="29">
        <v>0</v>
      </c>
    </row>
    <row r="34" spans="1:31" x14ac:dyDescent="0.2">
      <c r="A34" s="130" t="s">
        <v>2114</v>
      </c>
      <c r="B34" s="29">
        <v>0</v>
      </c>
      <c r="J34" s="51"/>
      <c r="M34" s="56"/>
      <c r="N34" s="56"/>
      <c r="W34" s="130" t="s">
        <v>2565</v>
      </c>
      <c r="X34" s="29">
        <v>0</v>
      </c>
      <c r="AC34" s="7"/>
      <c r="AD34" s="28" t="s">
        <v>176</v>
      </c>
      <c r="AE34" s="29">
        <v>78</v>
      </c>
    </row>
    <row r="35" spans="1:31" x14ac:dyDescent="0.2">
      <c r="A35" s="130" t="s">
        <v>2117</v>
      </c>
      <c r="B35" s="29">
        <v>0</v>
      </c>
      <c r="J35" s="51"/>
      <c r="M35" s="56"/>
      <c r="N35" s="56"/>
      <c r="W35" s="130" t="s">
        <v>2377</v>
      </c>
      <c r="X35" s="29">
        <v>1</v>
      </c>
      <c r="AC35" s="7"/>
      <c r="AD35" s="130" t="s">
        <v>4299</v>
      </c>
      <c r="AE35" s="29">
        <v>0</v>
      </c>
    </row>
    <row r="36" spans="1:31" x14ac:dyDescent="0.2">
      <c r="A36" s="130" t="s">
        <v>2124</v>
      </c>
      <c r="B36" s="29">
        <v>0</v>
      </c>
      <c r="J36" s="51"/>
      <c r="M36" s="56"/>
      <c r="N36" s="56"/>
      <c r="W36" s="130" t="s">
        <v>3100</v>
      </c>
      <c r="X36" s="29">
        <v>1</v>
      </c>
      <c r="AA36" s="7"/>
      <c r="AB36" s="7"/>
      <c r="AC36" s="7"/>
      <c r="AD36" s="130" t="s">
        <v>115</v>
      </c>
      <c r="AE36" s="29">
        <v>0</v>
      </c>
    </row>
    <row r="37" spans="1:31" x14ac:dyDescent="0.2">
      <c r="A37" s="130" t="s">
        <v>2127</v>
      </c>
      <c r="B37" s="29">
        <v>0</v>
      </c>
      <c r="J37" s="51"/>
      <c r="W37" s="130" t="s">
        <v>2741</v>
      </c>
      <c r="X37" s="29">
        <v>1</v>
      </c>
      <c r="AA37" s="7"/>
      <c r="AB37" s="7"/>
      <c r="AC37" s="7"/>
      <c r="AD37" s="130" t="s">
        <v>176</v>
      </c>
      <c r="AE37" s="29">
        <v>78</v>
      </c>
    </row>
    <row r="38" spans="1:31" x14ac:dyDescent="0.2">
      <c r="A38" s="130" t="s">
        <v>1012</v>
      </c>
      <c r="B38" s="29">
        <v>4</v>
      </c>
      <c r="J38" s="52"/>
      <c r="W38" s="130" t="s">
        <v>2911</v>
      </c>
      <c r="X38" s="29">
        <v>1</v>
      </c>
      <c r="AA38" s="7"/>
      <c r="AB38" s="7"/>
      <c r="AC38" s="7"/>
      <c r="AD38" s="28" t="s">
        <v>2298</v>
      </c>
      <c r="AE38" s="29"/>
    </row>
    <row r="39" spans="1:31" x14ac:dyDescent="0.2">
      <c r="A39" s="28" t="s">
        <v>3955</v>
      </c>
      <c r="B39" s="29">
        <v>0</v>
      </c>
      <c r="W39" s="28" t="s">
        <v>3955</v>
      </c>
      <c r="X39" s="29">
        <v>0</v>
      </c>
      <c r="AA39" s="7"/>
      <c r="AB39" s="7"/>
      <c r="AC39" s="7"/>
      <c r="AD39" s="130" t="s">
        <v>2298</v>
      </c>
      <c r="AE39" s="29"/>
    </row>
    <row r="40" spans="1:31" x14ac:dyDescent="0.2">
      <c r="A40" s="130" t="s">
        <v>1039</v>
      </c>
      <c r="B40" s="29">
        <v>0</v>
      </c>
      <c r="W40" s="130" t="s">
        <v>1531</v>
      </c>
      <c r="X40" s="29">
        <v>0</v>
      </c>
      <c r="AA40" s="7"/>
      <c r="AB40" s="7"/>
      <c r="AC40" s="7"/>
      <c r="AD40" s="28" t="s">
        <v>3955</v>
      </c>
      <c r="AE40" s="29">
        <v>0</v>
      </c>
    </row>
    <row r="41" spans="1:31" x14ac:dyDescent="0.2">
      <c r="A41" s="130" t="s">
        <v>2049</v>
      </c>
      <c r="B41" s="29">
        <v>0</v>
      </c>
      <c r="W41" s="28" t="s">
        <v>112</v>
      </c>
      <c r="X41" s="29">
        <v>0</v>
      </c>
      <c r="AA41" s="7"/>
      <c r="AB41" s="7"/>
      <c r="AC41" s="7"/>
      <c r="AD41" s="130" t="s">
        <v>4592</v>
      </c>
      <c r="AE41" s="29">
        <v>0</v>
      </c>
    </row>
    <row r="42" spans="1:31" x14ac:dyDescent="0.2">
      <c r="A42" s="130" t="s">
        <v>2048</v>
      </c>
      <c r="B42" s="29">
        <v>0</v>
      </c>
      <c r="W42" s="130" t="s">
        <v>2466</v>
      </c>
      <c r="X42" s="29">
        <v>0</v>
      </c>
      <c r="AA42" s="7"/>
      <c r="AB42" s="7"/>
      <c r="AC42" s="7"/>
      <c r="AD42" s="130" t="s">
        <v>1531</v>
      </c>
      <c r="AE42" s="29">
        <v>0</v>
      </c>
    </row>
    <row r="43" spans="1:31" x14ac:dyDescent="0.2">
      <c r="A43" s="130" t="s">
        <v>360</v>
      </c>
      <c r="B43" s="29">
        <v>0</v>
      </c>
      <c r="W43" s="28" t="s">
        <v>176</v>
      </c>
      <c r="X43" s="29">
        <v>15</v>
      </c>
      <c r="AD43" s="28" t="s">
        <v>2299</v>
      </c>
      <c r="AE43" s="29">
        <v>132</v>
      </c>
    </row>
    <row r="44" spans="1:31" x14ac:dyDescent="0.2">
      <c r="A44" s="28" t="s">
        <v>112</v>
      </c>
      <c r="B44" s="29">
        <v>11</v>
      </c>
      <c r="W44" s="130" t="s">
        <v>24</v>
      </c>
      <c r="X44" s="29">
        <v>14</v>
      </c>
    </row>
    <row r="45" spans="1:31" x14ac:dyDescent="0.2">
      <c r="A45" s="130" t="s">
        <v>112</v>
      </c>
      <c r="B45" s="29">
        <v>9</v>
      </c>
      <c r="W45" s="130" t="s">
        <v>2829</v>
      </c>
      <c r="X45" s="29">
        <v>0</v>
      </c>
    </row>
    <row r="46" spans="1:31" x14ac:dyDescent="0.2">
      <c r="A46" s="130" t="s">
        <v>425</v>
      </c>
      <c r="B46" s="29">
        <v>1</v>
      </c>
      <c r="W46" s="130" t="s">
        <v>3052</v>
      </c>
      <c r="X46" s="29">
        <v>0</v>
      </c>
    </row>
    <row r="47" spans="1:31" x14ac:dyDescent="0.2">
      <c r="A47" s="130" t="s">
        <v>2138</v>
      </c>
      <c r="B47" s="29">
        <v>0</v>
      </c>
      <c r="W47" s="130" t="s">
        <v>3565</v>
      </c>
      <c r="X47" s="29">
        <v>0</v>
      </c>
    </row>
    <row r="48" spans="1:31" x14ac:dyDescent="0.2">
      <c r="A48" s="130" t="s">
        <v>2111</v>
      </c>
      <c r="B48" s="29">
        <v>1</v>
      </c>
      <c r="W48" s="130" t="s">
        <v>2696</v>
      </c>
      <c r="X48" s="29">
        <v>0</v>
      </c>
    </row>
    <row r="49" spans="1:24" x14ac:dyDescent="0.2">
      <c r="A49" s="130" t="s">
        <v>2122</v>
      </c>
      <c r="B49" s="29">
        <v>0</v>
      </c>
      <c r="W49" s="130" t="s">
        <v>3058</v>
      </c>
      <c r="X49" s="29">
        <v>0</v>
      </c>
    </row>
    <row r="50" spans="1:24" x14ac:dyDescent="0.2">
      <c r="A50" s="28" t="s">
        <v>176</v>
      </c>
      <c r="B50" s="29">
        <v>156</v>
      </c>
      <c r="W50" s="130" t="s">
        <v>2727</v>
      </c>
      <c r="X50" s="29">
        <v>0</v>
      </c>
    </row>
    <row r="51" spans="1:24" x14ac:dyDescent="0.2">
      <c r="A51" s="130" t="s">
        <v>176</v>
      </c>
      <c r="B51" s="29">
        <v>148</v>
      </c>
      <c r="W51" s="130" t="s">
        <v>3247</v>
      </c>
      <c r="X51" s="29">
        <v>1</v>
      </c>
    </row>
    <row r="52" spans="1:24" x14ac:dyDescent="0.2">
      <c r="A52" s="130" t="s">
        <v>1585</v>
      </c>
      <c r="B52" s="29">
        <v>1</v>
      </c>
      <c r="W52" s="28" t="s">
        <v>2298</v>
      </c>
      <c r="X52" s="29">
        <v>0</v>
      </c>
    </row>
    <row r="53" spans="1:24" x14ac:dyDescent="0.2">
      <c r="A53" s="130" t="s">
        <v>332</v>
      </c>
      <c r="B53" s="29">
        <v>0</v>
      </c>
      <c r="W53" s="130" t="s">
        <v>2625</v>
      </c>
      <c r="X53" s="29">
        <v>0</v>
      </c>
    </row>
    <row r="54" spans="1:24" x14ac:dyDescent="0.2">
      <c r="A54" s="130" t="s">
        <v>2115</v>
      </c>
      <c r="B54" s="29">
        <v>0</v>
      </c>
      <c r="W54" s="130" t="s">
        <v>115</v>
      </c>
      <c r="X54" s="29">
        <v>0</v>
      </c>
    </row>
    <row r="55" spans="1:24" x14ac:dyDescent="0.2">
      <c r="A55" s="130" t="s">
        <v>2116</v>
      </c>
      <c r="B55" s="29">
        <v>2</v>
      </c>
      <c r="W55" s="130" t="s">
        <v>24</v>
      </c>
      <c r="X55" s="29">
        <v>0</v>
      </c>
    </row>
    <row r="56" spans="1:24" x14ac:dyDescent="0.2">
      <c r="A56" s="130" t="s">
        <v>2119</v>
      </c>
      <c r="B56" s="29">
        <v>0</v>
      </c>
      <c r="W56" s="130" t="s">
        <v>2298</v>
      </c>
      <c r="X56" s="29"/>
    </row>
    <row r="57" spans="1:24" x14ac:dyDescent="0.2">
      <c r="A57" s="130" t="s">
        <v>4901</v>
      </c>
      <c r="B57" s="29">
        <v>1</v>
      </c>
      <c r="W57" s="28" t="s">
        <v>2299</v>
      </c>
      <c r="X57" s="29">
        <v>56</v>
      </c>
    </row>
    <row r="58" spans="1:24" x14ac:dyDescent="0.2">
      <c r="A58" s="130" t="s">
        <v>2140</v>
      </c>
      <c r="B58" s="29">
        <v>1</v>
      </c>
    </row>
    <row r="59" spans="1:24" x14ac:dyDescent="0.2">
      <c r="A59" s="130" t="s">
        <v>2120</v>
      </c>
      <c r="B59" s="29">
        <v>1</v>
      </c>
    </row>
    <row r="60" spans="1:24" x14ac:dyDescent="0.2">
      <c r="A60" s="130" t="s">
        <v>746</v>
      </c>
      <c r="B60" s="29">
        <v>0</v>
      </c>
    </row>
    <row r="61" spans="1:24" x14ac:dyDescent="0.2">
      <c r="A61" s="130" t="s">
        <v>2126</v>
      </c>
      <c r="B61" s="29">
        <v>0</v>
      </c>
    </row>
    <row r="62" spans="1:24" x14ac:dyDescent="0.2">
      <c r="A62" s="130" t="s">
        <v>136</v>
      </c>
      <c r="B62" s="29">
        <v>0</v>
      </c>
    </row>
    <row r="63" spans="1:24" x14ac:dyDescent="0.2">
      <c r="A63" s="130" t="s">
        <v>683</v>
      </c>
      <c r="B63" s="29">
        <v>0</v>
      </c>
    </row>
    <row r="64" spans="1:24" x14ac:dyDescent="0.2">
      <c r="A64" s="130" t="s">
        <v>2083</v>
      </c>
      <c r="B64" s="29">
        <v>0</v>
      </c>
    </row>
    <row r="65" spans="1:2" x14ac:dyDescent="0.2">
      <c r="A65" s="130" t="s">
        <v>1712</v>
      </c>
      <c r="B65" s="29">
        <v>0</v>
      </c>
    </row>
    <row r="66" spans="1:2" x14ac:dyDescent="0.2">
      <c r="A66" s="130" t="s">
        <v>555</v>
      </c>
      <c r="B66" s="29">
        <v>1</v>
      </c>
    </row>
    <row r="67" spans="1:2" x14ac:dyDescent="0.2">
      <c r="A67" s="130" t="s">
        <v>4990</v>
      </c>
      <c r="B67" s="29">
        <v>1</v>
      </c>
    </row>
    <row r="68" spans="1:2" x14ac:dyDescent="0.2">
      <c r="A68" s="130" t="s">
        <v>4923</v>
      </c>
      <c r="B68" s="29">
        <v>0</v>
      </c>
    </row>
    <row r="69" spans="1:2" x14ac:dyDescent="0.2">
      <c r="A69" s="130" t="s">
        <v>1131</v>
      </c>
      <c r="B69" s="29">
        <v>0</v>
      </c>
    </row>
    <row r="70" spans="1:2" x14ac:dyDescent="0.2">
      <c r="A70" s="130" t="s">
        <v>1569</v>
      </c>
      <c r="B70" s="29">
        <v>0</v>
      </c>
    </row>
    <row r="71" spans="1:2" x14ac:dyDescent="0.2">
      <c r="A71" s="130" t="s">
        <v>2121</v>
      </c>
      <c r="B71" s="29">
        <v>0</v>
      </c>
    </row>
    <row r="72" spans="1:2" x14ac:dyDescent="0.2">
      <c r="A72" s="130" t="s">
        <v>4980</v>
      </c>
      <c r="B72" s="29">
        <v>0</v>
      </c>
    </row>
    <row r="73" spans="1:2" x14ac:dyDescent="0.2">
      <c r="A73" s="130" t="s">
        <v>2133</v>
      </c>
      <c r="B73" s="29">
        <v>0</v>
      </c>
    </row>
    <row r="74" spans="1:2" x14ac:dyDescent="0.2">
      <c r="A74" s="28" t="s">
        <v>2298</v>
      </c>
      <c r="B74" s="29">
        <v>0</v>
      </c>
    </row>
    <row r="75" spans="1:2" x14ac:dyDescent="0.2">
      <c r="A75" s="130" t="s">
        <v>115</v>
      </c>
      <c r="B75" s="29">
        <v>0</v>
      </c>
    </row>
    <row r="76" spans="1:2" x14ac:dyDescent="0.2">
      <c r="A76" s="130" t="s">
        <v>2298</v>
      </c>
      <c r="B76" s="29"/>
    </row>
    <row r="77" spans="1:2" x14ac:dyDescent="0.2">
      <c r="A77" s="28" t="s">
        <v>2299</v>
      </c>
      <c r="B77" s="29">
        <v>306</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5F48E0-66E0-334B-B387-974324112B71}">
  <sheetPr>
    <tabColor theme="2" tint="-0.249977111117893"/>
  </sheetPr>
  <dimension ref="A3:AC80"/>
  <sheetViews>
    <sheetView topLeftCell="N18" zoomScale="99" workbookViewId="0">
      <selection activeCell="R35" sqref="R35"/>
    </sheetView>
  </sheetViews>
  <sheetFormatPr baseColWidth="10" defaultRowHeight="16" x14ac:dyDescent="0.2"/>
  <cols>
    <col min="1" max="1" width="22.33203125" bestFit="1" customWidth="1"/>
    <col min="2" max="2" width="15.6640625" bestFit="1" customWidth="1"/>
    <col min="3" max="3" width="4.1640625" bestFit="1" customWidth="1"/>
    <col min="4" max="4" width="6.83203125" bestFit="1" customWidth="1"/>
    <col min="5" max="6" width="11" bestFit="1" customWidth="1"/>
    <col min="7" max="7" width="10.33203125" bestFit="1" customWidth="1"/>
    <col min="8" max="8" width="7.6640625" bestFit="1" customWidth="1"/>
    <col min="9" max="9" width="6.83203125" bestFit="1" customWidth="1"/>
    <col min="10" max="10" width="27.33203125" bestFit="1" customWidth="1"/>
    <col min="11" max="11" width="18.83203125" bestFit="1" customWidth="1"/>
    <col min="12" max="12" width="14.33203125" customWidth="1"/>
    <col min="13" max="13" width="15.1640625" bestFit="1" customWidth="1"/>
    <col min="14" max="14" width="11" bestFit="1" customWidth="1"/>
    <col min="15" max="15" width="23.6640625" bestFit="1" customWidth="1"/>
    <col min="16" max="16" width="8.5" bestFit="1" customWidth="1"/>
    <col min="17" max="17" width="9" bestFit="1" customWidth="1"/>
    <col min="18" max="18" width="20.1640625" bestFit="1" customWidth="1"/>
    <col min="19" max="19" width="10.1640625" bestFit="1" customWidth="1"/>
    <col min="20" max="20" width="6.83203125" bestFit="1" customWidth="1"/>
  </cols>
  <sheetData>
    <row r="3" spans="1:16" x14ac:dyDescent="0.2">
      <c r="A3" s="26" t="s">
        <v>4023</v>
      </c>
      <c r="G3" s="26" t="s">
        <v>4720</v>
      </c>
      <c r="H3" s="26" t="s">
        <v>4719</v>
      </c>
      <c r="I3" t="s">
        <v>4721</v>
      </c>
      <c r="J3" t="s">
        <v>4714</v>
      </c>
      <c r="M3" s="26" t="s">
        <v>4720</v>
      </c>
      <c r="N3" t="s">
        <v>4714</v>
      </c>
      <c r="O3" s="56"/>
      <c r="P3" s="56"/>
    </row>
    <row r="4" spans="1:16" x14ac:dyDescent="0.2">
      <c r="A4" s="27" t="s">
        <v>4717</v>
      </c>
      <c r="B4" s="27" t="s">
        <v>4689</v>
      </c>
      <c r="G4" s="51" t="s">
        <v>461</v>
      </c>
      <c r="H4">
        <f>SUM(GETPIVOTDATA("Cache deposited?",$A$4,"Food category","Animal flesh")+GETPIVOTDATA("Cache deposited?",$A$24,"Food category","Animal flesh")+GETPIVOTDATA("Cache deposited?",$A$38,"Food category","Animal flesh")+GETPIVOTDATA("Cache deposited?",$A$69,"Food category","Animal flesh"))</f>
        <v>51</v>
      </c>
      <c r="I4" s="56">
        <f>H4/H11</f>
        <v>0.10119047619047619</v>
      </c>
      <c r="J4" s="56">
        <f>H4/H12</f>
        <v>0.20564516129032259</v>
      </c>
      <c r="M4" s="51" t="s">
        <v>461</v>
      </c>
      <c r="N4" s="56">
        <v>0.20564516129032259</v>
      </c>
      <c r="O4" s="56"/>
      <c r="P4" s="56"/>
    </row>
    <row r="5" spans="1:16" x14ac:dyDescent="0.2">
      <c r="A5" s="27" t="s">
        <v>2297</v>
      </c>
      <c r="B5" t="s">
        <v>4026</v>
      </c>
      <c r="C5" t="s">
        <v>2298</v>
      </c>
      <c r="D5" t="s">
        <v>2299</v>
      </c>
      <c r="G5" s="51" t="s">
        <v>14</v>
      </c>
      <c r="H5">
        <f>SUM(GETPIVOTDATA("Cache deposited?",$A$4,"Food category","Berry")+GETPIVOTDATA("Cache deposited?",$A$24,"Food category","Berry")+GETPIVOTDATA("Cache deposited?",$A$38,"Food category","Berry")+GETPIVOTDATA("Cache deposited?",$A$69,"Food category","Berries"))</f>
        <v>60</v>
      </c>
      <c r="I5" s="56">
        <f>H5/H11</f>
        <v>0.11904761904761904</v>
      </c>
      <c r="J5" s="56">
        <f>H5/H12</f>
        <v>0.24193548387096775</v>
      </c>
      <c r="M5" s="51" t="s">
        <v>14</v>
      </c>
      <c r="N5" s="56">
        <v>0.24193548387096775</v>
      </c>
      <c r="O5" s="56"/>
      <c r="P5" s="56"/>
    </row>
    <row r="6" spans="1:16" x14ac:dyDescent="0.2">
      <c r="A6" s="28" t="s">
        <v>461</v>
      </c>
      <c r="B6" s="29">
        <v>0</v>
      </c>
      <c r="C6" s="29"/>
      <c r="D6" s="29">
        <v>0</v>
      </c>
      <c r="G6" s="51" t="s">
        <v>1618</v>
      </c>
      <c r="H6">
        <f>GETPIVOTDATA("Cache deposited?",$A$4,"Food category","Human food")+GETPIVOTDATA("Cache deposited?",$A$24,"Food category","Human food")+GETPIVOTDATA("Cache deposited?",$A$38,"Food category","Human food")+GETPIVOTDATA("Cache deposited?",$A$55,"Food category","Human food")+GETPIVOTDATA("Cache deposited?",$A$69,"Food category","Human food")</f>
        <v>42</v>
      </c>
      <c r="I6" s="56">
        <f>H6/H11</f>
        <v>8.3333333333333329E-2</v>
      </c>
      <c r="J6" s="56">
        <f>H6/H12</f>
        <v>0.16935483870967741</v>
      </c>
      <c r="M6" s="51" t="s">
        <v>1618</v>
      </c>
      <c r="N6" s="56">
        <v>0.16935483870967741</v>
      </c>
      <c r="O6" s="56"/>
      <c r="P6" s="56"/>
    </row>
    <row r="7" spans="1:16" x14ac:dyDescent="0.2">
      <c r="A7" s="28" t="s">
        <v>14</v>
      </c>
      <c r="B7" s="29"/>
      <c r="C7" s="29"/>
      <c r="D7" s="29"/>
      <c r="G7" s="51" t="s">
        <v>598</v>
      </c>
      <c r="H7">
        <f>SUM(GETPIVOTDATA("Cache deposited?",$A$24,"Food category","Insect")+GETPIVOTDATA("Cache deposited?",$A$38,"Food category","Insect")+GETPIVOTDATA("Cache deposited?",$A$55,"Food category","Insect")+GETPIVOTDATA("Cache deposited?",$A$69,"Food category","Insect"))</f>
        <v>53</v>
      </c>
      <c r="I7" s="56">
        <f>H7/H11</f>
        <v>0.10515873015873016</v>
      </c>
      <c r="J7" s="56">
        <f>H7/H12</f>
        <v>0.21370967741935484</v>
      </c>
      <c r="M7" s="51" t="s">
        <v>598</v>
      </c>
      <c r="N7" s="56">
        <v>4.0322580645161289E-3</v>
      </c>
      <c r="O7" s="56"/>
      <c r="P7" s="56"/>
    </row>
    <row r="8" spans="1:16" x14ac:dyDescent="0.2">
      <c r="A8" s="28" t="s">
        <v>1618</v>
      </c>
      <c r="B8" s="29">
        <v>0</v>
      </c>
      <c r="C8" s="29"/>
      <c r="D8" s="29">
        <v>0</v>
      </c>
      <c r="G8" s="51" t="s">
        <v>3955</v>
      </c>
      <c r="H8">
        <f>SUM(GETPIVOTDATA("Cache deposited?",$A$4,"Food category","misc")+GETPIVOTDATA("Cache deposited?",$A$24,"Food category","Misc")+GETPIVOTDATA("Cache deposited?",$A$38,"Food category","Misc")+GETPIVOTDATA("Cache deposited?",$A$69,"Food category","Misc"))</f>
        <v>1</v>
      </c>
      <c r="I8" s="56">
        <f>H8/H11</f>
        <v>1.984126984126984E-3</v>
      </c>
      <c r="J8" s="56">
        <f>H8/H12</f>
        <v>4.0322580645161289E-3</v>
      </c>
      <c r="M8" s="51" t="s">
        <v>3955</v>
      </c>
      <c r="N8" s="56">
        <v>4.0322580645161289E-3</v>
      </c>
      <c r="O8" s="56"/>
      <c r="P8" s="56"/>
    </row>
    <row r="9" spans="1:16" x14ac:dyDescent="0.2">
      <c r="A9" s="28" t="s">
        <v>4030</v>
      </c>
      <c r="B9" s="29">
        <v>1</v>
      </c>
      <c r="C9" s="29"/>
      <c r="D9" s="29">
        <v>1</v>
      </c>
      <c r="G9" s="51" t="s">
        <v>112</v>
      </c>
      <c r="H9">
        <f>SUM(GETPIVOTDATA("Cache deposited?",$A$24,"Food category","Mushroom")+GETPIVOTDATA("Cache deposited?",$A$38,"Food category","Mushroom")+GETPIVOTDATA("Cache deposited?",$A$69,"Food category","Mushroom"))</f>
        <v>41</v>
      </c>
      <c r="I9" s="56">
        <f>H9/H11</f>
        <v>8.1349206349206352E-2</v>
      </c>
      <c r="J9" s="56">
        <f>H9/H12</f>
        <v>0.16532258064516128</v>
      </c>
      <c r="M9" s="51" t="s">
        <v>112</v>
      </c>
      <c r="N9" s="56">
        <v>0.16532258064516128</v>
      </c>
      <c r="O9" s="56"/>
    </row>
    <row r="10" spans="1:16" x14ac:dyDescent="0.2">
      <c r="A10" s="28" t="s">
        <v>176</v>
      </c>
      <c r="B10" s="29">
        <v>2</v>
      </c>
      <c r="C10" s="29"/>
      <c r="D10" s="29">
        <v>2</v>
      </c>
      <c r="G10" s="51" t="s">
        <v>176</v>
      </c>
      <c r="H10">
        <f>SUM(GETPIVOTDATA("Cache deposited?",$A$4,"Food category","Unknown")+GETPIVOTDATA("Cache deposited?",$A$24,"Food category","Unknown")+GETPIVOTDATA("Cache deposited?",$A$38,"Food category","Unknown")+GETPIVOTDATA("Cache deposited?",$A$55,"Food category","Unknown")+GETPIVOTDATA("Cache deposited?",$A$69,"Food category","Unknown"))</f>
        <v>256</v>
      </c>
      <c r="I10" s="56">
        <f>H10/H11</f>
        <v>0.50793650793650791</v>
      </c>
      <c r="J10" s="56"/>
      <c r="M10" s="52"/>
    </row>
    <row r="11" spans="1:16" x14ac:dyDescent="0.2">
      <c r="A11" s="28" t="s">
        <v>2298</v>
      </c>
      <c r="B11" s="29">
        <v>0</v>
      </c>
      <c r="C11" s="29"/>
      <c r="D11" s="29">
        <v>0</v>
      </c>
      <c r="G11" s="52" t="s">
        <v>4690</v>
      </c>
      <c r="H11">
        <f>SUM(GETPIVOTDATA("Cache deposited?",$A$4)+GETPIVOTDATA("Cache deposited?",$A$24)+GETPIVOTDATA("Cache deposited?",$A$38)+GETPIVOTDATA("Cache deposited?",$A$55)+GETPIVOTDATA("Cache deposited?",$A$69))</f>
        <v>504</v>
      </c>
      <c r="I11" s="56"/>
      <c r="J11" s="56"/>
    </row>
    <row r="12" spans="1:16" x14ac:dyDescent="0.2">
      <c r="A12" s="28" t="s">
        <v>2299</v>
      </c>
      <c r="B12" s="29">
        <v>3</v>
      </c>
      <c r="C12" s="29"/>
      <c r="D12" s="29">
        <v>3</v>
      </c>
      <c r="G12" s="52" t="s">
        <v>4722</v>
      </c>
      <c r="H12">
        <f>SUM(H4:H9)</f>
        <v>248</v>
      </c>
      <c r="I12" s="56">
        <f>H12/H11</f>
        <v>0.49206349206349204</v>
      </c>
      <c r="J12" s="56"/>
    </row>
    <row r="20" spans="1:29" x14ac:dyDescent="0.2">
      <c r="J20" s="26"/>
      <c r="K20" s="5" t="s">
        <v>4026</v>
      </c>
      <c r="L20" s="5" t="s">
        <v>4027</v>
      </c>
      <c r="M20" s="5" t="s">
        <v>4028</v>
      </c>
      <c r="N20" s="5" t="s">
        <v>4034</v>
      </c>
      <c r="O20" s="5" t="s">
        <v>4058</v>
      </c>
      <c r="P20" s="5" t="s">
        <v>4031</v>
      </c>
      <c r="Q20" s="5" t="s">
        <v>4032</v>
      </c>
      <c r="R20" s="5" t="s">
        <v>4692</v>
      </c>
      <c r="S20" s="5" t="s">
        <v>4690</v>
      </c>
      <c r="U20" s="113" t="s">
        <v>4718</v>
      </c>
      <c r="V20" s="112"/>
      <c r="W20" s="112"/>
      <c r="X20" s="112"/>
      <c r="Y20" s="112"/>
      <c r="Z20" s="112"/>
      <c r="AA20" s="112"/>
      <c r="AB20" s="112"/>
      <c r="AC20" s="112"/>
    </row>
    <row r="21" spans="1:29" ht="19" customHeight="1" x14ac:dyDescent="0.2">
      <c r="J21" s="51" t="s">
        <v>461</v>
      </c>
      <c r="K21">
        <f>SUM(GETPIVOTDATA("Cache deposited?",$A$4,"Month","March","Food category","Animal flesh")+GETPIVOTDATA("Cache deposited?",$A$38,"Month","March","Food category","Animal flesh"))</f>
        <v>0</v>
      </c>
      <c r="L21">
        <f>GETPIVOTDATA("Cache deposited?",$A$38,"Month","April","Food category","Animal flesh")</f>
        <v>3</v>
      </c>
      <c r="M21" s="54">
        <f>GETPIVOTDATA("Cache deposited?",$A$38,"Month","May","Food category","Animal flesh")</f>
        <v>0</v>
      </c>
      <c r="N21">
        <v>0</v>
      </c>
      <c r="O21">
        <v>0</v>
      </c>
      <c r="P21">
        <f>SUM(GETPIVOTDATA("Cache deposited?",$A$24,"Month","August","Food category","Animal flesh")+GETPIVOTDATA("Cache deposited?",$A$69,"Month","August","Food category","Animal flesh"))</f>
        <v>3</v>
      </c>
      <c r="Q21">
        <f>GETPIVOTDATA("Cache deposited?",$A$24,"Month","September","Food category","Animal flesh")</f>
        <v>12</v>
      </c>
      <c r="R21" s="57">
        <v>33</v>
      </c>
      <c r="S21">
        <f>SUM(K21:R21)</f>
        <v>51</v>
      </c>
      <c r="U21" s="112"/>
      <c r="V21" s="114" t="s">
        <v>4026</v>
      </c>
      <c r="W21" s="114" t="s">
        <v>4027</v>
      </c>
      <c r="X21" s="114" t="s">
        <v>4028</v>
      </c>
      <c r="Y21" s="114" t="s">
        <v>4034</v>
      </c>
      <c r="Z21" s="114" t="s">
        <v>4058</v>
      </c>
      <c r="AA21" s="114" t="s">
        <v>4031</v>
      </c>
      <c r="AB21" s="114" t="s">
        <v>4032</v>
      </c>
      <c r="AC21" s="114" t="s">
        <v>4692</v>
      </c>
    </row>
    <row r="22" spans="1:29" ht="19" customHeight="1" x14ac:dyDescent="0.2">
      <c r="J22" s="51" t="s">
        <v>14</v>
      </c>
      <c r="K22">
        <f>SUM(GETPIVOTDATA("Cache deposited?",$A$38,"Month","March","Food category","Berry"))</f>
        <v>3</v>
      </c>
      <c r="L22">
        <f>GETPIVOTDATA("Cache deposited?",$A$38,"Month","April","Food category","Berry")</f>
        <v>3</v>
      </c>
      <c r="M22" s="54">
        <f>GETPIVOTDATA("Cache deposited?",$A$38,"Month","May","Food category","Berry")</f>
        <v>0</v>
      </c>
      <c r="N22">
        <f>0</f>
        <v>0</v>
      </c>
      <c r="O22">
        <v>0</v>
      </c>
      <c r="P22">
        <f>SUM(GETPIVOTDATA("Cache deposited?",$A$24,"Month","August","Food category","Berry")+GETPIVOTDATA("Cache deposited?",$A$69,"Month","August","Food category","Berries"))</f>
        <v>8</v>
      </c>
      <c r="Q22">
        <f>GETPIVOTDATA("Cache deposited?",$A$24,"Month","September","Food category","Berry")</f>
        <v>15</v>
      </c>
      <c r="R22" s="57">
        <v>31</v>
      </c>
      <c r="S22">
        <f t="shared" ref="S22:S27" si="0">SUM(K22:R22)</f>
        <v>60</v>
      </c>
      <c r="U22" s="115" t="s">
        <v>461</v>
      </c>
      <c r="V22" s="112">
        <f>K21/P43*2</f>
        <v>0</v>
      </c>
      <c r="W22" s="112">
        <f>L21/P44*23</f>
        <v>3.833333333333333</v>
      </c>
      <c r="X22" s="112">
        <f>M21/7*23</f>
        <v>0</v>
      </c>
      <c r="Y22" s="112">
        <f>N21/1*23</f>
        <v>0</v>
      </c>
      <c r="Z22" s="112">
        <f>O21/3*23</f>
        <v>0</v>
      </c>
      <c r="AA22" s="112">
        <f>P21/21*23</f>
        <v>3.2857142857142856</v>
      </c>
      <c r="AB22" s="112">
        <f>Q21/23*23</f>
        <v>12</v>
      </c>
      <c r="AC22" s="112">
        <f>R21/21*23</f>
        <v>36.142857142857139</v>
      </c>
    </row>
    <row r="23" spans="1:29" ht="19" customHeight="1" x14ac:dyDescent="0.2">
      <c r="A23" s="26" t="s">
        <v>3959</v>
      </c>
      <c r="J23" s="51" t="s">
        <v>1618</v>
      </c>
      <c r="K23">
        <f>GETPIVOTDATA("Cache deposited?",$A$4,"Month","March","Food category","Human food")+GETPIVOTDATA("Cache deposited?",$A$38,"Month","March","Food category","Human food")</f>
        <v>0</v>
      </c>
      <c r="L23">
        <f>GETPIVOTDATA("Cache deposited?",$A$38,"Month","April","Food category","Human food")</f>
        <v>2</v>
      </c>
      <c r="M23" s="54">
        <f>GETPIVOTDATA("Cache deposited?",$A$38,"Month","May","Food category","Human food")</f>
        <v>0</v>
      </c>
      <c r="N23">
        <f>GETPIVOTDATA("Cache deposited?",$A$55,"Month","June","Food category","Human food")</f>
        <v>1</v>
      </c>
      <c r="O23">
        <v>0</v>
      </c>
      <c r="P23">
        <f>SUM(GETPIVOTDATA("Cache deposited?",$A$24,"Month","August","Food category","Human food")+GETPIVOTDATA("Cache deposited?",$A$69,"Month","August","Food category","Human food"))</f>
        <v>1</v>
      </c>
      <c r="Q23">
        <f>GETPIVOTDATA("Cache deposited?",$A$24,"Month","September","Food category","Human food")</f>
        <v>38</v>
      </c>
      <c r="R23" s="57">
        <v>0</v>
      </c>
      <c r="S23">
        <f t="shared" si="0"/>
        <v>42</v>
      </c>
      <c r="U23" s="115" t="s">
        <v>14</v>
      </c>
      <c r="V23" s="112">
        <f>K22/P43*23</f>
        <v>4.0588235294117654</v>
      </c>
      <c r="W23" s="112">
        <f>L22/P44*23</f>
        <v>3.833333333333333</v>
      </c>
      <c r="X23" s="112">
        <f t="shared" ref="X23:X27" si="1">M22/7*23</f>
        <v>0</v>
      </c>
      <c r="Y23" s="112">
        <f t="shared" ref="Y23:Y27" si="2">N22/1*23</f>
        <v>0</v>
      </c>
      <c r="Z23" s="112">
        <f t="shared" ref="Z23:Z27" si="3">O22/3*23</f>
        <v>0</v>
      </c>
      <c r="AA23" s="112">
        <f t="shared" ref="AA23:AA27" si="4">P22/21*23</f>
        <v>8.761904761904761</v>
      </c>
      <c r="AB23" s="112">
        <f t="shared" ref="AB23:AB27" si="5">Q22/23*23</f>
        <v>15</v>
      </c>
      <c r="AC23" s="112">
        <f t="shared" ref="AC23:AC27" si="6">R22/21*23</f>
        <v>33.952380952380956</v>
      </c>
    </row>
    <row r="24" spans="1:29" ht="19" customHeight="1" x14ac:dyDescent="0.2">
      <c r="A24" s="27" t="s">
        <v>4717</v>
      </c>
      <c r="B24" s="27" t="s">
        <v>4689</v>
      </c>
      <c r="J24" s="51" t="s">
        <v>598</v>
      </c>
      <c r="K24">
        <f>SUM(GETPIVOTDATA("Cache deposited?",$A$38,"Month","March","Food category","Insect"))</f>
        <v>5</v>
      </c>
      <c r="L24">
        <f>GETPIVOTDATA("Cache deposited?",$A$38,"Month","April","Food category","Insect")</f>
        <v>17</v>
      </c>
      <c r="M24" s="54">
        <f>GETPIVOTDATA("Cache deposited?",$A$38,"Month","May","Food category","Insect")</f>
        <v>8</v>
      </c>
      <c r="N24">
        <v>1</v>
      </c>
      <c r="O24">
        <v>0</v>
      </c>
      <c r="P24">
        <f>SUM(GETPIVOTDATA("Cache deposited?",$A$24,"Month","August","Food category","Insect")+GETPIVOTDATA("Cache deposited?",$A$69,"Month","August","Food category","Insect"))</f>
        <v>14</v>
      </c>
      <c r="Q24">
        <f>GETPIVOTDATA("Cache deposited?",$A$24,"Month","September","Food category","Insect")</f>
        <v>6</v>
      </c>
      <c r="R24" s="57">
        <v>2</v>
      </c>
      <c r="S24">
        <f t="shared" si="0"/>
        <v>53</v>
      </c>
      <c r="U24" s="115" t="s">
        <v>1618</v>
      </c>
      <c r="V24" s="112">
        <f>K23/P43*23</f>
        <v>0</v>
      </c>
      <c r="W24" s="112">
        <f>L23/P44*23</f>
        <v>2.5555555555555554</v>
      </c>
      <c r="X24" s="112">
        <f t="shared" si="1"/>
        <v>0</v>
      </c>
      <c r="Y24" s="112">
        <f t="shared" si="2"/>
        <v>23</v>
      </c>
      <c r="Z24" s="112">
        <f t="shared" si="3"/>
        <v>0</v>
      </c>
      <c r="AA24" s="112">
        <f t="shared" si="4"/>
        <v>1.0952380952380951</v>
      </c>
      <c r="AB24" s="112">
        <f t="shared" si="5"/>
        <v>38</v>
      </c>
      <c r="AC24" s="112">
        <f t="shared" si="6"/>
        <v>0</v>
      </c>
    </row>
    <row r="25" spans="1:29" ht="19" customHeight="1" x14ac:dyDescent="0.2">
      <c r="A25" s="27" t="s">
        <v>2297</v>
      </c>
      <c r="B25" t="s">
        <v>4031</v>
      </c>
      <c r="C25" t="s">
        <v>4032</v>
      </c>
      <c r="D25" t="s">
        <v>4033</v>
      </c>
      <c r="E25" t="s">
        <v>2298</v>
      </c>
      <c r="F25" t="s">
        <v>2299</v>
      </c>
      <c r="J25" s="51" t="s">
        <v>3955</v>
      </c>
      <c r="K25">
        <f>SUM(GETPIVOTDATA("Cache deposited?",$A$4,"Month","March","Food category","misc")+GETPIVOTDATA("Cache deposited?",$A$38,"Month","March","Food category","Misc"))</f>
        <v>1</v>
      </c>
      <c r="L25">
        <f>GETPIVOTDATA("Cache deposited?",$A$38,"Month","April","Food category","Misc")</f>
        <v>0</v>
      </c>
      <c r="M25" s="54">
        <f>GETPIVOTDATA("Cache deposited?",$A$38,"Month","May","Food category","Misc")</f>
        <v>0</v>
      </c>
      <c r="N25">
        <v>0</v>
      </c>
      <c r="O25">
        <v>0</v>
      </c>
      <c r="P25">
        <f>SUM(GETPIVOTDATA("Cache deposited?",$A$24,"Month","August","Food category","Misc")+GETPIVOTDATA("Cache deposited?",$A$69,"Month","August","Food category","Misc"))</f>
        <v>0</v>
      </c>
      <c r="Q25">
        <f>GETPIVOTDATA("Cache deposited?",$A$24,"Month","September","Food category","Misc")</f>
        <v>0</v>
      </c>
      <c r="R25" s="57">
        <v>0</v>
      </c>
      <c r="S25">
        <f t="shared" si="0"/>
        <v>1</v>
      </c>
      <c r="U25" s="115" t="s">
        <v>598</v>
      </c>
      <c r="V25" s="112">
        <f>K24/P43*23</f>
        <v>6.7647058823529411</v>
      </c>
      <c r="W25" s="112">
        <f>K25/P44*23</f>
        <v>1.2777777777777777</v>
      </c>
      <c r="X25" s="112">
        <f t="shared" si="1"/>
        <v>26.285714285714285</v>
      </c>
      <c r="Y25" s="112">
        <f t="shared" si="2"/>
        <v>23</v>
      </c>
      <c r="Z25" s="112">
        <f t="shared" si="3"/>
        <v>0</v>
      </c>
      <c r="AA25" s="112">
        <f t="shared" si="4"/>
        <v>15.333333333333332</v>
      </c>
      <c r="AB25" s="112">
        <f t="shared" si="5"/>
        <v>6</v>
      </c>
      <c r="AC25" s="112">
        <f t="shared" si="6"/>
        <v>2.1904761904761902</v>
      </c>
    </row>
    <row r="26" spans="1:29" x14ac:dyDescent="0.2">
      <c r="A26" s="28" t="s">
        <v>461</v>
      </c>
      <c r="B26" s="29">
        <v>0</v>
      </c>
      <c r="C26" s="29">
        <v>12</v>
      </c>
      <c r="D26" s="29">
        <v>33</v>
      </c>
      <c r="E26" s="29"/>
      <c r="F26" s="29">
        <v>45</v>
      </c>
      <c r="J26" s="51" t="s">
        <v>112</v>
      </c>
      <c r="K26">
        <f>SUM(GETPIVOTDATA("Cache deposited?",$A$38,"Month","March","Food category","Mushroom"))</f>
        <v>0</v>
      </c>
      <c r="L26">
        <f>GETPIVOTDATA("Cache deposited?",$A$38,"Month","April","Food category","Mushroom")</f>
        <v>0</v>
      </c>
      <c r="M26" s="55">
        <f>GETPIVOTDATA("Cache deposited?",$A$38,"Month","May","Food category","Mushroom")</f>
        <v>0</v>
      </c>
      <c r="N26">
        <v>0</v>
      </c>
      <c r="O26">
        <v>0</v>
      </c>
      <c r="P26">
        <f>SUM(GETPIVOTDATA("Cache deposited?",$A$24,"Month","August","Food category","Mushroom")+GETPIVOTDATA("Cache deposited?",$A$69,"Month","August","Food category","Mushroom"))</f>
        <v>32</v>
      </c>
      <c r="Q26">
        <f>GETPIVOTDATA("Cache deposited?",$A$24,"Month","September","Food category","Mushroom")</f>
        <v>8</v>
      </c>
      <c r="R26" s="57">
        <v>1</v>
      </c>
      <c r="S26">
        <f t="shared" si="0"/>
        <v>41</v>
      </c>
      <c r="U26" s="115" t="s">
        <v>3955</v>
      </c>
      <c r="V26" s="112">
        <f>K25/P43*23</f>
        <v>1.3529411764705883</v>
      </c>
      <c r="W26" s="112">
        <f>L25/P44*23</f>
        <v>0</v>
      </c>
      <c r="X26" s="112">
        <f t="shared" si="1"/>
        <v>0</v>
      </c>
      <c r="Y26" s="112">
        <f t="shared" si="2"/>
        <v>0</v>
      </c>
      <c r="Z26" s="112">
        <f t="shared" si="3"/>
        <v>0</v>
      </c>
      <c r="AA26" s="112">
        <f t="shared" si="4"/>
        <v>0</v>
      </c>
      <c r="AB26" s="112">
        <f t="shared" si="5"/>
        <v>0</v>
      </c>
      <c r="AC26" s="112">
        <f t="shared" si="6"/>
        <v>0</v>
      </c>
    </row>
    <row r="27" spans="1:29" x14ac:dyDescent="0.2">
      <c r="A27" s="28" t="s">
        <v>14</v>
      </c>
      <c r="B27" s="29">
        <v>2</v>
      </c>
      <c r="C27" s="29">
        <v>15</v>
      </c>
      <c r="D27" s="29">
        <v>31</v>
      </c>
      <c r="E27" s="29"/>
      <c r="F27" s="29">
        <v>48</v>
      </c>
      <c r="J27" s="51" t="s">
        <v>176</v>
      </c>
      <c r="K27">
        <f>GETPIVOTDATA("Cache deposited?",$A$4,"Month","March","Food category","Unknown")+GETPIVOTDATA("Cache deposited?",$A$38,"Month","March","Food category","Unknown")</f>
        <v>5</v>
      </c>
      <c r="L27">
        <f>GETPIVOTDATA("Cache deposited?",$A$38,"Month","April","Food category","Unknown")</f>
        <v>8</v>
      </c>
      <c r="M27">
        <f>GETPIVOTDATA("Cache deposited?",$A$38,"Month","May","Food category","Unknown")</f>
        <v>4</v>
      </c>
      <c r="N27">
        <v>0</v>
      </c>
      <c r="O27">
        <v>5</v>
      </c>
      <c r="P27">
        <f>SUM(GETPIVOTDATA("Cache deposited?",$A$24,"Month","August","Food category","Unknown")+GETPIVOTDATA("Cache deposited?",$A$69,"Month","August","Food category","Unknown"))</f>
        <v>84</v>
      </c>
      <c r="Q27">
        <f>GETPIVOTDATA("Cache deposited?",$A$24,"Month","September","Food category","Unknown")</f>
        <v>85</v>
      </c>
      <c r="R27" s="57">
        <v>65</v>
      </c>
      <c r="S27">
        <f t="shared" si="0"/>
        <v>256</v>
      </c>
      <c r="U27" s="115" t="s">
        <v>112</v>
      </c>
      <c r="V27" s="112">
        <f>K26/P43*2</f>
        <v>0</v>
      </c>
      <c r="W27" s="112">
        <f>L26/P44*23</f>
        <v>0</v>
      </c>
      <c r="X27" s="112">
        <f t="shared" si="1"/>
        <v>0</v>
      </c>
      <c r="Y27" s="112">
        <f t="shared" si="2"/>
        <v>0</v>
      </c>
      <c r="Z27" s="112">
        <f t="shared" si="3"/>
        <v>0</v>
      </c>
      <c r="AA27" s="112">
        <f t="shared" si="4"/>
        <v>35.047619047619044</v>
      </c>
      <c r="AB27" s="112">
        <f t="shared" si="5"/>
        <v>8</v>
      </c>
      <c r="AC27" s="112">
        <f t="shared" si="6"/>
        <v>1.0952380952380951</v>
      </c>
    </row>
    <row r="28" spans="1:29" x14ac:dyDescent="0.2">
      <c r="A28" s="28" t="s">
        <v>1618</v>
      </c>
      <c r="B28" s="29"/>
      <c r="C28" s="29">
        <v>38</v>
      </c>
      <c r="D28" s="29">
        <v>0</v>
      </c>
      <c r="E28" s="29"/>
      <c r="F28" s="29">
        <v>38</v>
      </c>
      <c r="J28" s="52" t="s">
        <v>4690</v>
      </c>
      <c r="K28">
        <f>SUM(K21:K27)</f>
        <v>14</v>
      </c>
      <c r="L28">
        <f t="shared" ref="L28:R28" si="7">SUM(L21:L27)</f>
        <v>33</v>
      </c>
      <c r="M28">
        <f t="shared" si="7"/>
        <v>12</v>
      </c>
      <c r="N28">
        <f t="shared" si="7"/>
        <v>2</v>
      </c>
      <c r="O28">
        <f t="shared" si="7"/>
        <v>5</v>
      </c>
      <c r="P28">
        <f t="shared" si="7"/>
        <v>142</v>
      </c>
      <c r="Q28">
        <f t="shared" si="7"/>
        <v>164</v>
      </c>
      <c r="R28">
        <f t="shared" si="7"/>
        <v>132</v>
      </c>
      <c r="U28" s="115" t="s">
        <v>176</v>
      </c>
      <c r="V28" s="112"/>
      <c r="W28" s="112"/>
      <c r="X28" s="112"/>
      <c r="Y28" s="112"/>
      <c r="Z28" s="112"/>
      <c r="AA28" s="112"/>
      <c r="AB28" s="112"/>
      <c r="AC28" s="112"/>
    </row>
    <row r="29" spans="1:29" x14ac:dyDescent="0.2">
      <c r="A29" s="28" t="s">
        <v>598</v>
      </c>
      <c r="B29" s="29">
        <v>0</v>
      </c>
      <c r="C29" s="29">
        <v>6</v>
      </c>
      <c r="D29" s="29">
        <v>2</v>
      </c>
      <c r="E29" s="29"/>
      <c r="F29" s="29">
        <v>8</v>
      </c>
      <c r="U29" s="112"/>
      <c r="V29" s="112"/>
      <c r="W29" s="112"/>
      <c r="X29" s="112"/>
      <c r="Y29" s="112"/>
      <c r="Z29" s="112"/>
      <c r="AA29" s="112"/>
      <c r="AB29" s="112"/>
      <c r="AC29" s="112"/>
    </row>
    <row r="30" spans="1:29" x14ac:dyDescent="0.2">
      <c r="A30" s="28" t="s">
        <v>3955</v>
      </c>
      <c r="B30" s="29">
        <v>0</v>
      </c>
      <c r="C30" s="29">
        <v>0</v>
      </c>
      <c r="D30" s="29"/>
      <c r="E30" s="29"/>
      <c r="F30" s="29">
        <v>0</v>
      </c>
      <c r="K30" t="s">
        <v>4752</v>
      </c>
      <c r="L30" t="s">
        <v>4724</v>
      </c>
      <c r="M30" t="s">
        <v>4723</v>
      </c>
      <c r="N30" t="s">
        <v>4724</v>
      </c>
      <c r="U30" s="112"/>
      <c r="V30" s="112" t="s">
        <v>4752</v>
      </c>
      <c r="W30" s="112" t="s">
        <v>4724</v>
      </c>
      <c r="X30" s="112" t="s">
        <v>4753</v>
      </c>
      <c r="Y30" s="112" t="s">
        <v>4754</v>
      </c>
      <c r="Z30" s="112"/>
      <c r="AA30" s="112"/>
      <c r="AB30" s="112"/>
      <c r="AC30" s="112"/>
    </row>
    <row r="31" spans="1:29" x14ac:dyDescent="0.2">
      <c r="A31" s="28" t="s">
        <v>112</v>
      </c>
      <c r="B31" s="29">
        <v>2</v>
      </c>
      <c r="C31" s="29">
        <v>8</v>
      </c>
      <c r="D31" s="29">
        <v>1</v>
      </c>
      <c r="E31" s="29"/>
      <c r="F31" s="29">
        <v>11</v>
      </c>
      <c r="J31" s="51" t="s">
        <v>461</v>
      </c>
      <c r="K31">
        <f>K21+L21+M21</f>
        <v>3</v>
      </c>
      <c r="L31">
        <f>P21+Q21+R21</f>
        <v>48</v>
      </c>
      <c r="M31" s="56">
        <f>K31/K39</f>
        <v>7.1428571428571425E-2</v>
      </c>
      <c r="N31" s="56">
        <f>L31/L39</f>
        <v>0.23529411764705882</v>
      </c>
      <c r="U31" s="115" t="s">
        <v>461</v>
      </c>
      <c r="V31" s="112">
        <f>SUM(V22+W22+X22)</f>
        <v>3.833333333333333</v>
      </c>
      <c r="W31" s="112">
        <f>SUM(AA22+AB22+AC22)</f>
        <v>51.428571428571423</v>
      </c>
      <c r="X31" s="116">
        <f>V31/V37</f>
        <v>7.6724693745970338E-2</v>
      </c>
      <c r="Y31" s="116">
        <f>W31/W37</f>
        <v>0.23820026466696073</v>
      </c>
      <c r="Z31" s="112"/>
      <c r="AA31" s="112"/>
      <c r="AB31" s="112"/>
      <c r="AC31" s="112"/>
    </row>
    <row r="32" spans="1:29" x14ac:dyDescent="0.2">
      <c r="A32" s="28" t="s">
        <v>176</v>
      </c>
      <c r="B32" s="29">
        <v>6</v>
      </c>
      <c r="C32" s="29">
        <v>85</v>
      </c>
      <c r="D32" s="29">
        <v>65</v>
      </c>
      <c r="E32" s="29"/>
      <c r="F32" s="29">
        <v>156</v>
      </c>
      <c r="J32" s="51" t="s">
        <v>14</v>
      </c>
      <c r="K32">
        <f t="shared" ref="K32:K38" si="8">K22+L22+M22</f>
        <v>6</v>
      </c>
      <c r="L32">
        <f t="shared" ref="L32:L38" si="9">P22+Q22+R22</f>
        <v>54</v>
      </c>
      <c r="M32" s="56">
        <f>K32/K39</f>
        <v>0.14285714285714285</v>
      </c>
      <c r="N32" s="56">
        <f>L32/L39</f>
        <v>0.26470588235294118</v>
      </c>
      <c r="U32" s="115" t="s">
        <v>1342</v>
      </c>
      <c r="V32" s="112">
        <f t="shared" ref="V32:V36" si="10">SUM(V23+W23+X23)</f>
        <v>7.8921568627450984</v>
      </c>
      <c r="W32" s="112">
        <f t="shared" ref="W32:W36" si="11">SUM(AA23+AB23+AC23)</f>
        <v>57.714285714285715</v>
      </c>
      <c r="X32" s="116">
        <f>V32/V37</f>
        <v>0.1579626047711154</v>
      </c>
      <c r="Y32" s="116">
        <f>W32/W37</f>
        <v>0.26731363034847816</v>
      </c>
      <c r="Z32" s="112"/>
      <c r="AA32" s="112"/>
      <c r="AB32" s="112"/>
      <c r="AC32" s="112"/>
    </row>
    <row r="33" spans="1:29" x14ac:dyDescent="0.2">
      <c r="A33" s="28" t="s">
        <v>2298</v>
      </c>
      <c r="B33" s="29">
        <v>0</v>
      </c>
      <c r="C33" s="29">
        <v>0</v>
      </c>
      <c r="D33" s="29">
        <v>0</v>
      </c>
      <c r="E33" s="29"/>
      <c r="F33" s="29">
        <v>0</v>
      </c>
      <c r="J33" s="51" t="s">
        <v>1618</v>
      </c>
      <c r="K33">
        <f t="shared" si="8"/>
        <v>2</v>
      </c>
      <c r="L33">
        <f t="shared" si="9"/>
        <v>39</v>
      </c>
      <c r="M33" s="56">
        <f>K33/K39</f>
        <v>4.7619047619047616E-2</v>
      </c>
      <c r="N33" s="56">
        <f>L33/L39</f>
        <v>0.19117647058823528</v>
      </c>
      <c r="U33" s="115" t="s">
        <v>1618</v>
      </c>
      <c r="V33" s="112">
        <f t="shared" si="10"/>
        <v>2.5555555555555554</v>
      </c>
      <c r="W33" s="112">
        <f t="shared" si="11"/>
        <v>39.095238095238095</v>
      </c>
      <c r="X33" s="116">
        <f>V33/V37</f>
        <v>5.1149795830646889E-2</v>
      </c>
      <c r="Y33" s="116">
        <f>W33/W37</f>
        <v>0.18107631230701368</v>
      </c>
      <c r="Z33" s="112"/>
      <c r="AA33" s="112"/>
      <c r="AB33" s="112"/>
      <c r="AC33" s="112"/>
    </row>
    <row r="34" spans="1:29" x14ac:dyDescent="0.2">
      <c r="A34" s="28" t="s">
        <v>2299</v>
      </c>
      <c r="B34" s="29">
        <v>10</v>
      </c>
      <c r="C34" s="29">
        <v>164</v>
      </c>
      <c r="D34" s="29">
        <v>132</v>
      </c>
      <c r="E34" s="29"/>
      <c r="F34" s="29">
        <v>306</v>
      </c>
      <c r="J34" s="51" t="s">
        <v>598</v>
      </c>
      <c r="K34">
        <f t="shared" si="8"/>
        <v>30</v>
      </c>
      <c r="L34">
        <f t="shared" si="9"/>
        <v>22</v>
      </c>
      <c r="M34" s="56">
        <f>K34/K39</f>
        <v>0.7142857142857143</v>
      </c>
      <c r="N34" s="56">
        <f>L34/L39</f>
        <v>0.10784313725490197</v>
      </c>
      <c r="U34" s="115" t="s">
        <v>4706</v>
      </c>
      <c r="V34" s="112">
        <f t="shared" si="10"/>
        <v>34.328197945845005</v>
      </c>
      <c r="W34" s="112">
        <f t="shared" si="11"/>
        <v>23.523809523809522</v>
      </c>
      <c r="X34" s="116">
        <f>V34/V37</f>
        <v>0.68708360197721896</v>
      </c>
      <c r="Y34" s="116">
        <f>W34/W37</f>
        <v>0.10895456550507278</v>
      </c>
      <c r="Z34" s="112"/>
      <c r="AA34" s="112"/>
      <c r="AB34" s="112"/>
      <c r="AC34" s="112"/>
    </row>
    <row r="35" spans="1:29" x14ac:dyDescent="0.2">
      <c r="J35" s="51" t="s">
        <v>3955</v>
      </c>
      <c r="K35">
        <f>K25+L25+M25</f>
        <v>1</v>
      </c>
      <c r="L35">
        <f t="shared" si="9"/>
        <v>0</v>
      </c>
      <c r="M35" s="56">
        <f>K35/K39</f>
        <v>2.3809523809523808E-2</v>
      </c>
      <c r="N35" s="56">
        <f>L35/L39</f>
        <v>0</v>
      </c>
      <c r="U35" s="115" t="s">
        <v>3955</v>
      </c>
      <c r="V35" s="112">
        <f t="shared" si="10"/>
        <v>1.3529411764705883</v>
      </c>
      <c r="W35" s="112">
        <f t="shared" si="11"/>
        <v>0</v>
      </c>
      <c r="X35" s="116">
        <f>V35/V37</f>
        <v>2.7079303675048357E-2</v>
      </c>
      <c r="Y35" s="116">
        <f>W35/W37</f>
        <v>0</v>
      </c>
      <c r="Z35" s="112"/>
      <c r="AA35" s="112"/>
      <c r="AB35" s="112"/>
      <c r="AC35" s="112"/>
    </row>
    <row r="36" spans="1:29" x14ac:dyDescent="0.2">
      <c r="J36" s="51" t="s">
        <v>112</v>
      </c>
      <c r="K36">
        <f t="shared" si="8"/>
        <v>0</v>
      </c>
      <c r="L36">
        <f t="shared" si="9"/>
        <v>41</v>
      </c>
      <c r="M36" s="56">
        <f>K36/K39</f>
        <v>0</v>
      </c>
      <c r="N36" s="56">
        <f>L36/L39</f>
        <v>0.20098039215686275</v>
      </c>
      <c r="U36" s="115" t="s">
        <v>4708</v>
      </c>
      <c r="V36" s="112">
        <f t="shared" si="10"/>
        <v>0</v>
      </c>
      <c r="W36" s="112">
        <f t="shared" si="11"/>
        <v>44.142857142857139</v>
      </c>
      <c r="X36" s="116">
        <f>V36/V37</f>
        <v>0</v>
      </c>
      <c r="Y36" s="116">
        <f>W36/W37</f>
        <v>0.20445522717247464</v>
      </c>
      <c r="Z36" s="112"/>
      <c r="AA36" s="112"/>
      <c r="AB36" s="112"/>
      <c r="AC36" s="112"/>
    </row>
    <row r="37" spans="1:29" x14ac:dyDescent="0.2">
      <c r="A37" s="26" t="s">
        <v>4686</v>
      </c>
      <c r="J37" s="51" t="s">
        <v>176</v>
      </c>
      <c r="K37">
        <f t="shared" si="8"/>
        <v>17</v>
      </c>
      <c r="L37">
        <f t="shared" si="9"/>
        <v>234</v>
      </c>
      <c r="U37" s="115" t="s">
        <v>4755</v>
      </c>
      <c r="V37" s="112">
        <f>SUM(V31:V36)</f>
        <v>49.962184873949582</v>
      </c>
      <c r="W37" s="112">
        <f>SUM(W31:W36)</f>
        <v>215.9047619047619</v>
      </c>
      <c r="X37" s="112"/>
      <c r="Y37" s="112"/>
      <c r="Z37" s="112"/>
      <c r="AA37" s="112"/>
      <c r="AB37" s="112"/>
      <c r="AC37" s="112"/>
    </row>
    <row r="38" spans="1:29" x14ac:dyDescent="0.2">
      <c r="A38" s="27" t="s">
        <v>4717</v>
      </c>
      <c r="B38" s="27" t="s">
        <v>4689</v>
      </c>
      <c r="J38" s="52" t="s">
        <v>4690</v>
      </c>
      <c r="K38">
        <f t="shared" si="8"/>
        <v>59</v>
      </c>
      <c r="L38">
        <f t="shared" si="9"/>
        <v>438</v>
      </c>
    </row>
    <row r="39" spans="1:29" x14ac:dyDescent="0.2">
      <c r="A39" s="27" t="s">
        <v>2297</v>
      </c>
      <c r="B39" t="s">
        <v>4026</v>
      </c>
      <c r="C39" t="s">
        <v>4027</v>
      </c>
      <c r="D39" t="s">
        <v>4028</v>
      </c>
      <c r="E39" t="s">
        <v>2298</v>
      </c>
      <c r="F39" t="s">
        <v>2299</v>
      </c>
      <c r="J39" s="52" t="s">
        <v>4722</v>
      </c>
      <c r="K39">
        <f>K38-K37</f>
        <v>42</v>
      </c>
      <c r="L39">
        <f>L38-L37</f>
        <v>204</v>
      </c>
    </row>
    <row r="40" spans="1:29" x14ac:dyDescent="0.2">
      <c r="A40" s="28" t="s">
        <v>461</v>
      </c>
      <c r="B40" s="29">
        <v>0</v>
      </c>
      <c r="C40" s="29">
        <v>3</v>
      </c>
      <c r="D40" s="29"/>
      <c r="E40" s="29"/>
      <c r="F40" s="29">
        <v>3</v>
      </c>
    </row>
    <row r="41" spans="1:29" x14ac:dyDescent="0.2">
      <c r="A41" s="28" t="s">
        <v>14</v>
      </c>
      <c r="B41" s="29">
        <v>3</v>
      </c>
      <c r="C41" s="29">
        <v>3</v>
      </c>
      <c r="D41" s="29">
        <v>0</v>
      </c>
      <c r="E41" s="29"/>
      <c r="F41" s="29">
        <v>6</v>
      </c>
      <c r="J41" t="s">
        <v>4698</v>
      </c>
    </row>
    <row r="42" spans="1:29" x14ac:dyDescent="0.2">
      <c r="A42" s="28" t="s">
        <v>1618</v>
      </c>
      <c r="B42" s="29"/>
      <c r="C42" s="29">
        <v>2</v>
      </c>
      <c r="D42" s="29"/>
      <c r="E42" s="29"/>
      <c r="F42" s="29">
        <v>2</v>
      </c>
      <c r="J42" t="s">
        <v>4694</v>
      </c>
      <c r="K42" t="s">
        <v>4025</v>
      </c>
      <c r="L42" t="s">
        <v>4695</v>
      </c>
      <c r="O42" t="s">
        <v>4697</v>
      </c>
    </row>
    <row r="43" spans="1:29" x14ac:dyDescent="0.2">
      <c r="A43" s="28" t="s">
        <v>598</v>
      </c>
      <c r="B43" s="29">
        <v>5</v>
      </c>
      <c r="C43" s="29">
        <v>17</v>
      </c>
      <c r="D43" s="29">
        <v>8</v>
      </c>
      <c r="E43" s="29"/>
      <c r="F43" s="29">
        <v>30</v>
      </c>
      <c r="J43">
        <v>2018</v>
      </c>
      <c r="K43" t="s">
        <v>4026</v>
      </c>
      <c r="L43">
        <v>10</v>
      </c>
      <c r="O43" t="s">
        <v>4026</v>
      </c>
      <c r="P43">
        <f>L43+L47</f>
        <v>17</v>
      </c>
    </row>
    <row r="44" spans="1:29" x14ac:dyDescent="0.2">
      <c r="A44" s="28" t="s">
        <v>3955</v>
      </c>
      <c r="B44" s="29">
        <v>0</v>
      </c>
      <c r="C44" s="29"/>
      <c r="D44" s="29"/>
      <c r="E44" s="29"/>
      <c r="F44" s="29">
        <v>0</v>
      </c>
      <c r="J44">
        <v>2018</v>
      </c>
      <c r="K44" t="s">
        <v>4031</v>
      </c>
      <c r="L44">
        <v>4</v>
      </c>
      <c r="O44" t="s">
        <v>4027</v>
      </c>
      <c r="P44">
        <f>L48</f>
        <v>18</v>
      </c>
    </row>
    <row r="45" spans="1:29" x14ac:dyDescent="0.2">
      <c r="A45" s="28" t="s">
        <v>112</v>
      </c>
      <c r="B45" s="29">
        <v>0</v>
      </c>
      <c r="C45" s="29">
        <v>0</v>
      </c>
      <c r="D45" s="29"/>
      <c r="E45" s="29"/>
      <c r="F45" s="29">
        <v>0</v>
      </c>
      <c r="J45">
        <v>2018</v>
      </c>
      <c r="K45" t="s">
        <v>4696</v>
      </c>
      <c r="L45">
        <v>23</v>
      </c>
      <c r="O45" t="s">
        <v>4028</v>
      </c>
      <c r="P45">
        <f>L49</f>
        <v>7</v>
      </c>
    </row>
    <row r="46" spans="1:29" x14ac:dyDescent="0.2">
      <c r="A46" s="28" t="s">
        <v>176</v>
      </c>
      <c r="B46" s="29">
        <v>3</v>
      </c>
      <c r="C46" s="29">
        <v>8</v>
      </c>
      <c r="D46" s="29">
        <v>4</v>
      </c>
      <c r="E46" s="29"/>
      <c r="F46" s="29">
        <v>15</v>
      </c>
      <c r="J46">
        <v>2018</v>
      </c>
      <c r="K46" t="s">
        <v>4033</v>
      </c>
      <c r="L46">
        <v>21</v>
      </c>
      <c r="O46" t="s">
        <v>4034</v>
      </c>
      <c r="P46">
        <f>L50</f>
        <v>1</v>
      </c>
    </row>
    <row r="47" spans="1:29" x14ac:dyDescent="0.2">
      <c r="A47" s="28" t="s">
        <v>2298</v>
      </c>
      <c r="B47" s="29">
        <v>0</v>
      </c>
      <c r="C47" s="29">
        <v>0</v>
      </c>
      <c r="D47" s="29">
        <v>0</v>
      </c>
      <c r="E47" s="29"/>
      <c r="F47" s="29">
        <v>0</v>
      </c>
      <c r="J47">
        <v>2019</v>
      </c>
      <c r="K47" t="s">
        <v>4026</v>
      </c>
      <c r="L47">
        <v>7</v>
      </c>
      <c r="O47" t="s">
        <v>4058</v>
      </c>
      <c r="P47">
        <v>3</v>
      </c>
    </row>
    <row r="48" spans="1:29" x14ac:dyDescent="0.2">
      <c r="A48" s="28" t="s">
        <v>2299</v>
      </c>
      <c r="B48" s="29">
        <v>11</v>
      </c>
      <c r="C48" s="29">
        <v>33</v>
      </c>
      <c r="D48" s="29">
        <v>12</v>
      </c>
      <c r="E48" s="29"/>
      <c r="F48" s="29">
        <v>56</v>
      </c>
      <c r="J48">
        <v>2019</v>
      </c>
      <c r="K48" t="s">
        <v>4027</v>
      </c>
      <c r="L48">
        <v>18</v>
      </c>
      <c r="O48" t="s">
        <v>4031</v>
      </c>
      <c r="P48">
        <f>L44+L52</f>
        <v>21</v>
      </c>
    </row>
    <row r="49" spans="1:16" x14ac:dyDescent="0.2">
      <c r="J49">
        <v>2019</v>
      </c>
      <c r="K49" t="s">
        <v>4028</v>
      </c>
      <c r="L49">
        <v>7</v>
      </c>
      <c r="O49" t="s">
        <v>4032</v>
      </c>
      <c r="P49">
        <f>L45</f>
        <v>23</v>
      </c>
    </row>
    <row r="50" spans="1:16" x14ac:dyDescent="0.2">
      <c r="J50">
        <v>2019</v>
      </c>
      <c r="K50" t="s">
        <v>4034</v>
      </c>
      <c r="L50">
        <v>1</v>
      </c>
      <c r="O50" t="s">
        <v>4692</v>
      </c>
      <c r="P50">
        <f>L46</f>
        <v>21</v>
      </c>
    </row>
    <row r="51" spans="1:16" x14ac:dyDescent="0.2">
      <c r="J51">
        <v>2019</v>
      </c>
      <c r="K51" t="s">
        <v>4058</v>
      </c>
      <c r="L51">
        <v>3</v>
      </c>
    </row>
    <row r="52" spans="1:16" x14ac:dyDescent="0.2">
      <c r="J52">
        <v>2019</v>
      </c>
      <c r="K52" t="s">
        <v>4031</v>
      </c>
      <c r="L52">
        <v>17</v>
      </c>
    </row>
    <row r="54" spans="1:16" x14ac:dyDescent="0.2">
      <c r="A54" s="50" t="s">
        <v>4687</v>
      </c>
    </row>
    <row r="55" spans="1:16" x14ac:dyDescent="0.2">
      <c r="A55" s="27" t="s">
        <v>4717</v>
      </c>
      <c r="B55" s="27" t="s">
        <v>4689</v>
      </c>
    </row>
    <row r="56" spans="1:16" x14ac:dyDescent="0.2">
      <c r="A56" s="27" t="s">
        <v>2297</v>
      </c>
      <c r="B56" t="s">
        <v>4034</v>
      </c>
      <c r="C56" t="s">
        <v>4058</v>
      </c>
      <c r="D56" t="s">
        <v>2298</v>
      </c>
      <c r="E56" t="s">
        <v>2299</v>
      </c>
    </row>
    <row r="57" spans="1:16" x14ac:dyDescent="0.2">
      <c r="A57" s="28" t="s">
        <v>1618</v>
      </c>
      <c r="B57" s="29">
        <v>1</v>
      </c>
      <c r="C57" s="29"/>
      <c r="D57" s="29"/>
      <c r="E57" s="29">
        <v>1</v>
      </c>
    </row>
    <row r="58" spans="1:16" x14ac:dyDescent="0.2">
      <c r="A58" s="28" t="s">
        <v>598</v>
      </c>
      <c r="B58" s="29">
        <v>1</v>
      </c>
      <c r="C58" s="29">
        <v>0</v>
      </c>
      <c r="D58" s="29"/>
      <c r="E58" s="29">
        <v>1</v>
      </c>
    </row>
    <row r="59" spans="1:16" x14ac:dyDescent="0.2">
      <c r="A59" s="28" t="s">
        <v>115</v>
      </c>
      <c r="B59" s="29">
        <v>0</v>
      </c>
      <c r="C59" s="29">
        <v>0</v>
      </c>
      <c r="D59" s="29"/>
      <c r="E59" s="29">
        <v>0</v>
      </c>
    </row>
    <row r="60" spans="1:16" x14ac:dyDescent="0.2">
      <c r="A60" s="28" t="s">
        <v>176</v>
      </c>
      <c r="B60" s="29">
        <v>0</v>
      </c>
      <c r="C60" s="29">
        <v>5</v>
      </c>
      <c r="D60" s="29"/>
      <c r="E60" s="29">
        <v>5</v>
      </c>
    </row>
    <row r="61" spans="1:16" x14ac:dyDescent="0.2">
      <c r="A61" s="28" t="s">
        <v>4069</v>
      </c>
      <c r="B61" s="29"/>
      <c r="C61" s="29">
        <v>0</v>
      </c>
      <c r="D61" s="29"/>
      <c r="E61" s="29">
        <v>0</v>
      </c>
    </row>
    <row r="62" spans="1:16" x14ac:dyDescent="0.2">
      <c r="A62" s="28" t="s">
        <v>2298</v>
      </c>
      <c r="B62" s="29"/>
      <c r="C62" s="29"/>
      <c r="D62" s="29"/>
      <c r="E62" s="29"/>
    </row>
    <row r="63" spans="1:16" x14ac:dyDescent="0.2">
      <c r="A63" s="28" t="s">
        <v>112</v>
      </c>
      <c r="B63" s="29"/>
      <c r="C63" s="29">
        <v>0</v>
      </c>
      <c r="D63" s="29"/>
      <c r="E63" s="29">
        <v>0</v>
      </c>
    </row>
    <row r="64" spans="1:16" x14ac:dyDescent="0.2">
      <c r="A64" s="28" t="s">
        <v>2299</v>
      </c>
      <c r="B64" s="29">
        <v>2</v>
      </c>
      <c r="C64" s="29">
        <v>5</v>
      </c>
      <c r="D64" s="29"/>
      <c r="E64" s="29">
        <v>7</v>
      </c>
    </row>
    <row r="68" spans="1:4" x14ac:dyDescent="0.2">
      <c r="A68" s="50" t="s">
        <v>4688</v>
      </c>
    </row>
    <row r="69" spans="1:4" x14ac:dyDescent="0.2">
      <c r="A69" s="27" t="s">
        <v>4717</v>
      </c>
      <c r="B69" s="27" t="s">
        <v>4689</v>
      </c>
    </row>
    <row r="70" spans="1:4" x14ac:dyDescent="0.2">
      <c r="A70" s="27" t="s">
        <v>2297</v>
      </c>
      <c r="B70" t="s">
        <v>4031</v>
      </c>
      <c r="C70" t="s">
        <v>2298</v>
      </c>
      <c r="D70" t="s">
        <v>2299</v>
      </c>
    </row>
    <row r="71" spans="1:4" x14ac:dyDescent="0.2">
      <c r="A71" s="28" t="s">
        <v>461</v>
      </c>
      <c r="B71" s="29">
        <v>3</v>
      </c>
      <c r="C71" s="29"/>
      <c r="D71" s="29">
        <v>3</v>
      </c>
    </row>
    <row r="72" spans="1:4" x14ac:dyDescent="0.2">
      <c r="A72" s="28" t="s">
        <v>1342</v>
      </c>
      <c r="B72" s="29">
        <v>6</v>
      </c>
      <c r="C72" s="29"/>
      <c r="D72" s="29">
        <v>6</v>
      </c>
    </row>
    <row r="73" spans="1:4" x14ac:dyDescent="0.2">
      <c r="A73" s="28" t="s">
        <v>1618</v>
      </c>
      <c r="B73" s="29">
        <v>1</v>
      </c>
      <c r="C73" s="29"/>
      <c r="D73" s="29">
        <v>1</v>
      </c>
    </row>
    <row r="74" spans="1:4" x14ac:dyDescent="0.2">
      <c r="A74" s="28" t="s">
        <v>598</v>
      </c>
      <c r="B74" s="29">
        <v>14</v>
      </c>
      <c r="C74" s="29"/>
      <c r="D74" s="29">
        <v>14</v>
      </c>
    </row>
    <row r="75" spans="1:4" x14ac:dyDescent="0.2">
      <c r="A75" s="28" t="s">
        <v>112</v>
      </c>
      <c r="B75" s="29">
        <v>30</v>
      </c>
      <c r="C75" s="29"/>
      <c r="D75" s="29">
        <v>30</v>
      </c>
    </row>
    <row r="76" spans="1:4" x14ac:dyDescent="0.2">
      <c r="A76" s="28" t="s">
        <v>115</v>
      </c>
      <c r="B76" s="29">
        <v>0</v>
      </c>
      <c r="C76" s="29"/>
      <c r="D76" s="29">
        <v>0</v>
      </c>
    </row>
    <row r="77" spans="1:4" x14ac:dyDescent="0.2">
      <c r="A77" s="28" t="s">
        <v>176</v>
      </c>
      <c r="B77" s="29">
        <v>78</v>
      </c>
      <c r="C77" s="29"/>
      <c r="D77" s="29">
        <v>78</v>
      </c>
    </row>
    <row r="78" spans="1:4" x14ac:dyDescent="0.2">
      <c r="A78" s="28" t="s">
        <v>2298</v>
      </c>
      <c r="B78" s="29"/>
      <c r="C78" s="29"/>
      <c r="D78" s="29"/>
    </row>
    <row r="79" spans="1:4" x14ac:dyDescent="0.2">
      <c r="A79" s="28" t="s">
        <v>3955</v>
      </c>
      <c r="B79" s="29">
        <v>0</v>
      </c>
      <c r="C79" s="29"/>
      <c r="D79" s="29">
        <v>0</v>
      </c>
    </row>
    <row r="80" spans="1:4" x14ac:dyDescent="0.2">
      <c r="A80" s="28" t="s">
        <v>2299</v>
      </c>
      <c r="B80" s="29">
        <v>132</v>
      </c>
      <c r="C80" s="29"/>
      <c r="D80" s="29">
        <v>132</v>
      </c>
    </row>
  </sheetData>
  <pageMargins left="0.7" right="0.7" top="0.75" bottom="0.75" header="0.3" footer="0.3"/>
  <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CD976-194D-B249-908F-8A87DAE22E63}">
  <sheetPr>
    <tabColor theme="2" tint="-0.499984740745262"/>
  </sheetPr>
  <dimension ref="A3:O67"/>
  <sheetViews>
    <sheetView topLeftCell="A14" workbookViewId="0">
      <selection activeCell="A10" sqref="A5:A14"/>
      <pivotSelection pane="bottomRight" showHeader="1" axis="axisRow" activeRow="9" previousRow="9" click="1" r:id="rId2">
        <pivotArea dataOnly="0" labelOnly="1" fieldPosition="0">
          <references count="1">
            <reference field="19" count="0"/>
          </references>
        </pivotArea>
      </pivotSelection>
    </sheetView>
  </sheetViews>
  <sheetFormatPr baseColWidth="10" defaultRowHeight="16" x14ac:dyDescent="0.2"/>
  <cols>
    <col min="1" max="1" width="54.1640625" bestFit="1" customWidth="1"/>
    <col min="2" max="2" width="53.1640625" bestFit="1" customWidth="1"/>
    <col min="3" max="3" width="50.83203125" bestFit="1" customWidth="1"/>
    <col min="4" max="4" width="50.5" bestFit="1" customWidth="1"/>
    <col min="5" max="5" width="5.6640625" bestFit="1" customWidth="1"/>
    <col min="6" max="6" width="8.83203125" bestFit="1" customWidth="1"/>
    <col min="7" max="7" width="6.83203125" bestFit="1" customWidth="1"/>
  </cols>
  <sheetData>
    <row r="3" spans="1:15" x14ac:dyDescent="0.2">
      <c r="A3" s="27" t="s">
        <v>4717</v>
      </c>
      <c r="B3" s="27" t="s">
        <v>4689</v>
      </c>
      <c r="I3" t="s">
        <v>4759</v>
      </c>
      <c r="L3" t="s">
        <v>4760</v>
      </c>
    </row>
    <row r="4" spans="1:15" x14ac:dyDescent="0.2">
      <c r="A4" s="27" t="s">
        <v>2297</v>
      </c>
      <c r="B4" t="s">
        <v>3997</v>
      </c>
      <c r="C4" t="s">
        <v>3999</v>
      </c>
      <c r="D4" t="s">
        <v>4055</v>
      </c>
      <c r="E4" t="s">
        <v>4004</v>
      </c>
      <c r="F4" t="s">
        <v>176</v>
      </c>
      <c r="G4" t="s">
        <v>2298</v>
      </c>
      <c r="H4" t="s">
        <v>2299</v>
      </c>
      <c r="M4">
        <f>M5+M7</f>
        <v>215</v>
      </c>
    </row>
    <row r="5" spans="1:15" x14ac:dyDescent="0.2">
      <c r="A5" s="28" t="s">
        <v>516</v>
      </c>
      <c r="B5" s="29">
        <v>2</v>
      </c>
      <c r="C5" s="29"/>
      <c r="D5" s="29"/>
      <c r="E5" s="29"/>
      <c r="F5" s="29"/>
      <c r="G5" s="29"/>
      <c r="H5" s="29">
        <v>2</v>
      </c>
      <c r="I5" s="56">
        <f>GETPIVOTDATA("Cache deposited?",$A$3,"Cache Tree","Alder")/GETPIVOTDATA("Cache deposited?",$A$3)</f>
        <v>3.968253968253968E-3</v>
      </c>
      <c r="L5" t="s">
        <v>4055</v>
      </c>
      <c r="M5">
        <f>GETPIVOTDATA("Cache deposited?",$A$3,"Cache location (interior, exterior, trunk)","Interior")+GETPIVOTDATA("Cache deposited?",$A$3,"Cache location (interior, exterior, trunk)","Interior ")</f>
        <v>142</v>
      </c>
      <c r="N5" s="56">
        <f>(M5+M7)/M8</f>
        <v>0.42658730158730157</v>
      </c>
      <c r="O5" s="56">
        <f>M5/M8</f>
        <v>0.28174603174603174</v>
      </c>
    </row>
    <row r="6" spans="1:15" x14ac:dyDescent="0.2">
      <c r="A6" s="28" t="s">
        <v>12</v>
      </c>
      <c r="B6" s="29">
        <v>21</v>
      </c>
      <c r="C6" s="29"/>
      <c r="D6" s="29"/>
      <c r="E6" s="29">
        <v>4</v>
      </c>
      <c r="F6" s="29"/>
      <c r="G6" s="29"/>
      <c r="H6" s="29">
        <v>25</v>
      </c>
      <c r="I6" s="56">
        <f>GETPIVOTDATA("Cache deposited?",$A$3,"Cache Tree","Aspen")/GETPIVOTDATA("Cache deposited?",$A$3)</f>
        <v>4.96031746031746E-2</v>
      </c>
      <c r="L6" t="s">
        <v>3997</v>
      </c>
      <c r="M6">
        <f>GETPIVOTDATA("Cache deposited?",$A$3,"Cache location (interior, exterior, trunk)","Exterior")</f>
        <v>277</v>
      </c>
      <c r="N6" s="56">
        <f>O6</f>
        <v>0.54960317460317465</v>
      </c>
      <c r="O6" s="56">
        <f>M6/M8</f>
        <v>0.54960317460317465</v>
      </c>
    </row>
    <row r="7" spans="1:15" x14ac:dyDescent="0.2">
      <c r="A7" s="28" t="s">
        <v>4017</v>
      </c>
      <c r="B7" s="29"/>
      <c r="C7" s="29"/>
      <c r="D7" s="29"/>
      <c r="E7" s="29">
        <v>1</v>
      </c>
      <c r="F7" s="29"/>
      <c r="G7" s="29"/>
      <c r="H7" s="29">
        <v>1</v>
      </c>
      <c r="I7" s="56"/>
      <c r="L7" t="s">
        <v>4761</v>
      </c>
      <c r="M7">
        <f>GETPIVOTDATA("Cache deposited?",$A$3,"Cache location (interior, exterior, trunk)","Trunk")</f>
        <v>73</v>
      </c>
      <c r="O7" s="56">
        <f>M7/M8</f>
        <v>0.14484126984126985</v>
      </c>
    </row>
    <row r="8" spans="1:15" x14ac:dyDescent="0.2">
      <c r="A8" s="28" t="s">
        <v>4013</v>
      </c>
      <c r="B8" s="29">
        <v>3</v>
      </c>
      <c r="C8" s="29"/>
      <c r="D8" s="29"/>
      <c r="E8" s="29"/>
      <c r="F8" s="29"/>
      <c r="G8" s="29"/>
      <c r="H8" s="29">
        <v>3</v>
      </c>
      <c r="I8" s="56">
        <f>GETPIVOTDATA("Cache deposited?",$A$3,"Cache Tree","Shrub")/GETPIVOTDATA("Cache deposited?",$A$3)</f>
        <v>5.9523809523809521E-3</v>
      </c>
      <c r="L8" t="s">
        <v>4690</v>
      </c>
      <c r="M8">
        <f>GETPIVOTDATA("Cache deposited?",$A$3)</f>
        <v>504</v>
      </c>
    </row>
    <row r="9" spans="1:15" x14ac:dyDescent="0.2">
      <c r="A9" s="28" t="s">
        <v>23</v>
      </c>
      <c r="B9" s="29">
        <v>245</v>
      </c>
      <c r="C9" s="29">
        <v>139</v>
      </c>
      <c r="D9" s="29">
        <v>2</v>
      </c>
      <c r="E9" s="29">
        <v>68</v>
      </c>
      <c r="F9" s="29">
        <v>9</v>
      </c>
      <c r="G9" s="29"/>
      <c r="H9" s="29">
        <v>463</v>
      </c>
      <c r="I9" s="56">
        <f>GETPIVOTDATA("Cache deposited?",$A$3,"Cache Tree","Spruce")/GETPIVOTDATA("Cache deposited?",$A$3)</f>
        <v>0.91865079365079361</v>
      </c>
      <c r="J9" s="29"/>
    </row>
    <row r="10" spans="1:15" x14ac:dyDescent="0.2">
      <c r="A10" s="28" t="s">
        <v>84</v>
      </c>
      <c r="B10" s="29"/>
      <c r="C10" s="29">
        <v>1</v>
      </c>
      <c r="D10" s="29"/>
      <c r="E10" s="29"/>
      <c r="F10" s="29"/>
      <c r="G10" s="29"/>
      <c r="H10" s="29">
        <v>1</v>
      </c>
      <c r="I10" s="56"/>
    </row>
    <row r="11" spans="1:15" x14ac:dyDescent="0.2">
      <c r="A11" s="28" t="s">
        <v>3257</v>
      </c>
      <c r="B11" s="29">
        <v>1</v>
      </c>
      <c r="C11" s="29"/>
      <c r="D11" s="29"/>
      <c r="E11" s="29"/>
      <c r="F11" s="29"/>
      <c r="G11" s="29"/>
      <c r="H11" s="29">
        <v>1</v>
      </c>
      <c r="I11" s="56"/>
    </row>
    <row r="12" spans="1:15" x14ac:dyDescent="0.2">
      <c r="A12" s="28" t="s">
        <v>176</v>
      </c>
      <c r="B12" s="29"/>
      <c r="C12" s="29"/>
      <c r="D12" s="29"/>
      <c r="E12" s="29"/>
      <c r="F12" s="29">
        <v>2</v>
      </c>
      <c r="G12" s="29"/>
      <c r="H12" s="29">
        <v>2</v>
      </c>
      <c r="I12" s="56">
        <f>GETPIVOTDATA("Cache deposited?",$A$3,"Cache Tree","Unknown")/GETPIVOTDATA("Cache deposited?",$A$3)</f>
        <v>3.968253968253968E-3</v>
      </c>
      <c r="M12">
        <f>M7/M4</f>
        <v>0.33953488372093021</v>
      </c>
    </row>
    <row r="13" spans="1:15" x14ac:dyDescent="0.2">
      <c r="A13" s="28" t="s">
        <v>1196</v>
      </c>
      <c r="B13" s="29">
        <v>5</v>
      </c>
      <c r="C13" s="29"/>
      <c r="D13" s="29"/>
      <c r="E13" s="29"/>
      <c r="F13" s="29"/>
      <c r="G13" s="29"/>
      <c r="H13" s="29">
        <v>5</v>
      </c>
      <c r="I13" s="56">
        <f>GETPIVOTDATA("Cache deposited?",$A$3,"Cache Tree","Willow")/GETPIVOTDATA("Cache deposited?",$A$3)</f>
        <v>9.9206349206349201E-3</v>
      </c>
    </row>
    <row r="14" spans="1:15" x14ac:dyDescent="0.2">
      <c r="A14" s="28" t="s">
        <v>2298</v>
      </c>
      <c r="B14" s="29"/>
      <c r="C14" s="29"/>
      <c r="D14" s="29"/>
      <c r="E14" s="29"/>
      <c r="F14" s="29"/>
      <c r="G14" s="29">
        <v>1</v>
      </c>
      <c r="H14" s="29">
        <v>1</v>
      </c>
      <c r="I14" s="56"/>
    </row>
    <row r="15" spans="1:15" x14ac:dyDescent="0.2">
      <c r="A15" s="28" t="s">
        <v>2299</v>
      </c>
      <c r="B15" s="29">
        <v>277</v>
      </c>
      <c r="C15" s="29">
        <v>140</v>
      </c>
      <c r="D15" s="29">
        <v>2</v>
      </c>
      <c r="E15" s="29">
        <v>73</v>
      </c>
      <c r="F15" s="29">
        <v>11</v>
      </c>
      <c r="G15" s="29">
        <v>1</v>
      </c>
      <c r="H15" s="29">
        <v>504</v>
      </c>
      <c r="L15" t="s">
        <v>4766</v>
      </c>
      <c r="M15">
        <v>42</v>
      </c>
      <c r="N15" s="56">
        <f>M15/GETPIVOTDATA("Cache deposited?",$A$3)</f>
        <v>8.3333333333333329E-2</v>
      </c>
      <c r="O15">
        <f>40/M15</f>
        <v>0.95238095238095233</v>
      </c>
    </row>
    <row r="16" spans="1:15" x14ac:dyDescent="0.2">
      <c r="L16" t="s">
        <v>4767</v>
      </c>
      <c r="M16">
        <v>2</v>
      </c>
    </row>
    <row r="17" spans="1:13" x14ac:dyDescent="0.2">
      <c r="L17" t="s">
        <v>4768</v>
      </c>
      <c r="M17">
        <v>1</v>
      </c>
    </row>
    <row r="21" spans="1:13" x14ac:dyDescent="0.2">
      <c r="A21" s="27" t="s">
        <v>2297</v>
      </c>
      <c r="B21" t="s">
        <v>4717</v>
      </c>
      <c r="D21" t="s">
        <v>4008</v>
      </c>
      <c r="E21" t="s">
        <v>4005</v>
      </c>
      <c r="F21" t="s">
        <v>4762</v>
      </c>
      <c r="G21" t="s">
        <v>62</v>
      </c>
    </row>
    <row r="22" spans="1:13" x14ac:dyDescent="0.2">
      <c r="A22" s="28" t="s">
        <v>4420</v>
      </c>
      <c r="B22" s="29">
        <v>4</v>
      </c>
      <c r="D22">
        <f>GETPIVOTDATA("Cache deposited?",$A$21,"Cache covering (foliage, bark, witchbroom)","bare")+GETPIVOTDATA("Cache deposited?",$A$21,"Cache covering (foliage, bark, witchbroom)","Bark")+GETPIVOTDATA("Cache deposited?",$A$21,"Cache covering (foliage, bark, witchbroom)","Bark/lichen")+GETPIVOTDATA("Cache deposited?",$A$21,"Cache covering (foliage, bark, witchbroom)","Branch")+GETPIVOTDATA("Cache deposited?",$A$21,"Cache covering (foliage, bark, witchbroom)","None")+GETPIVOTDATA("Cache deposited?",$A$21,"Cache covering (foliage, bark, witchbroom)","On bark")+GETPIVOTDATA("Cache deposited?",$A$21,"Cache covering (foliage, bark, witchbroom)","On branch")</f>
        <v>108</v>
      </c>
      <c r="E22">
        <f>GETPIVOTDATA("Cache deposited?",$A$21,"Cache covering (foliage, bark, witchbroom)","Branch under bark")+GETPIVOTDATA("Cache deposited?",$A$21,"Cache covering (foliage, bark, witchbroom)","Under bark")+GETPIVOTDATA("Cache deposited?",$A$21,"Cache covering (foliage, bark, witchbroom)","Under bark and witch hair ")</f>
        <v>168</v>
      </c>
      <c r="F22">
        <f>GETPIVOTDATA("Cache deposited?",$A$21,"Cache covering (foliage, bark, witchbroom)","Behind foliage ")+GETPIVOTDATA("Cache deposited?",$A$21,"Cache covering (foliage, bark, witchbroom)","Branch under witch hair")+GETPIVOTDATA("Cache deposited?",$A$21,"Cache covering (foliage, bark, witchbroom)","Foliage")+GETPIVOTDATA("Cache deposited?",$A$21,"Cache covering (foliage, bark, witchbroom)","Foliage and witch hair")+GETPIVOTDATA("Cache deposited?",$A$21,"Cache covering (foliage, bark, witchbroom)","In mistoe")+GETPIVOTDATA("Cache deposited?",$A$21,"Cache covering (foliage, bark, witchbroom)","Lichen")+GETPIVOTDATA("Cache deposited?",$A$21,"Cache covering (foliage, bark, witchbroom)","Under witchhair")</f>
        <v>204</v>
      </c>
      <c r="G22">
        <f>GETPIVOTDATA("Cache deposited?",$A$21,"Cache covering (foliage, bark, witchbroom)","Unknown")+GETPIVOTDATA("Cache deposited?",$A$21,"Cache covering (foliage, bark, witchbroom)",)</f>
        <v>24</v>
      </c>
      <c r="H22">
        <f>SUM(D22:G22)</f>
        <v>504</v>
      </c>
    </row>
    <row r="23" spans="1:13" x14ac:dyDescent="0.2">
      <c r="A23" s="28" t="s">
        <v>4022</v>
      </c>
      <c r="B23" s="29">
        <v>56</v>
      </c>
      <c r="C23" t="s">
        <v>4763</v>
      </c>
      <c r="D23">
        <f>D22+E22</f>
        <v>276</v>
      </c>
    </row>
    <row r="24" spans="1:13" x14ac:dyDescent="0.2">
      <c r="A24" s="28" t="s">
        <v>4434</v>
      </c>
      <c r="B24" s="29">
        <v>2</v>
      </c>
      <c r="D24">
        <f>D23/H22</f>
        <v>0.54761904761904767</v>
      </c>
      <c r="F24">
        <f>F22/H22</f>
        <v>0.40476190476190477</v>
      </c>
    </row>
    <row r="25" spans="1:13" x14ac:dyDescent="0.2">
      <c r="A25" s="28" t="s">
        <v>4014</v>
      </c>
      <c r="B25" s="29">
        <v>1</v>
      </c>
    </row>
    <row r="26" spans="1:13" x14ac:dyDescent="0.2">
      <c r="A26" s="28" t="s">
        <v>4001</v>
      </c>
      <c r="B26" s="29">
        <v>19</v>
      </c>
    </row>
    <row r="27" spans="1:13" x14ac:dyDescent="0.2">
      <c r="A27" s="28" t="s">
        <v>4003</v>
      </c>
      <c r="B27" s="29">
        <v>4</v>
      </c>
    </row>
    <row r="28" spans="1:13" x14ac:dyDescent="0.2">
      <c r="A28" s="28" t="s">
        <v>4002</v>
      </c>
      <c r="B28" s="29">
        <v>13</v>
      </c>
    </row>
    <row r="29" spans="1:13" x14ac:dyDescent="0.2">
      <c r="A29" s="28" t="s">
        <v>4006</v>
      </c>
      <c r="B29" s="29">
        <v>154</v>
      </c>
    </row>
    <row r="30" spans="1:13" x14ac:dyDescent="0.2">
      <c r="A30" s="28" t="s">
        <v>3998</v>
      </c>
      <c r="B30" s="29">
        <v>1</v>
      </c>
    </row>
    <row r="31" spans="1:13" x14ac:dyDescent="0.2">
      <c r="A31" s="28" t="s">
        <v>4016</v>
      </c>
      <c r="B31" s="29">
        <v>4</v>
      </c>
    </row>
    <row r="32" spans="1:13" x14ac:dyDescent="0.2">
      <c r="A32" s="28" t="s">
        <v>2179</v>
      </c>
      <c r="B32" s="29">
        <v>9</v>
      </c>
    </row>
    <row r="33" spans="1:2" x14ac:dyDescent="0.2">
      <c r="A33" s="28" t="s">
        <v>3810</v>
      </c>
      <c r="B33" s="29">
        <v>14</v>
      </c>
    </row>
    <row r="34" spans="1:2" x14ac:dyDescent="0.2">
      <c r="A34" s="28" t="s">
        <v>4008</v>
      </c>
      <c r="B34" s="29">
        <v>7</v>
      </c>
    </row>
    <row r="35" spans="1:2" x14ac:dyDescent="0.2">
      <c r="A35" s="28" t="s">
        <v>4020</v>
      </c>
      <c r="B35" s="29">
        <v>6</v>
      </c>
    </row>
    <row r="36" spans="1:2" x14ac:dyDescent="0.2">
      <c r="A36" s="28" t="s">
        <v>4005</v>
      </c>
      <c r="B36" s="29">
        <v>119</v>
      </c>
    </row>
    <row r="37" spans="1:2" x14ac:dyDescent="0.2">
      <c r="A37" s="28" t="s">
        <v>4007</v>
      </c>
      <c r="B37" s="29">
        <v>45</v>
      </c>
    </row>
    <row r="38" spans="1:2" x14ac:dyDescent="0.2">
      <c r="A38" s="28" t="s">
        <v>4021</v>
      </c>
      <c r="B38" s="29">
        <v>22</v>
      </c>
    </row>
    <row r="39" spans="1:2" x14ac:dyDescent="0.2">
      <c r="A39" s="28" t="s">
        <v>176</v>
      </c>
      <c r="B39" s="29">
        <v>23</v>
      </c>
    </row>
    <row r="40" spans="1:2" x14ac:dyDescent="0.2">
      <c r="A40" s="28" t="s">
        <v>2298</v>
      </c>
      <c r="B40" s="29">
        <v>1</v>
      </c>
    </row>
    <row r="41" spans="1:2" x14ac:dyDescent="0.2">
      <c r="A41" s="28" t="s">
        <v>2299</v>
      </c>
      <c r="B41" s="29">
        <v>504</v>
      </c>
    </row>
    <row r="50" spans="1:7" x14ac:dyDescent="0.2">
      <c r="A50" t="s">
        <v>5053</v>
      </c>
      <c r="B50" t="s">
        <v>5055</v>
      </c>
      <c r="C50" t="s">
        <v>5056</v>
      </c>
      <c r="D50" t="s">
        <v>5057</v>
      </c>
      <c r="E50" s="102"/>
      <c r="F50" s="103"/>
      <c r="G50" s="104"/>
    </row>
    <row r="51" spans="1:7" x14ac:dyDescent="0.2">
      <c r="A51" s="29">
        <v>10.43304721030043</v>
      </c>
      <c r="B51" s="29">
        <v>11.481078049316002</v>
      </c>
      <c r="C51" s="29">
        <v>101</v>
      </c>
      <c r="D51" s="29">
        <v>0</v>
      </c>
      <c r="E51" s="105"/>
      <c r="F51" s="106"/>
      <c r="G51" s="107"/>
    </row>
    <row r="52" spans="1:7" x14ac:dyDescent="0.2">
      <c r="A52" t="s">
        <v>5054</v>
      </c>
      <c r="E52" s="105"/>
      <c r="F52" s="106"/>
      <c r="G52" s="107"/>
    </row>
    <row r="53" spans="1:7" x14ac:dyDescent="0.2">
      <c r="E53" s="105"/>
      <c r="F53" s="106"/>
      <c r="G53" s="107"/>
    </row>
    <row r="54" spans="1:7" x14ac:dyDescent="0.2">
      <c r="E54" s="105"/>
      <c r="F54" s="106"/>
      <c r="G54" s="107"/>
    </row>
    <row r="55" spans="1:7" x14ac:dyDescent="0.2">
      <c r="E55" s="105"/>
      <c r="F55" s="106"/>
      <c r="G55" s="107"/>
    </row>
    <row r="56" spans="1:7" x14ac:dyDescent="0.2">
      <c r="E56" s="105"/>
      <c r="F56" s="106"/>
      <c r="G56" s="107"/>
    </row>
    <row r="57" spans="1:7" x14ac:dyDescent="0.2">
      <c r="E57" s="105"/>
      <c r="F57" s="106"/>
      <c r="G57" s="107"/>
    </row>
    <row r="58" spans="1:7" x14ac:dyDescent="0.2">
      <c r="E58" s="105"/>
      <c r="F58" s="106"/>
      <c r="G58" s="107"/>
    </row>
    <row r="59" spans="1:7" x14ac:dyDescent="0.2">
      <c r="E59" s="105"/>
      <c r="F59" s="106"/>
      <c r="G59" s="107"/>
    </row>
    <row r="60" spans="1:7" x14ac:dyDescent="0.2">
      <c r="E60" s="105"/>
      <c r="F60" s="106"/>
      <c r="G60" s="107"/>
    </row>
    <row r="61" spans="1:7" x14ac:dyDescent="0.2">
      <c r="E61" s="105"/>
      <c r="F61" s="106"/>
      <c r="G61" s="107"/>
    </row>
    <row r="62" spans="1:7" x14ac:dyDescent="0.2">
      <c r="E62" s="105"/>
      <c r="F62" s="106"/>
      <c r="G62" s="107"/>
    </row>
    <row r="63" spans="1:7" x14ac:dyDescent="0.2">
      <c r="E63" s="105"/>
      <c r="F63" s="106"/>
      <c r="G63" s="107"/>
    </row>
    <row r="64" spans="1:7" x14ac:dyDescent="0.2">
      <c r="E64" s="105"/>
      <c r="F64" s="106"/>
      <c r="G64" s="107"/>
    </row>
    <row r="65" spans="5:7" x14ac:dyDescent="0.2">
      <c r="E65" s="105"/>
      <c r="F65" s="106"/>
      <c r="G65" s="107"/>
    </row>
    <row r="66" spans="5:7" x14ac:dyDescent="0.2">
      <c r="E66" s="105"/>
      <c r="F66" s="106"/>
      <c r="G66" s="107"/>
    </row>
    <row r="67" spans="5:7" x14ac:dyDescent="0.2">
      <c r="E67" s="108"/>
      <c r="F67" s="109"/>
      <c r="G67" s="110"/>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C37FF-835C-3344-9769-C95492618F56}">
  <dimension ref="A1:AV479"/>
  <sheetViews>
    <sheetView topLeftCell="C1" workbookViewId="0">
      <pane ySplit="1" topLeftCell="A393" activePane="bottomLeft" state="frozen"/>
      <selection activeCell="M1" sqref="M1"/>
      <selection pane="bottomLeft" activeCell="F491" sqref="F491"/>
    </sheetView>
  </sheetViews>
  <sheetFormatPr baseColWidth="10" defaultRowHeight="16" x14ac:dyDescent="0.2"/>
  <cols>
    <col min="29" max="30" width="10.83203125" style="6"/>
    <col min="42" max="42" width="41.5" customWidth="1"/>
  </cols>
  <sheetData>
    <row r="1" spans="1:48" x14ac:dyDescent="0.2">
      <c r="A1" t="s">
        <v>25</v>
      </c>
      <c r="B1" t="s">
        <v>0</v>
      </c>
      <c r="C1" t="s">
        <v>2033</v>
      </c>
      <c r="D1" t="s">
        <v>2034</v>
      </c>
      <c r="E1" t="s">
        <v>1</v>
      </c>
      <c r="F1" t="s">
        <v>2</v>
      </c>
      <c r="G1" t="s">
        <v>4025</v>
      </c>
      <c r="H1" t="s">
        <v>4</v>
      </c>
      <c r="I1" t="s">
        <v>3</v>
      </c>
      <c r="J1" t="s">
        <v>9</v>
      </c>
      <c r="K1" t="s">
        <v>106</v>
      </c>
      <c r="L1" t="s">
        <v>5</v>
      </c>
      <c r="M1" t="s">
        <v>6</v>
      </c>
      <c r="N1" t="s">
        <v>7</v>
      </c>
      <c r="O1" t="s">
        <v>98</v>
      </c>
      <c r="P1" t="s">
        <v>4029</v>
      </c>
      <c r="Q1" t="s">
        <v>551</v>
      </c>
      <c r="R1" t="s">
        <v>113</v>
      </c>
      <c r="S1" t="s">
        <v>114</v>
      </c>
      <c r="T1" t="s">
        <v>3995</v>
      </c>
      <c r="U1" t="s">
        <v>3996</v>
      </c>
      <c r="V1" t="s">
        <v>4000</v>
      </c>
      <c r="W1" t="s">
        <v>2335</v>
      </c>
      <c r="X1" t="s">
        <v>2378</v>
      </c>
      <c r="Y1" t="s">
        <v>912</v>
      </c>
      <c r="Z1" s="19" t="s">
        <v>2038</v>
      </c>
      <c r="AA1" s="19" t="s">
        <v>2039</v>
      </c>
      <c r="AB1" s="19"/>
      <c r="AC1" s="6" t="s">
        <v>4764</v>
      </c>
      <c r="AD1" s="6" t="s">
        <v>4765</v>
      </c>
      <c r="AE1" s="19" t="s">
        <v>2607</v>
      </c>
      <c r="AF1" s="19" t="s">
        <v>2608</v>
      </c>
      <c r="AG1" s="19" t="s">
        <v>3222</v>
      </c>
      <c r="AH1" t="s">
        <v>19</v>
      </c>
      <c r="AI1" t="s">
        <v>20</v>
      </c>
      <c r="AJ1" t="s">
        <v>18</v>
      </c>
      <c r="AK1" t="s">
        <v>21</v>
      </c>
      <c r="AL1" t="s">
        <v>122</v>
      </c>
      <c r="AM1" t="s">
        <v>2052</v>
      </c>
      <c r="AN1" t="s">
        <v>8</v>
      </c>
      <c r="AO1" t="s">
        <v>15</v>
      </c>
      <c r="AP1" t="s">
        <v>17</v>
      </c>
      <c r="AQ1" t="s">
        <v>56</v>
      </c>
      <c r="AR1" t="s">
        <v>57</v>
      </c>
    </row>
    <row r="2" spans="1:48" s="59" customFormat="1" x14ac:dyDescent="0.2">
      <c r="A2" s="96"/>
      <c r="B2" s="96" t="s">
        <v>2254</v>
      </c>
      <c r="C2" s="96">
        <v>3</v>
      </c>
      <c r="D2" s="96">
        <v>1</v>
      </c>
      <c r="E2" s="96" t="s">
        <v>292</v>
      </c>
      <c r="F2" s="98">
        <v>43170</v>
      </c>
      <c r="G2" s="98" t="s">
        <v>4026</v>
      </c>
      <c r="H2" s="99">
        <v>3.125E-2</v>
      </c>
      <c r="I2" s="96"/>
      <c r="J2" s="96" t="s">
        <v>241</v>
      </c>
      <c r="K2" s="96" t="s">
        <v>1933</v>
      </c>
      <c r="L2" s="96" t="s">
        <v>23</v>
      </c>
      <c r="M2" s="96">
        <v>1</v>
      </c>
      <c r="N2" s="96">
        <v>0</v>
      </c>
      <c r="O2" s="96">
        <v>1</v>
      </c>
      <c r="P2" s="96" t="s">
        <v>4030</v>
      </c>
      <c r="Q2" s="96" t="s">
        <v>2255</v>
      </c>
      <c r="R2" s="96" t="s">
        <v>122</v>
      </c>
      <c r="S2" s="96" t="s">
        <v>2158</v>
      </c>
      <c r="T2" s="96" t="s">
        <v>23</v>
      </c>
      <c r="U2" s="96" t="s">
        <v>4004</v>
      </c>
      <c r="V2" s="96" t="s">
        <v>4005</v>
      </c>
      <c r="W2" s="96" t="s">
        <v>176</v>
      </c>
      <c r="X2" s="96" t="s">
        <v>176</v>
      </c>
      <c r="Y2" s="96" t="s">
        <v>176</v>
      </c>
      <c r="Z2" s="96" t="s">
        <v>176</v>
      </c>
      <c r="AA2" s="96" t="s">
        <v>176</v>
      </c>
      <c r="AB2" s="62" t="e">
        <f t="shared" ref="AB2:AB65" si="0">Z2+AA2</f>
        <v>#VALUE!</v>
      </c>
      <c r="AC2" s="97"/>
      <c r="AD2" s="97"/>
      <c r="AE2" s="96"/>
      <c r="AF2" s="96"/>
      <c r="AG2" s="96"/>
      <c r="AH2" s="97">
        <v>0</v>
      </c>
      <c r="AI2" s="97">
        <v>0</v>
      </c>
      <c r="AJ2" s="97">
        <v>0</v>
      </c>
      <c r="AK2" s="97">
        <v>0</v>
      </c>
      <c r="AL2" s="97">
        <v>0</v>
      </c>
      <c r="AM2" s="96">
        <v>0</v>
      </c>
      <c r="AN2" s="97">
        <v>0</v>
      </c>
      <c r="AO2" s="96"/>
      <c r="AP2" s="96" t="s">
        <v>2256</v>
      </c>
      <c r="AQ2" s="96"/>
      <c r="AR2" s="96"/>
      <c r="AS2" s="96"/>
      <c r="AT2" s="96"/>
      <c r="AU2" s="96"/>
      <c r="AV2" s="96"/>
    </row>
    <row r="3" spans="1:48" s="59" customFormat="1" x14ac:dyDescent="0.2">
      <c r="A3" s="96" t="s">
        <v>90</v>
      </c>
      <c r="B3" s="96" t="s">
        <v>91</v>
      </c>
      <c r="C3" s="96">
        <v>1</v>
      </c>
      <c r="D3" s="96">
        <v>1</v>
      </c>
      <c r="E3" s="96" t="s">
        <v>10</v>
      </c>
      <c r="F3" s="98">
        <v>43176</v>
      </c>
      <c r="G3" s="98" t="s">
        <v>4026</v>
      </c>
      <c r="H3" s="100">
        <v>1.5277777777777779E-3</v>
      </c>
      <c r="I3" s="96"/>
      <c r="J3" s="96" t="s">
        <v>13</v>
      </c>
      <c r="K3" s="96" t="s">
        <v>102</v>
      </c>
      <c r="L3" s="96" t="s">
        <v>94</v>
      </c>
      <c r="M3" s="96">
        <v>1</v>
      </c>
      <c r="N3" s="96" t="s">
        <v>24</v>
      </c>
      <c r="O3" s="96">
        <v>1</v>
      </c>
      <c r="P3" s="96" t="s">
        <v>176</v>
      </c>
      <c r="Q3" s="96" t="s">
        <v>24</v>
      </c>
      <c r="R3" s="96" t="s">
        <v>2306</v>
      </c>
      <c r="S3" s="96" t="s">
        <v>2307</v>
      </c>
      <c r="T3" s="96" t="s">
        <v>23</v>
      </c>
      <c r="U3" s="96" t="s">
        <v>3999</v>
      </c>
      <c r="V3" s="96" t="s">
        <v>4007</v>
      </c>
      <c r="W3" s="96" t="s">
        <v>176</v>
      </c>
      <c r="X3" s="96" t="s">
        <v>176</v>
      </c>
      <c r="Y3" s="96" t="s">
        <v>176</v>
      </c>
      <c r="Z3" s="96" t="s">
        <v>176</v>
      </c>
      <c r="AA3" s="96" t="s">
        <v>176</v>
      </c>
      <c r="AB3" s="62" t="e">
        <f t="shared" si="0"/>
        <v>#VALUE!</v>
      </c>
      <c r="AC3" s="97"/>
      <c r="AD3" s="97"/>
      <c r="AE3" s="96"/>
      <c r="AF3" s="96"/>
      <c r="AG3" s="96"/>
      <c r="AH3" s="97">
        <v>28</v>
      </c>
      <c r="AI3" s="97">
        <v>80</v>
      </c>
      <c r="AJ3" s="97">
        <v>80</v>
      </c>
      <c r="AK3" s="97">
        <v>28</v>
      </c>
      <c r="AL3" s="97">
        <v>0</v>
      </c>
      <c r="AM3" s="96">
        <v>0</v>
      </c>
      <c r="AN3" s="97">
        <v>108</v>
      </c>
      <c r="AO3" s="96" t="s">
        <v>47</v>
      </c>
      <c r="AP3" s="96"/>
      <c r="AQ3" s="97">
        <v>5</v>
      </c>
      <c r="AR3" s="97">
        <v>11</v>
      </c>
      <c r="AS3" s="96"/>
      <c r="AT3" s="96"/>
      <c r="AU3" s="96"/>
      <c r="AV3" s="96"/>
    </row>
    <row r="4" spans="1:48" s="59" customFormat="1" x14ac:dyDescent="0.2">
      <c r="A4" s="96" t="s">
        <v>2157</v>
      </c>
      <c r="B4" s="96" t="s">
        <v>2155</v>
      </c>
      <c r="C4" s="96">
        <v>1</v>
      </c>
      <c r="D4" s="96">
        <v>1</v>
      </c>
      <c r="E4" s="96" t="s">
        <v>2156</v>
      </c>
      <c r="F4" s="98">
        <v>43177</v>
      </c>
      <c r="G4" s="98" t="s">
        <v>4026</v>
      </c>
      <c r="H4" s="100">
        <v>4.7453703703703704E-4</v>
      </c>
      <c r="I4" s="96" t="s">
        <v>2163</v>
      </c>
      <c r="J4" s="96" t="s">
        <v>344</v>
      </c>
      <c r="K4" s="96" t="s">
        <v>102</v>
      </c>
      <c r="L4" s="96" t="s">
        <v>23</v>
      </c>
      <c r="M4" s="96">
        <v>2</v>
      </c>
      <c r="N4" s="96">
        <v>1</v>
      </c>
      <c r="O4" s="96">
        <v>1</v>
      </c>
      <c r="P4" s="96" t="s">
        <v>176</v>
      </c>
      <c r="Q4" s="96" t="s">
        <v>24</v>
      </c>
      <c r="R4" s="96" t="s">
        <v>2088</v>
      </c>
      <c r="S4" s="96" t="s">
        <v>2158</v>
      </c>
      <c r="T4" s="96" t="s">
        <v>23</v>
      </c>
      <c r="U4" s="96" t="s">
        <v>4004</v>
      </c>
      <c r="V4" s="96" t="s">
        <v>4007</v>
      </c>
      <c r="W4" s="96" t="s">
        <v>176</v>
      </c>
      <c r="X4" s="96" t="s">
        <v>176</v>
      </c>
      <c r="Y4" s="96" t="s">
        <v>176</v>
      </c>
      <c r="Z4" s="96" t="s">
        <v>176</v>
      </c>
      <c r="AA4" s="96" t="s">
        <v>176</v>
      </c>
      <c r="AB4" s="62" t="e">
        <f t="shared" si="0"/>
        <v>#VALUE!</v>
      </c>
      <c r="AC4" s="97"/>
      <c r="AD4" s="97"/>
      <c r="AE4" s="96"/>
      <c r="AF4" s="96"/>
      <c r="AG4" s="96"/>
      <c r="AH4" s="97">
        <v>25</v>
      </c>
      <c r="AI4" s="97">
        <v>0</v>
      </c>
      <c r="AJ4" s="97">
        <v>0</v>
      </c>
      <c r="AK4" s="97">
        <v>25</v>
      </c>
      <c r="AL4" s="97">
        <v>0</v>
      </c>
      <c r="AM4" s="96">
        <v>0</v>
      </c>
      <c r="AN4" s="97">
        <v>25</v>
      </c>
      <c r="AO4" s="96" t="s">
        <v>2159</v>
      </c>
      <c r="AP4" s="96" t="s">
        <v>2160</v>
      </c>
      <c r="AQ4" s="97">
        <v>0</v>
      </c>
      <c r="AR4" s="97">
        <v>2</v>
      </c>
      <c r="AS4" s="96"/>
      <c r="AT4" s="96"/>
      <c r="AU4" s="96"/>
      <c r="AV4" s="96"/>
    </row>
    <row r="5" spans="1:48" s="59" customFormat="1" x14ac:dyDescent="0.2">
      <c r="A5" s="77" t="s">
        <v>130</v>
      </c>
      <c r="B5" s="77" t="s">
        <v>837</v>
      </c>
      <c r="C5" s="77">
        <v>11</v>
      </c>
      <c r="D5" s="77">
        <v>1</v>
      </c>
      <c r="E5" s="77" t="s">
        <v>834</v>
      </c>
      <c r="F5" s="78">
        <v>43340</v>
      </c>
      <c r="G5" s="78" t="s">
        <v>4031</v>
      </c>
      <c r="H5" s="79">
        <v>2.2916666666666669E-2</v>
      </c>
      <c r="I5" s="77" t="s">
        <v>101</v>
      </c>
      <c r="J5" s="77" t="s">
        <v>466</v>
      </c>
      <c r="K5" s="77" t="s">
        <v>102</v>
      </c>
      <c r="L5" s="77" t="s">
        <v>23</v>
      </c>
      <c r="M5" s="77" t="s">
        <v>24</v>
      </c>
      <c r="N5" s="77"/>
      <c r="O5" s="77">
        <v>1</v>
      </c>
      <c r="P5" s="77" t="s">
        <v>176</v>
      </c>
      <c r="Q5" s="77" t="s">
        <v>176</v>
      </c>
      <c r="R5" s="77" t="s">
        <v>263</v>
      </c>
      <c r="S5" s="77" t="s">
        <v>2035</v>
      </c>
      <c r="T5" s="80" t="s">
        <v>23</v>
      </c>
      <c r="U5" s="80" t="s">
        <v>4004</v>
      </c>
      <c r="V5" s="80" t="s">
        <v>4005</v>
      </c>
      <c r="W5" s="77" t="s">
        <v>24</v>
      </c>
      <c r="X5" s="77" t="s">
        <v>24</v>
      </c>
      <c r="Y5" s="77">
        <v>0</v>
      </c>
      <c r="Z5" s="81" t="s">
        <v>246</v>
      </c>
      <c r="AA5" s="81"/>
      <c r="AB5" s="62" t="e">
        <f t="shared" si="0"/>
        <v>#VALUE!</v>
      </c>
      <c r="AC5" s="87"/>
      <c r="AD5" s="87"/>
      <c r="AE5" s="77"/>
      <c r="AF5" s="77"/>
      <c r="AG5" s="77"/>
      <c r="AH5" s="77">
        <v>11</v>
      </c>
      <c r="AI5" s="77">
        <v>0</v>
      </c>
      <c r="AJ5" s="77">
        <v>11</v>
      </c>
      <c r="AK5" s="77">
        <v>0</v>
      </c>
      <c r="AL5" s="77">
        <v>0</v>
      </c>
      <c r="AM5" s="77">
        <v>0</v>
      </c>
      <c r="AN5" s="77">
        <v>11</v>
      </c>
      <c r="AO5" s="77"/>
      <c r="AP5" s="77" t="s">
        <v>2036</v>
      </c>
      <c r="AQ5" s="77">
        <v>0</v>
      </c>
      <c r="AR5" s="77">
        <v>5</v>
      </c>
      <c r="AS5" s="82"/>
      <c r="AT5" s="82"/>
      <c r="AU5" s="82"/>
      <c r="AV5" s="82"/>
    </row>
    <row r="6" spans="1:48" s="59" customFormat="1" x14ac:dyDescent="0.2">
      <c r="A6" s="77" t="s">
        <v>109</v>
      </c>
      <c r="B6" s="77" t="s">
        <v>842</v>
      </c>
      <c r="C6" s="77">
        <v>4</v>
      </c>
      <c r="D6" s="77">
        <v>1</v>
      </c>
      <c r="E6" s="77" t="s">
        <v>834</v>
      </c>
      <c r="F6" s="78">
        <v>43340</v>
      </c>
      <c r="G6" s="78" t="s">
        <v>4031</v>
      </c>
      <c r="H6" s="79">
        <v>2.2916666666666669E-2</v>
      </c>
      <c r="I6" s="77" t="s">
        <v>101</v>
      </c>
      <c r="J6" s="77" t="s">
        <v>24</v>
      </c>
      <c r="K6" s="77" t="s">
        <v>302</v>
      </c>
      <c r="L6" s="77" t="s">
        <v>23</v>
      </c>
      <c r="M6" s="77" t="s">
        <v>24</v>
      </c>
      <c r="N6" s="77"/>
      <c r="O6" s="77">
        <v>1</v>
      </c>
      <c r="P6" s="77" t="s">
        <v>176</v>
      </c>
      <c r="Q6" s="77" t="s">
        <v>176</v>
      </c>
      <c r="R6" s="77" t="s">
        <v>24</v>
      </c>
      <c r="S6" s="77" t="s">
        <v>709</v>
      </c>
      <c r="T6" s="80" t="s">
        <v>23</v>
      </c>
      <c r="U6" s="80" t="s">
        <v>4004</v>
      </c>
      <c r="V6" s="80" t="s">
        <v>4005</v>
      </c>
      <c r="W6" s="77" t="s">
        <v>24</v>
      </c>
      <c r="X6" s="77" t="s">
        <v>24</v>
      </c>
      <c r="Y6" s="77" t="s">
        <v>176</v>
      </c>
      <c r="Z6" s="81" t="s">
        <v>246</v>
      </c>
      <c r="AA6" s="81"/>
      <c r="AB6" s="62" t="e">
        <f t="shared" si="0"/>
        <v>#VALUE!</v>
      </c>
      <c r="AC6" s="87"/>
      <c r="AD6" s="87"/>
      <c r="AE6" s="77"/>
      <c r="AF6" s="77"/>
      <c r="AG6" s="77"/>
      <c r="AH6" s="77">
        <v>33</v>
      </c>
      <c r="AI6" s="77">
        <v>0</v>
      </c>
      <c r="AJ6" s="77">
        <v>33</v>
      </c>
      <c r="AK6" s="77">
        <v>0</v>
      </c>
      <c r="AL6" s="77">
        <v>0</v>
      </c>
      <c r="AM6" s="77">
        <v>0</v>
      </c>
      <c r="AN6" s="77">
        <v>33</v>
      </c>
      <c r="AO6" s="77" t="s">
        <v>16</v>
      </c>
      <c r="AP6" s="77" t="s">
        <v>2139</v>
      </c>
      <c r="AQ6" s="77">
        <v>0</v>
      </c>
      <c r="AR6" s="77">
        <v>0</v>
      </c>
      <c r="AS6" s="77"/>
      <c r="AT6" s="77"/>
      <c r="AU6" s="77"/>
      <c r="AV6" s="77"/>
    </row>
    <row r="7" spans="1:48" s="59" customFormat="1" x14ac:dyDescent="0.2">
      <c r="A7" s="77" t="s">
        <v>109</v>
      </c>
      <c r="B7" s="77" t="s">
        <v>842</v>
      </c>
      <c r="C7" s="77">
        <v>4</v>
      </c>
      <c r="D7" s="77">
        <v>2</v>
      </c>
      <c r="E7" s="77" t="s">
        <v>834</v>
      </c>
      <c r="F7" s="78">
        <v>43340</v>
      </c>
      <c r="G7" s="78" t="s">
        <v>4031</v>
      </c>
      <c r="H7" s="79">
        <v>2.2916666666666669E-2</v>
      </c>
      <c r="I7" s="77" t="s">
        <v>101</v>
      </c>
      <c r="J7" s="77" t="s">
        <v>24</v>
      </c>
      <c r="K7" s="77" t="s">
        <v>102</v>
      </c>
      <c r="L7" s="77" t="s">
        <v>23</v>
      </c>
      <c r="M7" s="77" t="s">
        <v>24</v>
      </c>
      <c r="N7" s="77"/>
      <c r="O7" s="77">
        <v>1</v>
      </c>
      <c r="P7" s="77" t="s">
        <v>176</v>
      </c>
      <c r="Q7" s="77" t="s">
        <v>176</v>
      </c>
      <c r="R7" s="77" t="s">
        <v>24</v>
      </c>
      <c r="S7" s="77" t="s">
        <v>1940</v>
      </c>
      <c r="T7" s="80" t="s">
        <v>23</v>
      </c>
      <c r="U7" s="80" t="s">
        <v>3999</v>
      </c>
      <c r="V7" s="80" t="s">
        <v>4001</v>
      </c>
      <c r="W7" s="77" t="s">
        <v>24</v>
      </c>
      <c r="X7" s="77" t="s">
        <v>24</v>
      </c>
      <c r="Y7" s="77" t="s">
        <v>176</v>
      </c>
      <c r="Z7" s="81" t="s">
        <v>246</v>
      </c>
      <c r="AA7" s="81"/>
      <c r="AB7" s="62" t="e">
        <f t="shared" si="0"/>
        <v>#VALUE!</v>
      </c>
      <c r="AC7" s="87"/>
      <c r="AD7" s="87"/>
      <c r="AE7" s="77"/>
      <c r="AF7" s="77"/>
      <c r="AG7" s="77"/>
      <c r="AH7" s="77">
        <v>0</v>
      </c>
      <c r="AI7" s="77">
        <v>0</v>
      </c>
      <c r="AJ7" s="77">
        <v>0</v>
      </c>
      <c r="AK7" s="77">
        <v>0</v>
      </c>
      <c r="AL7" s="77">
        <v>0</v>
      </c>
      <c r="AM7" s="77">
        <v>0</v>
      </c>
      <c r="AN7" s="77">
        <v>0</v>
      </c>
      <c r="AO7" s="77" t="s">
        <v>16</v>
      </c>
      <c r="AP7" s="77"/>
      <c r="AQ7" s="77">
        <v>0</v>
      </c>
      <c r="AR7" s="77">
        <v>0</v>
      </c>
      <c r="AS7" s="82"/>
      <c r="AT7" s="82"/>
      <c r="AU7" s="82"/>
      <c r="AV7" s="82"/>
    </row>
    <row r="8" spans="1:48" s="59" customFormat="1" x14ac:dyDescent="0.2">
      <c r="A8" s="82" t="s">
        <v>151</v>
      </c>
      <c r="B8" s="82" t="s">
        <v>152</v>
      </c>
      <c r="C8" s="82">
        <v>6</v>
      </c>
      <c r="D8" s="82">
        <v>1</v>
      </c>
      <c r="E8" s="82" t="s">
        <v>140</v>
      </c>
      <c r="F8" s="83">
        <v>43341</v>
      </c>
      <c r="G8" s="78" t="s">
        <v>4031</v>
      </c>
      <c r="H8" s="84">
        <v>3.8194444444444441E-2</v>
      </c>
      <c r="I8" s="82" t="s">
        <v>101</v>
      </c>
      <c r="J8" s="82" t="s">
        <v>149</v>
      </c>
      <c r="K8" s="82" t="s">
        <v>187</v>
      </c>
      <c r="L8" s="82" t="s">
        <v>23</v>
      </c>
      <c r="M8" s="82">
        <v>3</v>
      </c>
      <c r="N8" s="82"/>
      <c r="O8" s="82">
        <v>1</v>
      </c>
      <c r="P8" s="77" t="s">
        <v>14</v>
      </c>
      <c r="Q8" s="82" t="s">
        <v>2128</v>
      </c>
      <c r="R8" s="82" t="s">
        <v>122</v>
      </c>
      <c r="S8" s="82" t="s">
        <v>3966</v>
      </c>
      <c r="T8" s="82" t="s">
        <v>23</v>
      </c>
      <c r="U8" s="82" t="s">
        <v>3999</v>
      </c>
      <c r="V8" s="82" t="s">
        <v>4002</v>
      </c>
      <c r="W8" s="77" t="s">
        <v>24</v>
      </c>
      <c r="X8" s="77" t="s">
        <v>24</v>
      </c>
      <c r="Y8" s="82" t="s">
        <v>176</v>
      </c>
      <c r="Z8" s="85" t="s">
        <v>2045</v>
      </c>
      <c r="AA8" s="85"/>
      <c r="AB8" s="62" t="e">
        <f t="shared" si="0"/>
        <v>#VALUE!</v>
      </c>
      <c r="AC8" s="88"/>
      <c r="AD8" s="88"/>
      <c r="AE8" s="82"/>
      <c r="AF8" s="82"/>
      <c r="AG8" s="82"/>
      <c r="AH8" s="82">
        <v>0</v>
      </c>
      <c r="AI8" s="82">
        <v>0</v>
      </c>
      <c r="AJ8" s="82">
        <v>0</v>
      </c>
      <c r="AK8" s="82">
        <v>0</v>
      </c>
      <c r="AL8" s="82">
        <v>24</v>
      </c>
      <c r="AM8" s="82">
        <v>0</v>
      </c>
      <c r="AN8" s="82">
        <v>24</v>
      </c>
      <c r="AO8" s="82" t="s">
        <v>303</v>
      </c>
      <c r="AP8" s="82" t="s">
        <v>153</v>
      </c>
      <c r="AQ8" s="82"/>
      <c r="AR8" s="82"/>
      <c r="AS8" s="77"/>
      <c r="AT8" s="77"/>
      <c r="AU8" s="77"/>
      <c r="AV8" s="77"/>
    </row>
    <row r="9" spans="1:48" s="59" customFormat="1" x14ac:dyDescent="0.2">
      <c r="A9" s="77" t="s">
        <v>154</v>
      </c>
      <c r="B9" s="77" t="s">
        <v>155</v>
      </c>
      <c r="C9" s="77">
        <v>7</v>
      </c>
      <c r="D9" s="77">
        <v>1</v>
      </c>
      <c r="E9" s="77" t="s">
        <v>140</v>
      </c>
      <c r="F9" s="78">
        <v>43341</v>
      </c>
      <c r="G9" s="78" t="s">
        <v>4031</v>
      </c>
      <c r="H9" s="79">
        <v>1.3888888888888888E-2</v>
      </c>
      <c r="I9" s="77" t="s">
        <v>101</v>
      </c>
      <c r="J9" s="77" t="s">
        <v>149</v>
      </c>
      <c r="K9" s="77" t="s">
        <v>156</v>
      </c>
      <c r="L9" s="77" t="s">
        <v>23</v>
      </c>
      <c r="M9" s="77">
        <v>0</v>
      </c>
      <c r="N9" s="77"/>
      <c r="O9" s="77">
        <v>1</v>
      </c>
      <c r="P9" s="77" t="s">
        <v>14</v>
      </c>
      <c r="Q9" s="77" t="s">
        <v>2128</v>
      </c>
      <c r="R9" s="77" t="s">
        <v>122</v>
      </c>
      <c r="S9" s="77" t="s">
        <v>3965</v>
      </c>
      <c r="T9" s="82" t="s">
        <v>23</v>
      </c>
      <c r="U9" s="82" t="s">
        <v>3997</v>
      </c>
      <c r="V9" s="82" t="s">
        <v>4002</v>
      </c>
      <c r="W9" s="77" t="s">
        <v>24</v>
      </c>
      <c r="X9" s="77" t="s">
        <v>24</v>
      </c>
      <c r="Y9" s="77" t="s">
        <v>176</v>
      </c>
      <c r="Z9" s="81" t="s">
        <v>2045</v>
      </c>
      <c r="AA9" s="81"/>
      <c r="AB9" s="62" t="e">
        <f t="shared" si="0"/>
        <v>#VALUE!</v>
      </c>
      <c r="AC9" s="87"/>
      <c r="AD9" s="87"/>
      <c r="AE9" s="82"/>
      <c r="AF9" s="82"/>
      <c r="AG9" s="82"/>
      <c r="AH9" s="77">
        <v>0</v>
      </c>
      <c r="AI9" s="77">
        <v>0</v>
      </c>
      <c r="AJ9" s="77">
        <v>0</v>
      </c>
      <c r="AK9" s="77">
        <v>0</v>
      </c>
      <c r="AL9" s="77">
        <v>0</v>
      </c>
      <c r="AM9" s="77">
        <v>0</v>
      </c>
      <c r="AN9" s="77">
        <v>0</v>
      </c>
      <c r="AO9" s="77" t="s">
        <v>115</v>
      </c>
      <c r="AP9" s="77"/>
      <c r="AQ9" s="77"/>
      <c r="AR9" s="77"/>
      <c r="AS9" s="77"/>
      <c r="AT9" s="77"/>
      <c r="AU9" s="77"/>
      <c r="AV9" s="77"/>
    </row>
    <row r="10" spans="1:48" s="59" customFormat="1" x14ac:dyDescent="0.2">
      <c r="A10" s="82" t="s">
        <v>164</v>
      </c>
      <c r="B10" s="82" t="s">
        <v>852</v>
      </c>
      <c r="C10" s="82">
        <v>5</v>
      </c>
      <c r="D10" s="82">
        <v>1</v>
      </c>
      <c r="E10" s="82" t="s">
        <v>834</v>
      </c>
      <c r="F10" s="83">
        <v>43342</v>
      </c>
      <c r="G10" s="78" t="s">
        <v>4031</v>
      </c>
      <c r="H10" s="84">
        <v>1.8749999999999999E-2</v>
      </c>
      <c r="I10" s="82" t="s">
        <v>158</v>
      </c>
      <c r="J10" s="82" t="s">
        <v>466</v>
      </c>
      <c r="K10" s="82" t="s">
        <v>102</v>
      </c>
      <c r="L10" s="82" t="s">
        <v>23</v>
      </c>
      <c r="M10" s="82">
        <v>1</v>
      </c>
      <c r="N10" s="82"/>
      <c r="O10" s="82">
        <v>1</v>
      </c>
      <c r="P10" s="77" t="s">
        <v>176</v>
      </c>
      <c r="Q10" s="82" t="s">
        <v>176</v>
      </c>
      <c r="R10" s="82" t="s">
        <v>122</v>
      </c>
      <c r="S10" s="77" t="s">
        <v>2044</v>
      </c>
      <c r="T10" s="80" t="s">
        <v>23</v>
      </c>
      <c r="U10" s="80" t="s">
        <v>3997</v>
      </c>
      <c r="V10" s="80" t="s">
        <v>4005</v>
      </c>
      <c r="W10" s="77" t="s">
        <v>24</v>
      </c>
      <c r="X10" s="77" t="s">
        <v>24</v>
      </c>
      <c r="Y10" s="82">
        <v>1</v>
      </c>
      <c r="Z10" s="85" t="s">
        <v>246</v>
      </c>
      <c r="AA10" s="85"/>
      <c r="AB10" s="62" t="e">
        <f t="shared" si="0"/>
        <v>#VALUE!</v>
      </c>
      <c r="AC10" s="88"/>
      <c r="AD10" s="88"/>
      <c r="AE10" s="77"/>
      <c r="AF10" s="77"/>
      <c r="AG10" s="77"/>
      <c r="AH10" s="82">
        <v>6</v>
      </c>
      <c r="AI10" s="82">
        <v>0</v>
      </c>
      <c r="AJ10" s="82">
        <v>0</v>
      </c>
      <c r="AK10" s="82">
        <v>6</v>
      </c>
      <c r="AL10" s="82">
        <v>11</v>
      </c>
      <c r="AM10" s="82">
        <v>0</v>
      </c>
      <c r="AN10" s="82">
        <v>17</v>
      </c>
      <c r="AO10" s="82" t="s">
        <v>24</v>
      </c>
      <c r="AP10" s="82" t="s">
        <v>2047</v>
      </c>
      <c r="AQ10" s="82">
        <v>0</v>
      </c>
      <c r="AR10" s="82">
        <v>0</v>
      </c>
      <c r="AS10" s="82"/>
      <c r="AT10" s="82"/>
      <c r="AU10" s="82"/>
      <c r="AV10" s="82"/>
    </row>
    <row r="11" spans="1:48" s="59" customFormat="1" x14ac:dyDescent="0.2">
      <c r="A11" s="82" t="s">
        <v>194</v>
      </c>
      <c r="B11" s="82" t="s">
        <v>195</v>
      </c>
      <c r="C11" s="82">
        <v>9</v>
      </c>
      <c r="D11" s="82">
        <v>1</v>
      </c>
      <c r="E11" s="82" t="s">
        <v>138</v>
      </c>
      <c r="F11" s="83">
        <v>43342</v>
      </c>
      <c r="G11" s="78" t="s">
        <v>4031</v>
      </c>
      <c r="H11" s="84">
        <v>3.5416666666666666E-2</v>
      </c>
      <c r="I11" s="82" t="s">
        <v>158</v>
      </c>
      <c r="J11" s="82" t="s">
        <v>173</v>
      </c>
      <c r="K11" s="82" t="s">
        <v>156</v>
      </c>
      <c r="L11" s="82" t="s">
        <v>23</v>
      </c>
      <c r="M11" s="82">
        <v>1</v>
      </c>
      <c r="N11" s="82"/>
      <c r="O11" s="82">
        <v>1</v>
      </c>
      <c r="P11" s="77" t="s">
        <v>112</v>
      </c>
      <c r="Q11" s="82" t="s">
        <v>112</v>
      </c>
      <c r="R11" s="82" t="s">
        <v>1958</v>
      </c>
      <c r="S11" s="82" t="s">
        <v>333</v>
      </c>
      <c r="T11" s="82" t="s">
        <v>23</v>
      </c>
      <c r="U11" s="82" t="s">
        <v>3999</v>
      </c>
      <c r="V11" s="82" t="s">
        <v>4006</v>
      </c>
      <c r="W11" s="77" t="s">
        <v>24</v>
      </c>
      <c r="X11" s="77" t="s">
        <v>24</v>
      </c>
      <c r="Y11" s="82" t="s">
        <v>176</v>
      </c>
      <c r="Z11" s="85" t="s">
        <v>2045</v>
      </c>
      <c r="AA11" s="85"/>
      <c r="AB11" s="62" t="e">
        <f t="shared" si="0"/>
        <v>#VALUE!</v>
      </c>
      <c r="AC11" s="88"/>
      <c r="AD11" s="88"/>
      <c r="AE11" s="77"/>
      <c r="AF11" s="77"/>
      <c r="AG11" s="77"/>
      <c r="AH11" s="82" t="s">
        <v>24</v>
      </c>
      <c r="AI11" s="82" t="s">
        <v>24</v>
      </c>
      <c r="AJ11" s="82" t="s">
        <v>24</v>
      </c>
      <c r="AK11" s="82" t="s">
        <v>24</v>
      </c>
      <c r="AL11" s="82">
        <v>8</v>
      </c>
      <c r="AM11" s="82">
        <v>0</v>
      </c>
      <c r="AN11" s="82">
        <v>8</v>
      </c>
      <c r="AO11" s="82" t="s">
        <v>24</v>
      </c>
      <c r="AP11" s="82" t="s">
        <v>196</v>
      </c>
      <c r="AQ11" s="82"/>
      <c r="AR11" s="82"/>
      <c r="AS11" s="77"/>
      <c r="AT11" s="77"/>
      <c r="AU11" s="77"/>
      <c r="AV11" s="77"/>
    </row>
    <row r="12" spans="1:48" s="59" customFormat="1" x14ac:dyDescent="0.2">
      <c r="A12" s="77" t="s">
        <v>182</v>
      </c>
      <c r="B12" s="77" t="s">
        <v>183</v>
      </c>
      <c r="C12" s="77">
        <v>5</v>
      </c>
      <c r="D12" s="77">
        <v>1</v>
      </c>
      <c r="E12" s="77" t="s">
        <v>138</v>
      </c>
      <c r="F12" s="78">
        <v>43342</v>
      </c>
      <c r="G12" s="78" t="s">
        <v>4031</v>
      </c>
      <c r="H12" s="79">
        <v>2.1527777777777781E-2</v>
      </c>
      <c r="I12" s="77" t="s">
        <v>158</v>
      </c>
      <c r="J12" s="77" t="s">
        <v>173</v>
      </c>
      <c r="K12" s="77" t="s">
        <v>111</v>
      </c>
      <c r="L12" s="77" t="s">
        <v>23</v>
      </c>
      <c r="M12" s="77">
        <v>0</v>
      </c>
      <c r="N12" s="77"/>
      <c r="O12" s="77">
        <v>1</v>
      </c>
      <c r="P12" s="77" t="s">
        <v>112</v>
      </c>
      <c r="Q12" s="77" t="s">
        <v>112</v>
      </c>
      <c r="R12" s="77" t="s">
        <v>3976</v>
      </c>
      <c r="S12" s="77" t="s">
        <v>333</v>
      </c>
      <c r="T12" s="82" t="s">
        <v>23</v>
      </c>
      <c r="U12" s="82" t="s">
        <v>3999</v>
      </c>
      <c r="V12" s="82" t="s">
        <v>4006</v>
      </c>
      <c r="W12" s="77" t="s">
        <v>24</v>
      </c>
      <c r="X12" s="77" t="s">
        <v>24</v>
      </c>
      <c r="Y12" s="77" t="s">
        <v>176</v>
      </c>
      <c r="Z12" s="81" t="s">
        <v>2045</v>
      </c>
      <c r="AA12" s="81"/>
      <c r="AB12" s="62" t="e">
        <f t="shared" si="0"/>
        <v>#VALUE!</v>
      </c>
      <c r="AC12" s="87"/>
      <c r="AD12" s="87"/>
      <c r="AE12" s="77"/>
      <c r="AF12" s="77"/>
      <c r="AG12" s="77"/>
      <c r="AH12" s="77">
        <v>0</v>
      </c>
      <c r="AI12" s="77">
        <v>0</v>
      </c>
      <c r="AJ12" s="77">
        <v>0</v>
      </c>
      <c r="AK12" s="77">
        <v>0</v>
      </c>
      <c r="AL12" s="77">
        <v>0</v>
      </c>
      <c r="AM12" s="77">
        <v>0</v>
      </c>
      <c r="AN12" s="77">
        <v>0</v>
      </c>
      <c r="AO12" s="77" t="s">
        <v>159</v>
      </c>
      <c r="AP12" s="77" t="s">
        <v>184</v>
      </c>
      <c r="AQ12" s="77">
        <v>0</v>
      </c>
      <c r="AR12" s="77">
        <v>0</v>
      </c>
      <c r="AS12" s="77"/>
      <c r="AT12" s="77"/>
      <c r="AU12" s="77"/>
      <c r="AV12" s="77"/>
    </row>
    <row r="13" spans="1:48" s="59" customFormat="1" x14ac:dyDescent="0.2">
      <c r="A13" s="77" t="s">
        <v>185</v>
      </c>
      <c r="B13" s="77" t="s">
        <v>186</v>
      </c>
      <c r="C13" s="77">
        <v>6</v>
      </c>
      <c r="D13" s="77">
        <v>1</v>
      </c>
      <c r="E13" s="77" t="s">
        <v>138</v>
      </c>
      <c r="F13" s="78">
        <v>43342</v>
      </c>
      <c r="G13" s="78" t="s">
        <v>4031</v>
      </c>
      <c r="H13" s="79">
        <v>6.6666666666666666E-2</v>
      </c>
      <c r="I13" s="77" t="s">
        <v>158</v>
      </c>
      <c r="J13" s="77" t="s">
        <v>173</v>
      </c>
      <c r="K13" s="77" t="s">
        <v>111</v>
      </c>
      <c r="L13" s="77" t="s">
        <v>23</v>
      </c>
      <c r="M13" s="77">
        <v>0</v>
      </c>
      <c r="N13" s="77"/>
      <c r="O13" s="77">
        <v>1</v>
      </c>
      <c r="P13" s="77" t="s">
        <v>176</v>
      </c>
      <c r="Q13" s="77" t="s">
        <v>176</v>
      </c>
      <c r="R13" s="77" t="s">
        <v>24</v>
      </c>
      <c r="S13" s="77" t="s">
        <v>1265</v>
      </c>
      <c r="T13" s="82" t="s">
        <v>23</v>
      </c>
      <c r="U13" s="82" t="s">
        <v>4004</v>
      </c>
      <c r="V13" s="82" t="s">
        <v>4005</v>
      </c>
      <c r="W13" s="77" t="s">
        <v>24</v>
      </c>
      <c r="X13" s="77" t="s">
        <v>24</v>
      </c>
      <c r="Y13" s="77" t="s">
        <v>176</v>
      </c>
      <c r="Z13" s="81" t="s">
        <v>2045</v>
      </c>
      <c r="AA13" s="81"/>
      <c r="AB13" s="62" t="e">
        <f t="shared" si="0"/>
        <v>#VALUE!</v>
      </c>
      <c r="AC13" s="87"/>
      <c r="AD13" s="87"/>
      <c r="AE13" s="77"/>
      <c r="AF13" s="77"/>
      <c r="AG13" s="77"/>
      <c r="AH13" s="77">
        <v>6</v>
      </c>
      <c r="AI13" s="77">
        <v>25</v>
      </c>
      <c r="AJ13" s="77">
        <v>16</v>
      </c>
      <c r="AK13" s="77">
        <v>15</v>
      </c>
      <c r="AL13" s="77">
        <v>0</v>
      </c>
      <c r="AM13" s="77">
        <v>0</v>
      </c>
      <c r="AN13" s="77">
        <v>31</v>
      </c>
      <c r="AO13" s="77" t="s">
        <v>188</v>
      </c>
      <c r="AP13" s="77" t="s">
        <v>2046</v>
      </c>
      <c r="AQ13" s="77">
        <v>0</v>
      </c>
      <c r="AR13" s="77">
        <v>0</v>
      </c>
      <c r="AS13" s="77"/>
      <c r="AT13" s="77"/>
      <c r="AU13" s="77"/>
      <c r="AV13" s="77"/>
    </row>
    <row r="14" spans="1:48" s="59" customFormat="1" x14ac:dyDescent="0.2">
      <c r="A14" s="77" t="s">
        <v>185</v>
      </c>
      <c r="B14" s="77" t="s">
        <v>186</v>
      </c>
      <c r="C14" s="77">
        <v>6</v>
      </c>
      <c r="D14" s="77">
        <v>3</v>
      </c>
      <c r="E14" s="77" t="s">
        <v>138</v>
      </c>
      <c r="F14" s="78">
        <v>43342</v>
      </c>
      <c r="G14" s="78" t="s">
        <v>4031</v>
      </c>
      <c r="H14" s="79">
        <v>6.6666666666666666E-2</v>
      </c>
      <c r="I14" s="77" t="s">
        <v>158</v>
      </c>
      <c r="J14" s="77" t="s">
        <v>173</v>
      </c>
      <c r="K14" s="77" t="s">
        <v>111</v>
      </c>
      <c r="L14" s="77" t="s">
        <v>23</v>
      </c>
      <c r="M14" s="77">
        <v>0</v>
      </c>
      <c r="N14" s="77"/>
      <c r="O14" s="77">
        <v>1</v>
      </c>
      <c r="P14" s="77" t="s">
        <v>176</v>
      </c>
      <c r="Q14" s="77" t="s">
        <v>176</v>
      </c>
      <c r="R14" s="77" t="s">
        <v>501</v>
      </c>
      <c r="S14" s="77" t="s">
        <v>3963</v>
      </c>
      <c r="T14" s="82" t="s">
        <v>23</v>
      </c>
      <c r="U14" s="82" t="s">
        <v>3997</v>
      </c>
      <c r="V14" s="82" t="s">
        <v>4002</v>
      </c>
      <c r="W14" s="77" t="s">
        <v>24</v>
      </c>
      <c r="X14" s="77" t="s">
        <v>24</v>
      </c>
      <c r="Y14" s="77" t="s">
        <v>176</v>
      </c>
      <c r="Z14" s="81" t="s">
        <v>2045</v>
      </c>
      <c r="AA14" s="81"/>
      <c r="AB14" s="62" t="e">
        <f t="shared" si="0"/>
        <v>#VALUE!</v>
      </c>
      <c r="AC14" s="87"/>
      <c r="AD14" s="87"/>
      <c r="AE14" s="82"/>
      <c r="AF14" s="82"/>
      <c r="AG14" s="82"/>
      <c r="AH14" s="77">
        <v>0</v>
      </c>
      <c r="AI14" s="77">
        <v>0</v>
      </c>
      <c r="AJ14" s="77">
        <v>0</v>
      </c>
      <c r="AK14" s="77">
        <v>0</v>
      </c>
      <c r="AL14" s="77">
        <v>0</v>
      </c>
      <c r="AM14" s="77">
        <v>0</v>
      </c>
      <c r="AN14" s="77">
        <v>0</v>
      </c>
      <c r="AO14" s="77" t="s">
        <v>188</v>
      </c>
      <c r="AP14" s="77" t="s">
        <v>2043</v>
      </c>
      <c r="AQ14" s="77">
        <v>0</v>
      </c>
      <c r="AR14" s="77">
        <v>0</v>
      </c>
      <c r="AS14" s="82"/>
      <c r="AT14" s="82"/>
      <c r="AU14" s="82"/>
      <c r="AV14" s="82"/>
    </row>
    <row r="15" spans="1:48" s="59" customFormat="1" x14ac:dyDescent="0.2">
      <c r="A15" s="77" t="s">
        <v>240</v>
      </c>
      <c r="B15" s="77" t="s">
        <v>856</v>
      </c>
      <c r="C15" s="77">
        <v>2</v>
      </c>
      <c r="D15" s="77">
        <v>3</v>
      </c>
      <c r="E15" s="77" t="s">
        <v>834</v>
      </c>
      <c r="F15" s="78">
        <v>43346</v>
      </c>
      <c r="G15" s="83" t="s">
        <v>4032</v>
      </c>
      <c r="H15" s="79">
        <v>0.29236111111111113</v>
      </c>
      <c r="I15" s="77"/>
      <c r="J15" s="77" t="s">
        <v>241</v>
      </c>
      <c r="K15" s="77" t="s">
        <v>242</v>
      </c>
      <c r="L15" s="77" t="s">
        <v>1071</v>
      </c>
      <c r="M15" s="77">
        <v>0</v>
      </c>
      <c r="N15" s="77"/>
      <c r="O15" s="77">
        <v>1</v>
      </c>
      <c r="P15" s="77" t="s">
        <v>461</v>
      </c>
      <c r="Q15" s="77" t="s">
        <v>2125</v>
      </c>
      <c r="R15" s="77" t="s">
        <v>244</v>
      </c>
      <c r="S15" s="77" t="s">
        <v>2055</v>
      </c>
      <c r="T15" s="80" t="s">
        <v>1196</v>
      </c>
      <c r="U15" s="80" t="s">
        <v>3997</v>
      </c>
      <c r="V15" s="80" t="s">
        <v>4005</v>
      </c>
      <c r="W15" s="77" t="s">
        <v>24</v>
      </c>
      <c r="X15" s="77" t="s">
        <v>24</v>
      </c>
      <c r="Y15" s="86">
        <v>2</v>
      </c>
      <c r="Z15" s="81">
        <v>63.739890000000003</v>
      </c>
      <c r="AA15" s="81">
        <v>148.9016</v>
      </c>
      <c r="AB15" s="62">
        <f t="shared" si="0"/>
        <v>212.64149</v>
      </c>
      <c r="AC15" s="87"/>
      <c r="AD15" s="87"/>
      <c r="AE15" s="77"/>
      <c r="AF15" s="77"/>
      <c r="AG15" s="77"/>
      <c r="AH15" s="77">
        <v>0</v>
      </c>
      <c r="AI15" s="77">
        <v>0</v>
      </c>
      <c r="AJ15" s="77">
        <v>0</v>
      </c>
      <c r="AK15" s="77">
        <v>0</v>
      </c>
      <c r="AL15" s="77">
        <v>0</v>
      </c>
      <c r="AM15" s="77">
        <v>0</v>
      </c>
      <c r="AN15" s="77">
        <v>0</v>
      </c>
      <c r="AO15" s="77"/>
      <c r="AP15" s="77" t="s">
        <v>1072</v>
      </c>
      <c r="AQ15" s="77"/>
      <c r="AR15" s="77"/>
      <c r="AS15" s="77"/>
      <c r="AT15" s="77"/>
      <c r="AU15" s="77"/>
      <c r="AV15" s="77"/>
    </row>
    <row r="16" spans="1:48" s="59" customFormat="1" x14ac:dyDescent="0.2">
      <c r="A16" s="77" t="s">
        <v>240</v>
      </c>
      <c r="B16" s="77" t="s">
        <v>856</v>
      </c>
      <c r="C16" s="77">
        <v>2</v>
      </c>
      <c r="D16" s="77">
        <v>2</v>
      </c>
      <c r="E16" s="77" t="s">
        <v>834</v>
      </c>
      <c r="F16" s="78">
        <v>43346</v>
      </c>
      <c r="G16" s="83" t="s">
        <v>4032</v>
      </c>
      <c r="H16" s="79">
        <v>0.29236111111111113</v>
      </c>
      <c r="I16" s="77"/>
      <c r="J16" s="77" t="s">
        <v>241</v>
      </c>
      <c r="K16" s="77" t="s">
        <v>242</v>
      </c>
      <c r="L16" s="77" t="s">
        <v>1071</v>
      </c>
      <c r="M16" s="77">
        <v>0</v>
      </c>
      <c r="N16" s="77"/>
      <c r="O16" s="77">
        <v>1</v>
      </c>
      <c r="P16" s="77" t="s">
        <v>461</v>
      </c>
      <c r="Q16" s="77" t="s">
        <v>2125</v>
      </c>
      <c r="R16" s="77" t="s">
        <v>244</v>
      </c>
      <c r="S16" s="77" t="s">
        <v>2054</v>
      </c>
      <c r="T16" s="80" t="s">
        <v>12</v>
      </c>
      <c r="U16" s="80" t="s">
        <v>3997</v>
      </c>
      <c r="V16" s="80" t="s">
        <v>4005</v>
      </c>
      <c r="W16" s="77" t="s">
        <v>24</v>
      </c>
      <c r="X16" s="77" t="s">
        <v>24</v>
      </c>
      <c r="Y16" s="86">
        <v>12</v>
      </c>
      <c r="Z16" s="81">
        <v>63.740020000000001</v>
      </c>
      <c r="AA16" s="81">
        <v>148.90156999999999</v>
      </c>
      <c r="AB16" s="62">
        <f t="shared" si="0"/>
        <v>212.64159000000001</v>
      </c>
      <c r="AC16" s="87"/>
      <c r="AD16" s="87"/>
      <c r="AE16" s="77"/>
      <c r="AF16" s="77"/>
      <c r="AG16" s="77"/>
      <c r="AH16" s="77">
        <v>0</v>
      </c>
      <c r="AI16" s="77">
        <v>0</v>
      </c>
      <c r="AJ16" s="77">
        <v>0</v>
      </c>
      <c r="AK16" s="77">
        <v>0</v>
      </c>
      <c r="AL16" s="77">
        <v>0</v>
      </c>
      <c r="AM16" s="77">
        <v>0</v>
      </c>
      <c r="AN16" s="77">
        <v>0</v>
      </c>
      <c r="AO16" s="77"/>
      <c r="AP16" s="77" t="s">
        <v>1072</v>
      </c>
      <c r="AQ16" s="77"/>
      <c r="AR16" s="77"/>
      <c r="AS16" s="82"/>
      <c r="AT16" s="82"/>
      <c r="AU16" s="82"/>
      <c r="AV16" s="82"/>
    </row>
    <row r="17" spans="1:48" s="59" customFormat="1" x14ac:dyDescent="0.2">
      <c r="A17" s="77" t="s">
        <v>240</v>
      </c>
      <c r="B17" s="77" t="s">
        <v>856</v>
      </c>
      <c r="C17" s="77">
        <v>2</v>
      </c>
      <c r="D17" s="77">
        <v>1</v>
      </c>
      <c r="E17" s="77" t="s">
        <v>834</v>
      </c>
      <c r="F17" s="78">
        <v>43346</v>
      </c>
      <c r="G17" s="83" t="s">
        <v>4032</v>
      </c>
      <c r="H17" s="79">
        <v>0.29236111111111113</v>
      </c>
      <c r="I17" s="77"/>
      <c r="J17" s="77" t="s">
        <v>241</v>
      </c>
      <c r="K17" s="77" t="s">
        <v>102</v>
      </c>
      <c r="L17" s="77" t="s">
        <v>1071</v>
      </c>
      <c r="M17" s="77">
        <v>3</v>
      </c>
      <c r="N17" s="77"/>
      <c r="O17" s="77">
        <v>1</v>
      </c>
      <c r="P17" s="77" t="s">
        <v>461</v>
      </c>
      <c r="Q17" s="77" t="s">
        <v>2125</v>
      </c>
      <c r="R17" s="77" t="s">
        <v>244</v>
      </c>
      <c r="S17" s="77" t="s">
        <v>2068</v>
      </c>
      <c r="T17" s="80" t="s">
        <v>23</v>
      </c>
      <c r="U17" s="80" t="s">
        <v>3997</v>
      </c>
      <c r="V17" s="80" t="s">
        <v>4005</v>
      </c>
      <c r="W17" s="77" t="s">
        <v>24</v>
      </c>
      <c r="X17" s="77" t="s">
        <v>24</v>
      </c>
      <c r="Y17" s="86">
        <v>19</v>
      </c>
      <c r="Z17" s="81">
        <v>63.74004</v>
      </c>
      <c r="AA17" s="81">
        <v>148.90179000000001</v>
      </c>
      <c r="AB17" s="62">
        <f t="shared" si="0"/>
        <v>212.64183</v>
      </c>
      <c r="AC17" s="87"/>
      <c r="AD17" s="87"/>
      <c r="AE17" s="82"/>
      <c r="AF17" s="82"/>
      <c r="AG17" s="82"/>
      <c r="AH17" s="77">
        <v>0</v>
      </c>
      <c r="AI17" s="77">
        <v>0</v>
      </c>
      <c r="AJ17" s="77">
        <v>0</v>
      </c>
      <c r="AK17" s="77">
        <v>0</v>
      </c>
      <c r="AL17" s="77">
        <v>0</v>
      </c>
      <c r="AM17" s="77">
        <v>0</v>
      </c>
      <c r="AN17" s="77">
        <v>0</v>
      </c>
      <c r="AO17" s="77" t="s">
        <v>117</v>
      </c>
      <c r="AP17" s="77" t="s">
        <v>1072</v>
      </c>
      <c r="AQ17" s="77">
        <v>0</v>
      </c>
      <c r="AR17" s="77">
        <v>0</v>
      </c>
      <c r="AS17" s="77"/>
      <c r="AT17" s="77"/>
      <c r="AU17" s="77"/>
      <c r="AV17" s="77"/>
    </row>
    <row r="18" spans="1:48" s="59" customFormat="1" x14ac:dyDescent="0.2">
      <c r="A18" s="77" t="s">
        <v>240</v>
      </c>
      <c r="B18" s="77" t="s">
        <v>856</v>
      </c>
      <c r="C18" s="77">
        <v>2</v>
      </c>
      <c r="D18" s="77">
        <v>4</v>
      </c>
      <c r="E18" s="77" t="s">
        <v>834</v>
      </c>
      <c r="F18" s="78">
        <v>43346</v>
      </c>
      <c r="G18" s="83" t="s">
        <v>4032</v>
      </c>
      <c r="H18" s="79">
        <v>0.29236111111111113</v>
      </c>
      <c r="I18" s="77"/>
      <c r="J18" s="77" t="s">
        <v>241</v>
      </c>
      <c r="K18" s="77" t="s">
        <v>242</v>
      </c>
      <c r="L18" s="77" t="s">
        <v>1071</v>
      </c>
      <c r="M18" s="77">
        <v>0</v>
      </c>
      <c r="N18" s="77"/>
      <c r="O18" s="77">
        <v>1</v>
      </c>
      <c r="P18" s="77" t="s">
        <v>461</v>
      </c>
      <c r="Q18" s="77" t="s">
        <v>2125</v>
      </c>
      <c r="R18" s="77" t="s">
        <v>244</v>
      </c>
      <c r="S18" s="77" t="s">
        <v>2068</v>
      </c>
      <c r="T18" s="80" t="s">
        <v>23</v>
      </c>
      <c r="U18" s="80" t="s">
        <v>3997</v>
      </c>
      <c r="V18" s="80" t="s">
        <v>4005</v>
      </c>
      <c r="W18" s="77" t="s">
        <v>24</v>
      </c>
      <c r="X18" s="77" t="s">
        <v>24</v>
      </c>
      <c r="Y18" s="86">
        <v>29</v>
      </c>
      <c r="Z18" s="81">
        <v>63.740119999999997</v>
      </c>
      <c r="AA18" s="81">
        <v>148.90125</v>
      </c>
      <c r="AB18" s="62">
        <f t="shared" si="0"/>
        <v>212.64136999999999</v>
      </c>
      <c r="AC18" s="87"/>
      <c r="AD18" s="87"/>
      <c r="AE18" s="77"/>
      <c r="AF18" s="77"/>
      <c r="AG18" s="77"/>
      <c r="AH18" s="77">
        <v>0</v>
      </c>
      <c r="AI18" s="77">
        <v>0</v>
      </c>
      <c r="AJ18" s="77">
        <v>0</v>
      </c>
      <c r="AK18" s="77">
        <v>0</v>
      </c>
      <c r="AL18" s="77">
        <v>0</v>
      </c>
      <c r="AM18" s="77">
        <v>0</v>
      </c>
      <c r="AN18" s="77">
        <v>0</v>
      </c>
      <c r="AO18" s="77"/>
      <c r="AP18" s="77" t="s">
        <v>1072</v>
      </c>
      <c r="AQ18" s="77"/>
      <c r="AR18" s="77"/>
      <c r="AS18" s="82"/>
      <c r="AT18" s="82"/>
      <c r="AU18" s="82"/>
      <c r="AV18" s="82"/>
    </row>
    <row r="19" spans="1:48" s="59" customFormat="1" x14ac:dyDescent="0.2">
      <c r="A19" s="77" t="s">
        <v>262</v>
      </c>
      <c r="B19" s="77" t="s">
        <v>276</v>
      </c>
      <c r="C19" s="77">
        <v>4</v>
      </c>
      <c r="D19" s="77">
        <v>1</v>
      </c>
      <c r="E19" s="77" t="s">
        <v>272</v>
      </c>
      <c r="F19" s="78">
        <v>43346</v>
      </c>
      <c r="G19" s="83" t="s">
        <v>4032</v>
      </c>
      <c r="H19" s="79">
        <v>1.1111111111111112E-2</v>
      </c>
      <c r="I19" s="77"/>
      <c r="J19" s="77" t="s">
        <v>241</v>
      </c>
      <c r="K19" s="77" t="s">
        <v>111</v>
      </c>
      <c r="L19" s="77" t="s">
        <v>23</v>
      </c>
      <c r="M19" s="77">
        <v>0</v>
      </c>
      <c r="N19" s="77"/>
      <c r="O19" s="77">
        <v>1</v>
      </c>
      <c r="P19" s="77" t="s">
        <v>176</v>
      </c>
      <c r="Q19" s="77" t="s">
        <v>176</v>
      </c>
      <c r="R19" s="77" t="s">
        <v>24</v>
      </c>
      <c r="S19" s="77" t="s">
        <v>263</v>
      </c>
      <c r="T19" s="80" t="s">
        <v>23</v>
      </c>
      <c r="U19" s="80" t="s">
        <v>4004</v>
      </c>
      <c r="V19" s="80" t="s">
        <v>4005</v>
      </c>
      <c r="W19" s="77" t="s">
        <v>24</v>
      </c>
      <c r="X19" s="77" t="s">
        <v>24</v>
      </c>
      <c r="Y19" s="77" t="s">
        <v>176</v>
      </c>
      <c r="Z19" s="81">
        <v>63.730879999999999</v>
      </c>
      <c r="AA19" s="81">
        <v>148.89989</v>
      </c>
      <c r="AB19" s="62">
        <f t="shared" si="0"/>
        <v>212.63076999999998</v>
      </c>
      <c r="AC19" s="87"/>
      <c r="AD19" s="87"/>
      <c r="AE19" s="77"/>
      <c r="AF19" s="77"/>
      <c r="AG19" s="77"/>
      <c r="AH19" s="77">
        <v>0</v>
      </c>
      <c r="AI19" s="77">
        <v>0</v>
      </c>
      <c r="AJ19" s="77">
        <v>0</v>
      </c>
      <c r="AK19" s="77">
        <v>0</v>
      </c>
      <c r="AL19" s="77">
        <v>0</v>
      </c>
      <c r="AM19" s="77">
        <v>0</v>
      </c>
      <c r="AN19" s="77">
        <v>0</v>
      </c>
      <c r="AO19" s="77" t="s">
        <v>159</v>
      </c>
      <c r="AP19" s="77" t="s">
        <v>2053</v>
      </c>
      <c r="AQ19" s="77">
        <v>0</v>
      </c>
      <c r="AR19" s="77">
        <v>0</v>
      </c>
    </row>
    <row r="20" spans="1:48" s="59" customFormat="1" x14ac:dyDescent="0.2">
      <c r="A20" s="77" t="s">
        <v>264</v>
      </c>
      <c r="B20" s="77" t="s">
        <v>277</v>
      </c>
      <c r="C20" s="77">
        <v>5</v>
      </c>
      <c r="D20" s="77">
        <v>1</v>
      </c>
      <c r="E20" s="77" t="s">
        <v>272</v>
      </c>
      <c r="F20" s="78">
        <v>43346</v>
      </c>
      <c r="G20" s="83" t="s">
        <v>4032</v>
      </c>
      <c r="H20" s="79">
        <v>4.1666666666666666E-3</v>
      </c>
      <c r="I20" s="77"/>
      <c r="J20" s="77" t="s">
        <v>241</v>
      </c>
      <c r="K20" s="77" t="s">
        <v>111</v>
      </c>
      <c r="L20" s="77" t="s">
        <v>23</v>
      </c>
      <c r="M20" s="77">
        <v>0</v>
      </c>
      <c r="N20" s="77"/>
      <c r="O20" s="77">
        <v>1</v>
      </c>
      <c r="P20" s="77" t="s">
        <v>176</v>
      </c>
      <c r="Q20" s="77" t="s">
        <v>176</v>
      </c>
      <c r="R20" s="77" t="s">
        <v>24</v>
      </c>
      <c r="S20" s="77" t="s">
        <v>263</v>
      </c>
      <c r="T20" s="80" t="s">
        <v>23</v>
      </c>
      <c r="U20" s="80" t="s">
        <v>4004</v>
      </c>
      <c r="V20" s="80" t="s">
        <v>4005</v>
      </c>
      <c r="W20" s="77" t="s">
        <v>24</v>
      </c>
      <c r="X20" s="77" t="s">
        <v>24</v>
      </c>
      <c r="Y20" s="77" t="s">
        <v>176</v>
      </c>
      <c r="Z20" s="81">
        <v>63.730220000000003</v>
      </c>
      <c r="AA20" s="81">
        <v>148.90285</v>
      </c>
      <c r="AB20" s="62">
        <f t="shared" si="0"/>
        <v>212.63307</v>
      </c>
      <c r="AC20" s="87"/>
      <c r="AD20" s="87"/>
      <c r="AE20" s="82"/>
      <c r="AF20" s="82"/>
      <c r="AG20" s="82"/>
      <c r="AH20" s="77">
        <v>0</v>
      </c>
      <c r="AI20" s="77">
        <v>0</v>
      </c>
      <c r="AJ20" s="77">
        <v>0</v>
      </c>
      <c r="AK20" s="77">
        <v>0</v>
      </c>
      <c r="AL20" s="77">
        <v>0</v>
      </c>
      <c r="AM20" s="77">
        <v>0</v>
      </c>
      <c r="AN20" s="77">
        <v>0</v>
      </c>
      <c r="AO20" s="77" t="s">
        <v>159</v>
      </c>
      <c r="AP20" s="77"/>
      <c r="AQ20" s="77">
        <v>0</v>
      </c>
      <c r="AR20" s="77">
        <v>0</v>
      </c>
      <c r="AS20" s="72"/>
      <c r="AT20" s="72"/>
      <c r="AU20" s="72"/>
      <c r="AV20" s="72"/>
    </row>
    <row r="21" spans="1:48" s="59" customFormat="1" x14ac:dyDescent="0.2">
      <c r="A21" s="82" t="s">
        <v>265</v>
      </c>
      <c r="B21" s="82" t="s">
        <v>278</v>
      </c>
      <c r="C21" s="82">
        <v>6</v>
      </c>
      <c r="D21" s="82">
        <v>2</v>
      </c>
      <c r="E21" s="82" t="s">
        <v>272</v>
      </c>
      <c r="F21" s="83">
        <v>43346</v>
      </c>
      <c r="G21" s="83" t="s">
        <v>4032</v>
      </c>
      <c r="H21" s="84">
        <v>8.4722222222222213E-2</v>
      </c>
      <c r="I21" s="82"/>
      <c r="J21" s="82" t="s">
        <v>255</v>
      </c>
      <c r="K21" s="82" t="s">
        <v>111</v>
      </c>
      <c r="L21" s="82" t="s">
        <v>23</v>
      </c>
      <c r="M21" s="82">
        <v>1</v>
      </c>
      <c r="N21" s="82"/>
      <c r="O21" s="82">
        <v>1</v>
      </c>
      <c r="P21" s="77" t="s">
        <v>176</v>
      </c>
      <c r="Q21" s="82" t="s">
        <v>2140</v>
      </c>
      <c r="R21" s="82" t="s">
        <v>122</v>
      </c>
      <c r="S21" s="82" t="s">
        <v>1940</v>
      </c>
      <c r="T21" s="82" t="s">
        <v>23</v>
      </c>
      <c r="U21" s="82" t="s">
        <v>3999</v>
      </c>
      <c r="V21" s="82" t="s">
        <v>4005</v>
      </c>
      <c r="W21" s="77" t="s">
        <v>24</v>
      </c>
      <c r="X21" s="77" t="s">
        <v>24</v>
      </c>
      <c r="Y21" s="82" t="s">
        <v>176</v>
      </c>
      <c r="Z21" s="85">
        <v>63.730229999999999</v>
      </c>
      <c r="AA21" s="85">
        <v>148.90411</v>
      </c>
      <c r="AB21" s="62">
        <f t="shared" si="0"/>
        <v>212.63434000000001</v>
      </c>
      <c r="AC21" s="88"/>
      <c r="AD21" s="88"/>
      <c r="AE21" s="77"/>
      <c r="AF21" s="77"/>
      <c r="AG21" s="77"/>
      <c r="AH21" s="82">
        <v>0</v>
      </c>
      <c r="AI21" s="82">
        <v>0</v>
      </c>
      <c r="AJ21" s="82">
        <v>0</v>
      </c>
      <c r="AK21" s="82">
        <v>0</v>
      </c>
      <c r="AL21" s="82">
        <v>23</v>
      </c>
      <c r="AM21" s="82">
        <v>0</v>
      </c>
      <c r="AN21" s="82">
        <v>23</v>
      </c>
      <c r="AO21" s="82"/>
      <c r="AP21" s="82" t="s">
        <v>1274</v>
      </c>
      <c r="AQ21" s="82">
        <v>0</v>
      </c>
      <c r="AR21" s="82">
        <v>0</v>
      </c>
      <c r="AS21" s="72"/>
      <c r="AT21" s="72"/>
      <c r="AU21" s="72"/>
      <c r="AV21" s="72"/>
    </row>
    <row r="22" spans="1:48" s="59" customFormat="1" x14ac:dyDescent="0.2">
      <c r="A22" s="77" t="s">
        <v>270</v>
      </c>
      <c r="B22" s="77"/>
      <c r="C22" s="77"/>
      <c r="D22" s="77"/>
      <c r="E22" s="77" t="s">
        <v>213</v>
      </c>
      <c r="F22" s="78">
        <v>43346</v>
      </c>
      <c r="G22" s="83" t="s">
        <v>4032</v>
      </c>
      <c r="H22" s="77" t="s">
        <v>115</v>
      </c>
      <c r="I22" s="77"/>
      <c r="J22" s="77" t="s">
        <v>24</v>
      </c>
      <c r="K22" s="77" t="s">
        <v>111</v>
      </c>
      <c r="L22" s="77" t="s">
        <v>23</v>
      </c>
      <c r="M22" s="77">
        <v>0</v>
      </c>
      <c r="N22" s="77"/>
      <c r="O22" s="77">
        <v>1</v>
      </c>
      <c r="P22" s="77" t="s">
        <v>176</v>
      </c>
      <c r="Q22" s="77" t="s">
        <v>176</v>
      </c>
      <c r="R22" s="77" t="s">
        <v>24</v>
      </c>
      <c r="S22" s="77" t="s">
        <v>23</v>
      </c>
      <c r="T22" s="82" t="s">
        <v>23</v>
      </c>
      <c r="U22" s="82" t="s">
        <v>24</v>
      </c>
      <c r="V22" s="82" t="s">
        <v>176</v>
      </c>
      <c r="W22" s="77" t="s">
        <v>24</v>
      </c>
      <c r="X22" s="77" t="s">
        <v>24</v>
      </c>
      <c r="Y22" s="77" t="s">
        <v>24</v>
      </c>
      <c r="Z22" s="81">
        <v>63.72287</v>
      </c>
      <c r="AA22" s="81">
        <v>148.98138</v>
      </c>
      <c r="AB22" s="62">
        <f t="shared" si="0"/>
        <v>212.70425</v>
      </c>
      <c r="AC22" s="87"/>
      <c r="AD22" s="87"/>
      <c r="AE22" s="77"/>
      <c r="AF22" s="77"/>
      <c r="AG22" s="77"/>
      <c r="AH22" s="77">
        <v>0</v>
      </c>
      <c r="AI22" s="77">
        <v>0</v>
      </c>
      <c r="AJ22" s="77">
        <v>0</v>
      </c>
      <c r="AK22" s="77">
        <v>0</v>
      </c>
      <c r="AL22" s="77">
        <v>0</v>
      </c>
      <c r="AM22" s="77">
        <v>0</v>
      </c>
      <c r="AN22" s="77">
        <v>0</v>
      </c>
      <c r="AO22" s="77"/>
      <c r="AP22" s="77" t="s">
        <v>271</v>
      </c>
      <c r="AQ22" s="77">
        <v>0</v>
      </c>
      <c r="AR22" s="77">
        <v>0</v>
      </c>
      <c r="AS22" s="82"/>
      <c r="AT22" s="82"/>
      <c r="AU22" s="82"/>
      <c r="AV22" s="82"/>
    </row>
    <row r="23" spans="1:48" s="59" customFormat="1" x14ac:dyDescent="0.2">
      <c r="A23" s="82" t="s">
        <v>267</v>
      </c>
      <c r="B23" s="82" t="s">
        <v>268</v>
      </c>
      <c r="C23" s="82">
        <v>1</v>
      </c>
      <c r="D23" s="82">
        <v>1</v>
      </c>
      <c r="E23" s="82" t="s">
        <v>213</v>
      </c>
      <c r="F23" s="83">
        <v>43346</v>
      </c>
      <c r="G23" s="83" t="s">
        <v>4032</v>
      </c>
      <c r="H23" s="84">
        <v>4.3055555555555562E-2</v>
      </c>
      <c r="I23" s="82"/>
      <c r="J23" s="82" t="s">
        <v>2498</v>
      </c>
      <c r="K23" s="82" t="s">
        <v>187</v>
      </c>
      <c r="L23" s="82" t="s">
        <v>23</v>
      </c>
      <c r="M23" s="82">
        <v>1</v>
      </c>
      <c r="N23" s="82"/>
      <c r="O23" s="82">
        <v>1</v>
      </c>
      <c r="P23" s="77" t="s">
        <v>14</v>
      </c>
      <c r="Q23" s="82" t="s">
        <v>14</v>
      </c>
      <c r="R23" s="82" t="s">
        <v>122</v>
      </c>
      <c r="S23" s="82" t="s">
        <v>3984</v>
      </c>
      <c r="T23" s="82" t="s">
        <v>23</v>
      </c>
      <c r="U23" s="82" t="s">
        <v>3999</v>
      </c>
      <c r="V23" s="82" t="s">
        <v>4007</v>
      </c>
      <c r="W23" s="77" t="s">
        <v>24</v>
      </c>
      <c r="X23" s="77" t="s">
        <v>24</v>
      </c>
      <c r="Y23" s="82" t="s">
        <v>176</v>
      </c>
      <c r="Z23" s="85">
        <v>63.722920000000002</v>
      </c>
      <c r="AA23" s="85">
        <v>148.98212000000001</v>
      </c>
      <c r="AB23" s="62">
        <f t="shared" si="0"/>
        <v>212.70504</v>
      </c>
      <c r="AC23" s="88"/>
      <c r="AD23" s="88"/>
      <c r="AE23" s="77"/>
      <c r="AF23" s="77"/>
      <c r="AG23" s="77"/>
      <c r="AH23" s="82">
        <v>0</v>
      </c>
      <c r="AI23" s="82">
        <v>0</v>
      </c>
      <c r="AJ23" s="82">
        <v>0</v>
      </c>
      <c r="AK23" s="82">
        <v>0</v>
      </c>
      <c r="AL23" s="82">
        <v>7</v>
      </c>
      <c r="AM23" s="82">
        <v>0</v>
      </c>
      <c r="AN23" s="82">
        <v>7</v>
      </c>
      <c r="AO23" s="82"/>
      <c r="AP23" s="82" t="s">
        <v>1021</v>
      </c>
      <c r="AQ23" s="82">
        <v>0</v>
      </c>
      <c r="AR23" s="82">
        <v>0</v>
      </c>
      <c r="AS23" s="77"/>
      <c r="AT23" s="77"/>
      <c r="AU23" s="77"/>
      <c r="AV23" s="77"/>
    </row>
    <row r="24" spans="1:48" s="59" customFormat="1" x14ac:dyDescent="0.2">
      <c r="A24" s="82" t="s">
        <v>245</v>
      </c>
      <c r="B24" s="82" t="s">
        <v>857</v>
      </c>
      <c r="C24" s="82">
        <v>3</v>
      </c>
      <c r="D24" s="82">
        <v>1</v>
      </c>
      <c r="E24" s="82" t="s">
        <v>834</v>
      </c>
      <c r="F24" s="83">
        <v>43346</v>
      </c>
      <c r="G24" s="83" t="s">
        <v>4032</v>
      </c>
      <c r="H24" s="84">
        <v>2.8472222222222222E-2</v>
      </c>
      <c r="I24" s="82"/>
      <c r="J24" s="82" t="s">
        <v>241</v>
      </c>
      <c r="K24" s="82" t="s">
        <v>102</v>
      </c>
      <c r="L24" s="82" t="s">
        <v>115</v>
      </c>
      <c r="M24" s="82">
        <v>1</v>
      </c>
      <c r="N24" s="82"/>
      <c r="O24" s="82">
        <v>1</v>
      </c>
      <c r="P24" s="77" t="s">
        <v>14</v>
      </c>
      <c r="Q24" s="82" t="s">
        <v>2128</v>
      </c>
      <c r="R24" s="82" t="s">
        <v>122</v>
      </c>
      <c r="S24" s="82" t="s">
        <v>3963</v>
      </c>
      <c r="T24" s="82" t="s">
        <v>23</v>
      </c>
      <c r="U24" s="82" t="s">
        <v>3997</v>
      </c>
      <c r="V24" s="82" t="s">
        <v>4007</v>
      </c>
      <c r="W24" s="77" t="s">
        <v>24</v>
      </c>
      <c r="X24" s="77" t="s">
        <v>24</v>
      </c>
      <c r="Y24" s="82" t="s">
        <v>176</v>
      </c>
      <c r="Z24" s="85" t="s">
        <v>246</v>
      </c>
      <c r="AA24" s="85"/>
      <c r="AB24" s="62" t="e">
        <f t="shared" si="0"/>
        <v>#VALUE!</v>
      </c>
      <c r="AC24" s="88"/>
      <c r="AD24" s="88"/>
      <c r="AE24" s="77"/>
      <c r="AF24" s="77"/>
      <c r="AG24" s="77"/>
      <c r="AH24" s="82">
        <v>0</v>
      </c>
      <c r="AI24" s="82">
        <v>0</v>
      </c>
      <c r="AJ24" s="82">
        <v>0</v>
      </c>
      <c r="AK24" s="82">
        <v>0</v>
      </c>
      <c r="AL24" s="82">
        <v>10</v>
      </c>
      <c r="AM24" s="82">
        <v>0</v>
      </c>
      <c r="AN24" s="82">
        <v>10</v>
      </c>
      <c r="AO24" s="82" t="s">
        <v>247</v>
      </c>
      <c r="AP24" s="82" t="s">
        <v>1267</v>
      </c>
      <c r="AQ24" s="82">
        <v>0</v>
      </c>
      <c r="AR24" s="82">
        <v>0</v>
      </c>
      <c r="AS24" s="82"/>
      <c r="AT24" s="82"/>
      <c r="AU24" s="82"/>
      <c r="AV24" s="82"/>
    </row>
    <row r="25" spans="1:48" s="59" customFormat="1" x14ac:dyDescent="0.2">
      <c r="A25" s="77" t="s">
        <v>287</v>
      </c>
      <c r="B25" s="77" t="s">
        <v>288</v>
      </c>
      <c r="C25" s="77">
        <v>1</v>
      </c>
      <c r="D25" s="77">
        <v>1</v>
      </c>
      <c r="E25" s="77" t="s">
        <v>272</v>
      </c>
      <c r="F25" s="78">
        <v>43347</v>
      </c>
      <c r="G25" s="83" t="s">
        <v>4032</v>
      </c>
      <c r="H25" s="79">
        <v>3.6805555555555557E-2</v>
      </c>
      <c r="I25" s="77"/>
      <c r="J25" s="77" t="s">
        <v>241</v>
      </c>
      <c r="K25" s="77" t="s">
        <v>111</v>
      </c>
      <c r="L25" s="77" t="s">
        <v>23</v>
      </c>
      <c r="M25" s="77">
        <v>0</v>
      </c>
      <c r="N25" s="77"/>
      <c r="O25" s="77">
        <v>1</v>
      </c>
      <c r="P25" s="77" t="s">
        <v>176</v>
      </c>
      <c r="Q25" s="77" t="s">
        <v>176</v>
      </c>
      <c r="R25" s="77" t="s">
        <v>2154</v>
      </c>
      <c r="S25" s="77" t="s">
        <v>263</v>
      </c>
      <c r="T25" s="80" t="s">
        <v>23</v>
      </c>
      <c r="U25" s="80" t="s">
        <v>4004</v>
      </c>
      <c r="V25" s="80" t="s">
        <v>4005</v>
      </c>
      <c r="W25" s="77" t="s">
        <v>24</v>
      </c>
      <c r="X25" s="77" t="s">
        <v>24</v>
      </c>
      <c r="Y25" s="77" t="s">
        <v>176</v>
      </c>
      <c r="Z25" s="81">
        <v>63.731529999999999</v>
      </c>
      <c r="AA25" s="81">
        <v>148.90401</v>
      </c>
      <c r="AB25" s="62">
        <f t="shared" si="0"/>
        <v>212.63553999999999</v>
      </c>
      <c r="AC25" s="87"/>
      <c r="AD25" s="87"/>
      <c r="AE25" s="77"/>
      <c r="AF25" s="77"/>
      <c r="AG25" s="77"/>
      <c r="AH25" s="77">
        <v>0</v>
      </c>
      <c r="AI25" s="77">
        <v>0</v>
      </c>
      <c r="AJ25" s="77">
        <v>0</v>
      </c>
      <c r="AK25" s="77">
        <v>0</v>
      </c>
      <c r="AL25" s="77">
        <v>0</v>
      </c>
      <c r="AM25" s="77">
        <v>0</v>
      </c>
      <c r="AN25" s="77">
        <v>0</v>
      </c>
      <c r="AO25" s="77" t="s">
        <v>115</v>
      </c>
      <c r="AP25" s="77" t="s">
        <v>289</v>
      </c>
      <c r="AQ25" s="77">
        <v>0</v>
      </c>
      <c r="AR25" s="77">
        <v>0</v>
      </c>
      <c r="AS25" s="72"/>
      <c r="AT25" s="72"/>
      <c r="AU25" s="72"/>
      <c r="AV25" s="72"/>
    </row>
    <row r="26" spans="1:48" s="59" customFormat="1" x14ac:dyDescent="0.2">
      <c r="A26" s="77" t="s">
        <v>311</v>
      </c>
      <c r="B26" s="77" t="s">
        <v>312</v>
      </c>
      <c r="C26" s="77">
        <v>8</v>
      </c>
      <c r="D26" s="77">
        <v>1</v>
      </c>
      <c r="E26" s="77" t="s">
        <v>295</v>
      </c>
      <c r="F26" s="78">
        <v>43347</v>
      </c>
      <c r="G26" s="83" t="s">
        <v>4032</v>
      </c>
      <c r="H26" s="79">
        <v>4.6527777777777779E-2</v>
      </c>
      <c r="I26" s="77"/>
      <c r="J26" s="77" t="s">
        <v>241</v>
      </c>
      <c r="K26" s="77" t="s">
        <v>159</v>
      </c>
      <c r="L26" s="77" t="s">
        <v>23</v>
      </c>
      <c r="M26" s="77">
        <v>0</v>
      </c>
      <c r="N26" s="77"/>
      <c r="O26" s="77">
        <v>1</v>
      </c>
      <c r="P26" s="77" t="s">
        <v>176</v>
      </c>
      <c r="Q26" s="77" t="s">
        <v>176</v>
      </c>
      <c r="R26" s="77" t="s">
        <v>24</v>
      </c>
      <c r="S26" s="77" t="s">
        <v>263</v>
      </c>
      <c r="T26" s="82" t="s">
        <v>23</v>
      </c>
      <c r="U26" s="82" t="s">
        <v>4004</v>
      </c>
      <c r="V26" s="82" t="s">
        <v>4005</v>
      </c>
      <c r="W26" s="77" t="s">
        <v>24</v>
      </c>
      <c r="X26" s="77" t="s">
        <v>24</v>
      </c>
      <c r="Y26" s="77" t="s">
        <v>24</v>
      </c>
      <c r="Z26" s="81">
        <v>63.721640000000001</v>
      </c>
      <c r="AA26" s="81">
        <v>148.95113000000001</v>
      </c>
      <c r="AB26" s="62">
        <f t="shared" si="0"/>
        <v>212.67277000000001</v>
      </c>
      <c r="AC26" s="87"/>
      <c r="AD26" s="87"/>
      <c r="AE26" s="77"/>
      <c r="AF26" s="77"/>
      <c r="AG26" s="77"/>
      <c r="AH26" s="77">
        <v>0</v>
      </c>
      <c r="AI26" s="77">
        <v>0</v>
      </c>
      <c r="AJ26" s="77">
        <v>0</v>
      </c>
      <c r="AK26" s="77">
        <v>0</v>
      </c>
      <c r="AL26" s="77">
        <v>0</v>
      </c>
      <c r="AM26" s="77">
        <v>0</v>
      </c>
      <c r="AN26" s="77">
        <v>0</v>
      </c>
      <c r="AO26" s="77"/>
      <c r="AP26" s="77" t="s">
        <v>314</v>
      </c>
      <c r="AQ26" s="77"/>
      <c r="AR26" s="77"/>
      <c r="AS26" s="77"/>
      <c r="AT26" s="77"/>
      <c r="AU26" s="77"/>
      <c r="AV26" s="77"/>
    </row>
    <row r="27" spans="1:48" s="59" customFormat="1" x14ac:dyDescent="0.2">
      <c r="A27" s="77" t="s">
        <v>315</v>
      </c>
      <c r="B27" s="77" t="s">
        <v>316</v>
      </c>
      <c r="C27" s="77">
        <v>9</v>
      </c>
      <c r="D27" s="77">
        <v>2</v>
      </c>
      <c r="E27" s="77" t="s">
        <v>295</v>
      </c>
      <c r="F27" s="78">
        <v>43347</v>
      </c>
      <c r="G27" s="83" t="s">
        <v>4032</v>
      </c>
      <c r="H27" s="79">
        <v>6.0416666666666667E-2</v>
      </c>
      <c r="I27" s="77"/>
      <c r="J27" s="77" t="s">
        <v>241</v>
      </c>
      <c r="K27" s="77" t="s">
        <v>187</v>
      </c>
      <c r="L27" s="77" t="s">
        <v>23</v>
      </c>
      <c r="M27" s="77">
        <v>1</v>
      </c>
      <c r="N27" s="77"/>
      <c r="O27" s="77">
        <v>1</v>
      </c>
      <c r="P27" s="77" t="s">
        <v>14</v>
      </c>
      <c r="Q27" s="77" t="s">
        <v>2128</v>
      </c>
      <c r="R27" s="77" t="s">
        <v>122</v>
      </c>
      <c r="S27" s="77" t="s">
        <v>3963</v>
      </c>
      <c r="T27" s="82" t="s">
        <v>23</v>
      </c>
      <c r="U27" s="82" t="s">
        <v>3997</v>
      </c>
      <c r="V27" s="82" t="s">
        <v>4007</v>
      </c>
      <c r="W27" s="77" t="s">
        <v>24</v>
      </c>
      <c r="X27" s="77" t="s">
        <v>24</v>
      </c>
      <c r="Y27" s="77" t="s">
        <v>176</v>
      </c>
      <c r="Z27" s="81">
        <v>63.721629999999998</v>
      </c>
      <c r="AA27" s="81">
        <v>148.95177000000001</v>
      </c>
      <c r="AB27" s="62">
        <f t="shared" si="0"/>
        <v>212.67340000000002</v>
      </c>
      <c r="AC27" s="87"/>
      <c r="AD27" s="87"/>
      <c r="AE27" s="77"/>
      <c r="AF27" s="77"/>
      <c r="AG27" s="77"/>
      <c r="AH27" s="77">
        <v>0</v>
      </c>
      <c r="AI27" s="77">
        <v>0</v>
      </c>
      <c r="AJ27" s="77">
        <v>0</v>
      </c>
      <c r="AK27" s="77">
        <v>0</v>
      </c>
      <c r="AL27" s="77">
        <v>0</v>
      </c>
      <c r="AM27" s="77">
        <v>0</v>
      </c>
      <c r="AN27" s="77">
        <v>0</v>
      </c>
      <c r="AO27" s="77"/>
      <c r="AP27" s="77"/>
      <c r="AQ27" s="77"/>
      <c r="AR27" s="77"/>
      <c r="AS27" s="77"/>
      <c r="AT27" s="77"/>
      <c r="AU27" s="77"/>
      <c r="AV27" s="77"/>
    </row>
    <row r="28" spans="1:48" s="59" customFormat="1" x14ac:dyDescent="0.2">
      <c r="A28" s="82" t="s">
        <v>305</v>
      </c>
      <c r="B28" s="82" t="s">
        <v>306</v>
      </c>
      <c r="C28" s="82">
        <v>5</v>
      </c>
      <c r="D28" s="82">
        <v>1</v>
      </c>
      <c r="E28" s="82" t="s">
        <v>295</v>
      </c>
      <c r="F28" s="83">
        <v>43347</v>
      </c>
      <c r="G28" s="83" t="s">
        <v>4032</v>
      </c>
      <c r="H28" s="84">
        <v>9.0972222222222218E-2</v>
      </c>
      <c r="I28" s="82"/>
      <c r="J28" s="82" t="s">
        <v>241</v>
      </c>
      <c r="K28" s="82" t="s">
        <v>187</v>
      </c>
      <c r="L28" s="82" t="s">
        <v>23</v>
      </c>
      <c r="M28" s="82">
        <v>1</v>
      </c>
      <c r="N28" s="82"/>
      <c r="O28" s="82">
        <v>1</v>
      </c>
      <c r="P28" s="77" t="s">
        <v>112</v>
      </c>
      <c r="Q28" s="82" t="s">
        <v>112</v>
      </c>
      <c r="R28" s="82" t="s">
        <v>122</v>
      </c>
      <c r="S28" s="82" t="s">
        <v>3978</v>
      </c>
      <c r="T28" s="82" t="s">
        <v>23</v>
      </c>
      <c r="U28" s="82" t="s">
        <v>3997</v>
      </c>
      <c r="V28" s="82" t="s">
        <v>4007</v>
      </c>
      <c r="W28" s="77" t="s">
        <v>24</v>
      </c>
      <c r="X28" s="77" t="s">
        <v>24</v>
      </c>
      <c r="Y28" s="82" t="s">
        <v>176</v>
      </c>
      <c r="Z28" s="85">
        <v>63.721400000000003</v>
      </c>
      <c r="AA28" s="85">
        <v>148.95255</v>
      </c>
      <c r="AB28" s="62">
        <f t="shared" si="0"/>
        <v>212.67394999999999</v>
      </c>
      <c r="AC28" s="88"/>
      <c r="AD28" s="88"/>
      <c r="AE28" s="82"/>
      <c r="AF28" s="82"/>
      <c r="AG28" s="82"/>
      <c r="AH28" s="82">
        <v>0</v>
      </c>
      <c r="AI28" s="82">
        <v>0</v>
      </c>
      <c r="AJ28" s="82">
        <v>0</v>
      </c>
      <c r="AK28" s="82">
        <v>0</v>
      </c>
      <c r="AL28" s="82">
        <v>30</v>
      </c>
      <c r="AM28" s="82">
        <v>0</v>
      </c>
      <c r="AN28" s="82">
        <v>30</v>
      </c>
      <c r="AO28" s="82" t="s">
        <v>103</v>
      </c>
      <c r="AP28" s="82"/>
      <c r="AQ28" s="82"/>
      <c r="AR28" s="82"/>
      <c r="AS28" s="77"/>
      <c r="AT28" s="77"/>
      <c r="AU28" s="77"/>
      <c r="AV28" s="77"/>
    </row>
    <row r="29" spans="1:48" s="59" customFormat="1" x14ac:dyDescent="0.2">
      <c r="A29" s="82" t="s">
        <v>300</v>
      </c>
      <c r="B29" s="82" t="s">
        <v>301</v>
      </c>
      <c r="C29" s="82">
        <v>4</v>
      </c>
      <c r="D29" s="82">
        <v>1</v>
      </c>
      <c r="E29" s="82" t="s">
        <v>295</v>
      </c>
      <c r="F29" s="83">
        <v>43347</v>
      </c>
      <c r="G29" s="83" t="s">
        <v>4032</v>
      </c>
      <c r="H29" s="84">
        <v>0.1013888888888889</v>
      </c>
      <c r="I29" s="82"/>
      <c r="J29" s="82" t="s">
        <v>241</v>
      </c>
      <c r="K29" s="82" t="s">
        <v>302</v>
      </c>
      <c r="L29" s="82" t="s">
        <v>23</v>
      </c>
      <c r="M29" s="82">
        <v>1</v>
      </c>
      <c r="N29" s="82"/>
      <c r="O29" s="82">
        <v>1</v>
      </c>
      <c r="P29" s="77" t="s">
        <v>176</v>
      </c>
      <c r="Q29" s="82" t="s">
        <v>176</v>
      </c>
      <c r="R29" s="82" t="s">
        <v>122</v>
      </c>
      <c r="S29" s="82" t="s">
        <v>4009</v>
      </c>
      <c r="T29" s="82" t="s">
        <v>23</v>
      </c>
      <c r="U29" s="82" t="s">
        <v>3999</v>
      </c>
      <c r="V29" s="82" t="s">
        <v>4006</v>
      </c>
      <c r="W29" s="77" t="s">
        <v>24</v>
      </c>
      <c r="X29" s="77" t="s">
        <v>24</v>
      </c>
      <c r="Y29" s="82" t="s">
        <v>176</v>
      </c>
      <c r="Z29" s="85">
        <v>63.721440000000001</v>
      </c>
      <c r="AA29" s="85">
        <v>148.95258000000001</v>
      </c>
      <c r="AB29" s="62">
        <f t="shared" si="0"/>
        <v>212.67402000000001</v>
      </c>
      <c r="AC29" s="88"/>
      <c r="AD29" s="88"/>
      <c r="AE29" s="82"/>
      <c r="AF29" s="82"/>
      <c r="AG29" s="82"/>
      <c r="AH29" s="82">
        <v>0</v>
      </c>
      <c r="AI29" s="82">
        <v>0</v>
      </c>
      <c r="AJ29" s="82">
        <v>0</v>
      </c>
      <c r="AK29" s="82">
        <v>0</v>
      </c>
      <c r="AL29" s="82">
        <v>91</v>
      </c>
      <c r="AM29" s="82">
        <v>0</v>
      </c>
      <c r="AN29" s="82">
        <v>91</v>
      </c>
      <c r="AO29" s="82" t="s">
        <v>303</v>
      </c>
      <c r="AP29" s="82" t="s">
        <v>304</v>
      </c>
      <c r="AQ29" s="82"/>
      <c r="AR29" s="82"/>
      <c r="AS29" s="77"/>
      <c r="AT29" s="77"/>
      <c r="AU29" s="77"/>
      <c r="AV29" s="77"/>
    </row>
    <row r="30" spans="1:48" s="59" customFormat="1" x14ac:dyDescent="0.2">
      <c r="A30" s="82" t="s">
        <v>322</v>
      </c>
      <c r="B30" s="82" t="s">
        <v>318</v>
      </c>
      <c r="C30" s="82">
        <v>11</v>
      </c>
      <c r="D30" s="82">
        <v>1</v>
      </c>
      <c r="E30" s="82" t="s">
        <v>295</v>
      </c>
      <c r="F30" s="83">
        <v>43347</v>
      </c>
      <c r="G30" s="83" t="s">
        <v>4032</v>
      </c>
      <c r="H30" s="84">
        <v>2.1527777777777781E-2</v>
      </c>
      <c r="I30" s="82"/>
      <c r="J30" s="82" t="s">
        <v>241</v>
      </c>
      <c r="K30" s="82" t="s">
        <v>187</v>
      </c>
      <c r="L30" s="82" t="s">
        <v>23</v>
      </c>
      <c r="M30" s="82">
        <v>1</v>
      </c>
      <c r="N30" s="82"/>
      <c r="O30" s="82">
        <v>1</v>
      </c>
      <c r="P30" s="77" t="s">
        <v>14</v>
      </c>
      <c r="Q30" s="82" t="s">
        <v>2128</v>
      </c>
      <c r="R30" s="82" t="s">
        <v>122</v>
      </c>
      <c r="S30" s="82" t="s">
        <v>134</v>
      </c>
      <c r="T30" s="82" t="s">
        <v>23</v>
      </c>
      <c r="U30" s="82" t="s">
        <v>24</v>
      </c>
      <c r="V30" s="82" t="s">
        <v>4006</v>
      </c>
      <c r="W30" s="77" t="s">
        <v>24</v>
      </c>
      <c r="X30" s="77" t="s">
        <v>24</v>
      </c>
      <c r="Y30" s="82" t="s">
        <v>24</v>
      </c>
      <c r="Z30" s="85">
        <v>63.721429999999998</v>
      </c>
      <c r="AA30" s="85">
        <v>148.95343</v>
      </c>
      <c r="AB30" s="62">
        <f t="shared" si="0"/>
        <v>212.67486</v>
      </c>
      <c r="AC30" s="88"/>
      <c r="AD30" s="88"/>
      <c r="AE30" s="82"/>
      <c r="AF30" s="82"/>
      <c r="AG30" s="82"/>
      <c r="AH30" s="82">
        <v>0</v>
      </c>
      <c r="AI30" s="82">
        <v>0</v>
      </c>
      <c r="AJ30" s="82">
        <v>0</v>
      </c>
      <c r="AK30" s="82">
        <v>0</v>
      </c>
      <c r="AL30" s="82">
        <v>13</v>
      </c>
      <c r="AM30" s="82">
        <v>0</v>
      </c>
      <c r="AN30" s="82">
        <v>13</v>
      </c>
      <c r="AO30" s="82" t="s">
        <v>103</v>
      </c>
      <c r="AP30" s="82" t="s">
        <v>319</v>
      </c>
      <c r="AQ30" s="82"/>
      <c r="AR30" s="82"/>
      <c r="AS30" s="82"/>
      <c r="AT30" s="82"/>
      <c r="AU30" s="82"/>
      <c r="AV30" s="82"/>
    </row>
    <row r="31" spans="1:48" s="59" customFormat="1" x14ac:dyDescent="0.2">
      <c r="A31" s="77" t="s">
        <v>298</v>
      </c>
      <c r="B31" s="77" t="s">
        <v>299</v>
      </c>
      <c r="C31" s="77">
        <v>3</v>
      </c>
      <c r="D31" s="77">
        <v>2</v>
      </c>
      <c r="E31" s="77" t="s">
        <v>295</v>
      </c>
      <c r="F31" s="78">
        <v>43347</v>
      </c>
      <c r="G31" s="83" t="s">
        <v>4032</v>
      </c>
      <c r="H31" s="79">
        <v>4.5833333333333337E-2</v>
      </c>
      <c r="I31" s="77"/>
      <c r="J31" s="77" t="s">
        <v>241</v>
      </c>
      <c r="K31" s="77" t="s">
        <v>187</v>
      </c>
      <c r="L31" s="77" t="s">
        <v>23</v>
      </c>
      <c r="M31" s="77" t="s">
        <v>24</v>
      </c>
      <c r="N31" s="77"/>
      <c r="O31" s="77">
        <v>1</v>
      </c>
      <c r="P31" s="77" t="s">
        <v>176</v>
      </c>
      <c r="Q31" s="77" t="s">
        <v>176</v>
      </c>
      <c r="R31" s="77" t="s">
        <v>122</v>
      </c>
      <c r="S31" s="77" t="s">
        <v>2068</v>
      </c>
      <c r="T31" s="82" t="s">
        <v>23</v>
      </c>
      <c r="U31" s="82" t="s">
        <v>3997</v>
      </c>
      <c r="V31" s="82" t="s">
        <v>4005</v>
      </c>
      <c r="W31" s="77" t="s">
        <v>24</v>
      </c>
      <c r="X31" s="77" t="s">
        <v>24</v>
      </c>
      <c r="Y31" s="77" t="s">
        <v>176</v>
      </c>
      <c r="Z31" s="81" t="s">
        <v>246</v>
      </c>
      <c r="AA31" s="81"/>
      <c r="AB31" s="62" t="e">
        <f t="shared" si="0"/>
        <v>#VALUE!</v>
      </c>
      <c r="AC31" s="87"/>
      <c r="AD31" s="87"/>
      <c r="AE31" s="77"/>
      <c r="AF31" s="77"/>
      <c r="AG31" s="77"/>
      <c r="AH31" s="77">
        <v>0</v>
      </c>
      <c r="AI31" s="77">
        <v>0</v>
      </c>
      <c r="AJ31" s="77">
        <v>0</v>
      </c>
      <c r="AK31" s="77">
        <v>0</v>
      </c>
      <c r="AL31" s="77">
        <v>0</v>
      </c>
      <c r="AM31" s="77">
        <v>0</v>
      </c>
      <c r="AN31" s="77">
        <v>0</v>
      </c>
      <c r="AO31" s="77"/>
      <c r="AP31" s="77" t="s">
        <v>2058</v>
      </c>
      <c r="AQ31" s="77"/>
      <c r="AR31" s="77"/>
      <c r="AS31" s="77"/>
      <c r="AT31" s="77"/>
      <c r="AU31" s="77"/>
      <c r="AV31" s="77"/>
    </row>
    <row r="32" spans="1:48" s="59" customFormat="1" x14ac:dyDescent="0.2">
      <c r="A32" s="82" t="s">
        <v>298</v>
      </c>
      <c r="B32" s="82" t="s">
        <v>299</v>
      </c>
      <c r="C32" s="82">
        <v>3</v>
      </c>
      <c r="D32" s="82">
        <v>1</v>
      </c>
      <c r="E32" s="82" t="s">
        <v>295</v>
      </c>
      <c r="F32" s="83">
        <v>43347</v>
      </c>
      <c r="G32" s="83" t="s">
        <v>4032</v>
      </c>
      <c r="H32" s="84">
        <v>4.5833333333333337E-2</v>
      </c>
      <c r="I32" s="82"/>
      <c r="J32" s="82" t="s">
        <v>241</v>
      </c>
      <c r="K32" s="82" t="s">
        <v>187</v>
      </c>
      <c r="L32" s="82" t="s">
        <v>23</v>
      </c>
      <c r="M32" s="82">
        <v>1</v>
      </c>
      <c r="N32" s="82"/>
      <c r="O32" s="82">
        <v>1</v>
      </c>
      <c r="P32" s="77" t="s">
        <v>176</v>
      </c>
      <c r="Q32" s="82" t="s">
        <v>176</v>
      </c>
      <c r="R32" s="82" t="s">
        <v>122</v>
      </c>
      <c r="S32" s="82" t="s">
        <v>3963</v>
      </c>
      <c r="T32" s="82" t="s">
        <v>23</v>
      </c>
      <c r="U32" s="82" t="s">
        <v>3997</v>
      </c>
      <c r="V32" s="82" t="s">
        <v>4007</v>
      </c>
      <c r="W32" s="77" t="s">
        <v>24</v>
      </c>
      <c r="X32" s="77" t="s">
        <v>24</v>
      </c>
      <c r="Y32" s="82" t="s">
        <v>176</v>
      </c>
      <c r="Z32" s="85" t="s">
        <v>246</v>
      </c>
      <c r="AA32" s="85"/>
      <c r="AB32" s="62" t="e">
        <f t="shared" si="0"/>
        <v>#VALUE!</v>
      </c>
      <c r="AC32" s="88"/>
      <c r="AD32" s="88"/>
      <c r="AE32" s="77"/>
      <c r="AF32" s="77"/>
      <c r="AG32" s="77"/>
      <c r="AH32" s="82">
        <v>0</v>
      </c>
      <c r="AI32" s="82">
        <v>0</v>
      </c>
      <c r="AJ32" s="82">
        <v>0</v>
      </c>
      <c r="AK32" s="82">
        <v>0</v>
      </c>
      <c r="AL32" s="82">
        <v>6</v>
      </c>
      <c r="AM32" s="82">
        <v>0</v>
      </c>
      <c r="AN32" s="82">
        <v>6</v>
      </c>
      <c r="AO32" s="82"/>
      <c r="AP32" s="82" t="s">
        <v>2057</v>
      </c>
      <c r="AQ32" s="82"/>
      <c r="AR32" s="82"/>
      <c r="AS32" s="77"/>
      <c r="AT32" s="77"/>
      <c r="AU32" s="77"/>
      <c r="AV32" s="77"/>
    </row>
    <row r="33" spans="1:48" s="59" customFormat="1" x14ac:dyDescent="0.2">
      <c r="A33" s="82" t="s">
        <v>309</v>
      </c>
      <c r="B33" s="82" t="s">
        <v>313</v>
      </c>
      <c r="C33" s="82">
        <v>7</v>
      </c>
      <c r="D33" s="82">
        <v>1</v>
      </c>
      <c r="E33" s="82" t="s">
        <v>295</v>
      </c>
      <c r="F33" s="83">
        <v>43347</v>
      </c>
      <c r="G33" s="83" t="s">
        <v>4032</v>
      </c>
      <c r="H33" s="82"/>
      <c r="I33" s="82"/>
      <c r="J33" s="82" t="s">
        <v>241</v>
      </c>
      <c r="K33" s="82" t="s">
        <v>187</v>
      </c>
      <c r="L33" s="82" t="s">
        <v>23</v>
      </c>
      <c r="M33" s="82">
        <v>1</v>
      </c>
      <c r="N33" s="82"/>
      <c r="O33" s="82">
        <v>1</v>
      </c>
      <c r="P33" s="77" t="s">
        <v>14</v>
      </c>
      <c r="Q33" s="82" t="s">
        <v>2128</v>
      </c>
      <c r="R33" s="82" t="s">
        <v>122</v>
      </c>
      <c r="S33" s="82" t="s">
        <v>1271</v>
      </c>
      <c r="T33" s="82" t="s">
        <v>23</v>
      </c>
      <c r="U33" s="82" t="s">
        <v>3997</v>
      </c>
      <c r="V33" s="82" t="s">
        <v>4006</v>
      </c>
      <c r="W33" s="77" t="s">
        <v>24</v>
      </c>
      <c r="X33" s="77" t="s">
        <v>24</v>
      </c>
      <c r="Y33" s="82" t="s">
        <v>24</v>
      </c>
      <c r="Z33" s="85" t="s">
        <v>246</v>
      </c>
      <c r="AA33" s="85"/>
      <c r="AB33" s="62" t="e">
        <f t="shared" si="0"/>
        <v>#VALUE!</v>
      </c>
      <c r="AC33" s="88"/>
      <c r="AD33" s="88"/>
      <c r="AE33" s="82"/>
      <c r="AF33" s="82"/>
      <c r="AG33" s="82"/>
      <c r="AH33" s="82">
        <v>0</v>
      </c>
      <c r="AI33" s="82">
        <v>0</v>
      </c>
      <c r="AJ33" s="82">
        <v>0</v>
      </c>
      <c r="AK33" s="82">
        <v>0</v>
      </c>
      <c r="AL33" s="82">
        <v>24</v>
      </c>
      <c r="AM33" s="82">
        <v>0</v>
      </c>
      <c r="AN33" s="82">
        <v>24</v>
      </c>
      <c r="AO33" s="82"/>
      <c r="AP33" s="82" t="s">
        <v>310</v>
      </c>
      <c r="AQ33" s="82"/>
      <c r="AR33" s="82"/>
      <c r="AS33" s="77"/>
      <c r="AT33" s="77"/>
      <c r="AU33" s="77"/>
      <c r="AV33" s="77"/>
    </row>
    <row r="34" spans="1:48" s="59" customFormat="1" x14ac:dyDescent="0.2">
      <c r="A34" s="82" t="s">
        <v>321</v>
      </c>
      <c r="B34" s="82" t="s">
        <v>317</v>
      </c>
      <c r="C34" s="82">
        <v>10</v>
      </c>
      <c r="D34" s="82">
        <v>1</v>
      </c>
      <c r="E34" s="82" t="s">
        <v>295</v>
      </c>
      <c r="F34" s="83">
        <v>43347</v>
      </c>
      <c r="G34" s="83" t="s">
        <v>4032</v>
      </c>
      <c r="H34" s="84">
        <v>6.25E-2</v>
      </c>
      <c r="I34" s="82"/>
      <c r="J34" s="82" t="s">
        <v>241</v>
      </c>
      <c r="K34" s="82" t="s">
        <v>111</v>
      </c>
      <c r="L34" s="82" t="s">
        <v>23</v>
      </c>
      <c r="M34" s="82">
        <v>0</v>
      </c>
      <c r="N34" s="82"/>
      <c r="O34" s="82">
        <v>1</v>
      </c>
      <c r="P34" s="77" t="s">
        <v>176</v>
      </c>
      <c r="Q34" s="82" t="s">
        <v>176</v>
      </c>
      <c r="R34" s="82" t="s">
        <v>24</v>
      </c>
      <c r="S34" s="77" t="s">
        <v>2068</v>
      </c>
      <c r="T34" s="82" t="s">
        <v>23</v>
      </c>
      <c r="U34" s="82" t="s">
        <v>3997</v>
      </c>
      <c r="V34" s="82" t="s">
        <v>4005</v>
      </c>
      <c r="W34" s="77" t="s">
        <v>24</v>
      </c>
      <c r="X34" s="77" t="s">
        <v>24</v>
      </c>
      <c r="Y34" s="82" t="s">
        <v>176</v>
      </c>
      <c r="Z34" s="85" t="s">
        <v>246</v>
      </c>
      <c r="AA34" s="85"/>
      <c r="AB34" s="62" t="e">
        <f t="shared" si="0"/>
        <v>#VALUE!</v>
      </c>
      <c r="AC34" s="88"/>
      <c r="AD34" s="88"/>
      <c r="AE34" s="77"/>
      <c r="AF34" s="77"/>
      <c r="AG34" s="77"/>
      <c r="AH34" s="82">
        <v>24</v>
      </c>
      <c r="AI34" s="82">
        <v>0</v>
      </c>
      <c r="AJ34" s="82">
        <v>0</v>
      </c>
      <c r="AK34" s="82">
        <v>24</v>
      </c>
      <c r="AL34" s="82">
        <v>32</v>
      </c>
      <c r="AM34" s="82">
        <v>0</v>
      </c>
      <c r="AN34" s="82">
        <v>56</v>
      </c>
      <c r="AO34" s="82" t="s">
        <v>103</v>
      </c>
      <c r="AP34" s="82"/>
      <c r="AQ34" s="82"/>
      <c r="AR34" s="82"/>
      <c r="AS34" s="77"/>
      <c r="AT34" s="77"/>
      <c r="AU34" s="77"/>
      <c r="AV34" s="77"/>
    </row>
    <row r="35" spans="1:48" s="59" customFormat="1" x14ac:dyDescent="0.2">
      <c r="A35" s="77" t="s">
        <v>348</v>
      </c>
      <c r="B35" s="77"/>
      <c r="C35" s="77"/>
      <c r="D35" s="77"/>
      <c r="E35" s="77" t="s">
        <v>395</v>
      </c>
      <c r="F35" s="78">
        <v>43348</v>
      </c>
      <c r="G35" s="83" t="s">
        <v>4032</v>
      </c>
      <c r="H35" s="77"/>
      <c r="I35" s="77" t="s">
        <v>397</v>
      </c>
      <c r="J35" s="77" t="s">
        <v>24</v>
      </c>
      <c r="K35" s="77" t="s">
        <v>159</v>
      </c>
      <c r="L35" s="77" t="s">
        <v>23</v>
      </c>
      <c r="M35" s="77">
        <v>0</v>
      </c>
      <c r="N35" s="77"/>
      <c r="O35" s="77">
        <v>1</v>
      </c>
      <c r="P35" s="77" t="s">
        <v>14</v>
      </c>
      <c r="Q35" s="77" t="s">
        <v>2128</v>
      </c>
      <c r="R35" s="77" t="s">
        <v>122</v>
      </c>
      <c r="S35" s="77" t="s">
        <v>134</v>
      </c>
      <c r="T35" s="82" t="s">
        <v>23</v>
      </c>
      <c r="U35" s="82" t="s">
        <v>24</v>
      </c>
      <c r="V35" s="82" t="s">
        <v>4006</v>
      </c>
      <c r="W35" s="77" t="s">
        <v>24</v>
      </c>
      <c r="X35" s="77" t="s">
        <v>24</v>
      </c>
      <c r="Y35" s="77" t="s">
        <v>176</v>
      </c>
      <c r="Z35" s="81">
        <v>63.72148</v>
      </c>
      <c r="AA35" s="81">
        <v>148.98616000000001</v>
      </c>
      <c r="AB35" s="62">
        <f t="shared" si="0"/>
        <v>212.70764000000003</v>
      </c>
      <c r="AC35" s="87"/>
      <c r="AD35" s="87"/>
      <c r="AE35" s="77"/>
      <c r="AF35" s="77"/>
      <c r="AG35" s="77"/>
      <c r="AH35" s="77">
        <v>0</v>
      </c>
      <c r="AI35" s="77">
        <v>0</v>
      </c>
      <c r="AJ35" s="77">
        <v>0</v>
      </c>
      <c r="AK35" s="77">
        <v>0</v>
      </c>
      <c r="AL35" s="77">
        <v>0</v>
      </c>
      <c r="AM35" s="77">
        <v>0</v>
      </c>
      <c r="AN35" s="77">
        <v>0</v>
      </c>
      <c r="AO35" s="77"/>
      <c r="AP35" s="77" t="s">
        <v>351</v>
      </c>
      <c r="AQ35" s="77"/>
      <c r="AR35" s="77"/>
      <c r="AS35" s="77"/>
      <c r="AT35" s="77"/>
      <c r="AU35" s="77"/>
      <c r="AV35" s="77"/>
    </row>
    <row r="36" spans="1:48" s="59" customFormat="1" x14ac:dyDescent="0.2">
      <c r="A36" s="77" t="s">
        <v>348</v>
      </c>
      <c r="B36" s="77"/>
      <c r="C36" s="77"/>
      <c r="D36" s="77"/>
      <c r="E36" s="77" t="s">
        <v>395</v>
      </c>
      <c r="F36" s="78">
        <v>43348</v>
      </c>
      <c r="G36" s="83" t="s">
        <v>4032</v>
      </c>
      <c r="H36" s="77"/>
      <c r="I36" s="77" t="s">
        <v>397</v>
      </c>
      <c r="J36" s="77" t="s">
        <v>344</v>
      </c>
      <c r="K36" s="77" t="s">
        <v>111</v>
      </c>
      <c r="L36" s="77" t="s">
        <v>23</v>
      </c>
      <c r="M36" s="77">
        <v>0</v>
      </c>
      <c r="N36" s="77"/>
      <c r="O36" s="77">
        <v>1</v>
      </c>
      <c r="P36" s="77" t="s">
        <v>176</v>
      </c>
      <c r="Q36" s="77" t="s">
        <v>176</v>
      </c>
      <c r="R36" s="77" t="s">
        <v>176</v>
      </c>
      <c r="S36" s="77" t="s">
        <v>134</v>
      </c>
      <c r="T36" s="80" t="s">
        <v>23</v>
      </c>
      <c r="U36" s="80" t="s">
        <v>24</v>
      </c>
      <c r="V36" s="80" t="s">
        <v>4006</v>
      </c>
      <c r="W36" s="77" t="s">
        <v>24</v>
      </c>
      <c r="X36" s="77" t="s">
        <v>24</v>
      </c>
      <c r="Y36" s="77" t="s">
        <v>176</v>
      </c>
      <c r="Z36" s="81">
        <v>63.721179999999997</v>
      </c>
      <c r="AA36" s="81">
        <v>148.98785000000001</v>
      </c>
      <c r="AB36" s="62">
        <f t="shared" si="0"/>
        <v>212.70903000000001</v>
      </c>
      <c r="AC36" s="87"/>
      <c r="AD36" s="87"/>
      <c r="AE36" s="77"/>
      <c r="AF36" s="77"/>
      <c r="AG36" s="77"/>
      <c r="AH36" s="77">
        <v>0</v>
      </c>
      <c r="AI36" s="77">
        <v>0</v>
      </c>
      <c r="AJ36" s="77">
        <v>0</v>
      </c>
      <c r="AK36" s="77">
        <v>0</v>
      </c>
      <c r="AL36" s="77">
        <v>0</v>
      </c>
      <c r="AM36" s="77">
        <v>0</v>
      </c>
      <c r="AN36" s="77">
        <v>0</v>
      </c>
      <c r="AO36" s="77"/>
      <c r="AP36" s="77" t="s">
        <v>349</v>
      </c>
      <c r="AQ36" s="77"/>
      <c r="AR36" s="77"/>
      <c r="AS36" s="77"/>
      <c r="AT36" s="77"/>
      <c r="AU36" s="77"/>
      <c r="AV36" s="77"/>
    </row>
    <row r="37" spans="1:48" s="59" customFormat="1" x14ac:dyDescent="0.2">
      <c r="A37" s="77" t="s">
        <v>342</v>
      </c>
      <c r="B37" s="77" t="s">
        <v>345</v>
      </c>
      <c r="C37" s="77">
        <v>2</v>
      </c>
      <c r="D37" s="77">
        <v>1</v>
      </c>
      <c r="E37" s="77" t="s">
        <v>395</v>
      </c>
      <c r="F37" s="78">
        <v>43348</v>
      </c>
      <c r="G37" s="83" t="s">
        <v>4032</v>
      </c>
      <c r="H37" s="79">
        <v>7.3611111111111113E-2</v>
      </c>
      <c r="I37" s="77" t="s">
        <v>397</v>
      </c>
      <c r="J37" s="77" t="s">
        <v>344</v>
      </c>
      <c r="K37" s="77" t="s">
        <v>111</v>
      </c>
      <c r="L37" s="77" t="s">
        <v>23</v>
      </c>
      <c r="M37" s="77">
        <v>1</v>
      </c>
      <c r="N37" s="77"/>
      <c r="O37" s="77">
        <v>1</v>
      </c>
      <c r="P37" s="77" t="s">
        <v>176</v>
      </c>
      <c r="Q37" s="77" t="s">
        <v>176</v>
      </c>
      <c r="R37" s="77" t="s">
        <v>122</v>
      </c>
      <c r="S37" s="77" t="s">
        <v>3978</v>
      </c>
      <c r="T37" s="82" t="s">
        <v>23</v>
      </c>
      <c r="U37" s="82" t="s">
        <v>3997</v>
      </c>
      <c r="V37" s="82" t="s">
        <v>4007</v>
      </c>
      <c r="W37" s="77" t="s">
        <v>24</v>
      </c>
      <c r="X37" s="77" t="s">
        <v>24</v>
      </c>
      <c r="Y37" s="77" t="s">
        <v>176</v>
      </c>
      <c r="Z37" s="81" t="s">
        <v>246</v>
      </c>
      <c r="AA37" s="81"/>
      <c r="AB37" s="62" t="e">
        <f t="shared" si="0"/>
        <v>#VALUE!</v>
      </c>
      <c r="AC37" s="87"/>
      <c r="AD37" s="87"/>
      <c r="AE37" s="82"/>
      <c r="AF37" s="82"/>
      <c r="AG37" s="82"/>
      <c r="AH37" s="77">
        <v>0</v>
      </c>
      <c r="AI37" s="77">
        <v>0</v>
      </c>
      <c r="AJ37" s="77">
        <v>0</v>
      </c>
      <c r="AK37" s="77">
        <v>0</v>
      </c>
      <c r="AL37" s="77">
        <v>10</v>
      </c>
      <c r="AM37" s="77">
        <v>0</v>
      </c>
      <c r="AN37" s="77">
        <v>10</v>
      </c>
      <c r="AO37" s="77"/>
      <c r="AP37" s="77" t="s">
        <v>1273</v>
      </c>
      <c r="AQ37" s="77"/>
      <c r="AR37" s="77"/>
      <c r="AS37" s="77"/>
      <c r="AT37" s="77"/>
      <c r="AU37" s="77"/>
      <c r="AV37" s="77"/>
    </row>
    <row r="38" spans="1:48" s="59" customFormat="1" x14ac:dyDescent="0.2">
      <c r="A38" s="82" t="s">
        <v>376</v>
      </c>
      <c r="B38" s="82" t="s">
        <v>377</v>
      </c>
      <c r="C38" s="82">
        <v>7</v>
      </c>
      <c r="D38" s="82">
        <v>1</v>
      </c>
      <c r="E38" s="82" t="s">
        <v>10</v>
      </c>
      <c r="F38" s="83">
        <v>43349</v>
      </c>
      <c r="G38" s="83" t="s">
        <v>4032</v>
      </c>
      <c r="H38" s="84">
        <v>3.2638888888888891E-2</v>
      </c>
      <c r="I38" s="82" t="s">
        <v>398</v>
      </c>
      <c r="J38" s="82" t="s">
        <v>64</v>
      </c>
      <c r="K38" s="82" t="s">
        <v>102</v>
      </c>
      <c r="L38" s="82" t="s">
        <v>115</v>
      </c>
      <c r="M38" s="82">
        <v>1</v>
      </c>
      <c r="N38" s="82"/>
      <c r="O38" s="82">
        <v>1</v>
      </c>
      <c r="P38" s="77" t="s">
        <v>112</v>
      </c>
      <c r="Q38" s="82" t="s">
        <v>112</v>
      </c>
      <c r="R38" s="82" t="s">
        <v>122</v>
      </c>
      <c r="S38" s="77" t="s">
        <v>1035</v>
      </c>
      <c r="T38" s="82" t="s">
        <v>23</v>
      </c>
      <c r="U38" s="82" t="s">
        <v>3997</v>
      </c>
      <c r="V38" s="82" t="s">
        <v>4006</v>
      </c>
      <c r="W38" s="77" t="s">
        <v>24</v>
      </c>
      <c r="X38" s="77" t="s">
        <v>24</v>
      </c>
      <c r="Y38" s="82" t="s">
        <v>115</v>
      </c>
      <c r="Z38" s="85" t="s">
        <v>378</v>
      </c>
      <c r="AA38" s="85"/>
      <c r="AB38" s="62" t="e">
        <f t="shared" si="0"/>
        <v>#VALUE!</v>
      </c>
      <c r="AC38" s="88"/>
      <c r="AD38" s="88"/>
      <c r="AE38" s="77"/>
      <c r="AF38" s="77"/>
      <c r="AG38" s="77"/>
      <c r="AH38" s="82">
        <v>0</v>
      </c>
      <c r="AI38" s="82">
        <v>0</v>
      </c>
      <c r="AJ38" s="82">
        <v>0</v>
      </c>
      <c r="AK38" s="82">
        <v>0</v>
      </c>
      <c r="AL38" s="82">
        <v>25</v>
      </c>
      <c r="AM38" s="82">
        <v>0</v>
      </c>
      <c r="AN38" s="82">
        <v>25</v>
      </c>
      <c r="AO38" s="82"/>
      <c r="AP38" s="82"/>
      <c r="AQ38" s="82"/>
      <c r="AR38" s="82"/>
      <c r="AS38" s="77"/>
      <c r="AT38" s="77"/>
      <c r="AU38" s="77"/>
      <c r="AV38" s="77"/>
    </row>
    <row r="39" spans="1:48" s="59" customFormat="1" x14ac:dyDescent="0.2">
      <c r="A39" s="82" t="s">
        <v>392</v>
      </c>
      <c r="B39" s="82" t="s">
        <v>393</v>
      </c>
      <c r="C39" s="82">
        <v>12</v>
      </c>
      <c r="D39" s="82">
        <v>1</v>
      </c>
      <c r="E39" s="82" t="s">
        <v>10</v>
      </c>
      <c r="F39" s="83">
        <v>43349</v>
      </c>
      <c r="G39" s="83" t="s">
        <v>4032</v>
      </c>
      <c r="H39" s="84">
        <v>8.9583333333333334E-2</v>
      </c>
      <c r="I39" s="82" t="s">
        <v>398</v>
      </c>
      <c r="J39" s="82" t="s">
        <v>64</v>
      </c>
      <c r="K39" s="82" t="s">
        <v>111</v>
      </c>
      <c r="L39" s="82" t="s">
        <v>23</v>
      </c>
      <c r="M39" s="82">
        <v>1</v>
      </c>
      <c r="N39" s="82"/>
      <c r="O39" s="82">
        <v>1</v>
      </c>
      <c r="P39" s="77" t="s">
        <v>176</v>
      </c>
      <c r="Q39" s="82" t="s">
        <v>176</v>
      </c>
      <c r="R39" s="82" t="s">
        <v>2059</v>
      </c>
      <c r="S39" s="82" t="s">
        <v>333</v>
      </c>
      <c r="T39" s="82" t="s">
        <v>23</v>
      </c>
      <c r="U39" s="82" t="s">
        <v>3999</v>
      </c>
      <c r="V39" s="82" t="s">
        <v>4006</v>
      </c>
      <c r="W39" s="77" t="s">
        <v>24</v>
      </c>
      <c r="X39" s="77" t="s">
        <v>24</v>
      </c>
      <c r="Y39" s="82" t="s">
        <v>176</v>
      </c>
      <c r="Z39" s="85">
        <v>63.731960000000001</v>
      </c>
      <c r="AA39" s="85">
        <v>148.89534</v>
      </c>
      <c r="AB39" s="62">
        <f t="shared" si="0"/>
        <v>212.62729999999999</v>
      </c>
      <c r="AC39" s="88"/>
      <c r="AD39" s="88"/>
      <c r="AE39" s="77"/>
      <c r="AF39" s="77"/>
      <c r="AG39" s="77"/>
      <c r="AH39" s="82">
        <v>6</v>
      </c>
      <c r="AI39" s="82">
        <v>6</v>
      </c>
      <c r="AJ39" s="82">
        <v>0</v>
      </c>
      <c r="AK39" s="82">
        <v>12</v>
      </c>
      <c r="AL39" s="82">
        <v>21</v>
      </c>
      <c r="AM39" s="82">
        <v>0</v>
      </c>
      <c r="AN39" s="82">
        <v>33</v>
      </c>
      <c r="AO39" s="82"/>
      <c r="AP39" s="82" t="s">
        <v>394</v>
      </c>
      <c r="AQ39" s="82"/>
      <c r="AR39" s="82"/>
    </row>
    <row r="40" spans="1:48" s="59" customFormat="1" x14ac:dyDescent="0.2">
      <c r="A40" s="77" t="s">
        <v>389</v>
      </c>
      <c r="B40" s="77" t="s">
        <v>390</v>
      </c>
      <c r="C40" s="77">
        <v>11</v>
      </c>
      <c r="D40" s="77">
        <v>1</v>
      </c>
      <c r="E40" s="77" t="s">
        <v>10</v>
      </c>
      <c r="F40" s="78">
        <v>43349</v>
      </c>
      <c r="G40" s="83" t="s">
        <v>4032</v>
      </c>
      <c r="H40" s="79">
        <v>1.7361111111111112E-2</v>
      </c>
      <c r="I40" s="77" t="s">
        <v>398</v>
      </c>
      <c r="J40" s="77" t="s">
        <v>363</v>
      </c>
      <c r="K40" s="77" t="s">
        <v>111</v>
      </c>
      <c r="L40" s="77" t="s">
        <v>23</v>
      </c>
      <c r="M40" s="77">
        <v>0</v>
      </c>
      <c r="N40" s="77"/>
      <c r="O40" s="77">
        <v>1</v>
      </c>
      <c r="P40" s="77" t="s">
        <v>112</v>
      </c>
      <c r="Q40" s="77" t="s">
        <v>112</v>
      </c>
      <c r="R40" s="77" t="s">
        <v>115</v>
      </c>
      <c r="S40" s="77" t="s">
        <v>333</v>
      </c>
      <c r="T40" s="82" t="s">
        <v>23</v>
      </c>
      <c r="U40" s="82" t="s">
        <v>3999</v>
      </c>
      <c r="V40" s="82" t="s">
        <v>4006</v>
      </c>
      <c r="W40" s="77" t="s">
        <v>24</v>
      </c>
      <c r="X40" s="77" t="s">
        <v>24</v>
      </c>
      <c r="Y40" s="77" t="s">
        <v>176</v>
      </c>
      <c r="Z40" s="81">
        <v>63.731639999999999</v>
      </c>
      <c r="AA40" s="81">
        <v>148.89586</v>
      </c>
      <c r="AB40" s="62">
        <f t="shared" si="0"/>
        <v>212.6275</v>
      </c>
      <c r="AC40" s="87"/>
      <c r="AD40" s="87"/>
      <c r="AE40" s="82"/>
      <c r="AF40" s="82"/>
      <c r="AG40" s="82"/>
      <c r="AH40" s="77">
        <v>0</v>
      </c>
      <c r="AI40" s="77">
        <v>0</v>
      </c>
      <c r="AJ40" s="77">
        <v>0</v>
      </c>
      <c r="AK40" s="77">
        <v>0</v>
      </c>
      <c r="AL40" s="77">
        <v>0</v>
      </c>
      <c r="AM40" s="77">
        <v>0</v>
      </c>
      <c r="AN40" s="77">
        <v>0</v>
      </c>
      <c r="AO40" s="77"/>
      <c r="AP40" s="77" t="s">
        <v>391</v>
      </c>
      <c r="AQ40" s="77"/>
      <c r="AR40" s="77"/>
    </row>
    <row r="41" spans="1:48" s="59" customFormat="1" x14ac:dyDescent="0.2">
      <c r="A41" s="77" t="s">
        <v>379</v>
      </c>
      <c r="B41" s="77" t="s">
        <v>380</v>
      </c>
      <c r="C41" s="77">
        <v>8</v>
      </c>
      <c r="D41" s="77">
        <v>1</v>
      </c>
      <c r="E41" s="77" t="s">
        <v>10</v>
      </c>
      <c r="F41" s="78">
        <v>43349</v>
      </c>
      <c r="G41" s="83" t="s">
        <v>4032</v>
      </c>
      <c r="H41" s="79">
        <v>1.8749999999999999E-2</v>
      </c>
      <c r="I41" s="77" t="s">
        <v>398</v>
      </c>
      <c r="J41" s="77" t="s">
        <v>363</v>
      </c>
      <c r="K41" s="77" t="s">
        <v>111</v>
      </c>
      <c r="L41" s="77" t="s">
        <v>23</v>
      </c>
      <c r="M41" s="77">
        <v>1</v>
      </c>
      <c r="N41" s="77"/>
      <c r="O41" s="77">
        <v>1</v>
      </c>
      <c r="P41" s="77" t="s">
        <v>112</v>
      </c>
      <c r="Q41" s="77" t="s">
        <v>112</v>
      </c>
      <c r="R41" s="77" t="s">
        <v>381</v>
      </c>
      <c r="S41" s="77" t="s">
        <v>1035</v>
      </c>
      <c r="T41" s="82" t="s">
        <v>23</v>
      </c>
      <c r="U41" s="82" t="s">
        <v>3997</v>
      </c>
      <c r="V41" s="82" t="s">
        <v>4006</v>
      </c>
      <c r="W41" s="77" t="s">
        <v>24</v>
      </c>
      <c r="X41" s="77" t="s">
        <v>24</v>
      </c>
      <c r="Y41" s="77" t="s">
        <v>176</v>
      </c>
      <c r="Z41" s="81">
        <v>63.731670000000001</v>
      </c>
      <c r="AA41" s="81">
        <v>148.89604</v>
      </c>
      <c r="AB41" s="62">
        <f t="shared" si="0"/>
        <v>212.62771000000001</v>
      </c>
      <c r="AC41" s="87"/>
      <c r="AD41" s="87"/>
      <c r="AE41" s="77"/>
      <c r="AF41" s="77"/>
      <c r="AG41" s="77"/>
      <c r="AH41" s="77">
        <v>0</v>
      </c>
      <c r="AI41" s="77">
        <v>0</v>
      </c>
      <c r="AJ41" s="77">
        <v>0</v>
      </c>
      <c r="AK41" s="77">
        <v>0</v>
      </c>
      <c r="AL41" s="77">
        <v>0</v>
      </c>
      <c r="AM41" s="77">
        <v>0</v>
      </c>
      <c r="AN41" s="77">
        <v>0</v>
      </c>
      <c r="AO41" s="77"/>
      <c r="AP41" s="77" t="s">
        <v>382</v>
      </c>
      <c r="AQ41" s="77"/>
      <c r="AR41" s="77"/>
    </row>
    <row r="42" spans="1:48" s="59" customFormat="1" x14ac:dyDescent="0.2">
      <c r="A42" s="77" t="s">
        <v>426</v>
      </c>
      <c r="B42" s="77" t="s">
        <v>427</v>
      </c>
      <c r="C42" s="77">
        <v>2</v>
      </c>
      <c r="D42" s="77">
        <v>1</v>
      </c>
      <c r="E42" s="77" t="s">
        <v>10</v>
      </c>
      <c r="F42" s="78">
        <v>43350</v>
      </c>
      <c r="G42" s="83" t="s">
        <v>4032</v>
      </c>
      <c r="H42" s="79">
        <v>6.458333333333334E-2</v>
      </c>
      <c r="I42" s="77" t="s">
        <v>398</v>
      </c>
      <c r="J42" s="77" t="s">
        <v>64</v>
      </c>
      <c r="K42" s="77" t="s">
        <v>242</v>
      </c>
      <c r="L42" s="77" t="s">
        <v>23</v>
      </c>
      <c r="M42" s="77">
        <v>0</v>
      </c>
      <c r="N42" s="77"/>
      <c r="O42" s="77">
        <v>1</v>
      </c>
      <c r="P42" s="77" t="s">
        <v>112</v>
      </c>
      <c r="Q42" s="77" t="s">
        <v>425</v>
      </c>
      <c r="R42" s="77" t="s">
        <v>122</v>
      </c>
      <c r="S42" s="77" t="s">
        <v>1035</v>
      </c>
      <c r="T42" s="80" t="s">
        <v>23</v>
      </c>
      <c r="U42" s="80" t="s">
        <v>3997</v>
      </c>
      <c r="V42" s="80" t="s">
        <v>4006</v>
      </c>
      <c r="W42" s="77" t="s">
        <v>24</v>
      </c>
      <c r="X42" s="77" t="s">
        <v>24</v>
      </c>
      <c r="Y42" s="77" t="s">
        <v>24</v>
      </c>
      <c r="Z42" s="81">
        <v>63.731299999999997</v>
      </c>
      <c r="AA42" s="81">
        <v>148.89637999999999</v>
      </c>
      <c r="AB42" s="62">
        <f t="shared" si="0"/>
        <v>212.62768</v>
      </c>
      <c r="AC42" s="87"/>
      <c r="AD42" s="87"/>
      <c r="AE42" s="82"/>
      <c r="AF42" s="82"/>
      <c r="AG42" s="82"/>
      <c r="AH42" s="87">
        <v>0</v>
      </c>
      <c r="AI42" s="87">
        <v>0</v>
      </c>
      <c r="AJ42" s="87">
        <v>0</v>
      </c>
      <c r="AK42" s="87">
        <v>0</v>
      </c>
      <c r="AL42" s="87">
        <v>0</v>
      </c>
      <c r="AM42" s="77">
        <v>0</v>
      </c>
      <c r="AN42" s="77">
        <v>0</v>
      </c>
      <c r="AO42" s="77"/>
      <c r="AP42" s="77" t="s">
        <v>428</v>
      </c>
      <c r="AQ42" s="77"/>
      <c r="AR42" s="77"/>
    </row>
    <row r="43" spans="1:48" s="59" customFormat="1" x14ac:dyDescent="0.2">
      <c r="A43" s="77" t="s">
        <v>422</v>
      </c>
      <c r="B43" s="77" t="s">
        <v>881</v>
      </c>
      <c r="C43" s="77">
        <v>9</v>
      </c>
      <c r="D43" s="77">
        <v>2</v>
      </c>
      <c r="E43" s="77" t="s">
        <v>324</v>
      </c>
      <c r="F43" s="78">
        <v>43350</v>
      </c>
      <c r="G43" s="83" t="s">
        <v>4032</v>
      </c>
      <c r="H43" s="79">
        <v>3.3333333333333333E-2</v>
      </c>
      <c r="I43" s="77" t="s">
        <v>398</v>
      </c>
      <c r="J43" s="77" t="s">
        <v>24</v>
      </c>
      <c r="K43" s="77" t="s">
        <v>102</v>
      </c>
      <c r="L43" s="77" t="s">
        <v>115</v>
      </c>
      <c r="M43" s="77">
        <v>1</v>
      </c>
      <c r="N43" s="77"/>
      <c r="O43" s="77">
        <v>1</v>
      </c>
      <c r="P43" s="77" t="s">
        <v>176</v>
      </c>
      <c r="Q43" s="77" t="s">
        <v>176</v>
      </c>
      <c r="R43" s="77" t="s">
        <v>24</v>
      </c>
      <c r="S43" s="77" t="s">
        <v>2061</v>
      </c>
      <c r="T43" s="82" t="s">
        <v>23</v>
      </c>
      <c r="U43" s="82" t="s">
        <v>3999</v>
      </c>
      <c r="V43" s="82" t="s">
        <v>4006</v>
      </c>
      <c r="W43" s="77" t="s">
        <v>24</v>
      </c>
      <c r="X43" s="77" t="s">
        <v>24</v>
      </c>
      <c r="Y43" s="77" t="s">
        <v>176</v>
      </c>
      <c r="Z43" s="81" t="s">
        <v>246</v>
      </c>
      <c r="AA43" s="81"/>
      <c r="AB43" s="62" t="e">
        <f t="shared" si="0"/>
        <v>#VALUE!</v>
      </c>
      <c r="AC43" s="87"/>
      <c r="AD43" s="87"/>
      <c r="AE43" s="77"/>
      <c r="AF43" s="77"/>
      <c r="AG43" s="77"/>
      <c r="AH43" s="87">
        <v>0</v>
      </c>
      <c r="AI43" s="87">
        <v>0</v>
      </c>
      <c r="AJ43" s="87">
        <v>0</v>
      </c>
      <c r="AK43" s="87">
        <v>0</v>
      </c>
      <c r="AL43" s="87">
        <v>0</v>
      </c>
      <c r="AM43" s="77">
        <v>0</v>
      </c>
      <c r="AN43" s="77">
        <v>0</v>
      </c>
      <c r="AO43" s="77"/>
      <c r="AP43" s="77"/>
      <c r="AQ43" s="77"/>
      <c r="AR43" s="77"/>
      <c r="AS43" s="77"/>
      <c r="AT43" s="77"/>
      <c r="AU43" s="77"/>
      <c r="AV43" s="77"/>
    </row>
    <row r="44" spans="1:48" s="59" customFormat="1" x14ac:dyDescent="0.2">
      <c r="A44" s="77" t="s">
        <v>449</v>
      </c>
      <c r="B44" s="77" t="s">
        <v>450</v>
      </c>
      <c r="C44" s="77">
        <v>12</v>
      </c>
      <c r="D44" s="77">
        <v>2</v>
      </c>
      <c r="E44" s="77" t="s">
        <v>10</v>
      </c>
      <c r="F44" s="78">
        <v>43350</v>
      </c>
      <c r="G44" s="83" t="s">
        <v>4032</v>
      </c>
      <c r="H44" s="79">
        <v>6.1111111111111116E-2</v>
      </c>
      <c r="I44" s="77" t="s">
        <v>398</v>
      </c>
      <c r="J44" s="77" t="s">
        <v>64</v>
      </c>
      <c r="K44" s="77" t="s">
        <v>111</v>
      </c>
      <c r="L44" s="77" t="s">
        <v>23</v>
      </c>
      <c r="M44" s="77">
        <v>0</v>
      </c>
      <c r="N44" s="77"/>
      <c r="O44" s="77">
        <v>1</v>
      </c>
      <c r="P44" s="77" t="s">
        <v>176</v>
      </c>
      <c r="Q44" s="77" t="s">
        <v>176</v>
      </c>
      <c r="R44" s="77" t="s">
        <v>24</v>
      </c>
      <c r="S44" s="77" t="s">
        <v>709</v>
      </c>
      <c r="T44" s="82" t="s">
        <v>23</v>
      </c>
      <c r="U44" s="82" t="s">
        <v>4004</v>
      </c>
      <c r="V44" s="82" t="s">
        <v>4005</v>
      </c>
      <c r="W44" s="77" t="s">
        <v>24</v>
      </c>
      <c r="X44" s="77" t="s">
        <v>24</v>
      </c>
      <c r="Y44" s="77" t="s">
        <v>176</v>
      </c>
      <c r="Z44" s="81" t="s">
        <v>246</v>
      </c>
      <c r="AA44" s="81"/>
      <c r="AB44" s="62" t="e">
        <f t="shared" si="0"/>
        <v>#VALUE!</v>
      </c>
      <c r="AC44" s="87"/>
      <c r="AD44" s="87"/>
      <c r="AE44" s="77"/>
      <c r="AF44" s="77"/>
      <c r="AG44" s="77"/>
      <c r="AH44" s="87">
        <v>0</v>
      </c>
      <c r="AI44" s="87">
        <v>0</v>
      </c>
      <c r="AJ44" s="87">
        <v>0</v>
      </c>
      <c r="AK44" s="87">
        <v>0</v>
      </c>
      <c r="AL44" s="87">
        <v>0</v>
      </c>
      <c r="AM44" s="77">
        <v>0</v>
      </c>
      <c r="AN44" s="77">
        <v>0</v>
      </c>
      <c r="AO44" s="77" t="s">
        <v>303</v>
      </c>
      <c r="AP44" s="77"/>
      <c r="AQ44" s="77"/>
      <c r="AR44" s="77"/>
      <c r="AS44" s="82"/>
      <c r="AT44" s="82"/>
      <c r="AU44" s="82"/>
      <c r="AV44" s="82"/>
    </row>
    <row r="45" spans="1:48" s="59" customFormat="1" x14ac:dyDescent="0.2">
      <c r="A45" s="77" t="s">
        <v>471</v>
      </c>
      <c r="B45" s="77" t="s">
        <v>472</v>
      </c>
      <c r="C45" s="77">
        <v>5</v>
      </c>
      <c r="D45" s="77">
        <v>1</v>
      </c>
      <c r="E45" s="77" t="s">
        <v>138</v>
      </c>
      <c r="F45" s="78">
        <v>43351</v>
      </c>
      <c r="G45" s="83" t="s">
        <v>4032</v>
      </c>
      <c r="H45" s="79">
        <v>1.3194444444444444E-2</v>
      </c>
      <c r="I45" s="77"/>
      <c r="J45" s="77" t="s">
        <v>173</v>
      </c>
      <c r="K45" s="77" t="s">
        <v>111</v>
      </c>
      <c r="L45" s="77" t="s">
        <v>23</v>
      </c>
      <c r="M45" s="77">
        <v>0</v>
      </c>
      <c r="N45" s="77"/>
      <c r="O45" s="77">
        <v>1</v>
      </c>
      <c r="P45" s="77" t="s">
        <v>112</v>
      </c>
      <c r="Q45" s="77" t="s">
        <v>112</v>
      </c>
      <c r="R45" s="77" t="s">
        <v>122</v>
      </c>
      <c r="S45" s="77" t="s">
        <v>333</v>
      </c>
      <c r="T45" s="82" t="s">
        <v>23</v>
      </c>
      <c r="U45" s="82" t="s">
        <v>3999</v>
      </c>
      <c r="V45" s="82" t="s">
        <v>4006</v>
      </c>
      <c r="W45" s="77" t="s">
        <v>24</v>
      </c>
      <c r="X45" s="77" t="s">
        <v>24</v>
      </c>
      <c r="Y45" s="77" t="s">
        <v>176</v>
      </c>
      <c r="Z45" s="81">
        <v>63.724820000000001</v>
      </c>
      <c r="AA45" s="81">
        <v>148.95699999999999</v>
      </c>
      <c r="AB45" s="62">
        <f t="shared" si="0"/>
        <v>212.68181999999999</v>
      </c>
      <c r="AC45" s="87"/>
      <c r="AD45" s="87"/>
      <c r="AE45" s="77"/>
      <c r="AF45" s="77"/>
      <c r="AG45" s="77"/>
      <c r="AH45" s="87">
        <v>0</v>
      </c>
      <c r="AI45" s="87">
        <v>0</v>
      </c>
      <c r="AJ45" s="87">
        <v>0</v>
      </c>
      <c r="AK45" s="87">
        <v>0</v>
      </c>
      <c r="AL45" s="87">
        <v>0</v>
      </c>
      <c r="AM45" s="77">
        <v>0</v>
      </c>
      <c r="AN45" s="77">
        <v>0</v>
      </c>
      <c r="AO45" s="77"/>
      <c r="AP45" s="77"/>
      <c r="AQ45" s="77"/>
      <c r="AR45" s="77"/>
      <c r="AS45" s="77"/>
      <c r="AT45" s="77"/>
      <c r="AU45" s="77"/>
      <c r="AV45" s="77"/>
    </row>
    <row r="46" spans="1:48" s="59" customFormat="1" x14ac:dyDescent="0.2">
      <c r="A46" s="77" t="s">
        <v>477</v>
      </c>
      <c r="B46" s="77" t="s">
        <v>478</v>
      </c>
      <c r="C46" s="77">
        <v>8</v>
      </c>
      <c r="D46" s="77">
        <v>1</v>
      </c>
      <c r="E46" s="77" t="s">
        <v>138</v>
      </c>
      <c r="F46" s="78">
        <v>43351</v>
      </c>
      <c r="G46" s="83" t="s">
        <v>4032</v>
      </c>
      <c r="H46" s="79">
        <v>1.4583333333333332E-2</v>
      </c>
      <c r="I46" s="77"/>
      <c r="J46" s="77" t="s">
        <v>173</v>
      </c>
      <c r="K46" s="77" t="s">
        <v>111</v>
      </c>
      <c r="L46" s="77" t="s">
        <v>23</v>
      </c>
      <c r="M46" s="77">
        <v>0</v>
      </c>
      <c r="N46" s="77"/>
      <c r="O46" s="77">
        <v>1</v>
      </c>
      <c r="P46" s="77" t="s">
        <v>176</v>
      </c>
      <c r="Q46" s="77" t="s">
        <v>176</v>
      </c>
      <c r="R46" s="77" t="s">
        <v>24</v>
      </c>
      <c r="S46" s="77" t="s">
        <v>333</v>
      </c>
      <c r="T46" s="82" t="s">
        <v>23</v>
      </c>
      <c r="U46" s="82" t="s">
        <v>3999</v>
      </c>
      <c r="V46" s="82" t="s">
        <v>4006</v>
      </c>
      <c r="W46" s="77" t="s">
        <v>24</v>
      </c>
      <c r="X46" s="77" t="s">
        <v>24</v>
      </c>
      <c r="Y46" s="77" t="s">
        <v>176</v>
      </c>
      <c r="Z46" s="81">
        <v>63.724600000000002</v>
      </c>
      <c r="AA46" s="81">
        <v>148.95944</v>
      </c>
      <c r="AB46" s="62">
        <f t="shared" si="0"/>
        <v>212.68404000000001</v>
      </c>
      <c r="AC46" s="87"/>
      <c r="AD46" s="87"/>
      <c r="AE46" s="77"/>
      <c r="AF46" s="77"/>
      <c r="AG46" s="77"/>
      <c r="AH46" s="87">
        <v>0</v>
      </c>
      <c r="AI46" s="87">
        <v>0</v>
      </c>
      <c r="AJ46" s="87">
        <v>0</v>
      </c>
      <c r="AK46" s="87">
        <v>0</v>
      </c>
      <c r="AL46" s="87">
        <v>0</v>
      </c>
      <c r="AM46" s="77">
        <v>0</v>
      </c>
      <c r="AN46" s="77">
        <v>0</v>
      </c>
      <c r="AO46" s="77"/>
      <c r="AP46" s="77" t="s">
        <v>479</v>
      </c>
      <c r="AQ46" s="77"/>
      <c r="AR46" s="77"/>
      <c r="AS46" s="77"/>
      <c r="AT46" s="77"/>
      <c r="AU46" s="77"/>
      <c r="AV46" s="77"/>
    </row>
    <row r="47" spans="1:48" s="59" customFormat="1" x14ac:dyDescent="0.2">
      <c r="A47" s="82" t="s">
        <v>475</v>
      </c>
      <c r="B47" s="82" t="s">
        <v>476</v>
      </c>
      <c r="C47" s="82">
        <v>7</v>
      </c>
      <c r="D47" s="82">
        <v>1</v>
      </c>
      <c r="E47" s="82" t="s">
        <v>138</v>
      </c>
      <c r="F47" s="83">
        <v>43351</v>
      </c>
      <c r="G47" s="83" t="s">
        <v>4032</v>
      </c>
      <c r="H47" s="84">
        <v>2.2222222222222223E-2</v>
      </c>
      <c r="I47" s="82"/>
      <c r="J47" s="82" t="s">
        <v>173</v>
      </c>
      <c r="K47" s="82" t="s">
        <v>187</v>
      </c>
      <c r="L47" s="82" t="s">
        <v>23</v>
      </c>
      <c r="M47" s="82">
        <v>1</v>
      </c>
      <c r="N47" s="82"/>
      <c r="O47" s="82">
        <v>1</v>
      </c>
      <c r="P47" s="77" t="s">
        <v>112</v>
      </c>
      <c r="Q47" s="82" t="s">
        <v>112</v>
      </c>
      <c r="R47" s="82" t="s">
        <v>122</v>
      </c>
      <c r="S47" s="82" t="s">
        <v>333</v>
      </c>
      <c r="T47" s="82" t="s">
        <v>23</v>
      </c>
      <c r="U47" s="82" t="s">
        <v>3999</v>
      </c>
      <c r="V47" s="82" t="s">
        <v>4006</v>
      </c>
      <c r="W47" s="77" t="s">
        <v>24</v>
      </c>
      <c r="X47" s="77" t="s">
        <v>24</v>
      </c>
      <c r="Y47" s="82" t="s">
        <v>176</v>
      </c>
      <c r="Z47" s="85">
        <v>63.724640000000001</v>
      </c>
      <c r="AA47" s="85">
        <v>148.95958999999999</v>
      </c>
      <c r="AB47" s="62">
        <f t="shared" si="0"/>
        <v>212.68422999999999</v>
      </c>
      <c r="AC47" s="88"/>
      <c r="AD47" s="88"/>
      <c r="AE47" s="82"/>
      <c r="AF47" s="82"/>
      <c r="AG47" s="82"/>
      <c r="AH47" s="88">
        <v>0</v>
      </c>
      <c r="AI47" s="88">
        <v>0</v>
      </c>
      <c r="AJ47" s="88">
        <v>0</v>
      </c>
      <c r="AK47" s="88">
        <v>0</v>
      </c>
      <c r="AL47" s="88">
        <v>19</v>
      </c>
      <c r="AM47" s="82">
        <v>0</v>
      </c>
      <c r="AN47" s="82">
        <v>19</v>
      </c>
      <c r="AO47" s="82" t="s">
        <v>303</v>
      </c>
      <c r="AP47" s="82"/>
      <c r="AQ47" s="82"/>
      <c r="AR47" s="82"/>
      <c r="AS47" s="82"/>
      <c r="AT47" s="82"/>
      <c r="AU47" s="82"/>
      <c r="AV47" s="82"/>
    </row>
    <row r="48" spans="1:48" s="59" customFormat="1" x14ac:dyDescent="0.2">
      <c r="A48" s="77" t="s">
        <v>480</v>
      </c>
      <c r="B48" s="77" t="s">
        <v>481</v>
      </c>
      <c r="C48" s="77">
        <v>9</v>
      </c>
      <c r="D48" s="77">
        <v>1</v>
      </c>
      <c r="E48" s="77" t="s">
        <v>138</v>
      </c>
      <c r="F48" s="78">
        <v>43351</v>
      </c>
      <c r="G48" s="83" t="s">
        <v>4032</v>
      </c>
      <c r="H48" s="79">
        <v>2.5694444444444447E-2</v>
      </c>
      <c r="I48" s="77"/>
      <c r="J48" s="77" t="s">
        <v>173</v>
      </c>
      <c r="K48" s="77" t="s">
        <v>102</v>
      </c>
      <c r="L48" s="77" t="s">
        <v>23</v>
      </c>
      <c r="M48" s="77">
        <v>1</v>
      </c>
      <c r="N48" s="77"/>
      <c r="O48" s="77">
        <v>1</v>
      </c>
      <c r="P48" s="77" t="s">
        <v>176</v>
      </c>
      <c r="Q48" s="77" t="s">
        <v>2120</v>
      </c>
      <c r="R48" s="77" t="s">
        <v>122</v>
      </c>
      <c r="S48" s="77" t="s">
        <v>333</v>
      </c>
      <c r="T48" s="82" t="s">
        <v>23</v>
      </c>
      <c r="U48" s="82" t="s">
        <v>3999</v>
      </c>
      <c r="V48" s="82" t="s">
        <v>4006</v>
      </c>
      <c r="W48" s="77" t="s">
        <v>24</v>
      </c>
      <c r="X48" s="77" t="s">
        <v>24</v>
      </c>
      <c r="Y48" s="77" t="s">
        <v>176</v>
      </c>
      <c r="Z48" s="81">
        <v>63.724620000000002</v>
      </c>
      <c r="AA48" s="81">
        <v>148.95992000000001</v>
      </c>
      <c r="AB48" s="62">
        <f t="shared" si="0"/>
        <v>212.68454000000003</v>
      </c>
      <c r="AC48" s="87"/>
      <c r="AD48" s="87"/>
      <c r="AE48" s="77"/>
      <c r="AF48" s="77"/>
      <c r="AG48" s="77"/>
      <c r="AH48" s="87">
        <v>0</v>
      </c>
      <c r="AI48" s="87">
        <v>0</v>
      </c>
      <c r="AJ48" s="87">
        <v>0</v>
      </c>
      <c r="AK48" s="87">
        <v>0</v>
      </c>
      <c r="AL48" s="87">
        <v>0</v>
      </c>
      <c r="AM48" s="77">
        <v>0</v>
      </c>
      <c r="AN48" s="77">
        <v>0</v>
      </c>
      <c r="AO48" s="77"/>
      <c r="AP48" s="77" t="s">
        <v>2152</v>
      </c>
      <c r="AQ48" s="77"/>
      <c r="AR48" s="77"/>
      <c r="AS48" s="77"/>
      <c r="AT48" s="77"/>
      <c r="AU48" s="77"/>
      <c r="AV48" s="77"/>
    </row>
    <row r="49" spans="1:48" s="59" customFormat="1" x14ac:dyDescent="0.2">
      <c r="A49" s="77" t="s">
        <v>488</v>
      </c>
      <c r="B49" s="77" t="s">
        <v>870</v>
      </c>
      <c r="C49" s="77">
        <v>4</v>
      </c>
      <c r="D49" s="77">
        <v>1</v>
      </c>
      <c r="E49" s="77" t="s">
        <v>834</v>
      </c>
      <c r="F49" s="78">
        <v>43352</v>
      </c>
      <c r="G49" s="83" t="s">
        <v>4032</v>
      </c>
      <c r="H49" s="79">
        <v>6.25E-2</v>
      </c>
      <c r="I49" s="77" t="s">
        <v>483</v>
      </c>
      <c r="J49" s="77" t="s">
        <v>466</v>
      </c>
      <c r="K49" s="77" t="s">
        <v>111</v>
      </c>
      <c r="L49" s="77" t="s">
        <v>23</v>
      </c>
      <c r="M49" s="77">
        <v>0</v>
      </c>
      <c r="N49" s="77"/>
      <c r="O49" s="77">
        <v>2</v>
      </c>
      <c r="P49" s="77" t="s">
        <v>1618</v>
      </c>
      <c r="Q49" s="77" t="s">
        <v>2137</v>
      </c>
      <c r="R49" s="77" t="s">
        <v>3987</v>
      </c>
      <c r="S49" s="77" t="s">
        <v>1057</v>
      </c>
      <c r="T49" s="80" t="s">
        <v>23</v>
      </c>
      <c r="U49" s="80" t="s">
        <v>3999</v>
      </c>
      <c r="V49" s="80" t="s">
        <v>4005</v>
      </c>
      <c r="W49" s="77" t="s">
        <v>24</v>
      </c>
      <c r="X49" s="77" t="s">
        <v>24</v>
      </c>
      <c r="Y49" s="77">
        <v>0</v>
      </c>
      <c r="Z49" s="81">
        <v>63.739249999999998</v>
      </c>
      <c r="AA49" s="81">
        <v>148.90089</v>
      </c>
      <c r="AB49" s="62">
        <f t="shared" si="0"/>
        <v>212.64014</v>
      </c>
      <c r="AC49" s="87"/>
      <c r="AD49" s="87"/>
      <c r="AE49" s="77"/>
      <c r="AF49" s="77"/>
      <c r="AG49" s="77"/>
      <c r="AH49" s="87">
        <v>0</v>
      </c>
      <c r="AI49" s="87">
        <v>0</v>
      </c>
      <c r="AJ49" s="87">
        <v>0</v>
      </c>
      <c r="AK49" s="87">
        <v>0</v>
      </c>
      <c r="AL49" s="87">
        <v>0</v>
      </c>
      <c r="AM49" s="77">
        <v>0</v>
      </c>
      <c r="AN49" s="77">
        <v>0</v>
      </c>
      <c r="AO49" s="77"/>
      <c r="AP49" s="77" t="s">
        <v>1070</v>
      </c>
      <c r="AQ49" s="77"/>
      <c r="AR49" s="77"/>
      <c r="AS49" s="72"/>
      <c r="AT49" s="72"/>
      <c r="AU49" s="72"/>
      <c r="AV49" s="72"/>
    </row>
    <row r="50" spans="1:48" s="59" customFormat="1" x14ac:dyDescent="0.2">
      <c r="A50" s="77" t="s">
        <v>486</v>
      </c>
      <c r="B50" s="77" t="s">
        <v>869</v>
      </c>
      <c r="C50" s="77">
        <v>3</v>
      </c>
      <c r="D50" s="77">
        <v>1</v>
      </c>
      <c r="E50" s="77" t="s">
        <v>834</v>
      </c>
      <c r="F50" s="78">
        <v>43352</v>
      </c>
      <c r="G50" s="83" t="s">
        <v>4032</v>
      </c>
      <c r="H50" s="79">
        <v>5.4166666666666669E-2</v>
      </c>
      <c r="I50" s="77" t="s">
        <v>483</v>
      </c>
      <c r="J50" s="77" t="s">
        <v>466</v>
      </c>
      <c r="K50" s="77" t="s">
        <v>111</v>
      </c>
      <c r="L50" s="77" t="s">
        <v>23</v>
      </c>
      <c r="M50" s="77">
        <v>0</v>
      </c>
      <c r="N50" s="77"/>
      <c r="O50" s="77">
        <v>3</v>
      </c>
      <c r="P50" s="77" t="s">
        <v>1618</v>
      </c>
      <c r="Q50" s="77" t="s">
        <v>2137</v>
      </c>
      <c r="R50" s="77" t="s">
        <v>3987</v>
      </c>
      <c r="S50" s="77" t="s">
        <v>3962</v>
      </c>
      <c r="T50" s="80" t="s">
        <v>23</v>
      </c>
      <c r="U50" s="80" t="s">
        <v>3997</v>
      </c>
      <c r="V50" s="80" t="s">
        <v>4005</v>
      </c>
      <c r="W50" s="77" t="s">
        <v>24</v>
      </c>
      <c r="X50" s="77" t="s">
        <v>24</v>
      </c>
      <c r="Y50" s="77">
        <v>0</v>
      </c>
      <c r="Z50" s="81">
        <v>63.739269999999998</v>
      </c>
      <c r="AA50" s="81">
        <v>148.90099000000001</v>
      </c>
      <c r="AB50" s="62">
        <f t="shared" si="0"/>
        <v>212.64026000000001</v>
      </c>
      <c r="AC50" s="87"/>
      <c r="AD50" s="87"/>
      <c r="AE50" s="77"/>
      <c r="AF50" s="77"/>
      <c r="AG50" s="77"/>
      <c r="AH50" s="87">
        <v>0</v>
      </c>
      <c r="AI50" s="87">
        <v>0</v>
      </c>
      <c r="AJ50" s="87">
        <v>0</v>
      </c>
      <c r="AK50" s="87">
        <v>0</v>
      </c>
      <c r="AL50" s="87">
        <v>0</v>
      </c>
      <c r="AM50" s="77">
        <v>0</v>
      </c>
      <c r="AN50" s="77">
        <v>0</v>
      </c>
      <c r="AO50" s="77"/>
      <c r="AP50" s="77" t="s">
        <v>1069</v>
      </c>
      <c r="AQ50" s="77"/>
      <c r="AR50" s="77"/>
      <c r="AS50" s="72"/>
      <c r="AT50" s="72"/>
      <c r="AU50" s="72"/>
      <c r="AV50" s="72"/>
    </row>
    <row r="51" spans="1:48" s="59" customFormat="1" x14ac:dyDescent="0.2">
      <c r="A51" s="77" t="s">
        <v>486</v>
      </c>
      <c r="B51" s="77" t="s">
        <v>869</v>
      </c>
      <c r="C51" s="77">
        <v>3</v>
      </c>
      <c r="D51" s="77">
        <v>2</v>
      </c>
      <c r="E51" s="77" t="s">
        <v>834</v>
      </c>
      <c r="F51" s="78">
        <v>43352</v>
      </c>
      <c r="G51" s="83" t="s">
        <v>4032</v>
      </c>
      <c r="H51" s="79">
        <v>5.4166666666666669E-2</v>
      </c>
      <c r="I51" s="77" t="s">
        <v>483</v>
      </c>
      <c r="J51" s="77" t="s">
        <v>466</v>
      </c>
      <c r="K51" s="77" t="s">
        <v>111</v>
      </c>
      <c r="L51" s="77" t="s">
        <v>23</v>
      </c>
      <c r="M51" s="77">
        <v>0</v>
      </c>
      <c r="N51" s="77"/>
      <c r="O51" s="77">
        <v>1</v>
      </c>
      <c r="P51" s="77" t="s">
        <v>1618</v>
      </c>
      <c r="Q51" s="77" t="s">
        <v>2137</v>
      </c>
      <c r="R51" s="77" t="s">
        <v>3987</v>
      </c>
      <c r="S51" s="77" t="s">
        <v>3988</v>
      </c>
      <c r="T51" s="80" t="s">
        <v>4013</v>
      </c>
      <c r="U51" s="80" t="s">
        <v>3997</v>
      </c>
      <c r="V51" s="80" t="s">
        <v>4001</v>
      </c>
      <c r="W51" s="77" t="s">
        <v>24</v>
      </c>
      <c r="X51" s="77" t="s">
        <v>24</v>
      </c>
      <c r="Y51" s="77">
        <v>3</v>
      </c>
      <c r="Z51" s="81">
        <v>63.739319999999999</v>
      </c>
      <c r="AA51" s="81">
        <v>148.90099000000001</v>
      </c>
      <c r="AB51" s="62">
        <f t="shared" si="0"/>
        <v>212.64031</v>
      </c>
      <c r="AC51" s="87"/>
      <c r="AD51" s="87"/>
      <c r="AE51" s="77"/>
      <c r="AF51" s="77"/>
      <c r="AG51" s="77"/>
      <c r="AH51" s="87">
        <v>0</v>
      </c>
      <c r="AI51" s="87">
        <v>0</v>
      </c>
      <c r="AJ51" s="87">
        <v>0</v>
      </c>
      <c r="AK51" s="87">
        <v>0</v>
      </c>
      <c r="AL51" s="87">
        <v>0</v>
      </c>
      <c r="AM51" s="77">
        <v>0</v>
      </c>
      <c r="AN51" s="77">
        <v>0</v>
      </c>
      <c r="AO51" s="77"/>
      <c r="AP51" s="77"/>
      <c r="AQ51" s="77"/>
      <c r="AR51" s="77"/>
      <c r="AS51" s="77"/>
      <c r="AT51" s="77"/>
      <c r="AU51" s="77"/>
      <c r="AV51" s="77"/>
    </row>
    <row r="52" spans="1:48" s="59" customFormat="1" x14ac:dyDescent="0.2">
      <c r="A52" s="77" t="s">
        <v>491</v>
      </c>
      <c r="B52" s="77" t="s">
        <v>871</v>
      </c>
      <c r="C52" s="77">
        <v>5</v>
      </c>
      <c r="D52" s="77">
        <v>1</v>
      </c>
      <c r="E52" s="77" t="s">
        <v>834</v>
      </c>
      <c r="F52" s="78">
        <v>43352</v>
      </c>
      <c r="G52" s="83" t="s">
        <v>4032</v>
      </c>
      <c r="H52" s="79">
        <v>2.6388888888888889E-2</v>
      </c>
      <c r="I52" s="77" t="s">
        <v>483</v>
      </c>
      <c r="J52" s="77" t="s">
        <v>466</v>
      </c>
      <c r="K52" s="77" t="s">
        <v>111</v>
      </c>
      <c r="L52" s="77" t="s">
        <v>23</v>
      </c>
      <c r="M52" s="77">
        <v>0</v>
      </c>
      <c r="N52" s="77"/>
      <c r="O52" s="77">
        <v>1</v>
      </c>
      <c r="P52" s="77" t="s">
        <v>1618</v>
      </c>
      <c r="Q52" s="77" t="s">
        <v>2137</v>
      </c>
      <c r="R52" s="77" t="s">
        <v>3987</v>
      </c>
      <c r="S52" s="77" t="s">
        <v>3989</v>
      </c>
      <c r="T52" s="80" t="s">
        <v>23</v>
      </c>
      <c r="U52" s="80" t="s">
        <v>3997</v>
      </c>
      <c r="V52" s="80" t="s">
        <v>4005</v>
      </c>
      <c r="W52" s="77" t="s">
        <v>24</v>
      </c>
      <c r="X52" s="77" t="s">
        <v>24</v>
      </c>
      <c r="Y52" s="77">
        <v>6</v>
      </c>
      <c r="Z52" s="81">
        <v>63.739339999999999</v>
      </c>
      <c r="AA52" s="81">
        <v>148.90071</v>
      </c>
      <c r="AB52" s="62">
        <f t="shared" si="0"/>
        <v>212.64005</v>
      </c>
      <c r="AC52" s="87"/>
      <c r="AD52" s="87"/>
      <c r="AE52" s="77"/>
      <c r="AF52" s="77"/>
      <c r="AG52" s="77"/>
      <c r="AH52" s="87">
        <v>0</v>
      </c>
      <c r="AI52" s="87">
        <v>0</v>
      </c>
      <c r="AJ52" s="87">
        <v>0</v>
      </c>
      <c r="AK52" s="87">
        <v>0</v>
      </c>
      <c r="AL52" s="87">
        <v>0</v>
      </c>
      <c r="AM52" s="77">
        <v>0</v>
      </c>
      <c r="AN52" s="77">
        <v>0</v>
      </c>
      <c r="AO52" s="77"/>
      <c r="AP52" s="77"/>
      <c r="AQ52" s="77"/>
      <c r="AR52" s="77"/>
      <c r="AS52" s="72"/>
      <c r="AT52" s="72"/>
      <c r="AU52" s="72"/>
      <c r="AV52" s="72"/>
    </row>
    <row r="53" spans="1:48" s="59" customFormat="1" x14ac:dyDescent="0.2">
      <c r="A53" s="77" t="s">
        <v>493</v>
      </c>
      <c r="B53" s="77" t="s">
        <v>872</v>
      </c>
      <c r="C53" s="77">
        <v>6</v>
      </c>
      <c r="D53" s="77">
        <v>7</v>
      </c>
      <c r="E53" s="77" t="s">
        <v>834</v>
      </c>
      <c r="F53" s="78">
        <v>43352</v>
      </c>
      <c r="G53" s="83" t="s">
        <v>4032</v>
      </c>
      <c r="H53" s="79">
        <v>0.13055555555555556</v>
      </c>
      <c r="I53" s="77" t="s">
        <v>483</v>
      </c>
      <c r="J53" s="77" t="s">
        <v>466</v>
      </c>
      <c r="K53" s="77" t="s">
        <v>111</v>
      </c>
      <c r="L53" s="77" t="s">
        <v>23</v>
      </c>
      <c r="M53" s="77">
        <v>0</v>
      </c>
      <c r="N53" s="77"/>
      <c r="O53" s="77">
        <v>1</v>
      </c>
      <c r="P53" s="77" t="s">
        <v>1618</v>
      </c>
      <c r="Q53" s="77" t="s">
        <v>2137</v>
      </c>
      <c r="R53" s="77" t="s">
        <v>3987</v>
      </c>
      <c r="S53" s="77" t="s">
        <v>2069</v>
      </c>
      <c r="T53" s="80" t="s">
        <v>23</v>
      </c>
      <c r="U53" s="80" t="s">
        <v>3999</v>
      </c>
      <c r="V53" s="80" t="s">
        <v>4005</v>
      </c>
      <c r="W53" s="77" t="s">
        <v>24</v>
      </c>
      <c r="X53" s="77" t="s">
        <v>24</v>
      </c>
      <c r="Y53" s="86">
        <v>14</v>
      </c>
      <c r="Z53" s="81">
        <v>63.739150000000002</v>
      </c>
      <c r="AA53" s="81">
        <v>148.9008</v>
      </c>
      <c r="AB53" s="62">
        <f t="shared" si="0"/>
        <v>212.63995</v>
      </c>
      <c r="AC53" s="87">
        <v>1</v>
      </c>
      <c r="AD53" s="87" t="s">
        <v>4765</v>
      </c>
      <c r="AE53" s="77"/>
      <c r="AF53" s="77"/>
      <c r="AG53" s="77"/>
      <c r="AH53" s="87">
        <v>0</v>
      </c>
      <c r="AI53" s="87">
        <v>0</v>
      </c>
      <c r="AJ53" s="87">
        <v>0</v>
      </c>
      <c r="AK53" s="87">
        <v>0</v>
      </c>
      <c r="AL53" s="87">
        <v>0</v>
      </c>
      <c r="AM53" s="77">
        <v>0</v>
      </c>
      <c r="AN53" s="77">
        <v>0</v>
      </c>
      <c r="AO53" s="77"/>
      <c r="AP53" s="77"/>
      <c r="AQ53" s="77"/>
      <c r="AR53" s="77"/>
    </row>
    <row r="54" spans="1:48" s="59" customFormat="1" x14ac:dyDescent="0.2">
      <c r="A54" s="77" t="s">
        <v>493</v>
      </c>
      <c r="B54" s="77" t="s">
        <v>872</v>
      </c>
      <c r="C54" s="77">
        <v>6</v>
      </c>
      <c r="D54" s="77">
        <v>1</v>
      </c>
      <c r="E54" s="77" t="s">
        <v>834</v>
      </c>
      <c r="F54" s="78">
        <v>43352</v>
      </c>
      <c r="G54" s="83" t="s">
        <v>4032</v>
      </c>
      <c r="H54" s="79">
        <v>0.13055555555555556</v>
      </c>
      <c r="I54" s="77" t="s">
        <v>483</v>
      </c>
      <c r="J54" s="77" t="s">
        <v>466</v>
      </c>
      <c r="K54" s="77" t="s">
        <v>111</v>
      </c>
      <c r="L54" s="77" t="s">
        <v>23</v>
      </c>
      <c r="M54" s="77">
        <v>0</v>
      </c>
      <c r="N54" s="77"/>
      <c r="O54" s="77">
        <v>1</v>
      </c>
      <c r="P54" s="77" t="s">
        <v>1618</v>
      </c>
      <c r="Q54" s="77" t="s">
        <v>2137</v>
      </c>
      <c r="R54" s="77" t="s">
        <v>3987</v>
      </c>
      <c r="S54" s="77" t="s">
        <v>2069</v>
      </c>
      <c r="T54" s="80" t="s">
        <v>23</v>
      </c>
      <c r="U54" s="80" t="s">
        <v>3999</v>
      </c>
      <c r="V54" s="80" t="s">
        <v>4005</v>
      </c>
      <c r="W54" s="77" t="s">
        <v>24</v>
      </c>
      <c r="X54" s="77" t="s">
        <v>24</v>
      </c>
      <c r="Y54" s="86">
        <v>14</v>
      </c>
      <c r="Z54" s="81">
        <v>63.73912</v>
      </c>
      <c r="AA54" s="81">
        <v>148.90092000000001</v>
      </c>
      <c r="AB54" s="62">
        <f t="shared" si="0"/>
        <v>212.64004</v>
      </c>
      <c r="AC54" s="87">
        <v>1</v>
      </c>
      <c r="AD54" s="87" t="s">
        <v>4765</v>
      </c>
      <c r="AE54" s="77"/>
      <c r="AF54" s="77"/>
      <c r="AG54" s="77"/>
      <c r="AH54" s="87">
        <v>0</v>
      </c>
      <c r="AI54" s="87">
        <v>0</v>
      </c>
      <c r="AJ54" s="87">
        <v>0</v>
      </c>
      <c r="AK54" s="87">
        <v>0</v>
      </c>
      <c r="AL54" s="87">
        <v>0</v>
      </c>
      <c r="AM54" s="77">
        <v>0</v>
      </c>
      <c r="AN54" s="77">
        <v>0</v>
      </c>
      <c r="AO54" s="77"/>
      <c r="AP54" s="77"/>
      <c r="AQ54" s="77"/>
      <c r="AR54" s="77"/>
    </row>
    <row r="55" spans="1:48" s="59" customFormat="1" x14ac:dyDescent="0.2">
      <c r="A55" s="77" t="s">
        <v>493</v>
      </c>
      <c r="B55" s="77" t="s">
        <v>872</v>
      </c>
      <c r="C55" s="77">
        <v>6</v>
      </c>
      <c r="D55" s="77">
        <v>2</v>
      </c>
      <c r="E55" s="77" t="s">
        <v>834</v>
      </c>
      <c r="F55" s="78">
        <v>43352</v>
      </c>
      <c r="G55" s="83" t="s">
        <v>4032</v>
      </c>
      <c r="H55" s="79">
        <v>0.13055555555555556</v>
      </c>
      <c r="I55" s="77" t="s">
        <v>483</v>
      </c>
      <c r="J55" s="77" t="s">
        <v>466</v>
      </c>
      <c r="K55" s="77" t="s">
        <v>111</v>
      </c>
      <c r="L55" s="77" t="s">
        <v>23</v>
      </c>
      <c r="M55" s="77">
        <v>0</v>
      </c>
      <c r="N55" s="77"/>
      <c r="O55" s="77">
        <v>1</v>
      </c>
      <c r="P55" s="77" t="s">
        <v>1618</v>
      </c>
      <c r="Q55" s="77" t="s">
        <v>2137</v>
      </c>
      <c r="R55" s="77" t="s">
        <v>3987</v>
      </c>
      <c r="S55" s="77" t="s">
        <v>2068</v>
      </c>
      <c r="T55" s="80" t="s">
        <v>23</v>
      </c>
      <c r="U55" s="80" t="s">
        <v>3997</v>
      </c>
      <c r="V55" s="80" t="s">
        <v>4005</v>
      </c>
      <c r="W55" s="77" t="s">
        <v>24</v>
      </c>
      <c r="X55" s="77" t="s">
        <v>24</v>
      </c>
      <c r="Y55" s="86">
        <v>14</v>
      </c>
      <c r="Z55" s="81">
        <v>63.73912</v>
      </c>
      <c r="AA55" s="81">
        <v>148.90092000000001</v>
      </c>
      <c r="AB55" s="62">
        <f t="shared" si="0"/>
        <v>212.64004</v>
      </c>
      <c r="AC55" s="87">
        <v>1</v>
      </c>
      <c r="AD55" s="87" t="s">
        <v>4765</v>
      </c>
      <c r="AE55" s="77"/>
      <c r="AF55" s="77"/>
      <c r="AG55" s="77"/>
      <c r="AH55" s="87">
        <v>0</v>
      </c>
      <c r="AI55" s="87">
        <v>0</v>
      </c>
      <c r="AJ55" s="87">
        <v>0</v>
      </c>
      <c r="AK55" s="87">
        <v>0</v>
      </c>
      <c r="AL55" s="87">
        <v>0</v>
      </c>
      <c r="AM55" s="77">
        <v>0</v>
      </c>
      <c r="AN55" s="77">
        <v>0</v>
      </c>
      <c r="AO55" s="77"/>
      <c r="AP55" s="77"/>
      <c r="AQ55" s="77"/>
      <c r="AR55" s="77"/>
    </row>
    <row r="56" spans="1:48" s="59" customFormat="1" x14ac:dyDescent="0.2">
      <c r="A56" s="77" t="s">
        <v>493</v>
      </c>
      <c r="B56" s="77" t="s">
        <v>872</v>
      </c>
      <c r="C56" s="77">
        <v>6</v>
      </c>
      <c r="D56" s="77">
        <v>3</v>
      </c>
      <c r="E56" s="77" t="s">
        <v>834</v>
      </c>
      <c r="F56" s="78">
        <v>43352</v>
      </c>
      <c r="G56" s="83" t="s">
        <v>4032</v>
      </c>
      <c r="H56" s="79">
        <v>0.13055555555555556</v>
      </c>
      <c r="I56" s="77" t="s">
        <v>483</v>
      </c>
      <c r="J56" s="77" t="s">
        <v>466</v>
      </c>
      <c r="K56" s="77" t="s">
        <v>111</v>
      </c>
      <c r="L56" s="77" t="s">
        <v>23</v>
      </c>
      <c r="M56" s="77">
        <v>0</v>
      </c>
      <c r="N56" s="77"/>
      <c r="O56" s="77">
        <v>1</v>
      </c>
      <c r="P56" s="77" t="s">
        <v>1618</v>
      </c>
      <c r="Q56" s="77" t="s">
        <v>2137</v>
      </c>
      <c r="R56" s="77" t="s">
        <v>3987</v>
      </c>
      <c r="S56" s="77" t="s">
        <v>2069</v>
      </c>
      <c r="T56" s="80" t="s">
        <v>23</v>
      </c>
      <c r="U56" s="80" t="s">
        <v>3999</v>
      </c>
      <c r="V56" s="80" t="s">
        <v>4005</v>
      </c>
      <c r="W56" s="77" t="s">
        <v>24</v>
      </c>
      <c r="X56" s="77" t="s">
        <v>24</v>
      </c>
      <c r="Y56" s="86">
        <v>14</v>
      </c>
      <c r="Z56" s="81">
        <v>63.73912</v>
      </c>
      <c r="AA56" s="81">
        <v>148.90092000000001</v>
      </c>
      <c r="AB56" s="62">
        <f t="shared" si="0"/>
        <v>212.64004</v>
      </c>
      <c r="AC56" s="87">
        <v>1</v>
      </c>
      <c r="AD56" s="87" t="s">
        <v>4765</v>
      </c>
      <c r="AE56" s="77"/>
      <c r="AF56" s="77"/>
      <c r="AG56" s="77"/>
      <c r="AH56" s="87">
        <v>0</v>
      </c>
      <c r="AI56" s="87">
        <v>0</v>
      </c>
      <c r="AJ56" s="87">
        <v>0</v>
      </c>
      <c r="AK56" s="87">
        <v>0</v>
      </c>
      <c r="AL56" s="87">
        <v>0</v>
      </c>
      <c r="AM56" s="77">
        <v>0</v>
      </c>
      <c r="AN56" s="77">
        <v>0</v>
      </c>
      <c r="AO56" s="77"/>
      <c r="AP56" s="77"/>
      <c r="AQ56" s="77"/>
      <c r="AR56" s="77"/>
    </row>
    <row r="57" spans="1:48" s="59" customFormat="1" x14ac:dyDescent="0.2">
      <c r="A57" s="77" t="s">
        <v>493</v>
      </c>
      <c r="B57" s="77" t="s">
        <v>872</v>
      </c>
      <c r="C57" s="77">
        <v>6</v>
      </c>
      <c r="D57" s="77">
        <v>4</v>
      </c>
      <c r="E57" s="77" t="s">
        <v>834</v>
      </c>
      <c r="F57" s="78">
        <v>43352</v>
      </c>
      <c r="G57" s="83" t="s">
        <v>4032</v>
      </c>
      <c r="H57" s="79">
        <v>0.13055555555555556</v>
      </c>
      <c r="I57" s="77" t="s">
        <v>483</v>
      </c>
      <c r="J57" s="77" t="s">
        <v>466</v>
      </c>
      <c r="K57" s="77" t="s">
        <v>111</v>
      </c>
      <c r="L57" s="77" t="s">
        <v>23</v>
      </c>
      <c r="M57" s="77">
        <v>0</v>
      </c>
      <c r="N57" s="77"/>
      <c r="O57" s="77">
        <v>1</v>
      </c>
      <c r="P57" s="77" t="s">
        <v>1618</v>
      </c>
      <c r="Q57" s="77" t="s">
        <v>2137</v>
      </c>
      <c r="R57" s="77" t="s">
        <v>3987</v>
      </c>
      <c r="S57" s="77" t="s">
        <v>2070</v>
      </c>
      <c r="T57" s="80" t="s">
        <v>23</v>
      </c>
      <c r="U57" s="80" t="s">
        <v>3999</v>
      </c>
      <c r="V57" s="80" t="s">
        <v>4007</v>
      </c>
      <c r="W57" s="77" t="s">
        <v>24</v>
      </c>
      <c r="X57" s="77" t="s">
        <v>24</v>
      </c>
      <c r="Y57" s="86">
        <v>14</v>
      </c>
      <c r="Z57" s="81">
        <v>63.73912</v>
      </c>
      <c r="AA57" s="81">
        <v>148.90092000000001</v>
      </c>
      <c r="AB57" s="62">
        <f t="shared" si="0"/>
        <v>212.64004</v>
      </c>
      <c r="AC57" s="87">
        <v>1</v>
      </c>
      <c r="AD57" s="87" t="s">
        <v>4765</v>
      </c>
      <c r="AE57" s="77"/>
      <c r="AF57" s="77"/>
      <c r="AG57" s="77"/>
      <c r="AH57" s="87">
        <v>0</v>
      </c>
      <c r="AI57" s="87">
        <v>0</v>
      </c>
      <c r="AJ57" s="87">
        <v>0</v>
      </c>
      <c r="AK57" s="87">
        <v>0</v>
      </c>
      <c r="AL57" s="87">
        <v>0</v>
      </c>
      <c r="AM57" s="77">
        <v>0</v>
      </c>
      <c r="AN57" s="77">
        <v>0</v>
      </c>
      <c r="AO57" s="77"/>
      <c r="AP57" s="77"/>
      <c r="AQ57" s="77"/>
      <c r="AR57" s="77"/>
    </row>
    <row r="58" spans="1:48" s="59" customFormat="1" x14ac:dyDescent="0.2">
      <c r="A58" s="77" t="s">
        <v>493</v>
      </c>
      <c r="B58" s="77" t="s">
        <v>872</v>
      </c>
      <c r="C58" s="77">
        <v>6</v>
      </c>
      <c r="D58" s="77">
        <v>5</v>
      </c>
      <c r="E58" s="77" t="s">
        <v>834</v>
      </c>
      <c r="F58" s="78">
        <v>43352</v>
      </c>
      <c r="G58" s="83" t="s">
        <v>4032</v>
      </c>
      <c r="H58" s="79">
        <v>0.13055555555555556</v>
      </c>
      <c r="I58" s="77" t="s">
        <v>483</v>
      </c>
      <c r="J58" s="77" t="s">
        <v>466</v>
      </c>
      <c r="K58" s="77" t="s">
        <v>111</v>
      </c>
      <c r="L58" s="77" t="s">
        <v>23</v>
      </c>
      <c r="M58" s="77">
        <v>0</v>
      </c>
      <c r="N58" s="77"/>
      <c r="O58" s="77">
        <v>1</v>
      </c>
      <c r="P58" s="77" t="s">
        <v>1618</v>
      </c>
      <c r="Q58" s="77" t="s">
        <v>2137</v>
      </c>
      <c r="R58" s="77" t="s">
        <v>3987</v>
      </c>
      <c r="S58" s="77" t="s">
        <v>2068</v>
      </c>
      <c r="T58" s="80" t="s">
        <v>23</v>
      </c>
      <c r="U58" s="80" t="s">
        <v>3997</v>
      </c>
      <c r="V58" s="80" t="s">
        <v>4005</v>
      </c>
      <c r="W58" s="77" t="s">
        <v>24</v>
      </c>
      <c r="X58" s="77" t="s">
        <v>24</v>
      </c>
      <c r="Y58" s="86">
        <v>14</v>
      </c>
      <c r="Z58" s="81">
        <v>63.739150000000002</v>
      </c>
      <c r="AA58" s="81">
        <v>148.9008</v>
      </c>
      <c r="AB58" s="62">
        <f t="shared" si="0"/>
        <v>212.63995</v>
      </c>
      <c r="AC58" s="87">
        <v>1</v>
      </c>
      <c r="AD58" s="87"/>
      <c r="AE58" s="77"/>
      <c r="AF58" s="77"/>
      <c r="AG58" s="77"/>
      <c r="AH58" s="87">
        <v>0</v>
      </c>
      <c r="AI58" s="87">
        <v>0</v>
      </c>
      <c r="AJ58" s="87">
        <v>0</v>
      </c>
      <c r="AK58" s="87">
        <v>0</v>
      </c>
      <c r="AL58" s="87">
        <v>0</v>
      </c>
      <c r="AM58" s="77">
        <v>0</v>
      </c>
      <c r="AN58" s="77">
        <v>0</v>
      </c>
      <c r="AO58" s="77"/>
      <c r="AP58" s="77"/>
      <c r="AQ58" s="77"/>
      <c r="AR58" s="77"/>
    </row>
    <row r="59" spans="1:48" s="59" customFormat="1" x14ac:dyDescent="0.2">
      <c r="A59" s="77" t="s">
        <v>494</v>
      </c>
      <c r="B59" s="77" t="s">
        <v>873</v>
      </c>
      <c r="C59" s="77">
        <v>7</v>
      </c>
      <c r="D59" s="77">
        <v>1</v>
      </c>
      <c r="E59" s="77" t="s">
        <v>834</v>
      </c>
      <c r="F59" s="78">
        <v>43352</v>
      </c>
      <c r="G59" s="83" t="s">
        <v>4032</v>
      </c>
      <c r="H59" s="79">
        <v>9.7222222222222224E-3</v>
      </c>
      <c r="I59" s="77" t="s">
        <v>483</v>
      </c>
      <c r="J59" s="77" t="s">
        <v>466</v>
      </c>
      <c r="K59" s="77" t="s">
        <v>111</v>
      </c>
      <c r="L59" s="77" t="s">
        <v>23</v>
      </c>
      <c r="M59" s="77">
        <v>0</v>
      </c>
      <c r="N59" s="77"/>
      <c r="O59" s="77">
        <v>1</v>
      </c>
      <c r="P59" s="77" t="s">
        <v>1618</v>
      </c>
      <c r="Q59" s="77" t="s">
        <v>2137</v>
      </c>
      <c r="R59" s="77" t="s">
        <v>3987</v>
      </c>
      <c r="S59" s="77" t="s">
        <v>3963</v>
      </c>
      <c r="T59" s="80" t="s">
        <v>23</v>
      </c>
      <c r="U59" s="80" t="s">
        <v>3997</v>
      </c>
      <c r="V59" s="80" t="s">
        <v>4007</v>
      </c>
      <c r="W59" s="77" t="s">
        <v>24</v>
      </c>
      <c r="X59" s="77" t="s">
        <v>24</v>
      </c>
      <c r="Y59" s="77">
        <v>14</v>
      </c>
      <c r="Z59" s="81">
        <v>63.73912</v>
      </c>
      <c r="AA59" s="81">
        <v>148.90092000000001</v>
      </c>
      <c r="AB59" s="62">
        <f t="shared" si="0"/>
        <v>212.64004</v>
      </c>
      <c r="AC59" s="87">
        <v>1</v>
      </c>
      <c r="AD59" s="87"/>
      <c r="AE59" s="77"/>
      <c r="AF59" s="77"/>
      <c r="AG59" s="77"/>
      <c r="AH59" s="87">
        <v>0</v>
      </c>
      <c r="AI59" s="87">
        <v>0</v>
      </c>
      <c r="AJ59" s="87">
        <v>0</v>
      </c>
      <c r="AK59" s="87">
        <v>0</v>
      </c>
      <c r="AL59" s="87">
        <v>0</v>
      </c>
      <c r="AM59" s="77">
        <v>0</v>
      </c>
      <c r="AN59" s="77">
        <v>0</v>
      </c>
      <c r="AO59" s="77"/>
      <c r="AP59" s="77" t="s">
        <v>880</v>
      </c>
      <c r="AQ59" s="77"/>
      <c r="AR59" s="77"/>
    </row>
    <row r="60" spans="1:48" s="59" customFormat="1" x14ac:dyDescent="0.2">
      <c r="A60" s="77" t="s">
        <v>493</v>
      </c>
      <c r="B60" s="77" t="s">
        <v>872</v>
      </c>
      <c r="C60" s="77">
        <v>6</v>
      </c>
      <c r="D60" s="77">
        <v>6</v>
      </c>
      <c r="E60" s="77" t="s">
        <v>834</v>
      </c>
      <c r="F60" s="78">
        <v>43352</v>
      </c>
      <c r="G60" s="83" t="s">
        <v>4032</v>
      </c>
      <c r="H60" s="79">
        <v>0.13055555555555556</v>
      </c>
      <c r="I60" s="77" t="s">
        <v>483</v>
      </c>
      <c r="J60" s="77" t="s">
        <v>466</v>
      </c>
      <c r="K60" s="77" t="s">
        <v>111</v>
      </c>
      <c r="L60" s="77" t="s">
        <v>23</v>
      </c>
      <c r="M60" s="77">
        <v>0</v>
      </c>
      <c r="N60" s="77"/>
      <c r="O60" s="77">
        <v>1</v>
      </c>
      <c r="P60" s="77" t="s">
        <v>1618</v>
      </c>
      <c r="Q60" s="77" t="s">
        <v>2137</v>
      </c>
      <c r="R60" s="77" t="s">
        <v>3987</v>
      </c>
      <c r="S60" s="77" t="s">
        <v>2069</v>
      </c>
      <c r="T60" s="80" t="s">
        <v>23</v>
      </c>
      <c r="U60" s="80" t="s">
        <v>3999</v>
      </c>
      <c r="V60" s="80" t="s">
        <v>4005</v>
      </c>
      <c r="W60" s="77" t="s">
        <v>24</v>
      </c>
      <c r="X60" s="77" t="s">
        <v>24</v>
      </c>
      <c r="Y60" s="86">
        <v>14</v>
      </c>
      <c r="Z60" s="81">
        <v>63.73912</v>
      </c>
      <c r="AA60" s="81">
        <v>148.90092000000001</v>
      </c>
      <c r="AB60" s="62">
        <f t="shared" si="0"/>
        <v>212.64004</v>
      </c>
      <c r="AC60" s="87">
        <v>1</v>
      </c>
      <c r="AD60" s="87" t="s">
        <v>4765</v>
      </c>
      <c r="AE60" s="77"/>
      <c r="AF60" s="77"/>
      <c r="AG60" s="77"/>
      <c r="AH60" s="87">
        <v>0</v>
      </c>
      <c r="AI60" s="87">
        <v>0</v>
      </c>
      <c r="AJ60" s="87">
        <v>0</v>
      </c>
      <c r="AK60" s="87">
        <v>0</v>
      </c>
      <c r="AL60" s="87">
        <v>0</v>
      </c>
      <c r="AM60" s="77">
        <v>0</v>
      </c>
      <c r="AN60" s="77">
        <v>0</v>
      </c>
      <c r="AO60" s="77"/>
      <c r="AP60" s="77"/>
      <c r="AQ60" s="77"/>
      <c r="AR60" s="77"/>
    </row>
    <row r="61" spans="1:48" s="59" customFormat="1" x14ac:dyDescent="0.2">
      <c r="A61" s="77" t="s">
        <v>493</v>
      </c>
      <c r="B61" s="77" t="s">
        <v>872</v>
      </c>
      <c r="C61" s="77">
        <v>6</v>
      </c>
      <c r="D61" s="77">
        <v>8</v>
      </c>
      <c r="E61" s="77" t="s">
        <v>834</v>
      </c>
      <c r="F61" s="78">
        <v>43352</v>
      </c>
      <c r="G61" s="83" t="s">
        <v>4032</v>
      </c>
      <c r="H61" s="79">
        <v>0.13055555555555556</v>
      </c>
      <c r="I61" s="77" t="s">
        <v>483</v>
      </c>
      <c r="J61" s="77" t="s">
        <v>466</v>
      </c>
      <c r="K61" s="77" t="s">
        <v>111</v>
      </c>
      <c r="L61" s="77" t="s">
        <v>23</v>
      </c>
      <c r="M61" s="77">
        <v>0</v>
      </c>
      <c r="N61" s="77"/>
      <c r="O61" s="77">
        <v>1</v>
      </c>
      <c r="P61" s="77" t="s">
        <v>1618</v>
      </c>
      <c r="Q61" s="77" t="s">
        <v>2137</v>
      </c>
      <c r="R61" s="77" t="s">
        <v>3987</v>
      </c>
      <c r="S61" s="77" t="s">
        <v>2069</v>
      </c>
      <c r="T61" s="80" t="s">
        <v>23</v>
      </c>
      <c r="U61" s="80" t="s">
        <v>3999</v>
      </c>
      <c r="V61" s="80" t="s">
        <v>4005</v>
      </c>
      <c r="W61" s="77" t="s">
        <v>24</v>
      </c>
      <c r="X61" s="77" t="s">
        <v>24</v>
      </c>
      <c r="Y61" s="86">
        <v>15</v>
      </c>
      <c r="Z61" s="81">
        <v>63.73912</v>
      </c>
      <c r="AA61" s="81">
        <v>148.90076999999999</v>
      </c>
      <c r="AB61" s="62">
        <f t="shared" si="0"/>
        <v>212.63988999999998</v>
      </c>
      <c r="AC61" s="87"/>
      <c r="AD61" s="87"/>
      <c r="AE61" s="77"/>
      <c r="AF61" s="77"/>
      <c r="AG61" s="77"/>
      <c r="AH61" s="87">
        <v>0</v>
      </c>
      <c r="AI61" s="87">
        <v>0</v>
      </c>
      <c r="AJ61" s="87">
        <v>0</v>
      </c>
      <c r="AK61" s="87">
        <v>0</v>
      </c>
      <c r="AL61" s="87">
        <v>0</v>
      </c>
      <c r="AM61" s="77">
        <v>0</v>
      </c>
      <c r="AN61" s="77">
        <v>0</v>
      </c>
      <c r="AO61" s="77"/>
      <c r="AP61" s="77"/>
      <c r="AQ61" s="77"/>
      <c r="AR61" s="77"/>
      <c r="AS61" s="72"/>
      <c r="AT61" s="72"/>
      <c r="AU61" s="72"/>
      <c r="AV61" s="72"/>
    </row>
    <row r="62" spans="1:48" s="59" customFormat="1" x14ac:dyDescent="0.2">
      <c r="A62" s="77" t="s">
        <v>496</v>
      </c>
      <c r="B62" s="77" t="s">
        <v>874</v>
      </c>
      <c r="C62" s="77">
        <v>8</v>
      </c>
      <c r="D62" s="77">
        <v>2</v>
      </c>
      <c r="E62" s="77" t="s">
        <v>834</v>
      </c>
      <c r="F62" s="78">
        <v>43352</v>
      </c>
      <c r="G62" s="83" t="s">
        <v>4032</v>
      </c>
      <c r="H62" s="79">
        <v>0.10069444444444443</v>
      </c>
      <c r="I62" s="77" t="s">
        <v>483</v>
      </c>
      <c r="J62" s="77" t="s">
        <v>466</v>
      </c>
      <c r="K62" s="77" t="s">
        <v>111</v>
      </c>
      <c r="L62" s="77" t="s">
        <v>23</v>
      </c>
      <c r="M62" s="77">
        <v>0</v>
      </c>
      <c r="N62" s="77"/>
      <c r="O62" s="77">
        <v>2</v>
      </c>
      <c r="P62" s="77" t="s">
        <v>1618</v>
      </c>
      <c r="Q62" s="77" t="s">
        <v>2137</v>
      </c>
      <c r="R62" s="77" t="s">
        <v>3987</v>
      </c>
      <c r="S62" s="77" t="s">
        <v>1057</v>
      </c>
      <c r="T62" s="80" t="s">
        <v>23</v>
      </c>
      <c r="U62" s="80" t="s">
        <v>3999</v>
      </c>
      <c r="V62" s="80" t="s">
        <v>4005</v>
      </c>
      <c r="W62" s="77" t="s">
        <v>24</v>
      </c>
      <c r="X62" s="77" t="s">
        <v>24</v>
      </c>
      <c r="Y62" s="86">
        <v>20</v>
      </c>
      <c r="Z62" s="81">
        <v>63.739159999999998</v>
      </c>
      <c r="AA62" s="81">
        <v>148.90085999999999</v>
      </c>
      <c r="AB62" s="62">
        <f t="shared" si="0"/>
        <v>212.64001999999999</v>
      </c>
      <c r="AC62" s="87"/>
      <c r="AD62" s="87"/>
      <c r="AE62" s="77"/>
      <c r="AF62" s="77"/>
      <c r="AG62" s="77"/>
      <c r="AH62" s="87">
        <v>0</v>
      </c>
      <c r="AI62" s="87">
        <v>0</v>
      </c>
      <c r="AJ62" s="87">
        <v>0</v>
      </c>
      <c r="AK62" s="87">
        <v>0</v>
      </c>
      <c r="AL62" s="87">
        <v>0</v>
      </c>
      <c r="AM62" s="77">
        <v>0</v>
      </c>
      <c r="AN62" s="77">
        <v>0</v>
      </c>
      <c r="AO62" s="77"/>
      <c r="AP62" s="77"/>
      <c r="AQ62" s="77"/>
      <c r="AR62" s="77"/>
      <c r="AS62" s="72"/>
      <c r="AT62" s="72"/>
      <c r="AU62" s="72"/>
      <c r="AV62" s="72"/>
    </row>
    <row r="63" spans="1:48" s="59" customFormat="1" x14ac:dyDescent="0.2">
      <c r="A63" s="77" t="s">
        <v>496</v>
      </c>
      <c r="B63" s="77" t="s">
        <v>874</v>
      </c>
      <c r="C63" s="77">
        <v>8</v>
      </c>
      <c r="D63" s="77">
        <v>1</v>
      </c>
      <c r="E63" s="77" t="s">
        <v>834</v>
      </c>
      <c r="F63" s="78">
        <v>43352</v>
      </c>
      <c r="G63" s="83" t="s">
        <v>4032</v>
      </c>
      <c r="H63" s="79">
        <v>0.10069444444444443</v>
      </c>
      <c r="I63" s="77" t="s">
        <v>483</v>
      </c>
      <c r="J63" s="77" t="s">
        <v>466</v>
      </c>
      <c r="K63" s="77" t="s">
        <v>111</v>
      </c>
      <c r="L63" s="77" t="s">
        <v>23</v>
      </c>
      <c r="M63" s="77">
        <v>0</v>
      </c>
      <c r="N63" s="77"/>
      <c r="O63" s="77">
        <v>2</v>
      </c>
      <c r="P63" s="77" t="s">
        <v>1618</v>
      </c>
      <c r="Q63" s="77" t="s">
        <v>2137</v>
      </c>
      <c r="R63" s="77" t="s">
        <v>3987</v>
      </c>
      <c r="S63" s="77" t="s">
        <v>1057</v>
      </c>
      <c r="T63" s="80" t="s">
        <v>23</v>
      </c>
      <c r="U63" s="80" t="s">
        <v>3999</v>
      </c>
      <c r="V63" s="80" t="s">
        <v>4005</v>
      </c>
      <c r="W63" s="77" t="s">
        <v>24</v>
      </c>
      <c r="X63" s="77" t="s">
        <v>24</v>
      </c>
      <c r="Y63" s="86">
        <v>20</v>
      </c>
      <c r="Z63" s="81">
        <v>63.739170000000001</v>
      </c>
      <c r="AA63" s="81">
        <v>148.90096</v>
      </c>
      <c r="AB63" s="62">
        <f t="shared" si="0"/>
        <v>212.64013</v>
      </c>
      <c r="AC63" s="87"/>
      <c r="AD63" s="87"/>
      <c r="AE63" s="77"/>
      <c r="AF63" s="77"/>
      <c r="AG63" s="77"/>
      <c r="AH63" s="87">
        <v>0</v>
      </c>
      <c r="AI63" s="87">
        <v>0</v>
      </c>
      <c r="AJ63" s="87">
        <v>0</v>
      </c>
      <c r="AK63" s="87">
        <v>0</v>
      </c>
      <c r="AL63" s="87">
        <v>0</v>
      </c>
      <c r="AM63" s="77">
        <v>0</v>
      </c>
      <c r="AN63" s="77">
        <v>0</v>
      </c>
      <c r="AO63" s="77"/>
      <c r="AP63" s="77"/>
      <c r="AQ63" s="77"/>
      <c r="AR63" s="77"/>
      <c r="AS63" s="72"/>
      <c r="AT63" s="72"/>
      <c r="AU63" s="72"/>
      <c r="AV63" s="72"/>
    </row>
    <row r="64" spans="1:48" s="59" customFormat="1" x14ac:dyDescent="0.2">
      <c r="A64" s="77" t="s">
        <v>496</v>
      </c>
      <c r="B64" s="77" t="s">
        <v>874</v>
      </c>
      <c r="C64" s="77">
        <v>8</v>
      </c>
      <c r="D64" s="77">
        <v>3</v>
      </c>
      <c r="E64" s="77" t="s">
        <v>834</v>
      </c>
      <c r="F64" s="78">
        <v>43352</v>
      </c>
      <c r="G64" s="83" t="s">
        <v>4032</v>
      </c>
      <c r="H64" s="79">
        <v>0.10069444444444443</v>
      </c>
      <c r="I64" s="77" t="s">
        <v>483</v>
      </c>
      <c r="J64" s="77" t="s">
        <v>466</v>
      </c>
      <c r="K64" s="77" t="s">
        <v>111</v>
      </c>
      <c r="L64" s="77" t="s">
        <v>23</v>
      </c>
      <c r="M64" s="77">
        <v>0</v>
      </c>
      <c r="N64" s="77"/>
      <c r="O64" s="77">
        <v>1</v>
      </c>
      <c r="P64" s="77" t="s">
        <v>1618</v>
      </c>
      <c r="Q64" s="77" t="s">
        <v>2137</v>
      </c>
      <c r="R64" s="77" t="s">
        <v>3987</v>
      </c>
      <c r="S64" s="77" t="s">
        <v>1057</v>
      </c>
      <c r="T64" s="80" t="s">
        <v>23</v>
      </c>
      <c r="U64" s="80" t="s">
        <v>3999</v>
      </c>
      <c r="V64" s="80" t="s">
        <v>4005</v>
      </c>
      <c r="W64" s="77" t="s">
        <v>24</v>
      </c>
      <c r="X64" s="77" t="s">
        <v>24</v>
      </c>
      <c r="Y64" s="86">
        <v>20</v>
      </c>
      <c r="Z64" s="81">
        <v>63.73921</v>
      </c>
      <c r="AA64" s="81">
        <v>148.90101999999999</v>
      </c>
      <c r="AB64" s="62">
        <f t="shared" si="0"/>
        <v>212.64022999999997</v>
      </c>
      <c r="AC64" s="87"/>
      <c r="AD64" s="87"/>
      <c r="AE64" s="77"/>
      <c r="AF64" s="77"/>
      <c r="AG64" s="77"/>
      <c r="AH64" s="87">
        <v>0</v>
      </c>
      <c r="AI64" s="87">
        <v>0</v>
      </c>
      <c r="AJ64" s="87">
        <v>0</v>
      </c>
      <c r="AK64" s="87">
        <v>0</v>
      </c>
      <c r="AL64" s="87">
        <v>0</v>
      </c>
      <c r="AM64" s="77">
        <v>0</v>
      </c>
      <c r="AN64" s="77">
        <v>0</v>
      </c>
      <c r="AO64" s="77"/>
      <c r="AP64" s="77"/>
      <c r="AQ64" s="77"/>
      <c r="AR64" s="77"/>
      <c r="AS64" s="72"/>
      <c r="AT64" s="72"/>
      <c r="AU64" s="72"/>
      <c r="AV64" s="72"/>
    </row>
    <row r="65" spans="1:48" s="59" customFormat="1" x14ac:dyDescent="0.2">
      <c r="A65" s="82" t="s">
        <v>530</v>
      </c>
      <c r="B65" s="82" t="s">
        <v>531</v>
      </c>
      <c r="C65" s="82">
        <v>5</v>
      </c>
      <c r="D65" s="82">
        <v>1</v>
      </c>
      <c r="E65" s="82" t="s">
        <v>521</v>
      </c>
      <c r="F65" s="83">
        <v>43352</v>
      </c>
      <c r="G65" s="83" t="s">
        <v>4032</v>
      </c>
      <c r="H65" s="84">
        <v>2.9861111111111113E-2</v>
      </c>
      <c r="I65" s="82" t="s">
        <v>483</v>
      </c>
      <c r="J65" s="82" t="s">
        <v>217</v>
      </c>
      <c r="K65" s="82" t="s">
        <v>187</v>
      </c>
      <c r="L65" s="82" t="s">
        <v>23</v>
      </c>
      <c r="M65" s="82">
        <v>1</v>
      </c>
      <c r="N65" s="82"/>
      <c r="O65" s="82">
        <v>1</v>
      </c>
      <c r="P65" s="77" t="s">
        <v>176</v>
      </c>
      <c r="Q65" s="82" t="s">
        <v>176</v>
      </c>
      <c r="R65" s="82" t="s">
        <v>122</v>
      </c>
      <c r="S65" s="77" t="s">
        <v>1035</v>
      </c>
      <c r="T65" s="82" t="s">
        <v>23</v>
      </c>
      <c r="U65" s="82" t="s">
        <v>3997</v>
      </c>
      <c r="V65" s="82" t="s">
        <v>4006</v>
      </c>
      <c r="W65" s="77" t="s">
        <v>24</v>
      </c>
      <c r="X65" s="77" t="s">
        <v>24</v>
      </c>
      <c r="Y65" s="82" t="s">
        <v>176</v>
      </c>
      <c r="Z65" s="85">
        <v>63.725580000000001</v>
      </c>
      <c r="AA65" s="85">
        <v>148.98072999999999</v>
      </c>
      <c r="AB65" s="62">
        <f t="shared" si="0"/>
        <v>212.70631</v>
      </c>
      <c r="AC65" s="88"/>
      <c r="AD65" s="88"/>
      <c r="AE65" s="77"/>
      <c r="AF65" s="77"/>
      <c r="AG65" s="77"/>
      <c r="AH65" s="88">
        <v>0</v>
      </c>
      <c r="AI65" s="88">
        <v>0</v>
      </c>
      <c r="AJ65" s="88">
        <v>0</v>
      </c>
      <c r="AK65" s="88">
        <v>0</v>
      </c>
      <c r="AL65" s="88">
        <v>11</v>
      </c>
      <c r="AM65" s="82">
        <v>0</v>
      </c>
      <c r="AN65" s="82">
        <v>11</v>
      </c>
      <c r="AO65" s="82"/>
      <c r="AP65" s="82"/>
      <c r="AQ65" s="82"/>
      <c r="AR65" s="82"/>
      <c r="AS65" s="77"/>
      <c r="AT65" s="77"/>
      <c r="AU65" s="77"/>
      <c r="AV65" s="77"/>
    </row>
    <row r="66" spans="1:48" s="59" customFormat="1" x14ac:dyDescent="0.2">
      <c r="A66" s="82" t="s">
        <v>527</v>
      </c>
      <c r="B66" s="82" t="s">
        <v>528</v>
      </c>
      <c r="C66" s="82">
        <v>4</v>
      </c>
      <c r="D66" s="82">
        <v>1</v>
      </c>
      <c r="E66" s="82" t="s">
        <v>521</v>
      </c>
      <c r="F66" s="83">
        <v>43352</v>
      </c>
      <c r="G66" s="83" t="s">
        <v>4032</v>
      </c>
      <c r="H66" s="84">
        <v>4.2361111111111106E-2</v>
      </c>
      <c r="I66" s="82" t="s">
        <v>483</v>
      </c>
      <c r="J66" s="82" t="s">
        <v>217</v>
      </c>
      <c r="K66" s="82" t="s">
        <v>187</v>
      </c>
      <c r="L66" s="82" t="s">
        <v>23</v>
      </c>
      <c r="M66" s="82">
        <v>1</v>
      </c>
      <c r="N66" s="82"/>
      <c r="O66" s="82">
        <v>1</v>
      </c>
      <c r="P66" s="77" t="s">
        <v>176</v>
      </c>
      <c r="Q66" s="82" t="s">
        <v>176</v>
      </c>
      <c r="R66" s="82" t="s">
        <v>122</v>
      </c>
      <c r="S66" s="77" t="s">
        <v>1035</v>
      </c>
      <c r="T66" s="82" t="s">
        <v>23</v>
      </c>
      <c r="U66" s="82" t="s">
        <v>3997</v>
      </c>
      <c r="V66" s="82" t="s">
        <v>4006</v>
      </c>
      <c r="W66" s="77" t="s">
        <v>24</v>
      </c>
      <c r="X66" s="77" t="s">
        <v>24</v>
      </c>
      <c r="Y66" s="82" t="s">
        <v>176</v>
      </c>
      <c r="Z66" s="85" t="s">
        <v>246</v>
      </c>
      <c r="AA66" s="85"/>
      <c r="AB66" s="62" t="e">
        <f t="shared" ref="AB66:AB129" si="1">Z66+AA66</f>
        <v>#VALUE!</v>
      </c>
      <c r="AC66" s="88"/>
      <c r="AD66" s="88"/>
      <c r="AE66" s="77"/>
      <c r="AF66" s="77"/>
      <c r="AG66" s="77"/>
      <c r="AH66" s="88">
        <v>0</v>
      </c>
      <c r="AI66" s="88">
        <v>0</v>
      </c>
      <c r="AJ66" s="88">
        <v>0</v>
      </c>
      <c r="AK66" s="88">
        <v>0</v>
      </c>
      <c r="AL66" s="88">
        <v>3</v>
      </c>
      <c r="AM66" s="82">
        <v>0</v>
      </c>
      <c r="AN66" s="82">
        <v>3</v>
      </c>
      <c r="AO66" s="82"/>
      <c r="AP66" s="82" t="s">
        <v>529</v>
      </c>
      <c r="AQ66" s="82"/>
      <c r="AR66" s="82"/>
      <c r="AS66" s="77"/>
      <c r="AT66" s="77"/>
      <c r="AU66" s="77"/>
      <c r="AV66" s="77"/>
    </row>
    <row r="67" spans="1:48" s="59" customFormat="1" x14ac:dyDescent="0.2">
      <c r="A67" s="77" t="s">
        <v>549</v>
      </c>
      <c r="B67" s="77" t="s">
        <v>550</v>
      </c>
      <c r="C67" s="77">
        <v>3</v>
      </c>
      <c r="D67" s="77">
        <v>2</v>
      </c>
      <c r="E67" s="77" t="s">
        <v>140</v>
      </c>
      <c r="F67" s="78">
        <v>43354</v>
      </c>
      <c r="G67" s="83" t="s">
        <v>4032</v>
      </c>
      <c r="H67" s="79">
        <v>3.8194444444444441E-2</v>
      </c>
      <c r="I67" s="77" t="s">
        <v>483</v>
      </c>
      <c r="J67" s="77" t="s">
        <v>548</v>
      </c>
      <c r="K67" s="77" t="s">
        <v>159</v>
      </c>
      <c r="L67" s="77" t="s">
        <v>23</v>
      </c>
      <c r="M67" s="77">
        <v>0</v>
      </c>
      <c r="N67" s="77"/>
      <c r="O67" s="77">
        <v>1</v>
      </c>
      <c r="P67" s="77" t="s">
        <v>14</v>
      </c>
      <c r="Q67" s="77" t="s">
        <v>2130</v>
      </c>
      <c r="R67" s="77" t="s">
        <v>122</v>
      </c>
      <c r="S67" s="77" t="s">
        <v>1035</v>
      </c>
      <c r="T67" s="82" t="s">
        <v>23</v>
      </c>
      <c r="U67" s="82" t="s">
        <v>3997</v>
      </c>
      <c r="V67" s="82" t="s">
        <v>4006</v>
      </c>
      <c r="W67" s="77" t="s">
        <v>24</v>
      </c>
      <c r="X67" s="77" t="s">
        <v>24</v>
      </c>
      <c r="Y67" s="77" t="s">
        <v>176</v>
      </c>
      <c r="Z67" s="81">
        <v>63.723739999999999</v>
      </c>
      <c r="AA67" s="81">
        <v>148.94995</v>
      </c>
      <c r="AB67" s="62">
        <f t="shared" si="1"/>
        <v>212.67368999999999</v>
      </c>
      <c r="AC67" s="87">
        <v>1</v>
      </c>
      <c r="AD67" s="87" t="s">
        <v>4765</v>
      </c>
      <c r="AE67" s="77"/>
      <c r="AF67" s="77"/>
      <c r="AG67" s="77"/>
      <c r="AH67" s="87">
        <v>0</v>
      </c>
      <c r="AI67" s="87">
        <v>0</v>
      </c>
      <c r="AJ67" s="87">
        <v>0</v>
      </c>
      <c r="AK67" s="87">
        <v>0</v>
      </c>
      <c r="AL67" s="87">
        <v>0</v>
      </c>
      <c r="AM67" s="77">
        <v>0</v>
      </c>
      <c r="AN67" s="77">
        <v>0</v>
      </c>
      <c r="AO67" s="77"/>
      <c r="AP67" s="77" t="s">
        <v>2071</v>
      </c>
      <c r="AQ67" s="77"/>
      <c r="AR67" s="77"/>
    </row>
    <row r="68" spans="1:48" s="59" customFormat="1" x14ac:dyDescent="0.2">
      <c r="A68" s="77" t="s">
        <v>549</v>
      </c>
      <c r="B68" s="77" t="s">
        <v>550</v>
      </c>
      <c r="C68" s="77">
        <v>3</v>
      </c>
      <c r="D68" s="77">
        <v>1</v>
      </c>
      <c r="E68" s="77" t="s">
        <v>140</v>
      </c>
      <c r="F68" s="78">
        <v>43354</v>
      </c>
      <c r="G68" s="83" t="s">
        <v>4032</v>
      </c>
      <c r="H68" s="79">
        <v>3.8194444444444441E-2</v>
      </c>
      <c r="I68" s="77" t="s">
        <v>483</v>
      </c>
      <c r="J68" s="77" t="s">
        <v>548</v>
      </c>
      <c r="K68" s="77" t="s">
        <v>159</v>
      </c>
      <c r="L68" s="77" t="s">
        <v>23</v>
      </c>
      <c r="M68" s="77">
        <v>0</v>
      </c>
      <c r="N68" s="77"/>
      <c r="O68" s="77">
        <v>1</v>
      </c>
      <c r="P68" s="77" t="s">
        <v>14</v>
      </c>
      <c r="Q68" s="77" t="s">
        <v>2130</v>
      </c>
      <c r="R68" s="77" t="s">
        <v>122</v>
      </c>
      <c r="S68" s="77" t="s">
        <v>333</v>
      </c>
      <c r="T68" s="82" t="s">
        <v>23</v>
      </c>
      <c r="U68" s="82" t="s">
        <v>3997</v>
      </c>
      <c r="V68" s="82" t="s">
        <v>4006</v>
      </c>
      <c r="W68" s="77" t="s">
        <v>24</v>
      </c>
      <c r="X68" s="77" t="s">
        <v>24</v>
      </c>
      <c r="Y68" s="77" t="s">
        <v>176</v>
      </c>
      <c r="Z68" s="81">
        <v>63.723739999999999</v>
      </c>
      <c r="AA68" s="81">
        <v>148.94995</v>
      </c>
      <c r="AB68" s="62">
        <f t="shared" si="1"/>
        <v>212.67368999999999</v>
      </c>
      <c r="AC68" s="87">
        <v>1</v>
      </c>
      <c r="AD68" s="87"/>
      <c r="AE68" s="77"/>
      <c r="AF68" s="77"/>
      <c r="AG68" s="77"/>
      <c r="AH68" s="87">
        <v>0</v>
      </c>
      <c r="AI68" s="87">
        <v>0</v>
      </c>
      <c r="AJ68" s="87">
        <v>0</v>
      </c>
      <c r="AK68" s="87">
        <v>0</v>
      </c>
      <c r="AL68" s="87">
        <v>0</v>
      </c>
      <c r="AM68" s="77">
        <v>0</v>
      </c>
      <c r="AN68" s="77">
        <v>0</v>
      </c>
      <c r="AO68" s="77"/>
      <c r="AP68" s="77" t="s">
        <v>552</v>
      </c>
      <c r="AQ68" s="77"/>
      <c r="AR68" s="77"/>
    </row>
    <row r="69" spans="1:48" s="59" customFormat="1" x14ac:dyDescent="0.2">
      <c r="A69" s="77" t="s">
        <v>570</v>
      </c>
      <c r="B69" s="77" t="s">
        <v>571</v>
      </c>
      <c r="C69" s="77">
        <v>6</v>
      </c>
      <c r="D69" s="77">
        <v>1</v>
      </c>
      <c r="E69" s="77" t="s">
        <v>10</v>
      </c>
      <c r="F69" s="78">
        <v>43354</v>
      </c>
      <c r="G69" s="83" t="s">
        <v>4032</v>
      </c>
      <c r="H69" s="79">
        <v>2.7083333333333334E-2</v>
      </c>
      <c r="I69" s="77" t="s">
        <v>483</v>
      </c>
      <c r="J69" s="77" t="s">
        <v>363</v>
      </c>
      <c r="K69" s="77" t="s">
        <v>111</v>
      </c>
      <c r="L69" s="77" t="s">
        <v>12</v>
      </c>
      <c r="M69" s="77">
        <v>0</v>
      </c>
      <c r="N69" s="77"/>
      <c r="O69" s="77">
        <v>1</v>
      </c>
      <c r="P69" s="77" t="s">
        <v>598</v>
      </c>
      <c r="Q69" s="77" t="s">
        <v>2108</v>
      </c>
      <c r="R69" s="77" t="s">
        <v>24</v>
      </c>
      <c r="S69" s="77" t="s">
        <v>2063</v>
      </c>
      <c r="T69" s="82" t="s">
        <v>12</v>
      </c>
      <c r="U69" s="82" t="s">
        <v>3997</v>
      </c>
      <c r="V69" s="82" t="s">
        <v>4001</v>
      </c>
      <c r="W69" s="77" t="s">
        <v>24</v>
      </c>
      <c r="X69" s="77" t="s">
        <v>24</v>
      </c>
      <c r="Y69" s="77" t="s">
        <v>176</v>
      </c>
      <c r="Z69" s="81">
        <v>63.735460000000003</v>
      </c>
      <c r="AA69" s="81">
        <v>148.89166</v>
      </c>
      <c r="AB69" s="62">
        <f t="shared" si="1"/>
        <v>212.62711999999999</v>
      </c>
      <c r="AC69" s="87"/>
      <c r="AD69" s="87"/>
      <c r="AE69" s="77"/>
      <c r="AF69" s="77"/>
      <c r="AG69" s="77"/>
      <c r="AH69" s="87">
        <v>0</v>
      </c>
      <c r="AI69" s="87">
        <v>0</v>
      </c>
      <c r="AJ69" s="87">
        <v>0</v>
      </c>
      <c r="AK69" s="87">
        <v>0</v>
      </c>
      <c r="AL69" s="87">
        <v>0</v>
      </c>
      <c r="AM69" s="77">
        <v>0</v>
      </c>
      <c r="AN69" s="77">
        <v>0</v>
      </c>
      <c r="AO69" s="77"/>
      <c r="AP69" s="77" t="s">
        <v>572</v>
      </c>
      <c r="AQ69" s="77"/>
      <c r="AR69" s="77"/>
    </row>
    <row r="70" spans="1:48" s="59" customFormat="1" x14ac:dyDescent="0.2">
      <c r="A70" s="77" t="s">
        <v>553</v>
      </c>
      <c r="B70" s="77" t="s">
        <v>554</v>
      </c>
      <c r="C70" s="77">
        <v>1</v>
      </c>
      <c r="D70" s="77">
        <v>1</v>
      </c>
      <c r="E70" s="77" t="s">
        <v>272</v>
      </c>
      <c r="F70" s="78">
        <v>43354</v>
      </c>
      <c r="G70" s="83" t="s">
        <v>4032</v>
      </c>
      <c r="H70" s="79">
        <v>3.125E-2</v>
      </c>
      <c r="I70" s="77" t="s">
        <v>483</v>
      </c>
      <c r="J70" s="77" t="s">
        <v>241</v>
      </c>
      <c r="K70" s="77" t="s">
        <v>102</v>
      </c>
      <c r="L70" s="77" t="s">
        <v>23</v>
      </c>
      <c r="M70" s="77">
        <v>1</v>
      </c>
      <c r="N70" s="77"/>
      <c r="O70" s="77">
        <v>1</v>
      </c>
      <c r="P70" s="77" t="s">
        <v>176</v>
      </c>
      <c r="Q70" s="77" t="s">
        <v>555</v>
      </c>
      <c r="R70" s="77" t="s">
        <v>501</v>
      </c>
      <c r="S70" s="77" t="s">
        <v>1035</v>
      </c>
      <c r="T70" s="80" t="s">
        <v>23</v>
      </c>
      <c r="U70" s="80" t="s">
        <v>3997</v>
      </c>
      <c r="V70" s="80" t="s">
        <v>4006</v>
      </c>
      <c r="W70" s="77" t="s">
        <v>24</v>
      </c>
      <c r="X70" s="77" t="s">
        <v>24</v>
      </c>
      <c r="Y70" s="77" t="s">
        <v>176</v>
      </c>
      <c r="Z70" s="81">
        <v>63.731929999999998</v>
      </c>
      <c r="AA70" s="81">
        <v>148.8989</v>
      </c>
      <c r="AB70" s="62">
        <f t="shared" si="1"/>
        <v>212.63083</v>
      </c>
      <c r="AC70" s="87"/>
      <c r="AD70" s="87"/>
      <c r="AE70" s="82"/>
      <c r="AF70" s="82"/>
      <c r="AG70" s="82"/>
      <c r="AH70" s="87">
        <v>0</v>
      </c>
      <c r="AI70" s="87">
        <v>0</v>
      </c>
      <c r="AJ70" s="87">
        <v>0</v>
      </c>
      <c r="AK70" s="87">
        <v>0</v>
      </c>
      <c r="AL70" s="87">
        <v>0</v>
      </c>
      <c r="AM70" s="77">
        <v>0</v>
      </c>
      <c r="AN70" s="77">
        <v>0</v>
      </c>
      <c r="AO70" s="77"/>
      <c r="AP70" s="77"/>
      <c r="AQ70" s="77"/>
      <c r="AR70" s="77"/>
    </row>
    <row r="71" spans="1:48" s="59" customFormat="1" x14ac:dyDescent="0.2">
      <c r="A71" s="77" t="s">
        <v>543</v>
      </c>
      <c r="B71" s="77" t="s">
        <v>545</v>
      </c>
      <c r="C71" s="77">
        <v>1</v>
      </c>
      <c r="D71" s="77">
        <v>1</v>
      </c>
      <c r="E71" s="77" t="s">
        <v>140</v>
      </c>
      <c r="F71" s="78">
        <v>43354</v>
      </c>
      <c r="G71" s="83" t="s">
        <v>4032</v>
      </c>
      <c r="H71" s="79">
        <v>5.5555555555555558E-3</v>
      </c>
      <c r="I71" s="77" t="s">
        <v>483</v>
      </c>
      <c r="J71" s="77" t="s">
        <v>24</v>
      </c>
      <c r="K71" s="77" t="s">
        <v>159</v>
      </c>
      <c r="L71" s="77" t="s">
        <v>23</v>
      </c>
      <c r="M71" s="77">
        <v>0</v>
      </c>
      <c r="N71" s="77"/>
      <c r="O71" s="77">
        <v>1</v>
      </c>
      <c r="P71" s="77" t="s">
        <v>176</v>
      </c>
      <c r="Q71" s="77" t="s">
        <v>176</v>
      </c>
      <c r="R71" s="77" t="s">
        <v>115</v>
      </c>
      <c r="S71" s="77" t="s">
        <v>2158</v>
      </c>
      <c r="T71" s="82" t="s">
        <v>23</v>
      </c>
      <c r="U71" s="82" t="s">
        <v>4004</v>
      </c>
      <c r="V71" s="82" t="s">
        <v>4005</v>
      </c>
      <c r="W71" s="77" t="s">
        <v>24</v>
      </c>
      <c r="X71" s="77" t="s">
        <v>24</v>
      </c>
      <c r="Y71" s="77" t="s">
        <v>176</v>
      </c>
      <c r="Z71" s="81">
        <v>63.723460000000003</v>
      </c>
      <c r="AA71" s="81">
        <v>148.94909999999999</v>
      </c>
      <c r="AB71" s="62">
        <f t="shared" si="1"/>
        <v>212.67255999999998</v>
      </c>
      <c r="AC71" s="87"/>
      <c r="AD71" s="87"/>
      <c r="AE71" s="77"/>
      <c r="AF71" s="77"/>
      <c r="AG71" s="77"/>
      <c r="AH71" s="87">
        <v>0</v>
      </c>
      <c r="AI71" s="87">
        <v>0</v>
      </c>
      <c r="AJ71" s="87">
        <v>0</v>
      </c>
      <c r="AK71" s="87">
        <v>0</v>
      </c>
      <c r="AL71" s="87">
        <v>0</v>
      </c>
      <c r="AM71" s="77">
        <v>0</v>
      </c>
      <c r="AN71" s="77">
        <v>0</v>
      </c>
      <c r="AO71" s="77"/>
      <c r="AP71" s="77"/>
      <c r="AQ71" s="77"/>
      <c r="AR71" s="77"/>
      <c r="AS71" s="82"/>
      <c r="AT71" s="82"/>
      <c r="AU71" s="82"/>
      <c r="AV71" s="82"/>
    </row>
    <row r="72" spans="1:48" s="59" customFormat="1" x14ac:dyDescent="0.2">
      <c r="A72" s="77" t="s">
        <v>538</v>
      </c>
      <c r="B72" s="77" t="s">
        <v>539</v>
      </c>
      <c r="C72" s="77">
        <v>4</v>
      </c>
      <c r="D72" s="77">
        <v>1</v>
      </c>
      <c r="E72" s="89" t="s">
        <v>201</v>
      </c>
      <c r="F72" s="90">
        <v>43354</v>
      </c>
      <c r="G72" s="83" t="s">
        <v>4032</v>
      </c>
      <c r="H72" s="79">
        <v>1.6666666666666666E-2</v>
      </c>
      <c r="I72" s="77" t="s">
        <v>483</v>
      </c>
      <c r="J72" s="77" t="s">
        <v>115</v>
      </c>
      <c r="K72" s="77" t="s">
        <v>159</v>
      </c>
      <c r="L72" s="77" t="s">
        <v>23</v>
      </c>
      <c r="M72" s="77">
        <v>0</v>
      </c>
      <c r="N72" s="77"/>
      <c r="O72" s="77">
        <v>1</v>
      </c>
      <c r="P72" s="77" t="s">
        <v>176</v>
      </c>
      <c r="Q72" s="77" t="s">
        <v>176</v>
      </c>
      <c r="R72" s="77" t="s">
        <v>115</v>
      </c>
      <c r="S72" s="77" t="s">
        <v>2061</v>
      </c>
      <c r="T72" s="80" t="s">
        <v>23</v>
      </c>
      <c r="U72" s="80" t="s">
        <v>3999</v>
      </c>
      <c r="V72" s="80" t="s">
        <v>4006</v>
      </c>
      <c r="W72" s="77" t="s">
        <v>24</v>
      </c>
      <c r="X72" s="77" t="s">
        <v>24</v>
      </c>
      <c r="Y72" s="77" t="s">
        <v>176</v>
      </c>
      <c r="Z72" s="81">
        <v>63.722520000000003</v>
      </c>
      <c r="AA72" s="81">
        <v>148.95984000000001</v>
      </c>
      <c r="AB72" s="62">
        <f t="shared" si="1"/>
        <v>212.68236000000002</v>
      </c>
      <c r="AC72" s="87"/>
      <c r="AD72" s="87"/>
      <c r="AE72" s="77"/>
      <c r="AF72" s="77"/>
      <c r="AG72" s="77"/>
      <c r="AH72" s="87">
        <v>0</v>
      </c>
      <c r="AI72" s="87">
        <v>0</v>
      </c>
      <c r="AJ72" s="87">
        <v>0</v>
      </c>
      <c r="AK72" s="87">
        <v>0</v>
      </c>
      <c r="AL72" s="87">
        <v>0</v>
      </c>
      <c r="AM72" s="77">
        <v>0</v>
      </c>
      <c r="AN72" s="77">
        <v>0</v>
      </c>
      <c r="AO72" s="77"/>
      <c r="AP72" s="77" t="s">
        <v>542</v>
      </c>
      <c r="AQ72" s="77"/>
      <c r="AR72" s="77"/>
      <c r="AS72" s="82"/>
      <c r="AT72" s="82"/>
      <c r="AU72" s="82"/>
      <c r="AV72" s="82"/>
    </row>
    <row r="73" spans="1:48" s="59" customFormat="1" x14ac:dyDescent="0.2">
      <c r="A73" s="77" t="s">
        <v>536</v>
      </c>
      <c r="B73" s="77" t="s">
        <v>537</v>
      </c>
      <c r="C73" s="77">
        <v>3</v>
      </c>
      <c r="D73" s="77">
        <v>1</v>
      </c>
      <c r="E73" s="89" t="s">
        <v>201</v>
      </c>
      <c r="F73" s="90">
        <v>43354</v>
      </c>
      <c r="G73" s="83" t="s">
        <v>4032</v>
      </c>
      <c r="H73" s="91">
        <v>8.1018518518518516E-5</v>
      </c>
      <c r="I73" s="77" t="s">
        <v>483</v>
      </c>
      <c r="J73" s="77" t="s">
        <v>24</v>
      </c>
      <c r="K73" s="77" t="s">
        <v>242</v>
      </c>
      <c r="L73" s="77" t="s">
        <v>23</v>
      </c>
      <c r="M73" s="77">
        <v>1</v>
      </c>
      <c r="N73" s="77"/>
      <c r="O73" s="77">
        <v>1</v>
      </c>
      <c r="P73" s="77" t="s">
        <v>176</v>
      </c>
      <c r="Q73" s="77" t="s">
        <v>176</v>
      </c>
      <c r="R73" s="77" t="s">
        <v>24</v>
      </c>
      <c r="S73" s="77" t="s">
        <v>540</v>
      </c>
      <c r="T73" s="80" t="s">
        <v>23</v>
      </c>
      <c r="U73" s="80" t="s">
        <v>3999</v>
      </c>
      <c r="V73" s="80" t="s">
        <v>4001</v>
      </c>
      <c r="W73" s="77" t="s">
        <v>24</v>
      </c>
      <c r="X73" s="77" t="s">
        <v>24</v>
      </c>
      <c r="Y73" s="77" t="s">
        <v>176</v>
      </c>
      <c r="Z73" s="81">
        <v>63.722499999999997</v>
      </c>
      <c r="AA73" s="81">
        <v>148.95992000000001</v>
      </c>
      <c r="AB73" s="62">
        <f t="shared" si="1"/>
        <v>212.68242000000001</v>
      </c>
      <c r="AC73" s="87"/>
      <c r="AD73" s="87"/>
      <c r="AE73" s="77"/>
      <c r="AF73" s="77"/>
      <c r="AG73" s="77"/>
      <c r="AH73" s="87">
        <v>0</v>
      </c>
      <c r="AI73" s="87">
        <v>0</v>
      </c>
      <c r="AJ73" s="87">
        <v>0</v>
      </c>
      <c r="AK73" s="87">
        <v>0</v>
      </c>
      <c r="AL73" s="87">
        <v>0</v>
      </c>
      <c r="AM73" s="77">
        <v>0</v>
      </c>
      <c r="AN73" s="77">
        <v>0</v>
      </c>
      <c r="AO73" s="77"/>
      <c r="AP73" s="77" t="s">
        <v>541</v>
      </c>
      <c r="AQ73" s="77"/>
      <c r="AR73" s="77"/>
      <c r="AS73" s="82"/>
      <c r="AT73" s="82"/>
      <c r="AU73" s="82"/>
      <c r="AV73" s="82"/>
    </row>
    <row r="74" spans="1:48" s="59" customFormat="1" x14ac:dyDescent="0.2">
      <c r="A74" s="77" t="s">
        <v>566</v>
      </c>
      <c r="B74" s="77" t="s">
        <v>567</v>
      </c>
      <c r="C74" s="77">
        <v>5</v>
      </c>
      <c r="D74" s="77">
        <v>2</v>
      </c>
      <c r="E74" s="77" t="s">
        <v>10</v>
      </c>
      <c r="F74" s="78">
        <v>43354</v>
      </c>
      <c r="G74" s="83" t="s">
        <v>4032</v>
      </c>
      <c r="H74" s="79">
        <v>2.013888888888889E-2</v>
      </c>
      <c r="I74" s="77" t="s">
        <v>483</v>
      </c>
      <c r="J74" s="77" t="s">
        <v>363</v>
      </c>
      <c r="K74" s="77" t="s">
        <v>568</v>
      </c>
      <c r="L74" s="77" t="s">
        <v>115</v>
      </c>
      <c r="M74" s="77">
        <v>1</v>
      </c>
      <c r="N74" s="77"/>
      <c r="O74" s="77">
        <v>1</v>
      </c>
      <c r="P74" s="77" t="s">
        <v>112</v>
      </c>
      <c r="Q74" s="77" t="s">
        <v>112</v>
      </c>
      <c r="R74" s="77" t="s">
        <v>122</v>
      </c>
      <c r="S74" s="77" t="s">
        <v>1035</v>
      </c>
      <c r="T74" s="82" t="s">
        <v>23</v>
      </c>
      <c r="U74" s="82" t="s">
        <v>3997</v>
      </c>
      <c r="V74" s="82" t="s">
        <v>4006</v>
      </c>
      <c r="W74" s="77" t="s">
        <v>24</v>
      </c>
      <c r="X74" s="77" t="s">
        <v>24</v>
      </c>
      <c r="Y74" s="77" t="s">
        <v>176</v>
      </c>
      <c r="Z74" s="81" t="s">
        <v>246</v>
      </c>
      <c r="AA74" s="81"/>
      <c r="AB74" s="62" t="e">
        <f t="shared" si="1"/>
        <v>#VALUE!</v>
      </c>
      <c r="AC74" s="87"/>
      <c r="AD74" s="87"/>
      <c r="AE74" s="77"/>
      <c r="AF74" s="77"/>
      <c r="AG74" s="77"/>
      <c r="AH74" s="87">
        <v>0</v>
      </c>
      <c r="AI74" s="87">
        <v>0</v>
      </c>
      <c r="AJ74" s="87">
        <v>0</v>
      </c>
      <c r="AK74" s="87">
        <v>0</v>
      </c>
      <c r="AL74" s="87">
        <v>0</v>
      </c>
      <c r="AM74" s="77">
        <v>0</v>
      </c>
      <c r="AN74" s="77">
        <v>0</v>
      </c>
      <c r="AO74" s="77"/>
      <c r="AP74" s="77" t="s">
        <v>569</v>
      </c>
      <c r="AQ74" s="77"/>
      <c r="AR74" s="77"/>
      <c r="AS74" s="77"/>
      <c r="AT74" s="77"/>
      <c r="AU74" s="77"/>
      <c r="AV74" s="77"/>
    </row>
    <row r="75" spans="1:48" s="59" customFormat="1" x14ac:dyDescent="0.2">
      <c r="A75" s="77" t="s">
        <v>556</v>
      </c>
      <c r="B75" s="77" t="s">
        <v>557</v>
      </c>
      <c r="C75" s="77">
        <v>1</v>
      </c>
      <c r="D75" s="77">
        <v>1</v>
      </c>
      <c r="E75" s="77" t="s">
        <v>10</v>
      </c>
      <c r="F75" s="78">
        <v>43354</v>
      </c>
      <c r="G75" s="83" t="s">
        <v>4032</v>
      </c>
      <c r="H75" s="79">
        <v>1.4583333333333332E-2</v>
      </c>
      <c r="I75" s="77" t="s">
        <v>483</v>
      </c>
      <c r="J75" s="77" t="s">
        <v>363</v>
      </c>
      <c r="K75" s="77" t="s">
        <v>159</v>
      </c>
      <c r="L75" s="77" t="s">
        <v>12</v>
      </c>
      <c r="M75" s="77">
        <v>0</v>
      </c>
      <c r="N75" s="77"/>
      <c r="O75" s="77">
        <v>1</v>
      </c>
      <c r="P75" s="77" t="s">
        <v>176</v>
      </c>
      <c r="Q75" s="77" t="s">
        <v>176</v>
      </c>
      <c r="R75" s="77" t="s">
        <v>24</v>
      </c>
      <c r="S75" s="77" t="s">
        <v>558</v>
      </c>
      <c r="T75" s="82" t="s">
        <v>12</v>
      </c>
      <c r="U75" s="82" t="s">
        <v>4004</v>
      </c>
      <c r="V75" s="82" t="s">
        <v>4008</v>
      </c>
      <c r="W75" s="77" t="s">
        <v>24</v>
      </c>
      <c r="X75" s="77" t="s">
        <v>24</v>
      </c>
      <c r="Y75" s="77" t="s">
        <v>24</v>
      </c>
      <c r="Z75" s="81" t="s">
        <v>246</v>
      </c>
      <c r="AA75" s="81"/>
      <c r="AB75" s="62" t="e">
        <f t="shared" si="1"/>
        <v>#VALUE!</v>
      </c>
      <c r="AC75" s="87"/>
      <c r="AD75" s="87"/>
      <c r="AE75" s="77"/>
      <c r="AF75" s="77"/>
      <c r="AG75" s="77"/>
      <c r="AH75" s="87">
        <v>0</v>
      </c>
      <c r="AI75" s="87">
        <v>0</v>
      </c>
      <c r="AJ75" s="87">
        <v>0</v>
      </c>
      <c r="AK75" s="87">
        <v>0</v>
      </c>
      <c r="AL75" s="87">
        <v>0</v>
      </c>
      <c r="AM75" s="77">
        <v>0</v>
      </c>
      <c r="AN75" s="77">
        <v>0</v>
      </c>
      <c r="AO75" s="77"/>
      <c r="AP75" s="77"/>
      <c r="AQ75" s="77"/>
      <c r="AR75" s="77"/>
      <c r="AS75" s="82"/>
      <c r="AT75" s="82"/>
      <c r="AU75" s="82"/>
      <c r="AV75" s="82"/>
    </row>
    <row r="76" spans="1:48" s="59" customFormat="1" x14ac:dyDescent="0.2">
      <c r="A76" s="77" t="s">
        <v>612</v>
      </c>
      <c r="B76" s="77" t="s">
        <v>613</v>
      </c>
      <c r="C76" s="77">
        <v>5</v>
      </c>
      <c r="D76" s="77">
        <v>1</v>
      </c>
      <c r="E76" s="77" t="s">
        <v>324</v>
      </c>
      <c r="F76" s="78">
        <v>43355</v>
      </c>
      <c r="G76" s="83" t="s">
        <v>4032</v>
      </c>
      <c r="H76" s="79">
        <v>7.4305555555555555E-2</v>
      </c>
      <c r="I76" s="77" t="s">
        <v>398</v>
      </c>
      <c r="J76" s="77" t="s">
        <v>325</v>
      </c>
      <c r="K76" s="77" t="s">
        <v>242</v>
      </c>
      <c r="L76" s="77" t="s">
        <v>23</v>
      </c>
      <c r="M76" s="77">
        <v>0</v>
      </c>
      <c r="N76" s="77"/>
      <c r="O76" s="77">
        <v>1</v>
      </c>
      <c r="P76" s="77" t="s">
        <v>176</v>
      </c>
      <c r="Q76" s="77" t="s">
        <v>176</v>
      </c>
      <c r="R76" s="77" t="s">
        <v>115</v>
      </c>
      <c r="S76" s="77" t="s">
        <v>3967</v>
      </c>
      <c r="T76" s="82" t="s">
        <v>23</v>
      </c>
      <c r="U76" s="82" t="s">
        <v>3999</v>
      </c>
      <c r="V76" s="82" t="s">
        <v>4001</v>
      </c>
      <c r="W76" s="77" t="s">
        <v>24</v>
      </c>
      <c r="X76" s="77" t="s">
        <v>24</v>
      </c>
      <c r="Y76" s="77" t="s">
        <v>24</v>
      </c>
      <c r="Z76" s="81">
        <v>63.72578</v>
      </c>
      <c r="AA76" s="81">
        <v>148.88998000000001</v>
      </c>
      <c r="AB76" s="62">
        <f t="shared" si="1"/>
        <v>212.61576000000002</v>
      </c>
      <c r="AC76" s="87"/>
      <c r="AD76" s="87"/>
      <c r="AE76" s="82"/>
      <c r="AF76" s="82"/>
      <c r="AG76" s="82"/>
      <c r="AH76" s="87">
        <v>0</v>
      </c>
      <c r="AI76" s="87">
        <v>0</v>
      </c>
      <c r="AJ76" s="87">
        <v>0</v>
      </c>
      <c r="AK76" s="87">
        <v>0</v>
      </c>
      <c r="AL76" s="87">
        <v>0</v>
      </c>
      <c r="AM76" s="77">
        <v>0</v>
      </c>
      <c r="AN76" s="77">
        <v>0</v>
      </c>
      <c r="AO76" s="77"/>
      <c r="AP76" s="77" t="s">
        <v>615</v>
      </c>
      <c r="AQ76" s="77"/>
      <c r="AR76" s="77"/>
    </row>
    <row r="77" spans="1:48" s="59" customFormat="1" x14ac:dyDescent="0.2">
      <c r="A77" s="82" t="s">
        <v>616</v>
      </c>
      <c r="B77" s="82" t="s">
        <v>617</v>
      </c>
      <c r="C77" s="82">
        <v>6</v>
      </c>
      <c r="D77" s="82">
        <v>1</v>
      </c>
      <c r="E77" s="82" t="s">
        <v>324</v>
      </c>
      <c r="F77" s="83">
        <v>43355</v>
      </c>
      <c r="G77" s="83" t="s">
        <v>4032</v>
      </c>
      <c r="H77" s="84">
        <v>2.8472222222222222E-2</v>
      </c>
      <c r="I77" s="82" t="s">
        <v>398</v>
      </c>
      <c r="J77" s="82" t="s">
        <v>325</v>
      </c>
      <c r="K77" s="82" t="s">
        <v>187</v>
      </c>
      <c r="L77" s="82" t="s">
        <v>23</v>
      </c>
      <c r="M77" s="82" t="s">
        <v>24</v>
      </c>
      <c r="N77" s="82"/>
      <c r="O77" s="82">
        <v>1</v>
      </c>
      <c r="P77" s="77" t="s">
        <v>176</v>
      </c>
      <c r="Q77" s="82" t="s">
        <v>176</v>
      </c>
      <c r="R77" s="82" t="s">
        <v>115</v>
      </c>
      <c r="S77" s="77" t="s">
        <v>2061</v>
      </c>
      <c r="T77" s="82" t="s">
        <v>23</v>
      </c>
      <c r="U77" s="82" t="s">
        <v>3999</v>
      </c>
      <c r="V77" s="82" t="s">
        <v>4006</v>
      </c>
      <c r="W77" s="77" t="s">
        <v>24</v>
      </c>
      <c r="X77" s="77" t="s">
        <v>24</v>
      </c>
      <c r="Y77" s="82" t="s">
        <v>24</v>
      </c>
      <c r="Z77" s="85">
        <v>63.725769999999997</v>
      </c>
      <c r="AA77" s="85">
        <v>148.89005</v>
      </c>
      <c r="AB77" s="62">
        <f t="shared" si="1"/>
        <v>212.61581999999999</v>
      </c>
      <c r="AC77" s="88"/>
      <c r="AD77" s="88"/>
      <c r="AE77" s="77"/>
      <c r="AF77" s="77"/>
      <c r="AG77" s="77"/>
      <c r="AH77" s="88">
        <v>0</v>
      </c>
      <c r="AI77" s="88">
        <v>0</v>
      </c>
      <c r="AJ77" s="88">
        <v>0</v>
      </c>
      <c r="AK77" s="88">
        <v>0</v>
      </c>
      <c r="AL77" s="88">
        <v>8</v>
      </c>
      <c r="AM77" s="82">
        <v>0</v>
      </c>
      <c r="AN77" s="82">
        <v>8</v>
      </c>
      <c r="AO77" s="82"/>
      <c r="AP77" s="82" t="s">
        <v>618</v>
      </c>
      <c r="AQ77" s="82"/>
      <c r="AR77" s="82"/>
    </row>
    <row r="78" spans="1:48" s="59" customFormat="1" x14ac:dyDescent="0.2">
      <c r="A78" s="77" t="s">
        <v>576</v>
      </c>
      <c r="B78" s="77" t="s">
        <v>577</v>
      </c>
      <c r="C78" s="77">
        <v>1</v>
      </c>
      <c r="D78" s="77">
        <v>1</v>
      </c>
      <c r="E78" s="77" t="s">
        <v>100</v>
      </c>
      <c r="F78" s="78">
        <v>43355</v>
      </c>
      <c r="G78" s="83" t="s">
        <v>4032</v>
      </c>
      <c r="H78" s="79">
        <v>3.1944444444444449E-2</v>
      </c>
      <c r="I78" s="77" t="s">
        <v>398</v>
      </c>
      <c r="J78" s="77" t="s">
        <v>578</v>
      </c>
      <c r="K78" s="77" t="s">
        <v>111</v>
      </c>
      <c r="L78" s="77" t="s">
        <v>23</v>
      </c>
      <c r="M78" s="77">
        <v>0</v>
      </c>
      <c r="N78" s="77"/>
      <c r="O78" s="77">
        <v>1</v>
      </c>
      <c r="P78" s="77" t="s">
        <v>176</v>
      </c>
      <c r="Q78" s="77" t="s">
        <v>176</v>
      </c>
      <c r="R78" s="77" t="s">
        <v>24</v>
      </c>
      <c r="S78" s="77" t="s">
        <v>1057</v>
      </c>
      <c r="T78" s="82" t="s">
        <v>23</v>
      </c>
      <c r="U78" s="82" t="s">
        <v>3999</v>
      </c>
      <c r="V78" s="82" t="s">
        <v>4005</v>
      </c>
      <c r="W78" s="77" t="s">
        <v>24</v>
      </c>
      <c r="X78" s="77" t="s">
        <v>24</v>
      </c>
      <c r="Y78" s="77" t="s">
        <v>176</v>
      </c>
      <c r="Z78" s="81">
        <v>63.740139999999997</v>
      </c>
      <c r="AA78" s="81">
        <v>148.90387000000001</v>
      </c>
      <c r="AB78" s="62">
        <f t="shared" si="1"/>
        <v>212.64401000000001</v>
      </c>
      <c r="AC78" s="87"/>
      <c r="AD78" s="87"/>
      <c r="AE78" s="77"/>
      <c r="AF78" s="77"/>
      <c r="AG78" s="77"/>
      <c r="AH78" s="87">
        <v>0</v>
      </c>
      <c r="AI78" s="87">
        <v>0</v>
      </c>
      <c r="AJ78" s="87">
        <v>0</v>
      </c>
      <c r="AK78" s="87">
        <v>0</v>
      </c>
      <c r="AL78" s="87">
        <v>0</v>
      </c>
      <c r="AM78" s="77">
        <v>0</v>
      </c>
      <c r="AN78" s="77">
        <v>0</v>
      </c>
      <c r="AO78" s="77"/>
      <c r="AP78" s="77" t="s">
        <v>580</v>
      </c>
      <c r="AQ78" s="77"/>
      <c r="AR78" s="77"/>
      <c r="AS78" s="77"/>
      <c r="AT78" s="77"/>
      <c r="AU78" s="77"/>
      <c r="AV78" s="77"/>
    </row>
    <row r="79" spans="1:48" s="59" customFormat="1" x14ac:dyDescent="0.2">
      <c r="A79" s="77" t="s">
        <v>624</v>
      </c>
      <c r="B79" s="77" t="s">
        <v>625</v>
      </c>
      <c r="C79" s="77">
        <v>3</v>
      </c>
      <c r="D79" s="77">
        <v>1</v>
      </c>
      <c r="E79" s="77" t="s">
        <v>138</v>
      </c>
      <c r="F79" s="78">
        <v>43355</v>
      </c>
      <c r="G79" s="83" t="s">
        <v>4032</v>
      </c>
      <c r="H79" s="79">
        <v>6.2499999999999995E-3</v>
      </c>
      <c r="I79" s="77" t="s">
        <v>398</v>
      </c>
      <c r="J79" s="77" t="s">
        <v>177</v>
      </c>
      <c r="K79" s="77" t="s">
        <v>111</v>
      </c>
      <c r="L79" s="77" t="s">
        <v>23</v>
      </c>
      <c r="M79" s="77">
        <v>0</v>
      </c>
      <c r="N79" s="77"/>
      <c r="O79" s="77">
        <v>1</v>
      </c>
      <c r="P79" s="77" t="s">
        <v>176</v>
      </c>
      <c r="Q79" s="77" t="s">
        <v>176</v>
      </c>
      <c r="R79" s="77" t="s">
        <v>115</v>
      </c>
      <c r="S79" s="77" t="s">
        <v>626</v>
      </c>
      <c r="T79" s="80" t="s">
        <v>23</v>
      </c>
      <c r="U79" s="77" t="s">
        <v>3999</v>
      </c>
      <c r="V79" s="77" t="s">
        <v>4001</v>
      </c>
      <c r="W79" s="77" t="s">
        <v>24</v>
      </c>
      <c r="X79" s="77" t="s">
        <v>24</v>
      </c>
      <c r="Y79" s="77" t="s">
        <v>176</v>
      </c>
      <c r="Z79" s="81">
        <v>63.725380000000001</v>
      </c>
      <c r="AA79" s="81">
        <v>148.95672999999999</v>
      </c>
      <c r="AB79" s="62">
        <f t="shared" si="1"/>
        <v>212.68210999999999</v>
      </c>
      <c r="AC79" s="87"/>
      <c r="AD79" s="87"/>
      <c r="AE79" s="77"/>
      <c r="AF79" s="77"/>
      <c r="AG79" s="77"/>
      <c r="AH79" s="87">
        <v>0</v>
      </c>
      <c r="AI79" s="87">
        <v>0</v>
      </c>
      <c r="AJ79" s="87">
        <v>0</v>
      </c>
      <c r="AK79" s="87">
        <v>0</v>
      </c>
      <c r="AL79" s="87">
        <v>0</v>
      </c>
      <c r="AM79" s="77">
        <v>0</v>
      </c>
      <c r="AN79" s="77">
        <v>0</v>
      </c>
      <c r="AO79" s="77"/>
      <c r="AP79" s="77" t="s">
        <v>627</v>
      </c>
      <c r="AQ79" s="77"/>
      <c r="AR79" s="77"/>
      <c r="AS79" s="77"/>
      <c r="AT79" s="77"/>
      <c r="AU79" s="77"/>
      <c r="AV79" s="77"/>
    </row>
    <row r="80" spans="1:48" s="59" customFormat="1" x14ac:dyDescent="0.2">
      <c r="A80" s="77" t="s">
        <v>635</v>
      </c>
      <c r="B80" s="77" t="s">
        <v>636</v>
      </c>
      <c r="C80" s="77">
        <v>8</v>
      </c>
      <c r="D80" s="77">
        <v>1</v>
      </c>
      <c r="E80" s="77" t="s">
        <v>138</v>
      </c>
      <c r="F80" s="78">
        <v>43355</v>
      </c>
      <c r="G80" s="83" t="s">
        <v>4032</v>
      </c>
      <c r="H80" s="79">
        <v>1.8055555555555557E-2</v>
      </c>
      <c r="I80" s="77" t="s">
        <v>398</v>
      </c>
      <c r="J80" s="77" t="s">
        <v>173</v>
      </c>
      <c r="K80" s="77" t="s">
        <v>111</v>
      </c>
      <c r="L80" s="77" t="s">
        <v>23</v>
      </c>
      <c r="M80" s="77">
        <v>1</v>
      </c>
      <c r="N80" s="77"/>
      <c r="O80" s="77">
        <v>1</v>
      </c>
      <c r="P80" s="77" t="s">
        <v>176</v>
      </c>
      <c r="Q80" s="77" t="s">
        <v>176</v>
      </c>
      <c r="R80" s="77" t="s">
        <v>333</v>
      </c>
      <c r="S80" s="77" t="s">
        <v>1035</v>
      </c>
      <c r="T80" s="82" t="s">
        <v>23</v>
      </c>
      <c r="U80" s="82" t="s">
        <v>3997</v>
      </c>
      <c r="V80" s="82" t="s">
        <v>4006</v>
      </c>
      <c r="W80" s="77" t="s">
        <v>24</v>
      </c>
      <c r="X80" s="77" t="s">
        <v>24</v>
      </c>
      <c r="Y80" s="77" t="s">
        <v>176</v>
      </c>
      <c r="Z80" s="81">
        <v>63.725990000000003</v>
      </c>
      <c r="AA80" s="81">
        <v>148.95717999999999</v>
      </c>
      <c r="AB80" s="62">
        <f t="shared" si="1"/>
        <v>212.68316999999999</v>
      </c>
      <c r="AC80" s="87"/>
      <c r="AD80" s="87"/>
      <c r="AE80" s="77"/>
      <c r="AF80" s="77"/>
      <c r="AG80" s="77"/>
      <c r="AH80" s="87">
        <v>0</v>
      </c>
      <c r="AI80" s="87">
        <v>0</v>
      </c>
      <c r="AJ80" s="87">
        <v>0</v>
      </c>
      <c r="AK80" s="87">
        <v>0</v>
      </c>
      <c r="AL80" s="87">
        <v>0</v>
      </c>
      <c r="AM80" s="77">
        <v>0</v>
      </c>
      <c r="AN80" s="77">
        <v>0</v>
      </c>
      <c r="AO80" s="77"/>
      <c r="AP80" s="77" t="s">
        <v>637</v>
      </c>
      <c r="AQ80" s="77"/>
      <c r="AR80" s="77"/>
      <c r="AS80" s="82"/>
      <c r="AT80" s="82"/>
      <c r="AU80" s="82"/>
      <c r="AV80" s="82"/>
    </row>
    <row r="81" spans="1:48" s="59" customFormat="1" x14ac:dyDescent="0.2">
      <c r="A81" s="77" t="s">
        <v>632</v>
      </c>
      <c r="B81" s="77" t="s">
        <v>633</v>
      </c>
      <c r="C81" s="77">
        <v>7</v>
      </c>
      <c r="D81" s="77">
        <v>1</v>
      </c>
      <c r="E81" s="77" t="s">
        <v>138</v>
      </c>
      <c r="F81" s="78">
        <v>43355</v>
      </c>
      <c r="G81" s="83" t="s">
        <v>4032</v>
      </c>
      <c r="H81" s="79">
        <v>1.3194444444444444E-2</v>
      </c>
      <c r="I81" s="77" t="s">
        <v>398</v>
      </c>
      <c r="J81" s="77" t="s">
        <v>177</v>
      </c>
      <c r="K81" s="77" t="s">
        <v>111</v>
      </c>
      <c r="L81" s="77" t="s">
        <v>23</v>
      </c>
      <c r="M81" s="77">
        <v>0</v>
      </c>
      <c r="N81" s="77"/>
      <c r="O81" s="77">
        <v>1</v>
      </c>
      <c r="P81" s="77" t="s">
        <v>14</v>
      </c>
      <c r="Q81" s="77" t="s">
        <v>14</v>
      </c>
      <c r="R81" s="77" t="s">
        <v>115</v>
      </c>
      <c r="S81" s="77" t="s">
        <v>487</v>
      </c>
      <c r="T81" s="80" t="s">
        <v>23</v>
      </c>
      <c r="U81" s="77" t="s">
        <v>3997</v>
      </c>
      <c r="V81" s="77" t="s">
        <v>4001</v>
      </c>
      <c r="W81" s="77" t="s">
        <v>24</v>
      </c>
      <c r="X81" s="77" t="s">
        <v>24</v>
      </c>
      <c r="Y81" s="77" t="s">
        <v>176</v>
      </c>
      <c r="Z81" s="81">
        <v>63.726410000000001</v>
      </c>
      <c r="AA81" s="81">
        <v>148.95836</v>
      </c>
      <c r="AB81" s="62">
        <f t="shared" si="1"/>
        <v>212.68477000000001</v>
      </c>
      <c r="AC81" s="87"/>
      <c r="AD81" s="87"/>
      <c r="AE81" s="77"/>
      <c r="AF81" s="77"/>
      <c r="AG81" s="77"/>
      <c r="AH81" s="87">
        <v>0</v>
      </c>
      <c r="AI81" s="87">
        <v>0</v>
      </c>
      <c r="AJ81" s="87">
        <v>0</v>
      </c>
      <c r="AK81" s="87">
        <v>0</v>
      </c>
      <c r="AL81" s="87">
        <v>0</v>
      </c>
      <c r="AM81" s="77">
        <v>0</v>
      </c>
      <c r="AN81" s="77">
        <v>0</v>
      </c>
      <c r="AO81" s="77"/>
      <c r="AP81" s="77"/>
      <c r="AQ81" s="77"/>
      <c r="AR81" s="77"/>
      <c r="AS81" s="77"/>
      <c r="AT81" s="77"/>
      <c r="AU81" s="77"/>
      <c r="AV81" s="77"/>
    </row>
    <row r="82" spans="1:48" s="59" customFormat="1" x14ac:dyDescent="0.2">
      <c r="A82" s="77" t="s">
        <v>630</v>
      </c>
      <c r="B82" s="77" t="s">
        <v>631</v>
      </c>
      <c r="C82" s="77">
        <v>5</v>
      </c>
      <c r="D82" s="77">
        <v>1</v>
      </c>
      <c r="E82" s="77" t="s">
        <v>138</v>
      </c>
      <c r="F82" s="78">
        <v>43355</v>
      </c>
      <c r="G82" s="83" t="s">
        <v>4032</v>
      </c>
      <c r="H82" s="79">
        <v>2.8472222222222222E-2</v>
      </c>
      <c r="I82" s="77" t="s">
        <v>398</v>
      </c>
      <c r="J82" s="77" t="s">
        <v>24</v>
      </c>
      <c r="K82" s="77" t="s">
        <v>107</v>
      </c>
      <c r="L82" s="77" t="s">
        <v>23</v>
      </c>
      <c r="M82" s="77">
        <v>1</v>
      </c>
      <c r="N82" s="77"/>
      <c r="O82" s="77">
        <v>1</v>
      </c>
      <c r="P82" s="77" t="s">
        <v>176</v>
      </c>
      <c r="Q82" s="77" t="s">
        <v>176</v>
      </c>
      <c r="R82" s="77" t="s">
        <v>24</v>
      </c>
      <c r="S82" s="77" t="s">
        <v>23</v>
      </c>
      <c r="T82" s="80" t="s">
        <v>23</v>
      </c>
      <c r="U82" s="80" t="s">
        <v>24</v>
      </c>
      <c r="V82" s="80" t="s">
        <v>24</v>
      </c>
      <c r="W82" s="77" t="s">
        <v>24</v>
      </c>
      <c r="X82" s="77" t="s">
        <v>24</v>
      </c>
      <c r="Y82" s="77" t="s">
        <v>176</v>
      </c>
      <c r="Z82" s="81">
        <v>63.726739999999999</v>
      </c>
      <c r="AA82" s="81">
        <v>148.95921000000001</v>
      </c>
      <c r="AB82" s="62">
        <f t="shared" si="1"/>
        <v>212.68595000000002</v>
      </c>
      <c r="AC82" s="87"/>
      <c r="AD82" s="87"/>
      <c r="AE82" s="82"/>
      <c r="AF82" s="82"/>
      <c r="AG82" s="82"/>
      <c r="AH82" s="87">
        <v>0</v>
      </c>
      <c r="AI82" s="87">
        <v>0</v>
      </c>
      <c r="AJ82" s="87">
        <v>0</v>
      </c>
      <c r="AK82" s="87">
        <v>0</v>
      </c>
      <c r="AL82" s="87">
        <v>0</v>
      </c>
      <c r="AM82" s="77">
        <v>0</v>
      </c>
      <c r="AN82" s="77">
        <v>0</v>
      </c>
      <c r="AO82" s="77"/>
      <c r="AP82" s="77" t="s">
        <v>634</v>
      </c>
      <c r="AQ82" s="77"/>
      <c r="AR82" s="77"/>
      <c r="AS82" s="77"/>
      <c r="AT82" s="77"/>
      <c r="AU82" s="77"/>
      <c r="AV82" s="77"/>
    </row>
    <row r="83" spans="1:48" s="59" customFormat="1" x14ac:dyDescent="0.2">
      <c r="A83" s="77" t="s">
        <v>609</v>
      </c>
      <c r="B83" s="77" t="s">
        <v>610</v>
      </c>
      <c r="C83" s="77">
        <v>4</v>
      </c>
      <c r="D83" s="77">
        <v>1</v>
      </c>
      <c r="E83" s="77" t="s">
        <v>324</v>
      </c>
      <c r="F83" s="78">
        <v>43355</v>
      </c>
      <c r="G83" s="83" t="s">
        <v>4032</v>
      </c>
      <c r="H83" s="79">
        <v>4.3750000000000004E-2</v>
      </c>
      <c r="I83" s="77" t="s">
        <v>398</v>
      </c>
      <c r="J83" s="77" t="s">
        <v>325</v>
      </c>
      <c r="K83" s="77" t="s">
        <v>187</v>
      </c>
      <c r="L83" s="77" t="s">
        <v>23</v>
      </c>
      <c r="M83" s="77">
        <v>1</v>
      </c>
      <c r="N83" s="77"/>
      <c r="O83" s="77">
        <v>1</v>
      </c>
      <c r="P83" s="77" t="s">
        <v>176</v>
      </c>
      <c r="Q83" s="77" t="s">
        <v>176</v>
      </c>
      <c r="R83" s="77" t="s">
        <v>501</v>
      </c>
      <c r="S83" s="77" t="s">
        <v>1035</v>
      </c>
      <c r="T83" s="82" t="s">
        <v>23</v>
      </c>
      <c r="U83" s="82" t="s">
        <v>3997</v>
      </c>
      <c r="V83" s="82" t="s">
        <v>4006</v>
      </c>
      <c r="W83" s="77" t="s">
        <v>24</v>
      </c>
      <c r="X83" s="77" t="s">
        <v>24</v>
      </c>
      <c r="Y83" s="77" t="s">
        <v>24</v>
      </c>
      <c r="Z83" s="81" t="s">
        <v>246</v>
      </c>
      <c r="AA83" s="81"/>
      <c r="AB83" s="62" t="e">
        <f t="shared" si="1"/>
        <v>#VALUE!</v>
      </c>
      <c r="AC83" s="87"/>
      <c r="AD83" s="87"/>
      <c r="AE83" s="77"/>
      <c r="AF83" s="77"/>
      <c r="AG83" s="77"/>
      <c r="AH83" s="87">
        <v>0</v>
      </c>
      <c r="AI83" s="87">
        <v>2</v>
      </c>
      <c r="AJ83" s="87">
        <v>0</v>
      </c>
      <c r="AK83" s="87">
        <v>2</v>
      </c>
      <c r="AL83" s="87">
        <v>0</v>
      </c>
      <c r="AM83" s="77">
        <v>0</v>
      </c>
      <c r="AN83" s="77">
        <v>2</v>
      </c>
      <c r="AO83" s="77"/>
      <c r="AP83" s="77" t="s">
        <v>611</v>
      </c>
      <c r="AQ83" s="77"/>
      <c r="AR83" s="77"/>
      <c r="AS83" s="77"/>
      <c r="AT83" s="77"/>
      <c r="AU83" s="77"/>
      <c r="AV83" s="77"/>
    </row>
    <row r="84" spans="1:48" s="59" customFormat="1" x14ac:dyDescent="0.2">
      <c r="A84" s="77" t="s">
        <v>673</v>
      </c>
      <c r="B84" s="77" t="s">
        <v>674</v>
      </c>
      <c r="C84" s="77">
        <v>2</v>
      </c>
      <c r="D84" s="77">
        <v>1</v>
      </c>
      <c r="E84" s="77" t="s">
        <v>10</v>
      </c>
      <c r="F84" s="78">
        <v>43357</v>
      </c>
      <c r="G84" s="83" t="s">
        <v>4032</v>
      </c>
      <c r="H84" s="79">
        <v>3.7499999999999999E-2</v>
      </c>
      <c r="I84" s="77" t="s">
        <v>640</v>
      </c>
      <c r="J84" s="77" t="s">
        <v>64</v>
      </c>
      <c r="K84" s="77" t="s">
        <v>102</v>
      </c>
      <c r="L84" s="77" t="s">
        <v>23</v>
      </c>
      <c r="M84" s="77">
        <v>1</v>
      </c>
      <c r="N84" s="77"/>
      <c r="O84" s="77">
        <v>3</v>
      </c>
      <c r="P84" s="77" t="s">
        <v>176</v>
      </c>
      <c r="Q84" s="77" t="s">
        <v>176</v>
      </c>
      <c r="R84" s="77" t="s">
        <v>3969</v>
      </c>
      <c r="S84" s="77" t="s">
        <v>676</v>
      </c>
      <c r="T84" s="80" t="s">
        <v>23</v>
      </c>
      <c r="U84" s="80" t="s">
        <v>3997</v>
      </c>
      <c r="V84" s="80" t="s">
        <v>4005</v>
      </c>
      <c r="W84" s="77" t="s">
        <v>24</v>
      </c>
      <c r="X84" s="77" t="s">
        <v>24</v>
      </c>
      <c r="Y84" s="77" t="s">
        <v>24</v>
      </c>
      <c r="Z84" s="81">
        <v>63.73272</v>
      </c>
      <c r="AA84" s="81">
        <v>148.89931999999999</v>
      </c>
      <c r="AB84" s="62">
        <f t="shared" si="1"/>
        <v>212.63203999999999</v>
      </c>
      <c r="AC84" s="87"/>
      <c r="AD84" s="87"/>
      <c r="AE84" s="77"/>
      <c r="AF84" s="77"/>
      <c r="AG84" s="77"/>
      <c r="AH84" s="87">
        <v>0</v>
      </c>
      <c r="AI84" s="87">
        <v>0</v>
      </c>
      <c r="AJ84" s="87">
        <v>0</v>
      </c>
      <c r="AK84" s="87">
        <v>0</v>
      </c>
      <c r="AL84" s="87">
        <v>0</v>
      </c>
      <c r="AM84" s="77">
        <v>0</v>
      </c>
      <c r="AN84" s="77">
        <v>0</v>
      </c>
      <c r="AO84" s="77"/>
      <c r="AP84" s="77"/>
      <c r="AQ84" s="77"/>
      <c r="AR84" s="77"/>
      <c r="AS84" s="68"/>
      <c r="AT84" s="68"/>
      <c r="AU84" s="68"/>
      <c r="AV84" s="68"/>
    </row>
    <row r="85" spans="1:48" s="59" customFormat="1" x14ac:dyDescent="0.2">
      <c r="A85" s="77" t="s">
        <v>679</v>
      </c>
      <c r="B85" s="77" t="s">
        <v>680</v>
      </c>
      <c r="C85" s="77">
        <v>4</v>
      </c>
      <c r="D85" s="77">
        <v>2</v>
      </c>
      <c r="E85" s="77" t="s">
        <v>10</v>
      </c>
      <c r="F85" s="78">
        <v>43357</v>
      </c>
      <c r="G85" s="83" t="s">
        <v>4032</v>
      </c>
      <c r="H85" s="79">
        <v>4.0972222222222222E-2</v>
      </c>
      <c r="I85" s="77" t="s">
        <v>640</v>
      </c>
      <c r="J85" s="77" t="s">
        <v>363</v>
      </c>
      <c r="K85" s="77" t="s">
        <v>242</v>
      </c>
      <c r="L85" s="77" t="s">
        <v>23</v>
      </c>
      <c r="M85" s="77">
        <v>0</v>
      </c>
      <c r="N85" s="77"/>
      <c r="O85" s="77">
        <v>1</v>
      </c>
      <c r="P85" s="77" t="s">
        <v>1618</v>
      </c>
      <c r="Q85" s="77" t="s">
        <v>1618</v>
      </c>
      <c r="R85" s="77" t="s">
        <v>24</v>
      </c>
      <c r="S85" s="77" t="s">
        <v>3963</v>
      </c>
      <c r="T85" s="82" t="s">
        <v>23</v>
      </c>
      <c r="U85" s="82" t="s">
        <v>3997</v>
      </c>
      <c r="V85" s="82" t="s">
        <v>4007</v>
      </c>
      <c r="W85" s="77" t="s">
        <v>24</v>
      </c>
      <c r="X85" s="77" t="s">
        <v>24</v>
      </c>
      <c r="Y85" s="77" t="s">
        <v>24</v>
      </c>
      <c r="Z85" s="81">
        <v>63.732930000000003</v>
      </c>
      <c r="AA85" s="81">
        <v>148.90075999999999</v>
      </c>
      <c r="AB85" s="62">
        <f t="shared" si="1"/>
        <v>212.63369</v>
      </c>
      <c r="AC85" s="87"/>
      <c r="AD85" s="87"/>
      <c r="AE85" s="77"/>
      <c r="AF85" s="77"/>
      <c r="AG85" s="77"/>
      <c r="AH85" s="87">
        <v>0</v>
      </c>
      <c r="AI85" s="87">
        <v>0</v>
      </c>
      <c r="AJ85" s="87">
        <v>0</v>
      </c>
      <c r="AK85" s="87">
        <v>0</v>
      </c>
      <c r="AL85" s="87">
        <v>0</v>
      </c>
      <c r="AM85" s="77">
        <v>0</v>
      </c>
      <c r="AN85" s="77">
        <v>0</v>
      </c>
      <c r="AO85" s="77"/>
      <c r="AP85" s="77"/>
      <c r="AQ85" s="77"/>
      <c r="AR85" s="77"/>
      <c r="AS85" s="72"/>
      <c r="AT85" s="72"/>
      <c r="AU85" s="72"/>
      <c r="AV85" s="72"/>
    </row>
    <row r="86" spans="1:48" s="59" customFormat="1" x14ac:dyDescent="0.2">
      <c r="A86" s="77" t="s">
        <v>679</v>
      </c>
      <c r="B86" s="77" t="s">
        <v>680</v>
      </c>
      <c r="C86" s="77">
        <v>4</v>
      </c>
      <c r="D86" s="77">
        <v>1</v>
      </c>
      <c r="E86" s="77" t="s">
        <v>10</v>
      </c>
      <c r="F86" s="78">
        <v>43357</v>
      </c>
      <c r="G86" s="83" t="s">
        <v>4032</v>
      </c>
      <c r="H86" s="79">
        <v>4.0972222222222222E-2</v>
      </c>
      <c r="I86" s="77" t="s">
        <v>640</v>
      </c>
      <c r="J86" s="77" t="s">
        <v>363</v>
      </c>
      <c r="K86" s="77" t="s">
        <v>242</v>
      </c>
      <c r="L86" s="77" t="s">
        <v>23</v>
      </c>
      <c r="M86" s="77">
        <v>1</v>
      </c>
      <c r="N86" s="77"/>
      <c r="O86" s="77">
        <v>2</v>
      </c>
      <c r="P86" s="77" t="s">
        <v>1618</v>
      </c>
      <c r="Q86" s="77" t="s">
        <v>1618</v>
      </c>
      <c r="R86" s="77" t="s">
        <v>24</v>
      </c>
      <c r="S86" s="77" t="s">
        <v>3963</v>
      </c>
      <c r="T86" s="80" t="s">
        <v>23</v>
      </c>
      <c r="U86" s="80" t="s">
        <v>3997</v>
      </c>
      <c r="V86" s="80" t="s">
        <v>4007</v>
      </c>
      <c r="W86" s="77" t="s">
        <v>24</v>
      </c>
      <c r="X86" s="77" t="s">
        <v>24</v>
      </c>
      <c r="Y86" s="77" t="s">
        <v>24</v>
      </c>
      <c r="Z86" s="81">
        <v>63.732939999999999</v>
      </c>
      <c r="AA86" s="81">
        <v>148.90082000000001</v>
      </c>
      <c r="AB86" s="62">
        <f t="shared" si="1"/>
        <v>212.63376</v>
      </c>
      <c r="AC86" s="87"/>
      <c r="AD86" s="87"/>
      <c r="AE86" s="77"/>
      <c r="AF86" s="77"/>
      <c r="AG86" s="77"/>
      <c r="AH86" s="87">
        <v>0</v>
      </c>
      <c r="AI86" s="87">
        <v>0</v>
      </c>
      <c r="AJ86" s="87">
        <v>0</v>
      </c>
      <c r="AK86" s="87">
        <v>0</v>
      </c>
      <c r="AL86" s="87">
        <v>0</v>
      </c>
      <c r="AM86" s="77">
        <v>0</v>
      </c>
      <c r="AN86" s="77">
        <v>0</v>
      </c>
      <c r="AO86" s="77"/>
      <c r="AP86" s="77"/>
      <c r="AQ86" s="77"/>
      <c r="AR86" s="77"/>
      <c r="AS86" s="72"/>
      <c r="AT86" s="72"/>
      <c r="AU86" s="72"/>
      <c r="AV86" s="72"/>
    </row>
    <row r="87" spans="1:48" s="59" customFormat="1" x14ac:dyDescent="0.2">
      <c r="A87" s="77" t="s">
        <v>666</v>
      </c>
      <c r="B87" s="77" t="s">
        <v>667</v>
      </c>
      <c r="C87" s="77">
        <v>2</v>
      </c>
      <c r="D87" s="77">
        <v>1</v>
      </c>
      <c r="E87" s="77" t="s">
        <v>140</v>
      </c>
      <c r="F87" s="78">
        <v>43357</v>
      </c>
      <c r="G87" s="83" t="s">
        <v>4032</v>
      </c>
      <c r="H87" s="79">
        <v>7.6388888888888886E-3</v>
      </c>
      <c r="I87" s="77" t="s">
        <v>640</v>
      </c>
      <c r="J87" s="77" t="s">
        <v>548</v>
      </c>
      <c r="K87" s="77" t="s">
        <v>111</v>
      </c>
      <c r="L87" s="77" t="s">
        <v>23</v>
      </c>
      <c r="M87" s="77">
        <v>0</v>
      </c>
      <c r="N87" s="77"/>
      <c r="O87" s="77">
        <v>1</v>
      </c>
      <c r="P87" s="77" t="s">
        <v>176</v>
      </c>
      <c r="Q87" s="77" t="s">
        <v>176</v>
      </c>
      <c r="R87" s="77" t="s">
        <v>115</v>
      </c>
      <c r="S87" s="77" t="s">
        <v>3965</v>
      </c>
      <c r="T87" s="82" t="s">
        <v>23</v>
      </c>
      <c r="U87" s="82" t="s">
        <v>3997</v>
      </c>
      <c r="V87" s="82" t="s">
        <v>4002</v>
      </c>
      <c r="W87" s="77" t="s">
        <v>24</v>
      </c>
      <c r="X87" s="77" t="s">
        <v>24</v>
      </c>
      <c r="Y87" s="77" t="s">
        <v>24</v>
      </c>
      <c r="Z87" s="81">
        <v>63.722520000000003</v>
      </c>
      <c r="AA87" s="81">
        <v>148.95232999999999</v>
      </c>
      <c r="AB87" s="62">
        <f t="shared" si="1"/>
        <v>212.67484999999999</v>
      </c>
      <c r="AC87" s="87"/>
      <c r="AD87" s="87"/>
      <c r="AE87" s="77"/>
      <c r="AF87" s="77"/>
      <c r="AG87" s="77"/>
      <c r="AH87" s="87">
        <v>0</v>
      </c>
      <c r="AI87" s="87">
        <v>0</v>
      </c>
      <c r="AJ87" s="87">
        <v>0</v>
      </c>
      <c r="AK87" s="87">
        <v>0</v>
      </c>
      <c r="AL87" s="87">
        <v>0</v>
      </c>
      <c r="AM87" s="77">
        <v>0</v>
      </c>
      <c r="AN87" s="77">
        <v>0</v>
      </c>
      <c r="AO87" s="77"/>
      <c r="AP87" s="77"/>
      <c r="AQ87" s="77"/>
      <c r="AR87" s="77"/>
      <c r="AS87" s="77"/>
      <c r="AT87" s="77"/>
      <c r="AU87" s="77"/>
      <c r="AV87" s="77"/>
    </row>
    <row r="88" spans="1:48" s="59" customFormat="1" x14ac:dyDescent="0.2">
      <c r="A88" s="77" t="s">
        <v>638</v>
      </c>
      <c r="B88" s="77" t="s">
        <v>639</v>
      </c>
      <c r="C88" s="77">
        <v>1</v>
      </c>
      <c r="D88" s="77">
        <v>1</v>
      </c>
      <c r="E88" s="77" t="s">
        <v>395</v>
      </c>
      <c r="F88" s="78">
        <v>43357</v>
      </c>
      <c r="G88" s="83" t="s">
        <v>4032</v>
      </c>
      <c r="H88" s="79">
        <v>3.4722222222222224E-2</v>
      </c>
      <c r="I88" s="77" t="s">
        <v>640</v>
      </c>
      <c r="J88" s="77" t="s">
        <v>2498</v>
      </c>
      <c r="K88" s="77" t="s">
        <v>111</v>
      </c>
      <c r="L88" s="77" t="s">
        <v>23</v>
      </c>
      <c r="M88" s="77">
        <v>1</v>
      </c>
      <c r="N88" s="77"/>
      <c r="O88" s="77">
        <v>2</v>
      </c>
      <c r="P88" s="77" t="s">
        <v>176</v>
      </c>
      <c r="Q88" s="77" t="s">
        <v>176</v>
      </c>
      <c r="R88" s="77" t="s">
        <v>641</v>
      </c>
      <c r="S88" s="77" t="s">
        <v>3985</v>
      </c>
      <c r="T88" s="80" t="s">
        <v>23</v>
      </c>
      <c r="U88" s="80" t="s">
        <v>3999</v>
      </c>
      <c r="V88" s="80" t="s">
        <v>4007</v>
      </c>
      <c r="W88" s="77" t="s">
        <v>24</v>
      </c>
      <c r="X88" s="77" t="s">
        <v>24</v>
      </c>
      <c r="Y88" s="77" t="s">
        <v>24</v>
      </c>
      <c r="Z88" s="81">
        <v>63.720970000000001</v>
      </c>
      <c r="AA88" s="81">
        <v>148.98309</v>
      </c>
      <c r="AB88" s="62">
        <f t="shared" si="1"/>
        <v>212.70406</v>
      </c>
      <c r="AC88" s="87"/>
      <c r="AD88" s="87"/>
      <c r="AE88" s="77"/>
      <c r="AF88" s="77"/>
      <c r="AG88" s="77"/>
      <c r="AH88" s="87">
        <v>0</v>
      </c>
      <c r="AI88" s="87">
        <v>0</v>
      </c>
      <c r="AJ88" s="87">
        <v>0</v>
      </c>
      <c r="AK88" s="87">
        <v>0</v>
      </c>
      <c r="AL88" s="87">
        <v>0</v>
      </c>
      <c r="AM88" s="77">
        <v>0</v>
      </c>
      <c r="AN88" s="77">
        <v>0</v>
      </c>
      <c r="AO88" s="77"/>
      <c r="AP88" s="77" t="s">
        <v>643</v>
      </c>
      <c r="AQ88" s="77"/>
      <c r="AR88" s="77"/>
      <c r="AS88" s="77"/>
      <c r="AT88" s="77"/>
      <c r="AU88" s="77"/>
      <c r="AV88" s="77"/>
    </row>
    <row r="89" spans="1:48" s="59" customFormat="1" x14ac:dyDescent="0.2">
      <c r="A89" s="77" t="s">
        <v>648</v>
      </c>
      <c r="B89" s="77" t="s">
        <v>649</v>
      </c>
      <c r="C89" s="77">
        <v>3</v>
      </c>
      <c r="D89" s="77">
        <v>1</v>
      </c>
      <c r="E89" s="77" t="s">
        <v>395</v>
      </c>
      <c r="F89" s="78">
        <v>43357</v>
      </c>
      <c r="G89" s="83" t="s">
        <v>4032</v>
      </c>
      <c r="H89" s="79">
        <v>1.8055555555555557E-2</v>
      </c>
      <c r="I89" s="77" t="s">
        <v>640</v>
      </c>
      <c r="J89" s="77" t="s">
        <v>2498</v>
      </c>
      <c r="K89" s="77" t="s">
        <v>111</v>
      </c>
      <c r="L89" s="77" t="s">
        <v>23</v>
      </c>
      <c r="M89" s="77">
        <v>0</v>
      </c>
      <c r="N89" s="77"/>
      <c r="O89" s="77">
        <v>1</v>
      </c>
      <c r="P89" s="77" t="s">
        <v>176</v>
      </c>
      <c r="Q89" s="77" t="s">
        <v>176</v>
      </c>
      <c r="R89" s="77" t="s">
        <v>115</v>
      </c>
      <c r="S89" s="77" t="s">
        <v>3963</v>
      </c>
      <c r="T89" s="82" t="s">
        <v>23</v>
      </c>
      <c r="U89" s="82" t="s">
        <v>3997</v>
      </c>
      <c r="V89" s="82" t="s">
        <v>4007</v>
      </c>
      <c r="W89" s="77" t="s">
        <v>24</v>
      </c>
      <c r="X89" s="77" t="s">
        <v>24</v>
      </c>
      <c r="Y89" s="77" t="s">
        <v>24</v>
      </c>
      <c r="Z89" s="81">
        <v>63.722270000000002</v>
      </c>
      <c r="AA89" s="81">
        <v>148.98532</v>
      </c>
      <c r="AB89" s="62">
        <f t="shared" si="1"/>
        <v>212.70759000000001</v>
      </c>
      <c r="AC89" s="87"/>
      <c r="AD89" s="87"/>
      <c r="AE89" s="77"/>
      <c r="AF89" s="77"/>
      <c r="AG89" s="77"/>
      <c r="AH89" s="87">
        <v>0</v>
      </c>
      <c r="AI89" s="87">
        <v>0</v>
      </c>
      <c r="AJ89" s="87">
        <v>0</v>
      </c>
      <c r="AK89" s="87">
        <v>0</v>
      </c>
      <c r="AL89" s="87">
        <v>0</v>
      </c>
      <c r="AM89" s="77">
        <v>0</v>
      </c>
      <c r="AN89" s="77">
        <v>0</v>
      </c>
      <c r="AO89" s="77"/>
      <c r="AP89" s="77"/>
      <c r="AQ89" s="77"/>
      <c r="AR89" s="77"/>
      <c r="AS89" s="77"/>
      <c r="AT89" s="77"/>
      <c r="AU89" s="77"/>
      <c r="AV89" s="77"/>
    </row>
    <row r="90" spans="1:48" s="59" customFormat="1" x14ac:dyDescent="0.2">
      <c r="A90" s="77" t="s">
        <v>647</v>
      </c>
      <c r="B90" s="77" t="s">
        <v>644</v>
      </c>
      <c r="C90" s="77">
        <v>2</v>
      </c>
      <c r="D90" s="77">
        <v>1</v>
      </c>
      <c r="E90" s="77" t="s">
        <v>395</v>
      </c>
      <c r="F90" s="78">
        <v>43357</v>
      </c>
      <c r="G90" s="83" t="s">
        <v>4032</v>
      </c>
      <c r="H90" s="79">
        <v>1.1111111111111112E-2</v>
      </c>
      <c r="I90" s="77" t="s">
        <v>640</v>
      </c>
      <c r="J90" s="77" t="s">
        <v>24</v>
      </c>
      <c r="K90" s="77" t="s">
        <v>111</v>
      </c>
      <c r="L90" s="77" t="s">
        <v>23</v>
      </c>
      <c r="M90" s="77">
        <v>0</v>
      </c>
      <c r="N90" s="77"/>
      <c r="O90" s="77">
        <v>1</v>
      </c>
      <c r="P90" s="77" t="s">
        <v>176</v>
      </c>
      <c r="Q90" s="77" t="s">
        <v>176</v>
      </c>
      <c r="R90" s="77" t="s">
        <v>115</v>
      </c>
      <c r="S90" s="77" t="s">
        <v>645</v>
      </c>
      <c r="T90" s="82" t="s">
        <v>23</v>
      </c>
      <c r="U90" s="82" t="s">
        <v>3999</v>
      </c>
      <c r="V90" s="82" t="s">
        <v>4006</v>
      </c>
      <c r="W90" s="77" t="s">
        <v>24</v>
      </c>
      <c r="X90" s="77" t="s">
        <v>24</v>
      </c>
      <c r="Y90" s="77" t="s">
        <v>24</v>
      </c>
      <c r="Z90" s="81" t="s">
        <v>246</v>
      </c>
      <c r="AA90" s="81"/>
      <c r="AB90" s="62" t="e">
        <f t="shared" si="1"/>
        <v>#VALUE!</v>
      </c>
      <c r="AC90" s="87"/>
      <c r="AD90" s="87"/>
      <c r="AE90" s="77"/>
      <c r="AF90" s="77"/>
      <c r="AG90" s="77"/>
      <c r="AH90" s="87">
        <v>0</v>
      </c>
      <c r="AI90" s="87">
        <v>0</v>
      </c>
      <c r="AJ90" s="87">
        <v>0</v>
      </c>
      <c r="AK90" s="87">
        <v>0</v>
      </c>
      <c r="AL90" s="87">
        <v>0</v>
      </c>
      <c r="AM90" s="77">
        <v>0</v>
      </c>
      <c r="AN90" s="77">
        <v>0</v>
      </c>
      <c r="AO90" s="77"/>
      <c r="AP90" s="77" t="s">
        <v>646</v>
      </c>
      <c r="AQ90" s="77"/>
      <c r="AR90" s="77"/>
      <c r="AS90" s="77"/>
      <c r="AT90" s="77"/>
      <c r="AU90" s="77"/>
      <c r="AV90" s="77"/>
    </row>
    <row r="91" spans="1:48" s="59" customFormat="1" x14ac:dyDescent="0.2">
      <c r="A91" s="77" t="s">
        <v>704</v>
      </c>
      <c r="B91" s="77" t="s">
        <v>705</v>
      </c>
      <c r="C91" s="77">
        <v>9</v>
      </c>
      <c r="D91" s="77">
        <v>1</v>
      </c>
      <c r="E91" s="77" t="s">
        <v>138</v>
      </c>
      <c r="F91" s="78">
        <v>43358</v>
      </c>
      <c r="G91" s="83" t="s">
        <v>4032</v>
      </c>
      <c r="H91" s="79">
        <v>3.888888888888889E-2</v>
      </c>
      <c r="I91" s="77" t="s">
        <v>640</v>
      </c>
      <c r="J91" s="77" t="s">
        <v>173</v>
      </c>
      <c r="K91" s="77" t="s">
        <v>187</v>
      </c>
      <c r="L91" s="77" t="s">
        <v>23</v>
      </c>
      <c r="M91" s="77">
        <v>3</v>
      </c>
      <c r="N91" s="77"/>
      <c r="O91" s="77">
        <v>1</v>
      </c>
      <c r="P91" s="77" t="s">
        <v>461</v>
      </c>
      <c r="Q91" s="77" t="s">
        <v>2125</v>
      </c>
      <c r="R91" s="77" t="s">
        <v>122</v>
      </c>
      <c r="S91" s="77" t="s">
        <v>1057</v>
      </c>
      <c r="T91" s="77" t="s">
        <v>23</v>
      </c>
      <c r="U91" s="77" t="s">
        <v>3999</v>
      </c>
      <c r="V91" s="77" t="s">
        <v>4003</v>
      </c>
      <c r="W91" s="77" t="s">
        <v>24</v>
      </c>
      <c r="X91" s="77" t="s">
        <v>24</v>
      </c>
      <c r="Y91" s="77">
        <v>2</v>
      </c>
      <c r="Z91" s="81">
        <v>63.724910000000001</v>
      </c>
      <c r="AA91" s="81">
        <v>148.95679000000001</v>
      </c>
      <c r="AB91" s="62">
        <f t="shared" si="1"/>
        <v>212.68170000000001</v>
      </c>
      <c r="AC91" s="87"/>
      <c r="AD91" s="87"/>
      <c r="AE91" s="77"/>
      <c r="AF91" s="77"/>
      <c r="AG91" s="77"/>
      <c r="AH91" s="87">
        <v>0</v>
      </c>
      <c r="AI91" s="87">
        <v>0</v>
      </c>
      <c r="AJ91" s="87">
        <v>0</v>
      </c>
      <c r="AK91" s="87">
        <v>0</v>
      </c>
      <c r="AL91" s="87">
        <v>0</v>
      </c>
      <c r="AM91" s="77">
        <v>0</v>
      </c>
      <c r="AN91" s="77">
        <v>0</v>
      </c>
      <c r="AO91" s="77"/>
      <c r="AP91" s="77"/>
      <c r="AQ91" s="77"/>
      <c r="AR91" s="77"/>
      <c r="AS91" s="77"/>
      <c r="AT91" s="77"/>
      <c r="AU91" s="77"/>
      <c r="AV91" s="77"/>
    </row>
    <row r="92" spans="1:48" s="59" customFormat="1" x14ac:dyDescent="0.2">
      <c r="A92" s="77" t="s">
        <v>699</v>
      </c>
      <c r="B92" s="77" t="s">
        <v>700</v>
      </c>
      <c r="C92" s="77">
        <v>6</v>
      </c>
      <c r="D92" s="77">
        <v>1</v>
      </c>
      <c r="E92" s="77" t="s">
        <v>138</v>
      </c>
      <c r="F92" s="78">
        <v>43358</v>
      </c>
      <c r="G92" s="83" t="s">
        <v>4032</v>
      </c>
      <c r="H92" s="79">
        <v>2.7777777777777779E-3</v>
      </c>
      <c r="I92" s="77" t="s">
        <v>640</v>
      </c>
      <c r="J92" s="77" t="s">
        <v>173</v>
      </c>
      <c r="K92" s="77" t="s">
        <v>111</v>
      </c>
      <c r="L92" s="77" t="s">
        <v>23</v>
      </c>
      <c r="M92" s="77">
        <v>0</v>
      </c>
      <c r="N92" s="77"/>
      <c r="O92" s="77">
        <v>1</v>
      </c>
      <c r="P92" s="77" t="s">
        <v>461</v>
      </c>
      <c r="Q92" s="77" t="s">
        <v>2125</v>
      </c>
      <c r="R92" s="77" t="s">
        <v>115</v>
      </c>
      <c r="S92" s="77" t="s">
        <v>645</v>
      </c>
      <c r="T92" s="80" t="s">
        <v>23</v>
      </c>
      <c r="U92" s="80" t="s">
        <v>3999</v>
      </c>
      <c r="V92" s="80" t="s">
        <v>4006</v>
      </c>
      <c r="W92" s="77" t="s">
        <v>24</v>
      </c>
      <c r="X92" s="77" t="s">
        <v>24</v>
      </c>
      <c r="Y92" s="77">
        <v>3</v>
      </c>
      <c r="Z92" s="81">
        <v>63.72486</v>
      </c>
      <c r="AA92" s="81">
        <v>148.95665</v>
      </c>
      <c r="AB92" s="62">
        <f t="shared" si="1"/>
        <v>212.68151</v>
      </c>
      <c r="AC92" s="87"/>
      <c r="AD92" s="87"/>
      <c r="AE92" s="77"/>
      <c r="AF92" s="77"/>
      <c r="AG92" s="77"/>
      <c r="AH92" s="87">
        <v>0</v>
      </c>
      <c r="AI92" s="87">
        <v>0</v>
      </c>
      <c r="AJ92" s="87">
        <v>0</v>
      </c>
      <c r="AK92" s="87">
        <v>0</v>
      </c>
      <c r="AL92" s="87">
        <v>0</v>
      </c>
      <c r="AM92" s="77">
        <v>0</v>
      </c>
      <c r="AN92" s="77">
        <v>0</v>
      </c>
      <c r="AO92" s="77"/>
      <c r="AP92" s="77"/>
      <c r="AQ92" s="77"/>
      <c r="AR92" s="77"/>
      <c r="AS92" s="82"/>
      <c r="AT92" s="82"/>
      <c r="AU92" s="82"/>
      <c r="AV92" s="82"/>
    </row>
    <row r="93" spans="1:48" s="59" customFormat="1" x14ac:dyDescent="0.2">
      <c r="A93" s="77" t="s">
        <v>693</v>
      </c>
      <c r="B93" s="77" t="s">
        <v>694</v>
      </c>
      <c r="C93" s="77">
        <v>3</v>
      </c>
      <c r="D93" s="77">
        <v>1</v>
      </c>
      <c r="E93" s="77" t="s">
        <v>138</v>
      </c>
      <c r="F93" s="78">
        <v>43358</v>
      </c>
      <c r="G93" s="83" t="s">
        <v>4032</v>
      </c>
      <c r="H93" s="79">
        <v>2.7083333333333334E-2</v>
      </c>
      <c r="I93" s="77" t="s">
        <v>640</v>
      </c>
      <c r="J93" s="77" t="s">
        <v>24</v>
      </c>
      <c r="K93" s="77" t="s">
        <v>102</v>
      </c>
      <c r="L93" s="77" t="s">
        <v>23</v>
      </c>
      <c r="M93" s="77">
        <v>1</v>
      </c>
      <c r="N93" s="77"/>
      <c r="O93" s="77">
        <v>1</v>
      </c>
      <c r="P93" s="77" t="s">
        <v>461</v>
      </c>
      <c r="Q93" s="77" t="s">
        <v>2125</v>
      </c>
      <c r="R93" s="77" t="s">
        <v>122</v>
      </c>
      <c r="S93" s="77" t="s">
        <v>1940</v>
      </c>
      <c r="T93" s="77" t="s">
        <v>23</v>
      </c>
      <c r="U93" s="77" t="s">
        <v>3999</v>
      </c>
      <c r="V93" s="77" t="s">
        <v>4001</v>
      </c>
      <c r="W93" s="77" t="s">
        <v>24</v>
      </c>
      <c r="X93" s="77" t="s">
        <v>24</v>
      </c>
      <c r="Y93" s="77">
        <v>17</v>
      </c>
      <c r="Z93" s="81">
        <v>63.72486</v>
      </c>
      <c r="AA93" s="81">
        <v>148.95638</v>
      </c>
      <c r="AB93" s="62">
        <f t="shared" si="1"/>
        <v>212.68124</v>
      </c>
      <c r="AC93" s="87"/>
      <c r="AD93" s="87"/>
      <c r="AE93" s="82"/>
      <c r="AF93" s="82"/>
      <c r="AG93" s="82"/>
      <c r="AH93" s="87">
        <v>0</v>
      </c>
      <c r="AI93" s="87">
        <v>0</v>
      </c>
      <c r="AJ93" s="87">
        <v>0</v>
      </c>
      <c r="AK93" s="87">
        <v>0</v>
      </c>
      <c r="AL93" s="87">
        <v>0</v>
      </c>
      <c r="AM93" s="77">
        <v>0</v>
      </c>
      <c r="AN93" s="77">
        <v>0</v>
      </c>
      <c r="AO93" s="77"/>
      <c r="AP93" s="77" t="s">
        <v>691</v>
      </c>
      <c r="AQ93" s="77"/>
      <c r="AR93" s="77"/>
      <c r="AS93" s="82"/>
      <c r="AT93" s="82"/>
      <c r="AU93" s="82"/>
      <c r="AV93" s="82"/>
    </row>
    <row r="94" spans="1:48" s="59" customFormat="1" x14ac:dyDescent="0.2">
      <c r="A94" s="77" t="s">
        <v>689</v>
      </c>
      <c r="B94" s="77" t="s">
        <v>690</v>
      </c>
      <c r="C94" s="77">
        <v>1</v>
      </c>
      <c r="D94" s="77">
        <v>1</v>
      </c>
      <c r="E94" s="77" t="s">
        <v>138</v>
      </c>
      <c r="F94" s="78">
        <v>43358</v>
      </c>
      <c r="G94" s="83" t="s">
        <v>4032</v>
      </c>
      <c r="H94" s="79">
        <v>9.0277777777777787E-3</v>
      </c>
      <c r="I94" s="77" t="s">
        <v>640</v>
      </c>
      <c r="J94" s="77" t="s">
        <v>173</v>
      </c>
      <c r="K94" s="77" t="s">
        <v>111</v>
      </c>
      <c r="L94" s="77" t="s">
        <v>23</v>
      </c>
      <c r="M94" s="77" t="s">
        <v>115</v>
      </c>
      <c r="N94" s="77"/>
      <c r="O94" s="77">
        <v>1</v>
      </c>
      <c r="P94" s="77" t="s">
        <v>461</v>
      </c>
      <c r="Q94" s="77" t="s">
        <v>2125</v>
      </c>
      <c r="R94" s="77" t="s">
        <v>115</v>
      </c>
      <c r="S94" s="77" t="s">
        <v>333</v>
      </c>
      <c r="T94" s="80" t="s">
        <v>23</v>
      </c>
      <c r="U94" s="80" t="s">
        <v>3999</v>
      </c>
      <c r="V94" s="80" t="s">
        <v>4006</v>
      </c>
      <c r="W94" s="77" t="s">
        <v>24</v>
      </c>
      <c r="X94" s="77" t="s">
        <v>24</v>
      </c>
      <c r="Y94" s="77">
        <v>19</v>
      </c>
      <c r="Z94" s="81">
        <v>63.724809999999998</v>
      </c>
      <c r="AA94" s="81">
        <v>148.95639</v>
      </c>
      <c r="AB94" s="62">
        <f t="shared" si="1"/>
        <v>212.68119999999999</v>
      </c>
      <c r="AC94" s="87"/>
      <c r="AD94" s="87"/>
      <c r="AE94" s="77"/>
      <c r="AF94" s="77"/>
      <c r="AG94" s="77"/>
      <c r="AH94" s="87">
        <v>0</v>
      </c>
      <c r="AI94" s="87">
        <v>0</v>
      </c>
      <c r="AJ94" s="87">
        <v>0</v>
      </c>
      <c r="AK94" s="87">
        <v>0</v>
      </c>
      <c r="AL94" s="87">
        <v>0</v>
      </c>
      <c r="AM94" s="77">
        <v>0</v>
      </c>
      <c r="AN94" s="77">
        <v>0</v>
      </c>
      <c r="AO94" s="77"/>
      <c r="AP94" s="77" t="s">
        <v>691</v>
      </c>
      <c r="AQ94" s="77"/>
      <c r="AR94" s="77"/>
      <c r="AS94" s="82"/>
      <c r="AT94" s="82"/>
      <c r="AU94" s="82"/>
      <c r="AV94" s="82"/>
    </row>
    <row r="95" spans="1:48" s="59" customFormat="1" x14ac:dyDescent="0.2">
      <c r="A95" s="77" t="s">
        <v>270</v>
      </c>
      <c r="B95" s="77"/>
      <c r="C95" s="77"/>
      <c r="D95" s="77"/>
      <c r="E95" s="77" t="s">
        <v>138</v>
      </c>
      <c r="F95" s="78">
        <v>43358</v>
      </c>
      <c r="G95" s="83" t="s">
        <v>4032</v>
      </c>
      <c r="H95" s="79"/>
      <c r="I95" s="77" t="s">
        <v>640</v>
      </c>
      <c r="J95" s="77" t="s">
        <v>24</v>
      </c>
      <c r="K95" s="77" t="s">
        <v>111</v>
      </c>
      <c r="L95" s="77" t="s">
        <v>23</v>
      </c>
      <c r="M95" s="77">
        <v>0</v>
      </c>
      <c r="N95" s="77"/>
      <c r="O95" s="77">
        <v>1</v>
      </c>
      <c r="P95" s="77" t="s">
        <v>461</v>
      </c>
      <c r="Q95" s="77" t="s">
        <v>2125</v>
      </c>
      <c r="R95" s="77" t="s">
        <v>115</v>
      </c>
      <c r="S95" s="77" t="s">
        <v>23</v>
      </c>
      <c r="T95" s="80" t="s">
        <v>23</v>
      </c>
      <c r="U95" s="80" t="s">
        <v>24</v>
      </c>
      <c r="V95" s="80" t="s">
        <v>24</v>
      </c>
      <c r="W95" s="77" t="s">
        <v>24</v>
      </c>
      <c r="X95" s="77" t="s">
        <v>24</v>
      </c>
      <c r="Y95" s="77">
        <v>28</v>
      </c>
      <c r="Z95" s="81">
        <v>63.725029999999997</v>
      </c>
      <c r="AA95" s="81">
        <v>148.95626999999999</v>
      </c>
      <c r="AB95" s="62">
        <f t="shared" si="1"/>
        <v>212.68129999999999</v>
      </c>
      <c r="AC95" s="87"/>
      <c r="AD95" s="87"/>
      <c r="AE95" s="82"/>
      <c r="AF95" s="82"/>
      <c r="AG95" s="82"/>
      <c r="AH95" s="87">
        <v>0</v>
      </c>
      <c r="AI95" s="87">
        <v>0</v>
      </c>
      <c r="AJ95" s="87">
        <v>0</v>
      </c>
      <c r="AK95" s="87">
        <v>0</v>
      </c>
      <c r="AL95" s="87">
        <v>0</v>
      </c>
      <c r="AM95" s="77">
        <v>0</v>
      </c>
      <c r="AN95" s="77">
        <v>0</v>
      </c>
      <c r="AO95" s="87"/>
      <c r="AP95" s="77" t="s">
        <v>706</v>
      </c>
      <c r="AQ95" s="77"/>
      <c r="AR95" s="77"/>
      <c r="AS95" s="77"/>
      <c r="AT95" s="77"/>
      <c r="AU95" s="77"/>
      <c r="AV95" s="77"/>
    </row>
    <row r="96" spans="1:48" s="59" customFormat="1" x14ac:dyDescent="0.2">
      <c r="A96" s="82" t="s">
        <v>687</v>
      </c>
      <c r="B96" s="82" t="s">
        <v>877</v>
      </c>
      <c r="C96" s="82">
        <v>3</v>
      </c>
      <c r="D96" s="82">
        <v>1</v>
      </c>
      <c r="E96" s="82" t="s">
        <v>834</v>
      </c>
      <c r="F96" s="83">
        <v>43358</v>
      </c>
      <c r="G96" s="83" t="s">
        <v>4032</v>
      </c>
      <c r="H96" s="84">
        <v>3.4027777777777775E-2</v>
      </c>
      <c r="I96" s="82" t="s">
        <v>640</v>
      </c>
      <c r="J96" s="82" t="s">
        <v>466</v>
      </c>
      <c r="K96" s="82" t="s">
        <v>102</v>
      </c>
      <c r="L96" s="82" t="s">
        <v>23</v>
      </c>
      <c r="M96" s="82">
        <v>2</v>
      </c>
      <c r="N96" s="82"/>
      <c r="O96" s="82">
        <v>1</v>
      </c>
      <c r="P96" s="77" t="s">
        <v>14</v>
      </c>
      <c r="Q96" s="82" t="s">
        <v>2128</v>
      </c>
      <c r="R96" s="82" t="s">
        <v>122</v>
      </c>
      <c r="S96" s="77" t="s">
        <v>2061</v>
      </c>
      <c r="T96" s="80" t="s">
        <v>23</v>
      </c>
      <c r="U96" s="80" t="s">
        <v>3999</v>
      </c>
      <c r="V96" s="80" t="s">
        <v>4006</v>
      </c>
      <c r="W96" s="77" t="s">
        <v>24</v>
      </c>
      <c r="X96" s="77" t="s">
        <v>24</v>
      </c>
      <c r="Y96" s="82" t="s">
        <v>176</v>
      </c>
      <c r="Z96" s="85">
        <v>63.738280000000003</v>
      </c>
      <c r="AA96" s="85">
        <v>148.89919</v>
      </c>
      <c r="AB96" s="62">
        <f t="shared" si="1"/>
        <v>212.63747000000001</v>
      </c>
      <c r="AC96" s="88"/>
      <c r="AD96" s="88"/>
      <c r="AE96" s="77"/>
      <c r="AF96" s="77"/>
      <c r="AG96" s="77"/>
      <c r="AH96" s="88">
        <v>0</v>
      </c>
      <c r="AI96" s="88">
        <v>0</v>
      </c>
      <c r="AJ96" s="88">
        <v>0</v>
      </c>
      <c r="AK96" s="88">
        <v>0</v>
      </c>
      <c r="AL96" s="88">
        <v>27</v>
      </c>
      <c r="AM96" s="82">
        <v>0</v>
      </c>
      <c r="AN96" s="82">
        <v>27</v>
      </c>
      <c r="AO96" s="82"/>
      <c r="AP96" s="82"/>
      <c r="AQ96" s="82"/>
      <c r="AR96" s="82"/>
      <c r="AS96" s="72"/>
      <c r="AT96" s="72"/>
      <c r="AU96" s="72"/>
      <c r="AV96" s="72"/>
    </row>
    <row r="97" spans="1:48" s="59" customFormat="1" x14ac:dyDescent="0.2">
      <c r="A97" s="82" t="s">
        <v>686</v>
      </c>
      <c r="B97" s="82" t="s">
        <v>876</v>
      </c>
      <c r="C97" s="82">
        <v>2</v>
      </c>
      <c r="D97" s="82">
        <v>1</v>
      </c>
      <c r="E97" s="82" t="s">
        <v>834</v>
      </c>
      <c r="F97" s="83">
        <v>43358</v>
      </c>
      <c r="G97" s="83" t="s">
        <v>4032</v>
      </c>
      <c r="H97" s="84">
        <v>1.3194444444444444E-2</v>
      </c>
      <c r="I97" s="82" t="s">
        <v>640</v>
      </c>
      <c r="J97" s="82" t="s">
        <v>466</v>
      </c>
      <c r="K97" s="82" t="s">
        <v>187</v>
      </c>
      <c r="L97" s="82" t="s">
        <v>23</v>
      </c>
      <c r="M97" s="82">
        <v>1</v>
      </c>
      <c r="N97" s="82"/>
      <c r="O97" s="82">
        <v>1</v>
      </c>
      <c r="P97" s="77" t="s">
        <v>14</v>
      </c>
      <c r="Q97" s="82" t="s">
        <v>2128</v>
      </c>
      <c r="R97" s="82" t="s">
        <v>122</v>
      </c>
      <c r="S97" s="77" t="s">
        <v>2061</v>
      </c>
      <c r="T97" s="80" t="s">
        <v>23</v>
      </c>
      <c r="U97" s="80" t="s">
        <v>3999</v>
      </c>
      <c r="V97" s="80" t="s">
        <v>4006</v>
      </c>
      <c r="W97" s="77" t="s">
        <v>24</v>
      </c>
      <c r="X97" s="77" t="s">
        <v>24</v>
      </c>
      <c r="Y97" s="82" t="s">
        <v>176</v>
      </c>
      <c r="Z97" s="85">
        <v>63.738860000000003</v>
      </c>
      <c r="AA97" s="85">
        <v>148.90303</v>
      </c>
      <c r="AB97" s="62">
        <f t="shared" si="1"/>
        <v>212.64188999999999</v>
      </c>
      <c r="AC97" s="88"/>
      <c r="AD97" s="88"/>
      <c r="AE97" s="82"/>
      <c r="AF97" s="82"/>
      <c r="AG97" s="82"/>
      <c r="AH97" s="88">
        <v>0</v>
      </c>
      <c r="AI97" s="88">
        <v>0</v>
      </c>
      <c r="AJ97" s="88">
        <v>0</v>
      </c>
      <c r="AK97" s="88">
        <v>0</v>
      </c>
      <c r="AL97" s="88">
        <v>5</v>
      </c>
      <c r="AM97" s="82">
        <v>0</v>
      </c>
      <c r="AN97" s="82">
        <v>5</v>
      </c>
      <c r="AO97" s="82"/>
      <c r="AP97" s="82"/>
      <c r="AQ97" s="82"/>
      <c r="AR97" s="82"/>
      <c r="AS97" s="77"/>
      <c r="AT97" s="77"/>
      <c r="AU97" s="77"/>
      <c r="AV97" s="77"/>
    </row>
    <row r="98" spans="1:48" s="59" customFormat="1" x14ac:dyDescent="0.2">
      <c r="A98" s="77" t="s">
        <v>684</v>
      </c>
      <c r="B98" s="77" t="s">
        <v>875</v>
      </c>
      <c r="C98" s="77">
        <v>1</v>
      </c>
      <c r="D98" s="77">
        <v>1</v>
      </c>
      <c r="E98" s="77" t="s">
        <v>834</v>
      </c>
      <c r="F98" s="78">
        <v>43358</v>
      </c>
      <c r="G98" s="83" t="s">
        <v>4032</v>
      </c>
      <c r="H98" s="79">
        <v>5.2083333333333336E-2</v>
      </c>
      <c r="I98" s="77" t="s">
        <v>640</v>
      </c>
      <c r="J98" s="77" t="s">
        <v>466</v>
      </c>
      <c r="K98" s="77" t="s">
        <v>111</v>
      </c>
      <c r="L98" s="77" t="s">
        <v>23</v>
      </c>
      <c r="M98" s="77">
        <v>0</v>
      </c>
      <c r="N98" s="77"/>
      <c r="O98" s="77">
        <v>1</v>
      </c>
      <c r="P98" s="77" t="s">
        <v>176</v>
      </c>
      <c r="Q98" s="77" t="s">
        <v>176</v>
      </c>
      <c r="R98" s="77" t="s">
        <v>115</v>
      </c>
      <c r="S98" s="77" t="s">
        <v>709</v>
      </c>
      <c r="T98" s="80" t="s">
        <v>23</v>
      </c>
      <c r="U98" s="80" t="s">
        <v>4004</v>
      </c>
      <c r="V98" s="80" t="s">
        <v>4005</v>
      </c>
      <c r="W98" s="77" t="s">
        <v>24</v>
      </c>
      <c r="X98" s="77" t="s">
        <v>24</v>
      </c>
      <c r="Y98" s="77" t="s">
        <v>176</v>
      </c>
      <c r="Z98" s="81">
        <v>63.738419999999998</v>
      </c>
      <c r="AA98" s="81">
        <v>148.90466000000001</v>
      </c>
      <c r="AB98" s="62">
        <f t="shared" si="1"/>
        <v>212.64308</v>
      </c>
      <c r="AC98" s="87"/>
      <c r="AD98" s="87"/>
      <c r="AE98" s="82"/>
      <c r="AF98" s="82"/>
      <c r="AG98" s="82"/>
      <c r="AH98" s="87">
        <v>0</v>
      </c>
      <c r="AI98" s="87">
        <v>0</v>
      </c>
      <c r="AJ98" s="87">
        <v>0</v>
      </c>
      <c r="AK98" s="87">
        <v>0</v>
      </c>
      <c r="AL98" s="87">
        <v>0</v>
      </c>
      <c r="AM98" s="77">
        <v>0</v>
      </c>
      <c r="AN98" s="77">
        <v>0</v>
      </c>
      <c r="AO98" s="87"/>
      <c r="AP98" s="77" t="s">
        <v>685</v>
      </c>
      <c r="AQ98" s="77"/>
      <c r="AR98" s="77"/>
      <c r="AS98" s="82"/>
      <c r="AT98" s="82"/>
      <c r="AU98" s="82"/>
      <c r="AV98" s="82"/>
    </row>
    <row r="99" spans="1:48" s="59" customFormat="1" x14ac:dyDescent="0.2">
      <c r="A99" s="77" t="s">
        <v>718</v>
      </c>
      <c r="B99" s="77" t="s">
        <v>719</v>
      </c>
      <c r="C99" s="77">
        <v>18</v>
      </c>
      <c r="D99" s="77">
        <v>1</v>
      </c>
      <c r="E99" s="77" t="s">
        <v>138</v>
      </c>
      <c r="F99" s="78">
        <v>43358</v>
      </c>
      <c r="G99" s="83" t="s">
        <v>4032</v>
      </c>
      <c r="H99" s="79">
        <v>3.9583333333333331E-2</v>
      </c>
      <c r="I99" s="77" t="s">
        <v>640</v>
      </c>
      <c r="J99" s="77" t="s">
        <v>177</v>
      </c>
      <c r="K99" s="77" t="s">
        <v>111</v>
      </c>
      <c r="L99" s="77" t="s">
        <v>23</v>
      </c>
      <c r="M99" s="77">
        <v>0</v>
      </c>
      <c r="N99" s="77"/>
      <c r="O99" s="77">
        <v>2</v>
      </c>
      <c r="P99" s="77" t="s">
        <v>176</v>
      </c>
      <c r="Q99" s="77" t="s">
        <v>176</v>
      </c>
      <c r="R99" s="77" t="s">
        <v>24</v>
      </c>
      <c r="S99" s="77" t="s">
        <v>3963</v>
      </c>
      <c r="T99" s="77" t="s">
        <v>23</v>
      </c>
      <c r="U99" s="77" t="s">
        <v>3997</v>
      </c>
      <c r="V99" s="77" t="s">
        <v>4007</v>
      </c>
      <c r="W99" s="77" t="s">
        <v>24</v>
      </c>
      <c r="X99" s="77" t="s">
        <v>24</v>
      </c>
      <c r="Y99" s="77" t="s">
        <v>24</v>
      </c>
      <c r="Z99" s="81">
        <v>63.725320000000004</v>
      </c>
      <c r="AA99" s="81">
        <v>148.95212000000001</v>
      </c>
      <c r="AB99" s="62">
        <f t="shared" si="1"/>
        <v>212.67744000000002</v>
      </c>
      <c r="AC99" s="87"/>
      <c r="AD99" s="87"/>
      <c r="AE99" s="77"/>
      <c r="AF99" s="77"/>
      <c r="AG99" s="77"/>
      <c r="AH99" s="87">
        <v>0</v>
      </c>
      <c r="AI99" s="87">
        <v>0</v>
      </c>
      <c r="AJ99" s="87">
        <v>0</v>
      </c>
      <c r="AK99" s="87">
        <v>0</v>
      </c>
      <c r="AL99" s="87">
        <v>0</v>
      </c>
      <c r="AM99" s="77">
        <v>0</v>
      </c>
      <c r="AN99" s="77">
        <v>0</v>
      </c>
      <c r="AO99" s="77"/>
      <c r="AP99" s="77"/>
      <c r="AQ99" s="77"/>
      <c r="AR99" s="77"/>
      <c r="AS99" s="77"/>
      <c r="AT99" s="77"/>
      <c r="AU99" s="77"/>
      <c r="AV99" s="77"/>
    </row>
    <row r="100" spans="1:48" s="59" customFormat="1" x14ac:dyDescent="0.2">
      <c r="A100" s="77" t="s">
        <v>720</v>
      </c>
      <c r="B100" s="77" t="s">
        <v>722</v>
      </c>
      <c r="C100" s="77">
        <v>20</v>
      </c>
      <c r="D100" s="77">
        <v>1</v>
      </c>
      <c r="E100" s="77" t="s">
        <v>138</v>
      </c>
      <c r="F100" s="78">
        <v>43358</v>
      </c>
      <c r="G100" s="83" t="s">
        <v>4032</v>
      </c>
      <c r="H100" s="79">
        <v>1.5277777777777777E-2</v>
      </c>
      <c r="I100" s="77" t="s">
        <v>640</v>
      </c>
      <c r="J100" s="77" t="s">
        <v>173</v>
      </c>
      <c r="K100" s="77" t="s">
        <v>111</v>
      </c>
      <c r="L100" s="77" t="s">
        <v>23</v>
      </c>
      <c r="M100" s="77">
        <v>0</v>
      </c>
      <c r="N100" s="77"/>
      <c r="O100" s="77">
        <v>1</v>
      </c>
      <c r="P100" s="77" t="s">
        <v>14</v>
      </c>
      <c r="Q100" s="77" t="s">
        <v>2128</v>
      </c>
      <c r="R100" s="77" t="s">
        <v>115</v>
      </c>
      <c r="S100" s="77" t="s">
        <v>723</v>
      </c>
      <c r="T100" s="80" t="s">
        <v>23</v>
      </c>
      <c r="U100" s="80" t="s">
        <v>3999</v>
      </c>
      <c r="V100" s="80" t="s">
        <v>4006</v>
      </c>
      <c r="W100" s="77" t="s">
        <v>24</v>
      </c>
      <c r="X100" s="77" t="s">
        <v>24</v>
      </c>
      <c r="Y100" s="77" t="s">
        <v>24</v>
      </c>
      <c r="Z100" s="81">
        <v>63.725749999999998</v>
      </c>
      <c r="AA100" s="81">
        <v>148.95331999999999</v>
      </c>
      <c r="AB100" s="62">
        <f t="shared" si="1"/>
        <v>212.67907</v>
      </c>
      <c r="AC100" s="87"/>
      <c r="AD100" s="87"/>
      <c r="AE100" s="77"/>
      <c r="AF100" s="77"/>
      <c r="AG100" s="77"/>
      <c r="AH100" s="87">
        <v>0</v>
      </c>
      <c r="AI100" s="87">
        <v>0</v>
      </c>
      <c r="AJ100" s="87">
        <v>0</v>
      </c>
      <c r="AK100" s="87">
        <v>0</v>
      </c>
      <c r="AL100" s="87">
        <v>0</v>
      </c>
      <c r="AM100" s="77">
        <v>0</v>
      </c>
      <c r="AN100" s="77">
        <v>0</v>
      </c>
      <c r="AO100" s="77"/>
      <c r="AP100" s="77"/>
      <c r="AQ100" s="77"/>
      <c r="AR100" s="77"/>
      <c r="AS100" s="82"/>
      <c r="AT100" s="82"/>
      <c r="AU100" s="82"/>
      <c r="AV100" s="82"/>
    </row>
    <row r="101" spans="1:48" s="59" customFormat="1" x14ac:dyDescent="0.2">
      <c r="A101" s="77" t="s">
        <v>707</v>
      </c>
      <c r="B101" s="77" t="s">
        <v>708</v>
      </c>
      <c r="C101" s="77">
        <v>10</v>
      </c>
      <c r="D101" s="77">
        <v>1</v>
      </c>
      <c r="E101" s="77" t="s">
        <v>138</v>
      </c>
      <c r="F101" s="78">
        <v>43358</v>
      </c>
      <c r="G101" s="83" t="s">
        <v>4032</v>
      </c>
      <c r="H101" s="79">
        <v>1.2499999999999999E-2</v>
      </c>
      <c r="I101" s="77" t="s">
        <v>640</v>
      </c>
      <c r="J101" s="77" t="s">
        <v>24</v>
      </c>
      <c r="K101" s="77" t="s">
        <v>111</v>
      </c>
      <c r="L101" s="77" t="s">
        <v>23</v>
      </c>
      <c r="M101" s="77">
        <v>0</v>
      </c>
      <c r="N101" s="77"/>
      <c r="O101" s="77">
        <v>1</v>
      </c>
      <c r="P101" s="77" t="s">
        <v>176</v>
      </c>
      <c r="Q101" s="77" t="s">
        <v>176</v>
      </c>
      <c r="R101" s="77" t="s">
        <v>24</v>
      </c>
      <c r="S101" s="77" t="s">
        <v>709</v>
      </c>
      <c r="T101" s="77" t="s">
        <v>23</v>
      </c>
      <c r="U101" s="77" t="s">
        <v>4004</v>
      </c>
      <c r="V101" s="77" t="s">
        <v>4005</v>
      </c>
      <c r="W101" s="77" t="s">
        <v>24</v>
      </c>
      <c r="X101" s="77" t="s">
        <v>24</v>
      </c>
      <c r="Y101" s="77" t="s">
        <v>24</v>
      </c>
      <c r="Z101" s="81">
        <v>63.72484</v>
      </c>
      <c r="AA101" s="81">
        <v>148.95616000000001</v>
      </c>
      <c r="AB101" s="62">
        <f t="shared" si="1"/>
        <v>212.68100000000001</v>
      </c>
      <c r="AC101" s="87"/>
      <c r="AD101" s="87"/>
      <c r="AE101" s="77"/>
      <c r="AF101" s="77"/>
      <c r="AG101" s="77"/>
      <c r="AH101" s="87">
        <v>0</v>
      </c>
      <c r="AI101" s="87">
        <v>0</v>
      </c>
      <c r="AJ101" s="87">
        <v>0</v>
      </c>
      <c r="AK101" s="87">
        <v>0</v>
      </c>
      <c r="AL101" s="87">
        <v>0</v>
      </c>
      <c r="AM101" s="77">
        <v>0</v>
      </c>
      <c r="AN101" s="77">
        <v>0</v>
      </c>
      <c r="AO101" s="77"/>
      <c r="AP101" s="77"/>
      <c r="AQ101" s="77"/>
      <c r="AR101" s="77"/>
      <c r="AS101" s="82"/>
      <c r="AT101" s="82"/>
      <c r="AU101" s="82"/>
      <c r="AV101" s="82"/>
    </row>
    <row r="102" spans="1:48" s="59" customFormat="1" x14ac:dyDescent="0.2">
      <c r="A102" s="77" t="s">
        <v>756</v>
      </c>
      <c r="B102" s="77" t="s">
        <v>757</v>
      </c>
      <c r="C102" s="77">
        <v>1</v>
      </c>
      <c r="D102" s="77">
        <v>1</v>
      </c>
      <c r="E102" s="77" t="s">
        <v>10</v>
      </c>
      <c r="F102" s="78">
        <v>43359</v>
      </c>
      <c r="G102" s="83" t="s">
        <v>4032</v>
      </c>
      <c r="H102" s="79">
        <v>3.2638888888888891E-2</v>
      </c>
      <c r="I102" s="77" t="s">
        <v>398</v>
      </c>
      <c r="J102" s="77" t="s">
        <v>64</v>
      </c>
      <c r="K102" s="77" t="s">
        <v>102</v>
      </c>
      <c r="L102" s="77" t="s">
        <v>23</v>
      </c>
      <c r="M102" s="77">
        <v>1</v>
      </c>
      <c r="N102" s="77"/>
      <c r="O102" s="77">
        <v>1</v>
      </c>
      <c r="P102" s="77" t="s">
        <v>1618</v>
      </c>
      <c r="Q102" s="77" t="s">
        <v>4011</v>
      </c>
      <c r="R102" s="77" t="s">
        <v>122</v>
      </c>
      <c r="S102" s="77" t="s">
        <v>4012</v>
      </c>
      <c r="T102" s="82" t="s">
        <v>23</v>
      </c>
      <c r="U102" s="82" t="s">
        <v>3999</v>
      </c>
      <c r="V102" s="82" t="s">
        <v>4006</v>
      </c>
      <c r="W102" s="77" t="s">
        <v>24</v>
      </c>
      <c r="X102" s="77" t="s">
        <v>24</v>
      </c>
      <c r="Y102" s="77" t="s">
        <v>176</v>
      </c>
      <c r="Z102" s="81">
        <v>63.732439999999997</v>
      </c>
      <c r="AA102" s="81">
        <v>148.89502999999999</v>
      </c>
      <c r="AB102" s="62">
        <f t="shared" si="1"/>
        <v>212.62746999999999</v>
      </c>
      <c r="AC102" s="87"/>
      <c r="AD102" s="87"/>
      <c r="AE102" s="77"/>
      <c r="AF102" s="77"/>
      <c r="AG102" s="77"/>
      <c r="AH102" s="87">
        <v>0</v>
      </c>
      <c r="AI102" s="87">
        <v>0</v>
      </c>
      <c r="AJ102" s="87">
        <v>0</v>
      </c>
      <c r="AK102" s="87">
        <v>0</v>
      </c>
      <c r="AL102" s="87">
        <v>0</v>
      </c>
      <c r="AM102" s="77">
        <v>0</v>
      </c>
      <c r="AN102" s="77">
        <v>0</v>
      </c>
      <c r="AO102" s="77"/>
      <c r="AP102" s="77" t="s">
        <v>759</v>
      </c>
      <c r="AQ102" s="77"/>
      <c r="AR102" s="77"/>
    </row>
    <row r="103" spans="1:48" s="59" customFormat="1" x14ac:dyDescent="0.2">
      <c r="A103" s="77" t="s">
        <v>751</v>
      </c>
      <c r="B103" s="77" t="s">
        <v>752</v>
      </c>
      <c r="C103" s="77">
        <v>2</v>
      </c>
      <c r="D103" s="77">
        <v>1</v>
      </c>
      <c r="E103" s="77" t="s">
        <v>272</v>
      </c>
      <c r="F103" s="78">
        <v>43359</v>
      </c>
      <c r="G103" s="83" t="s">
        <v>4032</v>
      </c>
      <c r="H103" s="79">
        <v>9.0277777777777787E-3</v>
      </c>
      <c r="I103" s="77" t="s">
        <v>398</v>
      </c>
      <c r="J103" s="77" t="s">
        <v>241</v>
      </c>
      <c r="K103" s="77" t="s">
        <v>242</v>
      </c>
      <c r="L103" s="77" t="s">
        <v>23</v>
      </c>
      <c r="M103" s="77">
        <v>1</v>
      </c>
      <c r="N103" s="77"/>
      <c r="O103" s="77">
        <v>1</v>
      </c>
      <c r="P103" s="77" t="s">
        <v>1618</v>
      </c>
      <c r="Q103" s="77" t="s">
        <v>2136</v>
      </c>
      <c r="R103" s="77" t="s">
        <v>750</v>
      </c>
      <c r="S103" s="77" t="s">
        <v>1035</v>
      </c>
      <c r="T103" s="80" t="s">
        <v>23</v>
      </c>
      <c r="U103" s="80" t="s">
        <v>3997</v>
      </c>
      <c r="V103" s="80" t="s">
        <v>4006</v>
      </c>
      <c r="W103" s="77" t="s">
        <v>24</v>
      </c>
      <c r="X103" s="77" t="s">
        <v>24</v>
      </c>
      <c r="Y103" s="77" t="s">
        <v>176</v>
      </c>
      <c r="Z103" s="81">
        <v>63.730119999999999</v>
      </c>
      <c r="AA103" s="81">
        <v>148.90195</v>
      </c>
      <c r="AB103" s="62">
        <f t="shared" si="1"/>
        <v>212.63207</v>
      </c>
      <c r="AC103" s="87"/>
      <c r="AD103" s="87"/>
      <c r="AE103" s="77"/>
      <c r="AF103" s="77"/>
      <c r="AG103" s="77"/>
      <c r="AH103" s="87">
        <v>0</v>
      </c>
      <c r="AI103" s="87">
        <v>0</v>
      </c>
      <c r="AJ103" s="87">
        <v>0</v>
      </c>
      <c r="AK103" s="87">
        <v>0</v>
      </c>
      <c r="AL103" s="87">
        <v>0</v>
      </c>
      <c r="AM103" s="77">
        <v>0</v>
      </c>
      <c r="AN103" s="77">
        <v>0</v>
      </c>
      <c r="AO103" s="77"/>
      <c r="AP103" s="77" t="s">
        <v>753</v>
      </c>
      <c r="AQ103" s="77"/>
      <c r="AR103" s="77"/>
      <c r="AS103" s="68"/>
      <c r="AT103" s="68"/>
      <c r="AU103" s="68"/>
      <c r="AV103" s="68"/>
    </row>
    <row r="104" spans="1:48" s="59" customFormat="1" x14ac:dyDescent="0.2">
      <c r="A104" s="77" t="s">
        <v>774</v>
      </c>
      <c r="B104" s="77" t="s">
        <v>775</v>
      </c>
      <c r="C104" s="77">
        <v>7</v>
      </c>
      <c r="D104" s="77">
        <v>1</v>
      </c>
      <c r="E104" s="77" t="s">
        <v>10</v>
      </c>
      <c r="F104" s="78">
        <v>43359</v>
      </c>
      <c r="G104" s="83" t="s">
        <v>4032</v>
      </c>
      <c r="H104" s="79">
        <v>1.8055555555555557E-2</v>
      </c>
      <c r="I104" s="77" t="s">
        <v>398</v>
      </c>
      <c r="J104" s="77" t="s">
        <v>363</v>
      </c>
      <c r="K104" s="77" t="s">
        <v>242</v>
      </c>
      <c r="L104" s="77" t="s">
        <v>23</v>
      </c>
      <c r="M104" s="77">
        <v>0</v>
      </c>
      <c r="N104" s="77"/>
      <c r="O104" s="77">
        <v>1</v>
      </c>
      <c r="P104" s="77" t="s">
        <v>1618</v>
      </c>
      <c r="Q104" s="77" t="s">
        <v>2132</v>
      </c>
      <c r="R104" s="77" t="s">
        <v>115</v>
      </c>
      <c r="S104" s="77" t="s">
        <v>776</v>
      </c>
      <c r="T104" s="82" t="s">
        <v>23</v>
      </c>
      <c r="U104" s="82" t="s">
        <v>24</v>
      </c>
      <c r="V104" s="82" t="s">
        <v>4008</v>
      </c>
      <c r="W104" s="77" t="s">
        <v>24</v>
      </c>
      <c r="X104" s="77" t="s">
        <v>24</v>
      </c>
      <c r="Y104" s="77" t="s">
        <v>176</v>
      </c>
      <c r="Z104" s="81">
        <v>63.733759999999997</v>
      </c>
      <c r="AA104" s="81">
        <v>148.89946</v>
      </c>
      <c r="AB104" s="62">
        <f t="shared" si="1"/>
        <v>212.63321999999999</v>
      </c>
      <c r="AC104" s="87"/>
      <c r="AD104" s="87"/>
      <c r="AE104" s="82"/>
      <c r="AF104" s="82"/>
      <c r="AG104" s="82"/>
      <c r="AH104" s="87">
        <v>0</v>
      </c>
      <c r="AI104" s="87">
        <v>0</v>
      </c>
      <c r="AJ104" s="87">
        <v>0</v>
      </c>
      <c r="AK104" s="87">
        <v>0</v>
      </c>
      <c r="AL104" s="87">
        <v>0</v>
      </c>
      <c r="AM104" s="77">
        <v>0</v>
      </c>
      <c r="AN104" s="77">
        <v>0</v>
      </c>
      <c r="AO104" s="77"/>
      <c r="AP104" s="77" t="s">
        <v>771</v>
      </c>
      <c r="AQ104" s="77"/>
      <c r="AR104" s="77"/>
      <c r="AS104" s="72"/>
      <c r="AT104" s="72"/>
      <c r="AU104" s="72"/>
      <c r="AV104" s="72"/>
    </row>
    <row r="105" spans="1:48" s="59" customFormat="1" x14ac:dyDescent="0.2">
      <c r="A105" s="77" t="s">
        <v>727</v>
      </c>
      <c r="B105" s="77" t="s">
        <v>728</v>
      </c>
      <c r="C105" s="77">
        <v>2</v>
      </c>
      <c r="D105" s="77">
        <v>1</v>
      </c>
      <c r="E105" s="77" t="s">
        <v>395</v>
      </c>
      <c r="F105" s="78">
        <v>43359</v>
      </c>
      <c r="G105" s="83" t="s">
        <v>4032</v>
      </c>
      <c r="H105" s="79">
        <v>1.9444444444444445E-2</v>
      </c>
      <c r="I105" s="77" t="s">
        <v>398</v>
      </c>
      <c r="J105" s="77" t="s">
        <v>2498</v>
      </c>
      <c r="K105" s="77" t="s">
        <v>187</v>
      </c>
      <c r="L105" s="77" t="s">
        <v>23</v>
      </c>
      <c r="M105" s="77">
        <v>1</v>
      </c>
      <c r="N105" s="77"/>
      <c r="O105" s="77">
        <v>1</v>
      </c>
      <c r="P105" s="77" t="s">
        <v>176</v>
      </c>
      <c r="Q105" s="77" t="s">
        <v>176</v>
      </c>
      <c r="R105" s="77" t="s">
        <v>501</v>
      </c>
      <c r="S105" s="77" t="s">
        <v>487</v>
      </c>
      <c r="T105" s="82" t="s">
        <v>23</v>
      </c>
      <c r="U105" s="82" t="s">
        <v>3997</v>
      </c>
      <c r="V105" s="82" t="s">
        <v>4001</v>
      </c>
      <c r="W105" s="77" t="s">
        <v>24</v>
      </c>
      <c r="X105" s="77" t="s">
        <v>24</v>
      </c>
      <c r="Y105" s="77" t="s">
        <v>176</v>
      </c>
      <c r="Z105" s="81">
        <v>63.722729999999999</v>
      </c>
      <c r="AA105" s="81">
        <v>148.98305999999999</v>
      </c>
      <c r="AB105" s="62">
        <f t="shared" si="1"/>
        <v>212.70578999999998</v>
      </c>
      <c r="AC105" s="87"/>
      <c r="AD105" s="87"/>
      <c r="AE105" s="77"/>
      <c r="AF105" s="77"/>
      <c r="AG105" s="77"/>
      <c r="AH105" s="87">
        <v>0</v>
      </c>
      <c r="AI105" s="87">
        <v>0</v>
      </c>
      <c r="AJ105" s="87">
        <v>0</v>
      </c>
      <c r="AK105" s="87">
        <v>0</v>
      </c>
      <c r="AL105" s="87">
        <v>0</v>
      </c>
      <c r="AM105" s="77">
        <v>0</v>
      </c>
      <c r="AN105" s="77">
        <v>0</v>
      </c>
      <c r="AO105" s="77"/>
      <c r="AP105" s="77" t="s">
        <v>729</v>
      </c>
      <c r="AQ105" s="77"/>
      <c r="AR105" s="77"/>
      <c r="AS105" s="77"/>
      <c r="AT105" s="77"/>
      <c r="AU105" s="77"/>
      <c r="AV105" s="77"/>
    </row>
    <row r="106" spans="1:48" s="59" customFormat="1" x14ac:dyDescent="0.2">
      <c r="A106" s="77" t="s">
        <v>739</v>
      </c>
      <c r="B106" s="77" t="s">
        <v>733</v>
      </c>
      <c r="C106" s="77">
        <v>4</v>
      </c>
      <c r="D106" s="77">
        <v>1</v>
      </c>
      <c r="E106" s="77" t="s">
        <v>395</v>
      </c>
      <c r="F106" s="78">
        <v>43359</v>
      </c>
      <c r="G106" s="83" t="s">
        <v>4032</v>
      </c>
      <c r="H106" s="79">
        <v>2.1527777777777781E-2</v>
      </c>
      <c r="I106" s="77" t="s">
        <v>398</v>
      </c>
      <c r="J106" s="77" t="s">
        <v>2498</v>
      </c>
      <c r="K106" s="77" t="s">
        <v>187</v>
      </c>
      <c r="L106" s="77" t="s">
        <v>23</v>
      </c>
      <c r="M106" s="77">
        <v>0</v>
      </c>
      <c r="N106" s="77"/>
      <c r="O106" s="77">
        <v>1</v>
      </c>
      <c r="P106" s="77" t="s">
        <v>176</v>
      </c>
      <c r="Q106" s="77" t="s">
        <v>176</v>
      </c>
      <c r="R106" s="77" t="s">
        <v>24</v>
      </c>
      <c r="S106" s="77" t="s">
        <v>1057</v>
      </c>
      <c r="T106" s="82" t="s">
        <v>23</v>
      </c>
      <c r="U106" s="82" t="s">
        <v>3999</v>
      </c>
      <c r="V106" s="82" t="s">
        <v>4005</v>
      </c>
      <c r="W106" s="77" t="s">
        <v>24</v>
      </c>
      <c r="X106" s="77" t="s">
        <v>24</v>
      </c>
      <c r="Y106" s="77" t="s">
        <v>176</v>
      </c>
      <c r="Z106" s="81">
        <v>63.721499999999999</v>
      </c>
      <c r="AA106" s="81">
        <v>148.98752999999999</v>
      </c>
      <c r="AB106" s="62">
        <f t="shared" si="1"/>
        <v>212.70902999999998</v>
      </c>
      <c r="AC106" s="87"/>
      <c r="AD106" s="87"/>
      <c r="AE106" s="77"/>
      <c r="AF106" s="77"/>
      <c r="AG106" s="77"/>
      <c r="AH106" s="87">
        <v>23</v>
      </c>
      <c r="AI106" s="87">
        <v>0</v>
      </c>
      <c r="AJ106" s="87">
        <v>23</v>
      </c>
      <c r="AK106" s="87">
        <v>0</v>
      </c>
      <c r="AL106" s="87">
        <v>0</v>
      </c>
      <c r="AM106" s="77">
        <v>0</v>
      </c>
      <c r="AN106" s="77">
        <v>23</v>
      </c>
      <c r="AO106" s="77"/>
      <c r="AP106" s="77" t="s">
        <v>740</v>
      </c>
      <c r="AQ106" s="77"/>
      <c r="AR106" s="77"/>
      <c r="AS106" s="77"/>
      <c r="AT106" s="77"/>
      <c r="AU106" s="77"/>
      <c r="AV106" s="77"/>
    </row>
    <row r="107" spans="1:48" s="59" customFormat="1" x14ac:dyDescent="0.2">
      <c r="A107" s="77" t="s">
        <v>730</v>
      </c>
      <c r="B107" s="77" t="s">
        <v>731</v>
      </c>
      <c r="C107" s="77">
        <v>3</v>
      </c>
      <c r="D107" s="77">
        <v>1</v>
      </c>
      <c r="E107" s="77" t="s">
        <v>395</v>
      </c>
      <c r="F107" s="78">
        <v>43359</v>
      </c>
      <c r="G107" s="83" t="s">
        <v>4032</v>
      </c>
      <c r="H107" s="79">
        <v>1.0416666666666666E-2</v>
      </c>
      <c r="I107" s="77" t="s">
        <v>398</v>
      </c>
      <c r="J107" s="77" t="s">
        <v>24</v>
      </c>
      <c r="K107" s="77" t="s">
        <v>187</v>
      </c>
      <c r="L107" s="77" t="s">
        <v>23</v>
      </c>
      <c r="M107" s="77">
        <v>1</v>
      </c>
      <c r="N107" s="77"/>
      <c r="O107" s="77">
        <v>1</v>
      </c>
      <c r="P107" s="77" t="s">
        <v>176</v>
      </c>
      <c r="Q107" s="77" t="s">
        <v>328</v>
      </c>
      <c r="R107" s="77" t="s">
        <v>501</v>
      </c>
      <c r="S107" s="77" t="s">
        <v>1035</v>
      </c>
      <c r="T107" s="82" t="s">
        <v>23</v>
      </c>
      <c r="U107" s="82" t="s">
        <v>3997</v>
      </c>
      <c r="V107" s="82" t="s">
        <v>4006</v>
      </c>
      <c r="W107" s="77" t="s">
        <v>24</v>
      </c>
      <c r="X107" s="77" t="s">
        <v>24</v>
      </c>
      <c r="Y107" s="81" t="s">
        <v>176</v>
      </c>
      <c r="Z107" s="81" t="s">
        <v>246</v>
      </c>
      <c r="AA107" s="81"/>
      <c r="AB107" s="62" t="e">
        <f t="shared" si="1"/>
        <v>#VALUE!</v>
      </c>
      <c r="AC107" s="87"/>
      <c r="AD107" s="87"/>
      <c r="AE107" s="77"/>
      <c r="AF107" s="77"/>
      <c r="AG107" s="77"/>
      <c r="AH107" s="87">
        <v>0</v>
      </c>
      <c r="AI107" s="87">
        <v>0</v>
      </c>
      <c r="AJ107" s="87">
        <v>0</v>
      </c>
      <c r="AK107" s="87">
        <v>0</v>
      </c>
      <c r="AL107" s="87">
        <v>0</v>
      </c>
      <c r="AM107" s="77">
        <v>0</v>
      </c>
      <c r="AN107" s="77">
        <v>0</v>
      </c>
      <c r="AO107" s="77"/>
      <c r="AP107" s="77"/>
      <c r="AQ107" s="77"/>
      <c r="AR107" s="77"/>
      <c r="AS107" s="82"/>
      <c r="AT107" s="82"/>
      <c r="AU107" s="82"/>
      <c r="AV107" s="82"/>
    </row>
    <row r="108" spans="1:48" s="59" customFormat="1" x14ac:dyDescent="0.2">
      <c r="A108" s="77" t="s">
        <v>786</v>
      </c>
      <c r="B108" s="77" t="s">
        <v>787</v>
      </c>
      <c r="C108" s="77">
        <v>3</v>
      </c>
      <c r="D108" s="77">
        <v>2</v>
      </c>
      <c r="E108" s="77" t="s">
        <v>138</v>
      </c>
      <c r="F108" s="78">
        <v>43360</v>
      </c>
      <c r="G108" s="83" t="s">
        <v>4032</v>
      </c>
      <c r="H108" s="79">
        <v>4.3750000000000004E-2</v>
      </c>
      <c r="I108" s="77" t="s">
        <v>397</v>
      </c>
      <c r="J108" s="77" t="s">
        <v>173</v>
      </c>
      <c r="K108" s="77" t="s">
        <v>242</v>
      </c>
      <c r="L108" s="77" t="s">
        <v>23</v>
      </c>
      <c r="M108" s="77">
        <v>0</v>
      </c>
      <c r="N108" s="77"/>
      <c r="O108" s="77">
        <v>1</v>
      </c>
      <c r="P108" s="77" t="s">
        <v>1618</v>
      </c>
      <c r="Q108" s="77" t="s">
        <v>2112</v>
      </c>
      <c r="R108" s="77" t="s">
        <v>115</v>
      </c>
      <c r="S108" s="77" t="s">
        <v>1035</v>
      </c>
      <c r="T108" s="80" t="s">
        <v>23</v>
      </c>
      <c r="U108" s="80" t="s">
        <v>3997</v>
      </c>
      <c r="V108" s="80" t="s">
        <v>4006</v>
      </c>
      <c r="W108" s="77" t="s">
        <v>24</v>
      </c>
      <c r="X108" s="77" t="s">
        <v>24</v>
      </c>
      <c r="Y108" s="77" t="s">
        <v>24</v>
      </c>
      <c r="Z108" s="81">
        <v>63.72569</v>
      </c>
      <c r="AA108" s="81">
        <v>148.95882</v>
      </c>
      <c r="AB108" s="62">
        <f t="shared" si="1"/>
        <v>212.68450999999999</v>
      </c>
      <c r="AC108" s="87">
        <v>2</v>
      </c>
      <c r="AD108" s="87"/>
      <c r="AE108" s="77"/>
      <c r="AF108" s="77"/>
      <c r="AG108" s="77"/>
      <c r="AH108" s="87">
        <v>0</v>
      </c>
      <c r="AI108" s="87">
        <v>0</v>
      </c>
      <c r="AJ108" s="87">
        <v>0</v>
      </c>
      <c r="AK108" s="87">
        <v>0</v>
      </c>
      <c r="AL108" s="87">
        <v>0</v>
      </c>
      <c r="AM108" s="77">
        <v>0</v>
      </c>
      <c r="AN108" s="77">
        <v>0</v>
      </c>
      <c r="AO108" s="77"/>
      <c r="AP108" s="77"/>
      <c r="AQ108" s="77"/>
      <c r="AR108" s="77"/>
    </row>
    <row r="109" spans="1:48" s="59" customFormat="1" x14ac:dyDescent="0.2">
      <c r="A109" s="77" t="s">
        <v>807</v>
      </c>
      <c r="B109" s="77" t="s">
        <v>808</v>
      </c>
      <c r="C109" s="77">
        <v>5</v>
      </c>
      <c r="D109" s="77">
        <v>1</v>
      </c>
      <c r="E109" s="77" t="s">
        <v>140</v>
      </c>
      <c r="F109" s="78">
        <v>43360</v>
      </c>
      <c r="G109" s="83" t="s">
        <v>4032</v>
      </c>
      <c r="H109" s="79">
        <v>2.6388888888888889E-2</v>
      </c>
      <c r="I109" s="77" t="s">
        <v>397</v>
      </c>
      <c r="J109" s="77" t="s">
        <v>176</v>
      </c>
      <c r="K109" s="77" t="s">
        <v>3953</v>
      </c>
      <c r="L109" s="77" t="s">
        <v>23</v>
      </c>
      <c r="M109" s="77">
        <v>1</v>
      </c>
      <c r="N109" s="77"/>
      <c r="O109" s="77">
        <v>1</v>
      </c>
      <c r="P109" s="77" t="s">
        <v>176</v>
      </c>
      <c r="Q109" s="77" t="s">
        <v>176</v>
      </c>
      <c r="R109" s="77" t="s">
        <v>122</v>
      </c>
      <c r="S109" s="77" t="s">
        <v>487</v>
      </c>
      <c r="T109" s="82" t="s">
        <v>23</v>
      </c>
      <c r="U109" s="82" t="s">
        <v>3997</v>
      </c>
      <c r="V109" s="82" t="s">
        <v>4001</v>
      </c>
      <c r="W109" s="77" t="s">
        <v>24</v>
      </c>
      <c r="X109" s="77" t="s">
        <v>24</v>
      </c>
      <c r="Y109" s="77" t="s">
        <v>24</v>
      </c>
      <c r="Z109" s="81">
        <v>63.722329999999999</v>
      </c>
      <c r="AA109" s="81">
        <v>148.95236</v>
      </c>
      <c r="AB109" s="62">
        <f t="shared" si="1"/>
        <v>212.67469</v>
      </c>
      <c r="AC109" s="87"/>
      <c r="AD109" s="87"/>
      <c r="AE109" s="82"/>
      <c r="AF109" s="82"/>
      <c r="AG109" s="82"/>
      <c r="AH109" s="87">
        <v>0</v>
      </c>
      <c r="AI109" s="87">
        <v>0</v>
      </c>
      <c r="AJ109" s="87">
        <v>0</v>
      </c>
      <c r="AK109" s="87">
        <v>0</v>
      </c>
      <c r="AL109" s="87">
        <v>0</v>
      </c>
      <c r="AM109" s="77">
        <v>0</v>
      </c>
      <c r="AN109" s="77">
        <v>0</v>
      </c>
      <c r="AO109" s="77" t="s">
        <v>375</v>
      </c>
      <c r="AP109" s="77"/>
      <c r="AQ109" s="77">
        <v>0</v>
      </c>
      <c r="AR109" s="77">
        <v>0</v>
      </c>
      <c r="AS109" s="77"/>
      <c r="AT109" s="77"/>
      <c r="AU109" s="77"/>
      <c r="AV109" s="77"/>
    </row>
    <row r="110" spans="1:48" s="59" customFormat="1" x14ac:dyDescent="0.2">
      <c r="A110" s="77" t="s">
        <v>792</v>
      </c>
      <c r="B110" s="77" t="s">
        <v>793</v>
      </c>
      <c r="C110" s="77">
        <v>1</v>
      </c>
      <c r="D110" s="77">
        <v>2</v>
      </c>
      <c r="E110" s="82" t="s">
        <v>140</v>
      </c>
      <c r="F110" s="78">
        <v>43360</v>
      </c>
      <c r="G110" s="83" t="s">
        <v>4032</v>
      </c>
      <c r="H110" s="79">
        <v>0.15555555555555556</v>
      </c>
      <c r="I110" s="77" t="s">
        <v>397</v>
      </c>
      <c r="J110" s="77" t="s">
        <v>149</v>
      </c>
      <c r="K110" s="77" t="s">
        <v>242</v>
      </c>
      <c r="L110" s="77" t="s">
        <v>23</v>
      </c>
      <c r="M110" s="77" t="s">
        <v>24</v>
      </c>
      <c r="N110" s="77"/>
      <c r="O110" s="77">
        <v>1</v>
      </c>
      <c r="P110" s="77" t="s">
        <v>1618</v>
      </c>
      <c r="Q110" s="77" t="s">
        <v>2132</v>
      </c>
      <c r="R110" s="77" t="s">
        <v>24</v>
      </c>
      <c r="S110" s="77" t="s">
        <v>2077</v>
      </c>
      <c r="T110" s="80" t="s">
        <v>23</v>
      </c>
      <c r="U110" s="80" t="s">
        <v>4004</v>
      </c>
      <c r="V110" s="80" t="s">
        <v>4005</v>
      </c>
      <c r="W110" s="77" t="s">
        <v>24</v>
      </c>
      <c r="X110" s="77" t="s">
        <v>24</v>
      </c>
      <c r="Y110" s="77" t="s">
        <v>24</v>
      </c>
      <c r="Z110" s="81">
        <v>63.72119</v>
      </c>
      <c r="AA110" s="81">
        <v>148.95818</v>
      </c>
      <c r="AB110" s="62">
        <f t="shared" si="1"/>
        <v>212.67937000000001</v>
      </c>
      <c r="AC110" s="87"/>
      <c r="AD110" s="87"/>
      <c r="AE110" s="77"/>
      <c r="AF110" s="77"/>
      <c r="AG110" s="77"/>
      <c r="AH110" s="87">
        <v>0</v>
      </c>
      <c r="AI110" s="87">
        <v>0</v>
      </c>
      <c r="AJ110" s="87">
        <v>0</v>
      </c>
      <c r="AK110" s="87">
        <v>0</v>
      </c>
      <c r="AL110" s="87">
        <v>0</v>
      </c>
      <c r="AM110" s="77">
        <v>0</v>
      </c>
      <c r="AN110" s="77">
        <v>0</v>
      </c>
      <c r="AO110" s="77"/>
      <c r="AP110" s="77"/>
      <c r="AQ110" s="77"/>
      <c r="AR110" s="77"/>
      <c r="AS110" s="82"/>
      <c r="AT110" s="82"/>
      <c r="AU110" s="82"/>
      <c r="AV110" s="82"/>
    </row>
    <row r="111" spans="1:48" s="59" customFormat="1" x14ac:dyDescent="0.2">
      <c r="A111" s="77" t="s">
        <v>794</v>
      </c>
      <c r="B111" s="77" t="s">
        <v>795</v>
      </c>
      <c r="C111" s="77">
        <v>2</v>
      </c>
      <c r="D111" s="77">
        <v>1</v>
      </c>
      <c r="E111" s="82" t="s">
        <v>140</v>
      </c>
      <c r="F111" s="78">
        <v>43360</v>
      </c>
      <c r="G111" s="83" t="s">
        <v>4032</v>
      </c>
      <c r="H111" s="79">
        <v>5.8333333333333327E-2</v>
      </c>
      <c r="I111" s="77" t="s">
        <v>397</v>
      </c>
      <c r="J111" s="77" t="s">
        <v>149</v>
      </c>
      <c r="K111" s="77" t="s">
        <v>111</v>
      </c>
      <c r="L111" s="77" t="s">
        <v>23</v>
      </c>
      <c r="M111" s="77">
        <v>0</v>
      </c>
      <c r="N111" s="77"/>
      <c r="O111" s="77">
        <v>1</v>
      </c>
      <c r="P111" s="77" t="s">
        <v>1618</v>
      </c>
      <c r="Q111" s="77" t="s">
        <v>2132</v>
      </c>
      <c r="R111" s="77" t="s">
        <v>24</v>
      </c>
      <c r="S111" s="77" t="s">
        <v>2068</v>
      </c>
      <c r="T111" s="80" t="s">
        <v>23</v>
      </c>
      <c r="U111" s="80" t="s">
        <v>3997</v>
      </c>
      <c r="V111" s="80" t="s">
        <v>4005</v>
      </c>
      <c r="W111" s="77" t="s">
        <v>24</v>
      </c>
      <c r="X111" s="77" t="s">
        <v>24</v>
      </c>
      <c r="Y111" s="77" t="s">
        <v>24</v>
      </c>
      <c r="Z111" s="81">
        <v>63.721150000000002</v>
      </c>
      <c r="AA111" s="81">
        <v>148.95850999999999</v>
      </c>
      <c r="AB111" s="62">
        <f t="shared" si="1"/>
        <v>212.67965999999998</v>
      </c>
      <c r="AC111" s="87"/>
      <c r="AD111" s="87"/>
      <c r="AE111" s="77"/>
      <c r="AF111" s="77"/>
      <c r="AG111" s="77"/>
      <c r="AH111" s="87">
        <v>0</v>
      </c>
      <c r="AI111" s="87">
        <v>0</v>
      </c>
      <c r="AJ111" s="87">
        <v>0</v>
      </c>
      <c r="AK111" s="87">
        <v>0</v>
      </c>
      <c r="AL111" s="87">
        <v>0</v>
      </c>
      <c r="AM111" s="77">
        <v>0</v>
      </c>
      <c r="AN111" s="77">
        <v>0</v>
      </c>
      <c r="AO111" s="77"/>
      <c r="AP111" s="77"/>
      <c r="AQ111" s="77"/>
      <c r="AR111" s="77"/>
      <c r="AS111" s="77"/>
      <c r="AT111" s="77"/>
      <c r="AU111" s="77"/>
      <c r="AV111" s="77"/>
    </row>
    <row r="112" spans="1:48" s="59" customFormat="1" x14ac:dyDescent="0.2">
      <c r="A112" s="77" t="s">
        <v>792</v>
      </c>
      <c r="B112" s="77" t="s">
        <v>793</v>
      </c>
      <c r="C112" s="77">
        <v>1</v>
      </c>
      <c r="D112" s="77">
        <v>1</v>
      </c>
      <c r="E112" s="82" t="s">
        <v>140</v>
      </c>
      <c r="F112" s="78">
        <v>43360</v>
      </c>
      <c r="G112" s="83" t="s">
        <v>4032</v>
      </c>
      <c r="H112" s="79">
        <v>0.15555555555555556</v>
      </c>
      <c r="I112" s="77" t="s">
        <v>397</v>
      </c>
      <c r="J112" s="77" t="s">
        <v>149</v>
      </c>
      <c r="K112" s="77" t="s">
        <v>242</v>
      </c>
      <c r="L112" s="77" t="s">
        <v>23</v>
      </c>
      <c r="M112" s="77">
        <v>1</v>
      </c>
      <c r="N112" s="77"/>
      <c r="O112" s="77">
        <v>1</v>
      </c>
      <c r="P112" s="77" t="s">
        <v>1618</v>
      </c>
      <c r="Q112" s="77" t="s">
        <v>2132</v>
      </c>
      <c r="R112" s="77" t="s">
        <v>24</v>
      </c>
      <c r="S112" s="77" t="s">
        <v>1035</v>
      </c>
      <c r="T112" s="80" t="s">
        <v>23</v>
      </c>
      <c r="U112" s="80" t="s">
        <v>3997</v>
      </c>
      <c r="V112" s="80" t="s">
        <v>4006</v>
      </c>
      <c r="W112" s="77" t="s">
        <v>24</v>
      </c>
      <c r="X112" s="77" t="s">
        <v>24</v>
      </c>
      <c r="Y112" s="77" t="s">
        <v>24</v>
      </c>
      <c r="Z112" s="81">
        <v>63.721159999999998</v>
      </c>
      <c r="AA112" s="81">
        <v>148.95854</v>
      </c>
      <c r="AB112" s="62">
        <f t="shared" si="1"/>
        <v>212.6797</v>
      </c>
      <c r="AC112" s="87"/>
      <c r="AD112" s="87"/>
      <c r="AE112" s="82"/>
      <c r="AF112" s="82"/>
      <c r="AG112" s="82"/>
      <c r="AH112" s="87">
        <v>0</v>
      </c>
      <c r="AI112" s="87">
        <v>0</v>
      </c>
      <c r="AJ112" s="87">
        <v>0</v>
      </c>
      <c r="AK112" s="87">
        <v>0</v>
      </c>
      <c r="AL112" s="87">
        <v>0</v>
      </c>
      <c r="AM112" s="77">
        <v>0</v>
      </c>
      <c r="AN112" s="77">
        <v>0</v>
      </c>
      <c r="AO112" s="77"/>
      <c r="AP112" s="77"/>
      <c r="AQ112" s="77"/>
      <c r="AR112" s="77"/>
      <c r="AS112" s="77"/>
      <c r="AT112" s="77"/>
      <c r="AU112" s="77"/>
      <c r="AV112" s="77"/>
    </row>
    <row r="113" spans="1:48" s="59" customFormat="1" x14ac:dyDescent="0.2">
      <c r="A113" s="77" t="s">
        <v>782</v>
      </c>
      <c r="B113" s="77" t="s">
        <v>783</v>
      </c>
      <c r="C113" s="77">
        <v>1</v>
      </c>
      <c r="D113" s="77">
        <v>1</v>
      </c>
      <c r="E113" s="77" t="s">
        <v>138</v>
      </c>
      <c r="F113" s="78">
        <v>43360</v>
      </c>
      <c r="G113" s="83" t="s">
        <v>4032</v>
      </c>
      <c r="H113" s="79">
        <v>4.027777777777778E-2</v>
      </c>
      <c r="I113" s="77" t="s">
        <v>398</v>
      </c>
      <c r="J113" s="77" t="s">
        <v>173</v>
      </c>
      <c r="K113" s="77" t="s">
        <v>111</v>
      </c>
      <c r="L113" s="77" t="s">
        <v>23</v>
      </c>
      <c r="M113" s="77">
        <v>1</v>
      </c>
      <c r="N113" s="77"/>
      <c r="O113" s="77">
        <v>2</v>
      </c>
      <c r="P113" s="77" t="s">
        <v>1618</v>
      </c>
      <c r="Q113" s="77" t="s">
        <v>2112</v>
      </c>
      <c r="R113" s="77" t="s">
        <v>24</v>
      </c>
      <c r="S113" s="77" t="s">
        <v>709</v>
      </c>
      <c r="T113" s="80" t="s">
        <v>23</v>
      </c>
      <c r="U113" s="80" t="s">
        <v>4004</v>
      </c>
      <c r="V113" s="80" t="s">
        <v>4005</v>
      </c>
      <c r="W113" s="77" t="s">
        <v>24</v>
      </c>
      <c r="X113" s="77" t="s">
        <v>24</v>
      </c>
      <c r="Y113" s="77" t="s">
        <v>176</v>
      </c>
      <c r="Z113" s="81">
        <v>63.725639999999999</v>
      </c>
      <c r="AA113" s="81">
        <v>148.95848000000001</v>
      </c>
      <c r="AB113" s="62">
        <f t="shared" si="1"/>
        <v>212.68412000000001</v>
      </c>
      <c r="AC113" s="87"/>
      <c r="AD113" s="87"/>
      <c r="AE113" s="77"/>
      <c r="AF113" s="77"/>
      <c r="AG113" s="77"/>
      <c r="AH113" s="87">
        <v>0</v>
      </c>
      <c r="AI113" s="87">
        <v>0</v>
      </c>
      <c r="AJ113" s="87">
        <v>0</v>
      </c>
      <c r="AK113" s="87">
        <v>0</v>
      </c>
      <c r="AL113" s="87">
        <v>0</v>
      </c>
      <c r="AM113" s="77">
        <v>0</v>
      </c>
      <c r="AN113" s="77">
        <v>0</v>
      </c>
      <c r="AO113" s="77"/>
      <c r="AP113" s="77"/>
      <c r="AQ113" s="77"/>
      <c r="AR113" s="77"/>
      <c r="AS113" s="77"/>
      <c r="AT113" s="77"/>
      <c r="AU113" s="77"/>
      <c r="AV113" s="77"/>
    </row>
    <row r="114" spans="1:48" s="59" customFormat="1" x14ac:dyDescent="0.2">
      <c r="A114" s="77" t="s">
        <v>786</v>
      </c>
      <c r="B114" s="77" t="s">
        <v>787</v>
      </c>
      <c r="C114" s="77">
        <v>3</v>
      </c>
      <c r="D114" s="77">
        <v>1</v>
      </c>
      <c r="E114" s="77" t="s">
        <v>138</v>
      </c>
      <c r="F114" s="78">
        <v>43360</v>
      </c>
      <c r="G114" s="83" t="s">
        <v>4032</v>
      </c>
      <c r="H114" s="79">
        <v>4.3750000000000004E-2</v>
      </c>
      <c r="I114" s="77" t="s">
        <v>397</v>
      </c>
      <c r="J114" s="77" t="s">
        <v>173</v>
      </c>
      <c r="K114" s="77" t="s">
        <v>242</v>
      </c>
      <c r="L114" s="77" t="s">
        <v>23</v>
      </c>
      <c r="M114" s="77">
        <v>1</v>
      </c>
      <c r="N114" s="77"/>
      <c r="O114" s="77">
        <v>1</v>
      </c>
      <c r="P114" s="77" t="s">
        <v>1618</v>
      </c>
      <c r="Q114" s="77" t="s">
        <v>2112</v>
      </c>
      <c r="R114" s="77" t="s">
        <v>115</v>
      </c>
      <c r="S114" s="77" t="s">
        <v>2076</v>
      </c>
      <c r="T114" s="80" t="s">
        <v>23</v>
      </c>
      <c r="U114" s="80" t="s">
        <v>4004</v>
      </c>
      <c r="V114" s="80" t="s">
        <v>4005</v>
      </c>
      <c r="W114" s="77" t="s">
        <v>24</v>
      </c>
      <c r="X114" s="77" t="s">
        <v>24</v>
      </c>
      <c r="Y114" s="77" t="s">
        <v>24</v>
      </c>
      <c r="Z114" s="81">
        <v>63.725679999999997</v>
      </c>
      <c r="AA114" s="81">
        <v>148.9588</v>
      </c>
      <c r="AB114" s="62">
        <f t="shared" si="1"/>
        <v>212.68448000000001</v>
      </c>
      <c r="AC114" s="87"/>
      <c r="AD114" s="87"/>
      <c r="AE114" s="77"/>
      <c r="AF114" s="77"/>
      <c r="AG114" s="77"/>
      <c r="AH114" s="87">
        <v>0</v>
      </c>
      <c r="AI114" s="87">
        <v>0</v>
      </c>
      <c r="AJ114" s="87">
        <v>0</v>
      </c>
      <c r="AK114" s="87">
        <v>0</v>
      </c>
      <c r="AL114" s="87">
        <v>0</v>
      </c>
      <c r="AM114" s="77">
        <v>0</v>
      </c>
      <c r="AN114" s="77">
        <v>0</v>
      </c>
      <c r="AO114" s="77"/>
      <c r="AP114" s="77"/>
      <c r="AQ114" s="77"/>
      <c r="AR114" s="77"/>
      <c r="AS114" s="77"/>
      <c r="AT114" s="77"/>
      <c r="AU114" s="77"/>
      <c r="AV114" s="77"/>
    </row>
    <row r="115" spans="1:48" s="59" customFormat="1" x14ac:dyDescent="0.2">
      <c r="A115" s="77" t="s">
        <v>270</v>
      </c>
      <c r="B115" s="77"/>
      <c r="C115" s="77"/>
      <c r="D115" s="77"/>
      <c r="E115" s="77" t="s">
        <v>324</v>
      </c>
      <c r="F115" s="78">
        <v>43361</v>
      </c>
      <c r="G115" s="83" t="s">
        <v>4032</v>
      </c>
      <c r="H115" s="77"/>
      <c r="I115" s="77" t="s">
        <v>398</v>
      </c>
      <c r="J115" s="77" t="s">
        <v>325</v>
      </c>
      <c r="K115" s="77" t="s">
        <v>111</v>
      </c>
      <c r="L115" s="77" t="s">
        <v>12</v>
      </c>
      <c r="M115" s="77">
        <v>0</v>
      </c>
      <c r="N115" s="77"/>
      <c r="O115" s="77">
        <v>1</v>
      </c>
      <c r="P115" s="77" t="s">
        <v>176</v>
      </c>
      <c r="Q115" s="77" t="s">
        <v>176</v>
      </c>
      <c r="R115" s="77" t="s">
        <v>24</v>
      </c>
      <c r="S115" s="77" t="s">
        <v>3961</v>
      </c>
      <c r="T115" s="82" t="s">
        <v>12</v>
      </c>
      <c r="U115" s="82" t="s">
        <v>4004</v>
      </c>
      <c r="V115" s="82" t="s">
        <v>4005</v>
      </c>
      <c r="W115" s="77" t="s">
        <v>24</v>
      </c>
      <c r="X115" s="77" t="s">
        <v>24</v>
      </c>
      <c r="Y115" s="77" t="s">
        <v>176</v>
      </c>
      <c r="Z115" s="81">
        <v>63.724319999999999</v>
      </c>
      <c r="AA115" s="81">
        <v>148.88916</v>
      </c>
      <c r="AB115" s="62">
        <f t="shared" si="1"/>
        <v>212.61348000000001</v>
      </c>
      <c r="AC115" s="87"/>
      <c r="AD115" s="87"/>
      <c r="AE115" s="77"/>
      <c r="AF115" s="77"/>
      <c r="AG115" s="77"/>
      <c r="AH115" s="77">
        <v>0</v>
      </c>
      <c r="AI115" s="77">
        <v>0</v>
      </c>
      <c r="AJ115" s="77">
        <v>0</v>
      </c>
      <c r="AK115" s="77">
        <v>0</v>
      </c>
      <c r="AL115" s="77">
        <v>0</v>
      </c>
      <c r="AM115" s="77">
        <v>0</v>
      </c>
      <c r="AN115" s="77">
        <v>0</v>
      </c>
      <c r="AO115" s="77"/>
      <c r="AP115" s="77" t="s">
        <v>820</v>
      </c>
      <c r="AQ115" s="77"/>
      <c r="AR115" s="77"/>
    </row>
    <row r="116" spans="1:48" s="59" customFormat="1" x14ac:dyDescent="0.2">
      <c r="A116" s="77" t="s">
        <v>821</v>
      </c>
      <c r="B116" s="77" t="s">
        <v>822</v>
      </c>
      <c r="C116" s="77">
        <v>2</v>
      </c>
      <c r="D116" s="77">
        <v>1</v>
      </c>
      <c r="E116" s="77" t="s">
        <v>324</v>
      </c>
      <c r="F116" s="78">
        <v>43361</v>
      </c>
      <c r="G116" s="83" t="s">
        <v>4032</v>
      </c>
      <c r="H116" s="79">
        <v>2.8472222222222222E-2</v>
      </c>
      <c r="I116" s="77" t="s">
        <v>397</v>
      </c>
      <c r="J116" s="77" t="s">
        <v>325</v>
      </c>
      <c r="K116" s="77" t="s">
        <v>111</v>
      </c>
      <c r="L116" s="77" t="s">
        <v>23</v>
      </c>
      <c r="M116" s="77">
        <v>0</v>
      </c>
      <c r="N116" s="77"/>
      <c r="O116" s="77">
        <v>1</v>
      </c>
      <c r="P116" s="77" t="s">
        <v>176</v>
      </c>
      <c r="Q116" s="77" t="s">
        <v>176</v>
      </c>
      <c r="R116" s="77" t="s">
        <v>24</v>
      </c>
      <c r="S116" s="77" t="s">
        <v>3983</v>
      </c>
      <c r="T116" s="82" t="s">
        <v>23</v>
      </c>
      <c r="U116" s="82" t="s">
        <v>3997</v>
      </c>
      <c r="V116" s="82" t="s">
        <v>4007</v>
      </c>
      <c r="W116" s="77" t="s">
        <v>24</v>
      </c>
      <c r="X116" s="77" t="s">
        <v>24</v>
      </c>
      <c r="Y116" s="77" t="s">
        <v>24</v>
      </c>
      <c r="Z116" s="81">
        <v>63.724200000000003</v>
      </c>
      <c r="AA116" s="81">
        <v>148.88985</v>
      </c>
      <c r="AB116" s="62">
        <f t="shared" si="1"/>
        <v>212.61404999999999</v>
      </c>
      <c r="AC116" s="87"/>
      <c r="AD116" s="87"/>
      <c r="AE116" s="82"/>
      <c r="AF116" s="82"/>
      <c r="AG116" s="82"/>
      <c r="AH116" s="77">
        <v>0</v>
      </c>
      <c r="AI116" s="77">
        <v>0</v>
      </c>
      <c r="AJ116" s="77">
        <v>0</v>
      </c>
      <c r="AK116" s="77">
        <v>0</v>
      </c>
      <c r="AL116" s="77">
        <v>0</v>
      </c>
      <c r="AM116" s="77">
        <v>0</v>
      </c>
      <c r="AN116" s="77">
        <v>0</v>
      </c>
      <c r="AO116" s="77"/>
      <c r="AP116" s="77" t="s">
        <v>823</v>
      </c>
      <c r="AQ116" s="77"/>
      <c r="AR116" s="77"/>
    </row>
    <row r="117" spans="1:48" s="59" customFormat="1" x14ac:dyDescent="0.2">
      <c r="A117" s="77" t="s">
        <v>815</v>
      </c>
      <c r="B117" s="77" t="s">
        <v>818</v>
      </c>
      <c r="C117" s="77">
        <v>1</v>
      </c>
      <c r="D117" s="77">
        <v>1</v>
      </c>
      <c r="E117" s="77" t="s">
        <v>324</v>
      </c>
      <c r="F117" s="78">
        <v>43361</v>
      </c>
      <c r="G117" s="83" t="s">
        <v>4032</v>
      </c>
      <c r="H117" s="79">
        <v>2.4999999999999998E-2</v>
      </c>
      <c r="I117" s="77" t="s">
        <v>398</v>
      </c>
      <c r="J117" s="77" t="s">
        <v>337</v>
      </c>
      <c r="K117" s="77" t="s">
        <v>111</v>
      </c>
      <c r="L117" s="77" t="s">
        <v>23</v>
      </c>
      <c r="M117" s="77">
        <v>0</v>
      </c>
      <c r="N117" s="77"/>
      <c r="O117" s="77">
        <v>1</v>
      </c>
      <c r="P117" s="77" t="s">
        <v>176</v>
      </c>
      <c r="Q117" s="77" t="s">
        <v>176</v>
      </c>
      <c r="R117" s="77" t="s">
        <v>24</v>
      </c>
      <c r="S117" s="77" t="s">
        <v>709</v>
      </c>
      <c r="T117" s="82" t="s">
        <v>23</v>
      </c>
      <c r="U117" s="82" t="s">
        <v>4004</v>
      </c>
      <c r="V117" s="82" t="s">
        <v>4005</v>
      </c>
      <c r="W117" s="77" t="s">
        <v>24</v>
      </c>
      <c r="X117" s="77" t="s">
        <v>24</v>
      </c>
      <c r="Y117" s="77" t="s">
        <v>176</v>
      </c>
      <c r="Z117" s="81">
        <v>63.725499999999997</v>
      </c>
      <c r="AA117" s="81">
        <v>148.88943</v>
      </c>
      <c r="AB117" s="62">
        <f t="shared" si="1"/>
        <v>212.61493000000002</v>
      </c>
      <c r="AC117" s="87"/>
      <c r="AD117" s="87"/>
      <c r="AE117" s="77"/>
      <c r="AF117" s="77"/>
      <c r="AG117" s="77"/>
      <c r="AH117" s="77">
        <v>0</v>
      </c>
      <c r="AI117" s="77">
        <v>0</v>
      </c>
      <c r="AJ117" s="77">
        <v>0</v>
      </c>
      <c r="AK117" s="77">
        <v>0</v>
      </c>
      <c r="AL117" s="77">
        <v>0</v>
      </c>
      <c r="AM117" s="77">
        <v>0</v>
      </c>
      <c r="AN117" s="77">
        <v>0</v>
      </c>
      <c r="AO117" s="77"/>
      <c r="AP117" s="77"/>
      <c r="AQ117" s="77"/>
      <c r="AR117" s="77"/>
    </row>
    <row r="118" spans="1:48" s="59" customFormat="1" x14ac:dyDescent="0.2">
      <c r="A118" s="77" t="s">
        <v>348</v>
      </c>
      <c r="B118" s="77"/>
      <c r="C118" s="77"/>
      <c r="D118" s="77"/>
      <c r="E118" s="77" t="s">
        <v>395</v>
      </c>
      <c r="F118" s="78">
        <v>43362</v>
      </c>
      <c r="G118" s="83" t="s">
        <v>4032</v>
      </c>
      <c r="H118" s="77"/>
      <c r="I118" s="77"/>
      <c r="J118" s="77" t="s">
        <v>2498</v>
      </c>
      <c r="K118" s="77" t="s">
        <v>111</v>
      </c>
      <c r="L118" s="77" t="s">
        <v>23</v>
      </c>
      <c r="M118" s="77">
        <v>0</v>
      </c>
      <c r="N118" s="77"/>
      <c r="O118" s="77">
        <v>1</v>
      </c>
      <c r="P118" s="77" t="s">
        <v>176</v>
      </c>
      <c r="Q118" s="77" t="s">
        <v>176</v>
      </c>
      <c r="R118" s="77" t="s">
        <v>24</v>
      </c>
      <c r="S118" s="77" t="s">
        <v>3963</v>
      </c>
      <c r="T118" s="82" t="s">
        <v>23</v>
      </c>
      <c r="U118" s="82" t="s">
        <v>3997</v>
      </c>
      <c r="V118" s="82" t="s">
        <v>4007</v>
      </c>
      <c r="W118" s="77" t="s">
        <v>24</v>
      </c>
      <c r="X118" s="77" t="s">
        <v>24</v>
      </c>
      <c r="Y118" s="77" t="s">
        <v>176</v>
      </c>
      <c r="Z118" s="81">
        <v>63.723179999999999</v>
      </c>
      <c r="AA118" s="81">
        <v>148.98204000000001</v>
      </c>
      <c r="AB118" s="62">
        <f t="shared" si="1"/>
        <v>212.70522</v>
      </c>
      <c r="AC118" s="87"/>
      <c r="AD118" s="87"/>
      <c r="AE118" s="77"/>
      <c r="AF118" s="77"/>
      <c r="AG118" s="77"/>
      <c r="AH118" s="87">
        <v>0</v>
      </c>
      <c r="AI118" s="87">
        <v>0</v>
      </c>
      <c r="AJ118" s="87">
        <v>0</v>
      </c>
      <c r="AK118" s="87">
        <v>0</v>
      </c>
      <c r="AL118" s="87">
        <v>0</v>
      </c>
      <c r="AM118" s="77">
        <v>0</v>
      </c>
      <c r="AN118" s="77">
        <v>0</v>
      </c>
      <c r="AO118" s="77"/>
      <c r="AP118" s="77" t="s">
        <v>833</v>
      </c>
      <c r="AQ118" s="77"/>
      <c r="AR118" s="77"/>
      <c r="AS118" s="82"/>
      <c r="AT118" s="82"/>
      <c r="AU118" s="82"/>
      <c r="AV118" s="82"/>
    </row>
    <row r="119" spans="1:48" s="59" customFormat="1" x14ac:dyDescent="0.2">
      <c r="A119" s="77" t="s">
        <v>891</v>
      </c>
      <c r="B119" s="77" t="s">
        <v>894</v>
      </c>
      <c r="C119" s="77">
        <v>6</v>
      </c>
      <c r="D119" s="77">
        <v>1</v>
      </c>
      <c r="E119" s="77" t="s">
        <v>138</v>
      </c>
      <c r="F119" s="78">
        <v>43363</v>
      </c>
      <c r="G119" s="83" t="s">
        <v>4032</v>
      </c>
      <c r="H119" s="79">
        <v>2.6388888888888889E-2</v>
      </c>
      <c r="I119" s="77" t="s">
        <v>884</v>
      </c>
      <c r="J119" s="77" t="s">
        <v>177</v>
      </c>
      <c r="K119" s="77" t="s">
        <v>111</v>
      </c>
      <c r="L119" s="77" t="s">
        <v>23</v>
      </c>
      <c r="M119" s="77">
        <v>0</v>
      </c>
      <c r="N119" s="77"/>
      <c r="O119" s="77">
        <v>1</v>
      </c>
      <c r="P119" s="77" t="s">
        <v>176</v>
      </c>
      <c r="Q119" s="77" t="s">
        <v>176</v>
      </c>
      <c r="R119" s="77" t="s">
        <v>24</v>
      </c>
      <c r="S119" s="77" t="s">
        <v>1035</v>
      </c>
      <c r="T119" s="80" t="s">
        <v>23</v>
      </c>
      <c r="U119" s="77" t="s">
        <v>3997</v>
      </c>
      <c r="V119" s="77" t="s">
        <v>4006</v>
      </c>
      <c r="W119" s="77" t="s">
        <v>24</v>
      </c>
      <c r="X119" s="77" t="s">
        <v>24</v>
      </c>
      <c r="Y119" s="77" t="s">
        <v>176</v>
      </c>
      <c r="Z119" s="81">
        <v>63.72569</v>
      </c>
      <c r="AA119" s="81">
        <v>148.95882</v>
      </c>
      <c r="AB119" s="62">
        <f t="shared" si="1"/>
        <v>212.68450999999999</v>
      </c>
      <c r="AC119" s="87">
        <v>2</v>
      </c>
      <c r="AD119" s="87" t="s">
        <v>4765</v>
      </c>
      <c r="AE119" s="77"/>
      <c r="AF119" s="77"/>
      <c r="AG119" s="77"/>
      <c r="AH119" s="87">
        <v>0</v>
      </c>
      <c r="AI119" s="87">
        <v>0</v>
      </c>
      <c r="AJ119" s="87">
        <v>0</v>
      </c>
      <c r="AK119" s="87">
        <v>0</v>
      </c>
      <c r="AL119" s="87">
        <v>0</v>
      </c>
      <c r="AM119" s="77">
        <v>0</v>
      </c>
      <c r="AN119" s="77">
        <v>0</v>
      </c>
      <c r="AO119" s="77"/>
      <c r="AP119" s="77" t="s">
        <v>1087</v>
      </c>
      <c r="AQ119" s="77"/>
      <c r="AR119" s="77"/>
    </row>
    <row r="120" spans="1:48" s="59" customFormat="1" x14ac:dyDescent="0.2">
      <c r="A120" s="77" t="s">
        <v>270</v>
      </c>
      <c r="B120" s="77"/>
      <c r="C120" s="77"/>
      <c r="D120" s="77">
        <v>2</v>
      </c>
      <c r="E120" s="77" t="s">
        <v>138</v>
      </c>
      <c r="F120" s="78">
        <v>43363</v>
      </c>
      <c r="G120" s="83" t="s">
        <v>4032</v>
      </c>
      <c r="H120" s="77"/>
      <c r="I120" s="77" t="s">
        <v>884</v>
      </c>
      <c r="J120" s="77" t="s">
        <v>173</v>
      </c>
      <c r="K120" s="77" t="s">
        <v>111</v>
      </c>
      <c r="L120" s="77" t="s">
        <v>23</v>
      </c>
      <c r="M120" s="77">
        <v>0</v>
      </c>
      <c r="N120" s="77"/>
      <c r="O120" s="77">
        <v>1</v>
      </c>
      <c r="P120" s="77" t="s">
        <v>176</v>
      </c>
      <c r="Q120" s="77" t="s">
        <v>176</v>
      </c>
      <c r="R120" s="77" t="s">
        <v>122</v>
      </c>
      <c r="S120" s="77" t="s">
        <v>4019</v>
      </c>
      <c r="T120" s="80" t="s">
        <v>23</v>
      </c>
      <c r="U120" s="80" t="s">
        <v>3997</v>
      </c>
      <c r="V120" s="80" t="s">
        <v>4006</v>
      </c>
      <c r="W120" s="77" t="s">
        <v>24</v>
      </c>
      <c r="X120" s="77" t="s">
        <v>24</v>
      </c>
      <c r="Y120" s="77" t="s">
        <v>176</v>
      </c>
      <c r="Z120" s="81">
        <v>63.726179999999999</v>
      </c>
      <c r="AA120" s="81">
        <v>148.96117000000001</v>
      </c>
      <c r="AB120" s="62">
        <f t="shared" si="1"/>
        <v>212.68735000000001</v>
      </c>
      <c r="AC120" s="87">
        <v>1</v>
      </c>
      <c r="AD120" s="87" t="s">
        <v>4765</v>
      </c>
      <c r="AE120" s="77"/>
      <c r="AF120" s="77"/>
      <c r="AG120" s="77"/>
      <c r="AH120" s="87">
        <v>0</v>
      </c>
      <c r="AI120" s="87">
        <v>0</v>
      </c>
      <c r="AJ120" s="87">
        <v>0</v>
      </c>
      <c r="AK120" s="87">
        <v>0</v>
      </c>
      <c r="AL120" s="87">
        <v>0</v>
      </c>
      <c r="AM120" s="77">
        <v>0</v>
      </c>
      <c r="AN120" s="77">
        <v>0</v>
      </c>
      <c r="AO120" s="77"/>
      <c r="AP120" s="77" t="s">
        <v>887</v>
      </c>
      <c r="AQ120" s="77"/>
      <c r="AR120" s="77"/>
    </row>
    <row r="121" spans="1:48" s="59" customFormat="1" x14ac:dyDescent="0.2">
      <c r="A121" s="77" t="s">
        <v>270</v>
      </c>
      <c r="B121" s="77"/>
      <c r="C121" s="77"/>
      <c r="D121" s="77">
        <v>1</v>
      </c>
      <c r="E121" s="77" t="s">
        <v>138</v>
      </c>
      <c r="F121" s="78">
        <v>43363</v>
      </c>
      <c r="G121" s="83" t="s">
        <v>4032</v>
      </c>
      <c r="H121" s="77"/>
      <c r="I121" s="77" t="s">
        <v>884</v>
      </c>
      <c r="J121" s="77" t="s">
        <v>173</v>
      </c>
      <c r="K121" s="77" t="s">
        <v>111</v>
      </c>
      <c r="L121" s="77" t="s">
        <v>23</v>
      </c>
      <c r="M121" s="77">
        <v>0</v>
      </c>
      <c r="N121" s="77"/>
      <c r="O121" s="77">
        <v>1</v>
      </c>
      <c r="P121" s="77" t="s">
        <v>176</v>
      </c>
      <c r="Q121" s="77" t="s">
        <v>176</v>
      </c>
      <c r="R121" s="77" t="s">
        <v>122</v>
      </c>
      <c r="S121" s="77" t="s">
        <v>4018</v>
      </c>
      <c r="T121" s="80" t="s">
        <v>23</v>
      </c>
      <c r="U121" s="80" t="s">
        <v>4004</v>
      </c>
      <c r="V121" s="80" t="s">
        <v>4005</v>
      </c>
      <c r="W121" s="77" t="s">
        <v>24</v>
      </c>
      <c r="X121" s="77" t="s">
        <v>24</v>
      </c>
      <c r="Y121" s="77" t="s">
        <v>176</v>
      </c>
      <c r="Z121" s="81">
        <v>63.726179999999999</v>
      </c>
      <c r="AA121" s="81">
        <v>148.96117000000001</v>
      </c>
      <c r="AB121" s="62">
        <f t="shared" si="1"/>
        <v>212.68735000000001</v>
      </c>
      <c r="AC121" s="87">
        <v>1</v>
      </c>
      <c r="AD121" s="87"/>
      <c r="AE121" s="77"/>
      <c r="AF121" s="77"/>
      <c r="AG121" s="77"/>
      <c r="AH121" s="87">
        <v>0</v>
      </c>
      <c r="AI121" s="87">
        <v>0</v>
      </c>
      <c r="AJ121" s="87">
        <v>0</v>
      </c>
      <c r="AK121" s="87">
        <v>0</v>
      </c>
      <c r="AL121" s="87">
        <v>0</v>
      </c>
      <c r="AM121" s="77">
        <v>0</v>
      </c>
      <c r="AN121" s="77">
        <v>0</v>
      </c>
      <c r="AO121" s="77"/>
      <c r="AP121" s="77" t="s">
        <v>887</v>
      </c>
      <c r="AQ121" s="77"/>
      <c r="AR121" s="77"/>
    </row>
    <row r="122" spans="1:48" s="59" customFormat="1" x14ac:dyDescent="0.2">
      <c r="A122" s="77" t="s">
        <v>896</v>
      </c>
      <c r="B122" s="77" t="s">
        <v>897</v>
      </c>
      <c r="C122" s="77">
        <v>8</v>
      </c>
      <c r="D122" s="77">
        <v>1</v>
      </c>
      <c r="E122" s="77" t="s">
        <v>138</v>
      </c>
      <c r="F122" s="78">
        <v>43363</v>
      </c>
      <c r="G122" s="83" t="s">
        <v>4032</v>
      </c>
      <c r="H122" s="79">
        <v>4.027777777777778E-2</v>
      </c>
      <c r="I122" s="77" t="s">
        <v>884</v>
      </c>
      <c r="J122" s="77" t="s">
        <v>177</v>
      </c>
      <c r="K122" s="77" t="s">
        <v>111</v>
      </c>
      <c r="L122" s="77" t="s">
        <v>23</v>
      </c>
      <c r="M122" s="77">
        <v>0</v>
      </c>
      <c r="N122" s="77"/>
      <c r="O122" s="77">
        <v>1</v>
      </c>
      <c r="P122" s="77" t="s">
        <v>176</v>
      </c>
      <c r="Q122" s="77" t="s">
        <v>176</v>
      </c>
      <c r="R122" s="77" t="s">
        <v>24</v>
      </c>
      <c r="S122" s="77" t="s">
        <v>3977</v>
      </c>
      <c r="T122" s="80" t="s">
        <v>23</v>
      </c>
      <c r="U122" s="77" t="s">
        <v>3999</v>
      </c>
      <c r="V122" s="77" t="s">
        <v>4001</v>
      </c>
      <c r="W122" s="77" t="s">
        <v>24</v>
      </c>
      <c r="X122" s="77" t="s">
        <v>24</v>
      </c>
      <c r="Y122" s="77" t="s">
        <v>176</v>
      </c>
      <c r="Z122" s="81">
        <v>63.724829999999997</v>
      </c>
      <c r="AA122" s="81">
        <v>148.95133999999999</v>
      </c>
      <c r="AB122" s="62">
        <f t="shared" si="1"/>
        <v>212.67616999999998</v>
      </c>
      <c r="AC122" s="87"/>
      <c r="AD122" s="87"/>
      <c r="AE122" s="77"/>
      <c r="AF122" s="77"/>
      <c r="AG122" s="77"/>
      <c r="AH122" s="87">
        <v>0</v>
      </c>
      <c r="AI122" s="87">
        <v>0</v>
      </c>
      <c r="AJ122" s="87">
        <v>0</v>
      </c>
      <c r="AK122" s="87">
        <v>0</v>
      </c>
      <c r="AL122" s="87">
        <v>0</v>
      </c>
      <c r="AM122" s="77">
        <v>0</v>
      </c>
      <c r="AN122" s="77">
        <v>0</v>
      </c>
      <c r="AO122" s="77"/>
      <c r="AP122" s="77"/>
      <c r="AQ122" s="77"/>
      <c r="AR122" s="77"/>
      <c r="AS122" s="77"/>
      <c r="AT122" s="77"/>
      <c r="AU122" s="77"/>
      <c r="AV122" s="77"/>
    </row>
    <row r="123" spans="1:48" s="59" customFormat="1" x14ac:dyDescent="0.2">
      <c r="A123" s="82" t="s">
        <v>892</v>
      </c>
      <c r="B123" s="82" t="s">
        <v>893</v>
      </c>
      <c r="C123" s="82">
        <v>7</v>
      </c>
      <c r="D123" s="82">
        <v>1</v>
      </c>
      <c r="E123" s="82" t="s">
        <v>138</v>
      </c>
      <c r="F123" s="83">
        <v>43363</v>
      </c>
      <c r="G123" s="83" t="s">
        <v>4032</v>
      </c>
      <c r="H123" s="84">
        <v>2.013888888888889E-2</v>
      </c>
      <c r="I123" s="82" t="s">
        <v>884</v>
      </c>
      <c r="J123" s="82" t="s">
        <v>177</v>
      </c>
      <c r="K123" s="82" t="s">
        <v>111</v>
      </c>
      <c r="L123" s="82" t="s">
        <v>23</v>
      </c>
      <c r="M123" s="82">
        <v>0</v>
      </c>
      <c r="N123" s="82"/>
      <c r="O123" s="82">
        <v>1</v>
      </c>
      <c r="P123" s="77" t="s">
        <v>176</v>
      </c>
      <c r="Q123" s="82" t="s">
        <v>176</v>
      </c>
      <c r="R123" s="82" t="s">
        <v>24</v>
      </c>
      <c r="S123" s="82" t="s">
        <v>709</v>
      </c>
      <c r="T123" s="82" t="s">
        <v>23</v>
      </c>
      <c r="U123" s="82" t="s">
        <v>4004</v>
      </c>
      <c r="V123" s="82" t="s">
        <v>4005</v>
      </c>
      <c r="W123" s="77" t="s">
        <v>24</v>
      </c>
      <c r="X123" s="77" t="s">
        <v>24</v>
      </c>
      <c r="Y123" s="82" t="s">
        <v>176</v>
      </c>
      <c r="Z123" s="85" t="s">
        <v>246</v>
      </c>
      <c r="AA123" s="85"/>
      <c r="AB123" s="62" t="e">
        <f t="shared" si="1"/>
        <v>#VALUE!</v>
      </c>
      <c r="AC123" s="88"/>
      <c r="AD123" s="88"/>
      <c r="AE123" s="82"/>
      <c r="AF123" s="82"/>
      <c r="AG123" s="82"/>
      <c r="AH123" s="82"/>
      <c r="AI123" s="82"/>
      <c r="AJ123" s="82"/>
      <c r="AK123" s="82"/>
      <c r="AL123" s="88">
        <v>0</v>
      </c>
      <c r="AM123" s="82">
        <v>0</v>
      </c>
      <c r="AN123" s="82">
        <v>0</v>
      </c>
      <c r="AO123" s="82"/>
      <c r="AP123" s="82" t="s">
        <v>895</v>
      </c>
      <c r="AQ123" s="82"/>
      <c r="AR123" s="82"/>
      <c r="AS123" s="77"/>
      <c r="AT123" s="77"/>
      <c r="AU123" s="77"/>
      <c r="AV123" s="77"/>
    </row>
    <row r="124" spans="1:48" s="59" customFormat="1" x14ac:dyDescent="0.2">
      <c r="A124" s="77" t="s">
        <v>910</v>
      </c>
      <c r="B124" s="77" t="s">
        <v>911</v>
      </c>
      <c r="C124" s="77">
        <v>3</v>
      </c>
      <c r="D124" s="77">
        <v>1</v>
      </c>
      <c r="E124" s="77" t="s">
        <v>272</v>
      </c>
      <c r="F124" s="92">
        <v>43364</v>
      </c>
      <c r="G124" s="83" t="s">
        <v>4032</v>
      </c>
      <c r="H124" s="79">
        <v>2.7777777777777779E-3</v>
      </c>
      <c r="I124" s="77" t="s">
        <v>397</v>
      </c>
      <c r="J124" s="77" t="s">
        <v>255</v>
      </c>
      <c r="K124" s="77" t="s">
        <v>111</v>
      </c>
      <c r="L124" s="77" t="s">
        <v>23</v>
      </c>
      <c r="M124" s="77">
        <v>0</v>
      </c>
      <c r="N124" s="77"/>
      <c r="O124" s="77">
        <v>1</v>
      </c>
      <c r="P124" s="77" t="s">
        <v>1618</v>
      </c>
      <c r="Q124" s="77" t="s">
        <v>1618</v>
      </c>
      <c r="R124" s="77" t="s">
        <v>122</v>
      </c>
      <c r="S124" s="77" t="s">
        <v>1035</v>
      </c>
      <c r="T124" s="80" t="s">
        <v>23</v>
      </c>
      <c r="U124" s="80" t="s">
        <v>3997</v>
      </c>
      <c r="V124" s="80" t="s">
        <v>4006</v>
      </c>
      <c r="W124" s="77" t="s">
        <v>24</v>
      </c>
      <c r="X124" s="77" t="s">
        <v>24</v>
      </c>
      <c r="Y124" s="77">
        <v>17</v>
      </c>
      <c r="Z124" s="81">
        <v>63.731529999999999</v>
      </c>
      <c r="AA124" s="81">
        <v>148.90143</v>
      </c>
      <c r="AB124" s="62">
        <f t="shared" si="1"/>
        <v>212.63296</v>
      </c>
      <c r="AC124" s="87"/>
      <c r="AD124" s="87"/>
      <c r="AE124" s="77"/>
      <c r="AF124" s="77"/>
      <c r="AG124" s="77"/>
      <c r="AH124" s="87">
        <v>0</v>
      </c>
      <c r="AI124" s="87">
        <v>0</v>
      </c>
      <c r="AJ124" s="87">
        <v>0</v>
      </c>
      <c r="AK124" s="87">
        <v>0</v>
      </c>
      <c r="AL124" s="87">
        <v>0</v>
      </c>
      <c r="AM124" s="77">
        <v>0</v>
      </c>
      <c r="AN124" s="77">
        <v>0</v>
      </c>
      <c r="AO124" s="77"/>
      <c r="AP124" s="77" t="s">
        <v>913</v>
      </c>
      <c r="AQ124" s="77"/>
      <c r="AR124" s="77"/>
      <c r="AS124" s="72"/>
      <c r="AT124" s="72"/>
      <c r="AU124" s="72"/>
      <c r="AV124" s="72"/>
    </row>
    <row r="125" spans="1:48" s="59" customFormat="1" x14ac:dyDescent="0.2">
      <c r="A125" s="77" t="s">
        <v>917</v>
      </c>
      <c r="B125" s="77" t="s">
        <v>918</v>
      </c>
      <c r="C125" s="77">
        <v>2</v>
      </c>
      <c r="D125" s="77">
        <v>2</v>
      </c>
      <c r="E125" s="77" t="s">
        <v>10</v>
      </c>
      <c r="F125" s="78">
        <v>43364</v>
      </c>
      <c r="G125" s="83" t="s">
        <v>4032</v>
      </c>
      <c r="H125" s="79">
        <v>3.3333333333333333E-2</v>
      </c>
      <c r="I125" s="77" t="s">
        <v>640</v>
      </c>
      <c r="J125" s="77" t="s">
        <v>64</v>
      </c>
      <c r="K125" s="77" t="s">
        <v>111</v>
      </c>
      <c r="L125" s="77" t="s">
        <v>919</v>
      </c>
      <c r="M125" s="77">
        <v>0</v>
      </c>
      <c r="N125" s="77"/>
      <c r="O125" s="77">
        <v>1</v>
      </c>
      <c r="P125" s="77" t="s">
        <v>1618</v>
      </c>
      <c r="Q125" s="77" t="s">
        <v>2135</v>
      </c>
      <c r="R125" s="77" t="s">
        <v>916</v>
      </c>
      <c r="S125" s="77" t="s">
        <v>1027</v>
      </c>
      <c r="T125" s="82" t="s">
        <v>12</v>
      </c>
      <c r="U125" s="82" t="s">
        <v>3997</v>
      </c>
      <c r="V125" s="82" t="s">
        <v>4005</v>
      </c>
      <c r="W125" s="77" t="s">
        <v>24</v>
      </c>
      <c r="X125" s="77" t="s">
        <v>24</v>
      </c>
      <c r="Y125" s="77" t="s">
        <v>176</v>
      </c>
      <c r="Z125" s="81">
        <v>63.733040000000003</v>
      </c>
      <c r="AA125" s="81">
        <v>148.89510999999999</v>
      </c>
      <c r="AB125" s="62">
        <f t="shared" si="1"/>
        <v>212.62815000000001</v>
      </c>
      <c r="AC125" s="87">
        <v>1</v>
      </c>
      <c r="AD125" s="87" t="s">
        <v>4765</v>
      </c>
      <c r="AE125" s="82"/>
      <c r="AF125" s="82"/>
      <c r="AG125" s="82"/>
      <c r="AH125" s="87">
        <v>0</v>
      </c>
      <c r="AI125" s="87">
        <v>0</v>
      </c>
      <c r="AJ125" s="87">
        <v>0</v>
      </c>
      <c r="AK125" s="87">
        <v>0</v>
      </c>
      <c r="AL125" s="87">
        <v>0</v>
      </c>
      <c r="AM125" s="77">
        <v>0</v>
      </c>
      <c r="AN125" s="77">
        <v>0</v>
      </c>
      <c r="AO125" s="77"/>
      <c r="AP125" s="77" t="s">
        <v>2075</v>
      </c>
      <c r="AQ125" s="77"/>
      <c r="AR125" s="77"/>
    </row>
    <row r="126" spans="1:48" s="59" customFormat="1" x14ac:dyDescent="0.2">
      <c r="A126" s="77" t="s">
        <v>917</v>
      </c>
      <c r="B126" s="77" t="s">
        <v>918</v>
      </c>
      <c r="C126" s="77">
        <v>2</v>
      </c>
      <c r="D126" s="77">
        <v>1</v>
      </c>
      <c r="E126" s="77" t="s">
        <v>10</v>
      </c>
      <c r="F126" s="78">
        <v>43364</v>
      </c>
      <c r="G126" s="83" t="s">
        <v>4032</v>
      </c>
      <c r="H126" s="79">
        <v>3.3333333333333333E-2</v>
      </c>
      <c r="I126" s="77" t="s">
        <v>640</v>
      </c>
      <c r="J126" s="77" t="s">
        <v>64</v>
      </c>
      <c r="K126" s="77" t="s">
        <v>111</v>
      </c>
      <c r="L126" s="77" t="s">
        <v>919</v>
      </c>
      <c r="M126" s="77">
        <v>0</v>
      </c>
      <c r="N126" s="77"/>
      <c r="O126" s="77">
        <v>1</v>
      </c>
      <c r="P126" s="77" t="s">
        <v>1618</v>
      </c>
      <c r="Q126" s="77" t="s">
        <v>2135</v>
      </c>
      <c r="R126" s="77" t="s">
        <v>916</v>
      </c>
      <c r="S126" s="77" t="s">
        <v>1027</v>
      </c>
      <c r="T126" s="82" t="s">
        <v>12</v>
      </c>
      <c r="U126" s="82" t="s">
        <v>3997</v>
      </c>
      <c r="V126" s="82" t="s">
        <v>4005</v>
      </c>
      <c r="W126" s="77" t="s">
        <v>24</v>
      </c>
      <c r="X126" s="77" t="s">
        <v>24</v>
      </c>
      <c r="Y126" s="77" t="s">
        <v>176</v>
      </c>
      <c r="Z126" s="81">
        <v>63.733040000000003</v>
      </c>
      <c r="AA126" s="81">
        <v>148.89510999999999</v>
      </c>
      <c r="AB126" s="62">
        <f t="shared" si="1"/>
        <v>212.62815000000001</v>
      </c>
      <c r="AC126" s="87">
        <v>1</v>
      </c>
      <c r="AD126" s="87"/>
      <c r="AE126" s="77"/>
      <c r="AF126" s="77"/>
      <c r="AG126" s="77"/>
      <c r="AH126" s="87">
        <v>0</v>
      </c>
      <c r="AI126" s="87">
        <v>0</v>
      </c>
      <c r="AJ126" s="87">
        <v>0</v>
      </c>
      <c r="AK126" s="87">
        <v>0</v>
      </c>
      <c r="AL126" s="87">
        <v>0</v>
      </c>
      <c r="AM126" s="77">
        <v>0</v>
      </c>
      <c r="AN126" s="77">
        <v>0</v>
      </c>
      <c r="AO126" s="77"/>
      <c r="AP126" s="77" t="s">
        <v>2074</v>
      </c>
      <c r="AQ126" s="77"/>
      <c r="AR126" s="77"/>
    </row>
    <row r="127" spans="1:48" s="59" customFormat="1" x14ac:dyDescent="0.2">
      <c r="A127" s="77" t="s">
        <v>900</v>
      </c>
      <c r="B127" s="77" t="s">
        <v>901</v>
      </c>
      <c r="C127" s="77">
        <v>1</v>
      </c>
      <c r="D127" s="77">
        <v>1</v>
      </c>
      <c r="E127" s="77" t="s">
        <v>324</v>
      </c>
      <c r="F127" s="78">
        <v>43364</v>
      </c>
      <c r="G127" s="83" t="s">
        <v>4032</v>
      </c>
      <c r="H127" s="79">
        <v>1.4583333333333332E-2</v>
      </c>
      <c r="I127" s="77" t="s">
        <v>884</v>
      </c>
      <c r="J127" s="77" t="s">
        <v>325</v>
      </c>
      <c r="K127" s="77" t="s">
        <v>111</v>
      </c>
      <c r="L127" s="77" t="s">
        <v>23</v>
      </c>
      <c r="M127" s="77">
        <v>0</v>
      </c>
      <c r="N127" s="77"/>
      <c r="O127" s="77">
        <v>1</v>
      </c>
      <c r="P127" s="77" t="s">
        <v>176</v>
      </c>
      <c r="Q127" s="77" t="s">
        <v>176</v>
      </c>
      <c r="R127" s="77" t="s">
        <v>24</v>
      </c>
      <c r="S127" s="77" t="s">
        <v>709</v>
      </c>
      <c r="T127" s="82" t="s">
        <v>23</v>
      </c>
      <c r="U127" s="82" t="s">
        <v>4004</v>
      </c>
      <c r="V127" s="82" t="s">
        <v>4005</v>
      </c>
      <c r="W127" s="77" t="s">
        <v>24</v>
      </c>
      <c r="X127" s="77" t="s">
        <v>24</v>
      </c>
      <c r="Y127" s="77" t="s">
        <v>24</v>
      </c>
      <c r="Z127" s="81">
        <v>63.723010000000002</v>
      </c>
      <c r="AA127" s="81">
        <v>148.88673</v>
      </c>
      <c r="AB127" s="62">
        <f t="shared" si="1"/>
        <v>212.60973999999999</v>
      </c>
      <c r="AC127" s="87"/>
      <c r="AD127" s="87"/>
      <c r="AE127" s="77"/>
      <c r="AF127" s="77"/>
      <c r="AG127" s="77"/>
      <c r="AH127" s="87">
        <v>0</v>
      </c>
      <c r="AI127" s="87">
        <v>0</v>
      </c>
      <c r="AJ127" s="87">
        <v>0</v>
      </c>
      <c r="AK127" s="87">
        <v>0</v>
      </c>
      <c r="AL127" s="87">
        <v>0</v>
      </c>
      <c r="AM127" s="77">
        <v>0</v>
      </c>
      <c r="AN127" s="77">
        <v>0</v>
      </c>
      <c r="AO127" s="77"/>
      <c r="AP127" s="77"/>
      <c r="AQ127" s="77"/>
      <c r="AR127" s="77"/>
    </row>
    <row r="128" spans="1:48" s="59" customFormat="1" x14ac:dyDescent="0.2">
      <c r="A128" s="77" t="s">
        <v>270</v>
      </c>
      <c r="B128" s="77"/>
      <c r="C128" s="77"/>
      <c r="D128" s="77"/>
      <c r="E128" s="77" t="s">
        <v>138</v>
      </c>
      <c r="F128" s="78">
        <v>43366</v>
      </c>
      <c r="G128" s="83" t="s">
        <v>4032</v>
      </c>
      <c r="H128" s="77"/>
      <c r="I128" s="77" t="s">
        <v>398</v>
      </c>
      <c r="J128" s="77" t="s">
        <v>24</v>
      </c>
      <c r="K128" s="77" t="s">
        <v>111</v>
      </c>
      <c r="L128" s="77" t="s">
        <v>23</v>
      </c>
      <c r="M128" s="77">
        <v>1</v>
      </c>
      <c r="N128" s="77"/>
      <c r="O128" s="77">
        <v>1</v>
      </c>
      <c r="P128" s="77" t="s">
        <v>14</v>
      </c>
      <c r="Q128" s="77" t="s">
        <v>14</v>
      </c>
      <c r="R128" s="77" t="s">
        <v>122</v>
      </c>
      <c r="S128" s="77" t="s">
        <v>939</v>
      </c>
      <c r="T128" s="80" t="s">
        <v>23</v>
      </c>
      <c r="U128" s="77" t="s">
        <v>3999</v>
      </c>
      <c r="V128" s="77" t="s">
        <v>4005</v>
      </c>
      <c r="W128" s="77" t="s">
        <v>24</v>
      </c>
      <c r="X128" s="77" t="s">
        <v>24</v>
      </c>
      <c r="Y128" s="77">
        <v>5</v>
      </c>
      <c r="Z128" s="81">
        <v>63.725430000000003</v>
      </c>
      <c r="AA128" s="81">
        <v>148.9597</v>
      </c>
      <c r="AB128" s="62">
        <f t="shared" si="1"/>
        <v>212.68513000000002</v>
      </c>
      <c r="AC128" s="87"/>
      <c r="AD128" s="87"/>
      <c r="AE128" s="82"/>
      <c r="AF128" s="82"/>
      <c r="AG128" s="82"/>
      <c r="AH128" s="87">
        <v>0</v>
      </c>
      <c r="AI128" s="87">
        <v>0</v>
      </c>
      <c r="AJ128" s="87">
        <v>0</v>
      </c>
      <c r="AK128" s="87">
        <v>0</v>
      </c>
      <c r="AL128" s="87">
        <v>0</v>
      </c>
      <c r="AM128" s="77">
        <v>0</v>
      </c>
      <c r="AN128" s="77">
        <v>0</v>
      </c>
      <c r="AO128" s="77"/>
      <c r="AP128" s="77" t="s">
        <v>941</v>
      </c>
      <c r="AQ128" s="77"/>
      <c r="AR128" s="77"/>
      <c r="AS128" s="77"/>
      <c r="AT128" s="77"/>
      <c r="AU128" s="77"/>
      <c r="AV128" s="77"/>
    </row>
    <row r="129" spans="1:48" s="59" customFormat="1" x14ac:dyDescent="0.2">
      <c r="A129" s="77" t="s">
        <v>933</v>
      </c>
      <c r="B129" s="77" t="s">
        <v>937</v>
      </c>
      <c r="C129" s="77">
        <v>2</v>
      </c>
      <c r="D129" s="77">
        <v>1</v>
      </c>
      <c r="E129" s="77" t="s">
        <v>100</v>
      </c>
      <c r="F129" s="78">
        <v>43367</v>
      </c>
      <c r="G129" s="83" t="s">
        <v>4032</v>
      </c>
      <c r="H129" s="79">
        <v>1.1111111111111112E-2</v>
      </c>
      <c r="I129" s="77" t="s">
        <v>397</v>
      </c>
      <c r="J129" s="77" t="s">
        <v>932</v>
      </c>
      <c r="K129" s="77" t="s">
        <v>111</v>
      </c>
      <c r="L129" s="77" t="s">
        <v>23</v>
      </c>
      <c r="M129" s="77">
        <v>0</v>
      </c>
      <c r="N129" s="77"/>
      <c r="O129" s="77">
        <v>1</v>
      </c>
      <c r="P129" s="77" t="s">
        <v>176</v>
      </c>
      <c r="Q129" s="77" t="s">
        <v>176</v>
      </c>
      <c r="R129" s="77" t="s">
        <v>122</v>
      </c>
      <c r="S129" s="77" t="s">
        <v>934</v>
      </c>
      <c r="T129" s="82" t="s">
        <v>23</v>
      </c>
      <c r="U129" s="82" t="s">
        <v>4004</v>
      </c>
      <c r="V129" s="82" t="s">
        <v>4008</v>
      </c>
      <c r="W129" s="77" t="s">
        <v>24</v>
      </c>
      <c r="X129" s="77" t="s">
        <v>24</v>
      </c>
      <c r="Y129" s="77" t="s">
        <v>24</v>
      </c>
      <c r="Z129" s="81">
        <v>63.73798</v>
      </c>
      <c r="AA129" s="81">
        <v>148.90401</v>
      </c>
      <c r="AB129" s="62">
        <f t="shared" si="1"/>
        <v>212.64198999999999</v>
      </c>
      <c r="AC129" s="87"/>
      <c r="AD129" s="87"/>
      <c r="AE129" s="77"/>
      <c r="AF129" s="77"/>
      <c r="AG129" s="77"/>
      <c r="AH129" s="87">
        <v>0</v>
      </c>
      <c r="AI129" s="87">
        <v>0</v>
      </c>
      <c r="AJ129" s="87">
        <v>0</v>
      </c>
      <c r="AK129" s="87">
        <v>0</v>
      </c>
      <c r="AL129" s="87">
        <v>0</v>
      </c>
      <c r="AM129" s="77">
        <v>0</v>
      </c>
      <c r="AN129" s="77">
        <v>0</v>
      </c>
      <c r="AO129" s="77"/>
      <c r="AP129" s="77" t="s">
        <v>935</v>
      </c>
      <c r="AQ129" s="77"/>
      <c r="AR129" s="77"/>
      <c r="AS129" s="82"/>
      <c r="AT129" s="82"/>
      <c r="AU129" s="82"/>
      <c r="AV129" s="82"/>
    </row>
    <row r="130" spans="1:48" s="59" customFormat="1" x14ac:dyDescent="0.2">
      <c r="A130" s="82" t="s">
        <v>957</v>
      </c>
      <c r="B130" s="82" t="s">
        <v>958</v>
      </c>
      <c r="C130" s="82">
        <v>7</v>
      </c>
      <c r="D130" s="82">
        <v>1</v>
      </c>
      <c r="E130" s="82" t="s">
        <v>10</v>
      </c>
      <c r="F130" s="83">
        <v>43368</v>
      </c>
      <c r="G130" s="83" t="s">
        <v>4032</v>
      </c>
      <c r="H130" s="84">
        <v>2.1527777777777781E-2</v>
      </c>
      <c r="I130" s="82" t="s">
        <v>398</v>
      </c>
      <c r="J130" s="82" t="s">
        <v>64</v>
      </c>
      <c r="K130" s="82" t="s">
        <v>102</v>
      </c>
      <c r="L130" s="82" t="s">
        <v>115</v>
      </c>
      <c r="M130" s="82">
        <v>1</v>
      </c>
      <c r="N130" s="82"/>
      <c r="O130" s="82">
        <v>1</v>
      </c>
      <c r="P130" s="77" t="s">
        <v>14</v>
      </c>
      <c r="Q130" s="82" t="s">
        <v>2128</v>
      </c>
      <c r="R130" s="82" t="s">
        <v>122</v>
      </c>
      <c r="S130" s="82" t="s">
        <v>959</v>
      </c>
      <c r="T130" s="82" t="s">
        <v>23</v>
      </c>
      <c r="U130" s="82" t="s">
        <v>3999</v>
      </c>
      <c r="V130" s="82" t="s">
        <v>4006</v>
      </c>
      <c r="W130" s="77" t="s">
        <v>24</v>
      </c>
      <c r="X130" s="77" t="s">
        <v>24</v>
      </c>
      <c r="Y130" s="82">
        <v>13</v>
      </c>
      <c r="Z130" s="85">
        <v>63.732559999999999</v>
      </c>
      <c r="AA130" s="85">
        <v>148.89667</v>
      </c>
      <c r="AB130" s="62">
        <f t="shared" ref="AB130:AB193" si="2">Z130+AA130</f>
        <v>212.62923000000001</v>
      </c>
      <c r="AC130" s="88"/>
      <c r="AD130" s="88"/>
      <c r="AE130" s="82"/>
      <c r="AF130" s="82"/>
      <c r="AG130" s="82"/>
      <c r="AH130" s="88">
        <v>0</v>
      </c>
      <c r="AI130" s="88">
        <v>0</v>
      </c>
      <c r="AJ130" s="88">
        <v>0</v>
      </c>
      <c r="AK130" s="88">
        <v>0</v>
      </c>
      <c r="AL130" s="88">
        <v>6</v>
      </c>
      <c r="AM130" s="82">
        <v>0</v>
      </c>
      <c r="AN130" s="82">
        <v>6</v>
      </c>
      <c r="AO130" s="82"/>
      <c r="AP130" s="82"/>
      <c r="AQ130" s="82"/>
      <c r="AR130" s="82"/>
    </row>
    <row r="131" spans="1:48" s="59" customFormat="1" x14ac:dyDescent="0.2">
      <c r="A131" s="77" t="s">
        <v>270</v>
      </c>
      <c r="B131" s="77"/>
      <c r="C131" s="77"/>
      <c r="D131" s="77"/>
      <c r="E131" s="77" t="s">
        <v>10</v>
      </c>
      <c r="F131" s="78">
        <v>43368</v>
      </c>
      <c r="G131" s="83" t="s">
        <v>4032</v>
      </c>
      <c r="H131" s="77"/>
      <c r="I131" s="77" t="s">
        <v>398</v>
      </c>
      <c r="J131" s="77" t="s">
        <v>64</v>
      </c>
      <c r="K131" s="77" t="s">
        <v>111</v>
      </c>
      <c r="L131" s="77" t="s">
        <v>115</v>
      </c>
      <c r="M131" s="77">
        <v>0</v>
      </c>
      <c r="N131" s="77"/>
      <c r="O131" s="77">
        <v>1</v>
      </c>
      <c r="P131" s="77" t="s">
        <v>461</v>
      </c>
      <c r="Q131" s="77" t="s">
        <v>2125</v>
      </c>
      <c r="R131" s="77" t="s">
        <v>115</v>
      </c>
      <c r="S131" s="77" t="s">
        <v>645</v>
      </c>
      <c r="T131" s="82" t="s">
        <v>23</v>
      </c>
      <c r="U131" s="82" t="s">
        <v>3999</v>
      </c>
      <c r="V131" s="82" t="s">
        <v>4006</v>
      </c>
      <c r="W131" s="77" t="s">
        <v>24</v>
      </c>
      <c r="X131" s="77" t="s">
        <v>24</v>
      </c>
      <c r="Y131" s="77">
        <v>18</v>
      </c>
      <c r="Z131" s="81">
        <v>63.732320000000001</v>
      </c>
      <c r="AA131" s="81">
        <v>148.89685</v>
      </c>
      <c r="AB131" s="62">
        <f t="shared" si="2"/>
        <v>212.62916999999999</v>
      </c>
      <c r="AC131" s="87"/>
      <c r="AD131" s="87"/>
      <c r="AE131" s="77"/>
      <c r="AF131" s="77"/>
      <c r="AG131" s="77"/>
      <c r="AH131" s="87">
        <v>0</v>
      </c>
      <c r="AI131" s="87">
        <v>0</v>
      </c>
      <c r="AJ131" s="87">
        <v>0</v>
      </c>
      <c r="AK131" s="87">
        <v>0</v>
      </c>
      <c r="AL131" s="87">
        <v>0</v>
      </c>
      <c r="AM131" s="77">
        <v>0</v>
      </c>
      <c r="AN131" s="77">
        <v>0</v>
      </c>
      <c r="AO131" s="77"/>
      <c r="AP131" s="77" t="s">
        <v>953</v>
      </c>
      <c r="AQ131" s="77"/>
      <c r="AR131" s="77"/>
    </row>
    <row r="132" spans="1:48" s="59" customFormat="1" x14ac:dyDescent="0.2">
      <c r="A132" s="77" t="s">
        <v>960</v>
      </c>
      <c r="B132" s="77" t="s">
        <v>961</v>
      </c>
      <c r="C132" s="77">
        <v>8</v>
      </c>
      <c r="D132" s="77">
        <v>1</v>
      </c>
      <c r="E132" s="77" t="s">
        <v>10</v>
      </c>
      <c r="F132" s="78">
        <v>43368</v>
      </c>
      <c r="G132" s="83" t="s">
        <v>4032</v>
      </c>
      <c r="H132" s="79">
        <v>1.4583333333333332E-2</v>
      </c>
      <c r="I132" s="77" t="s">
        <v>398</v>
      </c>
      <c r="J132" s="77" t="s">
        <v>363</v>
      </c>
      <c r="K132" s="77" t="s">
        <v>111</v>
      </c>
      <c r="L132" s="77" t="s">
        <v>23</v>
      </c>
      <c r="M132" s="77">
        <v>0</v>
      </c>
      <c r="N132" s="77"/>
      <c r="O132" s="77">
        <v>1</v>
      </c>
      <c r="P132" s="77" t="s">
        <v>1618</v>
      </c>
      <c r="Q132" s="77" t="s">
        <v>1618</v>
      </c>
      <c r="R132" s="77" t="s">
        <v>24</v>
      </c>
      <c r="S132" s="77" t="s">
        <v>1264</v>
      </c>
      <c r="T132" s="82" t="s">
        <v>23</v>
      </c>
      <c r="U132" s="82" t="s">
        <v>3999</v>
      </c>
      <c r="V132" s="82" t="s">
        <v>4006</v>
      </c>
      <c r="W132" s="77" t="s">
        <v>24</v>
      </c>
      <c r="X132" s="77" t="s">
        <v>24</v>
      </c>
      <c r="Y132" s="77" t="s">
        <v>24</v>
      </c>
      <c r="Z132" s="81">
        <v>63.732529999999997</v>
      </c>
      <c r="AA132" s="81">
        <v>148.89622</v>
      </c>
      <c r="AB132" s="62">
        <f t="shared" si="2"/>
        <v>212.62875</v>
      </c>
      <c r="AC132" s="87"/>
      <c r="AD132" s="87"/>
      <c r="AE132" s="77"/>
      <c r="AF132" s="77"/>
      <c r="AG132" s="77"/>
      <c r="AH132" s="87">
        <v>0</v>
      </c>
      <c r="AI132" s="87">
        <v>0</v>
      </c>
      <c r="AJ132" s="87">
        <v>0</v>
      </c>
      <c r="AK132" s="87">
        <v>0</v>
      </c>
      <c r="AL132" s="87">
        <v>0</v>
      </c>
      <c r="AM132" s="77">
        <v>0</v>
      </c>
      <c r="AN132" s="77">
        <v>0</v>
      </c>
      <c r="AO132" s="77"/>
      <c r="AP132" s="77" t="s">
        <v>962</v>
      </c>
      <c r="AQ132" s="77"/>
      <c r="AR132" s="77"/>
    </row>
    <row r="133" spans="1:48" s="59" customFormat="1" x14ac:dyDescent="0.2">
      <c r="A133" s="82" t="s">
        <v>1010</v>
      </c>
      <c r="B133" s="82" t="s">
        <v>1011</v>
      </c>
      <c r="C133" s="82">
        <v>5</v>
      </c>
      <c r="D133" s="82">
        <v>1</v>
      </c>
      <c r="E133" s="82" t="s">
        <v>834</v>
      </c>
      <c r="F133" s="83">
        <v>43369</v>
      </c>
      <c r="G133" s="83" t="s">
        <v>4032</v>
      </c>
      <c r="H133" s="84">
        <v>2.361111111111111E-2</v>
      </c>
      <c r="I133" s="82" t="s">
        <v>398</v>
      </c>
      <c r="J133" s="82" t="s">
        <v>466</v>
      </c>
      <c r="K133" s="82" t="s">
        <v>187</v>
      </c>
      <c r="L133" s="82" t="s">
        <v>23</v>
      </c>
      <c r="M133" s="82">
        <v>1</v>
      </c>
      <c r="N133" s="82"/>
      <c r="O133" s="82">
        <v>1</v>
      </c>
      <c r="P133" s="77" t="s">
        <v>598</v>
      </c>
      <c r="Q133" s="82" t="s">
        <v>1012</v>
      </c>
      <c r="R133" s="82" t="s">
        <v>122</v>
      </c>
      <c r="S133" s="82" t="s">
        <v>1013</v>
      </c>
      <c r="T133" s="82" t="s">
        <v>23</v>
      </c>
      <c r="U133" s="82" t="s">
        <v>3999</v>
      </c>
      <c r="V133" s="82" t="s">
        <v>4005</v>
      </c>
      <c r="W133" s="77" t="s">
        <v>24</v>
      </c>
      <c r="X133" s="77" t="s">
        <v>24</v>
      </c>
      <c r="Y133" s="82">
        <v>5</v>
      </c>
      <c r="Z133" s="85">
        <v>63.739980000000003</v>
      </c>
      <c r="AA133" s="85">
        <v>148.90302</v>
      </c>
      <c r="AB133" s="62">
        <f t="shared" si="2"/>
        <v>212.643</v>
      </c>
      <c r="AC133" s="88"/>
      <c r="AD133" s="88"/>
      <c r="AE133" s="77"/>
      <c r="AF133" s="77"/>
      <c r="AG133" s="77"/>
      <c r="AH133" s="88">
        <v>0</v>
      </c>
      <c r="AI133" s="88">
        <v>0</v>
      </c>
      <c r="AJ133" s="88">
        <v>0</v>
      </c>
      <c r="AK133" s="88">
        <v>0</v>
      </c>
      <c r="AL133" s="88">
        <v>6</v>
      </c>
      <c r="AM133" s="82">
        <v>0</v>
      </c>
      <c r="AN133" s="82">
        <v>6</v>
      </c>
      <c r="AO133" s="82"/>
      <c r="AP133" s="82"/>
      <c r="AQ133" s="82"/>
      <c r="AR133" s="82"/>
      <c r="AS133" s="82"/>
      <c r="AT133" s="82"/>
      <c r="AU133" s="82"/>
      <c r="AV133" s="82"/>
    </row>
    <row r="134" spans="1:48" s="68" customFormat="1" x14ac:dyDescent="0.2">
      <c r="A134" s="77" t="s">
        <v>994</v>
      </c>
      <c r="B134" s="77" t="s">
        <v>995</v>
      </c>
      <c r="C134" s="77">
        <v>9</v>
      </c>
      <c r="D134" s="77">
        <v>1</v>
      </c>
      <c r="E134" s="77" t="s">
        <v>791</v>
      </c>
      <c r="F134" s="78">
        <v>43369</v>
      </c>
      <c r="G134" s="83" t="s">
        <v>4032</v>
      </c>
      <c r="H134" s="79">
        <v>6.9444444444444434E-2</v>
      </c>
      <c r="I134" s="77" t="s">
        <v>398</v>
      </c>
      <c r="J134" s="77" t="s">
        <v>927</v>
      </c>
      <c r="K134" s="77" t="s">
        <v>102</v>
      </c>
      <c r="L134" s="77" t="s">
        <v>23</v>
      </c>
      <c r="M134" s="77">
        <v>1</v>
      </c>
      <c r="N134" s="77"/>
      <c r="O134" s="77">
        <v>2</v>
      </c>
      <c r="P134" s="77" t="s">
        <v>176</v>
      </c>
      <c r="Q134" s="77" t="s">
        <v>176</v>
      </c>
      <c r="R134" s="77" t="s">
        <v>134</v>
      </c>
      <c r="S134" s="77" t="s">
        <v>3975</v>
      </c>
      <c r="T134" s="80" t="s">
        <v>23</v>
      </c>
      <c r="U134" s="80" t="s">
        <v>3999</v>
      </c>
      <c r="V134" s="80" t="s">
        <v>4016</v>
      </c>
      <c r="W134" s="77" t="s">
        <v>24</v>
      </c>
      <c r="X134" s="77" t="s">
        <v>24</v>
      </c>
      <c r="Y134" s="77">
        <v>5</v>
      </c>
      <c r="Z134" s="81">
        <v>63.721490000000003</v>
      </c>
      <c r="AA134" s="81">
        <v>148.96460999999999</v>
      </c>
      <c r="AB134" s="62">
        <f t="shared" si="2"/>
        <v>212.68610000000001</v>
      </c>
      <c r="AC134" s="87"/>
      <c r="AD134" s="87"/>
      <c r="AE134" s="77"/>
      <c r="AF134" s="77"/>
      <c r="AG134" s="77"/>
      <c r="AH134" s="87">
        <v>0</v>
      </c>
      <c r="AI134" s="87">
        <v>0</v>
      </c>
      <c r="AJ134" s="87">
        <v>0</v>
      </c>
      <c r="AK134" s="87">
        <v>0</v>
      </c>
      <c r="AL134" s="87">
        <v>0</v>
      </c>
      <c r="AM134" s="77">
        <v>0</v>
      </c>
      <c r="AN134" s="77">
        <v>0</v>
      </c>
      <c r="AO134" s="77"/>
      <c r="AP134" s="77"/>
      <c r="AQ134" s="77"/>
      <c r="AR134" s="77"/>
      <c r="AS134" s="77"/>
      <c r="AT134" s="77"/>
      <c r="AU134" s="77"/>
      <c r="AV134" s="77"/>
    </row>
    <row r="135" spans="1:48" s="68" customFormat="1" x14ac:dyDescent="0.2">
      <c r="A135" s="77" t="s">
        <v>997</v>
      </c>
      <c r="B135" s="77" t="s">
        <v>998</v>
      </c>
      <c r="C135" s="77">
        <v>10</v>
      </c>
      <c r="D135" s="77">
        <v>1</v>
      </c>
      <c r="E135" s="77" t="s">
        <v>791</v>
      </c>
      <c r="F135" s="78">
        <v>43369</v>
      </c>
      <c r="G135" s="83" t="s">
        <v>4032</v>
      </c>
      <c r="H135" s="79">
        <v>1.4583333333333332E-2</v>
      </c>
      <c r="I135" s="77" t="s">
        <v>398</v>
      </c>
      <c r="J135" s="77" t="s">
        <v>927</v>
      </c>
      <c r="K135" s="77" t="s">
        <v>111</v>
      </c>
      <c r="L135" s="77" t="s">
        <v>23</v>
      </c>
      <c r="M135" s="77">
        <v>0</v>
      </c>
      <c r="N135" s="77"/>
      <c r="O135" s="77">
        <v>1</v>
      </c>
      <c r="P135" s="77" t="s">
        <v>176</v>
      </c>
      <c r="Q135" s="77" t="s">
        <v>176</v>
      </c>
      <c r="R135" s="77" t="s">
        <v>115</v>
      </c>
      <c r="S135" s="77" t="s">
        <v>709</v>
      </c>
      <c r="T135" s="82" t="s">
        <v>23</v>
      </c>
      <c r="U135" s="82" t="s">
        <v>4004</v>
      </c>
      <c r="V135" s="82" t="s">
        <v>4005</v>
      </c>
      <c r="W135" s="77" t="s">
        <v>24</v>
      </c>
      <c r="X135" s="77" t="s">
        <v>24</v>
      </c>
      <c r="Y135" s="77">
        <v>8</v>
      </c>
      <c r="Z135" s="81">
        <v>63.721330000000002</v>
      </c>
      <c r="AA135" s="81">
        <v>148.96489</v>
      </c>
      <c r="AB135" s="62">
        <f t="shared" si="2"/>
        <v>212.68621999999999</v>
      </c>
      <c r="AC135" s="87"/>
      <c r="AD135" s="87"/>
      <c r="AE135" s="82"/>
      <c r="AF135" s="82"/>
      <c r="AG135" s="82"/>
      <c r="AH135" s="87">
        <v>0</v>
      </c>
      <c r="AI135" s="87">
        <v>0</v>
      </c>
      <c r="AJ135" s="87">
        <v>0</v>
      </c>
      <c r="AK135" s="87">
        <v>0</v>
      </c>
      <c r="AL135" s="87">
        <v>0</v>
      </c>
      <c r="AM135" s="77">
        <v>0</v>
      </c>
      <c r="AN135" s="77">
        <v>0</v>
      </c>
      <c r="AO135" s="77"/>
      <c r="AP135" s="77" t="s">
        <v>999</v>
      </c>
      <c r="AQ135" s="77"/>
      <c r="AR135" s="77"/>
      <c r="AS135" s="77"/>
      <c r="AT135" s="77"/>
      <c r="AU135" s="77"/>
      <c r="AV135" s="77"/>
    </row>
    <row r="136" spans="1:48" s="68" customFormat="1" x14ac:dyDescent="0.2">
      <c r="A136" s="82" t="s">
        <v>1004</v>
      </c>
      <c r="B136" s="82" t="s">
        <v>1005</v>
      </c>
      <c r="C136" s="82">
        <v>3</v>
      </c>
      <c r="D136" s="82">
        <v>1</v>
      </c>
      <c r="E136" s="82" t="s">
        <v>834</v>
      </c>
      <c r="F136" s="83">
        <v>43369</v>
      </c>
      <c r="G136" s="83" t="s">
        <v>4032</v>
      </c>
      <c r="H136" s="84">
        <v>1.5972222222222224E-2</v>
      </c>
      <c r="I136" s="82" t="s">
        <v>398</v>
      </c>
      <c r="J136" s="82" t="s">
        <v>466</v>
      </c>
      <c r="K136" s="82" t="s">
        <v>187</v>
      </c>
      <c r="L136" s="82" t="s">
        <v>23</v>
      </c>
      <c r="M136" s="82">
        <v>1</v>
      </c>
      <c r="N136" s="82"/>
      <c r="O136" s="82">
        <v>1</v>
      </c>
      <c r="P136" s="77" t="s">
        <v>14</v>
      </c>
      <c r="Q136" s="82" t="s">
        <v>2128</v>
      </c>
      <c r="R136" s="82" t="s">
        <v>122</v>
      </c>
      <c r="S136" s="82" t="s">
        <v>1006</v>
      </c>
      <c r="T136" s="82" t="s">
        <v>23</v>
      </c>
      <c r="U136" s="82" t="s">
        <v>3997</v>
      </c>
      <c r="V136" s="82" t="s">
        <v>4007</v>
      </c>
      <c r="W136" s="77" t="s">
        <v>24</v>
      </c>
      <c r="X136" s="77" t="s">
        <v>24</v>
      </c>
      <c r="Y136" s="82">
        <v>10</v>
      </c>
      <c r="Z136" s="85">
        <v>63.739910000000002</v>
      </c>
      <c r="AA136" s="85">
        <v>148.90183999999999</v>
      </c>
      <c r="AB136" s="62">
        <f t="shared" si="2"/>
        <v>212.64175</v>
      </c>
      <c r="AC136" s="88"/>
      <c r="AD136" s="88"/>
      <c r="AE136" s="82"/>
      <c r="AF136" s="82"/>
      <c r="AG136" s="82"/>
      <c r="AH136" s="88">
        <v>0</v>
      </c>
      <c r="AI136" s="88">
        <v>0</v>
      </c>
      <c r="AJ136" s="88">
        <v>0</v>
      </c>
      <c r="AK136" s="88">
        <v>0</v>
      </c>
      <c r="AL136" s="88">
        <v>11</v>
      </c>
      <c r="AM136" s="82">
        <v>0</v>
      </c>
      <c r="AN136" s="82">
        <v>11</v>
      </c>
      <c r="AO136" s="82"/>
      <c r="AP136" s="82" t="s">
        <v>1007</v>
      </c>
      <c r="AQ136" s="82"/>
      <c r="AR136" s="82"/>
      <c r="AS136" s="77"/>
      <c r="AT136" s="77"/>
      <c r="AU136" s="77"/>
      <c r="AV136" s="77"/>
    </row>
    <row r="137" spans="1:48" s="68" customFormat="1" x14ac:dyDescent="0.2">
      <c r="A137" s="77" t="s">
        <v>1024</v>
      </c>
      <c r="B137" s="77" t="s">
        <v>1019</v>
      </c>
      <c r="C137" s="77">
        <v>9</v>
      </c>
      <c r="D137" s="77">
        <v>1</v>
      </c>
      <c r="E137" s="77" t="s">
        <v>834</v>
      </c>
      <c r="F137" s="78">
        <v>43369</v>
      </c>
      <c r="G137" s="83" t="s">
        <v>4032</v>
      </c>
      <c r="H137" s="79">
        <v>3.3333333333333333E-2</v>
      </c>
      <c r="I137" s="77" t="s">
        <v>398</v>
      </c>
      <c r="J137" s="77" t="s">
        <v>466</v>
      </c>
      <c r="K137" s="77" t="s">
        <v>187</v>
      </c>
      <c r="L137" s="77" t="s">
        <v>23</v>
      </c>
      <c r="M137" s="77">
        <v>1</v>
      </c>
      <c r="N137" s="77"/>
      <c r="O137" s="77">
        <v>1</v>
      </c>
      <c r="P137" s="77" t="s">
        <v>598</v>
      </c>
      <c r="Q137" s="77" t="s">
        <v>1012</v>
      </c>
      <c r="R137" s="77" t="s">
        <v>122</v>
      </c>
      <c r="S137" s="77" t="s">
        <v>2068</v>
      </c>
      <c r="T137" s="80" t="s">
        <v>23</v>
      </c>
      <c r="U137" s="80" t="s">
        <v>3997</v>
      </c>
      <c r="V137" s="80" t="s">
        <v>4005</v>
      </c>
      <c r="W137" s="77" t="s">
        <v>24</v>
      </c>
      <c r="X137" s="77" t="s">
        <v>24</v>
      </c>
      <c r="Y137" s="77">
        <v>10</v>
      </c>
      <c r="Z137" s="81">
        <v>63.739829999999998</v>
      </c>
      <c r="AA137" s="81">
        <v>148.90535</v>
      </c>
      <c r="AB137" s="62">
        <f t="shared" si="2"/>
        <v>212.64517999999998</v>
      </c>
      <c r="AC137" s="87"/>
      <c r="AD137" s="87"/>
      <c r="AE137" s="77"/>
      <c r="AF137" s="77"/>
      <c r="AG137" s="77"/>
      <c r="AH137" s="87">
        <v>0</v>
      </c>
      <c r="AI137" s="87">
        <v>0</v>
      </c>
      <c r="AJ137" s="87">
        <v>0</v>
      </c>
      <c r="AK137" s="87">
        <v>0</v>
      </c>
      <c r="AL137" s="87">
        <v>0</v>
      </c>
      <c r="AM137" s="77">
        <v>0</v>
      </c>
      <c r="AN137" s="77">
        <v>0</v>
      </c>
      <c r="AO137" s="77"/>
      <c r="AP137" s="77" t="s">
        <v>1269</v>
      </c>
      <c r="AQ137" s="77"/>
      <c r="AR137" s="77"/>
      <c r="AS137" s="77"/>
      <c r="AT137" s="77"/>
      <c r="AU137" s="77"/>
      <c r="AV137" s="77"/>
    </row>
    <row r="138" spans="1:48" s="68" customFormat="1" x14ac:dyDescent="0.2">
      <c r="A138" s="77" t="s">
        <v>984</v>
      </c>
      <c r="B138" s="77" t="s">
        <v>985</v>
      </c>
      <c r="C138" s="77">
        <v>4</v>
      </c>
      <c r="D138" s="77">
        <v>1</v>
      </c>
      <c r="E138" s="77" t="s">
        <v>140</v>
      </c>
      <c r="F138" s="78">
        <v>43369</v>
      </c>
      <c r="G138" s="83" t="s">
        <v>4032</v>
      </c>
      <c r="H138" s="79">
        <v>4.8611111111111112E-3</v>
      </c>
      <c r="I138" s="77" t="s">
        <v>398</v>
      </c>
      <c r="J138" s="77" t="s">
        <v>548</v>
      </c>
      <c r="K138" s="77" t="s">
        <v>111</v>
      </c>
      <c r="L138" s="77" t="s">
        <v>12</v>
      </c>
      <c r="M138" s="77">
        <v>0</v>
      </c>
      <c r="N138" s="77"/>
      <c r="O138" s="77">
        <v>1</v>
      </c>
      <c r="P138" s="77" t="s">
        <v>176</v>
      </c>
      <c r="Q138" s="77" t="s">
        <v>176</v>
      </c>
      <c r="R138" s="77" t="s">
        <v>125</v>
      </c>
      <c r="S138" s="77" t="s">
        <v>558</v>
      </c>
      <c r="T138" s="82" t="s">
        <v>12</v>
      </c>
      <c r="U138" s="82" t="s">
        <v>4004</v>
      </c>
      <c r="V138" s="82" t="s">
        <v>4008</v>
      </c>
      <c r="W138" s="77" t="s">
        <v>24</v>
      </c>
      <c r="X138" s="77" t="s">
        <v>24</v>
      </c>
      <c r="Y138" s="77">
        <v>25</v>
      </c>
      <c r="Z138" s="81">
        <v>63.724290000000003</v>
      </c>
      <c r="AA138" s="81">
        <v>148.94922</v>
      </c>
      <c r="AB138" s="62">
        <f t="shared" si="2"/>
        <v>212.67350999999999</v>
      </c>
      <c r="AC138" s="87"/>
      <c r="AD138" s="87"/>
      <c r="AE138" s="82"/>
      <c r="AF138" s="82"/>
      <c r="AG138" s="82"/>
      <c r="AH138" s="87">
        <v>0</v>
      </c>
      <c r="AI138" s="87">
        <v>0</v>
      </c>
      <c r="AJ138" s="87">
        <v>0</v>
      </c>
      <c r="AK138" s="87">
        <v>0</v>
      </c>
      <c r="AL138" s="87">
        <v>0</v>
      </c>
      <c r="AM138" s="77">
        <v>0</v>
      </c>
      <c r="AN138" s="77">
        <v>0</v>
      </c>
      <c r="AO138" s="77"/>
      <c r="AP138" s="77" t="s">
        <v>987</v>
      </c>
      <c r="AQ138" s="77"/>
      <c r="AR138" s="77"/>
      <c r="AS138" s="77"/>
      <c r="AT138" s="77"/>
      <c r="AU138" s="77"/>
      <c r="AV138" s="77"/>
    </row>
    <row r="139" spans="1:48" s="68" customFormat="1" x14ac:dyDescent="0.2">
      <c r="A139" s="77" t="s">
        <v>1000</v>
      </c>
      <c r="B139" s="77" t="s">
        <v>1001</v>
      </c>
      <c r="C139" s="77">
        <v>1</v>
      </c>
      <c r="D139" s="77">
        <v>1</v>
      </c>
      <c r="E139" s="77" t="s">
        <v>834</v>
      </c>
      <c r="F139" s="78">
        <v>43369</v>
      </c>
      <c r="G139" s="83" t="s">
        <v>4032</v>
      </c>
      <c r="H139" s="79">
        <v>9.0277777777777787E-3</v>
      </c>
      <c r="I139" s="77" t="s">
        <v>398</v>
      </c>
      <c r="J139" s="77" t="s">
        <v>466</v>
      </c>
      <c r="K139" s="77" t="s">
        <v>111</v>
      </c>
      <c r="L139" s="77" t="s">
        <v>23</v>
      </c>
      <c r="M139" s="77">
        <v>0</v>
      </c>
      <c r="N139" s="77"/>
      <c r="O139" s="77">
        <v>1</v>
      </c>
      <c r="P139" s="77" t="s">
        <v>176</v>
      </c>
      <c r="Q139" s="77" t="s">
        <v>176</v>
      </c>
      <c r="R139" s="77" t="s">
        <v>24</v>
      </c>
      <c r="S139" s="77" t="s">
        <v>709</v>
      </c>
      <c r="T139" s="80" t="s">
        <v>23</v>
      </c>
      <c r="U139" s="80" t="s">
        <v>4004</v>
      </c>
      <c r="V139" s="80" t="s">
        <v>4005</v>
      </c>
      <c r="W139" s="77" t="s">
        <v>24</v>
      </c>
      <c r="X139" s="77" t="s">
        <v>24</v>
      </c>
      <c r="Y139" s="77" t="s">
        <v>24</v>
      </c>
      <c r="Z139" s="81">
        <v>63.737909999999999</v>
      </c>
      <c r="AA139" s="81">
        <v>148.90565000000001</v>
      </c>
      <c r="AB139" s="62">
        <f t="shared" si="2"/>
        <v>212.64356000000001</v>
      </c>
      <c r="AC139" s="87"/>
      <c r="AD139" s="87"/>
      <c r="AE139" s="77"/>
      <c r="AF139" s="77"/>
      <c r="AG139" s="77"/>
      <c r="AH139" s="87">
        <v>0</v>
      </c>
      <c r="AI139" s="87">
        <v>0</v>
      </c>
      <c r="AJ139" s="87">
        <v>0</v>
      </c>
      <c r="AK139" s="87">
        <v>0</v>
      </c>
      <c r="AL139" s="87">
        <v>0</v>
      </c>
      <c r="AM139" s="77">
        <v>0</v>
      </c>
      <c r="AN139" s="77">
        <v>0</v>
      </c>
      <c r="AO139" s="77"/>
      <c r="AP139" s="77"/>
      <c r="AQ139" s="77"/>
      <c r="AR139" s="77"/>
      <c r="AS139" s="77"/>
      <c r="AT139" s="77"/>
      <c r="AU139" s="77"/>
      <c r="AV139" s="77"/>
    </row>
    <row r="140" spans="1:48" s="68" customFormat="1" x14ac:dyDescent="0.2">
      <c r="A140" s="77" t="s">
        <v>1018</v>
      </c>
      <c r="B140" s="77" t="s">
        <v>1020</v>
      </c>
      <c r="C140" s="77">
        <v>7</v>
      </c>
      <c r="D140" s="77">
        <v>1</v>
      </c>
      <c r="E140" s="77" t="s">
        <v>834</v>
      </c>
      <c r="F140" s="78">
        <v>43369</v>
      </c>
      <c r="G140" s="83" t="s">
        <v>4032</v>
      </c>
      <c r="H140" s="79">
        <v>1.1805555555555555E-2</v>
      </c>
      <c r="I140" s="77" t="s">
        <v>398</v>
      </c>
      <c r="J140" s="77" t="s">
        <v>466</v>
      </c>
      <c r="K140" s="77" t="s">
        <v>111</v>
      </c>
      <c r="L140" s="77" t="s">
        <v>23</v>
      </c>
      <c r="M140" s="77">
        <v>0</v>
      </c>
      <c r="N140" s="77"/>
      <c r="O140" s="77">
        <v>1</v>
      </c>
      <c r="P140" s="77" t="s">
        <v>176</v>
      </c>
      <c r="Q140" s="77" t="s">
        <v>176</v>
      </c>
      <c r="R140" s="77" t="s">
        <v>24</v>
      </c>
      <c r="S140" s="77" t="s">
        <v>709</v>
      </c>
      <c r="T140" s="80" t="s">
        <v>23</v>
      </c>
      <c r="U140" s="80" t="s">
        <v>4004</v>
      </c>
      <c r="V140" s="80" t="s">
        <v>4005</v>
      </c>
      <c r="W140" s="77" t="s">
        <v>24</v>
      </c>
      <c r="X140" s="77" t="s">
        <v>24</v>
      </c>
      <c r="Y140" s="77" t="s">
        <v>24</v>
      </c>
      <c r="Z140" s="81">
        <v>63.739550000000001</v>
      </c>
      <c r="AA140" s="81">
        <v>148.90470999999999</v>
      </c>
      <c r="AB140" s="62">
        <f t="shared" si="2"/>
        <v>212.64426</v>
      </c>
      <c r="AC140" s="87"/>
      <c r="AD140" s="87"/>
      <c r="AE140" s="77"/>
      <c r="AF140" s="77"/>
      <c r="AG140" s="77"/>
      <c r="AH140" s="87">
        <v>0</v>
      </c>
      <c r="AI140" s="87">
        <v>0</v>
      </c>
      <c r="AJ140" s="87">
        <v>0</v>
      </c>
      <c r="AK140" s="87">
        <v>0</v>
      </c>
      <c r="AL140" s="87">
        <v>0</v>
      </c>
      <c r="AM140" s="77">
        <v>0</v>
      </c>
      <c r="AN140" s="77">
        <v>0</v>
      </c>
      <c r="AO140" s="77"/>
      <c r="AP140" s="77" t="s">
        <v>1021</v>
      </c>
      <c r="AQ140" s="77"/>
      <c r="AR140" s="77"/>
      <c r="AS140" s="82"/>
      <c r="AT140" s="82"/>
      <c r="AU140" s="82"/>
      <c r="AV140" s="82"/>
    </row>
    <row r="141" spans="1:48" s="72" customFormat="1" x14ac:dyDescent="0.2">
      <c r="A141" s="77" t="s">
        <v>1025</v>
      </c>
      <c r="B141" s="77" t="s">
        <v>1026</v>
      </c>
      <c r="C141" s="77">
        <v>10</v>
      </c>
      <c r="D141" s="77">
        <v>1</v>
      </c>
      <c r="E141" s="77" t="s">
        <v>834</v>
      </c>
      <c r="F141" s="78">
        <v>43369</v>
      </c>
      <c r="G141" s="83" t="s">
        <v>4032</v>
      </c>
      <c r="H141" s="79">
        <v>1.7361111111111112E-2</v>
      </c>
      <c r="I141" s="77" t="s">
        <v>398</v>
      </c>
      <c r="J141" s="77" t="s">
        <v>466</v>
      </c>
      <c r="K141" s="77" t="s">
        <v>111</v>
      </c>
      <c r="L141" s="77" t="s">
        <v>12</v>
      </c>
      <c r="M141" s="77">
        <v>0</v>
      </c>
      <c r="N141" s="77"/>
      <c r="O141" s="77">
        <v>1</v>
      </c>
      <c r="P141" s="77" t="s">
        <v>598</v>
      </c>
      <c r="Q141" s="77" t="s">
        <v>1012</v>
      </c>
      <c r="R141" s="77" t="s">
        <v>115</v>
      </c>
      <c r="S141" s="77" t="s">
        <v>1027</v>
      </c>
      <c r="T141" s="80" t="s">
        <v>23</v>
      </c>
      <c r="U141" s="80" t="s">
        <v>3997</v>
      </c>
      <c r="V141" s="80" t="s">
        <v>4005</v>
      </c>
      <c r="W141" s="77" t="s">
        <v>24</v>
      </c>
      <c r="X141" s="77" t="s">
        <v>24</v>
      </c>
      <c r="Y141" s="77" t="s">
        <v>24</v>
      </c>
      <c r="Z141" s="81">
        <v>63.740020000000001</v>
      </c>
      <c r="AA141" s="81">
        <v>148.90588</v>
      </c>
      <c r="AB141" s="62">
        <f t="shared" si="2"/>
        <v>212.64589999999998</v>
      </c>
      <c r="AC141" s="87"/>
      <c r="AD141" s="87"/>
      <c r="AE141" s="77"/>
      <c r="AF141" s="77"/>
      <c r="AG141" s="77"/>
      <c r="AH141" s="87">
        <v>0</v>
      </c>
      <c r="AI141" s="87">
        <v>0</v>
      </c>
      <c r="AJ141" s="87">
        <v>0</v>
      </c>
      <c r="AK141" s="87">
        <v>0</v>
      </c>
      <c r="AL141" s="87">
        <v>0</v>
      </c>
      <c r="AM141" s="77">
        <v>0</v>
      </c>
      <c r="AN141" s="77">
        <v>0</v>
      </c>
      <c r="AO141" s="77"/>
      <c r="AP141" s="77" t="s">
        <v>1028</v>
      </c>
      <c r="AQ141" s="77"/>
      <c r="AR141" s="77"/>
      <c r="AS141" s="77"/>
      <c r="AT141" s="77"/>
      <c r="AU141" s="77"/>
      <c r="AV141" s="77"/>
    </row>
    <row r="142" spans="1:48" s="72" customFormat="1" x14ac:dyDescent="0.2">
      <c r="A142" s="77" t="s">
        <v>1029</v>
      </c>
      <c r="B142" s="77" t="s">
        <v>1030</v>
      </c>
      <c r="C142" s="77">
        <v>11</v>
      </c>
      <c r="D142" s="77">
        <v>1</v>
      </c>
      <c r="E142" s="77" t="s">
        <v>834</v>
      </c>
      <c r="F142" s="78">
        <v>43369</v>
      </c>
      <c r="G142" s="83" t="s">
        <v>4032</v>
      </c>
      <c r="H142" s="79">
        <v>1.1805555555555555E-2</v>
      </c>
      <c r="I142" s="77" t="s">
        <v>398</v>
      </c>
      <c r="J142" s="77" t="s">
        <v>466</v>
      </c>
      <c r="K142" s="77" t="s">
        <v>111</v>
      </c>
      <c r="L142" s="77" t="s">
        <v>23</v>
      </c>
      <c r="M142" s="77">
        <v>0</v>
      </c>
      <c r="N142" s="77"/>
      <c r="O142" s="77">
        <v>1</v>
      </c>
      <c r="P142" s="77" t="s">
        <v>176</v>
      </c>
      <c r="Q142" s="77" t="s">
        <v>176</v>
      </c>
      <c r="R142" s="77" t="s">
        <v>24</v>
      </c>
      <c r="S142" s="77" t="s">
        <v>1031</v>
      </c>
      <c r="T142" s="80" t="s">
        <v>23</v>
      </c>
      <c r="U142" s="80" t="s">
        <v>3997</v>
      </c>
      <c r="V142" s="80" t="s">
        <v>4005</v>
      </c>
      <c r="W142" s="77" t="s">
        <v>24</v>
      </c>
      <c r="X142" s="77" t="s">
        <v>24</v>
      </c>
      <c r="Y142" s="77" t="s">
        <v>24</v>
      </c>
      <c r="Z142" s="81">
        <v>63.74024</v>
      </c>
      <c r="AA142" s="81">
        <v>148.90630999999999</v>
      </c>
      <c r="AB142" s="62">
        <f t="shared" si="2"/>
        <v>212.64654999999999</v>
      </c>
      <c r="AC142" s="87"/>
      <c r="AD142" s="87"/>
      <c r="AE142" s="82"/>
      <c r="AF142" s="82"/>
      <c r="AG142" s="82"/>
      <c r="AH142" s="87">
        <v>0</v>
      </c>
      <c r="AI142" s="87">
        <v>0</v>
      </c>
      <c r="AJ142" s="87">
        <v>0</v>
      </c>
      <c r="AK142" s="87">
        <v>0</v>
      </c>
      <c r="AL142" s="87">
        <v>0</v>
      </c>
      <c r="AM142" s="77">
        <v>0</v>
      </c>
      <c r="AN142" s="77">
        <v>0</v>
      </c>
      <c r="AO142" s="77"/>
      <c r="AP142" s="77" t="s">
        <v>1032</v>
      </c>
      <c r="AQ142" s="77"/>
      <c r="AR142" s="77"/>
      <c r="AS142" s="77"/>
      <c r="AT142" s="77"/>
      <c r="AU142" s="77"/>
      <c r="AV142" s="77"/>
    </row>
    <row r="143" spans="1:48" s="72" customFormat="1" x14ac:dyDescent="0.2">
      <c r="A143" s="77" t="s">
        <v>982</v>
      </c>
      <c r="B143" s="77" t="s">
        <v>983</v>
      </c>
      <c r="C143" s="77">
        <v>3</v>
      </c>
      <c r="D143" s="77">
        <v>3</v>
      </c>
      <c r="E143" s="77" t="s">
        <v>140</v>
      </c>
      <c r="F143" s="78">
        <v>43369</v>
      </c>
      <c r="G143" s="83" t="s">
        <v>4032</v>
      </c>
      <c r="H143" s="79">
        <v>4.8611111111111112E-2</v>
      </c>
      <c r="I143" s="77" t="s">
        <v>398</v>
      </c>
      <c r="J143" s="77" t="s">
        <v>548</v>
      </c>
      <c r="K143" s="77" t="s">
        <v>111</v>
      </c>
      <c r="L143" s="77" t="s">
        <v>919</v>
      </c>
      <c r="M143" s="77">
        <v>0</v>
      </c>
      <c r="N143" s="77"/>
      <c r="O143" s="77">
        <v>1</v>
      </c>
      <c r="P143" s="77" t="s">
        <v>176</v>
      </c>
      <c r="Q143" s="77" t="s">
        <v>176</v>
      </c>
      <c r="R143" s="77" t="s">
        <v>24</v>
      </c>
      <c r="S143" s="77" t="s">
        <v>1035</v>
      </c>
      <c r="T143" s="82" t="s">
        <v>23</v>
      </c>
      <c r="U143" s="82" t="s">
        <v>3997</v>
      </c>
      <c r="V143" s="82" t="s">
        <v>4006</v>
      </c>
      <c r="W143" s="77" t="s">
        <v>24</v>
      </c>
      <c r="X143" s="77" t="s">
        <v>24</v>
      </c>
      <c r="Y143" s="77" t="s">
        <v>24</v>
      </c>
      <c r="Z143" s="81">
        <v>63.724350000000001</v>
      </c>
      <c r="AA143" s="81">
        <v>148.95016000000001</v>
      </c>
      <c r="AB143" s="62">
        <f t="shared" si="2"/>
        <v>212.67451</v>
      </c>
      <c r="AC143" s="87"/>
      <c r="AD143" s="87"/>
      <c r="AE143" s="77"/>
      <c r="AF143" s="77"/>
      <c r="AG143" s="77"/>
      <c r="AH143" s="87">
        <v>0</v>
      </c>
      <c r="AI143" s="87">
        <v>0</v>
      </c>
      <c r="AJ143" s="87">
        <v>0</v>
      </c>
      <c r="AK143" s="87">
        <v>0</v>
      </c>
      <c r="AL143" s="87">
        <v>0</v>
      </c>
      <c r="AM143" s="77">
        <v>0</v>
      </c>
      <c r="AN143" s="77">
        <v>0</v>
      </c>
      <c r="AO143" s="77"/>
      <c r="AP143" s="77" t="s">
        <v>1017</v>
      </c>
      <c r="AQ143" s="77"/>
      <c r="AR143" s="77"/>
      <c r="AS143" s="82"/>
      <c r="AT143" s="82"/>
      <c r="AU143" s="82"/>
      <c r="AV143" s="82"/>
    </row>
    <row r="144" spans="1:48" s="72" customFormat="1" x14ac:dyDescent="0.2">
      <c r="A144" s="77" t="s">
        <v>982</v>
      </c>
      <c r="B144" s="77" t="s">
        <v>983</v>
      </c>
      <c r="C144" s="77">
        <v>3</v>
      </c>
      <c r="D144" s="77">
        <v>2</v>
      </c>
      <c r="E144" s="77" t="s">
        <v>140</v>
      </c>
      <c r="F144" s="78">
        <v>43369</v>
      </c>
      <c r="G144" s="83" t="s">
        <v>4032</v>
      </c>
      <c r="H144" s="79">
        <v>4.8611111111111112E-2</v>
      </c>
      <c r="I144" s="77" t="s">
        <v>398</v>
      </c>
      <c r="J144" s="77" t="s">
        <v>548</v>
      </c>
      <c r="K144" s="77" t="s">
        <v>111</v>
      </c>
      <c r="L144" s="77" t="s">
        <v>919</v>
      </c>
      <c r="M144" s="77">
        <v>0</v>
      </c>
      <c r="N144" s="77"/>
      <c r="O144" s="77">
        <v>1</v>
      </c>
      <c r="P144" s="77" t="s">
        <v>176</v>
      </c>
      <c r="Q144" s="77" t="s">
        <v>176</v>
      </c>
      <c r="R144" s="77" t="s">
        <v>24</v>
      </c>
      <c r="S144" s="77" t="s">
        <v>2081</v>
      </c>
      <c r="T144" s="82" t="s">
        <v>12</v>
      </c>
      <c r="U144" s="82" t="s">
        <v>3997</v>
      </c>
      <c r="V144" s="82" t="s">
        <v>4003</v>
      </c>
      <c r="W144" s="77" t="s">
        <v>24</v>
      </c>
      <c r="X144" s="77" t="s">
        <v>24</v>
      </c>
      <c r="Y144" s="77" t="s">
        <v>24</v>
      </c>
      <c r="Z144" s="81">
        <v>63.724469999999997</v>
      </c>
      <c r="AA144" s="81">
        <v>148.95013</v>
      </c>
      <c r="AB144" s="62">
        <f t="shared" si="2"/>
        <v>212.6746</v>
      </c>
      <c r="AC144" s="87"/>
      <c r="AD144" s="87"/>
      <c r="AE144" s="82"/>
      <c r="AF144" s="82"/>
      <c r="AG144" s="82"/>
      <c r="AH144" s="87">
        <v>0</v>
      </c>
      <c r="AI144" s="87">
        <v>0</v>
      </c>
      <c r="AJ144" s="87">
        <v>0</v>
      </c>
      <c r="AK144" s="87">
        <v>0</v>
      </c>
      <c r="AL144" s="87">
        <v>0</v>
      </c>
      <c r="AM144" s="77">
        <v>0</v>
      </c>
      <c r="AN144" s="77">
        <v>0</v>
      </c>
      <c r="AO144" s="77"/>
      <c r="AP144" s="77" t="s">
        <v>1017</v>
      </c>
      <c r="AQ144" s="77"/>
      <c r="AR144" s="77"/>
      <c r="AS144" s="77"/>
      <c r="AT144" s="77"/>
      <c r="AU144" s="77"/>
      <c r="AV144" s="77"/>
    </row>
    <row r="145" spans="1:48" s="72" customFormat="1" x14ac:dyDescent="0.2">
      <c r="A145" s="77" t="s">
        <v>982</v>
      </c>
      <c r="B145" s="77" t="s">
        <v>983</v>
      </c>
      <c r="C145" s="77">
        <v>3</v>
      </c>
      <c r="D145" s="77">
        <v>1</v>
      </c>
      <c r="E145" s="77" t="s">
        <v>140</v>
      </c>
      <c r="F145" s="78">
        <v>43369</v>
      </c>
      <c r="G145" s="83" t="s">
        <v>4032</v>
      </c>
      <c r="H145" s="79">
        <v>4.8611111111111112E-2</v>
      </c>
      <c r="I145" s="77" t="s">
        <v>398</v>
      </c>
      <c r="J145" s="77" t="s">
        <v>548</v>
      </c>
      <c r="K145" s="77" t="s">
        <v>111</v>
      </c>
      <c r="L145" s="77" t="s">
        <v>919</v>
      </c>
      <c r="M145" s="77">
        <v>0</v>
      </c>
      <c r="N145" s="77"/>
      <c r="O145" s="77">
        <v>2</v>
      </c>
      <c r="P145" s="77" t="s">
        <v>176</v>
      </c>
      <c r="Q145" s="77" t="s">
        <v>176</v>
      </c>
      <c r="R145" s="77" t="s">
        <v>24</v>
      </c>
      <c r="S145" s="77" t="s">
        <v>2081</v>
      </c>
      <c r="T145" s="80" t="s">
        <v>12</v>
      </c>
      <c r="U145" s="80" t="s">
        <v>3997</v>
      </c>
      <c r="V145" s="80" t="s">
        <v>4005</v>
      </c>
      <c r="W145" s="77" t="s">
        <v>24</v>
      </c>
      <c r="X145" s="77" t="s">
        <v>24</v>
      </c>
      <c r="Y145" s="77" t="s">
        <v>24</v>
      </c>
      <c r="Z145" s="81">
        <v>63.724490000000003</v>
      </c>
      <c r="AA145" s="81">
        <v>148.95013</v>
      </c>
      <c r="AB145" s="62">
        <f t="shared" si="2"/>
        <v>212.67462</v>
      </c>
      <c r="AC145" s="87"/>
      <c r="AD145" s="87"/>
      <c r="AE145" s="82"/>
      <c r="AF145" s="82"/>
      <c r="AG145" s="82"/>
      <c r="AH145" s="87">
        <v>0</v>
      </c>
      <c r="AI145" s="87">
        <v>0</v>
      </c>
      <c r="AJ145" s="87">
        <v>0</v>
      </c>
      <c r="AK145" s="87">
        <v>0</v>
      </c>
      <c r="AL145" s="87">
        <v>0</v>
      </c>
      <c r="AM145" s="77">
        <v>0</v>
      </c>
      <c r="AN145" s="77">
        <v>0</v>
      </c>
      <c r="AO145" s="77"/>
      <c r="AP145" s="77" t="s">
        <v>1017</v>
      </c>
      <c r="AQ145" s="77"/>
      <c r="AR145" s="77"/>
      <c r="AS145" s="77"/>
      <c r="AT145" s="77"/>
      <c r="AU145" s="77"/>
      <c r="AV145" s="77"/>
    </row>
    <row r="146" spans="1:48" s="72" customFormat="1" x14ac:dyDescent="0.2">
      <c r="A146" s="77" t="s">
        <v>991</v>
      </c>
      <c r="B146" s="77" t="s">
        <v>992</v>
      </c>
      <c r="C146" s="77">
        <v>8</v>
      </c>
      <c r="D146" s="77">
        <v>1</v>
      </c>
      <c r="E146" s="77" t="s">
        <v>791</v>
      </c>
      <c r="F146" s="78">
        <v>43369</v>
      </c>
      <c r="G146" s="83" t="s">
        <v>4032</v>
      </c>
      <c r="H146" s="79">
        <v>6.2499999999999995E-3</v>
      </c>
      <c r="I146" s="77" t="s">
        <v>398</v>
      </c>
      <c r="J146" s="77" t="s">
        <v>924</v>
      </c>
      <c r="K146" s="77" t="s">
        <v>111</v>
      </c>
      <c r="L146" s="77" t="s">
        <v>23</v>
      </c>
      <c r="M146" s="77">
        <v>0</v>
      </c>
      <c r="N146" s="77"/>
      <c r="O146" s="77">
        <v>1</v>
      </c>
      <c r="P146" s="77" t="s">
        <v>176</v>
      </c>
      <c r="Q146" s="77" t="s">
        <v>176</v>
      </c>
      <c r="R146" s="77" t="s">
        <v>122</v>
      </c>
      <c r="S146" s="77" t="s">
        <v>993</v>
      </c>
      <c r="T146" s="82" t="s">
        <v>23</v>
      </c>
      <c r="U146" s="82" t="s">
        <v>3999</v>
      </c>
      <c r="V146" s="82" t="s">
        <v>4002</v>
      </c>
      <c r="W146" s="77" t="s">
        <v>24</v>
      </c>
      <c r="X146" s="77" t="s">
        <v>24</v>
      </c>
      <c r="Y146" s="77" t="s">
        <v>24</v>
      </c>
      <c r="Z146" s="81">
        <v>63.721530000000001</v>
      </c>
      <c r="AA146" s="81">
        <v>148.96460999999999</v>
      </c>
      <c r="AB146" s="62">
        <f t="shared" si="2"/>
        <v>212.68613999999999</v>
      </c>
      <c r="AC146" s="87"/>
      <c r="AD146" s="87"/>
      <c r="AE146" s="82"/>
      <c r="AF146" s="82"/>
      <c r="AG146" s="82"/>
      <c r="AH146" s="87">
        <v>0</v>
      </c>
      <c r="AI146" s="87">
        <v>0</v>
      </c>
      <c r="AJ146" s="87">
        <v>0</v>
      </c>
      <c r="AK146" s="87">
        <v>0</v>
      </c>
      <c r="AL146" s="87">
        <v>0</v>
      </c>
      <c r="AM146" s="77">
        <v>0</v>
      </c>
      <c r="AN146" s="77">
        <v>0</v>
      </c>
      <c r="AO146" s="77"/>
      <c r="AP146" s="77"/>
      <c r="AQ146" s="77"/>
      <c r="AR146" s="77"/>
      <c r="AS146" s="77"/>
      <c r="AT146" s="77"/>
      <c r="AU146" s="77"/>
      <c r="AV146" s="77"/>
    </row>
    <row r="147" spans="1:48" s="72" customFormat="1" x14ac:dyDescent="0.2">
      <c r="A147" s="77" t="s">
        <v>968</v>
      </c>
      <c r="B147" s="77" t="s">
        <v>969</v>
      </c>
      <c r="C147" s="77">
        <v>3</v>
      </c>
      <c r="D147" s="77">
        <v>1</v>
      </c>
      <c r="E147" s="77" t="s">
        <v>791</v>
      </c>
      <c r="F147" s="78">
        <v>43369</v>
      </c>
      <c r="G147" s="83" t="s">
        <v>4032</v>
      </c>
      <c r="H147" s="79">
        <v>3.1944444444444449E-2</v>
      </c>
      <c r="I147" s="77" t="s">
        <v>398</v>
      </c>
      <c r="J147" s="77" t="s">
        <v>927</v>
      </c>
      <c r="K147" s="77" t="s">
        <v>111</v>
      </c>
      <c r="L147" s="77" t="s">
        <v>23</v>
      </c>
      <c r="M147" s="77">
        <v>0</v>
      </c>
      <c r="N147" s="77"/>
      <c r="O147" s="77">
        <v>2</v>
      </c>
      <c r="P147" s="77" t="s">
        <v>176</v>
      </c>
      <c r="Q147" s="77" t="s">
        <v>176</v>
      </c>
      <c r="R147" s="77" t="s">
        <v>24</v>
      </c>
      <c r="S147" s="77" t="s">
        <v>970</v>
      </c>
      <c r="T147" s="80" t="s">
        <v>23</v>
      </c>
      <c r="U147" s="80" t="s">
        <v>4004</v>
      </c>
      <c r="V147" s="80" t="s">
        <v>4005</v>
      </c>
      <c r="W147" s="77" t="s">
        <v>24</v>
      </c>
      <c r="X147" s="77" t="s">
        <v>24</v>
      </c>
      <c r="Y147" s="77" t="s">
        <v>24</v>
      </c>
      <c r="Z147" s="81">
        <v>63.723379999999999</v>
      </c>
      <c r="AA147" s="81">
        <v>148.96933000000001</v>
      </c>
      <c r="AB147" s="62">
        <f t="shared" si="2"/>
        <v>212.69271000000001</v>
      </c>
      <c r="AC147" s="87"/>
      <c r="AD147" s="87"/>
      <c r="AE147" s="77"/>
      <c r="AF147" s="77"/>
      <c r="AG147" s="77"/>
      <c r="AH147" s="87">
        <v>0</v>
      </c>
      <c r="AI147" s="87">
        <v>0</v>
      </c>
      <c r="AJ147" s="87">
        <v>0</v>
      </c>
      <c r="AK147" s="87">
        <v>0</v>
      </c>
      <c r="AL147" s="87">
        <v>0</v>
      </c>
      <c r="AM147" s="77">
        <v>0</v>
      </c>
      <c r="AN147" s="77">
        <v>0</v>
      </c>
      <c r="AO147" s="77"/>
      <c r="AP147" s="77"/>
      <c r="AQ147" s="77"/>
      <c r="AR147" s="77"/>
      <c r="AS147" s="77"/>
      <c r="AT147" s="77"/>
      <c r="AU147" s="77"/>
      <c r="AV147" s="77"/>
    </row>
    <row r="148" spans="1:48" s="72" customFormat="1" x14ac:dyDescent="0.2">
      <c r="A148" s="77" t="s">
        <v>974</v>
      </c>
      <c r="B148" s="77" t="s">
        <v>975</v>
      </c>
      <c r="C148" s="77">
        <v>5</v>
      </c>
      <c r="D148" s="77">
        <v>3</v>
      </c>
      <c r="E148" s="77" t="s">
        <v>791</v>
      </c>
      <c r="F148" s="78">
        <v>43369</v>
      </c>
      <c r="G148" s="83" t="s">
        <v>4032</v>
      </c>
      <c r="H148" s="79">
        <v>7.2916666666666671E-2</v>
      </c>
      <c r="I148" s="77" t="s">
        <v>398</v>
      </c>
      <c r="J148" s="77" t="s">
        <v>927</v>
      </c>
      <c r="K148" s="77" t="s">
        <v>111</v>
      </c>
      <c r="L148" s="77" t="s">
        <v>23</v>
      </c>
      <c r="M148" s="77">
        <v>0</v>
      </c>
      <c r="N148" s="77"/>
      <c r="O148" s="77">
        <v>2</v>
      </c>
      <c r="P148" s="77" t="s">
        <v>176</v>
      </c>
      <c r="Q148" s="77" t="s">
        <v>176</v>
      </c>
      <c r="R148" s="77" t="s">
        <v>24</v>
      </c>
      <c r="S148" s="77" t="s">
        <v>3994</v>
      </c>
      <c r="T148" s="80" t="s">
        <v>23</v>
      </c>
      <c r="U148" s="80" t="s">
        <v>3997</v>
      </c>
      <c r="V148" s="80" t="s">
        <v>4007</v>
      </c>
      <c r="W148" s="77" t="s">
        <v>24</v>
      </c>
      <c r="X148" s="77" t="s">
        <v>24</v>
      </c>
      <c r="Y148" s="77" t="s">
        <v>24</v>
      </c>
      <c r="Z148" s="81">
        <v>63.723230000000001</v>
      </c>
      <c r="AA148" s="81">
        <v>148.97020000000001</v>
      </c>
      <c r="AB148" s="62">
        <f t="shared" si="2"/>
        <v>212.69343000000001</v>
      </c>
      <c r="AC148" s="87"/>
      <c r="AD148" s="87"/>
      <c r="AE148" s="82"/>
      <c r="AF148" s="82"/>
      <c r="AG148" s="82"/>
      <c r="AH148" s="87">
        <v>0</v>
      </c>
      <c r="AI148" s="87">
        <v>0</v>
      </c>
      <c r="AJ148" s="87">
        <v>0</v>
      </c>
      <c r="AK148" s="87">
        <v>0</v>
      </c>
      <c r="AL148" s="87">
        <v>0</v>
      </c>
      <c r="AM148" s="77">
        <v>0</v>
      </c>
      <c r="AN148" s="77">
        <v>0</v>
      </c>
      <c r="AO148" s="77"/>
      <c r="AP148" s="77" t="s">
        <v>2030</v>
      </c>
      <c r="AQ148" s="77"/>
      <c r="AR148" s="77"/>
      <c r="AS148" s="77"/>
      <c r="AT148" s="77"/>
      <c r="AU148" s="77"/>
      <c r="AV148" s="77"/>
    </row>
    <row r="149" spans="1:48" s="72" customFormat="1" x14ac:dyDescent="0.2">
      <c r="A149" s="77" t="s">
        <v>974</v>
      </c>
      <c r="B149" s="77" t="s">
        <v>975</v>
      </c>
      <c r="C149" s="77">
        <v>5</v>
      </c>
      <c r="D149" s="77">
        <v>1</v>
      </c>
      <c r="E149" s="77" t="s">
        <v>791</v>
      </c>
      <c r="F149" s="78">
        <v>43369</v>
      </c>
      <c r="G149" s="83" t="s">
        <v>4032</v>
      </c>
      <c r="H149" s="79">
        <v>7.2916666666666671E-2</v>
      </c>
      <c r="I149" s="77" t="s">
        <v>398</v>
      </c>
      <c r="J149" s="77" t="s">
        <v>927</v>
      </c>
      <c r="K149" s="77" t="s">
        <v>111</v>
      </c>
      <c r="L149" s="77" t="s">
        <v>23</v>
      </c>
      <c r="M149" s="77">
        <v>0</v>
      </c>
      <c r="N149" s="77"/>
      <c r="O149" s="77">
        <v>1</v>
      </c>
      <c r="P149" s="77" t="s">
        <v>176</v>
      </c>
      <c r="Q149" s="77" t="s">
        <v>176</v>
      </c>
      <c r="R149" s="77" t="s">
        <v>24</v>
      </c>
      <c r="S149" s="77" t="s">
        <v>2078</v>
      </c>
      <c r="T149" s="82" t="s">
        <v>3257</v>
      </c>
      <c r="U149" s="82" t="s">
        <v>3997</v>
      </c>
      <c r="V149" s="82" t="s">
        <v>4001</v>
      </c>
      <c r="W149" s="77" t="s">
        <v>24</v>
      </c>
      <c r="X149" s="77" t="s">
        <v>24</v>
      </c>
      <c r="Y149" s="77" t="s">
        <v>24</v>
      </c>
      <c r="Z149" s="81">
        <v>63.723199999999999</v>
      </c>
      <c r="AA149" s="81">
        <v>148.97024999999999</v>
      </c>
      <c r="AB149" s="62">
        <f t="shared" si="2"/>
        <v>212.69344999999998</v>
      </c>
      <c r="AC149" s="87"/>
      <c r="AD149" s="87"/>
      <c r="AE149" s="77"/>
      <c r="AF149" s="77"/>
      <c r="AG149" s="77"/>
      <c r="AH149" s="87">
        <v>0</v>
      </c>
      <c r="AI149" s="87">
        <v>0</v>
      </c>
      <c r="AJ149" s="87">
        <v>0</v>
      </c>
      <c r="AK149" s="87">
        <v>0</v>
      </c>
      <c r="AL149" s="87">
        <v>0</v>
      </c>
      <c r="AM149" s="77">
        <v>0</v>
      </c>
      <c r="AN149" s="77">
        <v>0</v>
      </c>
      <c r="AO149" s="77"/>
      <c r="AP149" s="77" t="s">
        <v>2030</v>
      </c>
      <c r="AQ149" s="77"/>
      <c r="AR149" s="77"/>
      <c r="AS149" s="77"/>
      <c r="AT149" s="77"/>
      <c r="AU149" s="77"/>
      <c r="AV149" s="77"/>
    </row>
    <row r="150" spans="1:48" s="72" customFormat="1" x14ac:dyDescent="0.2">
      <c r="A150" s="77" t="s">
        <v>974</v>
      </c>
      <c r="B150" s="77" t="s">
        <v>975</v>
      </c>
      <c r="C150" s="77">
        <v>5</v>
      </c>
      <c r="D150" s="77">
        <v>2</v>
      </c>
      <c r="E150" s="77" t="s">
        <v>791</v>
      </c>
      <c r="F150" s="78">
        <v>43369</v>
      </c>
      <c r="G150" s="83" t="s">
        <v>4032</v>
      </c>
      <c r="H150" s="79">
        <v>7.2916666666666671E-2</v>
      </c>
      <c r="I150" s="77" t="s">
        <v>398</v>
      </c>
      <c r="J150" s="77" t="s">
        <v>927</v>
      </c>
      <c r="K150" s="77" t="s">
        <v>111</v>
      </c>
      <c r="L150" s="77" t="s">
        <v>23</v>
      </c>
      <c r="M150" s="77">
        <v>0</v>
      </c>
      <c r="N150" s="77"/>
      <c r="O150" s="77">
        <v>1</v>
      </c>
      <c r="P150" s="77" t="s">
        <v>176</v>
      </c>
      <c r="Q150" s="77" t="s">
        <v>176</v>
      </c>
      <c r="R150" s="77" t="s">
        <v>24</v>
      </c>
      <c r="S150" s="77" t="s">
        <v>3968</v>
      </c>
      <c r="T150" s="82" t="s">
        <v>23</v>
      </c>
      <c r="U150" s="82" t="s">
        <v>3999</v>
      </c>
      <c r="V150" s="82" t="s">
        <v>4003</v>
      </c>
      <c r="W150" s="77" t="s">
        <v>24</v>
      </c>
      <c r="X150" s="77" t="s">
        <v>24</v>
      </c>
      <c r="Y150" s="77" t="s">
        <v>24</v>
      </c>
      <c r="Z150" s="81">
        <v>63.723280000000003</v>
      </c>
      <c r="AA150" s="81">
        <v>148.97037</v>
      </c>
      <c r="AB150" s="62">
        <f t="shared" si="2"/>
        <v>212.69364999999999</v>
      </c>
      <c r="AC150" s="87"/>
      <c r="AD150" s="87"/>
      <c r="AE150" s="77"/>
      <c r="AF150" s="77"/>
      <c r="AG150" s="77"/>
      <c r="AH150" s="87">
        <v>0</v>
      </c>
      <c r="AI150" s="87">
        <v>0</v>
      </c>
      <c r="AJ150" s="87">
        <v>0</v>
      </c>
      <c r="AK150" s="87">
        <v>0</v>
      </c>
      <c r="AL150" s="87">
        <v>0</v>
      </c>
      <c r="AM150" s="77">
        <v>0</v>
      </c>
      <c r="AN150" s="77">
        <v>0</v>
      </c>
      <c r="AO150" s="77"/>
      <c r="AP150" s="77" t="s">
        <v>2030</v>
      </c>
      <c r="AQ150" s="77"/>
      <c r="AR150" s="77"/>
      <c r="AS150" s="77"/>
      <c r="AT150" s="77"/>
      <c r="AU150" s="77"/>
      <c r="AV150" s="77"/>
    </row>
    <row r="151" spans="1:48" s="72" customFormat="1" x14ac:dyDescent="0.2">
      <c r="A151" s="77" t="s">
        <v>1033</v>
      </c>
      <c r="B151" s="77" t="s">
        <v>1034</v>
      </c>
      <c r="C151" s="77">
        <v>1</v>
      </c>
      <c r="D151" s="77">
        <v>1</v>
      </c>
      <c r="E151" s="77" t="s">
        <v>395</v>
      </c>
      <c r="F151" s="78">
        <v>43370</v>
      </c>
      <c r="G151" s="83" t="s">
        <v>4032</v>
      </c>
      <c r="H151" s="79">
        <v>1.7361111111111112E-2</v>
      </c>
      <c r="I151" s="77" t="s">
        <v>398</v>
      </c>
      <c r="J151" s="77" t="s">
        <v>2498</v>
      </c>
      <c r="K151" s="77" t="s">
        <v>187</v>
      </c>
      <c r="L151" s="77" t="s">
        <v>23</v>
      </c>
      <c r="M151" s="77">
        <v>1</v>
      </c>
      <c r="N151" s="77"/>
      <c r="O151" s="77">
        <v>1</v>
      </c>
      <c r="P151" s="77" t="s">
        <v>176</v>
      </c>
      <c r="Q151" s="77" t="s">
        <v>176</v>
      </c>
      <c r="R151" s="77" t="s">
        <v>134</v>
      </c>
      <c r="S151" s="77" t="s">
        <v>1035</v>
      </c>
      <c r="T151" s="82" t="s">
        <v>23</v>
      </c>
      <c r="U151" s="82" t="s">
        <v>3997</v>
      </c>
      <c r="V151" s="82" t="s">
        <v>4006</v>
      </c>
      <c r="W151" s="77" t="s">
        <v>24</v>
      </c>
      <c r="X151" s="77" t="s">
        <v>24</v>
      </c>
      <c r="Y151" s="77">
        <v>2</v>
      </c>
      <c r="Z151" s="81">
        <v>63.722810000000003</v>
      </c>
      <c r="AA151" s="81">
        <v>148.98181</v>
      </c>
      <c r="AB151" s="62">
        <f t="shared" si="2"/>
        <v>212.70462000000001</v>
      </c>
      <c r="AC151" s="87"/>
      <c r="AD151" s="87"/>
      <c r="AE151" s="77"/>
      <c r="AF151" s="77"/>
      <c r="AG151" s="77"/>
      <c r="AH151" s="87">
        <v>0</v>
      </c>
      <c r="AI151" s="87">
        <v>0</v>
      </c>
      <c r="AJ151" s="87">
        <v>0</v>
      </c>
      <c r="AK151" s="87">
        <v>0</v>
      </c>
      <c r="AL151" s="87">
        <v>0</v>
      </c>
      <c r="AM151" s="77">
        <v>0</v>
      </c>
      <c r="AN151" s="77">
        <v>0</v>
      </c>
      <c r="AO151" s="77"/>
      <c r="AP151" s="77" t="s">
        <v>1036</v>
      </c>
      <c r="AQ151" s="77"/>
      <c r="AR151" s="77"/>
      <c r="AS151" s="77"/>
      <c r="AT151" s="77"/>
      <c r="AU151" s="77"/>
      <c r="AV151" s="77"/>
    </row>
    <row r="152" spans="1:48" s="72" customFormat="1" x14ac:dyDescent="0.2">
      <c r="A152" s="77" t="s">
        <v>1055</v>
      </c>
      <c r="B152" s="77" t="s">
        <v>1056</v>
      </c>
      <c r="C152" s="77">
        <v>2</v>
      </c>
      <c r="D152" s="77">
        <v>1</v>
      </c>
      <c r="E152" s="77" t="s">
        <v>324</v>
      </c>
      <c r="F152" s="78">
        <v>43370</v>
      </c>
      <c r="G152" s="83" t="s">
        <v>4032</v>
      </c>
      <c r="H152" s="79">
        <v>7.6388888888888886E-3</v>
      </c>
      <c r="I152" s="77" t="s">
        <v>397</v>
      </c>
      <c r="J152" s="77" t="s">
        <v>325</v>
      </c>
      <c r="K152" s="77" t="s">
        <v>111</v>
      </c>
      <c r="L152" s="77" t="s">
        <v>23</v>
      </c>
      <c r="M152" s="77">
        <v>0</v>
      </c>
      <c r="N152" s="77"/>
      <c r="O152" s="77">
        <v>1</v>
      </c>
      <c r="P152" s="77" t="s">
        <v>598</v>
      </c>
      <c r="Q152" s="77" t="s">
        <v>1012</v>
      </c>
      <c r="R152" s="77" t="s">
        <v>115</v>
      </c>
      <c r="S152" s="77" t="s">
        <v>1057</v>
      </c>
      <c r="T152" s="82" t="s">
        <v>23</v>
      </c>
      <c r="U152" s="82" t="s">
        <v>3999</v>
      </c>
      <c r="V152" s="82" t="s">
        <v>4005</v>
      </c>
      <c r="W152" s="77" t="s">
        <v>24</v>
      </c>
      <c r="X152" s="77" t="s">
        <v>24</v>
      </c>
      <c r="Y152" s="77">
        <v>3</v>
      </c>
      <c r="Z152" s="81">
        <v>63.724089999999997</v>
      </c>
      <c r="AA152" s="81">
        <v>148.88977</v>
      </c>
      <c r="AB152" s="62">
        <f t="shared" si="2"/>
        <v>212.61385999999999</v>
      </c>
      <c r="AC152" s="87"/>
      <c r="AD152" s="87"/>
      <c r="AE152" s="77"/>
      <c r="AF152" s="77"/>
      <c r="AG152" s="77"/>
      <c r="AH152" s="87">
        <v>0</v>
      </c>
      <c r="AI152" s="87">
        <v>0</v>
      </c>
      <c r="AJ152" s="87">
        <v>0</v>
      </c>
      <c r="AK152" s="87">
        <v>0</v>
      </c>
      <c r="AL152" s="87">
        <v>0</v>
      </c>
      <c r="AM152" s="77">
        <v>0</v>
      </c>
      <c r="AN152" s="77">
        <v>0</v>
      </c>
      <c r="AO152" s="77"/>
      <c r="AP152" s="77" t="s">
        <v>1058</v>
      </c>
      <c r="AQ152" s="77"/>
      <c r="AR152" s="77"/>
      <c r="AS152" s="59"/>
      <c r="AT152" s="59"/>
      <c r="AU152" s="59"/>
      <c r="AV152" s="59"/>
    </row>
    <row r="153" spans="1:48" s="72" customFormat="1" x14ac:dyDescent="0.2">
      <c r="A153" s="82" t="s">
        <v>270</v>
      </c>
      <c r="B153" s="82"/>
      <c r="C153" s="82"/>
      <c r="D153" s="82"/>
      <c r="E153" s="82" t="s">
        <v>324</v>
      </c>
      <c r="F153" s="83">
        <v>43370</v>
      </c>
      <c r="G153" s="83" t="s">
        <v>4032</v>
      </c>
      <c r="H153" s="82"/>
      <c r="I153" s="82" t="s">
        <v>397</v>
      </c>
      <c r="J153" s="82" t="s">
        <v>325</v>
      </c>
      <c r="K153" s="82" t="s">
        <v>187</v>
      </c>
      <c r="L153" s="82" t="s">
        <v>23</v>
      </c>
      <c r="M153" s="82">
        <v>1</v>
      </c>
      <c r="N153" s="82"/>
      <c r="O153" s="82">
        <v>1</v>
      </c>
      <c r="P153" s="77" t="s">
        <v>176</v>
      </c>
      <c r="Q153" s="82" t="s">
        <v>176</v>
      </c>
      <c r="R153" s="82" t="s">
        <v>122</v>
      </c>
      <c r="S153" s="77" t="s">
        <v>1035</v>
      </c>
      <c r="T153" s="82" t="s">
        <v>23</v>
      </c>
      <c r="U153" s="82" t="s">
        <v>3997</v>
      </c>
      <c r="V153" s="82" t="s">
        <v>4006</v>
      </c>
      <c r="W153" s="77" t="s">
        <v>24</v>
      </c>
      <c r="X153" s="77" t="s">
        <v>24</v>
      </c>
      <c r="Y153" s="82">
        <v>3</v>
      </c>
      <c r="Z153" s="85">
        <v>63.724739999999997</v>
      </c>
      <c r="AA153" s="85">
        <v>148.88999999999999</v>
      </c>
      <c r="AB153" s="62">
        <f t="shared" si="2"/>
        <v>212.61473999999998</v>
      </c>
      <c r="AC153" s="88"/>
      <c r="AD153" s="88"/>
      <c r="AE153" s="82"/>
      <c r="AF153" s="82"/>
      <c r="AG153" s="82"/>
      <c r="AH153" s="88">
        <v>0</v>
      </c>
      <c r="AI153" s="88">
        <v>0</v>
      </c>
      <c r="AJ153" s="88">
        <v>0</v>
      </c>
      <c r="AK153" s="88">
        <v>0</v>
      </c>
      <c r="AL153" s="88">
        <v>2</v>
      </c>
      <c r="AM153" s="82">
        <v>0</v>
      </c>
      <c r="AN153" s="82">
        <v>2</v>
      </c>
      <c r="AO153" s="82"/>
      <c r="AP153" s="82" t="s">
        <v>1062</v>
      </c>
      <c r="AQ153" s="82"/>
      <c r="AR153" s="82"/>
      <c r="AS153" s="59"/>
      <c r="AT153" s="59"/>
      <c r="AU153" s="59"/>
      <c r="AV153" s="59"/>
    </row>
    <row r="154" spans="1:48" s="72" customFormat="1" x14ac:dyDescent="0.2">
      <c r="A154" s="82" t="s">
        <v>1065</v>
      </c>
      <c r="B154" s="82" t="s">
        <v>1066</v>
      </c>
      <c r="C154" s="82">
        <v>5</v>
      </c>
      <c r="D154" s="82">
        <v>1</v>
      </c>
      <c r="E154" s="82" t="s">
        <v>324</v>
      </c>
      <c r="F154" s="83">
        <v>43370</v>
      </c>
      <c r="G154" s="83" t="s">
        <v>4032</v>
      </c>
      <c r="H154" s="84">
        <v>2.1527777777777781E-2</v>
      </c>
      <c r="I154" s="82" t="s">
        <v>397</v>
      </c>
      <c r="J154" s="82" t="s">
        <v>176</v>
      </c>
      <c r="K154" s="82" t="s">
        <v>187</v>
      </c>
      <c r="L154" s="82" t="s">
        <v>23</v>
      </c>
      <c r="M154" s="82">
        <v>1</v>
      </c>
      <c r="N154" s="82"/>
      <c r="O154" s="82">
        <v>1</v>
      </c>
      <c r="P154" s="77" t="s">
        <v>176</v>
      </c>
      <c r="Q154" s="82" t="s">
        <v>176</v>
      </c>
      <c r="R154" s="82" t="s">
        <v>122</v>
      </c>
      <c r="S154" s="82" t="s">
        <v>3963</v>
      </c>
      <c r="T154" s="82" t="s">
        <v>23</v>
      </c>
      <c r="U154" s="82" t="s">
        <v>3997</v>
      </c>
      <c r="V154" s="82" t="s">
        <v>4007</v>
      </c>
      <c r="W154" s="77" t="s">
        <v>24</v>
      </c>
      <c r="X154" s="77" t="s">
        <v>24</v>
      </c>
      <c r="Y154" s="82">
        <v>10</v>
      </c>
      <c r="Z154" s="85">
        <v>63.724850000000004</v>
      </c>
      <c r="AA154" s="85">
        <v>148.88839999999999</v>
      </c>
      <c r="AB154" s="62">
        <f t="shared" si="2"/>
        <v>212.61324999999999</v>
      </c>
      <c r="AC154" s="88"/>
      <c r="AD154" s="88"/>
      <c r="AE154" s="82"/>
      <c r="AF154" s="82"/>
      <c r="AG154" s="82"/>
      <c r="AH154" s="88">
        <v>0</v>
      </c>
      <c r="AI154" s="88">
        <v>0</v>
      </c>
      <c r="AJ154" s="88">
        <v>0</v>
      </c>
      <c r="AK154" s="88">
        <v>0</v>
      </c>
      <c r="AL154" s="88">
        <v>2</v>
      </c>
      <c r="AM154" s="82">
        <v>0</v>
      </c>
      <c r="AN154" s="82">
        <v>2</v>
      </c>
      <c r="AO154" s="82"/>
      <c r="AP154" s="82" t="s">
        <v>1067</v>
      </c>
      <c r="AQ154" s="82"/>
      <c r="AR154" s="82"/>
      <c r="AS154" s="59"/>
      <c r="AT154" s="59"/>
      <c r="AU154" s="59"/>
      <c r="AV154" s="59"/>
    </row>
    <row r="155" spans="1:48" s="72" customFormat="1" x14ac:dyDescent="0.2">
      <c r="A155" s="82" t="s">
        <v>1059</v>
      </c>
      <c r="B155" s="82" t="s">
        <v>1060</v>
      </c>
      <c r="C155" s="82">
        <v>3</v>
      </c>
      <c r="D155" s="82">
        <v>1</v>
      </c>
      <c r="E155" s="82" t="s">
        <v>324</v>
      </c>
      <c r="F155" s="83">
        <v>43370</v>
      </c>
      <c r="G155" s="83" t="s">
        <v>4032</v>
      </c>
      <c r="H155" s="84">
        <v>2.013888888888889E-2</v>
      </c>
      <c r="I155" s="82" t="s">
        <v>397</v>
      </c>
      <c r="J155" s="82" t="s">
        <v>325</v>
      </c>
      <c r="K155" s="82" t="s">
        <v>187</v>
      </c>
      <c r="L155" s="82" t="s">
        <v>23</v>
      </c>
      <c r="M155" s="82">
        <v>1</v>
      </c>
      <c r="N155" s="82"/>
      <c r="O155" s="82">
        <v>1</v>
      </c>
      <c r="P155" s="77" t="s">
        <v>176</v>
      </c>
      <c r="Q155" s="82" t="s">
        <v>176</v>
      </c>
      <c r="R155" s="82" t="s">
        <v>122</v>
      </c>
      <c r="S155" s="82" t="s">
        <v>1057</v>
      </c>
      <c r="T155" s="82" t="s">
        <v>23</v>
      </c>
      <c r="U155" s="82" t="s">
        <v>3999</v>
      </c>
      <c r="V155" s="82" t="s">
        <v>4005</v>
      </c>
      <c r="W155" s="77" t="s">
        <v>24</v>
      </c>
      <c r="X155" s="77" t="s">
        <v>24</v>
      </c>
      <c r="Y155" s="82">
        <v>17</v>
      </c>
      <c r="Z155" s="85">
        <v>63.723649999999999</v>
      </c>
      <c r="AA155" s="85">
        <v>148.88979</v>
      </c>
      <c r="AB155" s="62">
        <f t="shared" si="2"/>
        <v>212.61344</v>
      </c>
      <c r="AC155" s="88"/>
      <c r="AD155" s="88"/>
      <c r="AE155" s="77"/>
      <c r="AF155" s="77"/>
      <c r="AG155" s="77"/>
      <c r="AH155" s="88">
        <v>0</v>
      </c>
      <c r="AI155" s="88">
        <v>0</v>
      </c>
      <c r="AJ155" s="88">
        <v>0</v>
      </c>
      <c r="AK155" s="88">
        <v>0</v>
      </c>
      <c r="AL155" s="88">
        <v>1</v>
      </c>
      <c r="AM155" s="82">
        <v>0</v>
      </c>
      <c r="AN155" s="82">
        <v>1</v>
      </c>
      <c r="AO155" s="82"/>
      <c r="AP155" s="82" t="s">
        <v>1061</v>
      </c>
      <c r="AQ155" s="82"/>
      <c r="AR155" s="82"/>
      <c r="AS155" s="59"/>
      <c r="AT155" s="59"/>
      <c r="AU155" s="59"/>
      <c r="AV155" s="59"/>
    </row>
    <row r="156" spans="1:48" s="72" customFormat="1" x14ac:dyDescent="0.2">
      <c r="A156" s="77" t="s">
        <v>1043</v>
      </c>
      <c r="B156" s="77" t="s">
        <v>1044</v>
      </c>
      <c r="C156" s="77">
        <v>4</v>
      </c>
      <c r="D156" s="77">
        <v>1</v>
      </c>
      <c r="E156" s="77" t="s">
        <v>395</v>
      </c>
      <c r="F156" s="78">
        <v>43370</v>
      </c>
      <c r="G156" s="83" t="s">
        <v>4032</v>
      </c>
      <c r="H156" s="79">
        <v>9.7222222222222224E-3</v>
      </c>
      <c r="I156" s="77" t="s">
        <v>398</v>
      </c>
      <c r="J156" s="77" t="s">
        <v>2498</v>
      </c>
      <c r="K156" s="77" t="s">
        <v>111</v>
      </c>
      <c r="L156" s="77" t="s">
        <v>23</v>
      </c>
      <c r="M156" s="77">
        <v>0</v>
      </c>
      <c r="N156" s="77"/>
      <c r="O156" s="77">
        <v>1</v>
      </c>
      <c r="P156" s="77" t="s">
        <v>176</v>
      </c>
      <c r="Q156" s="77" t="s">
        <v>176</v>
      </c>
      <c r="R156" s="77" t="s">
        <v>24</v>
      </c>
      <c r="S156" s="77" t="s">
        <v>1035</v>
      </c>
      <c r="T156" s="82" t="s">
        <v>23</v>
      </c>
      <c r="U156" s="82" t="s">
        <v>3997</v>
      </c>
      <c r="V156" s="82" t="s">
        <v>4006</v>
      </c>
      <c r="W156" s="77" t="s">
        <v>24</v>
      </c>
      <c r="X156" s="77" t="s">
        <v>24</v>
      </c>
      <c r="Y156" s="77" t="s">
        <v>24</v>
      </c>
      <c r="Z156" s="81">
        <v>63.722810000000003</v>
      </c>
      <c r="AA156" s="81">
        <v>148.98215999999999</v>
      </c>
      <c r="AB156" s="62">
        <f t="shared" si="2"/>
        <v>212.70497</v>
      </c>
      <c r="AC156" s="87"/>
      <c r="AD156" s="87"/>
      <c r="AE156" s="77"/>
      <c r="AF156" s="77"/>
      <c r="AG156" s="77"/>
      <c r="AH156" s="87">
        <v>0</v>
      </c>
      <c r="AI156" s="87">
        <v>0</v>
      </c>
      <c r="AJ156" s="87">
        <v>0</v>
      </c>
      <c r="AK156" s="87">
        <v>0</v>
      </c>
      <c r="AL156" s="87">
        <v>0</v>
      </c>
      <c r="AM156" s="77">
        <v>0</v>
      </c>
      <c r="AN156" s="77">
        <v>0</v>
      </c>
      <c r="AO156" s="77"/>
      <c r="AP156" s="77" t="s">
        <v>580</v>
      </c>
      <c r="AQ156" s="77"/>
      <c r="AR156" s="77"/>
      <c r="AS156" s="77"/>
      <c r="AT156" s="77"/>
      <c r="AU156" s="77"/>
      <c r="AV156" s="77"/>
    </row>
    <row r="157" spans="1:48" s="72" customFormat="1" x14ac:dyDescent="0.2">
      <c r="A157" s="77" t="s">
        <v>1049</v>
      </c>
      <c r="B157" s="77" t="s">
        <v>1050</v>
      </c>
      <c r="C157" s="77">
        <v>7</v>
      </c>
      <c r="D157" s="77">
        <v>1</v>
      </c>
      <c r="E157" s="77" t="s">
        <v>395</v>
      </c>
      <c r="F157" s="78">
        <v>43370</v>
      </c>
      <c r="G157" s="83" t="s">
        <v>4032</v>
      </c>
      <c r="H157" s="79">
        <v>2.013888888888889E-2</v>
      </c>
      <c r="I157" s="77" t="s">
        <v>398</v>
      </c>
      <c r="J157" s="77" t="s">
        <v>241</v>
      </c>
      <c r="K157" s="77" t="s">
        <v>111</v>
      </c>
      <c r="L157" s="77" t="s">
        <v>12</v>
      </c>
      <c r="M157" s="77">
        <v>0</v>
      </c>
      <c r="N157" s="77"/>
      <c r="O157" s="77">
        <v>2</v>
      </c>
      <c r="P157" s="77" t="s">
        <v>461</v>
      </c>
      <c r="Q157" s="77" t="s">
        <v>461</v>
      </c>
      <c r="R157" s="77" t="s">
        <v>333</v>
      </c>
      <c r="S157" s="77" t="s">
        <v>3972</v>
      </c>
      <c r="T157" s="80" t="s">
        <v>12</v>
      </c>
      <c r="U157" s="80" t="s">
        <v>3997</v>
      </c>
      <c r="V157" s="80" t="s">
        <v>4005</v>
      </c>
      <c r="W157" s="77" t="s">
        <v>24</v>
      </c>
      <c r="X157" s="77" t="s">
        <v>24</v>
      </c>
      <c r="Y157" s="77" t="s">
        <v>24</v>
      </c>
      <c r="Z157" s="81">
        <v>63.72307</v>
      </c>
      <c r="AA157" s="81">
        <v>148.98291</v>
      </c>
      <c r="AB157" s="62">
        <f t="shared" si="2"/>
        <v>212.70598000000001</v>
      </c>
      <c r="AC157" s="87"/>
      <c r="AD157" s="87"/>
      <c r="AE157" s="77"/>
      <c r="AF157" s="77"/>
      <c r="AG157" s="77"/>
      <c r="AH157" s="87">
        <v>0</v>
      </c>
      <c r="AI157" s="87">
        <v>0</v>
      </c>
      <c r="AJ157" s="87">
        <v>0</v>
      </c>
      <c r="AK157" s="87">
        <v>0</v>
      </c>
      <c r="AL157" s="87">
        <v>0</v>
      </c>
      <c r="AM157" s="77">
        <v>0</v>
      </c>
      <c r="AN157" s="77">
        <v>0</v>
      </c>
      <c r="AO157" s="77"/>
      <c r="AP157" s="77" t="s">
        <v>1052</v>
      </c>
      <c r="AQ157" s="77"/>
      <c r="AR157" s="77"/>
      <c r="AS157" s="77"/>
      <c r="AT157" s="77"/>
      <c r="AU157" s="77"/>
      <c r="AV157" s="77"/>
    </row>
    <row r="158" spans="1:48" s="72" customFormat="1" x14ac:dyDescent="0.2">
      <c r="A158" s="77" t="s">
        <v>1084</v>
      </c>
      <c r="B158" s="77" t="s">
        <v>1085</v>
      </c>
      <c r="C158" s="77">
        <v>5</v>
      </c>
      <c r="D158" s="77">
        <v>1</v>
      </c>
      <c r="E158" s="77" t="s">
        <v>140</v>
      </c>
      <c r="F158" s="78">
        <v>43371</v>
      </c>
      <c r="G158" s="83" t="s">
        <v>4032</v>
      </c>
      <c r="H158" s="79">
        <v>1.6666666666666666E-2</v>
      </c>
      <c r="I158" s="77" t="s">
        <v>483</v>
      </c>
      <c r="J158" s="77" t="s">
        <v>670</v>
      </c>
      <c r="K158" s="77" t="s">
        <v>111</v>
      </c>
      <c r="L158" s="77" t="s">
        <v>23</v>
      </c>
      <c r="M158" s="77">
        <v>0</v>
      </c>
      <c r="N158" s="77"/>
      <c r="O158" s="77">
        <v>1</v>
      </c>
      <c r="P158" s="77" t="s">
        <v>176</v>
      </c>
      <c r="Q158" s="77" t="s">
        <v>176</v>
      </c>
      <c r="R158" s="77" t="s">
        <v>1086</v>
      </c>
      <c r="S158" s="77" t="s">
        <v>2061</v>
      </c>
      <c r="T158" s="82" t="s">
        <v>23</v>
      </c>
      <c r="U158" s="82" t="s">
        <v>3997</v>
      </c>
      <c r="V158" s="82" t="s">
        <v>4006</v>
      </c>
      <c r="W158" s="77" t="s">
        <v>24</v>
      </c>
      <c r="X158" s="77" t="s">
        <v>24</v>
      </c>
      <c r="Y158" s="77">
        <v>4</v>
      </c>
      <c r="Z158" s="81">
        <v>63.722920000000002</v>
      </c>
      <c r="AA158" s="81">
        <v>148.95419000000001</v>
      </c>
      <c r="AB158" s="62">
        <f t="shared" si="2"/>
        <v>212.67711000000003</v>
      </c>
      <c r="AC158" s="87"/>
      <c r="AD158" s="87"/>
      <c r="AE158" s="77"/>
      <c r="AF158" s="77"/>
      <c r="AG158" s="77"/>
      <c r="AH158" s="87">
        <v>0</v>
      </c>
      <c r="AI158" s="87">
        <v>0</v>
      </c>
      <c r="AJ158" s="87">
        <v>0</v>
      </c>
      <c r="AK158" s="87">
        <v>0</v>
      </c>
      <c r="AL158" s="87">
        <v>0</v>
      </c>
      <c r="AM158" s="77">
        <v>0</v>
      </c>
      <c r="AN158" s="77">
        <v>0</v>
      </c>
      <c r="AO158" s="77"/>
      <c r="AP158" s="77"/>
      <c r="AQ158" s="77"/>
      <c r="AR158" s="77"/>
      <c r="AS158" s="82"/>
      <c r="AT158" s="82"/>
      <c r="AU158" s="82"/>
      <c r="AV158" s="82"/>
    </row>
    <row r="159" spans="1:48" s="72" customFormat="1" x14ac:dyDescent="0.2">
      <c r="A159" s="77" t="s">
        <v>1082</v>
      </c>
      <c r="B159" s="77" t="s">
        <v>1083</v>
      </c>
      <c r="C159" s="77">
        <v>4</v>
      </c>
      <c r="D159" s="77">
        <v>1</v>
      </c>
      <c r="E159" s="77" t="s">
        <v>140</v>
      </c>
      <c r="F159" s="78">
        <v>43371</v>
      </c>
      <c r="G159" s="83" t="s">
        <v>4032</v>
      </c>
      <c r="H159" s="79">
        <v>1.4583333333333332E-2</v>
      </c>
      <c r="I159" s="77" t="s">
        <v>483</v>
      </c>
      <c r="J159" s="77" t="s">
        <v>670</v>
      </c>
      <c r="K159" s="77" t="s">
        <v>111</v>
      </c>
      <c r="L159" s="77" t="s">
        <v>23</v>
      </c>
      <c r="M159" s="77">
        <v>0</v>
      </c>
      <c r="N159" s="77"/>
      <c r="O159" s="77">
        <v>1</v>
      </c>
      <c r="P159" s="77" t="s">
        <v>176</v>
      </c>
      <c r="Q159" s="77" t="s">
        <v>176</v>
      </c>
      <c r="R159" s="77" t="s">
        <v>1080</v>
      </c>
      <c r="S159" s="77" t="s">
        <v>1035</v>
      </c>
      <c r="T159" s="82" t="s">
        <v>23</v>
      </c>
      <c r="U159" s="82" t="s">
        <v>3997</v>
      </c>
      <c r="V159" s="82" t="s">
        <v>4006</v>
      </c>
      <c r="W159" s="77" t="s">
        <v>24</v>
      </c>
      <c r="X159" s="77" t="s">
        <v>24</v>
      </c>
      <c r="Y159" s="77">
        <v>9</v>
      </c>
      <c r="Z159" s="81">
        <v>63.722709999999999</v>
      </c>
      <c r="AA159" s="81">
        <v>148.9539</v>
      </c>
      <c r="AB159" s="62">
        <f t="shared" si="2"/>
        <v>212.67661000000001</v>
      </c>
      <c r="AC159" s="87"/>
      <c r="AD159" s="87"/>
      <c r="AE159" s="77"/>
      <c r="AF159" s="77"/>
      <c r="AG159" s="77"/>
      <c r="AH159" s="87">
        <v>0</v>
      </c>
      <c r="AI159" s="87">
        <v>0</v>
      </c>
      <c r="AJ159" s="87">
        <v>0</v>
      </c>
      <c r="AK159" s="87">
        <v>0</v>
      </c>
      <c r="AL159" s="87">
        <v>0</v>
      </c>
      <c r="AM159" s="77">
        <v>0</v>
      </c>
      <c r="AN159" s="77">
        <v>0</v>
      </c>
      <c r="AO159" s="77"/>
      <c r="AP159" s="77"/>
      <c r="AQ159" s="77"/>
      <c r="AR159" s="77"/>
      <c r="AS159" s="77"/>
      <c r="AT159" s="77"/>
      <c r="AU159" s="77"/>
      <c r="AV159" s="77"/>
    </row>
    <row r="160" spans="1:48" s="72" customFormat="1" x14ac:dyDescent="0.2">
      <c r="A160" s="77" t="s">
        <v>1084</v>
      </c>
      <c r="B160" s="77" t="s">
        <v>1085</v>
      </c>
      <c r="C160" s="77">
        <v>5</v>
      </c>
      <c r="D160" s="77">
        <v>2</v>
      </c>
      <c r="E160" s="77" t="s">
        <v>140</v>
      </c>
      <c r="F160" s="78">
        <v>43371</v>
      </c>
      <c r="G160" s="83" t="s">
        <v>4032</v>
      </c>
      <c r="H160" s="79">
        <v>1.6666666666666666E-2</v>
      </c>
      <c r="I160" s="77" t="s">
        <v>483</v>
      </c>
      <c r="J160" s="77" t="s">
        <v>670</v>
      </c>
      <c r="K160" s="77" t="s">
        <v>111</v>
      </c>
      <c r="L160" s="77" t="s">
        <v>23</v>
      </c>
      <c r="M160" s="77">
        <v>0</v>
      </c>
      <c r="N160" s="77"/>
      <c r="O160" s="77">
        <v>1</v>
      </c>
      <c r="P160" s="77" t="s">
        <v>176</v>
      </c>
      <c r="Q160" s="77" t="s">
        <v>176</v>
      </c>
      <c r="R160" s="77" t="s">
        <v>1086</v>
      </c>
      <c r="S160" s="77" t="s">
        <v>2061</v>
      </c>
      <c r="T160" s="82" t="s">
        <v>23</v>
      </c>
      <c r="U160" s="82" t="s">
        <v>3997</v>
      </c>
      <c r="V160" s="82" t="s">
        <v>4006</v>
      </c>
      <c r="W160" s="77" t="s">
        <v>24</v>
      </c>
      <c r="X160" s="77" t="s">
        <v>24</v>
      </c>
      <c r="Y160" s="77">
        <v>10</v>
      </c>
      <c r="Z160" s="81">
        <v>63.722839999999998</v>
      </c>
      <c r="AA160" s="81">
        <v>148.95433</v>
      </c>
      <c r="AB160" s="62">
        <f t="shared" si="2"/>
        <v>212.67716999999999</v>
      </c>
      <c r="AC160" s="87"/>
      <c r="AD160" s="87"/>
      <c r="AE160" s="77"/>
      <c r="AF160" s="77"/>
      <c r="AG160" s="77"/>
      <c r="AH160" s="87">
        <v>0</v>
      </c>
      <c r="AI160" s="87">
        <v>0</v>
      </c>
      <c r="AJ160" s="87">
        <v>0</v>
      </c>
      <c r="AK160" s="87">
        <v>0</v>
      </c>
      <c r="AL160" s="87">
        <v>0</v>
      </c>
      <c r="AM160" s="77">
        <v>0</v>
      </c>
      <c r="AN160" s="77">
        <v>0</v>
      </c>
      <c r="AO160" s="77"/>
      <c r="AP160" s="77"/>
      <c r="AQ160" s="77"/>
      <c r="AR160" s="77"/>
      <c r="AS160" s="77"/>
      <c r="AT160" s="77"/>
      <c r="AU160" s="77"/>
      <c r="AV160" s="77"/>
    </row>
    <row r="161" spans="1:48" s="72" customFormat="1" x14ac:dyDescent="0.2">
      <c r="A161" s="77" t="s">
        <v>1074</v>
      </c>
      <c r="B161" s="77" t="s">
        <v>1075</v>
      </c>
      <c r="C161" s="77">
        <v>2</v>
      </c>
      <c r="D161" s="77">
        <v>1</v>
      </c>
      <c r="E161" s="77" t="s">
        <v>140</v>
      </c>
      <c r="F161" s="78">
        <v>43371</v>
      </c>
      <c r="G161" s="83" t="s">
        <v>4032</v>
      </c>
      <c r="H161" s="93">
        <v>8.3333333333333332E-3</v>
      </c>
      <c r="I161" s="77" t="s">
        <v>483</v>
      </c>
      <c r="J161" s="77" t="s">
        <v>670</v>
      </c>
      <c r="K161" s="77" t="s">
        <v>242</v>
      </c>
      <c r="L161" s="77" t="s">
        <v>23</v>
      </c>
      <c r="M161" s="77">
        <v>1</v>
      </c>
      <c r="N161" s="77"/>
      <c r="O161" s="77">
        <v>1</v>
      </c>
      <c r="P161" s="77" t="s">
        <v>598</v>
      </c>
      <c r="Q161" s="77" t="s">
        <v>2108</v>
      </c>
      <c r="R161" s="77" t="s">
        <v>122</v>
      </c>
      <c r="S161" s="77" t="s">
        <v>3965</v>
      </c>
      <c r="T161" s="82" t="s">
        <v>23</v>
      </c>
      <c r="U161" s="82" t="s">
        <v>3997</v>
      </c>
      <c r="V161" s="82" t="s">
        <v>4002</v>
      </c>
      <c r="W161" s="77" t="s">
        <v>24</v>
      </c>
      <c r="X161" s="77" t="s">
        <v>24</v>
      </c>
      <c r="Y161" s="77">
        <v>15</v>
      </c>
      <c r="Z161" s="81">
        <v>63.722380000000001</v>
      </c>
      <c r="AA161" s="81">
        <v>148.95303000000001</v>
      </c>
      <c r="AB161" s="62">
        <f t="shared" si="2"/>
        <v>212.67541</v>
      </c>
      <c r="AC161" s="87"/>
      <c r="AD161" s="87"/>
      <c r="AE161" s="77"/>
      <c r="AF161" s="77"/>
      <c r="AG161" s="77"/>
      <c r="AH161" s="87">
        <v>0</v>
      </c>
      <c r="AI161" s="87">
        <v>0</v>
      </c>
      <c r="AJ161" s="87">
        <v>0</v>
      </c>
      <c r="AK161" s="87">
        <v>0</v>
      </c>
      <c r="AL161" s="87">
        <v>0</v>
      </c>
      <c r="AM161" s="77">
        <v>0</v>
      </c>
      <c r="AN161" s="77">
        <v>0</v>
      </c>
      <c r="AO161" s="77"/>
      <c r="AP161" s="77"/>
      <c r="AQ161" s="77"/>
      <c r="AR161" s="77"/>
      <c r="AS161" s="77"/>
      <c r="AT161" s="77"/>
      <c r="AU161" s="77"/>
      <c r="AV161" s="77"/>
    </row>
    <row r="162" spans="1:48" s="72" customFormat="1" x14ac:dyDescent="0.2">
      <c r="A162" s="77" t="s">
        <v>1073</v>
      </c>
      <c r="B162" s="77" t="s">
        <v>1079</v>
      </c>
      <c r="C162" s="77">
        <v>1</v>
      </c>
      <c r="D162" s="77">
        <v>1</v>
      </c>
      <c r="E162" s="77" t="s">
        <v>140</v>
      </c>
      <c r="F162" s="78">
        <v>43371</v>
      </c>
      <c r="G162" s="83" t="s">
        <v>4032</v>
      </c>
      <c r="H162" s="79">
        <v>9.0277777777777787E-3</v>
      </c>
      <c r="I162" s="77" t="s">
        <v>483</v>
      </c>
      <c r="J162" s="77" t="s">
        <v>176</v>
      </c>
      <c r="K162" s="77" t="s">
        <v>111</v>
      </c>
      <c r="L162" s="77" t="s">
        <v>23</v>
      </c>
      <c r="M162" s="77">
        <v>0</v>
      </c>
      <c r="N162" s="77"/>
      <c r="O162" s="77">
        <v>1</v>
      </c>
      <c r="P162" s="77" t="s">
        <v>176</v>
      </c>
      <c r="Q162" s="77" t="s">
        <v>176</v>
      </c>
      <c r="R162" s="77" t="s">
        <v>24</v>
      </c>
      <c r="S162" s="77" t="s">
        <v>2068</v>
      </c>
      <c r="T162" s="82" t="s">
        <v>23</v>
      </c>
      <c r="U162" s="82" t="s">
        <v>3997</v>
      </c>
      <c r="V162" s="82" t="s">
        <v>4005</v>
      </c>
      <c r="W162" s="77" t="s">
        <v>24</v>
      </c>
      <c r="X162" s="77" t="s">
        <v>24</v>
      </c>
      <c r="Y162" s="77" t="s">
        <v>24</v>
      </c>
      <c r="Z162" s="81">
        <v>63.723210000000002</v>
      </c>
      <c r="AA162" s="81">
        <v>148.95068000000001</v>
      </c>
      <c r="AB162" s="62">
        <f t="shared" si="2"/>
        <v>212.67389</v>
      </c>
      <c r="AC162" s="87"/>
      <c r="AD162" s="87"/>
      <c r="AE162" s="77"/>
      <c r="AF162" s="77"/>
      <c r="AG162" s="77"/>
      <c r="AH162" s="87">
        <v>0</v>
      </c>
      <c r="AI162" s="87">
        <v>0</v>
      </c>
      <c r="AJ162" s="87">
        <v>0</v>
      </c>
      <c r="AK162" s="87">
        <v>0</v>
      </c>
      <c r="AL162" s="87">
        <v>0</v>
      </c>
      <c r="AM162" s="77">
        <v>0</v>
      </c>
      <c r="AN162" s="77">
        <v>0</v>
      </c>
      <c r="AO162" s="77"/>
      <c r="AP162" s="77"/>
      <c r="AQ162" s="77"/>
      <c r="AR162" s="77"/>
      <c r="AS162" s="77"/>
      <c r="AT162" s="77"/>
      <c r="AU162" s="77"/>
      <c r="AV162" s="77"/>
    </row>
    <row r="163" spans="1:48" s="72" customFormat="1" x14ac:dyDescent="0.2">
      <c r="A163" s="77" t="s">
        <v>1096</v>
      </c>
      <c r="B163" s="77" t="s">
        <v>1097</v>
      </c>
      <c r="C163" s="77">
        <v>1</v>
      </c>
      <c r="D163" s="77">
        <v>1</v>
      </c>
      <c r="E163" s="77" t="s">
        <v>395</v>
      </c>
      <c r="F163" s="78">
        <v>43378</v>
      </c>
      <c r="G163" s="83" t="s">
        <v>4033</v>
      </c>
      <c r="H163" s="79">
        <v>2.013888888888889E-2</v>
      </c>
      <c r="I163" s="77" t="s">
        <v>398</v>
      </c>
      <c r="J163" s="77" t="s">
        <v>176</v>
      </c>
      <c r="K163" s="77" t="s">
        <v>111</v>
      </c>
      <c r="L163" s="77" t="s">
        <v>23</v>
      </c>
      <c r="M163" s="77">
        <v>1</v>
      </c>
      <c r="N163" s="77"/>
      <c r="O163" s="77">
        <v>1</v>
      </c>
      <c r="P163" s="77" t="s">
        <v>176</v>
      </c>
      <c r="Q163" s="77" t="s">
        <v>176</v>
      </c>
      <c r="R163" s="77" t="s">
        <v>122</v>
      </c>
      <c r="S163" s="77" t="s">
        <v>1035</v>
      </c>
      <c r="T163" s="82" t="s">
        <v>23</v>
      </c>
      <c r="U163" s="82" t="s">
        <v>3997</v>
      </c>
      <c r="V163" s="82" t="s">
        <v>4006</v>
      </c>
      <c r="W163" s="77" t="s">
        <v>24</v>
      </c>
      <c r="X163" s="77" t="s">
        <v>24</v>
      </c>
      <c r="Y163" s="77">
        <v>7</v>
      </c>
      <c r="Z163" s="81">
        <v>63.723480000000002</v>
      </c>
      <c r="AA163" s="81">
        <v>148.98240999999999</v>
      </c>
      <c r="AB163" s="62">
        <f t="shared" si="2"/>
        <v>212.70588999999998</v>
      </c>
      <c r="AC163" s="87"/>
      <c r="AD163" s="87"/>
      <c r="AE163" s="82"/>
      <c r="AF163" s="82"/>
      <c r="AG163" s="82"/>
      <c r="AH163" s="87">
        <v>0</v>
      </c>
      <c r="AI163" s="87">
        <v>0</v>
      </c>
      <c r="AJ163" s="87">
        <v>0</v>
      </c>
      <c r="AK163" s="87">
        <v>0</v>
      </c>
      <c r="AL163" s="87">
        <v>0</v>
      </c>
      <c r="AM163" s="77">
        <v>0</v>
      </c>
      <c r="AN163" s="77">
        <v>0</v>
      </c>
      <c r="AO163" s="77"/>
      <c r="AP163" s="77" t="s">
        <v>1021</v>
      </c>
      <c r="AQ163" s="77"/>
      <c r="AR163" s="77"/>
      <c r="AS163" s="77"/>
      <c r="AT163" s="77"/>
      <c r="AU163" s="77"/>
      <c r="AV163" s="77"/>
    </row>
    <row r="164" spans="1:48" s="72" customFormat="1" x14ac:dyDescent="0.2">
      <c r="A164" s="77" t="s">
        <v>1102</v>
      </c>
      <c r="B164" s="77" t="s">
        <v>1103</v>
      </c>
      <c r="C164" s="77">
        <v>4</v>
      </c>
      <c r="D164" s="77">
        <v>1</v>
      </c>
      <c r="E164" s="77" t="s">
        <v>395</v>
      </c>
      <c r="F164" s="78">
        <v>43378</v>
      </c>
      <c r="G164" s="83" t="s">
        <v>4033</v>
      </c>
      <c r="H164" s="79">
        <v>9.7222222222222224E-3</v>
      </c>
      <c r="I164" s="77" t="s">
        <v>398</v>
      </c>
      <c r="J164" s="77" t="s">
        <v>2498</v>
      </c>
      <c r="K164" s="77" t="s">
        <v>102</v>
      </c>
      <c r="L164" s="77" t="s">
        <v>23</v>
      </c>
      <c r="M164" s="77" t="s">
        <v>24</v>
      </c>
      <c r="N164" s="77"/>
      <c r="O164" s="77">
        <v>1</v>
      </c>
      <c r="P164" s="77" t="s">
        <v>176</v>
      </c>
      <c r="Q164" s="77" t="s">
        <v>176</v>
      </c>
      <c r="R164" s="77" t="s">
        <v>122</v>
      </c>
      <c r="S164" s="77" t="s">
        <v>3963</v>
      </c>
      <c r="T164" s="82" t="s">
        <v>23</v>
      </c>
      <c r="U164" s="82" t="s">
        <v>3997</v>
      </c>
      <c r="V164" s="82" t="s">
        <v>4007</v>
      </c>
      <c r="W164" s="77" t="s">
        <v>24</v>
      </c>
      <c r="X164" s="77" t="s">
        <v>24</v>
      </c>
      <c r="Y164" s="77">
        <v>10</v>
      </c>
      <c r="Z164" s="81">
        <v>63.721789999999999</v>
      </c>
      <c r="AA164" s="81">
        <v>148.98455999999999</v>
      </c>
      <c r="AB164" s="62">
        <f t="shared" si="2"/>
        <v>212.70634999999999</v>
      </c>
      <c r="AC164" s="87"/>
      <c r="AD164" s="87"/>
      <c r="AE164" s="82"/>
      <c r="AF164" s="82"/>
      <c r="AG164" s="82"/>
      <c r="AH164" s="87">
        <v>0</v>
      </c>
      <c r="AI164" s="87">
        <v>0</v>
      </c>
      <c r="AJ164" s="87">
        <v>0</v>
      </c>
      <c r="AK164" s="87">
        <v>0</v>
      </c>
      <c r="AL164" s="87">
        <v>0</v>
      </c>
      <c r="AM164" s="77">
        <v>0</v>
      </c>
      <c r="AN164" s="77">
        <v>0</v>
      </c>
      <c r="AO164" s="77"/>
      <c r="AP164" s="77"/>
      <c r="AQ164" s="77"/>
      <c r="AR164" s="77"/>
      <c r="AS164" s="77"/>
      <c r="AT164" s="77"/>
      <c r="AU164" s="77"/>
      <c r="AV164" s="77"/>
    </row>
    <row r="165" spans="1:48" s="72" customFormat="1" x14ac:dyDescent="0.2">
      <c r="A165" s="77" t="s">
        <v>1120</v>
      </c>
      <c r="B165" s="77" t="s">
        <v>1121</v>
      </c>
      <c r="C165" s="77">
        <v>5</v>
      </c>
      <c r="D165" s="77">
        <v>1</v>
      </c>
      <c r="E165" s="77" t="s">
        <v>834</v>
      </c>
      <c r="F165" s="78">
        <v>43378</v>
      </c>
      <c r="G165" s="83" t="s">
        <v>4033</v>
      </c>
      <c r="H165" s="79">
        <v>1.3194444444444444E-2</v>
      </c>
      <c r="I165" s="77" t="s">
        <v>397</v>
      </c>
      <c r="J165" s="77" t="s">
        <v>466</v>
      </c>
      <c r="K165" s="77" t="s">
        <v>111</v>
      </c>
      <c r="L165" s="77" t="s">
        <v>23</v>
      </c>
      <c r="M165" s="77">
        <v>1</v>
      </c>
      <c r="N165" s="77"/>
      <c r="O165" s="77">
        <v>1</v>
      </c>
      <c r="P165" s="77" t="s">
        <v>176</v>
      </c>
      <c r="Q165" s="77" t="s">
        <v>176</v>
      </c>
      <c r="R165" s="77" t="s">
        <v>122</v>
      </c>
      <c r="S165" s="77" t="s">
        <v>263</v>
      </c>
      <c r="T165" s="80" t="s">
        <v>23</v>
      </c>
      <c r="U165" s="80" t="s">
        <v>4004</v>
      </c>
      <c r="V165" s="80" t="s">
        <v>4005</v>
      </c>
      <c r="W165" s="77" t="s">
        <v>24</v>
      </c>
      <c r="X165" s="77" t="s">
        <v>24</v>
      </c>
      <c r="Y165" s="77" t="s">
        <v>24</v>
      </c>
      <c r="Z165" s="81">
        <v>63.738579999999999</v>
      </c>
      <c r="AA165" s="81">
        <v>148.90271000000001</v>
      </c>
      <c r="AB165" s="62">
        <f t="shared" si="2"/>
        <v>212.64129000000003</v>
      </c>
      <c r="AC165" s="87"/>
      <c r="AD165" s="87"/>
      <c r="AE165" s="82"/>
      <c r="AF165" s="82"/>
      <c r="AG165" s="82"/>
      <c r="AH165" s="87">
        <v>0</v>
      </c>
      <c r="AI165" s="87">
        <v>0</v>
      </c>
      <c r="AJ165" s="87">
        <v>0</v>
      </c>
      <c r="AK165" s="87">
        <v>0</v>
      </c>
      <c r="AL165" s="87">
        <v>0</v>
      </c>
      <c r="AM165" s="77">
        <v>0</v>
      </c>
      <c r="AN165" s="77">
        <v>0</v>
      </c>
      <c r="AO165" s="77"/>
      <c r="AP165" s="77" t="s">
        <v>1122</v>
      </c>
      <c r="AQ165" s="77"/>
      <c r="AR165" s="77"/>
      <c r="AS165" s="77"/>
      <c r="AT165" s="77"/>
      <c r="AU165" s="77"/>
      <c r="AV165" s="77"/>
    </row>
    <row r="166" spans="1:48" s="72" customFormat="1" x14ac:dyDescent="0.2">
      <c r="A166" s="77" t="s">
        <v>1120</v>
      </c>
      <c r="B166" s="77" t="s">
        <v>1121</v>
      </c>
      <c r="C166" s="77">
        <v>5</v>
      </c>
      <c r="D166" s="77">
        <v>2</v>
      </c>
      <c r="E166" s="77" t="s">
        <v>834</v>
      </c>
      <c r="F166" s="78">
        <v>43378</v>
      </c>
      <c r="G166" s="83" t="s">
        <v>4033</v>
      </c>
      <c r="H166" s="79">
        <v>1.3194444444444444E-2</v>
      </c>
      <c r="I166" s="77" t="s">
        <v>397</v>
      </c>
      <c r="J166" s="77" t="s">
        <v>466</v>
      </c>
      <c r="K166" s="77" t="s">
        <v>111</v>
      </c>
      <c r="L166" s="77" t="s">
        <v>23</v>
      </c>
      <c r="M166" s="77">
        <v>0</v>
      </c>
      <c r="N166" s="77"/>
      <c r="O166" s="77">
        <v>1</v>
      </c>
      <c r="P166" s="77" t="s">
        <v>176</v>
      </c>
      <c r="Q166" s="77" t="s">
        <v>176</v>
      </c>
      <c r="R166" s="77" t="s">
        <v>122</v>
      </c>
      <c r="S166" s="77" t="s">
        <v>1035</v>
      </c>
      <c r="T166" s="80" t="s">
        <v>23</v>
      </c>
      <c r="U166" s="80" t="s">
        <v>3997</v>
      </c>
      <c r="V166" s="80" t="s">
        <v>4006</v>
      </c>
      <c r="W166" s="77" t="s">
        <v>24</v>
      </c>
      <c r="X166" s="77" t="s">
        <v>24</v>
      </c>
      <c r="Y166" s="77" t="s">
        <v>24</v>
      </c>
      <c r="Z166" s="81">
        <v>63.738619999999997</v>
      </c>
      <c r="AA166" s="81">
        <v>148.90286</v>
      </c>
      <c r="AB166" s="62">
        <f t="shared" si="2"/>
        <v>212.64148</v>
      </c>
      <c r="AC166" s="87"/>
      <c r="AD166" s="87"/>
      <c r="AE166" s="82"/>
      <c r="AF166" s="82"/>
      <c r="AG166" s="82"/>
      <c r="AH166" s="87">
        <v>0</v>
      </c>
      <c r="AI166" s="87">
        <v>0</v>
      </c>
      <c r="AJ166" s="87">
        <v>0</v>
      </c>
      <c r="AK166" s="87">
        <v>0</v>
      </c>
      <c r="AL166" s="87">
        <v>0</v>
      </c>
      <c r="AM166" s="77">
        <v>0</v>
      </c>
      <c r="AN166" s="77">
        <v>0</v>
      </c>
      <c r="AO166" s="77"/>
      <c r="AP166" s="77" t="s">
        <v>1122</v>
      </c>
      <c r="AQ166" s="77"/>
      <c r="AR166" s="77"/>
      <c r="AS166" s="82"/>
      <c r="AT166" s="82"/>
      <c r="AU166" s="82"/>
      <c r="AV166" s="82"/>
    </row>
    <row r="167" spans="1:48" s="72" customFormat="1" x14ac:dyDescent="0.2">
      <c r="A167" s="82" t="s">
        <v>1123</v>
      </c>
      <c r="B167" s="82" t="s">
        <v>1124</v>
      </c>
      <c r="C167" s="82">
        <v>6</v>
      </c>
      <c r="D167" s="82">
        <v>1</v>
      </c>
      <c r="E167" s="82" t="s">
        <v>834</v>
      </c>
      <c r="F167" s="83">
        <v>43378</v>
      </c>
      <c r="G167" s="83" t="s">
        <v>4033</v>
      </c>
      <c r="H167" s="84">
        <v>3.472222222222222E-3</v>
      </c>
      <c r="I167" s="82" t="s">
        <v>397</v>
      </c>
      <c r="J167" s="82" t="s">
        <v>466</v>
      </c>
      <c r="K167" s="82" t="s">
        <v>156</v>
      </c>
      <c r="L167" s="82" t="s">
        <v>23</v>
      </c>
      <c r="M167" s="82">
        <v>0</v>
      </c>
      <c r="N167" s="82"/>
      <c r="O167" s="82">
        <v>1</v>
      </c>
      <c r="P167" s="77" t="s">
        <v>176</v>
      </c>
      <c r="Q167" s="82" t="s">
        <v>176</v>
      </c>
      <c r="R167" s="82" t="s">
        <v>24</v>
      </c>
      <c r="S167" s="82" t="s">
        <v>487</v>
      </c>
      <c r="T167" s="82" t="s">
        <v>23</v>
      </c>
      <c r="U167" s="82" t="s">
        <v>3997</v>
      </c>
      <c r="V167" s="82" t="s">
        <v>4001</v>
      </c>
      <c r="W167" s="77" t="s">
        <v>24</v>
      </c>
      <c r="X167" s="77" t="s">
        <v>24</v>
      </c>
      <c r="Y167" s="82" t="s">
        <v>24</v>
      </c>
      <c r="Z167" s="85">
        <v>63.738590000000002</v>
      </c>
      <c r="AA167" s="85">
        <v>148.90305000000001</v>
      </c>
      <c r="AB167" s="62">
        <f t="shared" si="2"/>
        <v>212.64164</v>
      </c>
      <c r="AC167" s="88"/>
      <c r="AD167" s="88"/>
      <c r="AE167" s="82"/>
      <c r="AF167" s="82"/>
      <c r="AG167" s="82"/>
      <c r="AH167" s="88">
        <v>0</v>
      </c>
      <c r="AI167" s="88">
        <v>0</v>
      </c>
      <c r="AJ167" s="88">
        <v>0</v>
      </c>
      <c r="AK167" s="88">
        <v>0</v>
      </c>
      <c r="AL167" s="88">
        <v>2</v>
      </c>
      <c r="AM167" s="82">
        <v>0</v>
      </c>
      <c r="AN167" s="82">
        <v>2</v>
      </c>
      <c r="AO167" s="82"/>
      <c r="AP167" s="82" t="s">
        <v>1125</v>
      </c>
      <c r="AQ167" s="82"/>
      <c r="AR167" s="82"/>
      <c r="AS167" s="82"/>
      <c r="AT167" s="82"/>
      <c r="AU167" s="82"/>
      <c r="AV167" s="82"/>
    </row>
    <row r="168" spans="1:48" s="72" customFormat="1" x14ac:dyDescent="0.2">
      <c r="A168" s="77" t="s">
        <v>1105</v>
      </c>
      <c r="B168" s="77" t="s">
        <v>1106</v>
      </c>
      <c r="C168" s="77">
        <v>5</v>
      </c>
      <c r="D168" s="77">
        <v>1</v>
      </c>
      <c r="E168" s="77" t="s">
        <v>395</v>
      </c>
      <c r="F168" s="78">
        <v>43378</v>
      </c>
      <c r="G168" s="83" t="s">
        <v>4033</v>
      </c>
      <c r="H168" s="79">
        <v>1.0416666666666666E-2</v>
      </c>
      <c r="I168" s="77" t="s">
        <v>398</v>
      </c>
      <c r="J168" s="77" t="s">
        <v>2498</v>
      </c>
      <c r="K168" s="77" t="s">
        <v>111</v>
      </c>
      <c r="L168" s="77" t="s">
        <v>23</v>
      </c>
      <c r="M168" s="77" t="s">
        <v>24</v>
      </c>
      <c r="N168" s="77"/>
      <c r="O168" s="77">
        <v>1</v>
      </c>
      <c r="P168" s="77" t="s">
        <v>176</v>
      </c>
      <c r="Q168" s="77" t="s">
        <v>176</v>
      </c>
      <c r="R168" s="77" t="s">
        <v>122</v>
      </c>
      <c r="S168" s="77" t="s">
        <v>3963</v>
      </c>
      <c r="T168" s="82" t="s">
        <v>23</v>
      </c>
      <c r="U168" s="82" t="s">
        <v>3997</v>
      </c>
      <c r="V168" s="82" t="s">
        <v>4007</v>
      </c>
      <c r="W168" s="77" t="s">
        <v>24</v>
      </c>
      <c r="X168" s="77" t="s">
        <v>24</v>
      </c>
      <c r="Y168" s="77" t="s">
        <v>24</v>
      </c>
      <c r="Z168" s="81">
        <v>63.720469999999999</v>
      </c>
      <c r="AA168" s="81">
        <v>148.98471000000001</v>
      </c>
      <c r="AB168" s="62">
        <f t="shared" si="2"/>
        <v>212.70518000000001</v>
      </c>
      <c r="AC168" s="87"/>
      <c r="AD168" s="87"/>
      <c r="AE168" s="77"/>
      <c r="AF168" s="77"/>
      <c r="AG168" s="77"/>
      <c r="AH168" s="87">
        <v>0</v>
      </c>
      <c r="AI168" s="87">
        <v>0</v>
      </c>
      <c r="AJ168" s="87">
        <v>0</v>
      </c>
      <c r="AK168" s="87">
        <v>0</v>
      </c>
      <c r="AL168" s="87">
        <v>0</v>
      </c>
      <c r="AM168" s="77">
        <v>0</v>
      </c>
      <c r="AN168" s="77">
        <v>0</v>
      </c>
      <c r="AO168" s="77"/>
      <c r="AP168" s="77" t="s">
        <v>1107</v>
      </c>
      <c r="AQ168" s="77"/>
      <c r="AR168" s="77"/>
      <c r="AS168" s="77"/>
      <c r="AT168" s="77"/>
      <c r="AU168" s="77"/>
      <c r="AV168" s="77"/>
    </row>
    <row r="169" spans="1:48" s="72" customFormat="1" x14ac:dyDescent="0.2">
      <c r="A169" s="77" t="s">
        <v>1143</v>
      </c>
      <c r="B169" s="77" t="s">
        <v>1144</v>
      </c>
      <c r="C169" s="77">
        <v>8</v>
      </c>
      <c r="D169" s="77">
        <v>1</v>
      </c>
      <c r="E169" s="77" t="s">
        <v>138</v>
      </c>
      <c r="F169" s="78">
        <v>43379</v>
      </c>
      <c r="G169" s="83" t="s">
        <v>4033</v>
      </c>
      <c r="H169" s="79">
        <v>1.5277777777777777E-2</v>
      </c>
      <c r="I169" s="77" t="s">
        <v>640</v>
      </c>
      <c r="J169" s="77" t="s">
        <v>173</v>
      </c>
      <c r="K169" s="77" t="s">
        <v>111</v>
      </c>
      <c r="L169" s="77" t="s">
        <v>23</v>
      </c>
      <c r="M169" s="77">
        <v>1</v>
      </c>
      <c r="N169" s="77"/>
      <c r="O169" s="77">
        <v>1</v>
      </c>
      <c r="P169" s="77" t="s">
        <v>176</v>
      </c>
      <c r="Q169" s="77" t="s">
        <v>176</v>
      </c>
      <c r="R169" s="77" t="s">
        <v>122</v>
      </c>
      <c r="S169" s="77" t="s">
        <v>3963</v>
      </c>
      <c r="T169" s="80" t="s">
        <v>23</v>
      </c>
      <c r="U169" s="80" t="s">
        <v>3997</v>
      </c>
      <c r="V169" s="80" t="s">
        <v>4007</v>
      </c>
      <c r="W169" s="77" t="s">
        <v>24</v>
      </c>
      <c r="X169" s="77" t="s">
        <v>24</v>
      </c>
      <c r="Y169" s="77">
        <v>1</v>
      </c>
      <c r="Z169" s="81">
        <v>63.724789999999999</v>
      </c>
      <c r="AA169" s="81">
        <v>148.95250999999999</v>
      </c>
      <c r="AB169" s="62">
        <f t="shared" si="2"/>
        <v>212.6773</v>
      </c>
      <c r="AC169" s="87"/>
      <c r="AD169" s="87"/>
      <c r="AE169" s="77"/>
      <c r="AF169" s="77"/>
      <c r="AG169" s="77"/>
      <c r="AH169" s="87">
        <v>0</v>
      </c>
      <c r="AI169" s="87">
        <v>0</v>
      </c>
      <c r="AJ169" s="87">
        <v>0</v>
      </c>
      <c r="AK169" s="87">
        <v>0</v>
      </c>
      <c r="AL169" s="87">
        <v>0</v>
      </c>
      <c r="AM169" s="77">
        <v>0</v>
      </c>
      <c r="AN169" s="77">
        <v>0</v>
      </c>
      <c r="AO169" s="77"/>
      <c r="AP169" s="77" t="s">
        <v>1191</v>
      </c>
      <c r="AQ169" s="77"/>
      <c r="AR169" s="77"/>
      <c r="AS169" s="82"/>
      <c r="AT169" s="82"/>
      <c r="AU169" s="82"/>
      <c r="AV169" s="82"/>
    </row>
    <row r="170" spans="1:48" s="72" customFormat="1" x14ac:dyDescent="0.2">
      <c r="A170" s="77" t="s">
        <v>1140</v>
      </c>
      <c r="B170" s="77" t="s">
        <v>1141</v>
      </c>
      <c r="C170" s="77">
        <v>7</v>
      </c>
      <c r="D170" s="77">
        <v>1</v>
      </c>
      <c r="E170" s="77" t="s">
        <v>138</v>
      </c>
      <c r="F170" s="78">
        <v>43379</v>
      </c>
      <c r="G170" s="83" t="s">
        <v>4033</v>
      </c>
      <c r="H170" s="79">
        <v>9.0277777777777787E-3</v>
      </c>
      <c r="I170" s="77" t="s">
        <v>640</v>
      </c>
      <c r="J170" s="77" t="s">
        <v>173</v>
      </c>
      <c r="K170" s="77" t="s">
        <v>111</v>
      </c>
      <c r="L170" s="77" t="s">
        <v>23</v>
      </c>
      <c r="M170" s="77">
        <v>0</v>
      </c>
      <c r="N170" s="77"/>
      <c r="O170" s="77">
        <v>1</v>
      </c>
      <c r="P170" s="77" t="s">
        <v>176</v>
      </c>
      <c r="Q170" s="77" t="s">
        <v>176</v>
      </c>
      <c r="R170" s="77" t="s">
        <v>24</v>
      </c>
      <c r="S170" s="77" t="s">
        <v>709</v>
      </c>
      <c r="T170" s="80" t="s">
        <v>23</v>
      </c>
      <c r="U170" s="80" t="s">
        <v>4004</v>
      </c>
      <c r="V170" s="80" t="s">
        <v>4007</v>
      </c>
      <c r="W170" s="77" t="s">
        <v>24</v>
      </c>
      <c r="X170" s="77" t="s">
        <v>24</v>
      </c>
      <c r="Y170" s="77" t="s">
        <v>24</v>
      </c>
      <c r="Z170" s="81">
        <v>63.72475</v>
      </c>
      <c r="AA170" s="81">
        <v>148.95241999999999</v>
      </c>
      <c r="AB170" s="62">
        <f t="shared" si="2"/>
        <v>212.67716999999999</v>
      </c>
      <c r="AC170" s="87"/>
      <c r="AD170" s="87"/>
      <c r="AE170" s="77"/>
      <c r="AF170" s="77"/>
      <c r="AG170" s="77"/>
      <c r="AH170" s="87">
        <v>0</v>
      </c>
      <c r="AI170" s="87">
        <v>0</v>
      </c>
      <c r="AJ170" s="87">
        <v>0</v>
      </c>
      <c r="AK170" s="87">
        <v>0</v>
      </c>
      <c r="AL170" s="87">
        <v>0</v>
      </c>
      <c r="AM170" s="77">
        <v>0</v>
      </c>
      <c r="AN170" s="77">
        <v>0</v>
      </c>
      <c r="AO170" s="77"/>
      <c r="AP170" s="77" t="s">
        <v>1142</v>
      </c>
      <c r="AQ170" s="77"/>
      <c r="AR170" s="77"/>
      <c r="AS170" s="77"/>
      <c r="AT170" s="77"/>
      <c r="AU170" s="77"/>
      <c r="AV170" s="77"/>
    </row>
    <row r="171" spans="1:48" s="72" customFormat="1" x14ac:dyDescent="0.2">
      <c r="A171" s="77" t="s">
        <v>1145</v>
      </c>
      <c r="B171" s="77" t="s">
        <v>1146</v>
      </c>
      <c r="C171" s="77">
        <v>9</v>
      </c>
      <c r="D171" s="77">
        <v>1</v>
      </c>
      <c r="E171" s="77" t="s">
        <v>138</v>
      </c>
      <c r="F171" s="78">
        <v>43379</v>
      </c>
      <c r="G171" s="83" t="s">
        <v>4033</v>
      </c>
      <c r="H171" s="79">
        <v>1.2499999999999999E-2</v>
      </c>
      <c r="I171" s="77" t="s">
        <v>640</v>
      </c>
      <c r="J171" s="77" t="s">
        <v>173</v>
      </c>
      <c r="K171" s="77" t="s">
        <v>111</v>
      </c>
      <c r="L171" s="77" t="s">
        <v>23</v>
      </c>
      <c r="M171" s="77">
        <v>0</v>
      </c>
      <c r="N171" s="77"/>
      <c r="O171" s="77">
        <v>1</v>
      </c>
      <c r="P171" s="77" t="s">
        <v>176</v>
      </c>
      <c r="Q171" s="77" t="s">
        <v>176</v>
      </c>
      <c r="R171" s="77" t="s">
        <v>24</v>
      </c>
      <c r="S171" s="77" t="s">
        <v>1035</v>
      </c>
      <c r="T171" s="80" t="s">
        <v>23</v>
      </c>
      <c r="U171" s="80" t="s">
        <v>3997</v>
      </c>
      <c r="V171" s="80" t="s">
        <v>4006</v>
      </c>
      <c r="W171" s="77" t="s">
        <v>24</v>
      </c>
      <c r="X171" s="77" t="s">
        <v>24</v>
      </c>
      <c r="Y171" s="77" t="s">
        <v>24</v>
      </c>
      <c r="Z171" s="81">
        <v>63.724919999999997</v>
      </c>
      <c r="AA171" s="81">
        <v>148.95245</v>
      </c>
      <c r="AB171" s="62">
        <f t="shared" si="2"/>
        <v>212.67737</v>
      </c>
      <c r="AC171" s="87"/>
      <c r="AD171" s="87"/>
      <c r="AE171" s="77"/>
      <c r="AF171" s="77"/>
      <c r="AG171" s="77"/>
      <c r="AH171" s="87">
        <v>0</v>
      </c>
      <c r="AI171" s="87">
        <v>0</v>
      </c>
      <c r="AJ171" s="87">
        <v>0</v>
      </c>
      <c r="AK171" s="87">
        <v>0</v>
      </c>
      <c r="AL171" s="87">
        <v>0</v>
      </c>
      <c r="AM171" s="77">
        <v>0</v>
      </c>
      <c r="AN171" s="77">
        <v>0</v>
      </c>
      <c r="AO171" s="77"/>
      <c r="AP171" s="77" t="s">
        <v>1147</v>
      </c>
      <c r="AQ171" s="77"/>
      <c r="AR171" s="77"/>
      <c r="AS171" s="77"/>
      <c r="AT171" s="77"/>
      <c r="AU171" s="77"/>
      <c r="AV171" s="77"/>
    </row>
    <row r="172" spans="1:48" s="72" customFormat="1" x14ac:dyDescent="0.2">
      <c r="A172" s="77" t="s">
        <v>1145</v>
      </c>
      <c r="B172" s="77" t="s">
        <v>1146</v>
      </c>
      <c r="C172" s="77">
        <v>9</v>
      </c>
      <c r="D172" s="77">
        <v>2</v>
      </c>
      <c r="E172" s="77" t="s">
        <v>138</v>
      </c>
      <c r="F172" s="78">
        <v>43379</v>
      </c>
      <c r="G172" s="83" t="s">
        <v>4033</v>
      </c>
      <c r="H172" s="79">
        <v>1.2499999999999999E-2</v>
      </c>
      <c r="I172" s="77" t="s">
        <v>640</v>
      </c>
      <c r="J172" s="77" t="s">
        <v>173</v>
      </c>
      <c r="K172" s="77" t="s">
        <v>111</v>
      </c>
      <c r="L172" s="77" t="s">
        <v>23</v>
      </c>
      <c r="M172" s="77">
        <v>0</v>
      </c>
      <c r="N172" s="77"/>
      <c r="O172" s="77">
        <v>1</v>
      </c>
      <c r="P172" s="77" t="s">
        <v>176</v>
      </c>
      <c r="Q172" s="77" t="s">
        <v>176</v>
      </c>
      <c r="R172" s="77" t="s">
        <v>24</v>
      </c>
      <c r="S172" s="77" t="s">
        <v>1035</v>
      </c>
      <c r="T172" s="80" t="s">
        <v>23</v>
      </c>
      <c r="U172" s="80" t="s">
        <v>3997</v>
      </c>
      <c r="V172" s="80" t="s">
        <v>4006</v>
      </c>
      <c r="W172" s="77" t="s">
        <v>24</v>
      </c>
      <c r="X172" s="77" t="s">
        <v>24</v>
      </c>
      <c r="Y172" s="77" t="s">
        <v>24</v>
      </c>
      <c r="Z172" s="81">
        <v>63.724919999999997</v>
      </c>
      <c r="AA172" s="81">
        <v>148.95258000000001</v>
      </c>
      <c r="AB172" s="62">
        <f t="shared" si="2"/>
        <v>212.67750000000001</v>
      </c>
      <c r="AC172" s="87"/>
      <c r="AD172" s="87"/>
      <c r="AE172" s="77"/>
      <c r="AF172" s="77"/>
      <c r="AG172" s="77"/>
      <c r="AH172" s="87">
        <v>0</v>
      </c>
      <c r="AI172" s="87">
        <v>0</v>
      </c>
      <c r="AJ172" s="87">
        <v>0</v>
      </c>
      <c r="AK172" s="87">
        <v>0</v>
      </c>
      <c r="AL172" s="87">
        <v>0</v>
      </c>
      <c r="AM172" s="77">
        <v>0</v>
      </c>
      <c r="AN172" s="77">
        <v>0</v>
      </c>
      <c r="AO172" s="77"/>
      <c r="AP172" s="77" t="s">
        <v>1147</v>
      </c>
      <c r="AQ172" s="77"/>
      <c r="AR172" s="77"/>
      <c r="AS172" s="77"/>
      <c r="AT172" s="77"/>
      <c r="AU172" s="77"/>
      <c r="AV172" s="77"/>
    </row>
    <row r="173" spans="1:48" s="72" customFormat="1" x14ac:dyDescent="0.2">
      <c r="A173" s="77" t="s">
        <v>1137</v>
      </c>
      <c r="B173" s="77" t="s">
        <v>1138</v>
      </c>
      <c r="C173" s="77">
        <v>6</v>
      </c>
      <c r="D173" s="77">
        <v>1</v>
      </c>
      <c r="E173" s="77" t="s">
        <v>138</v>
      </c>
      <c r="F173" s="78">
        <v>43379</v>
      </c>
      <c r="G173" s="83" t="s">
        <v>4033</v>
      </c>
      <c r="H173" s="79">
        <v>1.1805555555555555E-2</v>
      </c>
      <c r="I173" s="77" t="s">
        <v>640</v>
      </c>
      <c r="J173" s="77" t="s">
        <v>173</v>
      </c>
      <c r="K173" s="77" t="s">
        <v>111</v>
      </c>
      <c r="L173" s="77" t="s">
        <v>23</v>
      </c>
      <c r="M173" s="77">
        <v>0</v>
      </c>
      <c r="N173" s="77"/>
      <c r="O173" s="77">
        <v>1</v>
      </c>
      <c r="P173" s="77" t="s">
        <v>176</v>
      </c>
      <c r="Q173" s="77" t="s">
        <v>1139</v>
      </c>
      <c r="R173" s="77" t="s">
        <v>24</v>
      </c>
      <c r="S173" s="77" t="s">
        <v>709</v>
      </c>
      <c r="T173" s="80" t="s">
        <v>23</v>
      </c>
      <c r="U173" s="80" t="s">
        <v>4004</v>
      </c>
      <c r="V173" s="80" t="s">
        <v>4005</v>
      </c>
      <c r="W173" s="77" t="s">
        <v>24</v>
      </c>
      <c r="X173" s="77" t="s">
        <v>24</v>
      </c>
      <c r="Y173" s="77" t="s">
        <v>24</v>
      </c>
      <c r="Z173" s="81">
        <v>63.724710000000002</v>
      </c>
      <c r="AA173" s="81">
        <v>148.95338000000001</v>
      </c>
      <c r="AB173" s="62">
        <f t="shared" si="2"/>
        <v>212.67809</v>
      </c>
      <c r="AC173" s="87"/>
      <c r="AD173" s="87"/>
      <c r="AE173" s="77"/>
      <c r="AF173" s="77"/>
      <c r="AG173" s="77"/>
      <c r="AH173" s="87">
        <v>0</v>
      </c>
      <c r="AI173" s="87">
        <v>0</v>
      </c>
      <c r="AJ173" s="87">
        <v>0</v>
      </c>
      <c r="AK173" s="87">
        <v>0</v>
      </c>
      <c r="AL173" s="87">
        <v>0</v>
      </c>
      <c r="AM173" s="77">
        <v>0</v>
      </c>
      <c r="AN173" s="77">
        <v>0</v>
      </c>
      <c r="AO173" s="77"/>
      <c r="AP173" s="77"/>
      <c r="AQ173" s="77"/>
      <c r="AR173" s="77"/>
      <c r="AS173" s="82"/>
      <c r="AT173" s="82"/>
      <c r="AU173" s="82"/>
      <c r="AV173" s="82"/>
    </row>
    <row r="174" spans="1:48" s="72" customFormat="1" x14ac:dyDescent="0.2">
      <c r="A174" s="82" t="s">
        <v>1158</v>
      </c>
      <c r="B174" s="82" t="s">
        <v>1159</v>
      </c>
      <c r="C174" s="82">
        <v>5</v>
      </c>
      <c r="D174" s="82">
        <v>1</v>
      </c>
      <c r="E174" s="82" t="s">
        <v>791</v>
      </c>
      <c r="F174" s="83">
        <v>43380</v>
      </c>
      <c r="G174" s="83" t="s">
        <v>4033</v>
      </c>
      <c r="H174" s="84">
        <v>5.7638888888888885E-2</v>
      </c>
      <c r="I174" s="82" t="s">
        <v>398</v>
      </c>
      <c r="J174" s="82" t="s">
        <v>924</v>
      </c>
      <c r="K174" s="82" t="s">
        <v>187</v>
      </c>
      <c r="L174" s="82" t="s">
        <v>23</v>
      </c>
      <c r="M174" s="82">
        <v>2</v>
      </c>
      <c r="N174" s="82"/>
      <c r="O174" s="82">
        <v>1</v>
      </c>
      <c r="P174" s="77" t="s">
        <v>14</v>
      </c>
      <c r="Q174" s="82" t="s">
        <v>2128</v>
      </c>
      <c r="R174" s="82" t="s">
        <v>122</v>
      </c>
      <c r="S174" s="82" t="s">
        <v>2084</v>
      </c>
      <c r="T174" s="82" t="s">
        <v>23</v>
      </c>
      <c r="U174" s="82" t="s">
        <v>3997</v>
      </c>
      <c r="V174" s="82" t="s">
        <v>3998</v>
      </c>
      <c r="W174" s="77" t="s">
        <v>24</v>
      </c>
      <c r="X174" s="77" t="s">
        <v>24</v>
      </c>
      <c r="Y174" s="82">
        <v>4</v>
      </c>
      <c r="Z174" s="85">
        <v>63.722389999999997</v>
      </c>
      <c r="AA174" s="85">
        <v>148.96592999999999</v>
      </c>
      <c r="AB174" s="62">
        <f t="shared" si="2"/>
        <v>212.68831999999998</v>
      </c>
      <c r="AC174" s="88"/>
      <c r="AD174" s="88"/>
      <c r="AE174" s="82"/>
      <c r="AF174" s="82"/>
      <c r="AG174" s="82"/>
      <c r="AH174" s="88">
        <v>0</v>
      </c>
      <c r="AI174" s="88">
        <v>0</v>
      </c>
      <c r="AJ174" s="88">
        <v>0</v>
      </c>
      <c r="AK174" s="88">
        <v>0</v>
      </c>
      <c r="AL174" s="88">
        <v>18</v>
      </c>
      <c r="AM174" s="82">
        <v>0</v>
      </c>
      <c r="AN174" s="82">
        <v>18</v>
      </c>
      <c r="AO174" s="82"/>
      <c r="AP174" s="82" t="s">
        <v>1160</v>
      </c>
      <c r="AQ174" s="82"/>
      <c r="AR174" s="82"/>
      <c r="AS174" s="77"/>
      <c r="AT174" s="77"/>
      <c r="AU174" s="77"/>
      <c r="AV174" s="77"/>
    </row>
    <row r="175" spans="1:48" s="72" customFormat="1" x14ac:dyDescent="0.2">
      <c r="A175" s="77" t="s">
        <v>1158</v>
      </c>
      <c r="B175" s="77" t="s">
        <v>1159</v>
      </c>
      <c r="C175" s="77">
        <v>5</v>
      </c>
      <c r="D175" s="77">
        <v>3</v>
      </c>
      <c r="E175" s="77" t="s">
        <v>791</v>
      </c>
      <c r="F175" s="78">
        <v>43380</v>
      </c>
      <c r="G175" s="83" t="s">
        <v>4033</v>
      </c>
      <c r="H175" s="79">
        <v>5.7638888888888885E-2</v>
      </c>
      <c r="I175" s="77" t="s">
        <v>398</v>
      </c>
      <c r="J175" s="77" t="s">
        <v>924</v>
      </c>
      <c r="K175" s="77" t="s">
        <v>111</v>
      </c>
      <c r="L175" s="77" t="s">
        <v>23</v>
      </c>
      <c r="M175" s="77">
        <v>1</v>
      </c>
      <c r="N175" s="77"/>
      <c r="O175" s="77">
        <v>1</v>
      </c>
      <c r="P175" s="77" t="s">
        <v>14</v>
      </c>
      <c r="Q175" s="77" t="s">
        <v>2128</v>
      </c>
      <c r="R175" s="77" t="s">
        <v>122</v>
      </c>
      <c r="S175" s="77" t="s">
        <v>2085</v>
      </c>
      <c r="T175" s="82" t="s">
        <v>23</v>
      </c>
      <c r="U175" s="82" t="s">
        <v>3999</v>
      </c>
      <c r="V175" s="82" t="s">
        <v>4001</v>
      </c>
      <c r="W175" s="77" t="s">
        <v>24</v>
      </c>
      <c r="X175" s="77" t="s">
        <v>24</v>
      </c>
      <c r="Y175" s="77">
        <v>13</v>
      </c>
      <c r="Z175" s="81">
        <v>63.722320000000003</v>
      </c>
      <c r="AA175" s="81">
        <v>148.96617000000001</v>
      </c>
      <c r="AB175" s="62">
        <f t="shared" si="2"/>
        <v>212.68849</v>
      </c>
      <c r="AC175" s="87"/>
      <c r="AD175" s="87"/>
      <c r="AE175" s="77"/>
      <c r="AF175" s="77"/>
      <c r="AG175" s="77"/>
      <c r="AH175" s="87">
        <v>0</v>
      </c>
      <c r="AI175" s="87">
        <v>0</v>
      </c>
      <c r="AJ175" s="87">
        <v>0</v>
      </c>
      <c r="AK175" s="87">
        <v>0</v>
      </c>
      <c r="AL175" s="87">
        <v>0</v>
      </c>
      <c r="AM175" s="77">
        <v>0</v>
      </c>
      <c r="AN175" s="77">
        <v>0</v>
      </c>
      <c r="AO175" s="77"/>
      <c r="AP175" s="77" t="s">
        <v>2086</v>
      </c>
      <c r="AQ175" s="77"/>
      <c r="AR175" s="77"/>
      <c r="AS175" s="77"/>
      <c r="AT175" s="77"/>
      <c r="AU175" s="77"/>
      <c r="AV175" s="77"/>
    </row>
    <row r="176" spans="1:48" s="72" customFormat="1" x14ac:dyDescent="0.2">
      <c r="A176" s="77" t="s">
        <v>1158</v>
      </c>
      <c r="B176" s="77" t="s">
        <v>1159</v>
      </c>
      <c r="C176" s="77">
        <v>5</v>
      </c>
      <c r="D176" s="77">
        <v>2</v>
      </c>
      <c r="E176" s="77" t="s">
        <v>791</v>
      </c>
      <c r="F176" s="78">
        <v>43380</v>
      </c>
      <c r="G176" s="83" t="s">
        <v>4033</v>
      </c>
      <c r="H176" s="79">
        <v>5.7638888888888885E-2</v>
      </c>
      <c r="I176" s="77" t="s">
        <v>398</v>
      </c>
      <c r="J176" s="77" t="s">
        <v>924</v>
      </c>
      <c r="K176" s="77" t="s">
        <v>111</v>
      </c>
      <c r="L176" s="77" t="s">
        <v>23</v>
      </c>
      <c r="M176" s="77">
        <v>0</v>
      </c>
      <c r="N176" s="77"/>
      <c r="O176" s="77">
        <v>2</v>
      </c>
      <c r="P176" s="77" t="s">
        <v>176</v>
      </c>
      <c r="Q176" s="77" t="s">
        <v>176</v>
      </c>
      <c r="R176" s="77" t="s">
        <v>122</v>
      </c>
      <c r="S176" s="77" t="s">
        <v>2084</v>
      </c>
      <c r="T176" s="80" t="s">
        <v>23</v>
      </c>
      <c r="U176" s="80" t="s">
        <v>3997</v>
      </c>
      <c r="V176" s="80" t="s">
        <v>4006</v>
      </c>
      <c r="W176" s="77" t="s">
        <v>24</v>
      </c>
      <c r="X176" s="77" t="s">
        <v>24</v>
      </c>
      <c r="Y176" s="77">
        <v>21</v>
      </c>
      <c r="Z176" s="81">
        <v>63.722290000000001</v>
      </c>
      <c r="AA176" s="81">
        <v>148.96632</v>
      </c>
      <c r="AB176" s="62">
        <f t="shared" si="2"/>
        <v>212.68860999999998</v>
      </c>
      <c r="AC176" s="87"/>
      <c r="AD176" s="87"/>
      <c r="AE176" s="77"/>
      <c r="AF176" s="77"/>
      <c r="AG176" s="77"/>
      <c r="AH176" s="87">
        <v>0</v>
      </c>
      <c r="AI176" s="87">
        <v>0</v>
      </c>
      <c r="AJ176" s="87">
        <v>0</v>
      </c>
      <c r="AK176" s="87">
        <v>0</v>
      </c>
      <c r="AL176" s="87">
        <v>0</v>
      </c>
      <c r="AM176" s="77">
        <v>0</v>
      </c>
      <c r="AN176" s="77">
        <v>0</v>
      </c>
      <c r="AO176" s="77"/>
      <c r="AP176" s="77"/>
      <c r="AQ176" s="77"/>
      <c r="AR176" s="77"/>
      <c r="AS176" s="77"/>
      <c r="AT176" s="77"/>
      <c r="AU176" s="77"/>
      <c r="AV176" s="77"/>
    </row>
    <row r="177" spans="1:48" s="72" customFormat="1" x14ac:dyDescent="0.2">
      <c r="A177" s="77" t="s">
        <v>1161</v>
      </c>
      <c r="B177" s="77" t="s">
        <v>1162</v>
      </c>
      <c r="C177" s="77">
        <v>1</v>
      </c>
      <c r="D177" s="77">
        <v>1</v>
      </c>
      <c r="E177" s="77" t="s">
        <v>324</v>
      </c>
      <c r="F177" s="78">
        <v>43380</v>
      </c>
      <c r="G177" s="83" t="s">
        <v>4033</v>
      </c>
      <c r="H177" s="79">
        <v>6.2499999999999995E-3</v>
      </c>
      <c r="I177" s="77" t="s">
        <v>398</v>
      </c>
      <c r="J177" s="77" t="s">
        <v>325</v>
      </c>
      <c r="K177" s="77" t="s">
        <v>111</v>
      </c>
      <c r="L177" s="77" t="s">
        <v>12</v>
      </c>
      <c r="M177" s="77">
        <v>0</v>
      </c>
      <c r="N177" s="77"/>
      <c r="O177" s="77">
        <v>1</v>
      </c>
      <c r="P177" s="77" t="s">
        <v>176</v>
      </c>
      <c r="Q177" s="77" t="s">
        <v>176</v>
      </c>
      <c r="R177" s="77" t="s">
        <v>24</v>
      </c>
      <c r="S177" s="77" t="s">
        <v>1027</v>
      </c>
      <c r="T177" s="82" t="s">
        <v>12</v>
      </c>
      <c r="U177" s="82" t="s">
        <v>3997</v>
      </c>
      <c r="V177" s="82" t="s">
        <v>4005</v>
      </c>
      <c r="W177" s="77" t="s">
        <v>24</v>
      </c>
      <c r="X177" s="77" t="s">
        <v>24</v>
      </c>
      <c r="Y177" s="77" t="s">
        <v>24</v>
      </c>
      <c r="Z177" s="81">
        <v>63.72533</v>
      </c>
      <c r="AA177" s="81">
        <v>148.88963000000001</v>
      </c>
      <c r="AB177" s="62">
        <f t="shared" si="2"/>
        <v>212.61496</v>
      </c>
      <c r="AC177" s="87"/>
      <c r="AD177" s="87"/>
      <c r="AE177" s="77"/>
      <c r="AF177" s="77"/>
      <c r="AG177" s="77"/>
      <c r="AH177" s="87">
        <v>0</v>
      </c>
      <c r="AI177" s="87">
        <v>0</v>
      </c>
      <c r="AJ177" s="87">
        <v>0</v>
      </c>
      <c r="AK177" s="87">
        <v>0</v>
      </c>
      <c r="AL177" s="87">
        <v>0</v>
      </c>
      <c r="AM177" s="77">
        <v>0</v>
      </c>
      <c r="AN177" s="77">
        <v>0</v>
      </c>
      <c r="AO177" s="77"/>
      <c r="AP177" s="77" t="s">
        <v>1163</v>
      </c>
      <c r="AQ177" s="77"/>
      <c r="AR177" s="77"/>
      <c r="AS177" s="59"/>
      <c r="AT177" s="59"/>
      <c r="AU177" s="59"/>
      <c r="AV177" s="59"/>
    </row>
    <row r="178" spans="1:48" s="72" customFormat="1" x14ac:dyDescent="0.2">
      <c r="A178" s="77" t="s">
        <v>1153</v>
      </c>
      <c r="B178" s="77" t="s">
        <v>1154</v>
      </c>
      <c r="C178" s="77">
        <v>3</v>
      </c>
      <c r="D178" s="77">
        <v>1</v>
      </c>
      <c r="E178" s="77" t="s">
        <v>791</v>
      </c>
      <c r="F178" s="78">
        <v>43380</v>
      </c>
      <c r="G178" s="83" t="s">
        <v>4033</v>
      </c>
      <c r="H178" s="79">
        <v>6.0416666666666667E-2</v>
      </c>
      <c r="I178" s="77" t="s">
        <v>398</v>
      </c>
      <c r="J178" s="77" t="s">
        <v>924</v>
      </c>
      <c r="K178" s="77" t="s">
        <v>111</v>
      </c>
      <c r="L178" s="77" t="s">
        <v>23</v>
      </c>
      <c r="M178" s="77">
        <v>1</v>
      </c>
      <c r="N178" s="77"/>
      <c r="O178" s="77">
        <v>1</v>
      </c>
      <c r="P178" s="77" t="s">
        <v>176</v>
      </c>
      <c r="Q178" s="77" t="s">
        <v>176</v>
      </c>
      <c r="R178" s="77" t="s">
        <v>1155</v>
      </c>
      <c r="S178" s="77" t="s">
        <v>2068</v>
      </c>
      <c r="T178" s="82" t="s">
        <v>23</v>
      </c>
      <c r="U178" s="82" t="s">
        <v>3997</v>
      </c>
      <c r="V178" s="82" t="s">
        <v>4003</v>
      </c>
      <c r="W178" s="77" t="s">
        <v>24</v>
      </c>
      <c r="X178" s="77" t="s">
        <v>24</v>
      </c>
      <c r="Y178" s="77" t="s">
        <v>24</v>
      </c>
      <c r="Z178" s="81">
        <v>63.721200000000003</v>
      </c>
      <c r="AA178" s="81">
        <v>148.96514999999999</v>
      </c>
      <c r="AB178" s="62">
        <f t="shared" si="2"/>
        <v>212.68635</v>
      </c>
      <c r="AC178" s="87"/>
      <c r="AD178" s="87"/>
      <c r="AE178" s="77"/>
      <c r="AF178" s="77"/>
      <c r="AG178" s="77"/>
      <c r="AH178" s="87">
        <v>0</v>
      </c>
      <c r="AI178" s="87">
        <v>0</v>
      </c>
      <c r="AJ178" s="87">
        <v>0</v>
      </c>
      <c r="AK178" s="87">
        <v>0</v>
      </c>
      <c r="AL178" s="87">
        <v>0</v>
      </c>
      <c r="AM178" s="77">
        <v>0</v>
      </c>
      <c r="AN178" s="77">
        <v>0</v>
      </c>
      <c r="AO178" s="77"/>
      <c r="AP178" s="77"/>
      <c r="AQ178" s="77"/>
      <c r="AR178" s="77"/>
      <c r="AS178" s="77"/>
      <c r="AT178" s="77"/>
      <c r="AU178" s="77"/>
      <c r="AV178" s="77"/>
    </row>
    <row r="179" spans="1:48" s="72" customFormat="1" x14ac:dyDescent="0.2">
      <c r="A179" s="77" t="s">
        <v>1153</v>
      </c>
      <c r="B179" s="77" t="s">
        <v>1154</v>
      </c>
      <c r="C179" s="77">
        <v>3</v>
      </c>
      <c r="D179" s="77">
        <v>2</v>
      </c>
      <c r="E179" s="77" t="s">
        <v>791</v>
      </c>
      <c r="F179" s="78">
        <v>43380</v>
      </c>
      <c r="G179" s="83" t="s">
        <v>4033</v>
      </c>
      <c r="H179" s="79">
        <v>6.0416666666666667E-2</v>
      </c>
      <c r="I179" s="77" t="s">
        <v>398</v>
      </c>
      <c r="J179" s="77" t="s">
        <v>924</v>
      </c>
      <c r="K179" s="77" t="s">
        <v>111</v>
      </c>
      <c r="L179" s="77" t="s">
        <v>23</v>
      </c>
      <c r="M179" s="77">
        <v>0</v>
      </c>
      <c r="N179" s="77"/>
      <c r="O179" s="77">
        <v>2</v>
      </c>
      <c r="P179" s="77" t="s">
        <v>176</v>
      </c>
      <c r="Q179" s="77" t="s">
        <v>176</v>
      </c>
      <c r="R179" s="77" t="s">
        <v>1155</v>
      </c>
      <c r="S179" s="77" t="s">
        <v>2068</v>
      </c>
      <c r="T179" s="80" t="s">
        <v>23</v>
      </c>
      <c r="U179" s="80" t="s">
        <v>3997</v>
      </c>
      <c r="V179" s="80" t="s">
        <v>4005</v>
      </c>
      <c r="W179" s="77" t="s">
        <v>24</v>
      </c>
      <c r="X179" s="77" t="s">
        <v>24</v>
      </c>
      <c r="Y179" s="77" t="s">
        <v>24</v>
      </c>
      <c r="Z179" s="81">
        <v>63.721200000000003</v>
      </c>
      <c r="AA179" s="81">
        <v>148.96527</v>
      </c>
      <c r="AB179" s="62">
        <f t="shared" si="2"/>
        <v>212.68647000000001</v>
      </c>
      <c r="AC179" s="87"/>
      <c r="AD179" s="87"/>
      <c r="AE179" s="82"/>
      <c r="AF179" s="82"/>
      <c r="AG179" s="82"/>
      <c r="AH179" s="87">
        <v>0</v>
      </c>
      <c r="AI179" s="87">
        <v>0</v>
      </c>
      <c r="AJ179" s="87">
        <v>0</v>
      </c>
      <c r="AK179" s="87">
        <v>0</v>
      </c>
      <c r="AL179" s="87">
        <v>0</v>
      </c>
      <c r="AM179" s="77">
        <v>0</v>
      </c>
      <c r="AN179" s="77">
        <v>0</v>
      </c>
      <c r="AO179" s="77"/>
      <c r="AP179" s="77"/>
      <c r="AQ179" s="77"/>
      <c r="AR179" s="77"/>
      <c r="AS179" s="77"/>
      <c r="AT179" s="77"/>
      <c r="AU179" s="77"/>
      <c r="AV179" s="77"/>
    </row>
    <row r="180" spans="1:48" s="72" customFormat="1" x14ac:dyDescent="0.2">
      <c r="A180" s="77" t="s">
        <v>1213</v>
      </c>
      <c r="B180" s="77" t="s">
        <v>1214</v>
      </c>
      <c r="C180" s="77">
        <v>11</v>
      </c>
      <c r="D180" s="77">
        <v>1</v>
      </c>
      <c r="E180" s="77" t="s">
        <v>201</v>
      </c>
      <c r="F180" s="78">
        <v>43381</v>
      </c>
      <c r="G180" s="83" t="s">
        <v>4033</v>
      </c>
      <c r="H180" s="79">
        <v>1.1111111111111112E-2</v>
      </c>
      <c r="I180" s="77" t="s">
        <v>640</v>
      </c>
      <c r="J180" s="77" t="s">
        <v>1215</v>
      </c>
      <c r="K180" s="77" t="s">
        <v>111</v>
      </c>
      <c r="L180" s="77" t="s">
        <v>23</v>
      </c>
      <c r="M180" s="77">
        <v>1</v>
      </c>
      <c r="N180" s="77"/>
      <c r="O180" s="77">
        <v>1</v>
      </c>
      <c r="P180" s="77" t="s">
        <v>176</v>
      </c>
      <c r="Q180" s="77" t="s">
        <v>176</v>
      </c>
      <c r="R180" s="77" t="s">
        <v>122</v>
      </c>
      <c r="S180" s="77" t="s">
        <v>3963</v>
      </c>
      <c r="T180" s="80" t="s">
        <v>23</v>
      </c>
      <c r="U180" s="80" t="s">
        <v>3997</v>
      </c>
      <c r="V180" s="80" t="s">
        <v>4007</v>
      </c>
      <c r="W180" s="77" t="s">
        <v>24</v>
      </c>
      <c r="X180" s="77" t="s">
        <v>24</v>
      </c>
      <c r="Y180" s="77">
        <v>1</v>
      </c>
      <c r="Z180" s="81">
        <v>63.723610000000001</v>
      </c>
      <c r="AA180" s="81">
        <v>148.95204000000001</v>
      </c>
      <c r="AB180" s="62">
        <f t="shared" si="2"/>
        <v>212.67565000000002</v>
      </c>
      <c r="AC180" s="87"/>
      <c r="AD180" s="87"/>
      <c r="AE180" s="82"/>
      <c r="AF180" s="82"/>
      <c r="AG180" s="82"/>
      <c r="AH180" s="87">
        <v>0</v>
      </c>
      <c r="AI180" s="87">
        <v>0</v>
      </c>
      <c r="AJ180" s="87">
        <v>0</v>
      </c>
      <c r="AK180" s="87">
        <v>0</v>
      </c>
      <c r="AL180" s="87">
        <v>0</v>
      </c>
      <c r="AM180" s="77">
        <v>0</v>
      </c>
      <c r="AN180" s="77">
        <v>0</v>
      </c>
      <c r="AO180" s="77"/>
      <c r="AP180" s="77" t="s">
        <v>1216</v>
      </c>
      <c r="AQ180" s="77"/>
      <c r="AR180" s="77"/>
      <c r="AS180" s="82"/>
      <c r="AT180" s="82"/>
      <c r="AU180" s="82"/>
      <c r="AV180" s="82"/>
    </row>
    <row r="181" spans="1:48" s="72" customFormat="1" x14ac:dyDescent="0.2">
      <c r="A181" s="77" t="s">
        <v>1198</v>
      </c>
      <c r="B181" s="77" t="s">
        <v>1199</v>
      </c>
      <c r="C181" s="77">
        <v>4</v>
      </c>
      <c r="D181" s="77">
        <v>1</v>
      </c>
      <c r="E181" s="82" t="s">
        <v>140</v>
      </c>
      <c r="F181" s="78">
        <v>43381</v>
      </c>
      <c r="G181" s="83" t="s">
        <v>4033</v>
      </c>
      <c r="H181" s="79">
        <v>2.2916666666666669E-2</v>
      </c>
      <c r="I181" s="77" t="s">
        <v>640</v>
      </c>
      <c r="J181" s="77" t="s">
        <v>149</v>
      </c>
      <c r="K181" s="77" t="s">
        <v>111</v>
      </c>
      <c r="L181" s="77" t="s">
        <v>23</v>
      </c>
      <c r="M181" s="77">
        <v>1</v>
      </c>
      <c r="N181" s="77"/>
      <c r="O181" s="77">
        <v>1</v>
      </c>
      <c r="P181" s="77" t="s">
        <v>176</v>
      </c>
      <c r="Q181" s="77" t="s">
        <v>176</v>
      </c>
      <c r="R181" s="77" t="s">
        <v>122</v>
      </c>
      <c r="S181" s="77" t="s">
        <v>1057</v>
      </c>
      <c r="T181" s="80" t="s">
        <v>23</v>
      </c>
      <c r="U181" s="80" t="s">
        <v>3999</v>
      </c>
      <c r="V181" s="80" t="s">
        <v>4005</v>
      </c>
      <c r="W181" s="77" t="s">
        <v>24</v>
      </c>
      <c r="X181" s="77" t="s">
        <v>24</v>
      </c>
      <c r="Y181" s="77">
        <v>2</v>
      </c>
      <c r="Z181" s="81">
        <v>63.723999999999997</v>
      </c>
      <c r="AA181" s="81">
        <v>148.94900999999999</v>
      </c>
      <c r="AB181" s="62">
        <f t="shared" si="2"/>
        <v>212.67300999999998</v>
      </c>
      <c r="AC181" s="87"/>
      <c r="AD181" s="87"/>
      <c r="AE181" s="82"/>
      <c r="AF181" s="82"/>
      <c r="AG181" s="82"/>
      <c r="AH181" s="87">
        <v>0</v>
      </c>
      <c r="AI181" s="87">
        <v>0</v>
      </c>
      <c r="AJ181" s="87">
        <v>0</v>
      </c>
      <c r="AK181" s="87">
        <v>0</v>
      </c>
      <c r="AL181" s="87">
        <v>0</v>
      </c>
      <c r="AM181" s="77">
        <v>0</v>
      </c>
      <c r="AN181" s="77">
        <v>0</v>
      </c>
      <c r="AO181" s="77"/>
      <c r="AP181" s="77" t="s">
        <v>1197</v>
      </c>
      <c r="AQ181" s="77"/>
      <c r="AR181" s="77"/>
      <c r="AS181" s="77"/>
      <c r="AT181" s="77"/>
      <c r="AU181" s="77"/>
      <c r="AV181" s="77"/>
    </row>
    <row r="182" spans="1:48" s="72" customFormat="1" x14ac:dyDescent="0.2">
      <c r="A182" s="82" t="s">
        <v>1220</v>
      </c>
      <c r="B182" s="82" t="s">
        <v>1221</v>
      </c>
      <c r="C182" s="82">
        <v>13</v>
      </c>
      <c r="D182" s="82">
        <v>1</v>
      </c>
      <c r="E182" s="82" t="s">
        <v>201</v>
      </c>
      <c r="F182" s="83">
        <v>43381</v>
      </c>
      <c r="G182" s="83" t="s">
        <v>4033</v>
      </c>
      <c r="H182" s="84">
        <v>2.0833333333333332E-2</v>
      </c>
      <c r="I182" s="82" t="s">
        <v>640</v>
      </c>
      <c r="J182" s="82" t="s">
        <v>1215</v>
      </c>
      <c r="K182" s="82" t="s">
        <v>187</v>
      </c>
      <c r="L182" s="82" t="s">
        <v>23</v>
      </c>
      <c r="M182" s="82">
        <v>1</v>
      </c>
      <c r="N182" s="82"/>
      <c r="O182" s="82">
        <v>1</v>
      </c>
      <c r="P182" s="77" t="s">
        <v>598</v>
      </c>
      <c r="Q182" s="82" t="s">
        <v>2107</v>
      </c>
      <c r="R182" s="82" t="s">
        <v>122</v>
      </c>
      <c r="S182" s="82" t="s">
        <v>3963</v>
      </c>
      <c r="T182" s="80" t="s">
        <v>23</v>
      </c>
      <c r="U182" s="80" t="s">
        <v>3997</v>
      </c>
      <c r="V182" s="80" t="s">
        <v>4007</v>
      </c>
      <c r="W182" s="77" t="s">
        <v>24</v>
      </c>
      <c r="X182" s="77" t="s">
        <v>24</v>
      </c>
      <c r="Y182" s="82">
        <v>2</v>
      </c>
      <c r="Z182" s="85">
        <v>63.724409999999999</v>
      </c>
      <c r="AA182" s="85">
        <v>148.95231999999999</v>
      </c>
      <c r="AB182" s="62">
        <f t="shared" si="2"/>
        <v>212.67672999999999</v>
      </c>
      <c r="AC182" s="88"/>
      <c r="AD182" s="88"/>
      <c r="AE182" s="82"/>
      <c r="AF182" s="82"/>
      <c r="AG182" s="82"/>
      <c r="AH182" s="88">
        <v>0</v>
      </c>
      <c r="AI182" s="88">
        <v>0</v>
      </c>
      <c r="AJ182" s="88">
        <v>0</v>
      </c>
      <c r="AK182" s="88">
        <v>0</v>
      </c>
      <c r="AL182" s="88">
        <v>4</v>
      </c>
      <c r="AM182" s="82">
        <v>0</v>
      </c>
      <c r="AN182" s="82">
        <v>4</v>
      </c>
      <c r="AO182" s="82"/>
      <c r="AP182" s="82" t="s">
        <v>1222</v>
      </c>
      <c r="AQ182" s="82"/>
      <c r="AR182" s="82"/>
      <c r="AS182" s="77"/>
      <c r="AT182" s="77"/>
      <c r="AU182" s="77"/>
      <c r="AV182" s="77"/>
    </row>
    <row r="183" spans="1:48" s="72" customFormat="1" x14ac:dyDescent="0.2">
      <c r="A183" s="82" t="s">
        <v>1183</v>
      </c>
      <c r="B183" s="82" t="s">
        <v>1185</v>
      </c>
      <c r="C183" s="82">
        <v>2</v>
      </c>
      <c r="D183" s="82">
        <v>1</v>
      </c>
      <c r="E183" s="82" t="s">
        <v>521</v>
      </c>
      <c r="F183" s="83">
        <v>43381</v>
      </c>
      <c r="G183" s="83" t="s">
        <v>4033</v>
      </c>
      <c r="H183" s="84">
        <v>2.2916666666666669E-2</v>
      </c>
      <c r="I183" s="82" t="s">
        <v>101</v>
      </c>
      <c r="J183" s="77" t="s">
        <v>2488</v>
      </c>
      <c r="K183" s="82" t="s">
        <v>111</v>
      </c>
      <c r="L183" s="82" t="s">
        <v>23</v>
      </c>
      <c r="M183" s="82">
        <v>1</v>
      </c>
      <c r="N183" s="82"/>
      <c r="O183" s="82">
        <v>1</v>
      </c>
      <c r="P183" s="77" t="s">
        <v>176</v>
      </c>
      <c r="Q183" s="82" t="s">
        <v>176</v>
      </c>
      <c r="R183" s="82" t="s">
        <v>122</v>
      </c>
      <c r="S183" s="82" t="s">
        <v>3963</v>
      </c>
      <c r="T183" s="82" t="s">
        <v>23</v>
      </c>
      <c r="U183" s="82" t="s">
        <v>3997</v>
      </c>
      <c r="V183" s="82" t="s">
        <v>4007</v>
      </c>
      <c r="W183" s="77" t="s">
        <v>24</v>
      </c>
      <c r="X183" s="77" t="s">
        <v>24</v>
      </c>
      <c r="Y183" s="82">
        <v>2</v>
      </c>
      <c r="Z183" s="85">
        <v>63.719540000000002</v>
      </c>
      <c r="AA183" s="85">
        <v>148.98946000000001</v>
      </c>
      <c r="AB183" s="62">
        <f t="shared" si="2"/>
        <v>212.709</v>
      </c>
      <c r="AC183" s="88"/>
      <c r="AD183" s="88"/>
      <c r="AE183" s="77"/>
      <c r="AF183" s="77"/>
      <c r="AG183" s="77"/>
      <c r="AH183" s="88">
        <v>0</v>
      </c>
      <c r="AI183" s="88">
        <v>0</v>
      </c>
      <c r="AJ183" s="88">
        <v>0</v>
      </c>
      <c r="AK183" s="88">
        <v>0</v>
      </c>
      <c r="AL183" s="88">
        <v>13</v>
      </c>
      <c r="AM183" s="82">
        <v>0</v>
      </c>
      <c r="AN183" s="82">
        <v>13</v>
      </c>
      <c r="AO183" s="82"/>
      <c r="AP183" s="82"/>
      <c r="AQ183" s="82"/>
      <c r="AR183" s="82"/>
      <c r="AS183" s="82"/>
      <c r="AT183" s="82"/>
      <c r="AU183" s="82"/>
      <c r="AV183" s="82"/>
    </row>
    <row r="184" spans="1:48" s="72" customFormat="1" x14ac:dyDescent="0.2">
      <c r="A184" s="77" t="s">
        <v>1169</v>
      </c>
      <c r="B184" s="77" t="s">
        <v>1170</v>
      </c>
      <c r="C184" s="77">
        <v>3</v>
      </c>
      <c r="D184" s="77">
        <v>1</v>
      </c>
      <c r="E184" s="77" t="s">
        <v>395</v>
      </c>
      <c r="F184" s="78">
        <v>43381</v>
      </c>
      <c r="G184" s="83" t="s">
        <v>4033</v>
      </c>
      <c r="H184" s="79">
        <v>1.0416666666666666E-2</v>
      </c>
      <c r="I184" s="77" t="s">
        <v>101</v>
      </c>
      <c r="J184" s="77" t="s">
        <v>344</v>
      </c>
      <c r="K184" s="77" t="s">
        <v>1172</v>
      </c>
      <c r="L184" s="77" t="s">
        <v>23</v>
      </c>
      <c r="M184" s="77">
        <v>1</v>
      </c>
      <c r="N184" s="77"/>
      <c r="O184" s="77">
        <v>1</v>
      </c>
      <c r="P184" s="77" t="s">
        <v>14</v>
      </c>
      <c r="Q184" s="77" t="s">
        <v>2110</v>
      </c>
      <c r="R184" s="77" t="s">
        <v>333</v>
      </c>
      <c r="S184" s="77" t="s">
        <v>3975</v>
      </c>
      <c r="T184" s="80" t="s">
        <v>23</v>
      </c>
      <c r="U184" s="80" t="s">
        <v>3999</v>
      </c>
      <c r="V184" s="80" t="s">
        <v>4016</v>
      </c>
      <c r="W184" s="77" t="s">
        <v>24</v>
      </c>
      <c r="X184" s="77" t="s">
        <v>24</v>
      </c>
      <c r="Y184" s="77">
        <v>3</v>
      </c>
      <c r="Z184" s="81">
        <v>63.718719999999998</v>
      </c>
      <c r="AA184" s="81">
        <v>148.9863</v>
      </c>
      <c r="AB184" s="62">
        <f t="shared" si="2"/>
        <v>212.70501999999999</v>
      </c>
      <c r="AC184" s="87"/>
      <c r="AD184" s="87"/>
      <c r="AE184" s="77"/>
      <c r="AF184" s="77"/>
      <c r="AG184" s="77"/>
      <c r="AH184" s="87">
        <v>0</v>
      </c>
      <c r="AI184" s="87">
        <v>0</v>
      </c>
      <c r="AJ184" s="87">
        <v>0</v>
      </c>
      <c r="AK184" s="87">
        <v>0</v>
      </c>
      <c r="AL184" s="87">
        <v>0</v>
      </c>
      <c r="AM184" s="77">
        <v>0</v>
      </c>
      <c r="AN184" s="77">
        <v>0</v>
      </c>
      <c r="AO184" s="77"/>
      <c r="AP184" s="77" t="s">
        <v>1173</v>
      </c>
      <c r="AQ184" s="77"/>
      <c r="AR184" s="77"/>
      <c r="AS184" s="77"/>
      <c r="AT184" s="77"/>
      <c r="AU184" s="77"/>
      <c r="AV184" s="77"/>
    </row>
    <row r="185" spans="1:48" s="72" customFormat="1" x14ac:dyDescent="0.2">
      <c r="A185" s="82" t="s">
        <v>1189</v>
      </c>
      <c r="B185" s="82" t="s">
        <v>1190</v>
      </c>
      <c r="C185" s="82">
        <v>1</v>
      </c>
      <c r="D185" s="82">
        <v>1</v>
      </c>
      <c r="E185" s="82" t="s">
        <v>140</v>
      </c>
      <c r="F185" s="83">
        <v>43381</v>
      </c>
      <c r="G185" s="83" t="s">
        <v>4033</v>
      </c>
      <c r="H185" s="84">
        <v>2.361111111111111E-2</v>
      </c>
      <c r="I185" s="82" t="s">
        <v>101</v>
      </c>
      <c r="J185" s="82" t="s">
        <v>149</v>
      </c>
      <c r="K185" s="82" t="s">
        <v>187</v>
      </c>
      <c r="L185" s="82" t="s">
        <v>23</v>
      </c>
      <c r="M185" s="82">
        <v>1</v>
      </c>
      <c r="N185" s="82"/>
      <c r="O185" s="82">
        <v>1</v>
      </c>
      <c r="P185" s="77" t="s">
        <v>176</v>
      </c>
      <c r="Q185" s="82" t="s">
        <v>176</v>
      </c>
      <c r="R185" s="82" t="s">
        <v>122</v>
      </c>
      <c r="S185" s="82" t="s">
        <v>1057</v>
      </c>
      <c r="T185" s="82" t="s">
        <v>23</v>
      </c>
      <c r="U185" s="82" t="s">
        <v>3999</v>
      </c>
      <c r="V185" s="82" t="s">
        <v>4005</v>
      </c>
      <c r="W185" s="77" t="s">
        <v>24</v>
      </c>
      <c r="X185" s="77" t="s">
        <v>24</v>
      </c>
      <c r="Y185" s="82">
        <v>5</v>
      </c>
      <c r="Z185" s="85">
        <v>63.7239</v>
      </c>
      <c r="AA185" s="85">
        <v>148.94981000000001</v>
      </c>
      <c r="AB185" s="62">
        <f t="shared" si="2"/>
        <v>212.67371000000003</v>
      </c>
      <c r="AC185" s="88"/>
      <c r="AD185" s="88"/>
      <c r="AE185" s="77"/>
      <c r="AF185" s="77"/>
      <c r="AG185" s="77"/>
      <c r="AH185" s="88">
        <v>0</v>
      </c>
      <c r="AI185" s="88">
        <v>0</v>
      </c>
      <c r="AJ185" s="88">
        <v>0</v>
      </c>
      <c r="AK185" s="88">
        <v>0</v>
      </c>
      <c r="AL185" s="88">
        <v>2</v>
      </c>
      <c r="AM185" s="82">
        <v>0</v>
      </c>
      <c r="AN185" s="82">
        <v>2</v>
      </c>
      <c r="AO185" s="82"/>
      <c r="AP185" s="82"/>
      <c r="AQ185" s="82"/>
      <c r="AR185" s="82"/>
      <c r="AS185" s="77"/>
      <c r="AT185" s="77"/>
      <c r="AU185" s="77"/>
      <c r="AV185" s="77"/>
    </row>
    <row r="186" spans="1:48" s="72" customFormat="1" x14ac:dyDescent="0.2">
      <c r="A186" s="77" t="s">
        <v>1194</v>
      </c>
      <c r="B186" s="77" t="s">
        <v>1195</v>
      </c>
      <c r="C186" s="77">
        <v>3</v>
      </c>
      <c r="D186" s="77">
        <v>1</v>
      </c>
      <c r="E186" s="82" t="s">
        <v>140</v>
      </c>
      <c r="F186" s="78">
        <v>43381</v>
      </c>
      <c r="G186" s="83" t="s">
        <v>4033</v>
      </c>
      <c r="H186" s="79">
        <v>1.1111111111111112E-2</v>
      </c>
      <c r="I186" s="77" t="s">
        <v>640</v>
      </c>
      <c r="J186" s="77" t="s">
        <v>149</v>
      </c>
      <c r="K186" s="77" t="s">
        <v>187</v>
      </c>
      <c r="L186" s="77" t="s">
        <v>1196</v>
      </c>
      <c r="M186" s="77">
        <v>1</v>
      </c>
      <c r="N186" s="77"/>
      <c r="O186" s="77">
        <v>1</v>
      </c>
      <c r="P186" s="77" t="s">
        <v>14</v>
      </c>
      <c r="Q186" s="77" t="s">
        <v>2128</v>
      </c>
      <c r="R186" s="77" t="s">
        <v>122</v>
      </c>
      <c r="S186" s="77" t="s">
        <v>1217</v>
      </c>
      <c r="T186" s="80" t="s">
        <v>4013</v>
      </c>
      <c r="U186" s="80" t="s">
        <v>3997</v>
      </c>
      <c r="V186" s="80" t="s">
        <v>4005</v>
      </c>
      <c r="W186" s="77" t="s">
        <v>24</v>
      </c>
      <c r="X186" s="77" t="s">
        <v>24</v>
      </c>
      <c r="Y186" s="77">
        <v>5</v>
      </c>
      <c r="Z186" s="81">
        <v>63.724020000000003</v>
      </c>
      <c r="AA186" s="81">
        <v>148.95114000000001</v>
      </c>
      <c r="AB186" s="62">
        <f t="shared" si="2"/>
        <v>212.67516000000001</v>
      </c>
      <c r="AC186" s="87"/>
      <c r="AD186" s="87"/>
      <c r="AE186" s="77"/>
      <c r="AF186" s="77"/>
      <c r="AG186" s="77"/>
      <c r="AH186" s="87">
        <v>0</v>
      </c>
      <c r="AI186" s="87">
        <v>0</v>
      </c>
      <c r="AJ186" s="87">
        <v>0</v>
      </c>
      <c r="AK186" s="87">
        <v>0</v>
      </c>
      <c r="AL186" s="87">
        <v>0</v>
      </c>
      <c r="AM186" s="77">
        <v>0</v>
      </c>
      <c r="AN186" s="77">
        <v>0</v>
      </c>
      <c r="AO186" s="77"/>
      <c r="AP186" s="77" t="s">
        <v>1197</v>
      </c>
      <c r="AQ186" s="77"/>
      <c r="AR186" s="77"/>
      <c r="AS186" s="77"/>
      <c r="AT186" s="77"/>
      <c r="AU186" s="77"/>
      <c r="AV186" s="77"/>
    </row>
    <row r="187" spans="1:48" s="72" customFormat="1" x14ac:dyDescent="0.2">
      <c r="A187" s="77" t="s">
        <v>1204</v>
      </c>
      <c r="B187" s="77" t="s">
        <v>1205</v>
      </c>
      <c r="C187" s="77">
        <v>7</v>
      </c>
      <c r="D187" s="77">
        <v>1</v>
      </c>
      <c r="E187" s="82" t="s">
        <v>140</v>
      </c>
      <c r="F187" s="78">
        <v>43381</v>
      </c>
      <c r="G187" s="83" t="s">
        <v>4033</v>
      </c>
      <c r="H187" s="79">
        <v>2.2916666666666669E-2</v>
      </c>
      <c r="I187" s="77" t="s">
        <v>640</v>
      </c>
      <c r="J187" s="77" t="s">
        <v>149</v>
      </c>
      <c r="K187" s="77" t="s">
        <v>111</v>
      </c>
      <c r="L187" s="77" t="s">
        <v>23</v>
      </c>
      <c r="M187" s="77">
        <v>0</v>
      </c>
      <c r="N187" s="77"/>
      <c r="O187" s="77">
        <v>1</v>
      </c>
      <c r="P187" s="77" t="s">
        <v>176</v>
      </c>
      <c r="Q187" s="77" t="s">
        <v>176</v>
      </c>
      <c r="R187" s="77" t="s">
        <v>122</v>
      </c>
      <c r="S187" s="77" t="s">
        <v>1057</v>
      </c>
      <c r="T187" s="80" t="s">
        <v>23</v>
      </c>
      <c r="U187" s="80" t="s">
        <v>3999</v>
      </c>
      <c r="V187" s="80" t="s">
        <v>4005</v>
      </c>
      <c r="W187" s="77" t="s">
        <v>24</v>
      </c>
      <c r="X187" s="77" t="s">
        <v>24</v>
      </c>
      <c r="Y187" s="77">
        <v>7</v>
      </c>
      <c r="Z187" s="81">
        <v>63.724110000000003</v>
      </c>
      <c r="AA187" s="81">
        <v>148.95033000000001</v>
      </c>
      <c r="AB187" s="62">
        <f t="shared" si="2"/>
        <v>212.67444</v>
      </c>
      <c r="AC187" s="87"/>
      <c r="AD187" s="87"/>
      <c r="AE187" s="77"/>
      <c r="AF187" s="77"/>
      <c r="AG187" s="77"/>
      <c r="AH187" s="87">
        <v>0</v>
      </c>
      <c r="AI187" s="87">
        <v>0</v>
      </c>
      <c r="AJ187" s="87">
        <v>0</v>
      </c>
      <c r="AK187" s="87">
        <v>0</v>
      </c>
      <c r="AL187" s="87">
        <v>0</v>
      </c>
      <c r="AM187" s="77">
        <v>0</v>
      </c>
      <c r="AN187" s="77">
        <v>0</v>
      </c>
      <c r="AO187" s="77"/>
      <c r="AP187" s="77" t="s">
        <v>1206</v>
      </c>
      <c r="AQ187" s="77"/>
      <c r="AR187" s="77"/>
      <c r="AS187" s="82"/>
      <c r="AT187" s="82"/>
      <c r="AU187" s="82"/>
      <c r="AV187" s="82"/>
    </row>
    <row r="188" spans="1:48" s="72" customFormat="1" x14ac:dyDescent="0.2">
      <c r="A188" s="82" t="s">
        <v>1207</v>
      </c>
      <c r="B188" s="82" t="s">
        <v>1208</v>
      </c>
      <c r="C188" s="82">
        <v>8</v>
      </c>
      <c r="D188" s="82">
        <v>1</v>
      </c>
      <c r="E188" s="82" t="s">
        <v>140</v>
      </c>
      <c r="F188" s="83">
        <v>43381</v>
      </c>
      <c r="G188" s="83" t="s">
        <v>4033</v>
      </c>
      <c r="H188" s="84">
        <v>5.4166666666666669E-2</v>
      </c>
      <c r="I188" s="82" t="s">
        <v>640</v>
      </c>
      <c r="J188" s="82" t="s">
        <v>149</v>
      </c>
      <c r="K188" s="82" t="s">
        <v>187</v>
      </c>
      <c r="L188" s="82" t="s">
        <v>23</v>
      </c>
      <c r="M188" s="82">
        <v>1</v>
      </c>
      <c r="N188" s="82"/>
      <c r="O188" s="82">
        <v>1</v>
      </c>
      <c r="P188" s="77" t="s">
        <v>176</v>
      </c>
      <c r="Q188" s="82" t="s">
        <v>176</v>
      </c>
      <c r="R188" s="82" t="s">
        <v>122</v>
      </c>
      <c r="S188" s="82" t="s">
        <v>1057</v>
      </c>
      <c r="T188" s="82" t="s">
        <v>23</v>
      </c>
      <c r="U188" s="82" t="s">
        <v>3999</v>
      </c>
      <c r="V188" s="82" t="s">
        <v>4005</v>
      </c>
      <c r="W188" s="77" t="s">
        <v>24</v>
      </c>
      <c r="X188" s="77" t="s">
        <v>24</v>
      </c>
      <c r="Y188" s="82">
        <v>9</v>
      </c>
      <c r="Z188" s="85">
        <v>63.723779999999998</v>
      </c>
      <c r="AA188" s="85">
        <v>148.95067</v>
      </c>
      <c r="AB188" s="62">
        <f t="shared" si="2"/>
        <v>212.67445000000001</v>
      </c>
      <c r="AC188" s="88"/>
      <c r="AD188" s="88"/>
      <c r="AE188" s="77"/>
      <c r="AF188" s="77"/>
      <c r="AG188" s="77"/>
      <c r="AH188" s="88">
        <v>0</v>
      </c>
      <c r="AI188" s="88">
        <v>0</v>
      </c>
      <c r="AJ188" s="88">
        <v>0</v>
      </c>
      <c r="AK188" s="88">
        <v>0</v>
      </c>
      <c r="AL188" s="88">
        <v>30</v>
      </c>
      <c r="AM188" s="82">
        <v>0</v>
      </c>
      <c r="AN188" s="82">
        <v>30</v>
      </c>
      <c r="AO188" s="82"/>
      <c r="AP188" s="82"/>
      <c r="AQ188" s="82"/>
      <c r="AR188" s="82"/>
      <c r="AS188" s="77"/>
      <c r="AT188" s="77"/>
      <c r="AU188" s="77"/>
      <c r="AV188" s="77"/>
    </row>
    <row r="189" spans="1:48" s="72" customFormat="1" x14ac:dyDescent="0.2">
      <c r="A189" s="77" t="s">
        <v>1186</v>
      </c>
      <c r="B189" s="77" t="s">
        <v>1187</v>
      </c>
      <c r="C189" s="77">
        <v>3</v>
      </c>
      <c r="D189" s="77">
        <v>1</v>
      </c>
      <c r="E189" s="77" t="s">
        <v>521</v>
      </c>
      <c r="F189" s="78">
        <v>43381</v>
      </c>
      <c r="G189" s="83" t="s">
        <v>4033</v>
      </c>
      <c r="H189" s="79">
        <v>2.2222222222222223E-2</v>
      </c>
      <c r="I189" s="77" t="s">
        <v>101</v>
      </c>
      <c r="J189" s="77" t="s">
        <v>2488</v>
      </c>
      <c r="K189" s="77" t="s">
        <v>111</v>
      </c>
      <c r="L189" s="77" t="s">
        <v>23</v>
      </c>
      <c r="M189" s="77">
        <v>0</v>
      </c>
      <c r="N189" s="77"/>
      <c r="O189" s="77">
        <v>1</v>
      </c>
      <c r="P189" s="77" t="s">
        <v>14</v>
      </c>
      <c r="Q189" s="77" t="s">
        <v>2128</v>
      </c>
      <c r="R189" s="77" t="s">
        <v>122</v>
      </c>
      <c r="S189" s="77" t="s">
        <v>2061</v>
      </c>
      <c r="T189" s="82" t="s">
        <v>23</v>
      </c>
      <c r="U189" s="82" t="s">
        <v>3999</v>
      </c>
      <c r="V189" s="82" t="s">
        <v>4006</v>
      </c>
      <c r="W189" s="77" t="s">
        <v>24</v>
      </c>
      <c r="X189" s="77" t="s">
        <v>24</v>
      </c>
      <c r="Y189" s="77">
        <v>14</v>
      </c>
      <c r="Z189" s="81">
        <v>63.719450000000002</v>
      </c>
      <c r="AA189" s="81">
        <v>148.98935</v>
      </c>
      <c r="AB189" s="62">
        <f t="shared" si="2"/>
        <v>212.7088</v>
      </c>
      <c r="AC189" s="87">
        <v>1</v>
      </c>
      <c r="AD189" s="87" t="s">
        <v>4765</v>
      </c>
      <c r="AE189" s="82"/>
      <c r="AF189" s="82"/>
      <c r="AG189" s="82"/>
      <c r="AH189" s="87">
        <v>0</v>
      </c>
      <c r="AI189" s="87">
        <v>0</v>
      </c>
      <c r="AJ189" s="87">
        <v>0</v>
      </c>
      <c r="AK189" s="87">
        <v>0</v>
      </c>
      <c r="AL189" s="87">
        <v>0</v>
      </c>
      <c r="AM189" s="77">
        <v>0</v>
      </c>
      <c r="AN189" s="77">
        <v>0</v>
      </c>
      <c r="AO189" s="77"/>
      <c r="AP189" s="77" t="s">
        <v>1188</v>
      </c>
      <c r="AQ189" s="77"/>
      <c r="AR189" s="77"/>
      <c r="AS189" s="59"/>
      <c r="AT189" s="59"/>
      <c r="AU189" s="59"/>
      <c r="AV189" s="59"/>
    </row>
    <row r="190" spans="1:48" s="72" customFormat="1" x14ac:dyDescent="0.2">
      <c r="A190" s="77" t="s">
        <v>1183</v>
      </c>
      <c r="B190" s="77" t="s">
        <v>1185</v>
      </c>
      <c r="C190" s="77">
        <v>2</v>
      </c>
      <c r="D190" s="77">
        <v>2</v>
      </c>
      <c r="E190" s="77" t="s">
        <v>521</v>
      </c>
      <c r="F190" s="78">
        <v>43381</v>
      </c>
      <c r="G190" s="83" t="s">
        <v>4033</v>
      </c>
      <c r="H190" s="79">
        <v>2.2916666666666669E-2</v>
      </c>
      <c r="I190" s="77" t="s">
        <v>101</v>
      </c>
      <c r="J190" s="77" t="s">
        <v>2488</v>
      </c>
      <c r="K190" s="77" t="s">
        <v>156</v>
      </c>
      <c r="L190" s="77" t="s">
        <v>23</v>
      </c>
      <c r="M190" s="77">
        <v>1</v>
      </c>
      <c r="N190" s="77"/>
      <c r="O190" s="77">
        <v>1</v>
      </c>
      <c r="P190" s="77" t="s">
        <v>14</v>
      </c>
      <c r="Q190" s="77" t="s">
        <v>2128</v>
      </c>
      <c r="R190" s="77" t="s">
        <v>122</v>
      </c>
      <c r="S190" s="77" t="s">
        <v>2061</v>
      </c>
      <c r="T190" s="82" t="s">
        <v>23</v>
      </c>
      <c r="U190" s="82" t="s">
        <v>3999</v>
      </c>
      <c r="V190" s="82" t="s">
        <v>4006</v>
      </c>
      <c r="W190" s="77" t="s">
        <v>24</v>
      </c>
      <c r="X190" s="77" t="s">
        <v>24</v>
      </c>
      <c r="Y190" s="77">
        <v>14</v>
      </c>
      <c r="Z190" s="81">
        <v>63.719450000000002</v>
      </c>
      <c r="AA190" s="81">
        <v>148.98935</v>
      </c>
      <c r="AB190" s="62">
        <f t="shared" si="2"/>
        <v>212.7088</v>
      </c>
      <c r="AC190" s="87">
        <v>1</v>
      </c>
      <c r="AD190" s="87"/>
      <c r="AE190" s="82"/>
      <c r="AF190" s="82"/>
      <c r="AG190" s="82"/>
      <c r="AH190" s="87">
        <v>0</v>
      </c>
      <c r="AI190" s="87">
        <v>0</v>
      </c>
      <c r="AJ190" s="87">
        <v>0</v>
      </c>
      <c r="AK190" s="87">
        <v>0</v>
      </c>
      <c r="AL190" s="87">
        <v>0</v>
      </c>
      <c r="AM190" s="77">
        <v>0</v>
      </c>
      <c r="AN190" s="77">
        <v>0</v>
      </c>
      <c r="AO190" s="77"/>
      <c r="AP190" s="77"/>
      <c r="AQ190" s="77"/>
      <c r="AR190" s="77"/>
      <c r="AS190" s="59"/>
      <c r="AT190" s="59"/>
      <c r="AU190" s="59"/>
      <c r="AV190" s="59"/>
    </row>
    <row r="191" spans="1:48" s="72" customFormat="1" x14ac:dyDescent="0.2">
      <c r="A191" s="77" t="s">
        <v>1174</v>
      </c>
      <c r="B191" s="77" t="s">
        <v>1175</v>
      </c>
      <c r="C191" s="77">
        <v>4</v>
      </c>
      <c r="D191" s="77">
        <v>1</v>
      </c>
      <c r="E191" s="77" t="s">
        <v>395</v>
      </c>
      <c r="F191" s="78">
        <v>43381</v>
      </c>
      <c r="G191" s="83" t="s">
        <v>4033</v>
      </c>
      <c r="H191" s="79">
        <v>2.2916666666666669E-2</v>
      </c>
      <c r="I191" s="77" t="s">
        <v>101</v>
      </c>
      <c r="J191" s="77" t="s">
        <v>344</v>
      </c>
      <c r="K191" s="77" t="s">
        <v>111</v>
      </c>
      <c r="L191" s="77" t="s">
        <v>23</v>
      </c>
      <c r="M191" s="77">
        <v>0</v>
      </c>
      <c r="N191" s="77"/>
      <c r="O191" s="77">
        <v>1</v>
      </c>
      <c r="P191" s="77" t="s">
        <v>176</v>
      </c>
      <c r="Q191" s="77" t="s">
        <v>176</v>
      </c>
      <c r="R191" s="77" t="s">
        <v>24</v>
      </c>
      <c r="S191" s="77" t="s">
        <v>709</v>
      </c>
      <c r="T191" s="80" t="s">
        <v>23</v>
      </c>
      <c r="U191" s="80" t="s">
        <v>4004</v>
      </c>
      <c r="V191" s="80" t="s">
        <v>4005</v>
      </c>
      <c r="W191" s="77" t="s">
        <v>24</v>
      </c>
      <c r="X191" s="77" t="s">
        <v>24</v>
      </c>
      <c r="Y191" s="77" t="s">
        <v>24</v>
      </c>
      <c r="Z191" s="81">
        <v>63.719540000000002</v>
      </c>
      <c r="AA191" s="81">
        <v>148.98489000000001</v>
      </c>
      <c r="AB191" s="62">
        <f t="shared" si="2"/>
        <v>212.70443</v>
      </c>
      <c r="AC191" s="87"/>
      <c r="AD191" s="87"/>
      <c r="AE191" s="77"/>
      <c r="AF191" s="77"/>
      <c r="AG191" s="77"/>
      <c r="AH191" s="87">
        <v>0</v>
      </c>
      <c r="AI191" s="87">
        <v>0</v>
      </c>
      <c r="AJ191" s="87">
        <v>0</v>
      </c>
      <c r="AK191" s="87">
        <v>0</v>
      </c>
      <c r="AL191" s="87">
        <v>0</v>
      </c>
      <c r="AM191" s="77">
        <v>0</v>
      </c>
      <c r="AN191" s="77">
        <v>0</v>
      </c>
      <c r="AO191" s="77"/>
      <c r="AP191" s="77" t="s">
        <v>2032</v>
      </c>
      <c r="AQ191" s="77"/>
      <c r="AR191" s="77"/>
      <c r="AS191" s="77"/>
      <c r="AT191" s="77"/>
      <c r="AU191" s="77"/>
      <c r="AV191" s="77"/>
    </row>
    <row r="192" spans="1:48" s="72" customFormat="1" x14ac:dyDescent="0.2">
      <c r="A192" s="77" t="s">
        <v>1178</v>
      </c>
      <c r="B192" s="77" t="s">
        <v>1179</v>
      </c>
      <c r="C192" s="77">
        <v>6</v>
      </c>
      <c r="D192" s="77">
        <v>1</v>
      </c>
      <c r="E192" s="77" t="s">
        <v>395</v>
      </c>
      <c r="F192" s="78">
        <v>43381</v>
      </c>
      <c r="G192" s="83" t="s">
        <v>4033</v>
      </c>
      <c r="H192" s="79">
        <v>2.4305555555555556E-2</v>
      </c>
      <c r="I192" s="77" t="s">
        <v>101</v>
      </c>
      <c r="J192" s="77" t="s">
        <v>2498</v>
      </c>
      <c r="K192" s="77" t="s">
        <v>111</v>
      </c>
      <c r="L192" s="77" t="s">
        <v>23</v>
      </c>
      <c r="M192" s="77">
        <v>0</v>
      </c>
      <c r="N192" s="77"/>
      <c r="O192" s="77">
        <v>1</v>
      </c>
      <c r="P192" s="77" t="s">
        <v>176</v>
      </c>
      <c r="Q192" s="77" t="s">
        <v>176</v>
      </c>
      <c r="R192" s="77" t="s">
        <v>24</v>
      </c>
      <c r="S192" s="77" t="s">
        <v>487</v>
      </c>
      <c r="T192" s="82" t="s">
        <v>23</v>
      </c>
      <c r="U192" s="82" t="s">
        <v>3997</v>
      </c>
      <c r="V192" s="82" t="s">
        <v>4001</v>
      </c>
      <c r="W192" s="77" t="s">
        <v>24</v>
      </c>
      <c r="X192" s="77" t="s">
        <v>24</v>
      </c>
      <c r="Y192" s="77" t="s">
        <v>24</v>
      </c>
      <c r="Z192" s="81">
        <v>63.719549999999998</v>
      </c>
      <c r="AA192" s="81">
        <v>148.98508000000001</v>
      </c>
      <c r="AB192" s="62">
        <f t="shared" si="2"/>
        <v>212.70463000000001</v>
      </c>
      <c r="AC192" s="87"/>
      <c r="AD192" s="87"/>
      <c r="AE192" s="77"/>
      <c r="AF192" s="77"/>
      <c r="AG192" s="77"/>
      <c r="AH192" s="87">
        <v>0</v>
      </c>
      <c r="AI192" s="87">
        <v>0</v>
      </c>
      <c r="AJ192" s="87">
        <v>0</v>
      </c>
      <c r="AK192" s="87">
        <v>0</v>
      </c>
      <c r="AL192" s="87">
        <v>0</v>
      </c>
      <c r="AM192" s="77">
        <v>0</v>
      </c>
      <c r="AN192" s="77">
        <v>0</v>
      </c>
      <c r="AO192" s="77"/>
      <c r="AP192" s="77" t="s">
        <v>1180</v>
      </c>
      <c r="AQ192" s="77"/>
      <c r="AR192" s="77"/>
      <c r="AS192" s="77"/>
      <c r="AT192" s="77"/>
      <c r="AU192" s="77"/>
      <c r="AV192" s="77"/>
    </row>
    <row r="193" spans="1:48" s="72" customFormat="1" x14ac:dyDescent="0.2">
      <c r="A193" s="77" t="s">
        <v>1181</v>
      </c>
      <c r="B193" s="77" t="s">
        <v>1184</v>
      </c>
      <c r="C193" s="77">
        <v>1</v>
      </c>
      <c r="D193" s="77">
        <v>1</v>
      </c>
      <c r="E193" s="77" t="s">
        <v>521</v>
      </c>
      <c r="F193" s="78">
        <v>43381</v>
      </c>
      <c r="G193" s="83" t="s">
        <v>4033</v>
      </c>
      <c r="H193" s="79">
        <v>1.1805555555555555E-2</v>
      </c>
      <c r="I193" s="77" t="s">
        <v>101</v>
      </c>
      <c r="J193" s="77" t="s">
        <v>2488</v>
      </c>
      <c r="K193" s="77" t="s">
        <v>111</v>
      </c>
      <c r="L193" s="77" t="s">
        <v>23</v>
      </c>
      <c r="M193" s="77">
        <v>0</v>
      </c>
      <c r="N193" s="77"/>
      <c r="O193" s="77">
        <v>2</v>
      </c>
      <c r="P193" s="77" t="s">
        <v>176</v>
      </c>
      <c r="Q193" s="77" t="s">
        <v>176</v>
      </c>
      <c r="R193" s="77" t="s">
        <v>24</v>
      </c>
      <c r="S193" s="77" t="s">
        <v>709</v>
      </c>
      <c r="T193" s="80" t="s">
        <v>23</v>
      </c>
      <c r="U193" s="80" t="s">
        <v>4004</v>
      </c>
      <c r="V193" s="80" t="s">
        <v>4005</v>
      </c>
      <c r="W193" s="77" t="s">
        <v>24</v>
      </c>
      <c r="X193" s="77" t="s">
        <v>24</v>
      </c>
      <c r="Y193" s="77" t="s">
        <v>24</v>
      </c>
      <c r="Z193" s="81" t="s">
        <v>246</v>
      </c>
      <c r="AA193" s="81"/>
      <c r="AB193" s="62" t="e">
        <f t="shared" si="2"/>
        <v>#VALUE!</v>
      </c>
      <c r="AC193" s="87"/>
      <c r="AD193" s="87"/>
      <c r="AE193" s="82"/>
      <c r="AF193" s="82"/>
      <c r="AG193" s="82"/>
      <c r="AH193" s="87">
        <v>0</v>
      </c>
      <c r="AI193" s="87">
        <v>0</v>
      </c>
      <c r="AJ193" s="87">
        <v>0</v>
      </c>
      <c r="AK193" s="87">
        <v>0</v>
      </c>
      <c r="AL193" s="87">
        <v>0</v>
      </c>
      <c r="AM193" s="77">
        <v>0</v>
      </c>
      <c r="AN193" s="77">
        <v>0</v>
      </c>
      <c r="AO193" s="77"/>
      <c r="AP193" s="77" t="s">
        <v>1182</v>
      </c>
      <c r="AQ193" s="77"/>
      <c r="AR193" s="77"/>
      <c r="AS193" s="77"/>
      <c r="AT193" s="77"/>
      <c r="AU193" s="77"/>
      <c r="AV193" s="77"/>
    </row>
    <row r="194" spans="1:48" s="77" customFormat="1" x14ac:dyDescent="0.2">
      <c r="A194" s="77" t="s">
        <v>1234</v>
      </c>
      <c r="B194" s="77" t="s">
        <v>1235</v>
      </c>
      <c r="C194" s="77">
        <v>5</v>
      </c>
      <c r="D194" s="77">
        <v>1</v>
      </c>
      <c r="E194" s="82" t="s">
        <v>140</v>
      </c>
      <c r="F194" s="78">
        <v>43382</v>
      </c>
      <c r="G194" s="83" t="s">
        <v>4033</v>
      </c>
      <c r="H194" s="79">
        <v>9.7222222222222224E-3</v>
      </c>
      <c r="I194" s="77" t="s">
        <v>1278</v>
      </c>
      <c r="J194" s="77" t="s">
        <v>149</v>
      </c>
      <c r="K194" s="77" t="s">
        <v>111</v>
      </c>
      <c r="L194" s="77" t="s">
        <v>23</v>
      </c>
      <c r="M194" s="77">
        <v>0</v>
      </c>
      <c r="O194" s="77">
        <v>1</v>
      </c>
      <c r="P194" s="77" t="s">
        <v>176</v>
      </c>
      <c r="Q194" s="77" t="s">
        <v>176</v>
      </c>
      <c r="R194" s="77" t="s">
        <v>24</v>
      </c>
      <c r="S194" s="77" t="s">
        <v>1057</v>
      </c>
      <c r="T194" s="80" t="s">
        <v>23</v>
      </c>
      <c r="U194" s="80" t="s">
        <v>3999</v>
      </c>
      <c r="V194" s="80" t="s">
        <v>4005</v>
      </c>
      <c r="W194" s="77" t="s">
        <v>24</v>
      </c>
      <c r="X194" s="77" t="s">
        <v>24</v>
      </c>
      <c r="Y194" s="77" t="s">
        <v>24</v>
      </c>
      <c r="Z194" s="81">
        <v>63.724910000000001</v>
      </c>
      <c r="AA194" s="81">
        <v>148.94807</v>
      </c>
      <c r="AB194" s="62">
        <f t="shared" ref="AB194:AB257" si="3">Z194+AA194</f>
        <v>212.67298</v>
      </c>
      <c r="AC194" s="87">
        <v>1</v>
      </c>
      <c r="AD194" s="87" t="s">
        <v>4765</v>
      </c>
      <c r="AH194" s="87">
        <v>0</v>
      </c>
      <c r="AI194" s="87">
        <v>0</v>
      </c>
      <c r="AJ194" s="87">
        <v>0</v>
      </c>
      <c r="AK194" s="87">
        <v>0</v>
      </c>
      <c r="AL194" s="87">
        <v>0</v>
      </c>
      <c r="AM194" s="77">
        <v>0</v>
      </c>
      <c r="AN194" s="77">
        <v>0</v>
      </c>
      <c r="AP194" s="77" t="s">
        <v>1236</v>
      </c>
      <c r="AS194" s="59"/>
      <c r="AT194" s="59"/>
      <c r="AU194" s="59"/>
      <c r="AV194" s="59"/>
    </row>
    <row r="195" spans="1:48" s="77" customFormat="1" x14ac:dyDescent="0.2">
      <c r="A195" s="77" t="s">
        <v>1231</v>
      </c>
      <c r="B195" s="77" t="s">
        <v>1232</v>
      </c>
      <c r="C195" s="77">
        <v>4</v>
      </c>
      <c r="D195" s="77">
        <v>1</v>
      </c>
      <c r="E195" s="82" t="s">
        <v>140</v>
      </c>
      <c r="F195" s="78">
        <v>43382</v>
      </c>
      <c r="G195" s="83" t="s">
        <v>4033</v>
      </c>
      <c r="H195" s="79">
        <v>6.9444444444444441E-3</v>
      </c>
      <c r="I195" s="77" t="s">
        <v>1278</v>
      </c>
      <c r="J195" s="77" t="s">
        <v>149</v>
      </c>
      <c r="K195" s="77" t="s">
        <v>111</v>
      </c>
      <c r="L195" s="77" t="s">
        <v>23</v>
      </c>
      <c r="M195" s="77">
        <v>0</v>
      </c>
      <c r="O195" s="77">
        <v>1</v>
      </c>
      <c r="P195" s="77" t="s">
        <v>176</v>
      </c>
      <c r="Q195" s="77" t="s">
        <v>176</v>
      </c>
      <c r="R195" s="77" t="s">
        <v>24</v>
      </c>
      <c r="S195" s="77" t="s">
        <v>1233</v>
      </c>
      <c r="T195" s="80" t="s">
        <v>23</v>
      </c>
      <c r="U195" s="80" t="s">
        <v>3997</v>
      </c>
      <c r="V195" s="80" t="s">
        <v>4016</v>
      </c>
      <c r="W195" s="77" t="s">
        <v>24</v>
      </c>
      <c r="X195" s="77" t="s">
        <v>24</v>
      </c>
      <c r="Y195" s="77" t="s">
        <v>24</v>
      </c>
      <c r="Z195" s="81">
        <v>63.724910000000001</v>
      </c>
      <c r="AA195" s="81">
        <v>148.94807</v>
      </c>
      <c r="AB195" s="62">
        <f t="shared" si="3"/>
        <v>212.67298</v>
      </c>
      <c r="AC195" s="87">
        <v>1</v>
      </c>
      <c r="AD195" s="87"/>
      <c r="AH195" s="87">
        <v>0</v>
      </c>
      <c r="AI195" s="87">
        <v>0</v>
      </c>
      <c r="AJ195" s="87">
        <v>0</v>
      </c>
      <c r="AK195" s="87">
        <v>0</v>
      </c>
      <c r="AL195" s="87">
        <v>0</v>
      </c>
      <c r="AM195" s="77">
        <v>0</v>
      </c>
      <c r="AN195" s="77">
        <v>0</v>
      </c>
      <c r="AS195" s="59"/>
      <c r="AT195" s="59"/>
      <c r="AU195" s="59"/>
      <c r="AV195" s="59"/>
    </row>
    <row r="196" spans="1:48" s="77" customFormat="1" x14ac:dyDescent="0.2">
      <c r="A196" s="77" t="s">
        <v>1229</v>
      </c>
      <c r="B196" s="77" t="s">
        <v>1228</v>
      </c>
      <c r="C196" s="77">
        <v>3</v>
      </c>
      <c r="D196" s="77">
        <v>1</v>
      </c>
      <c r="E196" s="77" t="s">
        <v>201</v>
      </c>
      <c r="F196" s="78">
        <v>43382</v>
      </c>
      <c r="G196" s="83" t="s">
        <v>4033</v>
      </c>
      <c r="H196" s="79">
        <v>1.1111111111111112E-2</v>
      </c>
      <c r="I196" s="77" t="s">
        <v>1278</v>
      </c>
      <c r="J196" s="77" t="s">
        <v>1215</v>
      </c>
      <c r="K196" s="77" t="s">
        <v>111</v>
      </c>
      <c r="L196" s="77" t="s">
        <v>23</v>
      </c>
      <c r="M196" s="77">
        <v>0</v>
      </c>
      <c r="O196" s="77">
        <v>1</v>
      </c>
      <c r="P196" s="77" t="s">
        <v>176</v>
      </c>
      <c r="Q196" s="77" t="s">
        <v>176</v>
      </c>
      <c r="R196" s="77" t="s">
        <v>24</v>
      </c>
      <c r="S196" s="77" t="s">
        <v>3963</v>
      </c>
      <c r="T196" s="80" t="s">
        <v>23</v>
      </c>
      <c r="U196" s="80" t="s">
        <v>3997</v>
      </c>
      <c r="V196" s="80" t="s">
        <v>4007</v>
      </c>
      <c r="W196" s="77" t="s">
        <v>24</v>
      </c>
      <c r="X196" s="77" t="s">
        <v>24</v>
      </c>
      <c r="Y196" s="77" t="s">
        <v>24</v>
      </c>
      <c r="Z196" s="81">
        <v>63.724490000000003</v>
      </c>
      <c r="AA196" s="81">
        <v>148.94810000000001</v>
      </c>
      <c r="AB196" s="62">
        <f t="shared" si="3"/>
        <v>212.67259000000001</v>
      </c>
      <c r="AC196" s="87"/>
      <c r="AD196" s="87"/>
      <c r="AH196" s="87">
        <v>0</v>
      </c>
      <c r="AI196" s="87">
        <v>0</v>
      </c>
      <c r="AJ196" s="87">
        <v>0</v>
      </c>
      <c r="AK196" s="87">
        <v>0</v>
      </c>
      <c r="AL196" s="87">
        <v>0</v>
      </c>
      <c r="AM196" s="77">
        <v>0</v>
      </c>
      <c r="AN196" s="77">
        <v>0</v>
      </c>
      <c r="AP196" s="77" t="s">
        <v>1230</v>
      </c>
    </row>
    <row r="197" spans="1:48" s="82" customFormat="1" x14ac:dyDescent="0.2">
      <c r="A197" s="77" t="s">
        <v>270</v>
      </c>
      <c r="B197" s="77"/>
      <c r="C197" s="77"/>
      <c r="D197" s="77">
        <v>1</v>
      </c>
      <c r="E197" s="82" t="s">
        <v>140</v>
      </c>
      <c r="F197" s="78">
        <v>43382</v>
      </c>
      <c r="G197" s="83" t="s">
        <v>4033</v>
      </c>
      <c r="H197" s="77"/>
      <c r="I197" s="77" t="s">
        <v>1278</v>
      </c>
      <c r="J197" s="77" t="s">
        <v>149</v>
      </c>
      <c r="K197" s="77" t="s">
        <v>111</v>
      </c>
      <c r="L197" s="77" t="s">
        <v>12</v>
      </c>
      <c r="M197" s="77">
        <v>0</v>
      </c>
      <c r="N197" s="77"/>
      <c r="O197" s="77">
        <v>1</v>
      </c>
      <c r="P197" s="77" t="s">
        <v>176</v>
      </c>
      <c r="Q197" s="77" t="s">
        <v>176</v>
      </c>
      <c r="R197" s="77" t="s">
        <v>24</v>
      </c>
      <c r="S197" s="77" t="s">
        <v>24</v>
      </c>
      <c r="T197" s="80" t="s">
        <v>176</v>
      </c>
      <c r="U197" s="80" t="s">
        <v>176</v>
      </c>
      <c r="V197" s="80" t="s">
        <v>176</v>
      </c>
      <c r="W197" s="77" t="s">
        <v>24</v>
      </c>
      <c r="X197" s="77" t="s">
        <v>24</v>
      </c>
      <c r="Y197" s="77" t="s">
        <v>24</v>
      </c>
      <c r="Z197" s="81">
        <v>63.723750000000003</v>
      </c>
      <c r="AA197" s="81">
        <v>148.95131000000001</v>
      </c>
      <c r="AB197" s="62">
        <f t="shared" si="3"/>
        <v>212.67506</v>
      </c>
      <c r="AC197" s="87"/>
      <c r="AD197" s="87"/>
      <c r="AE197" s="77"/>
      <c r="AF197" s="77"/>
      <c r="AG197" s="77"/>
      <c r="AH197" s="87">
        <v>0</v>
      </c>
      <c r="AI197" s="87">
        <v>0</v>
      </c>
      <c r="AJ197" s="87">
        <v>0</v>
      </c>
      <c r="AK197" s="87">
        <v>0</v>
      </c>
      <c r="AL197" s="87">
        <v>0</v>
      </c>
      <c r="AM197" s="77">
        <v>0</v>
      </c>
      <c r="AN197" s="77">
        <v>0</v>
      </c>
      <c r="AO197" s="77"/>
      <c r="AP197" s="77" t="s">
        <v>1237</v>
      </c>
      <c r="AQ197" s="77"/>
      <c r="AR197" s="77"/>
      <c r="AS197" s="77"/>
      <c r="AT197" s="77"/>
      <c r="AU197" s="77"/>
      <c r="AV197" s="77"/>
    </row>
    <row r="198" spans="1:48" s="82" customFormat="1" x14ac:dyDescent="0.2">
      <c r="A198" s="77" t="s">
        <v>1293</v>
      </c>
      <c r="B198" s="77" t="s">
        <v>1294</v>
      </c>
      <c r="C198" s="77">
        <v>5</v>
      </c>
      <c r="D198" s="77">
        <v>1</v>
      </c>
      <c r="E198" s="77" t="s">
        <v>324</v>
      </c>
      <c r="F198" s="78">
        <v>43384</v>
      </c>
      <c r="G198" s="83" t="s">
        <v>4033</v>
      </c>
      <c r="H198" s="79">
        <v>1.3194444444444444E-2</v>
      </c>
      <c r="I198" s="77" t="s">
        <v>398</v>
      </c>
      <c r="J198" s="77" t="s">
        <v>337</v>
      </c>
      <c r="K198" s="77" t="s">
        <v>111</v>
      </c>
      <c r="L198" s="77" t="s">
        <v>23</v>
      </c>
      <c r="M198" s="77">
        <v>0</v>
      </c>
      <c r="N198" s="77"/>
      <c r="O198" s="77">
        <v>1</v>
      </c>
      <c r="P198" s="77" t="s">
        <v>176</v>
      </c>
      <c r="Q198" s="77" t="s">
        <v>176</v>
      </c>
      <c r="R198" s="77" t="s">
        <v>122</v>
      </c>
      <c r="S198" s="77" t="s">
        <v>3963</v>
      </c>
      <c r="T198" s="82" t="s">
        <v>23</v>
      </c>
      <c r="U198" s="82" t="s">
        <v>3997</v>
      </c>
      <c r="V198" s="82" t="s">
        <v>4007</v>
      </c>
      <c r="W198" s="77" t="s">
        <v>24</v>
      </c>
      <c r="X198" s="77" t="s">
        <v>24</v>
      </c>
      <c r="Y198" s="77">
        <v>101</v>
      </c>
      <c r="Z198" s="81">
        <v>63.72372</v>
      </c>
      <c r="AA198" s="81">
        <v>148.88693000000001</v>
      </c>
      <c r="AB198" s="62">
        <f t="shared" si="3"/>
        <v>212.61065000000002</v>
      </c>
      <c r="AC198" s="87"/>
      <c r="AD198" s="87"/>
      <c r="AE198" s="77"/>
      <c r="AF198" s="77"/>
      <c r="AG198" s="77"/>
      <c r="AH198" s="87">
        <v>0</v>
      </c>
      <c r="AI198" s="87">
        <v>0</v>
      </c>
      <c r="AJ198" s="87">
        <v>0</v>
      </c>
      <c r="AK198" s="87">
        <v>0</v>
      </c>
      <c r="AL198" s="87">
        <v>0</v>
      </c>
      <c r="AM198" s="77">
        <v>0</v>
      </c>
      <c r="AN198" s="77">
        <v>0</v>
      </c>
      <c r="AO198" s="77"/>
      <c r="AP198" s="77" t="s">
        <v>1295</v>
      </c>
      <c r="AQ198" s="77"/>
      <c r="AR198" s="77"/>
      <c r="AS198" s="59"/>
      <c r="AT198" s="59"/>
      <c r="AU198" s="59"/>
      <c r="AV198" s="59"/>
    </row>
    <row r="199" spans="1:48" s="77" customFormat="1" x14ac:dyDescent="0.2">
      <c r="A199" s="77" t="s">
        <v>1289</v>
      </c>
      <c r="B199" s="77" t="s">
        <v>1290</v>
      </c>
      <c r="C199" s="77">
        <v>4</v>
      </c>
      <c r="D199" s="77">
        <v>1</v>
      </c>
      <c r="E199" s="77" t="s">
        <v>324</v>
      </c>
      <c r="F199" s="78">
        <v>43384</v>
      </c>
      <c r="G199" s="83" t="s">
        <v>4033</v>
      </c>
      <c r="H199" s="79">
        <v>2.013888888888889E-2</v>
      </c>
      <c r="I199" s="77" t="s">
        <v>398</v>
      </c>
      <c r="J199" s="77" t="s">
        <v>176</v>
      </c>
      <c r="K199" s="77" t="s">
        <v>115</v>
      </c>
      <c r="L199" s="77" t="s">
        <v>12</v>
      </c>
      <c r="M199" s="77">
        <v>0</v>
      </c>
      <c r="O199" s="77">
        <v>1</v>
      </c>
      <c r="P199" s="77" t="s">
        <v>14</v>
      </c>
      <c r="Q199" s="77" t="s">
        <v>2130</v>
      </c>
      <c r="R199" s="77" t="s">
        <v>24</v>
      </c>
      <c r="S199" s="77" t="s">
        <v>1291</v>
      </c>
      <c r="T199" s="82" t="s">
        <v>12</v>
      </c>
      <c r="U199" s="82" t="s">
        <v>4004</v>
      </c>
      <c r="V199" s="82" t="s">
        <v>4005</v>
      </c>
      <c r="W199" s="77" t="s">
        <v>24</v>
      </c>
      <c r="X199" s="77" t="s">
        <v>24</v>
      </c>
      <c r="Y199" s="77" t="s">
        <v>24</v>
      </c>
      <c r="Z199" s="81">
        <v>63.724260000000001</v>
      </c>
      <c r="AA199" s="81">
        <v>148.88929999999999</v>
      </c>
      <c r="AB199" s="62">
        <f t="shared" si="3"/>
        <v>212.61356000000001</v>
      </c>
      <c r="AC199" s="87"/>
      <c r="AD199" s="87"/>
      <c r="AE199" s="82"/>
      <c r="AF199" s="82"/>
      <c r="AG199" s="82"/>
      <c r="AH199" s="87">
        <v>0</v>
      </c>
      <c r="AI199" s="87">
        <v>0</v>
      </c>
      <c r="AJ199" s="87">
        <v>0</v>
      </c>
      <c r="AK199" s="87">
        <v>0</v>
      </c>
      <c r="AL199" s="87">
        <v>0</v>
      </c>
      <c r="AM199" s="77">
        <v>0</v>
      </c>
      <c r="AN199" s="77">
        <v>0</v>
      </c>
      <c r="AP199" s="77" t="s">
        <v>1292</v>
      </c>
      <c r="AS199" s="59"/>
      <c r="AT199" s="59"/>
      <c r="AU199" s="59"/>
      <c r="AV199" s="59"/>
    </row>
    <row r="200" spans="1:48" s="77" customFormat="1" x14ac:dyDescent="0.2">
      <c r="A200" s="77" t="s">
        <v>1282</v>
      </c>
      <c r="B200" s="77" t="s">
        <v>1283</v>
      </c>
      <c r="C200" s="77">
        <v>2</v>
      </c>
      <c r="D200" s="77">
        <v>1</v>
      </c>
      <c r="E200" s="77" t="s">
        <v>324</v>
      </c>
      <c r="F200" s="78">
        <v>43384</v>
      </c>
      <c r="G200" s="83" t="s">
        <v>4033</v>
      </c>
      <c r="H200" s="79">
        <v>4.8611111111111112E-3</v>
      </c>
      <c r="J200" s="77" t="s">
        <v>337</v>
      </c>
      <c r="K200" s="77" t="s">
        <v>111</v>
      </c>
      <c r="L200" s="77" t="s">
        <v>115</v>
      </c>
      <c r="M200" s="77">
        <v>0</v>
      </c>
      <c r="O200" s="77">
        <v>1</v>
      </c>
      <c r="P200" s="77" t="s">
        <v>598</v>
      </c>
      <c r="Q200" s="77" t="s">
        <v>2107</v>
      </c>
      <c r="R200" s="77" t="s">
        <v>24</v>
      </c>
      <c r="S200" s="77" t="s">
        <v>3980</v>
      </c>
      <c r="T200" s="82" t="s">
        <v>4013</v>
      </c>
      <c r="U200" s="82" t="s">
        <v>3997</v>
      </c>
      <c r="V200" s="82" t="s">
        <v>4007</v>
      </c>
      <c r="W200" s="77" t="s">
        <v>24</v>
      </c>
      <c r="X200" s="77" t="s">
        <v>24</v>
      </c>
      <c r="Y200" s="77" t="s">
        <v>24</v>
      </c>
      <c r="Z200" s="81">
        <v>63.725389999999997</v>
      </c>
      <c r="AA200" s="81">
        <v>148.88972000000001</v>
      </c>
      <c r="AB200" s="62">
        <f t="shared" si="3"/>
        <v>212.61511000000002</v>
      </c>
      <c r="AC200" s="87"/>
      <c r="AD200" s="87"/>
      <c r="AH200" s="87">
        <v>0</v>
      </c>
      <c r="AI200" s="87">
        <v>0</v>
      </c>
      <c r="AJ200" s="87">
        <v>0</v>
      </c>
      <c r="AK200" s="87">
        <v>0</v>
      </c>
      <c r="AL200" s="87">
        <v>0</v>
      </c>
      <c r="AM200" s="77">
        <v>0</v>
      </c>
      <c r="AN200" s="77">
        <v>0</v>
      </c>
      <c r="AP200" s="77" t="s">
        <v>1285</v>
      </c>
      <c r="AS200" s="59"/>
      <c r="AT200" s="59"/>
      <c r="AU200" s="59"/>
      <c r="AV200" s="59"/>
    </row>
    <row r="201" spans="1:48" s="77" customFormat="1" x14ac:dyDescent="0.2">
      <c r="A201" s="77" t="s">
        <v>1315</v>
      </c>
      <c r="B201" s="77" t="s">
        <v>1316</v>
      </c>
      <c r="C201" s="77">
        <v>8</v>
      </c>
      <c r="D201" s="77">
        <v>1</v>
      </c>
      <c r="E201" s="77" t="s">
        <v>10</v>
      </c>
      <c r="F201" s="78">
        <v>43385</v>
      </c>
      <c r="G201" s="83" t="s">
        <v>4033</v>
      </c>
      <c r="H201" s="79">
        <v>2.5694444444444447E-2</v>
      </c>
      <c r="I201" s="77" t="s">
        <v>398</v>
      </c>
      <c r="J201" s="77" t="s">
        <v>64</v>
      </c>
      <c r="K201" s="77" t="s">
        <v>187</v>
      </c>
      <c r="L201" s="77" t="s">
        <v>12</v>
      </c>
      <c r="M201" s="77">
        <v>1</v>
      </c>
      <c r="O201" s="77">
        <v>1</v>
      </c>
      <c r="P201" s="77" t="s">
        <v>176</v>
      </c>
      <c r="Q201" s="77" t="s">
        <v>176</v>
      </c>
      <c r="R201" s="77" t="s">
        <v>1317</v>
      </c>
      <c r="S201" s="77" t="s">
        <v>1318</v>
      </c>
      <c r="T201" s="82" t="s">
        <v>12</v>
      </c>
      <c r="U201" s="82" t="s">
        <v>3997</v>
      </c>
      <c r="V201" s="82" t="s">
        <v>4008</v>
      </c>
      <c r="W201" s="77" t="s">
        <v>24</v>
      </c>
      <c r="X201" s="77" t="s">
        <v>24</v>
      </c>
      <c r="Y201" s="77">
        <v>0</v>
      </c>
      <c r="Z201" s="81">
        <v>63.731270000000002</v>
      </c>
      <c r="AA201" s="81">
        <v>148.90007</v>
      </c>
      <c r="AB201" s="62">
        <f t="shared" si="3"/>
        <v>212.63133999999999</v>
      </c>
      <c r="AC201" s="87"/>
      <c r="AD201" s="87"/>
      <c r="AH201" s="87">
        <v>12</v>
      </c>
      <c r="AI201" s="87">
        <v>0</v>
      </c>
      <c r="AJ201" s="87">
        <v>0</v>
      </c>
      <c r="AK201" s="87">
        <v>12</v>
      </c>
      <c r="AL201" s="87">
        <v>0</v>
      </c>
      <c r="AM201" s="77">
        <v>0</v>
      </c>
      <c r="AN201" s="77">
        <v>12</v>
      </c>
      <c r="AO201" s="77" t="s">
        <v>1319</v>
      </c>
      <c r="AP201" s="77" t="s">
        <v>1321</v>
      </c>
      <c r="AQ201" s="77">
        <v>5</v>
      </c>
      <c r="AR201" s="77">
        <v>0</v>
      </c>
      <c r="AS201" s="59"/>
      <c r="AT201" s="59"/>
      <c r="AU201" s="59"/>
      <c r="AV201" s="59"/>
    </row>
    <row r="202" spans="1:48" s="77" customFormat="1" x14ac:dyDescent="0.2">
      <c r="A202" s="77" t="s">
        <v>1348</v>
      </c>
      <c r="B202" s="77" t="s">
        <v>1349</v>
      </c>
      <c r="C202" s="77">
        <v>1</v>
      </c>
      <c r="D202" s="77">
        <v>1</v>
      </c>
      <c r="E202" s="77" t="s">
        <v>791</v>
      </c>
      <c r="F202" s="78">
        <v>43385</v>
      </c>
      <c r="G202" s="83" t="s">
        <v>4033</v>
      </c>
      <c r="H202" s="79">
        <v>2.013888888888889E-2</v>
      </c>
      <c r="I202" s="77" t="s">
        <v>398</v>
      </c>
      <c r="J202" s="77" t="s">
        <v>1095</v>
      </c>
      <c r="K202" s="77" t="s">
        <v>187</v>
      </c>
      <c r="L202" s="77" t="s">
        <v>23</v>
      </c>
      <c r="M202" s="77">
        <v>1</v>
      </c>
      <c r="O202" s="77">
        <v>1</v>
      </c>
      <c r="P202" s="77" t="s">
        <v>14</v>
      </c>
      <c r="Q202" s="77" t="s">
        <v>2128</v>
      </c>
      <c r="R202" s="77" t="s">
        <v>122</v>
      </c>
      <c r="S202" s="77" t="s">
        <v>3963</v>
      </c>
      <c r="T202" s="82" t="s">
        <v>23</v>
      </c>
      <c r="U202" s="82" t="s">
        <v>3997</v>
      </c>
      <c r="V202" s="82" t="s">
        <v>4002</v>
      </c>
      <c r="W202" s="77" t="s">
        <v>24</v>
      </c>
      <c r="X202" s="77" t="s">
        <v>24</v>
      </c>
      <c r="Y202" s="77">
        <v>1</v>
      </c>
      <c r="Z202" s="81">
        <v>63.723140000000001</v>
      </c>
      <c r="AA202" s="81">
        <v>148.96843999999999</v>
      </c>
      <c r="AB202" s="62">
        <f t="shared" si="3"/>
        <v>212.69157999999999</v>
      </c>
      <c r="AC202" s="87">
        <v>1</v>
      </c>
      <c r="AD202" s="87" t="s">
        <v>4765</v>
      </c>
      <c r="AE202" s="82"/>
      <c r="AF202" s="82"/>
      <c r="AG202" s="82"/>
      <c r="AH202" s="87">
        <v>0</v>
      </c>
      <c r="AI202" s="87">
        <v>0</v>
      </c>
      <c r="AJ202" s="87">
        <v>0</v>
      </c>
      <c r="AK202" s="87">
        <v>0</v>
      </c>
      <c r="AL202" s="87">
        <v>3</v>
      </c>
      <c r="AM202" s="77">
        <v>0</v>
      </c>
      <c r="AN202" s="77">
        <v>3</v>
      </c>
      <c r="AS202" s="59"/>
      <c r="AT202" s="59"/>
      <c r="AU202" s="59"/>
      <c r="AV202" s="59"/>
    </row>
    <row r="203" spans="1:48" s="82" customFormat="1" x14ac:dyDescent="0.2">
      <c r="A203" s="82" t="s">
        <v>1348</v>
      </c>
      <c r="B203" s="82" t="s">
        <v>1349</v>
      </c>
      <c r="C203" s="82">
        <v>1</v>
      </c>
      <c r="D203" s="82">
        <v>1</v>
      </c>
      <c r="E203" s="82" t="s">
        <v>791</v>
      </c>
      <c r="F203" s="83">
        <v>43385</v>
      </c>
      <c r="G203" s="83" t="s">
        <v>4033</v>
      </c>
      <c r="H203" s="84">
        <v>2.013888888888889E-2</v>
      </c>
      <c r="I203" s="82" t="s">
        <v>398</v>
      </c>
      <c r="J203" s="82" t="s">
        <v>1095</v>
      </c>
      <c r="K203" s="82" t="s">
        <v>187</v>
      </c>
      <c r="L203" s="82" t="s">
        <v>23</v>
      </c>
      <c r="M203" s="82">
        <v>1</v>
      </c>
      <c r="O203" s="82">
        <v>1</v>
      </c>
      <c r="P203" s="77" t="s">
        <v>14</v>
      </c>
      <c r="Q203" s="82" t="s">
        <v>2128</v>
      </c>
      <c r="R203" s="82" t="s">
        <v>122</v>
      </c>
      <c r="S203" s="82" t="s">
        <v>3963</v>
      </c>
      <c r="T203" s="82" t="s">
        <v>23</v>
      </c>
      <c r="U203" s="82" t="s">
        <v>3997</v>
      </c>
      <c r="V203" s="82" t="s">
        <v>4002</v>
      </c>
      <c r="W203" s="77" t="s">
        <v>24</v>
      </c>
      <c r="X203" s="77" t="s">
        <v>24</v>
      </c>
      <c r="Y203" s="82">
        <v>1</v>
      </c>
      <c r="Z203" s="85">
        <v>63.723140000000001</v>
      </c>
      <c r="AA203" s="85">
        <v>148.96843999999999</v>
      </c>
      <c r="AB203" s="62">
        <f t="shared" si="3"/>
        <v>212.69157999999999</v>
      </c>
      <c r="AC203" s="88">
        <v>1</v>
      </c>
      <c r="AD203" s="88"/>
      <c r="AE203" s="77"/>
      <c r="AF203" s="77"/>
      <c r="AG203" s="77"/>
      <c r="AH203" s="88">
        <v>0</v>
      </c>
      <c r="AI203" s="88">
        <v>0</v>
      </c>
      <c r="AJ203" s="88">
        <v>0</v>
      </c>
      <c r="AK203" s="88">
        <v>0</v>
      </c>
      <c r="AL203" s="88">
        <v>12</v>
      </c>
      <c r="AM203" s="82">
        <v>0</v>
      </c>
      <c r="AN203" s="82">
        <v>12</v>
      </c>
      <c r="AS203" s="59"/>
      <c r="AT203" s="59"/>
      <c r="AU203" s="59"/>
      <c r="AV203" s="59"/>
    </row>
    <row r="204" spans="1:48" s="82" customFormat="1" x14ac:dyDescent="0.2">
      <c r="A204" s="82" t="s">
        <v>1326</v>
      </c>
      <c r="B204" s="82" t="s">
        <v>1327</v>
      </c>
      <c r="C204" s="82">
        <v>3</v>
      </c>
      <c r="D204" s="82">
        <v>1</v>
      </c>
      <c r="E204" s="82" t="s">
        <v>201</v>
      </c>
      <c r="F204" s="83">
        <v>43385</v>
      </c>
      <c r="G204" s="83" t="s">
        <v>4033</v>
      </c>
      <c r="H204" s="84">
        <v>3.7499999999999999E-2</v>
      </c>
      <c r="I204" s="82" t="s">
        <v>398</v>
      </c>
      <c r="J204" s="82" t="s">
        <v>1215</v>
      </c>
      <c r="K204" s="82" t="s">
        <v>187</v>
      </c>
      <c r="L204" s="82" t="s">
        <v>23</v>
      </c>
      <c r="M204" s="82">
        <v>1</v>
      </c>
      <c r="O204" s="82">
        <v>1</v>
      </c>
      <c r="P204" s="77" t="s">
        <v>14</v>
      </c>
      <c r="Q204" s="82" t="s">
        <v>2128</v>
      </c>
      <c r="R204" s="82" t="s">
        <v>122</v>
      </c>
      <c r="S204" s="82" t="s">
        <v>1328</v>
      </c>
      <c r="T204" s="82" t="s">
        <v>23</v>
      </c>
      <c r="U204" s="82" t="s">
        <v>4004</v>
      </c>
      <c r="V204" s="82" t="s">
        <v>4005</v>
      </c>
      <c r="W204" s="77" t="s">
        <v>24</v>
      </c>
      <c r="X204" s="77" t="s">
        <v>24</v>
      </c>
      <c r="Y204" s="82">
        <v>2</v>
      </c>
      <c r="Z204" s="85">
        <v>63.72354</v>
      </c>
      <c r="AA204" s="85">
        <v>148.94923</v>
      </c>
      <c r="AB204" s="62">
        <f t="shared" si="3"/>
        <v>212.67277000000001</v>
      </c>
      <c r="AC204" s="88"/>
      <c r="AD204" s="88"/>
      <c r="AE204" s="77"/>
      <c r="AF204" s="77"/>
      <c r="AG204" s="77"/>
      <c r="AH204" s="88">
        <v>0</v>
      </c>
      <c r="AI204" s="88">
        <v>0</v>
      </c>
      <c r="AJ204" s="88">
        <v>0</v>
      </c>
      <c r="AK204" s="88">
        <v>0</v>
      </c>
      <c r="AL204" s="88">
        <v>21</v>
      </c>
      <c r="AM204" s="82">
        <v>0</v>
      </c>
      <c r="AN204" s="82">
        <v>21</v>
      </c>
      <c r="AP204" s="82" t="s">
        <v>2145</v>
      </c>
    </row>
    <row r="205" spans="1:48" s="77" customFormat="1" x14ac:dyDescent="0.2">
      <c r="A205" s="82" t="s">
        <v>1313</v>
      </c>
      <c r="B205" s="82" t="s">
        <v>1314</v>
      </c>
      <c r="C205" s="82">
        <v>7</v>
      </c>
      <c r="D205" s="82">
        <v>1</v>
      </c>
      <c r="E205" s="82" t="s">
        <v>10</v>
      </c>
      <c r="F205" s="83">
        <v>43385</v>
      </c>
      <c r="G205" s="83" t="s">
        <v>4033</v>
      </c>
      <c r="H205" s="84">
        <v>2.8472222222222222E-2</v>
      </c>
      <c r="I205" s="82" t="s">
        <v>398</v>
      </c>
      <c r="J205" s="82" t="s">
        <v>64</v>
      </c>
      <c r="K205" s="82" t="s">
        <v>187</v>
      </c>
      <c r="L205" s="82" t="s">
        <v>23</v>
      </c>
      <c r="M205" s="82">
        <v>1</v>
      </c>
      <c r="N205" s="82"/>
      <c r="O205" s="82">
        <v>1</v>
      </c>
      <c r="P205" s="77" t="s">
        <v>176</v>
      </c>
      <c r="Q205" s="82" t="s">
        <v>176</v>
      </c>
      <c r="R205" s="82" t="s">
        <v>122</v>
      </c>
      <c r="S205" s="82" t="s">
        <v>3963</v>
      </c>
      <c r="T205" s="82" t="s">
        <v>23</v>
      </c>
      <c r="U205" s="82" t="s">
        <v>3997</v>
      </c>
      <c r="V205" s="82" t="s">
        <v>4007</v>
      </c>
      <c r="W205" s="77" t="s">
        <v>24</v>
      </c>
      <c r="X205" s="77" t="s">
        <v>24</v>
      </c>
      <c r="Y205" s="82">
        <v>3</v>
      </c>
      <c r="Z205" s="85">
        <v>63.731409999999997</v>
      </c>
      <c r="AA205" s="85">
        <v>148.89959999999999</v>
      </c>
      <c r="AB205" s="62">
        <f t="shared" si="3"/>
        <v>212.63101</v>
      </c>
      <c r="AC205" s="88"/>
      <c r="AD205" s="88"/>
      <c r="AH205" s="88">
        <v>0</v>
      </c>
      <c r="AI205" s="88">
        <v>0</v>
      </c>
      <c r="AJ205" s="88">
        <v>0</v>
      </c>
      <c r="AK205" s="88">
        <v>0</v>
      </c>
      <c r="AL205" s="88">
        <v>7</v>
      </c>
      <c r="AM205" s="82">
        <v>0</v>
      </c>
      <c r="AN205" s="82">
        <v>7</v>
      </c>
      <c r="AO205" s="82"/>
      <c r="AP205" s="82"/>
      <c r="AQ205" s="82"/>
      <c r="AR205" s="82"/>
      <c r="AS205" s="59"/>
      <c r="AT205" s="59"/>
      <c r="AU205" s="59"/>
      <c r="AV205" s="59"/>
    </row>
    <row r="206" spans="1:48" s="77" customFormat="1" x14ac:dyDescent="0.2">
      <c r="A206" s="77" t="s">
        <v>1303</v>
      </c>
      <c r="B206" s="77" t="s">
        <v>1304</v>
      </c>
      <c r="C206" s="77">
        <v>3</v>
      </c>
      <c r="D206" s="77">
        <v>1</v>
      </c>
      <c r="E206" s="77" t="s">
        <v>10</v>
      </c>
      <c r="F206" s="78">
        <v>43385</v>
      </c>
      <c r="G206" s="83" t="s">
        <v>4033</v>
      </c>
      <c r="H206" s="79">
        <v>2.7777777777777776E-2</v>
      </c>
      <c r="I206" s="77" t="s">
        <v>398</v>
      </c>
      <c r="J206" s="77" t="s">
        <v>363</v>
      </c>
      <c r="K206" s="77" t="s">
        <v>111</v>
      </c>
      <c r="L206" s="77" t="s">
        <v>23</v>
      </c>
      <c r="M206" s="77">
        <v>0</v>
      </c>
      <c r="O206" s="77">
        <v>2</v>
      </c>
      <c r="P206" s="77" t="s">
        <v>14</v>
      </c>
      <c r="Q206" s="77" t="s">
        <v>2128</v>
      </c>
      <c r="R206" s="77" t="s">
        <v>122</v>
      </c>
      <c r="S206" s="77" t="s">
        <v>333</v>
      </c>
      <c r="T206" s="80" t="s">
        <v>23</v>
      </c>
      <c r="U206" s="80" t="s">
        <v>3999</v>
      </c>
      <c r="V206" s="80" t="s">
        <v>4006</v>
      </c>
      <c r="W206" s="77" t="s">
        <v>24</v>
      </c>
      <c r="X206" s="77" t="s">
        <v>24</v>
      </c>
      <c r="Y206" s="77">
        <v>4</v>
      </c>
      <c r="Z206" s="81">
        <v>63.732779999999998</v>
      </c>
      <c r="AA206" s="81">
        <v>148.89912000000001</v>
      </c>
      <c r="AB206" s="62">
        <f t="shared" si="3"/>
        <v>212.6319</v>
      </c>
      <c r="AC206" s="87"/>
      <c r="AD206" s="87"/>
      <c r="AE206" s="82"/>
      <c r="AF206" s="82"/>
      <c r="AG206" s="82"/>
      <c r="AH206" s="87">
        <v>0</v>
      </c>
      <c r="AI206" s="87">
        <v>0</v>
      </c>
      <c r="AJ206" s="87">
        <v>0</v>
      </c>
      <c r="AK206" s="87">
        <v>0</v>
      </c>
      <c r="AL206" s="87">
        <v>0</v>
      </c>
      <c r="AM206" s="77">
        <v>0</v>
      </c>
      <c r="AN206" s="77">
        <v>0</v>
      </c>
      <c r="AS206" s="59"/>
      <c r="AT206" s="59"/>
      <c r="AU206" s="59"/>
      <c r="AV206" s="59"/>
    </row>
    <row r="207" spans="1:48" s="77" customFormat="1" x14ac:dyDescent="0.2">
      <c r="A207" s="82" t="s">
        <v>1330</v>
      </c>
      <c r="B207" s="82" t="s">
        <v>1331</v>
      </c>
      <c r="C207" s="82">
        <v>4</v>
      </c>
      <c r="D207" s="82">
        <v>1</v>
      </c>
      <c r="E207" s="82" t="s">
        <v>201</v>
      </c>
      <c r="F207" s="83">
        <v>43385</v>
      </c>
      <c r="G207" s="83" t="s">
        <v>4033</v>
      </c>
      <c r="H207" s="84">
        <v>1.1111111111111112E-2</v>
      </c>
      <c r="I207" s="82" t="s">
        <v>398</v>
      </c>
      <c r="J207" s="82" t="s">
        <v>176</v>
      </c>
      <c r="K207" s="82" t="s">
        <v>187</v>
      </c>
      <c r="L207" s="82" t="s">
        <v>23</v>
      </c>
      <c r="M207" s="82">
        <v>1</v>
      </c>
      <c r="N207" s="82"/>
      <c r="O207" s="82">
        <v>1</v>
      </c>
      <c r="P207" s="77" t="s">
        <v>14</v>
      </c>
      <c r="Q207" s="82" t="s">
        <v>14</v>
      </c>
      <c r="R207" s="82" t="s">
        <v>122</v>
      </c>
      <c r="S207" s="82" t="s">
        <v>1265</v>
      </c>
      <c r="T207" s="82" t="s">
        <v>23</v>
      </c>
      <c r="U207" s="82" t="s">
        <v>4004</v>
      </c>
      <c r="V207" s="82" t="s">
        <v>4005</v>
      </c>
      <c r="W207" s="77" t="s">
        <v>24</v>
      </c>
      <c r="X207" s="77" t="s">
        <v>24</v>
      </c>
      <c r="Y207" s="82">
        <v>7</v>
      </c>
      <c r="Z207" s="85">
        <v>63.722360000000002</v>
      </c>
      <c r="AA207" s="85">
        <v>148.94922</v>
      </c>
      <c r="AB207" s="62">
        <f t="shared" si="3"/>
        <v>212.67158000000001</v>
      </c>
      <c r="AC207" s="88"/>
      <c r="AD207" s="88"/>
      <c r="AH207" s="88">
        <v>0</v>
      </c>
      <c r="AI207" s="88">
        <v>0</v>
      </c>
      <c r="AJ207" s="88">
        <v>0</v>
      </c>
      <c r="AK207" s="88">
        <v>0</v>
      </c>
      <c r="AL207" s="88">
        <v>5</v>
      </c>
      <c r="AM207" s="82">
        <v>0</v>
      </c>
      <c r="AN207" s="82">
        <v>5</v>
      </c>
      <c r="AO207" s="82"/>
      <c r="AP207" s="82" t="s">
        <v>1333</v>
      </c>
      <c r="AQ207" s="82"/>
      <c r="AR207" s="82"/>
      <c r="AS207" s="82"/>
      <c r="AT207" s="82"/>
      <c r="AU207" s="82"/>
      <c r="AV207" s="82"/>
    </row>
    <row r="208" spans="1:48" s="77" customFormat="1" x14ac:dyDescent="0.2">
      <c r="A208" s="77" t="s">
        <v>1303</v>
      </c>
      <c r="B208" s="77" t="s">
        <v>1304</v>
      </c>
      <c r="C208" s="77">
        <v>3</v>
      </c>
      <c r="D208" s="77">
        <v>2</v>
      </c>
      <c r="E208" s="77" t="s">
        <v>10</v>
      </c>
      <c r="F208" s="78">
        <v>43385</v>
      </c>
      <c r="G208" s="83" t="s">
        <v>4033</v>
      </c>
      <c r="H208" s="79">
        <v>2.7777777777777776E-2</v>
      </c>
      <c r="I208" s="77" t="s">
        <v>398</v>
      </c>
      <c r="J208" s="77" t="s">
        <v>363</v>
      </c>
      <c r="K208" s="77" t="s">
        <v>111</v>
      </c>
      <c r="L208" s="77" t="s">
        <v>23</v>
      </c>
      <c r="M208" s="77">
        <v>0</v>
      </c>
      <c r="O208" s="77">
        <v>1</v>
      </c>
      <c r="P208" s="77" t="s">
        <v>14</v>
      </c>
      <c r="Q208" s="77" t="s">
        <v>2128</v>
      </c>
      <c r="R208" s="77" t="s">
        <v>122</v>
      </c>
      <c r="S208" s="77" t="s">
        <v>2087</v>
      </c>
      <c r="T208" s="82" t="s">
        <v>23</v>
      </c>
      <c r="U208" s="82" t="s">
        <v>3997</v>
      </c>
      <c r="V208" s="82" t="s">
        <v>4006</v>
      </c>
      <c r="W208" s="77" t="s">
        <v>24</v>
      </c>
      <c r="X208" s="77" t="s">
        <v>24</v>
      </c>
      <c r="Y208" s="77">
        <v>11</v>
      </c>
      <c r="Z208" s="81">
        <v>63.732810000000001</v>
      </c>
      <c r="AA208" s="81">
        <v>148.89922999999999</v>
      </c>
      <c r="AB208" s="62">
        <f t="shared" si="3"/>
        <v>212.63203999999999</v>
      </c>
      <c r="AC208" s="87"/>
      <c r="AD208" s="87"/>
      <c r="AH208" s="87">
        <v>0</v>
      </c>
      <c r="AI208" s="87">
        <v>0</v>
      </c>
      <c r="AJ208" s="87">
        <v>0</v>
      </c>
      <c r="AK208" s="87">
        <v>0</v>
      </c>
      <c r="AL208" s="87">
        <v>0</v>
      </c>
      <c r="AM208" s="77">
        <v>0</v>
      </c>
      <c r="AN208" s="77">
        <v>0</v>
      </c>
      <c r="AS208" s="68"/>
      <c r="AT208" s="68"/>
      <c r="AU208" s="68"/>
      <c r="AV208" s="68"/>
    </row>
    <row r="209" spans="1:48" s="77" customFormat="1" x14ac:dyDescent="0.2">
      <c r="A209" s="77" t="s">
        <v>1305</v>
      </c>
      <c r="B209" s="77" t="s">
        <v>1306</v>
      </c>
      <c r="C209" s="77">
        <v>4</v>
      </c>
      <c r="D209" s="77">
        <v>1</v>
      </c>
      <c r="E209" s="77" t="s">
        <v>10</v>
      </c>
      <c r="F209" s="78">
        <v>43385</v>
      </c>
      <c r="G209" s="83" t="s">
        <v>4033</v>
      </c>
      <c r="H209" s="79">
        <v>2.2916666666666669E-2</v>
      </c>
      <c r="I209" s="77" t="s">
        <v>398</v>
      </c>
      <c r="J209" s="77" t="s">
        <v>363</v>
      </c>
      <c r="K209" s="77" t="s">
        <v>111</v>
      </c>
      <c r="L209" s="77" t="s">
        <v>1307</v>
      </c>
      <c r="M209" s="77">
        <v>0</v>
      </c>
      <c r="O209" s="77">
        <v>1</v>
      </c>
      <c r="P209" s="77" t="s">
        <v>14</v>
      </c>
      <c r="Q209" s="77" t="s">
        <v>2128</v>
      </c>
      <c r="R209" s="77" t="s">
        <v>122</v>
      </c>
      <c r="S209" s="77" t="s">
        <v>2063</v>
      </c>
      <c r="T209" s="82" t="s">
        <v>12</v>
      </c>
      <c r="U209" s="82" t="s">
        <v>3997</v>
      </c>
      <c r="V209" s="82" t="s">
        <v>4008</v>
      </c>
      <c r="W209" s="77" t="s">
        <v>24</v>
      </c>
      <c r="X209" s="77" t="s">
        <v>24</v>
      </c>
      <c r="Y209" s="77">
        <v>35</v>
      </c>
      <c r="Z209" s="81">
        <v>63.73254</v>
      </c>
      <c r="AA209" s="81">
        <v>148.89954</v>
      </c>
      <c r="AB209" s="62">
        <f t="shared" si="3"/>
        <v>212.63208</v>
      </c>
      <c r="AC209" s="87"/>
      <c r="AD209" s="87"/>
      <c r="AH209" s="87">
        <v>0</v>
      </c>
      <c r="AI209" s="87">
        <v>0</v>
      </c>
      <c r="AJ209" s="87">
        <v>0</v>
      </c>
      <c r="AK209" s="87">
        <v>0</v>
      </c>
      <c r="AL209" s="87">
        <v>0</v>
      </c>
      <c r="AM209" s="77">
        <v>0</v>
      </c>
      <c r="AN209" s="77">
        <v>0</v>
      </c>
      <c r="AS209" s="68"/>
      <c r="AT209" s="68"/>
      <c r="AU209" s="68"/>
      <c r="AV209" s="68"/>
    </row>
    <row r="210" spans="1:48" s="82" customFormat="1" x14ac:dyDescent="0.2">
      <c r="A210" s="77" t="s">
        <v>1305</v>
      </c>
      <c r="B210" s="77" t="s">
        <v>1306</v>
      </c>
      <c r="C210" s="77">
        <v>4</v>
      </c>
      <c r="D210" s="77">
        <v>2</v>
      </c>
      <c r="E210" s="77" t="s">
        <v>10</v>
      </c>
      <c r="F210" s="78">
        <v>43385</v>
      </c>
      <c r="G210" s="83" t="s">
        <v>4033</v>
      </c>
      <c r="H210" s="79">
        <v>2.2916666666666669E-2</v>
      </c>
      <c r="I210" s="77" t="s">
        <v>398</v>
      </c>
      <c r="J210" s="77" t="s">
        <v>363</v>
      </c>
      <c r="K210" s="77" t="s">
        <v>111</v>
      </c>
      <c r="L210" s="77" t="s">
        <v>1307</v>
      </c>
      <c r="M210" s="77">
        <v>0</v>
      </c>
      <c r="N210" s="77"/>
      <c r="O210" s="77">
        <v>1</v>
      </c>
      <c r="P210" s="77" t="s">
        <v>14</v>
      </c>
      <c r="Q210" s="77" t="s">
        <v>2128</v>
      </c>
      <c r="R210" s="77" t="s">
        <v>122</v>
      </c>
      <c r="S210" s="77" t="s">
        <v>2088</v>
      </c>
      <c r="T210" s="82" t="s">
        <v>23</v>
      </c>
      <c r="U210" s="82" t="s">
        <v>3997</v>
      </c>
      <c r="V210" s="82" t="s">
        <v>4002</v>
      </c>
      <c r="W210" s="77" t="s">
        <v>24</v>
      </c>
      <c r="X210" s="77" t="s">
        <v>24</v>
      </c>
      <c r="Y210" s="77">
        <v>45</v>
      </c>
      <c r="Z210" s="81">
        <v>63.73245</v>
      </c>
      <c r="AA210" s="81">
        <v>148.89957000000001</v>
      </c>
      <c r="AB210" s="62">
        <f t="shared" si="3"/>
        <v>212.63202000000001</v>
      </c>
      <c r="AC210" s="87"/>
      <c r="AD210" s="87"/>
      <c r="AE210" s="77"/>
      <c r="AF210" s="77"/>
      <c r="AG210" s="77"/>
      <c r="AH210" s="87">
        <v>0</v>
      </c>
      <c r="AI210" s="87">
        <v>0</v>
      </c>
      <c r="AJ210" s="87">
        <v>0</v>
      </c>
      <c r="AK210" s="87">
        <v>0</v>
      </c>
      <c r="AL210" s="87">
        <v>0</v>
      </c>
      <c r="AM210" s="77">
        <v>0</v>
      </c>
      <c r="AN210" s="77">
        <v>0</v>
      </c>
      <c r="AO210" s="77"/>
      <c r="AP210" s="77"/>
      <c r="AQ210" s="77"/>
      <c r="AR210" s="77"/>
      <c r="AS210" s="68"/>
      <c r="AT210" s="68"/>
      <c r="AU210" s="68"/>
      <c r="AV210" s="68"/>
    </row>
    <row r="211" spans="1:48" s="77" customFormat="1" x14ac:dyDescent="0.2">
      <c r="A211" s="77" t="s">
        <v>1299</v>
      </c>
      <c r="B211" s="77" t="s">
        <v>1300</v>
      </c>
      <c r="C211" s="77">
        <v>1</v>
      </c>
      <c r="D211" s="77">
        <v>1</v>
      </c>
      <c r="E211" s="77" t="s">
        <v>10</v>
      </c>
      <c r="F211" s="78">
        <v>43385</v>
      </c>
      <c r="G211" s="83" t="s">
        <v>4033</v>
      </c>
      <c r="H211" s="79">
        <v>1.1805555555555555E-2</v>
      </c>
      <c r="I211" s="77" t="s">
        <v>398</v>
      </c>
      <c r="J211" s="77" t="s">
        <v>363</v>
      </c>
      <c r="K211" s="77" t="s">
        <v>111</v>
      </c>
      <c r="L211" s="77" t="s">
        <v>23</v>
      </c>
      <c r="M211" s="77">
        <v>0</v>
      </c>
      <c r="O211" s="77">
        <v>1</v>
      </c>
      <c r="P211" s="77" t="s">
        <v>176</v>
      </c>
      <c r="Q211" s="77" t="s">
        <v>176</v>
      </c>
      <c r="R211" s="77" t="s">
        <v>24</v>
      </c>
      <c r="S211" s="77" t="s">
        <v>709</v>
      </c>
      <c r="T211" s="82" t="s">
        <v>23</v>
      </c>
      <c r="U211" s="82" t="s">
        <v>4004</v>
      </c>
      <c r="V211" s="82" t="s">
        <v>4005</v>
      </c>
      <c r="W211" s="77" t="s">
        <v>24</v>
      </c>
      <c r="X211" s="77" t="s">
        <v>24</v>
      </c>
      <c r="Y211" s="77" t="s">
        <v>24</v>
      </c>
      <c r="Z211" s="81">
        <v>63.733600000000003</v>
      </c>
      <c r="AA211" s="81">
        <v>148.89886000000001</v>
      </c>
      <c r="AB211" s="62">
        <f t="shared" si="3"/>
        <v>212.63246000000001</v>
      </c>
      <c r="AC211" s="87"/>
      <c r="AD211" s="87"/>
      <c r="AE211" s="82"/>
      <c r="AF211" s="82"/>
      <c r="AG211" s="82"/>
      <c r="AH211" s="87">
        <v>0</v>
      </c>
      <c r="AI211" s="87">
        <v>0</v>
      </c>
      <c r="AJ211" s="87">
        <v>0</v>
      </c>
      <c r="AK211" s="87">
        <v>0</v>
      </c>
      <c r="AL211" s="87">
        <v>0</v>
      </c>
      <c r="AM211" s="77">
        <v>0</v>
      </c>
      <c r="AN211" s="77">
        <v>0</v>
      </c>
      <c r="AS211" s="72"/>
      <c r="AT211" s="72"/>
      <c r="AU211" s="72"/>
      <c r="AV211" s="72"/>
    </row>
    <row r="212" spans="1:48" s="77" customFormat="1" x14ac:dyDescent="0.2">
      <c r="A212" s="77" t="s">
        <v>1325</v>
      </c>
      <c r="B212" s="77" t="s">
        <v>1323</v>
      </c>
      <c r="C212" s="77">
        <v>2</v>
      </c>
      <c r="D212" s="77">
        <v>1</v>
      </c>
      <c r="E212" s="77" t="s">
        <v>201</v>
      </c>
      <c r="F212" s="78">
        <v>43385</v>
      </c>
      <c r="G212" s="83" t="s">
        <v>4033</v>
      </c>
      <c r="H212" s="79">
        <v>1.8749999999999999E-2</v>
      </c>
      <c r="I212" s="77" t="s">
        <v>398</v>
      </c>
      <c r="J212" s="77" t="s">
        <v>176</v>
      </c>
      <c r="K212" s="77" t="s">
        <v>111</v>
      </c>
      <c r="L212" s="77" t="s">
        <v>23</v>
      </c>
      <c r="M212" s="77">
        <v>0</v>
      </c>
      <c r="O212" s="77">
        <v>1</v>
      </c>
      <c r="P212" s="77" t="s">
        <v>176</v>
      </c>
      <c r="Q212" s="77" t="s">
        <v>176</v>
      </c>
      <c r="R212" s="77" t="s">
        <v>24</v>
      </c>
      <c r="S212" s="77" t="s">
        <v>1265</v>
      </c>
      <c r="T212" s="80" t="s">
        <v>23</v>
      </c>
      <c r="U212" s="80" t="s">
        <v>4004</v>
      </c>
      <c r="V212" s="80" t="s">
        <v>4005</v>
      </c>
      <c r="W212" s="77" t="s">
        <v>24</v>
      </c>
      <c r="X212" s="77" t="s">
        <v>24</v>
      </c>
      <c r="Y212" s="77" t="s">
        <v>24</v>
      </c>
      <c r="Z212" s="81">
        <v>63.723970000000001</v>
      </c>
      <c r="AA212" s="81">
        <v>148.94882000000001</v>
      </c>
      <c r="AB212" s="62">
        <f t="shared" si="3"/>
        <v>212.67279000000002</v>
      </c>
      <c r="AC212" s="87"/>
      <c r="AD212" s="87"/>
      <c r="AH212" s="87">
        <v>0</v>
      </c>
      <c r="AI212" s="87">
        <v>0</v>
      </c>
      <c r="AJ212" s="87">
        <v>0</v>
      </c>
      <c r="AK212" s="87">
        <v>0</v>
      </c>
      <c r="AL212" s="87">
        <v>0</v>
      </c>
      <c r="AM212" s="77">
        <v>0</v>
      </c>
      <c r="AN212" s="77">
        <v>0</v>
      </c>
    </row>
    <row r="213" spans="1:48" s="77" customFormat="1" x14ac:dyDescent="0.2">
      <c r="A213" s="77" t="s">
        <v>1296</v>
      </c>
      <c r="B213" s="77" t="s">
        <v>1297</v>
      </c>
      <c r="C213" s="77">
        <v>1</v>
      </c>
      <c r="D213" s="77">
        <v>1</v>
      </c>
      <c r="E213" s="77" t="s">
        <v>201</v>
      </c>
      <c r="F213" s="78">
        <v>43385</v>
      </c>
      <c r="G213" s="83" t="s">
        <v>4033</v>
      </c>
      <c r="H213" s="79">
        <v>7.6388888888888886E-3</v>
      </c>
      <c r="I213" s="77" t="s">
        <v>398</v>
      </c>
      <c r="J213" s="77" t="s">
        <v>1215</v>
      </c>
      <c r="K213" s="77" t="s">
        <v>242</v>
      </c>
      <c r="L213" s="77" t="s">
        <v>23</v>
      </c>
      <c r="M213" s="77">
        <v>1</v>
      </c>
      <c r="O213" s="77">
        <v>1</v>
      </c>
      <c r="P213" s="77" t="s">
        <v>176</v>
      </c>
      <c r="Q213" s="77" t="s">
        <v>176</v>
      </c>
      <c r="R213" s="77" t="s">
        <v>24</v>
      </c>
      <c r="S213" s="77" t="s">
        <v>2061</v>
      </c>
      <c r="T213" s="80" t="s">
        <v>23</v>
      </c>
      <c r="U213" s="80" t="s">
        <v>3999</v>
      </c>
      <c r="V213" s="80" t="s">
        <v>4006</v>
      </c>
      <c r="W213" s="77" t="s">
        <v>24</v>
      </c>
      <c r="X213" s="77" t="s">
        <v>24</v>
      </c>
      <c r="Y213" s="77" t="s">
        <v>24</v>
      </c>
      <c r="Z213" s="81">
        <v>63.722709999999999</v>
      </c>
      <c r="AA213" s="81">
        <v>148.95956000000001</v>
      </c>
      <c r="AB213" s="62">
        <f t="shared" si="3"/>
        <v>212.68227000000002</v>
      </c>
      <c r="AC213" s="87"/>
      <c r="AD213" s="87"/>
      <c r="AE213" s="82"/>
      <c r="AF213" s="82"/>
      <c r="AG213" s="82"/>
      <c r="AH213" s="87">
        <v>0</v>
      </c>
      <c r="AI213" s="87">
        <v>0</v>
      </c>
      <c r="AJ213" s="87">
        <v>0</v>
      </c>
      <c r="AK213" s="87">
        <v>0</v>
      </c>
      <c r="AL213" s="87">
        <v>0</v>
      </c>
      <c r="AM213" s="77">
        <v>0</v>
      </c>
      <c r="AN213" s="77">
        <v>0</v>
      </c>
      <c r="AP213" s="77" t="s">
        <v>1298</v>
      </c>
    </row>
    <row r="214" spans="1:48" s="77" customFormat="1" x14ac:dyDescent="0.2">
      <c r="A214" s="77" t="s">
        <v>1346</v>
      </c>
      <c r="B214" s="77" t="s">
        <v>1347</v>
      </c>
      <c r="C214" s="77">
        <v>10</v>
      </c>
      <c r="D214" s="77">
        <v>2</v>
      </c>
      <c r="E214" s="77" t="s">
        <v>201</v>
      </c>
      <c r="F214" s="78">
        <v>43385</v>
      </c>
      <c r="G214" s="83" t="s">
        <v>4033</v>
      </c>
      <c r="H214" s="79">
        <v>3.2638888888888891E-2</v>
      </c>
      <c r="I214" s="77" t="s">
        <v>398</v>
      </c>
      <c r="J214" s="77" t="s">
        <v>1215</v>
      </c>
      <c r="K214" s="77" t="s">
        <v>111</v>
      </c>
      <c r="L214" s="77" t="s">
        <v>23</v>
      </c>
      <c r="M214" s="77">
        <v>0</v>
      </c>
      <c r="O214" s="77">
        <v>1</v>
      </c>
      <c r="P214" s="77" t="s">
        <v>176</v>
      </c>
      <c r="Q214" s="77" t="s">
        <v>176</v>
      </c>
      <c r="R214" s="77" t="s">
        <v>24</v>
      </c>
      <c r="S214" s="77" t="s">
        <v>2090</v>
      </c>
      <c r="T214" s="80" t="s">
        <v>23</v>
      </c>
      <c r="U214" s="80" t="s">
        <v>3999</v>
      </c>
      <c r="V214" s="80" t="s">
        <v>4007</v>
      </c>
      <c r="W214" s="77" t="s">
        <v>24</v>
      </c>
      <c r="X214" s="77" t="s">
        <v>24</v>
      </c>
      <c r="Y214" s="77" t="s">
        <v>1332</v>
      </c>
      <c r="Z214" s="81">
        <v>63.722029999999997</v>
      </c>
      <c r="AA214" s="81">
        <v>148.94855000000001</v>
      </c>
      <c r="AB214" s="62">
        <f t="shared" si="3"/>
        <v>212.67058</v>
      </c>
      <c r="AC214" s="87">
        <v>1</v>
      </c>
      <c r="AD214" s="87" t="s">
        <v>4765</v>
      </c>
      <c r="AE214" s="82"/>
      <c r="AF214" s="82"/>
      <c r="AG214" s="82"/>
      <c r="AH214" s="87">
        <v>0</v>
      </c>
      <c r="AI214" s="87">
        <v>0</v>
      </c>
      <c r="AJ214" s="87">
        <v>0</v>
      </c>
      <c r="AK214" s="87">
        <v>0</v>
      </c>
      <c r="AL214" s="87">
        <v>0</v>
      </c>
      <c r="AM214" s="77">
        <v>0</v>
      </c>
      <c r="AN214" s="77">
        <v>0</v>
      </c>
      <c r="AP214" s="77" t="s">
        <v>2092</v>
      </c>
      <c r="AS214" s="59"/>
      <c r="AT214" s="59"/>
      <c r="AU214" s="59"/>
      <c r="AV214" s="59"/>
    </row>
    <row r="215" spans="1:48" s="77" customFormat="1" x14ac:dyDescent="0.2">
      <c r="A215" s="77" t="s">
        <v>1346</v>
      </c>
      <c r="B215" s="77" t="s">
        <v>1347</v>
      </c>
      <c r="C215" s="77">
        <v>10</v>
      </c>
      <c r="D215" s="77">
        <v>1</v>
      </c>
      <c r="E215" s="77" t="s">
        <v>201</v>
      </c>
      <c r="F215" s="78">
        <v>43385</v>
      </c>
      <c r="G215" s="83" t="s">
        <v>4033</v>
      </c>
      <c r="H215" s="79">
        <v>3.2638888888888891E-2</v>
      </c>
      <c r="I215" s="77" t="s">
        <v>398</v>
      </c>
      <c r="J215" s="77" t="s">
        <v>1215</v>
      </c>
      <c r="K215" s="77" t="s">
        <v>111</v>
      </c>
      <c r="L215" s="77" t="s">
        <v>23</v>
      </c>
      <c r="M215" s="77">
        <v>0</v>
      </c>
      <c r="O215" s="77">
        <v>1</v>
      </c>
      <c r="P215" s="77" t="s">
        <v>176</v>
      </c>
      <c r="Q215" s="77" t="s">
        <v>176</v>
      </c>
      <c r="R215" s="77" t="s">
        <v>24</v>
      </c>
      <c r="S215" s="77" t="s">
        <v>3964</v>
      </c>
      <c r="T215" s="80" t="s">
        <v>23</v>
      </c>
      <c r="U215" s="80" t="s">
        <v>3997</v>
      </c>
      <c r="V215" s="80" t="s">
        <v>4007</v>
      </c>
      <c r="W215" s="77" t="s">
        <v>24</v>
      </c>
      <c r="X215" s="77" t="s">
        <v>24</v>
      </c>
      <c r="Y215" s="77" t="s">
        <v>1332</v>
      </c>
      <c r="Z215" s="81">
        <v>63.722029999999997</v>
      </c>
      <c r="AA215" s="81">
        <v>148.94855000000001</v>
      </c>
      <c r="AB215" s="62">
        <f t="shared" si="3"/>
        <v>212.67058</v>
      </c>
      <c r="AC215" s="87">
        <v>1</v>
      </c>
      <c r="AD215" s="87"/>
      <c r="AH215" s="87">
        <v>0</v>
      </c>
      <c r="AI215" s="87">
        <v>0</v>
      </c>
      <c r="AJ215" s="87">
        <v>0</v>
      </c>
      <c r="AK215" s="87">
        <v>0</v>
      </c>
      <c r="AL215" s="87">
        <v>0</v>
      </c>
      <c r="AM215" s="77">
        <v>0</v>
      </c>
      <c r="AN215" s="77">
        <v>0</v>
      </c>
      <c r="AS215" s="59"/>
      <c r="AT215" s="59"/>
      <c r="AU215" s="59"/>
      <c r="AV215" s="59"/>
    </row>
    <row r="216" spans="1:48" s="82" customFormat="1" x14ac:dyDescent="0.2">
      <c r="A216" s="77" t="s">
        <v>1344</v>
      </c>
      <c r="B216" s="77" t="s">
        <v>1345</v>
      </c>
      <c r="C216" s="77">
        <v>9</v>
      </c>
      <c r="D216" s="77">
        <v>1</v>
      </c>
      <c r="E216" s="77" t="s">
        <v>201</v>
      </c>
      <c r="F216" s="78">
        <v>43385</v>
      </c>
      <c r="G216" s="83" t="s">
        <v>4033</v>
      </c>
      <c r="H216" s="79">
        <v>2.4999999999999998E-2</v>
      </c>
      <c r="I216" s="77" t="s">
        <v>398</v>
      </c>
      <c r="J216" s="77" t="s">
        <v>1215</v>
      </c>
      <c r="K216" s="77" t="s">
        <v>111</v>
      </c>
      <c r="L216" s="77" t="s">
        <v>23</v>
      </c>
      <c r="M216" s="77">
        <v>0</v>
      </c>
      <c r="N216" s="77"/>
      <c r="O216" s="77">
        <v>1</v>
      </c>
      <c r="P216" s="77" t="s">
        <v>14</v>
      </c>
      <c r="Q216" s="77" t="s">
        <v>14</v>
      </c>
      <c r="R216" s="77" t="s">
        <v>122</v>
      </c>
      <c r="S216" s="77" t="s">
        <v>1035</v>
      </c>
      <c r="T216" s="80" t="s">
        <v>23</v>
      </c>
      <c r="U216" s="80" t="s">
        <v>3997</v>
      </c>
      <c r="V216" s="80" t="s">
        <v>4006</v>
      </c>
      <c r="W216" s="77" t="s">
        <v>24</v>
      </c>
      <c r="X216" s="77" t="s">
        <v>24</v>
      </c>
      <c r="Y216" s="77" t="s">
        <v>1332</v>
      </c>
      <c r="Z216" s="81">
        <v>63.722029999999997</v>
      </c>
      <c r="AA216" s="81">
        <v>148.94954999999999</v>
      </c>
      <c r="AB216" s="62">
        <f t="shared" si="3"/>
        <v>212.67157999999998</v>
      </c>
      <c r="AC216" s="87"/>
      <c r="AD216" s="87"/>
      <c r="AE216" s="77"/>
      <c r="AF216" s="77"/>
      <c r="AG216" s="77"/>
      <c r="AH216" s="87">
        <v>0</v>
      </c>
      <c r="AI216" s="87">
        <v>0</v>
      </c>
      <c r="AJ216" s="87">
        <v>0</v>
      </c>
      <c r="AK216" s="87">
        <v>0</v>
      </c>
      <c r="AL216" s="87">
        <v>0</v>
      </c>
      <c r="AM216" s="77">
        <v>0</v>
      </c>
      <c r="AN216" s="77">
        <v>0</v>
      </c>
      <c r="AO216" s="77"/>
      <c r="AP216" s="77"/>
      <c r="AQ216" s="77"/>
      <c r="AR216" s="77"/>
    </row>
    <row r="217" spans="1:48" s="82" customFormat="1" x14ac:dyDescent="0.2">
      <c r="A217" s="77" t="s">
        <v>1346</v>
      </c>
      <c r="B217" s="77" t="s">
        <v>1347</v>
      </c>
      <c r="C217" s="77">
        <v>10</v>
      </c>
      <c r="D217" s="77">
        <v>3</v>
      </c>
      <c r="E217" s="77" t="s">
        <v>201</v>
      </c>
      <c r="F217" s="78">
        <v>43385</v>
      </c>
      <c r="G217" s="83" t="s">
        <v>4033</v>
      </c>
      <c r="H217" s="79">
        <v>3.2638888888888891E-2</v>
      </c>
      <c r="I217" s="77" t="s">
        <v>398</v>
      </c>
      <c r="J217" s="77" t="s">
        <v>1215</v>
      </c>
      <c r="K217" s="77" t="s">
        <v>111</v>
      </c>
      <c r="L217" s="77" t="s">
        <v>23</v>
      </c>
      <c r="M217" s="77">
        <v>0</v>
      </c>
      <c r="N217" s="77"/>
      <c r="O217" s="77">
        <v>1</v>
      </c>
      <c r="P217" s="77" t="s">
        <v>176</v>
      </c>
      <c r="Q217" s="77" t="s">
        <v>176</v>
      </c>
      <c r="R217" s="77" t="s">
        <v>24</v>
      </c>
      <c r="S217" s="77" t="s">
        <v>2061</v>
      </c>
      <c r="T217" s="80" t="s">
        <v>23</v>
      </c>
      <c r="U217" s="80" t="s">
        <v>3999</v>
      </c>
      <c r="V217" s="80" t="s">
        <v>4006</v>
      </c>
      <c r="W217" s="77" t="s">
        <v>24</v>
      </c>
      <c r="X217" s="77" t="s">
        <v>24</v>
      </c>
      <c r="Y217" s="77" t="s">
        <v>1332</v>
      </c>
      <c r="Z217" s="81">
        <v>63.72204</v>
      </c>
      <c r="AA217" s="81">
        <v>148.94962000000001</v>
      </c>
      <c r="AB217" s="62">
        <f t="shared" si="3"/>
        <v>212.67166</v>
      </c>
      <c r="AC217" s="87"/>
      <c r="AD217" s="87"/>
      <c r="AE217" s="77"/>
      <c r="AF217" s="77"/>
      <c r="AG217" s="77"/>
      <c r="AH217" s="87">
        <v>0</v>
      </c>
      <c r="AI217" s="87">
        <v>0</v>
      </c>
      <c r="AJ217" s="87">
        <v>0</v>
      </c>
      <c r="AK217" s="87">
        <v>0</v>
      </c>
      <c r="AL217" s="87">
        <v>0</v>
      </c>
      <c r="AM217" s="77">
        <v>0</v>
      </c>
      <c r="AN217" s="77">
        <v>0</v>
      </c>
      <c r="AO217" s="77"/>
      <c r="AP217" s="77"/>
      <c r="AQ217" s="77"/>
      <c r="AR217" s="77"/>
      <c r="AS217" s="77"/>
      <c r="AT217" s="77"/>
      <c r="AU217" s="77"/>
      <c r="AV217" s="77"/>
    </row>
    <row r="218" spans="1:48" s="82" customFormat="1" x14ac:dyDescent="0.2">
      <c r="A218" s="77" t="s">
        <v>1336</v>
      </c>
      <c r="B218" s="77" t="s">
        <v>1337</v>
      </c>
      <c r="C218" s="77">
        <v>6</v>
      </c>
      <c r="D218" s="77">
        <v>1</v>
      </c>
      <c r="E218" s="82" t="s">
        <v>140</v>
      </c>
      <c r="F218" s="78">
        <v>43385</v>
      </c>
      <c r="G218" s="83" t="s">
        <v>4033</v>
      </c>
      <c r="H218" s="79">
        <v>1.1111111111111112E-2</v>
      </c>
      <c r="I218" s="77" t="s">
        <v>398</v>
      </c>
      <c r="J218" s="77" t="s">
        <v>149</v>
      </c>
      <c r="K218" s="77" t="s">
        <v>111</v>
      </c>
      <c r="L218" s="77" t="s">
        <v>23</v>
      </c>
      <c r="M218" s="77">
        <v>0</v>
      </c>
      <c r="N218" s="77"/>
      <c r="O218" s="77">
        <v>1</v>
      </c>
      <c r="P218" s="77" t="s">
        <v>14</v>
      </c>
      <c r="Q218" s="77" t="s">
        <v>2128</v>
      </c>
      <c r="R218" s="77" t="s">
        <v>122</v>
      </c>
      <c r="S218" s="77" t="s">
        <v>3963</v>
      </c>
      <c r="T218" s="80" t="s">
        <v>23</v>
      </c>
      <c r="U218" s="80" t="s">
        <v>3997</v>
      </c>
      <c r="V218" s="80" t="s">
        <v>4007</v>
      </c>
      <c r="W218" s="77" t="s">
        <v>24</v>
      </c>
      <c r="X218" s="77" t="s">
        <v>24</v>
      </c>
      <c r="Y218" s="77" t="s">
        <v>1332</v>
      </c>
      <c r="Z218" s="94">
        <v>63.722360000000002</v>
      </c>
      <c r="AA218" s="95" t="s">
        <v>2105</v>
      </c>
      <c r="AB218" s="62" t="e">
        <f t="shared" si="3"/>
        <v>#VALUE!</v>
      </c>
      <c r="AC218" s="122"/>
      <c r="AD218" s="122"/>
      <c r="AH218" s="87">
        <v>0</v>
      </c>
      <c r="AI218" s="87">
        <v>0</v>
      </c>
      <c r="AJ218" s="87">
        <v>0</v>
      </c>
      <c r="AK218" s="87">
        <v>0</v>
      </c>
      <c r="AL218" s="87">
        <v>0</v>
      </c>
      <c r="AM218" s="77">
        <v>0</v>
      </c>
      <c r="AN218" s="77">
        <v>0</v>
      </c>
      <c r="AO218" s="77"/>
      <c r="AP218" s="77"/>
      <c r="AQ218" s="77"/>
      <c r="AR218" s="77"/>
      <c r="AS218" s="77"/>
      <c r="AT218" s="77"/>
      <c r="AU218" s="77"/>
      <c r="AV218" s="77"/>
    </row>
    <row r="219" spans="1:48" s="77" customFormat="1" x14ac:dyDescent="0.2">
      <c r="A219" s="77" t="s">
        <v>1369</v>
      </c>
      <c r="B219" s="77" t="s">
        <v>1370</v>
      </c>
      <c r="C219" s="77">
        <v>10</v>
      </c>
      <c r="D219" s="77">
        <v>1</v>
      </c>
      <c r="E219" s="77" t="s">
        <v>395</v>
      </c>
      <c r="F219" s="78">
        <v>43388</v>
      </c>
      <c r="G219" s="83" t="s">
        <v>4033</v>
      </c>
      <c r="H219" s="79">
        <v>1.7361111111111112E-2</v>
      </c>
      <c r="I219" s="77" t="s">
        <v>398</v>
      </c>
      <c r="J219" s="77" t="s">
        <v>344</v>
      </c>
      <c r="K219" s="77" t="s">
        <v>111</v>
      </c>
      <c r="L219" s="77" t="s">
        <v>23</v>
      </c>
      <c r="M219" s="77">
        <v>0</v>
      </c>
      <c r="O219" s="77">
        <v>1</v>
      </c>
      <c r="P219" s="77" t="s">
        <v>461</v>
      </c>
      <c r="Q219" s="77" t="s">
        <v>2125</v>
      </c>
      <c r="R219" s="77" t="s">
        <v>122</v>
      </c>
      <c r="S219" s="77" t="s">
        <v>709</v>
      </c>
      <c r="T219" s="80" t="s">
        <v>23</v>
      </c>
      <c r="U219" s="80" t="s">
        <v>4004</v>
      </c>
      <c r="V219" s="80" t="s">
        <v>4005</v>
      </c>
      <c r="W219" s="77" t="s">
        <v>24</v>
      </c>
      <c r="X219" s="77" t="s">
        <v>24</v>
      </c>
      <c r="Y219" s="77">
        <v>1</v>
      </c>
      <c r="Z219" s="81">
        <v>63.721919999999997</v>
      </c>
      <c r="AA219" s="81">
        <v>148.98732000000001</v>
      </c>
      <c r="AB219" s="62">
        <f t="shared" si="3"/>
        <v>212.70924000000002</v>
      </c>
      <c r="AC219" s="87"/>
      <c r="AD219" s="87"/>
      <c r="AH219" s="87">
        <v>0</v>
      </c>
      <c r="AI219" s="87">
        <v>0</v>
      </c>
      <c r="AJ219" s="87">
        <v>0</v>
      </c>
      <c r="AK219" s="87">
        <v>0</v>
      </c>
      <c r="AL219" s="87">
        <v>0</v>
      </c>
      <c r="AM219" s="77">
        <v>0</v>
      </c>
      <c r="AN219" s="77">
        <v>0</v>
      </c>
      <c r="AP219" s="77" t="s">
        <v>1371</v>
      </c>
    </row>
    <row r="220" spans="1:48" s="82" customFormat="1" x14ac:dyDescent="0.2">
      <c r="A220" s="77" t="s">
        <v>1461</v>
      </c>
      <c r="B220" s="77" t="s">
        <v>1462</v>
      </c>
      <c r="C220" s="77">
        <v>51</v>
      </c>
      <c r="D220" s="77">
        <v>2</v>
      </c>
      <c r="E220" s="77" t="s">
        <v>395</v>
      </c>
      <c r="F220" s="78">
        <v>43388</v>
      </c>
      <c r="G220" s="83" t="s">
        <v>4033</v>
      </c>
      <c r="H220" s="79">
        <v>2.013888888888889E-2</v>
      </c>
      <c r="I220" s="77" t="s">
        <v>398</v>
      </c>
      <c r="J220" s="77" t="s">
        <v>2488</v>
      </c>
      <c r="K220" s="77" t="s">
        <v>111</v>
      </c>
      <c r="L220" s="77" t="s">
        <v>23</v>
      </c>
      <c r="M220" s="77">
        <v>0</v>
      </c>
      <c r="N220" s="77"/>
      <c r="O220" s="77">
        <v>1</v>
      </c>
      <c r="P220" s="77" t="s">
        <v>461</v>
      </c>
      <c r="Q220" s="77" t="s">
        <v>2125</v>
      </c>
      <c r="R220" s="77" t="s">
        <v>122</v>
      </c>
      <c r="S220" s="77" t="s">
        <v>2044</v>
      </c>
      <c r="T220" s="82" t="s">
        <v>23</v>
      </c>
      <c r="U220" s="82" t="s">
        <v>3997</v>
      </c>
      <c r="V220" s="82" t="s">
        <v>4005</v>
      </c>
      <c r="W220" s="77" t="s">
        <v>24</v>
      </c>
      <c r="X220" s="77" t="s">
        <v>24</v>
      </c>
      <c r="Y220" s="77">
        <v>4</v>
      </c>
      <c r="Z220" s="81">
        <v>63.72186</v>
      </c>
      <c r="AA220" s="81">
        <v>148.98733999999999</v>
      </c>
      <c r="AB220" s="62">
        <f t="shared" si="3"/>
        <v>212.70919999999998</v>
      </c>
      <c r="AC220" s="87"/>
      <c r="AD220" s="87"/>
      <c r="AH220" s="87">
        <v>0</v>
      </c>
      <c r="AI220" s="87">
        <v>0</v>
      </c>
      <c r="AJ220" s="87">
        <v>0</v>
      </c>
      <c r="AK220" s="87">
        <v>0</v>
      </c>
      <c r="AL220" s="87">
        <v>0</v>
      </c>
      <c r="AM220" s="77">
        <v>0</v>
      </c>
      <c r="AN220" s="77">
        <v>0</v>
      </c>
      <c r="AO220" s="77"/>
      <c r="AP220" s="77" t="s">
        <v>1463</v>
      </c>
      <c r="AQ220" s="77"/>
      <c r="AR220" s="77"/>
    </row>
    <row r="221" spans="1:48" s="77" customFormat="1" x14ac:dyDescent="0.2">
      <c r="A221" s="82" t="s">
        <v>1448</v>
      </c>
      <c r="B221" s="82" t="s">
        <v>1449</v>
      </c>
      <c r="C221" s="82">
        <v>46</v>
      </c>
      <c r="D221" s="82">
        <v>1</v>
      </c>
      <c r="E221" s="82" t="s">
        <v>395</v>
      </c>
      <c r="F221" s="83">
        <v>43388</v>
      </c>
      <c r="G221" s="83" t="s">
        <v>4033</v>
      </c>
      <c r="H221" s="84">
        <v>0.19722222222222222</v>
      </c>
      <c r="I221" s="82" t="s">
        <v>398</v>
      </c>
      <c r="J221" s="77" t="s">
        <v>2488</v>
      </c>
      <c r="K221" s="82" t="s">
        <v>187</v>
      </c>
      <c r="L221" s="82" t="s">
        <v>23</v>
      </c>
      <c r="M221" s="82">
        <v>2</v>
      </c>
      <c r="N221" s="82"/>
      <c r="O221" s="82">
        <v>1</v>
      </c>
      <c r="P221" s="77" t="s">
        <v>461</v>
      </c>
      <c r="Q221" s="82" t="s">
        <v>2125</v>
      </c>
      <c r="R221" s="82" t="s">
        <v>122</v>
      </c>
      <c r="S221" s="82" t="s">
        <v>4015</v>
      </c>
      <c r="T221" s="82" t="s">
        <v>23</v>
      </c>
      <c r="U221" s="82" t="s">
        <v>3999</v>
      </c>
      <c r="V221" s="82" t="s">
        <v>4005</v>
      </c>
      <c r="W221" s="77" t="s">
        <v>24</v>
      </c>
      <c r="X221" s="77" t="s">
        <v>24</v>
      </c>
      <c r="Y221" s="82">
        <v>4</v>
      </c>
      <c r="Z221" s="85">
        <v>63.721969999999999</v>
      </c>
      <c r="AA221" s="85">
        <v>148.98725999999999</v>
      </c>
      <c r="AB221" s="62">
        <f t="shared" si="3"/>
        <v>212.70922999999999</v>
      </c>
      <c r="AC221" s="88"/>
      <c r="AD221" s="88"/>
      <c r="AE221" s="82"/>
      <c r="AF221" s="82"/>
      <c r="AG221" s="82"/>
      <c r="AH221" s="88">
        <v>0</v>
      </c>
      <c r="AI221" s="88">
        <v>0</v>
      </c>
      <c r="AJ221" s="88">
        <v>0</v>
      </c>
      <c r="AK221" s="88">
        <v>0</v>
      </c>
      <c r="AL221" s="88">
        <v>252</v>
      </c>
      <c r="AM221" s="82">
        <v>0</v>
      </c>
      <c r="AN221" s="82">
        <v>252</v>
      </c>
      <c r="AO221" s="82"/>
      <c r="AP221" s="82" t="s">
        <v>1451</v>
      </c>
      <c r="AQ221" s="82"/>
      <c r="AR221" s="82"/>
    </row>
    <row r="222" spans="1:48" s="77" customFormat="1" x14ac:dyDescent="0.2">
      <c r="A222" s="77" t="s">
        <v>1354</v>
      </c>
      <c r="B222" s="77" t="s">
        <v>1355</v>
      </c>
      <c r="C222" s="77">
        <v>3</v>
      </c>
      <c r="D222" s="77">
        <v>1</v>
      </c>
      <c r="E222" s="77" t="s">
        <v>395</v>
      </c>
      <c r="F222" s="78">
        <v>43388</v>
      </c>
      <c r="G222" s="83" t="s">
        <v>4033</v>
      </c>
      <c r="H222" s="79">
        <v>2.7777777777777779E-3</v>
      </c>
      <c r="I222" s="77" t="s">
        <v>398</v>
      </c>
      <c r="J222" s="77" t="s">
        <v>176</v>
      </c>
      <c r="K222" s="77" t="s">
        <v>111</v>
      </c>
      <c r="L222" s="77" t="s">
        <v>23</v>
      </c>
      <c r="M222" s="77">
        <v>0</v>
      </c>
      <c r="O222" s="77">
        <v>1</v>
      </c>
      <c r="P222" s="77" t="s">
        <v>461</v>
      </c>
      <c r="Q222" s="77" t="s">
        <v>2125</v>
      </c>
      <c r="R222" s="77" t="s">
        <v>122</v>
      </c>
      <c r="S222" s="77" t="s">
        <v>1035</v>
      </c>
      <c r="T222" s="82" t="s">
        <v>23</v>
      </c>
      <c r="U222" s="82" t="s">
        <v>3997</v>
      </c>
      <c r="V222" s="82" t="s">
        <v>4006</v>
      </c>
      <c r="W222" s="77" t="s">
        <v>24</v>
      </c>
      <c r="X222" s="77" t="s">
        <v>24</v>
      </c>
      <c r="Y222" s="77">
        <v>6</v>
      </c>
      <c r="Z222" s="81">
        <v>63.72184</v>
      </c>
      <c r="AA222" s="81">
        <v>148.98740000000001</v>
      </c>
      <c r="AB222" s="62">
        <f t="shared" si="3"/>
        <v>212.70924000000002</v>
      </c>
      <c r="AC222" s="87">
        <v>1</v>
      </c>
      <c r="AD222" s="87"/>
      <c r="AE222" s="82"/>
      <c r="AF222" s="82"/>
      <c r="AG222" s="82"/>
      <c r="AH222" s="87">
        <v>0</v>
      </c>
      <c r="AI222" s="87">
        <v>0</v>
      </c>
      <c r="AJ222" s="87">
        <v>0</v>
      </c>
      <c r="AK222" s="87">
        <v>0</v>
      </c>
      <c r="AL222" s="87">
        <v>0</v>
      </c>
      <c r="AM222" s="77">
        <v>0</v>
      </c>
      <c r="AN222" s="77">
        <v>0</v>
      </c>
      <c r="AP222" s="77" t="s">
        <v>1356</v>
      </c>
      <c r="AS222" s="59"/>
      <c r="AT222" s="59"/>
      <c r="AU222" s="59"/>
      <c r="AV222" s="59"/>
    </row>
    <row r="223" spans="1:48" s="77" customFormat="1" x14ac:dyDescent="0.2">
      <c r="A223" s="77" t="s">
        <v>1427</v>
      </c>
      <c r="B223" s="77" t="s">
        <v>1428</v>
      </c>
      <c r="C223" s="77">
        <v>36</v>
      </c>
      <c r="D223" s="77">
        <v>1</v>
      </c>
      <c r="E223" s="77" t="s">
        <v>395</v>
      </c>
      <c r="F223" s="78">
        <v>43388</v>
      </c>
      <c r="G223" s="83" t="s">
        <v>4033</v>
      </c>
      <c r="H223" s="79">
        <v>1.5277777777777777E-2</v>
      </c>
      <c r="I223" s="77" t="s">
        <v>398</v>
      </c>
      <c r="J223" s="77" t="s">
        <v>2488</v>
      </c>
      <c r="K223" s="77" t="s">
        <v>111</v>
      </c>
      <c r="L223" s="77" t="s">
        <v>23</v>
      </c>
      <c r="M223" s="77">
        <v>0</v>
      </c>
      <c r="O223" s="77">
        <v>1</v>
      </c>
      <c r="P223" s="77" t="s">
        <v>461</v>
      </c>
      <c r="Q223" s="77" t="s">
        <v>2125</v>
      </c>
      <c r="R223" s="77" t="s">
        <v>122</v>
      </c>
      <c r="S223" s="77" t="s">
        <v>1057</v>
      </c>
      <c r="T223" s="82" t="s">
        <v>23</v>
      </c>
      <c r="U223" s="82" t="s">
        <v>3999</v>
      </c>
      <c r="V223" s="82" t="s">
        <v>4005</v>
      </c>
      <c r="W223" s="77" t="s">
        <v>24</v>
      </c>
      <c r="X223" s="77" t="s">
        <v>24</v>
      </c>
      <c r="Y223" s="77">
        <v>6</v>
      </c>
      <c r="Z223" s="81">
        <v>63.72184</v>
      </c>
      <c r="AA223" s="81">
        <v>148.9074</v>
      </c>
      <c r="AB223" s="62">
        <f t="shared" si="3"/>
        <v>212.62923999999998</v>
      </c>
      <c r="AC223" s="87"/>
      <c r="AD223" s="87"/>
      <c r="AE223" s="82"/>
      <c r="AF223" s="82"/>
      <c r="AG223" s="82"/>
      <c r="AH223" s="87">
        <v>0</v>
      </c>
      <c r="AI223" s="87">
        <v>0</v>
      </c>
      <c r="AJ223" s="87">
        <v>0</v>
      </c>
      <c r="AK223" s="87">
        <v>0</v>
      </c>
      <c r="AL223" s="87">
        <v>0</v>
      </c>
      <c r="AM223" s="77">
        <v>0</v>
      </c>
      <c r="AN223" s="77">
        <v>0</v>
      </c>
      <c r="AP223" s="89" t="s">
        <v>1429</v>
      </c>
      <c r="AS223" s="59"/>
      <c r="AT223" s="59"/>
      <c r="AU223" s="59"/>
      <c r="AV223" s="59"/>
    </row>
    <row r="224" spans="1:48" s="82" customFormat="1" x14ac:dyDescent="0.2">
      <c r="A224" s="77" t="s">
        <v>1394</v>
      </c>
      <c r="B224" s="77" t="s">
        <v>1395</v>
      </c>
      <c r="C224" s="77">
        <v>20</v>
      </c>
      <c r="D224" s="77">
        <v>1</v>
      </c>
      <c r="E224" s="77" t="s">
        <v>395</v>
      </c>
      <c r="F224" s="78">
        <v>43388</v>
      </c>
      <c r="G224" s="83" t="s">
        <v>4033</v>
      </c>
      <c r="H224" s="79">
        <v>1.0416666666666666E-2</v>
      </c>
      <c r="I224" s="77" t="s">
        <v>398</v>
      </c>
      <c r="J224" s="77" t="s">
        <v>2488</v>
      </c>
      <c r="K224" s="77" t="s">
        <v>111</v>
      </c>
      <c r="L224" s="77" t="s">
        <v>23</v>
      </c>
      <c r="M224" s="77">
        <v>0</v>
      </c>
      <c r="N224" s="77"/>
      <c r="O224" s="77">
        <v>1</v>
      </c>
      <c r="P224" s="77" t="s">
        <v>461</v>
      </c>
      <c r="Q224" s="77" t="s">
        <v>2125</v>
      </c>
      <c r="R224" s="77" t="s">
        <v>122</v>
      </c>
      <c r="S224" s="77" t="s">
        <v>695</v>
      </c>
      <c r="T224" s="82" t="s">
        <v>23</v>
      </c>
      <c r="U224" s="82" t="s">
        <v>3999</v>
      </c>
      <c r="V224" s="82" t="s">
        <v>4001</v>
      </c>
      <c r="W224" s="77" t="s">
        <v>24</v>
      </c>
      <c r="X224" s="77" t="s">
        <v>24</v>
      </c>
      <c r="Y224" s="77">
        <v>6</v>
      </c>
      <c r="Z224" s="81">
        <v>63.721870000000003</v>
      </c>
      <c r="AA224" s="81">
        <v>148.98738</v>
      </c>
      <c r="AB224" s="62">
        <f t="shared" si="3"/>
        <v>212.70925</v>
      </c>
      <c r="AC224" s="87"/>
      <c r="AD224" s="87"/>
      <c r="AH224" s="87">
        <v>0</v>
      </c>
      <c r="AI224" s="87">
        <v>0</v>
      </c>
      <c r="AJ224" s="87">
        <v>0</v>
      </c>
      <c r="AK224" s="87">
        <v>0</v>
      </c>
      <c r="AL224" s="87">
        <v>0</v>
      </c>
      <c r="AM224" s="77">
        <v>0</v>
      </c>
      <c r="AN224" s="77">
        <v>0</v>
      </c>
      <c r="AO224" s="77"/>
      <c r="AP224" s="89" t="s">
        <v>1396</v>
      </c>
      <c r="AQ224" s="77"/>
      <c r="AR224" s="77"/>
    </row>
    <row r="225" spans="1:48" s="77" customFormat="1" x14ac:dyDescent="0.2">
      <c r="A225" s="77" t="s">
        <v>1361</v>
      </c>
      <c r="B225" s="77" t="s">
        <v>1362</v>
      </c>
      <c r="C225" s="77">
        <v>6</v>
      </c>
      <c r="D225" s="77">
        <v>1</v>
      </c>
      <c r="E225" s="77" t="s">
        <v>395</v>
      </c>
      <c r="F225" s="78">
        <v>43388</v>
      </c>
      <c r="G225" s="83" t="s">
        <v>4033</v>
      </c>
      <c r="H225" s="79">
        <v>6.2499999999999995E-3</v>
      </c>
      <c r="I225" s="77" t="s">
        <v>398</v>
      </c>
      <c r="J225" s="77" t="s">
        <v>176</v>
      </c>
      <c r="K225" s="77" t="s">
        <v>111</v>
      </c>
      <c r="L225" s="77" t="s">
        <v>23</v>
      </c>
      <c r="M225" s="77">
        <v>0</v>
      </c>
      <c r="O225" s="77">
        <v>1</v>
      </c>
      <c r="P225" s="77" t="s">
        <v>461</v>
      </c>
      <c r="Q225" s="77" t="s">
        <v>2125</v>
      </c>
      <c r="R225" s="77" t="s">
        <v>122</v>
      </c>
      <c r="S225" s="77" t="s">
        <v>1035</v>
      </c>
      <c r="T225" s="80" t="s">
        <v>23</v>
      </c>
      <c r="U225" s="80" t="s">
        <v>3997</v>
      </c>
      <c r="V225" s="80" t="s">
        <v>4006</v>
      </c>
      <c r="W225" s="77" t="s">
        <v>24</v>
      </c>
      <c r="X225" s="77" t="s">
        <v>24</v>
      </c>
      <c r="Y225" s="77">
        <v>7</v>
      </c>
      <c r="Z225" s="81">
        <v>63.721829999999997</v>
      </c>
      <c r="AA225" s="81">
        <v>148.98707999999999</v>
      </c>
      <c r="AB225" s="62">
        <f t="shared" si="3"/>
        <v>212.70891</v>
      </c>
      <c r="AC225" s="87"/>
      <c r="AD225" s="87"/>
      <c r="AE225" s="82"/>
      <c r="AF225" s="82"/>
      <c r="AG225" s="82"/>
      <c r="AH225" s="87">
        <v>0</v>
      </c>
      <c r="AI225" s="87">
        <v>0</v>
      </c>
      <c r="AJ225" s="87">
        <v>0</v>
      </c>
      <c r="AK225" s="87">
        <v>0</v>
      </c>
      <c r="AL225" s="87">
        <v>0</v>
      </c>
      <c r="AM225" s="77">
        <v>0</v>
      </c>
      <c r="AN225" s="77">
        <v>0</v>
      </c>
    </row>
    <row r="226" spans="1:48" s="77" customFormat="1" x14ac:dyDescent="0.2">
      <c r="A226" s="77" t="s">
        <v>1394</v>
      </c>
      <c r="B226" s="77" t="s">
        <v>1395</v>
      </c>
      <c r="C226" s="77">
        <v>20</v>
      </c>
      <c r="D226" s="77">
        <v>2</v>
      </c>
      <c r="E226" s="77" t="s">
        <v>395</v>
      </c>
      <c r="F226" s="78">
        <v>43388</v>
      </c>
      <c r="G226" s="83" t="s">
        <v>4033</v>
      </c>
      <c r="H226" s="79">
        <v>1.0416666666666666E-2</v>
      </c>
      <c r="I226" s="77" t="s">
        <v>398</v>
      </c>
      <c r="J226" s="77" t="s">
        <v>176</v>
      </c>
      <c r="K226" s="77" t="s">
        <v>111</v>
      </c>
      <c r="L226" s="77" t="s">
        <v>23</v>
      </c>
      <c r="M226" s="77">
        <v>0</v>
      </c>
      <c r="O226" s="77">
        <v>1</v>
      </c>
      <c r="P226" s="77" t="s">
        <v>461</v>
      </c>
      <c r="Q226" s="77" t="s">
        <v>2125</v>
      </c>
      <c r="R226" s="77" t="s">
        <v>122</v>
      </c>
      <c r="S226" s="77" t="s">
        <v>2061</v>
      </c>
      <c r="T226" s="80" t="s">
        <v>23</v>
      </c>
      <c r="U226" s="80" t="s">
        <v>3999</v>
      </c>
      <c r="V226" s="80" t="s">
        <v>4006</v>
      </c>
      <c r="W226" s="77" t="s">
        <v>24</v>
      </c>
      <c r="X226" s="77" t="s">
        <v>24</v>
      </c>
      <c r="Y226" s="77">
        <v>8</v>
      </c>
      <c r="Z226" s="81">
        <v>63.72184</v>
      </c>
      <c r="AA226" s="81">
        <v>148.98740000000001</v>
      </c>
      <c r="AB226" s="62">
        <f t="shared" si="3"/>
        <v>212.70924000000002</v>
      </c>
      <c r="AC226" s="87">
        <v>1</v>
      </c>
      <c r="AD226" s="87" t="s">
        <v>4765</v>
      </c>
      <c r="AH226" s="87">
        <v>0</v>
      </c>
      <c r="AI226" s="87">
        <v>0</v>
      </c>
      <c r="AJ226" s="87">
        <v>0</v>
      </c>
      <c r="AK226" s="87">
        <v>0</v>
      </c>
      <c r="AL226" s="87">
        <v>0</v>
      </c>
      <c r="AM226" s="77">
        <v>0</v>
      </c>
      <c r="AN226" s="77">
        <v>0</v>
      </c>
      <c r="AP226" s="89" t="s">
        <v>1396</v>
      </c>
      <c r="AS226" s="59"/>
      <c r="AT226" s="59"/>
      <c r="AU226" s="59"/>
      <c r="AV226" s="59"/>
    </row>
    <row r="227" spans="1:48" s="77" customFormat="1" x14ac:dyDescent="0.2">
      <c r="A227" s="77" t="s">
        <v>1461</v>
      </c>
      <c r="B227" s="77" t="s">
        <v>1462</v>
      </c>
      <c r="C227" s="77">
        <v>51</v>
      </c>
      <c r="D227" s="77">
        <v>1</v>
      </c>
      <c r="E227" s="77" t="s">
        <v>395</v>
      </c>
      <c r="F227" s="78">
        <v>43388</v>
      </c>
      <c r="G227" s="83" t="s">
        <v>4033</v>
      </c>
      <c r="H227" s="79">
        <v>2.013888888888889E-2</v>
      </c>
      <c r="I227" s="77" t="s">
        <v>398</v>
      </c>
      <c r="J227" s="77" t="s">
        <v>2488</v>
      </c>
      <c r="K227" s="77" t="s">
        <v>111</v>
      </c>
      <c r="L227" s="77" t="s">
        <v>23</v>
      </c>
      <c r="M227" s="77">
        <v>0</v>
      </c>
      <c r="O227" s="77">
        <v>1</v>
      </c>
      <c r="P227" s="77" t="s">
        <v>461</v>
      </c>
      <c r="Q227" s="77" t="s">
        <v>2125</v>
      </c>
      <c r="R227" s="77" t="s">
        <v>122</v>
      </c>
      <c r="S227" s="77" t="s">
        <v>1035</v>
      </c>
      <c r="T227" s="82" t="s">
        <v>23</v>
      </c>
      <c r="U227" s="82" t="s">
        <v>3997</v>
      </c>
      <c r="V227" s="82" t="s">
        <v>4006</v>
      </c>
      <c r="W227" s="77" t="s">
        <v>24</v>
      </c>
      <c r="X227" s="77" t="s">
        <v>24</v>
      </c>
      <c r="Y227" s="77">
        <v>9</v>
      </c>
      <c r="Z227" s="81">
        <v>63.721829999999997</v>
      </c>
      <c r="AA227" s="81">
        <v>148.98733999999999</v>
      </c>
      <c r="AB227" s="62">
        <f t="shared" si="3"/>
        <v>212.70916999999997</v>
      </c>
      <c r="AC227" s="87"/>
      <c r="AD227" s="87"/>
      <c r="AE227" s="82"/>
      <c r="AF227" s="82"/>
      <c r="AG227" s="82"/>
      <c r="AH227" s="87">
        <v>0</v>
      </c>
      <c r="AI227" s="87">
        <v>0</v>
      </c>
      <c r="AJ227" s="87">
        <v>0</v>
      </c>
      <c r="AK227" s="87">
        <v>0</v>
      </c>
      <c r="AL227" s="87">
        <v>0</v>
      </c>
      <c r="AM227" s="77">
        <v>0</v>
      </c>
      <c r="AN227" s="77">
        <v>0</v>
      </c>
      <c r="AP227" s="77" t="s">
        <v>1463</v>
      </c>
    </row>
    <row r="228" spans="1:48" s="77" customFormat="1" x14ac:dyDescent="0.2">
      <c r="A228" s="77" t="s">
        <v>1446</v>
      </c>
      <c r="B228" s="77" t="s">
        <v>1447</v>
      </c>
      <c r="C228" s="77">
        <v>45</v>
      </c>
      <c r="D228" s="77">
        <v>1</v>
      </c>
      <c r="E228" s="77" t="s">
        <v>395</v>
      </c>
      <c r="F228" s="78">
        <v>43388</v>
      </c>
      <c r="G228" s="83" t="s">
        <v>4033</v>
      </c>
      <c r="H228" s="79">
        <v>6.9444444444444441E-3</v>
      </c>
      <c r="I228" s="77" t="s">
        <v>398</v>
      </c>
      <c r="J228" s="77" t="s">
        <v>2488</v>
      </c>
      <c r="K228" s="77" t="s">
        <v>111</v>
      </c>
      <c r="L228" s="77" t="s">
        <v>23</v>
      </c>
      <c r="M228" s="77">
        <v>0</v>
      </c>
      <c r="O228" s="77">
        <v>1</v>
      </c>
      <c r="P228" s="77" t="s">
        <v>461</v>
      </c>
      <c r="Q228" s="77" t="s">
        <v>2125</v>
      </c>
      <c r="R228" s="77" t="s">
        <v>122</v>
      </c>
      <c r="S228" s="77" t="s">
        <v>3963</v>
      </c>
      <c r="T228" s="82" t="s">
        <v>23</v>
      </c>
      <c r="U228" s="82" t="s">
        <v>3997</v>
      </c>
      <c r="V228" s="82" t="s">
        <v>4007</v>
      </c>
      <c r="W228" s="77" t="s">
        <v>24</v>
      </c>
      <c r="X228" s="77" t="s">
        <v>24</v>
      </c>
      <c r="Y228" s="77">
        <v>10</v>
      </c>
      <c r="Z228" s="81">
        <v>63.721919999999997</v>
      </c>
      <c r="AA228" s="81">
        <v>148.98746</v>
      </c>
      <c r="AB228" s="62">
        <f t="shared" si="3"/>
        <v>212.70938000000001</v>
      </c>
      <c r="AC228" s="87"/>
      <c r="AD228" s="87"/>
      <c r="AH228" s="87">
        <v>0</v>
      </c>
      <c r="AI228" s="87">
        <v>0</v>
      </c>
      <c r="AJ228" s="87">
        <v>0</v>
      </c>
      <c r="AK228" s="87">
        <v>0</v>
      </c>
      <c r="AL228" s="87">
        <v>0</v>
      </c>
      <c r="AM228" s="77">
        <v>0</v>
      </c>
      <c r="AN228" s="77">
        <v>0</v>
      </c>
      <c r="AP228" s="89" t="s">
        <v>1356</v>
      </c>
    </row>
    <row r="229" spans="1:48" s="77" customFormat="1" x14ac:dyDescent="0.2">
      <c r="A229" s="77" t="s">
        <v>1402</v>
      </c>
      <c r="B229" s="77" t="s">
        <v>1401</v>
      </c>
      <c r="C229" s="77">
        <v>23</v>
      </c>
      <c r="D229" s="77">
        <v>1</v>
      </c>
      <c r="E229" s="77" t="s">
        <v>395</v>
      </c>
      <c r="F229" s="78">
        <v>43388</v>
      </c>
      <c r="G229" s="83" t="s">
        <v>4033</v>
      </c>
      <c r="H229" s="79">
        <v>1.6666666666666666E-2</v>
      </c>
      <c r="I229" s="77" t="s">
        <v>398</v>
      </c>
      <c r="J229" s="77" t="s">
        <v>176</v>
      </c>
      <c r="K229" s="77" t="s">
        <v>111</v>
      </c>
      <c r="L229" s="77" t="s">
        <v>23</v>
      </c>
      <c r="M229" s="77">
        <v>0</v>
      </c>
      <c r="O229" s="77">
        <v>1</v>
      </c>
      <c r="P229" s="77" t="s">
        <v>461</v>
      </c>
      <c r="Q229" s="77" t="s">
        <v>2125</v>
      </c>
      <c r="R229" s="77" t="s">
        <v>122</v>
      </c>
      <c r="S229" s="77" t="s">
        <v>1035</v>
      </c>
      <c r="T229" s="80" t="s">
        <v>23</v>
      </c>
      <c r="U229" s="80" t="s">
        <v>3997</v>
      </c>
      <c r="V229" s="80" t="s">
        <v>4006</v>
      </c>
      <c r="W229" s="77" t="s">
        <v>24</v>
      </c>
      <c r="X229" s="77" t="s">
        <v>24</v>
      </c>
      <c r="Y229" s="77">
        <v>10</v>
      </c>
      <c r="Z229" s="81">
        <v>63.721899999999998</v>
      </c>
      <c r="AA229" s="81">
        <v>148.98749000000001</v>
      </c>
      <c r="AB229" s="62">
        <f t="shared" si="3"/>
        <v>212.70939000000001</v>
      </c>
      <c r="AC229" s="87"/>
      <c r="AD229" s="87"/>
      <c r="AE229" s="82"/>
      <c r="AF229" s="82"/>
      <c r="AG229" s="82"/>
      <c r="AH229" s="87">
        <v>0</v>
      </c>
      <c r="AI229" s="87">
        <v>0</v>
      </c>
      <c r="AJ229" s="87">
        <v>0</v>
      </c>
      <c r="AK229" s="87">
        <v>0</v>
      </c>
      <c r="AL229" s="87">
        <v>0</v>
      </c>
      <c r="AM229" s="77">
        <v>0</v>
      </c>
      <c r="AN229" s="77">
        <v>0</v>
      </c>
    </row>
    <row r="230" spans="1:48" s="82" customFormat="1" x14ac:dyDescent="0.2">
      <c r="A230" s="77" t="s">
        <v>1367</v>
      </c>
      <c r="B230" s="77" t="s">
        <v>1368</v>
      </c>
      <c r="C230" s="77">
        <v>9</v>
      </c>
      <c r="D230" s="77">
        <v>1</v>
      </c>
      <c r="E230" s="77" t="s">
        <v>395</v>
      </c>
      <c r="F230" s="78">
        <v>43388</v>
      </c>
      <c r="G230" s="83" t="s">
        <v>4033</v>
      </c>
      <c r="H230" s="79">
        <v>2.7777777777777779E-3</v>
      </c>
      <c r="I230" s="77" t="s">
        <v>398</v>
      </c>
      <c r="J230" s="77" t="s">
        <v>176</v>
      </c>
      <c r="K230" s="77" t="s">
        <v>111</v>
      </c>
      <c r="L230" s="77" t="s">
        <v>23</v>
      </c>
      <c r="M230" s="77">
        <v>0</v>
      </c>
      <c r="N230" s="77"/>
      <c r="O230" s="77">
        <v>1</v>
      </c>
      <c r="P230" s="77" t="s">
        <v>461</v>
      </c>
      <c r="Q230" s="77" t="s">
        <v>2125</v>
      </c>
      <c r="R230" s="77" t="s">
        <v>122</v>
      </c>
      <c r="S230" s="77" t="s">
        <v>2061</v>
      </c>
      <c r="T230" s="80" t="s">
        <v>23</v>
      </c>
      <c r="U230" s="80" t="s">
        <v>3999</v>
      </c>
      <c r="V230" s="80" t="s">
        <v>4006</v>
      </c>
      <c r="W230" s="77" t="s">
        <v>24</v>
      </c>
      <c r="X230" s="77" t="s">
        <v>24</v>
      </c>
      <c r="Y230" s="77">
        <v>16</v>
      </c>
      <c r="Z230" s="81">
        <v>63.72195</v>
      </c>
      <c r="AA230" s="81">
        <v>148.98760999999999</v>
      </c>
      <c r="AB230" s="62">
        <f t="shared" si="3"/>
        <v>212.70955999999998</v>
      </c>
      <c r="AC230" s="87"/>
      <c r="AD230" s="87"/>
      <c r="AE230" s="77"/>
      <c r="AF230" s="77"/>
      <c r="AG230" s="77"/>
      <c r="AH230" s="87">
        <v>0</v>
      </c>
      <c r="AI230" s="87">
        <v>0</v>
      </c>
      <c r="AJ230" s="87">
        <v>0</v>
      </c>
      <c r="AK230" s="87">
        <v>0</v>
      </c>
      <c r="AL230" s="87">
        <v>0</v>
      </c>
      <c r="AM230" s="77">
        <v>0</v>
      </c>
      <c r="AN230" s="77">
        <v>0</v>
      </c>
      <c r="AO230" s="77"/>
      <c r="AP230" s="89" t="s">
        <v>1356</v>
      </c>
      <c r="AQ230" s="77"/>
      <c r="AR230" s="77"/>
      <c r="AS230" s="77"/>
      <c r="AT230" s="77"/>
      <c r="AU230" s="77"/>
      <c r="AV230" s="77"/>
    </row>
    <row r="231" spans="1:48" s="77" customFormat="1" x14ac:dyDescent="0.2">
      <c r="A231" s="82" t="s">
        <v>1417</v>
      </c>
      <c r="B231" s="82" t="s">
        <v>1418</v>
      </c>
      <c r="C231" s="82">
        <v>31</v>
      </c>
      <c r="D231" s="82">
        <v>1</v>
      </c>
      <c r="E231" s="82" t="s">
        <v>395</v>
      </c>
      <c r="F231" s="83">
        <v>43388</v>
      </c>
      <c r="G231" s="83" t="s">
        <v>4033</v>
      </c>
      <c r="H231" s="84">
        <v>2.6388888888888889E-2</v>
      </c>
      <c r="I231" s="82" t="s">
        <v>398</v>
      </c>
      <c r="J231" s="77" t="s">
        <v>2488</v>
      </c>
      <c r="K231" s="82" t="s">
        <v>102</v>
      </c>
      <c r="L231" s="82" t="s">
        <v>23</v>
      </c>
      <c r="M231" s="82">
        <v>1</v>
      </c>
      <c r="N231" s="82"/>
      <c r="O231" s="82">
        <v>1</v>
      </c>
      <c r="P231" s="77" t="s">
        <v>461</v>
      </c>
      <c r="Q231" s="82" t="s">
        <v>2125</v>
      </c>
      <c r="R231" s="82" t="s">
        <v>122</v>
      </c>
      <c r="S231" s="77" t="s">
        <v>1035</v>
      </c>
      <c r="T231" s="80" t="s">
        <v>23</v>
      </c>
      <c r="U231" s="80" t="s">
        <v>3997</v>
      </c>
      <c r="V231" s="80" t="s">
        <v>4006</v>
      </c>
      <c r="W231" s="77" t="s">
        <v>24</v>
      </c>
      <c r="X231" s="77" t="s">
        <v>24</v>
      </c>
      <c r="Y231" s="82">
        <v>20</v>
      </c>
      <c r="Z231" s="85">
        <v>63.721870000000003</v>
      </c>
      <c r="AA231" s="85">
        <v>148.98699999999999</v>
      </c>
      <c r="AB231" s="62">
        <f t="shared" si="3"/>
        <v>212.70886999999999</v>
      </c>
      <c r="AC231" s="88"/>
      <c r="AD231" s="88"/>
      <c r="AE231" s="82"/>
      <c r="AF231" s="82"/>
      <c r="AG231" s="82"/>
      <c r="AH231" s="88">
        <v>0</v>
      </c>
      <c r="AI231" s="88">
        <v>0</v>
      </c>
      <c r="AJ231" s="88">
        <v>0</v>
      </c>
      <c r="AK231" s="88">
        <v>0</v>
      </c>
      <c r="AL231" s="88">
        <v>17</v>
      </c>
      <c r="AM231" s="82">
        <v>0</v>
      </c>
      <c r="AN231" s="82">
        <v>17</v>
      </c>
      <c r="AO231" s="82"/>
      <c r="AP231" s="82"/>
      <c r="AQ231" s="82"/>
      <c r="AR231" s="82"/>
    </row>
    <row r="232" spans="1:48" s="82" customFormat="1" x14ac:dyDescent="0.2">
      <c r="A232" s="77" t="s">
        <v>1357</v>
      </c>
      <c r="B232" s="77" t="s">
        <v>1358</v>
      </c>
      <c r="C232" s="77">
        <v>4</v>
      </c>
      <c r="D232" s="77">
        <v>1</v>
      </c>
      <c r="E232" s="77" t="s">
        <v>395</v>
      </c>
      <c r="F232" s="78">
        <v>43388</v>
      </c>
      <c r="G232" s="83" t="s">
        <v>4033</v>
      </c>
      <c r="H232" s="79">
        <v>4.1666666666666666E-3</v>
      </c>
      <c r="I232" s="77" t="s">
        <v>398</v>
      </c>
      <c r="J232" s="77" t="s">
        <v>176</v>
      </c>
      <c r="K232" s="77" t="s">
        <v>111</v>
      </c>
      <c r="L232" s="77" t="s">
        <v>23</v>
      </c>
      <c r="M232" s="77">
        <v>0</v>
      </c>
      <c r="N232" s="77"/>
      <c r="O232" s="77">
        <v>1</v>
      </c>
      <c r="P232" s="77" t="s">
        <v>461</v>
      </c>
      <c r="Q232" s="77" t="s">
        <v>2125</v>
      </c>
      <c r="R232" s="77" t="s">
        <v>122</v>
      </c>
      <c r="S232" s="77" t="s">
        <v>2061</v>
      </c>
      <c r="T232" s="82" t="s">
        <v>23</v>
      </c>
      <c r="U232" s="82" t="s">
        <v>3999</v>
      </c>
      <c r="V232" s="82" t="s">
        <v>4006</v>
      </c>
      <c r="W232" s="77" t="s">
        <v>24</v>
      </c>
      <c r="X232" s="77" t="s">
        <v>24</v>
      </c>
      <c r="Y232" s="77">
        <v>22</v>
      </c>
      <c r="Z232" s="81">
        <v>63.721739999999997</v>
      </c>
      <c r="AA232" s="81">
        <v>148.98759000000001</v>
      </c>
      <c r="AB232" s="62">
        <f t="shared" si="3"/>
        <v>212.70933000000002</v>
      </c>
      <c r="AC232" s="87"/>
      <c r="AD232" s="87"/>
      <c r="AH232" s="87">
        <v>0</v>
      </c>
      <c r="AI232" s="87">
        <v>0</v>
      </c>
      <c r="AJ232" s="87">
        <v>0</v>
      </c>
      <c r="AK232" s="87">
        <v>0</v>
      </c>
      <c r="AL232" s="87">
        <v>0</v>
      </c>
      <c r="AM232" s="77">
        <v>0</v>
      </c>
      <c r="AN232" s="77">
        <v>0</v>
      </c>
      <c r="AO232" s="77"/>
      <c r="AP232" s="89" t="s">
        <v>1356</v>
      </c>
      <c r="AQ232" s="77"/>
      <c r="AR232" s="77"/>
      <c r="AS232" s="77"/>
      <c r="AT232" s="77"/>
      <c r="AU232" s="77"/>
      <c r="AV232" s="77"/>
    </row>
    <row r="233" spans="1:48" s="77" customFormat="1" x14ac:dyDescent="0.2">
      <c r="A233" s="77" t="s">
        <v>1403</v>
      </c>
      <c r="B233" s="77" t="s">
        <v>1404</v>
      </c>
      <c r="C233" s="77">
        <v>24</v>
      </c>
      <c r="D233" s="77">
        <v>1</v>
      </c>
      <c r="E233" s="77" t="s">
        <v>395</v>
      </c>
      <c r="F233" s="78">
        <v>43388</v>
      </c>
      <c r="G233" s="83" t="s">
        <v>4033</v>
      </c>
      <c r="H233" s="79">
        <v>1.8749999999999999E-2</v>
      </c>
      <c r="I233" s="77" t="s">
        <v>398</v>
      </c>
      <c r="J233" s="77" t="s">
        <v>2498</v>
      </c>
      <c r="K233" s="77" t="s">
        <v>111</v>
      </c>
      <c r="L233" s="77" t="s">
        <v>23</v>
      </c>
      <c r="M233" s="77">
        <v>0</v>
      </c>
      <c r="O233" s="77">
        <v>1</v>
      </c>
      <c r="P233" s="77" t="s">
        <v>461</v>
      </c>
      <c r="Q233" s="77" t="s">
        <v>2125</v>
      </c>
      <c r="R233" s="77" t="s">
        <v>122</v>
      </c>
      <c r="S233" s="77" t="s">
        <v>1035</v>
      </c>
      <c r="T233" s="82" t="s">
        <v>23</v>
      </c>
      <c r="U233" s="82" t="s">
        <v>3997</v>
      </c>
      <c r="V233" s="82" t="s">
        <v>4006</v>
      </c>
      <c r="W233" s="77" t="s">
        <v>24</v>
      </c>
      <c r="X233" s="77" t="s">
        <v>24</v>
      </c>
      <c r="Y233" s="77">
        <v>23</v>
      </c>
      <c r="Z233" s="81">
        <v>63.722029999999997</v>
      </c>
      <c r="AA233" s="81">
        <v>148.98781</v>
      </c>
      <c r="AB233" s="62">
        <f t="shared" si="3"/>
        <v>212.70983999999999</v>
      </c>
      <c r="AC233" s="87"/>
      <c r="AD233" s="87"/>
      <c r="AE233" s="82"/>
      <c r="AF233" s="82"/>
      <c r="AG233" s="82"/>
      <c r="AH233" s="87">
        <v>0</v>
      </c>
      <c r="AI233" s="87">
        <v>0</v>
      </c>
      <c r="AJ233" s="87">
        <v>0</v>
      </c>
      <c r="AK233" s="87">
        <v>0</v>
      </c>
      <c r="AL233" s="87">
        <v>0</v>
      </c>
      <c r="AM233" s="77">
        <v>0</v>
      </c>
      <c r="AN233" s="77">
        <v>0</v>
      </c>
    </row>
    <row r="234" spans="1:48" s="82" customFormat="1" x14ac:dyDescent="0.2">
      <c r="A234" s="77" t="s">
        <v>1382</v>
      </c>
      <c r="B234" s="77" t="s">
        <v>1378</v>
      </c>
      <c r="C234" s="77">
        <v>13</v>
      </c>
      <c r="D234" s="77">
        <v>1</v>
      </c>
      <c r="E234" s="77" t="s">
        <v>395</v>
      </c>
      <c r="F234" s="78">
        <v>43388</v>
      </c>
      <c r="G234" s="83" t="s">
        <v>4033</v>
      </c>
      <c r="H234" s="79">
        <v>2.5694444444444447E-2</v>
      </c>
      <c r="I234" s="77" t="s">
        <v>398</v>
      </c>
      <c r="J234" s="77" t="s">
        <v>176</v>
      </c>
      <c r="K234" s="77" t="s">
        <v>111</v>
      </c>
      <c r="L234" s="77" t="s">
        <v>516</v>
      </c>
      <c r="M234" s="77">
        <v>0</v>
      </c>
      <c r="N234" s="77"/>
      <c r="O234" s="77">
        <v>2</v>
      </c>
      <c r="P234" s="77" t="s">
        <v>461</v>
      </c>
      <c r="Q234" s="77" t="s">
        <v>2125</v>
      </c>
      <c r="R234" s="77" t="s">
        <v>122</v>
      </c>
      <c r="S234" s="77" t="s">
        <v>3986</v>
      </c>
      <c r="T234" s="80" t="s">
        <v>516</v>
      </c>
      <c r="U234" s="80" t="s">
        <v>3997</v>
      </c>
      <c r="V234" s="80" t="s">
        <v>4001</v>
      </c>
      <c r="W234" s="77" t="s">
        <v>24</v>
      </c>
      <c r="X234" s="77" t="s">
        <v>24</v>
      </c>
      <c r="Y234" s="77">
        <v>25</v>
      </c>
      <c r="Z234" s="81">
        <v>63.722020000000001</v>
      </c>
      <c r="AA234" s="81">
        <v>148.98776000000001</v>
      </c>
      <c r="AB234" s="62">
        <f t="shared" si="3"/>
        <v>212.70978000000002</v>
      </c>
      <c r="AC234" s="87"/>
      <c r="AD234" s="87"/>
      <c r="AE234" s="77"/>
      <c r="AF234" s="77"/>
      <c r="AG234" s="77"/>
      <c r="AH234" s="87">
        <v>0</v>
      </c>
      <c r="AI234" s="87">
        <v>0</v>
      </c>
      <c r="AJ234" s="87">
        <v>0</v>
      </c>
      <c r="AK234" s="87">
        <v>0</v>
      </c>
      <c r="AL234" s="87">
        <v>0</v>
      </c>
      <c r="AM234" s="77">
        <v>0</v>
      </c>
      <c r="AN234" s="77">
        <v>0</v>
      </c>
      <c r="AO234" s="77"/>
      <c r="AP234" s="77" t="s">
        <v>1381</v>
      </c>
      <c r="AQ234" s="77"/>
      <c r="AR234" s="77"/>
      <c r="AS234" s="77"/>
      <c r="AT234" s="77"/>
      <c r="AU234" s="77"/>
      <c r="AV234" s="77"/>
    </row>
    <row r="235" spans="1:48" s="77" customFormat="1" x14ac:dyDescent="0.2">
      <c r="A235" s="77" t="s">
        <v>1421</v>
      </c>
      <c r="B235" s="77" t="s">
        <v>1422</v>
      </c>
      <c r="C235" s="77">
        <v>33</v>
      </c>
      <c r="D235" s="77">
        <v>1</v>
      </c>
      <c r="E235" s="77" t="s">
        <v>395</v>
      </c>
      <c r="F235" s="78">
        <v>43388</v>
      </c>
      <c r="G235" s="83" t="s">
        <v>4033</v>
      </c>
      <c r="H235" s="79">
        <v>1.5972222222222224E-2</v>
      </c>
      <c r="I235" s="77" t="s">
        <v>398</v>
      </c>
      <c r="J235" s="77" t="s">
        <v>2488</v>
      </c>
      <c r="K235" s="77" t="s">
        <v>111</v>
      </c>
      <c r="L235" s="77" t="s">
        <v>23</v>
      </c>
      <c r="M235" s="77">
        <v>0</v>
      </c>
      <c r="O235" s="77">
        <v>1</v>
      </c>
      <c r="P235" s="77" t="s">
        <v>461</v>
      </c>
      <c r="Q235" s="77" t="s">
        <v>2125</v>
      </c>
      <c r="R235" s="77" t="s">
        <v>122</v>
      </c>
      <c r="S235" s="77" t="s">
        <v>1057</v>
      </c>
      <c r="T235" s="82" t="s">
        <v>23</v>
      </c>
      <c r="U235" s="82" t="s">
        <v>3999</v>
      </c>
      <c r="V235" s="82" t="s">
        <v>4005</v>
      </c>
      <c r="W235" s="77" t="s">
        <v>24</v>
      </c>
      <c r="X235" s="77" t="s">
        <v>24</v>
      </c>
      <c r="Y235" s="77">
        <v>28</v>
      </c>
      <c r="Z235" s="81">
        <v>63.721710000000002</v>
      </c>
      <c r="AA235" s="81">
        <v>148.98701</v>
      </c>
      <c r="AB235" s="62">
        <f t="shared" si="3"/>
        <v>212.70872</v>
      </c>
      <c r="AC235" s="87"/>
      <c r="AD235" s="87"/>
      <c r="AE235" s="82"/>
      <c r="AF235" s="82"/>
      <c r="AG235" s="82"/>
      <c r="AH235" s="87">
        <v>0</v>
      </c>
      <c r="AI235" s="87">
        <v>0</v>
      </c>
      <c r="AJ235" s="87">
        <v>0</v>
      </c>
      <c r="AK235" s="87">
        <v>0</v>
      </c>
      <c r="AL235" s="87">
        <v>0</v>
      </c>
      <c r="AM235" s="77">
        <v>0</v>
      </c>
      <c r="AN235" s="77">
        <v>0</v>
      </c>
    </row>
    <row r="236" spans="1:48" s="77" customFormat="1" x14ac:dyDescent="0.2">
      <c r="A236" s="77" t="s">
        <v>1374</v>
      </c>
      <c r="B236" s="77" t="s">
        <v>1375</v>
      </c>
      <c r="C236" s="77">
        <v>12</v>
      </c>
      <c r="D236" s="77">
        <v>1</v>
      </c>
      <c r="E236" s="77" t="s">
        <v>395</v>
      </c>
      <c r="F236" s="78">
        <v>43388</v>
      </c>
      <c r="G236" s="83" t="s">
        <v>4033</v>
      </c>
      <c r="H236" s="79">
        <v>6.9444444444444441E-3</v>
      </c>
      <c r="I236" s="77" t="s">
        <v>398</v>
      </c>
      <c r="J236" s="77" t="s">
        <v>2488</v>
      </c>
      <c r="K236" s="77" t="s">
        <v>111</v>
      </c>
      <c r="L236" s="77" t="s">
        <v>23</v>
      </c>
      <c r="M236" s="77">
        <v>0</v>
      </c>
      <c r="O236" s="77">
        <v>1</v>
      </c>
      <c r="P236" s="77" t="s">
        <v>461</v>
      </c>
      <c r="Q236" s="77" t="s">
        <v>2125</v>
      </c>
      <c r="R236" s="77" t="s">
        <v>122</v>
      </c>
      <c r="S236" s="77" t="s">
        <v>1035</v>
      </c>
      <c r="T236" s="82" t="s">
        <v>23</v>
      </c>
      <c r="U236" s="82" t="s">
        <v>3997</v>
      </c>
      <c r="V236" s="82" t="s">
        <v>4006</v>
      </c>
      <c r="W236" s="77" t="s">
        <v>24</v>
      </c>
      <c r="X236" s="77" t="s">
        <v>24</v>
      </c>
      <c r="Y236" s="77">
        <v>31</v>
      </c>
      <c r="Z236" s="81">
        <v>63.721730000000001</v>
      </c>
      <c r="AA236" s="81">
        <v>148.98685</v>
      </c>
      <c r="AB236" s="62">
        <f t="shared" si="3"/>
        <v>212.70858000000001</v>
      </c>
      <c r="AC236" s="87"/>
      <c r="AD236" s="87"/>
      <c r="AE236" s="82"/>
      <c r="AF236" s="82"/>
      <c r="AG236" s="82"/>
      <c r="AH236" s="87">
        <v>0</v>
      </c>
      <c r="AI236" s="87">
        <v>0</v>
      </c>
      <c r="AJ236" s="87">
        <v>0</v>
      </c>
      <c r="AK236" s="87">
        <v>0</v>
      </c>
      <c r="AL236" s="87">
        <v>0</v>
      </c>
      <c r="AM236" s="77">
        <v>0</v>
      </c>
      <c r="AN236" s="77">
        <v>0</v>
      </c>
      <c r="AP236" s="77" t="s">
        <v>1376</v>
      </c>
    </row>
    <row r="237" spans="1:48" s="77" customFormat="1" x14ac:dyDescent="0.2">
      <c r="A237" s="82" t="s">
        <v>1438</v>
      </c>
      <c r="B237" s="82" t="s">
        <v>1439</v>
      </c>
      <c r="C237" s="82">
        <v>41</v>
      </c>
      <c r="D237" s="82">
        <v>1</v>
      </c>
      <c r="E237" s="82" t="s">
        <v>395</v>
      </c>
      <c r="F237" s="83">
        <v>43388</v>
      </c>
      <c r="G237" s="83" t="s">
        <v>4033</v>
      </c>
      <c r="H237" s="84">
        <v>2.7777777777777776E-2</v>
      </c>
      <c r="I237" s="82" t="s">
        <v>398</v>
      </c>
      <c r="J237" s="82" t="s">
        <v>344</v>
      </c>
      <c r="K237" s="82" t="s">
        <v>187</v>
      </c>
      <c r="L237" s="82" t="s">
        <v>23</v>
      </c>
      <c r="M237" s="82">
        <v>2</v>
      </c>
      <c r="N237" s="82"/>
      <c r="O237" s="82">
        <v>1</v>
      </c>
      <c r="P237" s="77" t="s">
        <v>14</v>
      </c>
      <c r="Q237" s="82" t="s">
        <v>2128</v>
      </c>
      <c r="R237" s="82" t="s">
        <v>122</v>
      </c>
      <c r="S237" s="82" t="s">
        <v>3963</v>
      </c>
      <c r="T237" s="82" t="s">
        <v>23</v>
      </c>
      <c r="U237" s="82" t="s">
        <v>3997</v>
      </c>
      <c r="V237" s="82" t="s">
        <v>4007</v>
      </c>
      <c r="W237" s="77" t="s">
        <v>24</v>
      </c>
      <c r="X237" s="77" t="s">
        <v>24</v>
      </c>
      <c r="Y237" s="82">
        <v>32</v>
      </c>
      <c r="Z237" s="85">
        <v>63.721510000000002</v>
      </c>
      <c r="AA237" s="85">
        <v>148.98741000000001</v>
      </c>
      <c r="AB237" s="62">
        <f t="shared" si="3"/>
        <v>212.70892000000001</v>
      </c>
      <c r="AC237" s="88"/>
      <c r="AD237" s="88"/>
      <c r="AH237" s="88">
        <v>0</v>
      </c>
      <c r="AI237" s="88">
        <v>0</v>
      </c>
      <c r="AJ237" s="88">
        <v>0</v>
      </c>
      <c r="AK237" s="88">
        <v>0</v>
      </c>
      <c r="AL237" s="88">
        <v>10</v>
      </c>
      <c r="AM237" s="82">
        <v>0</v>
      </c>
      <c r="AN237" s="82">
        <v>10</v>
      </c>
      <c r="AO237" s="82"/>
      <c r="AP237" s="82"/>
      <c r="AQ237" s="82"/>
      <c r="AR237" s="82"/>
      <c r="AS237" s="82"/>
      <c r="AT237" s="82"/>
      <c r="AU237" s="82"/>
      <c r="AV237" s="82"/>
    </row>
    <row r="238" spans="1:48" s="77" customFormat="1" x14ac:dyDescent="0.2">
      <c r="A238" s="77" t="s">
        <v>1411</v>
      </c>
      <c r="B238" s="77" t="s">
        <v>1412</v>
      </c>
      <c r="C238" s="77">
        <v>28</v>
      </c>
      <c r="D238" s="77">
        <v>1</v>
      </c>
      <c r="E238" s="77" t="s">
        <v>395</v>
      </c>
      <c r="F238" s="78">
        <v>43388</v>
      </c>
      <c r="G238" s="83" t="s">
        <v>4033</v>
      </c>
      <c r="H238" s="79">
        <v>1.1805555555555555E-2</v>
      </c>
      <c r="I238" s="77" t="s">
        <v>398</v>
      </c>
      <c r="J238" s="77" t="s">
        <v>176</v>
      </c>
      <c r="K238" s="77" t="s">
        <v>111</v>
      </c>
      <c r="L238" s="77" t="s">
        <v>23</v>
      </c>
      <c r="M238" s="77">
        <v>0</v>
      </c>
      <c r="O238" s="77">
        <v>1</v>
      </c>
      <c r="P238" s="77" t="s">
        <v>461</v>
      </c>
      <c r="Q238" s="77" t="s">
        <v>2125</v>
      </c>
      <c r="R238" s="77" t="s">
        <v>122</v>
      </c>
      <c r="S238" s="77" t="s">
        <v>1035</v>
      </c>
      <c r="T238" s="80" t="s">
        <v>23</v>
      </c>
      <c r="U238" s="80" t="s">
        <v>3997</v>
      </c>
      <c r="V238" s="80" t="s">
        <v>4006</v>
      </c>
      <c r="W238" s="77" t="s">
        <v>24</v>
      </c>
      <c r="X238" s="77" t="s">
        <v>24</v>
      </c>
      <c r="Y238" s="77">
        <v>37</v>
      </c>
      <c r="Z238" s="81">
        <v>63.721769999999999</v>
      </c>
      <c r="AA238" s="81">
        <v>148.98671999999999</v>
      </c>
      <c r="AB238" s="62">
        <f t="shared" si="3"/>
        <v>212.70848999999998</v>
      </c>
      <c r="AC238" s="87"/>
      <c r="AD238" s="87"/>
      <c r="AE238" s="82"/>
      <c r="AF238" s="82"/>
      <c r="AG238" s="82"/>
      <c r="AH238" s="87">
        <v>0</v>
      </c>
      <c r="AI238" s="87">
        <v>0</v>
      </c>
      <c r="AJ238" s="87">
        <v>0</v>
      </c>
      <c r="AK238" s="87">
        <v>0</v>
      </c>
      <c r="AL238" s="87">
        <v>0</v>
      </c>
      <c r="AM238" s="77">
        <v>0</v>
      </c>
      <c r="AN238" s="77">
        <v>0</v>
      </c>
      <c r="AP238" s="89" t="s">
        <v>1356</v>
      </c>
    </row>
    <row r="239" spans="1:48" s="77" customFormat="1" x14ac:dyDescent="0.2">
      <c r="A239" s="77" t="s">
        <v>1466</v>
      </c>
      <c r="B239" s="77" t="s">
        <v>1467</v>
      </c>
      <c r="C239" s="77">
        <v>53</v>
      </c>
      <c r="D239" s="77">
        <v>1</v>
      </c>
      <c r="E239" s="77" t="s">
        <v>395</v>
      </c>
      <c r="F239" s="78">
        <v>43388</v>
      </c>
      <c r="G239" s="83" t="s">
        <v>4033</v>
      </c>
      <c r="H239" s="79">
        <v>8.3333333333333332E-3</v>
      </c>
      <c r="I239" s="77" t="s">
        <v>398</v>
      </c>
      <c r="J239" s="77" t="s">
        <v>241</v>
      </c>
      <c r="K239" s="77" t="s">
        <v>111</v>
      </c>
      <c r="L239" s="77" t="s">
        <v>115</v>
      </c>
      <c r="M239" s="77">
        <v>0</v>
      </c>
      <c r="O239" s="77">
        <v>1</v>
      </c>
      <c r="P239" s="77" t="s">
        <v>461</v>
      </c>
      <c r="Q239" s="77" t="s">
        <v>2125</v>
      </c>
      <c r="R239" s="77" t="s">
        <v>122</v>
      </c>
      <c r="S239" s="77" t="s">
        <v>2061</v>
      </c>
      <c r="T239" s="82" t="s">
        <v>23</v>
      </c>
      <c r="U239" s="82" t="s">
        <v>3999</v>
      </c>
      <c r="V239" s="82" t="s">
        <v>4006</v>
      </c>
      <c r="W239" s="77" t="s">
        <v>24</v>
      </c>
      <c r="X239" s="77" t="s">
        <v>24</v>
      </c>
      <c r="Y239" s="77">
        <v>37</v>
      </c>
      <c r="Z239" s="81">
        <v>63.721760000000003</v>
      </c>
      <c r="AA239" s="81">
        <v>148.98801</v>
      </c>
      <c r="AB239" s="62">
        <f t="shared" si="3"/>
        <v>212.70976999999999</v>
      </c>
      <c r="AC239" s="87"/>
      <c r="AD239" s="87"/>
      <c r="AE239" s="82"/>
      <c r="AF239" s="82"/>
      <c r="AG239" s="82"/>
      <c r="AH239" s="87">
        <v>0</v>
      </c>
      <c r="AI239" s="87">
        <v>0</v>
      </c>
      <c r="AJ239" s="87">
        <v>0</v>
      </c>
      <c r="AK239" s="87">
        <v>0</v>
      </c>
      <c r="AL239" s="87">
        <v>0</v>
      </c>
      <c r="AM239" s="77">
        <v>0</v>
      </c>
      <c r="AN239" s="77">
        <v>0</v>
      </c>
      <c r="AS239" s="82"/>
      <c r="AT239" s="82"/>
      <c r="AU239" s="82"/>
      <c r="AV239" s="82"/>
    </row>
    <row r="240" spans="1:48" s="77" customFormat="1" x14ac:dyDescent="0.2">
      <c r="A240" s="77" t="s">
        <v>1390</v>
      </c>
      <c r="B240" s="77" t="s">
        <v>1391</v>
      </c>
      <c r="C240" s="77">
        <v>18</v>
      </c>
      <c r="D240" s="77">
        <v>1</v>
      </c>
      <c r="E240" s="77" t="s">
        <v>395</v>
      </c>
      <c r="F240" s="78">
        <v>43388</v>
      </c>
      <c r="G240" s="83" t="s">
        <v>4033</v>
      </c>
      <c r="H240" s="79">
        <v>9.0277777777777787E-3</v>
      </c>
      <c r="I240" s="77" t="s">
        <v>398</v>
      </c>
      <c r="J240" s="77" t="s">
        <v>2488</v>
      </c>
      <c r="K240" s="77" t="s">
        <v>111</v>
      </c>
      <c r="L240" s="77" t="s">
        <v>115</v>
      </c>
      <c r="M240" s="77">
        <v>0</v>
      </c>
      <c r="O240" s="77">
        <v>1</v>
      </c>
      <c r="P240" s="77" t="s">
        <v>461</v>
      </c>
      <c r="Q240" s="77" t="s">
        <v>2125</v>
      </c>
      <c r="R240" s="77" t="s">
        <v>122</v>
      </c>
      <c r="S240" s="77" t="s">
        <v>2061</v>
      </c>
      <c r="T240" s="82" t="s">
        <v>23</v>
      </c>
      <c r="U240" s="82" t="s">
        <v>3999</v>
      </c>
      <c r="V240" s="82" t="s">
        <v>4006</v>
      </c>
      <c r="W240" s="77" t="s">
        <v>24</v>
      </c>
      <c r="X240" s="77" t="s">
        <v>24</v>
      </c>
      <c r="Y240" s="77">
        <v>45</v>
      </c>
      <c r="Z240" s="81">
        <v>63.721649999999997</v>
      </c>
      <c r="AA240" s="81">
        <v>148.98674</v>
      </c>
      <c r="AB240" s="62">
        <f t="shared" si="3"/>
        <v>212.70839000000001</v>
      </c>
      <c r="AC240" s="87"/>
      <c r="AD240" s="87"/>
      <c r="AE240" s="82"/>
      <c r="AF240" s="82"/>
      <c r="AG240" s="82"/>
      <c r="AH240" s="87">
        <v>0</v>
      </c>
      <c r="AI240" s="87">
        <v>0</v>
      </c>
      <c r="AJ240" s="87">
        <v>0</v>
      </c>
      <c r="AK240" s="87">
        <v>0</v>
      </c>
      <c r="AL240" s="87">
        <v>0</v>
      </c>
      <c r="AM240" s="77">
        <v>0</v>
      </c>
      <c r="AN240" s="77">
        <v>0</v>
      </c>
      <c r="AP240" s="89" t="s">
        <v>1356</v>
      </c>
    </row>
    <row r="241" spans="1:48" s="77" customFormat="1" x14ac:dyDescent="0.2">
      <c r="A241" s="77" t="s">
        <v>1442</v>
      </c>
      <c r="B241" s="77" t="s">
        <v>1443</v>
      </c>
      <c r="C241" s="77">
        <v>43</v>
      </c>
      <c r="D241" s="77">
        <v>1</v>
      </c>
      <c r="E241" s="77" t="s">
        <v>395</v>
      </c>
      <c r="F241" s="78">
        <v>43388</v>
      </c>
      <c r="G241" s="83" t="s">
        <v>4033</v>
      </c>
      <c r="H241" s="79">
        <v>2.4999999999999998E-2</v>
      </c>
      <c r="I241" s="77" t="s">
        <v>398</v>
      </c>
      <c r="J241" s="77" t="s">
        <v>2488</v>
      </c>
      <c r="K241" s="77" t="s">
        <v>111</v>
      </c>
      <c r="L241" s="77" t="s">
        <v>23</v>
      </c>
      <c r="M241" s="77">
        <v>0</v>
      </c>
      <c r="O241" s="77">
        <v>1</v>
      </c>
      <c r="P241" s="77" t="s">
        <v>461</v>
      </c>
      <c r="Q241" s="77" t="s">
        <v>2125</v>
      </c>
      <c r="R241" s="77" t="s">
        <v>122</v>
      </c>
      <c r="S241" s="77" t="s">
        <v>2061</v>
      </c>
      <c r="T241" s="82" t="s">
        <v>23</v>
      </c>
      <c r="U241" s="82" t="s">
        <v>3999</v>
      </c>
      <c r="V241" s="82" t="s">
        <v>4006</v>
      </c>
      <c r="W241" s="77" t="s">
        <v>24</v>
      </c>
      <c r="X241" s="77" t="s">
        <v>24</v>
      </c>
      <c r="Y241" s="77">
        <v>46</v>
      </c>
      <c r="Z241" s="81">
        <v>63.721530000000001</v>
      </c>
      <c r="AA241" s="81">
        <v>148.98785000000001</v>
      </c>
      <c r="AB241" s="62">
        <f t="shared" si="3"/>
        <v>212.70938000000001</v>
      </c>
      <c r="AC241" s="87"/>
      <c r="AD241" s="87"/>
      <c r="AE241" s="82"/>
      <c r="AF241" s="82"/>
      <c r="AG241" s="82"/>
      <c r="AH241" s="87">
        <v>0</v>
      </c>
      <c r="AI241" s="87">
        <v>0</v>
      </c>
      <c r="AJ241" s="87">
        <v>0</v>
      </c>
      <c r="AK241" s="87">
        <v>0</v>
      </c>
      <c r="AL241" s="87">
        <v>0</v>
      </c>
      <c r="AM241" s="77">
        <v>0</v>
      </c>
      <c r="AN241" s="77">
        <v>0</v>
      </c>
      <c r="AP241" s="89" t="s">
        <v>1356</v>
      </c>
      <c r="AS241" s="82"/>
      <c r="AT241" s="82"/>
      <c r="AU241" s="82"/>
      <c r="AV241" s="82"/>
    </row>
    <row r="242" spans="1:48" s="77" customFormat="1" x14ac:dyDescent="0.2">
      <c r="A242" s="77" t="s">
        <v>1407</v>
      </c>
      <c r="B242" s="77" t="s">
        <v>1408</v>
      </c>
      <c r="C242" s="77">
        <v>26</v>
      </c>
      <c r="D242" s="77">
        <v>1</v>
      </c>
      <c r="E242" s="77" t="s">
        <v>395</v>
      </c>
      <c r="F242" s="78">
        <v>43388</v>
      </c>
      <c r="G242" s="83" t="s">
        <v>4033</v>
      </c>
      <c r="H242" s="79">
        <v>8.7500000000000008E-2</v>
      </c>
      <c r="I242" s="77" t="s">
        <v>398</v>
      </c>
      <c r="J242" s="77" t="s">
        <v>176</v>
      </c>
      <c r="K242" s="77" t="s">
        <v>111</v>
      </c>
      <c r="L242" s="77" t="s">
        <v>23</v>
      </c>
      <c r="M242" s="77">
        <v>0</v>
      </c>
      <c r="O242" s="77">
        <v>1</v>
      </c>
      <c r="P242" s="77" t="s">
        <v>461</v>
      </c>
      <c r="Q242" s="77" t="s">
        <v>2125</v>
      </c>
      <c r="R242" s="77" t="s">
        <v>122</v>
      </c>
      <c r="S242" s="77" t="s">
        <v>1035</v>
      </c>
      <c r="T242" s="80" t="s">
        <v>23</v>
      </c>
      <c r="U242" s="80" t="s">
        <v>3997</v>
      </c>
      <c r="V242" s="80" t="s">
        <v>4006</v>
      </c>
      <c r="W242" s="77" t="s">
        <v>24</v>
      </c>
      <c r="X242" s="77" t="s">
        <v>24</v>
      </c>
      <c r="Y242" s="77">
        <v>60</v>
      </c>
      <c r="Z242" s="81">
        <v>63.72137</v>
      </c>
      <c r="AA242" s="81">
        <v>148.98742999999999</v>
      </c>
      <c r="AB242" s="62">
        <f t="shared" si="3"/>
        <v>212.7088</v>
      </c>
      <c r="AC242" s="87"/>
      <c r="AD242" s="87"/>
      <c r="AE242" s="82"/>
      <c r="AF242" s="82"/>
      <c r="AG242" s="82"/>
      <c r="AH242" s="87">
        <v>0</v>
      </c>
      <c r="AI242" s="87">
        <v>0</v>
      </c>
      <c r="AJ242" s="87">
        <v>0</v>
      </c>
      <c r="AK242" s="87">
        <v>0</v>
      </c>
      <c r="AL242" s="87">
        <v>0</v>
      </c>
      <c r="AM242" s="77">
        <v>0</v>
      </c>
      <c r="AN242" s="77">
        <v>0</v>
      </c>
      <c r="AP242" s="89" t="s">
        <v>1356</v>
      </c>
      <c r="AS242" s="82"/>
      <c r="AT242" s="82"/>
      <c r="AU242" s="82"/>
      <c r="AV242" s="82"/>
    </row>
    <row r="243" spans="1:48" s="77" customFormat="1" x14ac:dyDescent="0.2">
      <c r="A243" s="77" t="s">
        <v>1489</v>
      </c>
      <c r="B243" s="77" t="s">
        <v>1490</v>
      </c>
      <c r="C243" s="77">
        <v>64</v>
      </c>
      <c r="D243" s="77">
        <v>1</v>
      </c>
      <c r="E243" s="77" t="s">
        <v>395</v>
      </c>
      <c r="F243" s="78">
        <v>43388</v>
      </c>
      <c r="G243" s="83" t="s">
        <v>4033</v>
      </c>
      <c r="H243" s="79">
        <v>1.7361111111111112E-2</v>
      </c>
      <c r="I243" s="77" t="s">
        <v>398</v>
      </c>
      <c r="J243" s="77" t="s">
        <v>241</v>
      </c>
      <c r="K243" s="77" t="s">
        <v>111</v>
      </c>
      <c r="L243" s="77" t="s">
        <v>23</v>
      </c>
      <c r="M243" s="77">
        <v>0</v>
      </c>
      <c r="O243" s="77">
        <v>1</v>
      </c>
      <c r="P243" s="77" t="s">
        <v>461</v>
      </c>
      <c r="Q243" s="77" t="s">
        <v>2125</v>
      </c>
      <c r="R243" s="77" t="s">
        <v>122</v>
      </c>
      <c r="S243" s="77" t="s">
        <v>1035</v>
      </c>
      <c r="T243" s="82" t="s">
        <v>23</v>
      </c>
      <c r="U243" s="82" t="s">
        <v>3997</v>
      </c>
      <c r="V243" s="82" t="s">
        <v>4006</v>
      </c>
      <c r="W243" s="77" t="s">
        <v>24</v>
      </c>
      <c r="X243" s="77" t="s">
        <v>24</v>
      </c>
      <c r="Y243" s="77" t="s">
        <v>24</v>
      </c>
      <c r="Z243" s="81">
        <v>63.721519999999998</v>
      </c>
      <c r="AA243" s="81">
        <v>148.98714000000001</v>
      </c>
      <c r="AB243" s="62">
        <f t="shared" si="3"/>
        <v>212.70866000000001</v>
      </c>
      <c r="AC243" s="87"/>
      <c r="AD243" s="87"/>
      <c r="AH243" s="87">
        <v>0</v>
      </c>
      <c r="AI243" s="87">
        <v>0</v>
      </c>
      <c r="AJ243" s="87">
        <v>0</v>
      </c>
      <c r="AK243" s="87">
        <v>0</v>
      </c>
      <c r="AL243" s="87">
        <v>0</v>
      </c>
      <c r="AM243" s="77">
        <v>0</v>
      </c>
      <c r="AN243" s="77">
        <v>0</v>
      </c>
      <c r="AS243" s="82"/>
      <c r="AT243" s="82"/>
      <c r="AU243" s="82"/>
      <c r="AV243" s="82"/>
    </row>
    <row r="244" spans="1:48" s="77" customFormat="1" x14ac:dyDescent="0.2">
      <c r="A244" s="82" t="s">
        <v>1491</v>
      </c>
      <c r="B244" s="82" t="s">
        <v>1492</v>
      </c>
      <c r="C244" s="82">
        <v>65</v>
      </c>
      <c r="D244" s="82">
        <v>1</v>
      </c>
      <c r="E244" s="82" t="s">
        <v>395</v>
      </c>
      <c r="F244" s="83">
        <v>43388</v>
      </c>
      <c r="G244" s="83" t="s">
        <v>4033</v>
      </c>
      <c r="H244" s="84">
        <v>0.10347222222222223</v>
      </c>
      <c r="I244" s="82" t="s">
        <v>398</v>
      </c>
      <c r="J244" s="77" t="s">
        <v>2488</v>
      </c>
      <c r="K244" s="82" t="s">
        <v>187</v>
      </c>
      <c r="L244" s="82" t="s">
        <v>23</v>
      </c>
      <c r="M244" s="82">
        <v>1</v>
      </c>
      <c r="N244" s="82"/>
      <c r="O244" s="82">
        <v>1</v>
      </c>
      <c r="P244" s="77" t="s">
        <v>461</v>
      </c>
      <c r="Q244" s="82" t="s">
        <v>2125</v>
      </c>
      <c r="R244" s="82" t="s">
        <v>122</v>
      </c>
      <c r="S244" s="77" t="s">
        <v>1035</v>
      </c>
      <c r="T244" s="82" t="s">
        <v>23</v>
      </c>
      <c r="U244" s="82" t="s">
        <v>3997</v>
      </c>
      <c r="V244" s="82" t="s">
        <v>4006</v>
      </c>
      <c r="W244" s="77" t="s">
        <v>24</v>
      </c>
      <c r="X244" s="77" t="s">
        <v>24</v>
      </c>
      <c r="Y244" s="82" t="s">
        <v>24</v>
      </c>
      <c r="Z244" s="85">
        <v>63.72193</v>
      </c>
      <c r="AA244" s="85">
        <v>148.98715000000001</v>
      </c>
      <c r="AB244" s="62">
        <f t="shared" si="3"/>
        <v>212.70908000000003</v>
      </c>
      <c r="AC244" s="88"/>
      <c r="AD244" s="88"/>
      <c r="AH244" s="88">
        <v>0</v>
      </c>
      <c r="AI244" s="88">
        <v>0</v>
      </c>
      <c r="AJ244" s="88">
        <v>0</v>
      </c>
      <c r="AK244" s="88">
        <v>0</v>
      </c>
      <c r="AL244" s="88">
        <v>118</v>
      </c>
      <c r="AM244" s="82">
        <v>0</v>
      </c>
      <c r="AN244" s="82">
        <v>118</v>
      </c>
      <c r="AO244" s="82"/>
      <c r="AP244" s="82"/>
      <c r="AQ244" s="82"/>
      <c r="AR244" s="82"/>
    </row>
    <row r="245" spans="1:48" s="77" customFormat="1" x14ac:dyDescent="0.2">
      <c r="A245" s="77" t="s">
        <v>1472</v>
      </c>
      <c r="B245" s="77" t="s">
        <v>1473</v>
      </c>
      <c r="C245" s="77">
        <v>56</v>
      </c>
      <c r="D245" s="77">
        <v>1</v>
      </c>
      <c r="E245" s="77" t="s">
        <v>395</v>
      </c>
      <c r="F245" s="78">
        <v>43388</v>
      </c>
      <c r="G245" s="83" t="s">
        <v>4033</v>
      </c>
      <c r="H245" s="79">
        <v>1.4583333333333332E-2</v>
      </c>
      <c r="I245" s="77" t="s">
        <v>398</v>
      </c>
      <c r="J245" s="77" t="s">
        <v>176</v>
      </c>
      <c r="L245" s="77" t="s">
        <v>115</v>
      </c>
      <c r="M245" s="77">
        <v>0</v>
      </c>
      <c r="O245" s="77">
        <v>1</v>
      </c>
      <c r="P245" s="77" t="s">
        <v>14</v>
      </c>
      <c r="Q245" s="77" t="s">
        <v>2128</v>
      </c>
      <c r="R245" s="77" t="s">
        <v>122</v>
      </c>
      <c r="S245" s="77" t="s">
        <v>1035</v>
      </c>
      <c r="T245" s="80" t="s">
        <v>23</v>
      </c>
      <c r="U245" s="80" t="s">
        <v>3997</v>
      </c>
      <c r="V245" s="80" t="s">
        <v>4006</v>
      </c>
      <c r="W245" s="77" t="s">
        <v>24</v>
      </c>
      <c r="X245" s="77" t="s">
        <v>24</v>
      </c>
      <c r="Y245" s="77" t="s">
        <v>24</v>
      </c>
      <c r="Z245" s="81">
        <v>63.721649999999997</v>
      </c>
      <c r="AA245" s="81">
        <v>148.98887999999999</v>
      </c>
      <c r="AB245" s="62">
        <f t="shared" si="3"/>
        <v>212.71053000000001</v>
      </c>
      <c r="AC245" s="87"/>
      <c r="AD245" s="87"/>
      <c r="AE245" s="82"/>
      <c r="AF245" s="82"/>
      <c r="AG245" s="82"/>
      <c r="AH245" s="87">
        <v>0</v>
      </c>
      <c r="AI245" s="87">
        <v>0</v>
      </c>
      <c r="AJ245" s="87">
        <v>0</v>
      </c>
      <c r="AK245" s="87">
        <v>0</v>
      </c>
      <c r="AL245" s="87">
        <v>0</v>
      </c>
      <c r="AM245" s="77">
        <v>0</v>
      </c>
      <c r="AN245" s="77">
        <v>0</v>
      </c>
      <c r="AP245" s="77" t="s">
        <v>1474</v>
      </c>
      <c r="AS245" s="82"/>
      <c r="AT245" s="82"/>
      <c r="AU245" s="82"/>
      <c r="AV245" s="82"/>
    </row>
    <row r="246" spans="1:48" s="77" customFormat="1" x14ac:dyDescent="0.2">
      <c r="A246" s="82" t="s">
        <v>1532</v>
      </c>
      <c r="B246" s="82" t="s">
        <v>1533</v>
      </c>
      <c r="C246" s="82">
        <v>3</v>
      </c>
      <c r="D246" s="82">
        <v>1</v>
      </c>
      <c r="E246" s="82" t="s">
        <v>834</v>
      </c>
      <c r="F246" s="83">
        <v>43389</v>
      </c>
      <c r="G246" s="83" t="s">
        <v>4033</v>
      </c>
      <c r="H246" s="84">
        <v>4.8611111111111112E-2</v>
      </c>
      <c r="I246" s="82" t="s">
        <v>398</v>
      </c>
      <c r="J246" s="82" t="s">
        <v>466</v>
      </c>
      <c r="K246" s="82" t="s">
        <v>187</v>
      </c>
      <c r="L246" s="82" t="s">
        <v>23</v>
      </c>
      <c r="M246" s="82">
        <v>1</v>
      </c>
      <c r="N246" s="82"/>
      <c r="O246" s="82">
        <v>1</v>
      </c>
      <c r="P246" s="77" t="s">
        <v>176</v>
      </c>
      <c r="Q246" s="82" t="s">
        <v>176</v>
      </c>
      <c r="R246" s="82" t="s">
        <v>2094</v>
      </c>
      <c r="S246" s="77" t="s">
        <v>2061</v>
      </c>
      <c r="T246" s="80" t="s">
        <v>23</v>
      </c>
      <c r="U246" s="80" t="s">
        <v>3999</v>
      </c>
      <c r="V246" s="80" t="s">
        <v>4006</v>
      </c>
      <c r="W246" s="77" t="s">
        <v>24</v>
      </c>
      <c r="X246" s="77" t="s">
        <v>24</v>
      </c>
      <c r="Y246" s="82">
        <v>7</v>
      </c>
      <c r="Z246" s="85">
        <v>63.738460000000003</v>
      </c>
      <c r="AA246" s="85">
        <v>148.90312</v>
      </c>
      <c r="AB246" s="62">
        <f t="shared" si="3"/>
        <v>212.64158</v>
      </c>
      <c r="AC246" s="88"/>
      <c r="AD246" s="88"/>
      <c r="AH246" s="88">
        <v>0</v>
      </c>
      <c r="AI246" s="88">
        <v>0</v>
      </c>
      <c r="AJ246" s="88">
        <v>0</v>
      </c>
      <c r="AK246" s="88">
        <v>0</v>
      </c>
      <c r="AL246" s="88">
        <v>7</v>
      </c>
      <c r="AM246" s="82">
        <v>0</v>
      </c>
      <c r="AN246" s="82">
        <v>7</v>
      </c>
      <c r="AO246" s="82"/>
      <c r="AP246" s="82" t="s">
        <v>1534</v>
      </c>
      <c r="AQ246" s="82"/>
      <c r="AR246" s="82"/>
      <c r="AS246" s="82"/>
      <c r="AT246" s="82"/>
      <c r="AU246" s="82"/>
      <c r="AV246" s="82"/>
    </row>
    <row r="247" spans="1:48" s="77" customFormat="1" x14ac:dyDescent="0.2">
      <c r="A247" s="77" t="s">
        <v>1519</v>
      </c>
      <c r="B247" s="77" t="s">
        <v>1520</v>
      </c>
      <c r="C247" s="77">
        <v>10</v>
      </c>
      <c r="D247" s="77">
        <v>1</v>
      </c>
      <c r="E247" s="77" t="s">
        <v>324</v>
      </c>
      <c r="F247" s="78">
        <v>43389</v>
      </c>
      <c r="G247" s="83" t="s">
        <v>4033</v>
      </c>
      <c r="H247" s="79">
        <v>1.5277777777777777E-2</v>
      </c>
      <c r="I247" s="77" t="s">
        <v>398</v>
      </c>
      <c r="J247" s="77" t="s">
        <v>176</v>
      </c>
      <c r="L247" s="77" t="s">
        <v>1196</v>
      </c>
      <c r="M247" s="77">
        <v>0</v>
      </c>
      <c r="O247" s="77">
        <v>1</v>
      </c>
      <c r="P247" s="77" t="s">
        <v>14</v>
      </c>
      <c r="Q247" s="77" t="s">
        <v>2129</v>
      </c>
      <c r="R247" s="77" t="s">
        <v>122</v>
      </c>
      <c r="S247" s="77" t="s">
        <v>1521</v>
      </c>
      <c r="T247" s="82" t="s">
        <v>1196</v>
      </c>
      <c r="U247" s="82" t="s">
        <v>3997</v>
      </c>
      <c r="V247" s="82" t="s">
        <v>4005</v>
      </c>
      <c r="W247" s="77" t="s">
        <v>24</v>
      </c>
      <c r="X247" s="77" t="s">
        <v>24</v>
      </c>
      <c r="Y247" s="77" t="s">
        <v>24</v>
      </c>
      <c r="Z247" s="81">
        <v>63.723840000000003</v>
      </c>
      <c r="AA247" s="81">
        <v>148.88453999999999</v>
      </c>
      <c r="AB247" s="62">
        <f t="shared" si="3"/>
        <v>212.60837999999998</v>
      </c>
      <c r="AC247" s="87"/>
      <c r="AD247" s="87"/>
      <c r="AH247" s="87">
        <v>0</v>
      </c>
      <c r="AI247" s="87">
        <v>0</v>
      </c>
      <c r="AJ247" s="87">
        <v>0</v>
      </c>
      <c r="AK247" s="87">
        <v>0</v>
      </c>
      <c r="AL247" s="87">
        <v>0</v>
      </c>
      <c r="AM247" s="77">
        <v>0</v>
      </c>
      <c r="AN247" s="77">
        <v>0</v>
      </c>
      <c r="AP247" s="77" t="s">
        <v>1522</v>
      </c>
      <c r="AS247" s="59"/>
      <c r="AT247" s="59"/>
      <c r="AU247" s="59"/>
      <c r="AV247" s="59"/>
    </row>
    <row r="248" spans="1:48" s="77" customFormat="1" x14ac:dyDescent="0.2">
      <c r="A248" s="77" t="s">
        <v>1527</v>
      </c>
      <c r="B248" s="77" t="s">
        <v>1528</v>
      </c>
      <c r="C248" s="77">
        <v>1</v>
      </c>
      <c r="D248" s="77">
        <v>1</v>
      </c>
      <c r="E248" s="77" t="s">
        <v>834</v>
      </c>
      <c r="F248" s="78">
        <v>43389</v>
      </c>
      <c r="G248" s="83" t="s">
        <v>4033</v>
      </c>
      <c r="H248" s="79">
        <v>2.4305555555555556E-2</v>
      </c>
      <c r="I248" s="77" t="s">
        <v>398</v>
      </c>
      <c r="J248" s="77" t="s">
        <v>466</v>
      </c>
      <c r="K248" s="77" t="s">
        <v>187</v>
      </c>
      <c r="L248" s="77" t="s">
        <v>23</v>
      </c>
      <c r="M248" s="77" t="s">
        <v>24</v>
      </c>
      <c r="O248" s="77">
        <v>1</v>
      </c>
      <c r="P248" s="77" t="s">
        <v>176</v>
      </c>
      <c r="Q248" s="77" t="s">
        <v>176</v>
      </c>
      <c r="R248" s="77" t="s">
        <v>24</v>
      </c>
      <c r="S248" s="77" t="s">
        <v>1057</v>
      </c>
      <c r="T248" s="80" t="s">
        <v>23</v>
      </c>
      <c r="U248" s="80" t="s">
        <v>3999</v>
      </c>
      <c r="V248" s="80" t="s">
        <v>4005</v>
      </c>
      <c r="W248" s="77" t="s">
        <v>24</v>
      </c>
      <c r="X248" s="77" t="s">
        <v>24</v>
      </c>
      <c r="Y248" s="77" t="s">
        <v>24</v>
      </c>
      <c r="Z248" s="81">
        <v>63.738300000000002</v>
      </c>
      <c r="AA248" s="81">
        <v>148.90355</v>
      </c>
      <c r="AB248" s="62">
        <f t="shared" si="3"/>
        <v>212.64185000000001</v>
      </c>
      <c r="AC248" s="87"/>
      <c r="AD248" s="87"/>
      <c r="AH248" s="87">
        <v>26</v>
      </c>
      <c r="AI248" s="87">
        <v>0</v>
      </c>
      <c r="AJ248" s="87">
        <v>26</v>
      </c>
      <c r="AK248" s="87">
        <v>0</v>
      </c>
      <c r="AL248" s="87">
        <v>0</v>
      </c>
      <c r="AM248" s="77">
        <v>0</v>
      </c>
      <c r="AN248" s="77">
        <v>26</v>
      </c>
      <c r="AO248" s="77" t="s">
        <v>375</v>
      </c>
      <c r="AQ248" s="77">
        <v>3</v>
      </c>
      <c r="AR248" s="77">
        <v>0</v>
      </c>
      <c r="AS248" s="82"/>
      <c r="AT248" s="82"/>
      <c r="AU248" s="82"/>
      <c r="AV248" s="82"/>
    </row>
    <row r="249" spans="1:48" s="77" customFormat="1" x14ac:dyDescent="0.2">
      <c r="A249" s="77" t="s">
        <v>1546</v>
      </c>
      <c r="B249" s="77" t="s">
        <v>1545</v>
      </c>
      <c r="C249" s="77">
        <v>5</v>
      </c>
      <c r="D249" s="77">
        <v>1</v>
      </c>
      <c r="E249" s="77" t="s">
        <v>834</v>
      </c>
      <c r="F249" s="78">
        <v>43389</v>
      </c>
      <c r="G249" s="83" t="s">
        <v>4033</v>
      </c>
      <c r="H249" s="79">
        <v>1.1805555555555555E-2</v>
      </c>
      <c r="I249" s="77" t="s">
        <v>398</v>
      </c>
      <c r="J249" s="77" t="s">
        <v>466</v>
      </c>
      <c r="K249" s="77" t="s">
        <v>111</v>
      </c>
      <c r="L249" s="77" t="s">
        <v>23</v>
      </c>
      <c r="M249" s="77">
        <v>0</v>
      </c>
      <c r="O249" s="77">
        <v>1</v>
      </c>
      <c r="P249" s="77" t="s">
        <v>176</v>
      </c>
      <c r="Q249" s="77" t="s">
        <v>176</v>
      </c>
      <c r="R249" s="77" t="s">
        <v>24</v>
      </c>
      <c r="S249" s="77" t="s">
        <v>263</v>
      </c>
      <c r="T249" s="80" t="s">
        <v>23</v>
      </c>
      <c r="U249" s="80" t="s">
        <v>4004</v>
      </c>
      <c r="V249" s="80" t="s">
        <v>4005</v>
      </c>
      <c r="W249" s="77" t="s">
        <v>24</v>
      </c>
      <c r="X249" s="77" t="s">
        <v>24</v>
      </c>
      <c r="Y249" s="77" t="s">
        <v>24</v>
      </c>
      <c r="Z249" s="81">
        <v>63.739269999999998</v>
      </c>
      <c r="AA249" s="81">
        <v>148.98978</v>
      </c>
      <c r="AB249" s="62">
        <f t="shared" si="3"/>
        <v>212.72905</v>
      </c>
      <c r="AC249" s="87"/>
      <c r="AD249" s="87"/>
      <c r="AH249" s="87">
        <v>0</v>
      </c>
      <c r="AI249" s="87">
        <v>0</v>
      </c>
      <c r="AJ249" s="87">
        <v>0</v>
      </c>
      <c r="AK249" s="87">
        <v>0</v>
      </c>
      <c r="AL249" s="87">
        <v>0</v>
      </c>
      <c r="AM249" s="77">
        <v>0</v>
      </c>
      <c r="AN249" s="77">
        <v>0</v>
      </c>
    </row>
    <row r="250" spans="1:48" s="77" customFormat="1" x14ac:dyDescent="0.2">
      <c r="A250" s="82" t="s">
        <v>1548</v>
      </c>
      <c r="B250" s="82" t="s">
        <v>1549</v>
      </c>
      <c r="C250" s="82">
        <v>2</v>
      </c>
      <c r="D250" s="82">
        <v>1</v>
      </c>
      <c r="E250" s="82" t="s">
        <v>138</v>
      </c>
      <c r="F250" s="83">
        <v>43390</v>
      </c>
      <c r="G250" s="83" t="s">
        <v>4033</v>
      </c>
      <c r="H250" s="84">
        <v>2.361111111111111E-2</v>
      </c>
      <c r="I250" s="82" t="s">
        <v>398</v>
      </c>
      <c r="J250" s="82" t="s">
        <v>177</v>
      </c>
      <c r="K250" s="82" t="s">
        <v>156</v>
      </c>
      <c r="L250" s="82" t="s">
        <v>23</v>
      </c>
      <c r="M250" s="82">
        <v>1</v>
      </c>
      <c r="N250" s="82"/>
      <c r="O250" s="82">
        <v>1</v>
      </c>
      <c r="P250" s="77" t="s">
        <v>14</v>
      </c>
      <c r="Q250" s="82" t="s">
        <v>2128</v>
      </c>
      <c r="R250" s="82" t="s">
        <v>122</v>
      </c>
      <c r="S250" s="82" t="s">
        <v>333</v>
      </c>
      <c r="T250" s="82" t="s">
        <v>84</v>
      </c>
      <c r="U250" s="82" t="s">
        <v>3999</v>
      </c>
      <c r="V250" s="82" t="s">
        <v>4006</v>
      </c>
      <c r="W250" s="77" t="s">
        <v>24</v>
      </c>
      <c r="X250" s="77" t="s">
        <v>24</v>
      </c>
      <c r="Y250" s="82">
        <v>6</v>
      </c>
      <c r="Z250" s="85">
        <v>63.725520000000003</v>
      </c>
      <c r="AA250" s="85">
        <v>148.95973000000001</v>
      </c>
      <c r="AB250" s="62">
        <f t="shared" si="3"/>
        <v>212.68525</v>
      </c>
      <c r="AC250" s="88"/>
      <c r="AD250" s="88"/>
      <c r="AH250" s="82">
        <v>0</v>
      </c>
      <c r="AI250" s="88">
        <v>0</v>
      </c>
      <c r="AJ250" s="88">
        <v>0</v>
      </c>
      <c r="AK250" s="88">
        <v>0</v>
      </c>
      <c r="AL250" s="88">
        <v>12</v>
      </c>
      <c r="AM250" s="82">
        <v>0</v>
      </c>
      <c r="AN250" s="82">
        <v>12</v>
      </c>
      <c r="AO250" s="82"/>
      <c r="AP250" s="82"/>
      <c r="AQ250" s="82"/>
      <c r="AR250" s="82"/>
    </row>
    <row r="251" spans="1:48" s="77" customFormat="1" x14ac:dyDescent="0.2">
      <c r="A251" s="77" t="s">
        <v>1581</v>
      </c>
      <c r="B251" s="77" t="s">
        <v>1557</v>
      </c>
      <c r="C251" s="77">
        <v>7</v>
      </c>
      <c r="D251" s="77">
        <v>1</v>
      </c>
      <c r="E251" s="77" t="s">
        <v>138</v>
      </c>
      <c r="F251" s="78">
        <v>43390</v>
      </c>
      <c r="G251" s="83" t="s">
        <v>4033</v>
      </c>
      <c r="H251" s="79">
        <v>9.7222222222222224E-3</v>
      </c>
      <c r="I251" s="77" t="s">
        <v>398</v>
      </c>
      <c r="J251" s="77" t="s">
        <v>173</v>
      </c>
      <c r="K251" s="77" t="s">
        <v>111</v>
      </c>
      <c r="L251" s="77" t="s">
        <v>23</v>
      </c>
      <c r="M251" s="77">
        <v>0</v>
      </c>
      <c r="O251" s="77">
        <v>1</v>
      </c>
      <c r="P251" s="77" t="s">
        <v>14</v>
      </c>
      <c r="Q251" s="77" t="s">
        <v>2128</v>
      </c>
      <c r="R251" s="77" t="s">
        <v>122</v>
      </c>
      <c r="S251" s="77" t="s">
        <v>1057</v>
      </c>
      <c r="T251" s="80" t="s">
        <v>23</v>
      </c>
      <c r="U251" s="80" t="s">
        <v>3999</v>
      </c>
      <c r="V251" s="80" t="s">
        <v>4005</v>
      </c>
      <c r="W251" s="77" t="s">
        <v>24</v>
      </c>
      <c r="X251" s="77" t="s">
        <v>24</v>
      </c>
      <c r="Y251" s="77">
        <v>8</v>
      </c>
      <c r="Z251" s="81">
        <v>63.725540000000002</v>
      </c>
      <c r="AA251" s="81">
        <v>148.9563</v>
      </c>
      <c r="AB251" s="62">
        <f t="shared" si="3"/>
        <v>212.68183999999999</v>
      </c>
      <c r="AC251" s="87"/>
      <c r="AD251" s="87"/>
      <c r="AE251" s="82"/>
      <c r="AF251" s="82"/>
      <c r="AG251" s="82"/>
      <c r="AH251" s="87">
        <v>0</v>
      </c>
      <c r="AI251" s="87">
        <v>0</v>
      </c>
      <c r="AJ251" s="87">
        <v>0</v>
      </c>
      <c r="AK251" s="87">
        <v>0</v>
      </c>
      <c r="AL251" s="87">
        <v>0</v>
      </c>
      <c r="AM251" s="77">
        <v>0</v>
      </c>
      <c r="AN251" s="77">
        <v>0</v>
      </c>
    </row>
    <row r="252" spans="1:48" s="77" customFormat="1" x14ac:dyDescent="0.2">
      <c r="A252" s="77" t="s">
        <v>1572</v>
      </c>
      <c r="B252" s="77" t="s">
        <v>1568</v>
      </c>
      <c r="C252" s="77">
        <v>8</v>
      </c>
      <c r="D252" s="77">
        <v>1</v>
      </c>
      <c r="E252" s="77" t="s">
        <v>201</v>
      </c>
      <c r="F252" s="78">
        <v>43390</v>
      </c>
      <c r="G252" s="83" t="s">
        <v>4033</v>
      </c>
      <c r="H252" s="79">
        <v>1.5277777777777777E-2</v>
      </c>
      <c r="I252" s="77" t="s">
        <v>398</v>
      </c>
      <c r="J252" s="77" t="s">
        <v>1215</v>
      </c>
      <c r="K252" s="77" t="s">
        <v>111</v>
      </c>
      <c r="L252" s="77" t="s">
        <v>23</v>
      </c>
      <c r="M252" s="77">
        <v>0</v>
      </c>
      <c r="O252" s="77">
        <v>1</v>
      </c>
      <c r="P252" s="77" t="s">
        <v>176</v>
      </c>
      <c r="Q252" s="77" t="s">
        <v>176</v>
      </c>
      <c r="R252" s="77" t="s">
        <v>24</v>
      </c>
      <c r="S252" s="77" t="s">
        <v>709</v>
      </c>
      <c r="T252" s="80" t="s">
        <v>23</v>
      </c>
      <c r="U252" s="80" t="s">
        <v>4004</v>
      </c>
      <c r="V252" s="80" t="s">
        <v>4005</v>
      </c>
      <c r="W252" s="77" t="s">
        <v>24</v>
      </c>
      <c r="X252" s="77" t="s">
        <v>24</v>
      </c>
      <c r="Y252" s="77" t="s">
        <v>24</v>
      </c>
      <c r="Z252" s="81">
        <v>63.722830000000002</v>
      </c>
      <c r="AA252" s="81">
        <v>148.95454000000001</v>
      </c>
      <c r="AB252" s="62">
        <f t="shared" si="3"/>
        <v>212.67737</v>
      </c>
      <c r="AC252" s="87"/>
      <c r="AD252" s="87"/>
      <c r="AH252" s="87">
        <v>0</v>
      </c>
      <c r="AI252" s="87">
        <v>0</v>
      </c>
      <c r="AJ252" s="87">
        <v>0</v>
      </c>
      <c r="AK252" s="87">
        <v>0</v>
      </c>
      <c r="AL252" s="87">
        <v>0</v>
      </c>
      <c r="AM252" s="77">
        <v>0</v>
      </c>
      <c r="AN252" s="77">
        <v>0</v>
      </c>
    </row>
    <row r="253" spans="1:48" s="77" customFormat="1" x14ac:dyDescent="0.2">
      <c r="A253" s="77" t="s">
        <v>1583</v>
      </c>
      <c r="B253" s="77" t="s">
        <v>1584</v>
      </c>
      <c r="C253" s="77">
        <v>1</v>
      </c>
      <c r="D253" s="77">
        <v>1</v>
      </c>
      <c r="E253" s="77" t="s">
        <v>791</v>
      </c>
      <c r="F253" s="78">
        <v>43390</v>
      </c>
      <c r="G253" s="83" t="s">
        <v>4033</v>
      </c>
      <c r="H253" s="79">
        <v>2.1527777777777781E-2</v>
      </c>
      <c r="I253" s="77" t="s">
        <v>398</v>
      </c>
      <c r="J253" s="77" t="s">
        <v>927</v>
      </c>
      <c r="K253" s="77" t="s">
        <v>156</v>
      </c>
      <c r="L253" s="77" t="s">
        <v>23</v>
      </c>
      <c r="M253" s="77">
        <v>2</v>
      </c>
      <c r="O253" s="77">
        <v>1</v>
      </c>
      <c r="P253" s="77" t="s">
        <v>176</v>
      </c>
      <c r="Q253" s="77" t="s">
        <v>1585</v>
      </c>
      <c r="R253" s="77" t="s">
        <v>1586</v>
      </c>
      <c r="S253" s="77" t="s">
        <v>3963</v>
      </c>
      <c r="T253" s="82" t="s">
        <v>23</v>
      </c>
      <c r="U253" s="82" t="s">
        <v>3997</v>
      </c>
      <c r="V253" s="82" t="s">
        <v>4002</v>
      </c>
      <c r="W253" s="77" t="s">
        <v>24</v>
      </c>
      <c r="X253" s="77" t="s">
        <v>24</v>
      </c>
      <c r="Y253" s="77" t="s">
        <v>24</v>
      </c>
      <c r="Z253" s="81">
        <v>63.723950000000002</v>
      </c>
      <c r="AA253" s="81">
        <v>148.96271999999999</v>
      </c>
      <c r="AB253" s="62">
        <f t="shared" si="3"/>
        <v>212.68666999999999</v>
      </c>
      <c r="AC253" s="87"/>
      <c r="AD253" s="87"/>
      <c r="AE253" s="82"/>
      <c r="AF253" s="82"/>
      <c r="AG253" s="82"/>
      <c r="AH253" s="87">
        <v>10</v>
      </c>
      <c r="AI253" s="87">
        <v>0</v>
      </c>
      <c r="AJ253" s="87">
        <v>0</v>
      </c>
      <c r="AK253" s="87">
        <v>10</v>
      </c>
      <c r="AL253" s="87">
        <v>0</v>
      </c>
      <c r="AM253" s="77">
        <v>0</v>
      </c>
      <c r="AN253" s="77">
        <v>10</v>
      </c>
      <c r="AP253" s="77" t="s">
        <v>1587</v>
      </c>
    </row>
    <row r="254" spans="1:48" s="77" customFormat="1" x14ac:dyDescent="0.2">
      <c r="A254" s="77" t="s">
        <v>1550</v>
      </c>
      <c r="B254" s="77" t="s">
        <v>1551</v>
      </c>
      <c r="C254" s="77">
        <v>3</v>
      </c>
      <c r="D254" s="77">
        <v>1</v>
      </c>
      <c r="E254" s="77" t="s">
        <v>138</v>
      </c>
      <c r="F254" s="78">
        <v>43390</v>
      </c>
      <c r="G254" s="83" t="s">
        <v>4033</v>
      </c>
      <c r="H254" s="79">
        <v>1.5972222222222224E-2</v>
      </c>
      <c r="I254" s="77" t="s">
        <v>398</v>
      </c>
      <c r="J254" s="77" t="s">
        <v>176</v>
      </c>
      <c r="K254" s="77" t="s">
        <v>111</v>
      </c>
      <c r="L254" s="77" t="s">
        <v>23</v>
      </c>
      <c r="M254" s="77">
        <v>0</v>
      </c>
      <c r="O254" s="77">
        <v>1</v>
      </c>
      <c r="P254" s="77" t="s">
        <v>176</v>
      </c>
      <c r="Q254" s="77" t="s">
        <v>176</v>
      </c>
      <c r="R254" s="77" t="s">
        <v>24</v>
      </c>
      <c r="S254" s="77" t="s">
        <v>3963</v>
      </c>
      <c r="T254" s="80" t="s">
        <v>23</v>
      </c>
      <c r="U254" s="77" t="s">
        <v>3997</v>
      </c>
      <c r="V254" s="77" t="s">
        <v>4007</v>
      </c>
      <c r="W254" s="77" t="s">
        <v>24</v>
      </c>
      <c r="X254" s="77" t="s">
        <v>24</v>
      </c>
      <c r="Y254" s="77" t="s">
        <v>24</v>
      </c>
      <c r="Z254" s="81">
        <v>63.724910000000001</v>
      </c>
      <c r="AA254" s="81">
        <v>148.96313000000001</v>
      </c>
      <c r="AB254" s="62">
        <f t="shared" si="3"/>
        <v>212.68804</v>
      </c>
      <c r="AC254" s="87"/>
      <c r="AD254" s="87"/>
      <c r="AH254" s="87">
        <v>0</v>
      </c>
      <c r="AI254" s="87">
        <v>0</v>
      </c>
      <c r="AJ254" s="87">
        <v>0</v>
      </c>
      <c r="AK254" s="87">
        <v>0</v>
      </c>
      <c r="AL254" s="87">
        <v>0</v>
      </c>
      <c r="AM254" s="77">
        <v>0</v>
      </c>
      <c r="AN254" s="77">
        <v>0</v>
      </c>
    </row>
    <row r="255" spans="1:48" s="77" customFormat="1" x14ac:dyDescent="0.2">
      <c r="A255" s="82" t="s">
        <v>1592</v>
      </c>
      <c r="B255" s="82" t="s">
        <v>1593</v>
      </c>
      <c r="C255" s="82">
        <v>3</v>
      </c>
      <c r="D255" s="82">
        <v>1</v>
      </c>
      <c r="E255" s="82" t="s">
        <v>395</v>
      </c>
      <c r="F255" s="83">
        <v>43391</v>
      </c>
      <c r="G255" s="83" t="s">
        <v>4033</v>
      </c>
      <c r="H255" s="84">
        <v>3.1944444444444449E-2</v>
      </c>
      <c r="I255" s="82" t="s">
        <v>398</v>
      </c>
      <c r="J255" s="82" t="s">
        <v>2498</v>
      </c>
      <c r="K255" s="82" t="s">
        <v>156</v>
      </c>
      <c r="L255" s="82" t="s">
        <v>23</v>
      </c>
      <c r="M255" s="82">
        <v>1</v>
      </c>
      <c r="N255" s="82"/>
      <c r="O255" s="82">
        <v>1</v>
      </c>
      <c r="P255" s="77" t="s">
        <v>14</v>
      </c>
      <c r="Q255" s="82" t="s">
        <v>2128</v>
      </c>
      <c r="R255" s="82" t="s">
        <v>122</v>
      </c>
      <c r="S255" s="77" t="s">
        <v>1035</v>
      </c>
      <c r="T255" s="82" t="s">
        <v>23</v>
      </c>
      <c r="U255" s="82" t="s">
        <v>3997</v>
      </c>
      <c r="V255" s="82" t="s">
        <v>4006</v>
      </c>
      <c r="W255" s="77" t="s">
        <v>24</v>
      </c>
      <c r="X255" s="77" t="s">
        <v>24</v>
      </c>
      <c r="Y255" s="82">
        <v>10</v>
      </c>
      <c r="Z255" s="85">
        <v>63.721490000000003</v>
      </c>
      <c r="AA255" s="85">
        <v>148.98593</v>
      </c>
      <c r="AB255" s="62">
        <f t="shared" si="3"/>
        <v>212.70742000000001</v>
      </c>
      <c r="AC255" s="88"/>
      <c r="AD255" s="88"/>
      <c r="AE255" s="82"/>
      <c r="AF255" s="82"/>
      <c r="AG255" s="82"/>
      <c r="AH255" s="88">
        <v>0</v>
      </c>
      <c r="AI255" s="88">
        <v>0</v>
      </c>
      <c r="AJ255" s="88">
        <v>0</v>
      </c>
      <c r="AK255" s="88">
        <v>0</v>
      </c>
      <c r="AL255" s="88">
        <v>22</v>
      </c>
      <c r="AM255" s="82">
        <v>0</v>
      </c>
      <c r="AN255" s="82">
        <v>22</v>
      </c>
      <c r="AO255" s="82"/>
      <c r="AP255" s="82"/>
      <c r="AQ255" s="82"/>
      <c r="AR255" s="82"/>
      <c r="AS255" s="82"/>
      <c r="AT255" s="82"/>
      <c r="AU255" s="82"/>
      <c r="AV255" s="82"/>
    </row>
    <row r="256" spans="1:48" s="77" customFormat="1" x14ac:dyDescent="0.2">
      <c r="A256" s="82" t="s">
        <v>1594</v>
      </c>
      <c r="B256" s="82" t="s">
        <v>1595</v>
      </c>
      <c r="C256" s="82">
        <v>4</v>
      </c>
      <c r="D256" s="82">
        <v>1</v>
      </c>
      <c r="E256" s="82" t="s">
        <v>395</v>
      </c>
      <c r="F256" s="83">
        <v>43391</v>
      </c>
      <c r="G256" s="83" t="s">
        <v>4033</v>
      </c>
      <c r="H256" s="84">
        <v>1.3194444444444444E-2</v>
      </c>
      <c r="I256" s="82" t="s">
        <v>398</v>
      </c>
      <c r="J256" s="82" t="s">
        <v>2498</v>
      </c>
      <c r="K256" s="82" t="s">
        <v>156</v>
      </c>
      <c r="L256" s="82" t="s">
        <v>23</v>
      </c>
      <c r="M256" s="82">
        <v>1</v>
      </c>
      <c r="N256" s="82"/>
      <c r="O256" s="82">
        <v>1</v>
      </c>
      <c r="P256" s="77" t="s">
        <v>14</v>
      </c>
      <c r="Q256" s="82" t="s">
        <v>2128</v>
      </c>
      <c r="R256" s="82" t="s">
        <v>122</v>
      </c>
      <c r="S256" s="82" t="s">
        <v>3963</v>
      </c>
      <c r="T256" s="82" t="s">
        <v>23</v>
      </c>
      <c r="U256" s="82" t="s">
        <v>3997</v>
      </c>
      <c r="V256" s="82" t="s">
        <v>4007</v>
      </c>
      <c r="W256" s="77" t="s">
        <v>24</v>
      </c>
      <c r="X256" s="77" t="s">
        <v>24</v>
      </c>
      <c r="Y256" s="82">
        <v>15</v>
      </c>
      <c r="Z256" s="85">
        <v>63.721530000000001</v>
      </c>
      <c r="AA256" s="85">
        <v>148.98598999999999</v>
      </c>
      <c r="AB256" s="62">
        <f t="shared" si="3"/>
        <v>212.70751999999999</v>
      </c>
      <c r="AC256" s="88"/>
      <c r="AD256" s="88"/>
      <c r="AE256" s="82"/>
      <c r="AF256" s="82"/>
      <c r="AG256" s="82"/>
      <c r="AH256" s="88">
        <v>0</v>
      </c>
      <c r="AI256" s="88">
        <v>0</v>
      </c>
      <c r="AJ256" s="88">
        <v>0</v>
      </c>
      <c r="AK256" s="88">
        <v>0</v>
      </c>
      <c r="AL256" s="88">
        <v>7</v>
      </c>
      <c r="AM256" s="82">
        <v>0</v>
      </c>
      <c r="AN256" s="82">
        <v>7</v>
      </c>
      <c r="AO256" s="82"/>
      <c r="AP256" s="82"/>
      <c r="AQ256" s="82"/>
      <c r="AR256" s="82"/>
      <c r="AS256" s="82"/>
      <c r="AT256" s="82"/>
      <c r="AU256" s="82"/>
      <c r="AV256" s="82"/>
    </row>
    <row r="257" spans="1:48" s="77" customFormat="1" x14ac:dyDescent="0.2">
      <c r="A257" s="77" t="s">
        <v>1598</v>
      </c>
      <c r="B257" s="77" t="s">
        <v>1599</v>
      </c>
      <c r="C257" s="77">
        <v>1</v>
      </c>
      <c r="D257" s="77">
        <v>1</v>
      </c>
      <c r="E257" s="77" t="s">
        <v>791</v>
      </c>
      <c r="F257" s="78">
        <v>43391</v>
      </c>
      <c r="G257" s="83" t="s">
        <v>4033</v>
      </c>
      <c r="H257" s="79">
        <v>1.2499999999999999E-2</v>
      </c>
      <c r="I257" s="77" t="s">
        <v>398</v>
      </c>
      <c r="J257" s="77" t="s">
        <v>176</v>
      </c>
      <c r="L257" s="77" t="s">
        <v>23</v>
      </c>
      <c r="M257" s="77">
        <v>0</v>
      </c>
      <c r="O257" s="77">
        <v>1</v>
      </c>
      <c r="P257" s="77" t="s">
        <v>14</v>
      </c>
      <c r="Q257" s="77" t="s">
        <v>2128</v>
      </c>
      <c r="R257" s="77" t="s">
        <v>24</v>
      </c>
      <c r="S257" s="77" t="s">
        <v>1035</v>
      </c>
      <c r="T257" s="82" t="s">
        <v>23</v>
      </c>
      <c r="U257" s="82" t="s">
        <v>3997</v>
      </c>
      <c r="V257" s="82" t="s">
        <v>4006</v>
      </c>
      <c r="W257" s="77" t="s">
        <v>24</v>
      </c>
      <c r="X257" s="77" t="s">
        <v>24</v>
      </c>
      <c r="Y257" s="77" t="s">
        <v>24</v>
      </c>
      <c r="Z257" s="81">
        <v>63.723109999999998</v>
      </c>
      <c r="AA257" s="81">
        <v>148.96836999999999</v>
      </c>
      <c r="AB257" s="62">
        <f t="shared" si="3"/>
        <v>212.69147999999998</v>
      </c>
      <c r="AC257" s="87"/>
      <c r="AD257" s="87"/>
      <c r="AH257" s="87">
        <v>0</v>
      </c>
      <c r="AI257" s="87">
        <v>0</v>
      </c>
      <c r="AJ257" s="87">
        <v>0</v>
      </c>
      <c r="AK257" s="87">
        <v>0</v>
      </c>
      <c r="AL257" s="87">
        <v>0</v>
      </c>
      <c r="AM257" s="77">
        <v>0</v>
      </c>
      <c r="AN257" s="77">
        <v>0</v>
      </c>
      <c r="AP257" s="77" t="s">
        <v>1600</v>
      </c>
    </row>
    <row r="258" spans="1:48" s="82" customFormat="1" x14ac:dyDescent="0.2">
      <c r="A258" s="77" t="s">
        <v>1655</v>
      </c>
      <c r="B258" s="77" t="s">
        <v>1656</v>
      </c>
      <c r="C258" s="77">
        <v>22</v>
      </c>
      <c r="D258" s="77">
        <v>1</v>
      </c>
      <c r="E258" s="77" t="s">
        <v>10</v>
      </c>
      <c r="F258" s="78">
        <v>43392</v>
      </c>
      <c r="G258" s="83" t="s">
        <v>4033</v>
      </c>
      <c r="H258" s="79">
        <v>2.013888888888889E-2</v>
      </c>
      <c r="I258" s="77"/>
      <c r="J258" s="77" t="s">
        <v>64</v>
      </c>
      <c r="K258" s="77" t="s">
        <v>111</v>
      </c>
      <c r="L258" s="77" t="s">
        <v>12</v>
      </c>
      <c r="M258" s="77">
        <v>0</v>
      </c>
      <c r="N258" s="77"/>
      <c r="O258" s="77">
        <v>1</v>
      </c>
      <c r="P258" s="77" t="s">
        <v>176</v>
      </c>
      <c r="Q258" s="77" t="s">
        <v>176</v>
      </c>
      <c r="R258" s="77" t="s">
        <v>122</v>
      </c>
      <c r="S258" s="77" t="s">
        <v>3972</v>
      </c>
      <c r="T258" s="82" t="s">
        <v>12</v>
      </c>
      <c r="U258" s="82" t="s">
        <v>3997</v>
      </c>
      <c r="V258" s="82" t="s">
        <v>4005</v>
      </c>
      <c r="W258" s="77" t="s">
        <v>24</v>
      </c>
      <c r="X258" s="77" t="s">
        <v>24</v>
      </c>
      <c r="Y258" s="77">
        <v>1</v>
      </c>
      <c r="Z258" s="81">
        <v>63.736020000000003</v>
      </c>
      <c r="AA258" s="81">
        <v>148.89214000000001</v>
      </c>
      <c r="AB258" s="62">
        <f t="shared" ref="AB258:AB321" si="4">Z258+AA258</f>
        <v>212.62816000000001</v>
      </c>
      <c r="AC258" s="87"/>
      <c r="AD258" s="87"/>
      <c r="AE258" s="77"/>
      <c r="AF258" s="77"/>
      <c r="AG258" s="77"/>
      <c r="AH258" s="87">
        <v>0</v>
      </c>
      <c r="AI258" s="87">
        <v>0</v>
      </c>
      <c r="AJ258" s="87">
        <v>0</v>
      </c>
      <c r="AK258" s="87">
        <v>0</v>
      </c>
      <c r="AL258" s="87">
        <v>0</v>
      </c>
      <c r="AM258" s="77">
        <v>0</v>
      </c>
      <c r="AN258" s="77">
        <v>0</v>
      </c>
      <c r="AO258" s="77"/>
      <c r="AP258" s="77"/>
      <c r="AQ258" s="77"/>
      <c r="AR258" s="77"/>
      <c r="AS258" s="59"/>
      <c r="AT258" s="59"/>
      <c r="AU258" s="59"/>
      <c r="AV258" s="59"/>
    </row>
    <row r="259" spans="1:48" s="77" customFormat="1" x14ac:dyDescent="0.2">
      <c r="A259" s="77" t="s">
        <v>1648</v>
      </c>
      <c r="B259" s="77" t="s">
        <v>1649</v>
      </c>
      <c r="C259" s="77">
        <v>19</v>
      </c>
      <c r="D259" s="77">
        <v>1</v>
      </c>
      <c r="E259" s="77" t="s">
        <v>10</v>
      </c>
      <c r="F259" s="78">
        <v>43392</v>
      </c>
      <c r="G259" s="83" t="s">
        <v>4033</v>
      </c>
      <c r="H259" s="79">
        <v>1.1111111111111112E-2</v>
      </c>
      <c r="J259" s="77" t="s">
        <v>363</v>
      </c>
      <c r="K259" s="77" t="s">
        <v>111</v>
      </c>
      <c r="L259" s="77" t="s">
        <v>23</v>
      </c>
      <c r="M259" s="77">
        <v>0</v>
      </c>
      <c r="O259" s="77">
        <v>1</v>
      </c>
      <c r="P259" s="77" t="s">
        <v>176</v>
      </c>
      <c r="Q259" s="77" t="s">
        <v>176</v>
      </c>
      <c r="R259" s="77" t="s">
        <v>24</v>
      </c>
      <c r="S259" s="77" t="s">
        <v>4010</v>
      </c>
      <c r="T259" s="82" t="s">
        <v>23</v>
      </c>
      <c r="U259" s="82" t="s">
        <v>3997</v>
      </c>
      <c r="V259" s="82" t="s">
        <v>4005</v>
      </c>
      <c r="W259" s="77" t="s">
        <v>24</v>
      </c>
      <c r="X259" s="77" t="s">
        <v>24</v>
      </c>
      <c r="Y259" s="77" t="s">
        <v>24</v>
      </c>
      <c r="Z259" s="81">
        <v>63.735639999999997</v>
      </c>
      <c r="AA259" s="81">
        <v>148.89315999999999</v>
      </c>
      <c r="AB259" s="62">
        <f t="shared" si="4"/>
        <v>212.62879999999998</v>
      </c>
      <c r="AC259" s="87"/>
      <c r="AD259" s="87"/>
      <c r="AH259" s="87">
        <v>0</v>
      </c>
      <c r="AI259" s="87">
        <v>0</v>
      </c>
      <c r="AJ259" s="87">
        <v>0</v>
      </c>
      <c r="AK259" s="87">
        <v>0</v>
      </c>
      <c r="AL259" s="87">
        <v>0</v>
      </c>
      <c r="AM259" s="77">
        <v>0</v>
      </c>
      <c r="AN259" s="77">
        <v>0</v>
      </c>
      <c r="AS259" s="59"/>
      <c r="AT259" s="59"/>
      <c r="AU259" s="59"/>
      <c r="AV259" s="59"/>
    </row>
    <row r="260" spans="1:48" s="77" customFormat="1" x14ac:dyDescent="0.2">
      <c r="A260" s="77" t="s">
        <v>1605</v>
      </c>
      <c r="B260" s="77" t="s">
        <v>1606</v>
      </c>
      <c r="C260" s="77">
        <v>2</v>
      </c>
      <c r="D260" s="77">
        <v>1</v>
      </c>
      <c r="E260" s="77" t="s">
        <v>10</v>
      </c>
      <c r="F260" s="78">
        <v>43392</v>
      </c>
      <c r="G260" s="83" t="s">
        <v>4033</v>
      </c>
      <c r="H260" s="79">
        <v>1.1805555555555555E-2</v>
      </c>
      <c r="I260" s="77" t="s">
        <v>398</v>
      </c>
      <c r="J260" s="77" t="s">
        <v>64</v>
      </c>
      <c r="K260" s="77" t="s">
        <v>111</v>
      </c>
      <c r="L260" s="77" t="s">
        <v>12</v>
      </c>
      <c r="M260" s="77">
        <v>0</v>
      </c>
      <c r="O260" s="77">
        <v>1</v>
      </c>
      <c r="P260" s="77" t="s">
        <v>176</v>
      </c>
      <c r="Q260" s="77" t="s">
        <v>176</v>
      </c>
      <c r="R260" s="77" t="s">
        <v>1603</v>
      </c>
      <c r="S260" s="77" t="s">
        <v>1318</v>
      </c>
      <c r="T260" s="82" t="s">
        <v>12</v>
      </c>
      <c r="U260" s="82" t="s">
        <v>3997</v>
      </c>
      <c r="V260" s="82" t="s">
        <v>4008</v>
      </c>
      <c r="W260" s="77" t="s">
        <v>24</v>
      </c>
      <c r="X260" s="77" t="s">
        <v>24</v>
      </c>
      <c r="Y260" s="77" t="s">
        <v>24</v>
      </c>
      <c r="Z260" s="81" t="s">
        <v>246</v>
      </c>
      <c r="AA260" s="81"/>
      <c r="AB260" s="62" t="e">
        <f t="shared" si="4"/>
        <v>#VALUE!</v>
      </c>
      <c r="AC260" s="87"/>
      <c r="AD260" s="87"/>
      <c r="AH260" s="87">
        <v>0</v>
      </c>
      <c r="AI260" s="87">
        <v>0</v>
      </c>
      <c r="AJ260" s="87">
        <v>0</v>
      </c>
      <c r="AK260" s="87">
        <v>0</v>
      </c>
      <c r="AL260" s="87">
        <v>0</v>
      </c>
      <c r="AM260" s="77">
        <v>0</v>
      </c>
      <c r="AN260" s="77">
        <v>0</v>
      </c>
    </row>
    <row r="261" spans="1:48" s="77" customFormat="1" x14ac:dyDescent="0.2">
      <c r="A261" s="77" t="s">
        <v>1679</v>
      </c>
      <c r="B261" s="77" t="s">
        <v>1681</v>
      </c>
      <c r="C261" s="77">
        <v>5</v>
      </c>
      <c r="D261" s="77">
        <v>1</v>
      </c>
      <c r="E261" s="77" t="s">
        <v>324</v>
      </c>
      <c r="F261" s="78">
        <v>43395</v>
      </c>
      <c r="G261" s="83" t="s">
        <v>4033</v>
      </c>
      <c r="H261" s="79">
        <v>1.3888888888888888E-2</v>
      </c>
      <c r="J261" s="77" t="s">
        <v>325</v>
      </c>
      <c r="K261" s="77" t="s">
        <v>111</v>
      </c>
      <c r="L261" s="77" t="s">
        <v>23</v>
      </c>
      <c r="M261" s="77">
        <v>0</v>
      </c>
      <c r="O261" s="77">
        <v>1</v>
      </c>
      <c r="P261" s="77" t="s">
        <v>176</v>
      </c>
      <c r="Q261" s="77" t="s">
        <v>176</v>
      </c>
      <c r="R261" s="77" t="s">
        <v>24</v>
      </c>
      <c r="S261" s="77" t="s">
        <v>1035</v>
      </c>
      <c r="T261" s="82" t="s">
        <v>23</v>
      </c>
      <c r="U261" s="82" t="s">
        <v>3997</v>
      </c>
      <c r="V261" s="82" t="s">
        <v>4006</v>
      </c>
      <c r="W261" s="77" t="s">
        <v>24</v>
      </c>
      <c r="X261" s="77" t="s">
        <v>24</v>
      </c>
      <c r="Y261" s="77" t="s">
        <v>24</v>
      </c>
      <c r="Z261" s="81">
        <v>63.72383</v>
      </c>
      <c r="AA261" s="81">
        <v>148.88605999999999</v>
      </c>
      <c r="AB261" s="62">
        <f t="shared" si="4"/>
        <v>212.60988999999998</v>
      </c>
      <c r="AC261" s="87"/>
      <c r="AD261" s="87"/>
      <c r="AH261" s="87">
        <v>0</v>
      </c>
      <c r="AI261" s="87">
        <v>0</v>
      </c>
      <c r="AJ261" s="87">
        <v>0</v>
      </c>
      <c r="AK261" s="87">
        <v>0</v>
      </c>
      <c r="AL261" s="87">
        <v>0</v>
      </c>
      <c r="AM261" s="87">
        <v>0</v>
      </c>
      <c r="AN261" s="77">
        <v>0</v>
      </c>
      <c r="AS261" s="59"/>
      <c r="AT261" s="59"/>
      <c r="AU261" s="59"/>
      <c r="AV261" s="59"/>
    </row>
    <row r="262" spans="1:48" s="77" customFormat="1" x14ac:dyDescent="0.2">
      <c r="A262" s="77" t="s">
        <v>1685</v>
      </c>
      <c r="B262" s="77" t="s">
        <v>1686</v>
      </c>
      <c r="C262" s="77">
        <v>7</v>
      </c>
      <c r="D262" s="77">
        <v>1</v>
      </c>
      <c r="E262" s="77" t="s">
        <v>324</v>
      </c>
      <c r="F262" s="78">
        <v>43395</v>
      </c>
      <c r="G262" s="83" t="s">
        <v>4033</v>
      </c>
      <c r="H262" s="79">
        <v>1.1111111111111112E-2</v>
      </c>
      <c r="J262" s="77" t="s">
        <v>325</v>
      </c>
      <c r="K262" s="77" t="s">
        <v>111</v>
      </c>
      <c r="L262" s="77" t="s">
        <v>23</v>
      </c>
      <c r="M262" s="77">
        <v>0</v>
      </c>
      <c r="O262" s="77">
        <v>1</v>
      </c>
      <c r="P262" s="77" t="s">
        <v>176</v>
      </c>
      <c r="Q262" s="77" t="s">
        <v>176</v>
      </c>
      <c r="R262" s="77" t="s">
        <v>24</v>
      </c>
      <c r="S262" s="77" t="s">
        <v>1687</v>
      </c>
      <c r="T262" s="82" t="s">
        <v>23</v>
      </c>
      <c r="U262" s="82" t="s">
        <v>4004</v>
      </c>
      <c r="V262" s="82" t="s">
        <v>4014</v>
      </c>
      <c r="W262" s="77" t="s">
        <v>24</v>
      </c>
      <c r="X262" s="77" t="s">
        <v>24</v>
      </c>
      <c r="Y262" s="77" t="s">
        <v>24</v>
      </c>
      <c r="Z262" s="81">
        <v>63.723610000000001</v>
      </c>
      <c r="AA262" s="81">
        <v>148.88697999999999</v>
      </c>
      <c r="AB262" s="62">
        <f t="shared" si="4"/>
        <v>212.61059</v>
      </c>
      <c r="AC262" s="87"/>
      <c r="AD262" s="87"/>
      <c r="AE262" s="82"/>
      <c r="AF262" s="82"/>
      <c r="AG262" s="82"/>
      <c r="AH262" s="87">
        <v>0</v>
      </c>
      <c r="AI262" s="87">
        <v>0</v>
      </c>
      <c r="AJ262" s="87">
        <v>0</v>
      </c>
      <c r="AK262" s="87">
        <v>0</v>
      </c>
      <c r="AL262" s="87">
        <v>0</v>
      </c>
      <c r="AM262" s="87">
        <v>0</v>
      </c>
      <c r="AN262" s="77">
        <v>0</v>
      </c>
      <c r="AP262" s="77" t="s">
        <v>1688</v>
      </c>
      <c r="AS262" s="59"/>
      <c r="AT262" s="59"/>
      <c r="AU262" s="59"/>
      <c r="AV262" s="59"/>
    </row>
    <row r="263" spans="1:48" s="77" customFormat="1" x14ac:dyDescent="0.2">
      <c r="A263" s="77" t="s">
        <v>1721</v>
      </c>
      <c r="B263" s="77" t="s">
        <v>1722</v>
      </c>
      <c r="C263" s="77">
        <v>7</v>
      </c>
      <c r="D263" s="77">
        <v>1</v>
      </c>
      <c r="E263" s="77" t="s">
        <v>395</v>
      </c>
      <c r="F263" s="78">
        <v>43396</v>
      </c>
      <c r="G263" s="83" t="s">
        <v>4033</v>
      </c>
      <c r="H263" s="79">
        <v>3.6805555555555557E-2</v>
      </c>
      <c r="J263" s="77" t="s">
        <v>241</v>
      </c>
      <c r="K263" s="77" t="s">
        <v>111</v>
      </c>
      <c r="L263" s="77" t="s">
        <v>23</v>
      </c>
      <c r="M263" s="77">
        <v>0</v>
      </c>
      <c r="O263" s="77">
        <v>1</v>
      </c>
      <c r="P263" s="77" t="s">
        <v>176</v>
      </c>
      <c r="Q263" s="77" t="s">
        <v>176</v>
      </c>
      <c r="R263" s="77" t="s">
        <v>948</v>
      </c>
      <c r="S263" s="77" t="s">
        <v>1723</v>
      </c>
      <c r="T263" s="82" t="s">
        <v>23</v>
      </c>
      <c r="U263" s="82" t="s">
        <v>3999</v>
      </c>
      <c r="V263" s="82" t="s">
        <v>4006</v>
      </c>
      <c r="W263" s="77" t="s">
        <v>24</v>
      </c>
      <c r="X263" s="77" t="s">
        <v>24</v>
      </c>
      <c r="Y263" s="77">
        <v>10</v>
      </c>
      <c r="Z263" s="81">
        <v>63.720440000000004</v>
      </c>
      <c r="AA263" s="81">
        <v>148.98979</v>
      </c>
      <c r="AB263" s="62">
        <f t="shared" si="4"/>
        <v>212.71023</v>
      </c>
      <c r="AC263" s="87"/>
      <c r="AD263" s="87"/>
      <c r="AH263" s="87">
        <v>0</v>
      </c>
      <c r="AI263" s="87">
        <v>0</v>
      </c>
      <c r="AJ263" s="87">
        <v>0</v>
      </c>
      <c r="AK263" s="87">
        <v>0</v>
      </c>
      <c r="AL263" s="87">
        <v>0</v>
      </c>
      <c r="AM263" s="87">
        <v>0</v>
      </c>
      <c r="AN263" s="77">
        <v>0</v>
      </c>
      <c r="AP263" s="77" t="s">
        <v>1724</v>
      </c>
      <c r="AS263" s="82"/>
      <c r="AT263" s="82"/>
      <c r="AU263" s="82"/>
      <c r="AV263" s="82"/>
    </row>
    <row r="264" spans="1:48" s="77" customFormat="1" x14ac:dyDescent="0.2">
      <c r="A264" s="77" t="s">
        <v>1762</v>
      </c>
      <c r="B264" s="77" t="s">
        <v>1763</v>
      </c>
      <c r="C264" s="77">
        <v>2</v>
      </c>
      <c r="D264" s="77">
        <v>1</v>
      </c>
      <c r="E264" s="77" t="s">
        <v>10</v>
      </c>
      <c r="F264" s="78">
        <v>43397</v>
      </c>
      <c r="G264" s="83" t="s">
        <v>4033</v>
      </c>
      <c r="H264" s="79">
        <v>1.1805555555555555E-2</v>
      </c>
      <c r="J264" s="77" t="s">
        <v>363</v>
      </c>
      <c r="K264" s="77" t="s">
        <v>111</v>
      </c>
      <c r="L264" s="77" t="s">
        <v>23</v>
      </c>
      <c r="M264" s="77">
        <v>0</v>
      </c>
      <c r="O264" s="77">
        <v>1</v>
      </c>
      <c r="P264" s="77" t="s">
        <v>176</v>
      </c>
      <c r="Q264" s="77" t="s">
        <v>176</v>
      </c>
      <c r="R264" s="77" t="s">
        <v>948</v>
      </c>
      <c r="S264" s="77" t="s">
        <v>1035</v>
      </c>
      <c r="T264" s="82" t="s">
        <v>23</v>
      </c>
      <c r="U264" s="82" t="s">
        <v>3997</v>
      </c>
      <c r="V264" s="82" t="s">
        <v>4006</v>
      </c>
      <c r="W264" s="77" t="s">
        <v>24</v>
      </c>
      <c r="X264" s="77" t="s">
        <v>24</v>
      </c>
      <c r="Y264" s="77">
        <v>5</v>
      </c>
      <c r="Z264" s="81">
        <v>63.736159999999998</v>
      </c>
      <c r="AA264" s="81">
        <v>148.89746</v>
      </c>
      <c r="AB264" s="62">
        <f t="shared" si="4"/>
        <v>212.63362000000001</v>
      </c>
      <c r="AC264" s="87"/>
      <c r="AD264" s="87"/>
      <c r="AH264" s="87">
        <v>0</v>
      </c>
      <c r="AI264" s="87">
        <v>0</v>
      </c>
      <c r="AJ264" s="87">
        <v>0</v>
      </c>
      <c r="AK264" s="87">
        <v>0</v>
      </c>
      <c r="AL264" s="87">
        <v>0</v>
      </c>
      <c r="AM264" s="87">
        <v>0</v>
      </c>
      <c r="AN264" s="77">
        <v>0</v>
      </c>
      <c r="AS264" s="72"/>
      <c r="AT264" s="72"/>
      <c r="AU264" s="72"/>
      <c r="AV264" s="72"/>
    </row>
    <row r="265" spans="1:48" s="77" customFormat="1" x14ac:dyDescent="0.2">
      <c r="A265" s="77" t="s">
        <v>1809</v>
      </c>
      <c r="B265" s="77" t="s">
        <v>1810</v>
      </c>
      <c r="C265" s="77">
        <v>8</v>
      </c>
      <c r="D265" s="77">
        <v>2</v>
      </c>
      <c r="E265" s="77" t="s">
        <v>140</v>
      </c>
      <c r="F265" s="78">
        <v>43397</v>
      </c>
      <c r="G265" s="83" t="s">
        <v>4033</v>
      </c>
      <c r="H265" s="79">
        <v>9.7916666666666666E-2</v>
      </c>
      <c r="J265" s="77" t="s">
        <v>670</v>
      </c>
      <c r="K265" s="77" t="s">
        <v>187</v>
      </c>
      <c r="L265" s="77" t="s">
        <v>23</v>
      </c>
      <c r="M265" s="77">
        <v>2</v>
      </c>
      <c r="O265" s="77">
        <v>2</v>
      </c>
      <c r="P265" s="77" t="s">
        <v>14</v>
      </c>
      <c r="Q265" s="77" t="s">
        <v>2128</v>
      </c>
      <c r="R265" s="77" t="s">
        <v>122</v>
      </c>
      <c r="S265" s="77" t="s">
        <v>2099</v>
      </c>
      <c r="T265" s="80" t="s">
        <v>23</v>
      </c>
      <c r="U265" s="80" t="s">
        <v>3997</v>
      </c>
      <c r="V265" s="80" t="s">
        <v>4002</v>
      </c>
      <c r="W265" s="77" t="s">
        <v>24</v>
      </c>
      <c r="X265" s="77" t="s">
        <v>24</v>
      </c>
      <c r="Y265" s="77">
        <v>5</v>
      </c>
      <c r="Z265" s="81">
        <v>63.723419999999997</v>
      </c>
      <c r="AA265" s="81">
        <v>148.95421999999999</v>
      </c>
      <c r="AB265" s="62">
        <f t="shared" si="4"/>
        <v>212.67764</v>
      </c>
      <c r="AC265" s="87"/>
      <c r="AD265" s="87"/>
      <c r="AH265" s="87">
        <v>0</v>
      </c>
      <c r="AI265" s="87">
        <v>0</v>
      </c>
      <c r="AJ265" s="87">
        <v>0</v>
      </c>
      <c r="AK265" s="87">
        <v>0</v>
      </c>
      <c r="AL265" s="87">
        <v>0</v>
      </c>
      <c r="AM265" s="77">
        <v>0</v>
      </c>
      <c r="AN265" s="77">
        <v>0</v>
      </c>
      <c r="AO265" s="77" t="s">
        <v>375</v>
      </c>
      <c r="AP265" s="77" t="s">
        <v>2147</v>
      </c>
      <c r="AQ265" s="77">
        <v>3</v>
      </c>
    </row>
    <row r="266" spans="1:48" s="82" customFormat="1" x14ac:dyDescent="0.2">
      <c r="A266" s="77" t="s">
        <v>1839</v>
      </c>
      <c r="B266" s="77" t="s">
        <v>1840</v>
      </c>
      <c r="C266" s="77">
        <v>20</v>
      </c>
      <c r="D266" s="77">
        <v>2</v>
      </c>
      <c r="E266" s="77" t="s">
        <v>140</v>
      </c>
      <c r="F266" s="78">
        <v>43397</v>
      </c>
      <c r="G266" s="83" t="s">
        <v>4033</v>
      </c>
      <c r="H266" s="79">
        <v>5.6944444444444443E-2</v>
      </c>
      <c r="I266" s="77"/>
      <c r="J266" s="77" t="s">
        <v>670</v>
      </c>
      <c r="K266" s="77" t="s">
        <v>242</v>
      </c>
      <c r="L266" s="77" t="s">
        <v>1841</v>
      </c>
      <c r="M266" s="77">
        <v>0</v>
      </c>
      <c r="N266" s="77"/>
      <c r="O266" s="77">
        <v>1</v>
      </c>
      <c r="P266" s="77" t="s">
        <v>461</v>
      </c>
      <c r="Q266" s="77" t="s">
        <v>2118</v>
      </c>
      <c r="R266" s="77" t="s">
        <v>192</v>
      </c>
      <c r="S266" s="77" t="s">
        <v>2097</v>
      </c>
      <c r="T266" s="80" t="s">
        <v>4017</v>
      </c>
      <c r="U266" s="80" t="s">
        <v>4004</v>
      </c>
      <c r="V266" s="80" t="s">
        <v>4005</v>
      </c>
      <c r="W266" s="77" t="s">
        <v>24</v>
      </c>
      <c r="X266" s="77" t="s">
        <v>24</v>
      </c>
      <c r="Y266" s="77">
        <v>8</v>
      </c>
      <c r="Z266" s="81">
        <v>63.724290000000003</v>
      </c>
      <c r="AA266" s="81">
        <v>148.95132000000001</v>
      </c>
      <c r="AB266" s="62">
        <f t="shared" si="4"/>
        <v>212.67561000000001</v>
      </c>
      <c r="AC266" s="87"/>
      <c r="AD266" s="87"/>
      <c r="AE266" s="77"/>
      <c r="AF266" s="77"/>
      <c r="AG266" s="77"/>
      <c r="AH266" s="87">
        <v>0</v>
      </c>
      <c r="AI266" s="87">
        <v>0</v>
      </c>
      <c r="AJ266" s="87">
        <v>0</v>
      </c>
      <c r="AK266" s="87">
        <v>0</v>
      </c>
      <c r="AL266" s="87">
        <v>0</v>
      </c>
      <c r="AM266" s="87">
        <v>0</v>
      </c>
      <c r="AN266" s="77">
        <v>0</v>
      </c>
      <c r="AO266" s="77"/>
      <c r="AP266" s="77" t="s">
        <v>1838</v>
      </c>
      <c r="AQ266" s="77"/>
      <c r="AR266" s="77"/>
      <c r="AS266" s="77"/>
      <c r="AT266" s="77"/>
      <c r="AU266" s="77"/>
      <c r="AV266" s="77"/>
    </row>
    <row r="267" spans="1:48" s="77" customFormat="1" x14ac:dyDescent="0.2">
      <c r="A267" s="77" t="s">
        <v>1839</v>
      </c>
      <c r="B267" s="77" t="s">
        <v>1840</v>
      </c>
      <c r="C267" s="77">
        <v>20</v>
      </c>
      <c r="D267" s="77">
        <v>1</v>
      </c>
      <c r="E267" s="77" t="s">
        <v>140</v>
      </c>
      <c r="F267" s="78">
        <v>43397</v>
      </c>
      <c r="G267" s="83" t="s">
        <v>4033</v>
      </c>
      <c r="H267" s="79">
        <v>5.6944444444444443E-2</v>
      </c>
      <c r="J267" s="77" t="s">
        <v>670</v>
      </c>
      <c r="K267" s="77" t="s">
        <v>242</v>
      </c>
      <c r="L267" s="77" t="s">
        <v>1841</v>
      </c>
      <c r="M267" s="77">
        <v>0</v>
      </c>
      <c r="O267" s="77">
        <v>1</v>
      </c>
      <c r="P267" s="77" t="s">
        <v>461</v>
      </c>
      <c r="Q267" s="77" t="s">
        <v>2118</v>
      </c>
      <c r="R267" s="77" t="s">
        <v>192</v>
      </c>
      <c r="S267" s="77" t="s">
        <v>1035</v>
      </c>
      <c r="T267" s="80" t="s">
        <v>23</v>
      </c>
      <c r="U267" s="80" t="s">
        <v>3997</v>
      </c>
      <c r="V267" s="80" t="s">
        <v>4006</v>
      </c>
      <c r="W267" s="77" t="s">
        <v>24</v>
      </c>
      <c r="X267" s="77" t="s">
        <v>24</v>
      </c>
      <c r="Y267" s="77">
        <v>8</v>
      </c>
      <c r="Z267" s="81">
        <v>63.724319999999999</v>
      </c>
      <c r="AA267" s="81">
        <v>148.95133999999999</v>
      </c>
      <c r="AB267" s="62">
        <f t="shared" si="4"/>
        <v>212.67565999999999</v>
      </c>
      <c r="AC267" s="87"/>
      <c r="AD267" s="87"/>
      <c r="AH267" s="87">
        <v>0</v>
      </c>
      <c r="AI267" s="87">
        <v>0</v>
      </c>
      <c r="AJ267" s="87">
        <v>0</v>
      </c>
      <c r="AK267" s="87">
        <v>0</v>
      </c>
      <c r="AL267" s="87">
        <v>0</v>
      </c>
      <c r="AM267" s="87">
        <v>0</v>
      </c>
      <c r="AN267" s="77">
        <v>0</v>
      </c>
      <c r="AP267" s="77" t="s">
        <v>1838</v>
      </c>
      <c r="AS267" s="82"/>
      <c r="AT267" s="82"/>
      <c r="AU267" s="82"/>
      <c r="AV267" s="82"/>
    </row>
    <row r="268" spans="1:48" s="77" customFormat="1" x14ac:dyDescent="0.2">
      <c r="A268" s="77" t="s">
        <v>1803</v>
      </c>
      <c r="B268" s="77" t="s">
        <v>1804</v>
      </c>
      <c r="C268" s="77">
        <v>6</v>
      </c>
      <c r="D268" s="77">
        <v>1</v>
      </c>
      <c r="E268" s="77" t="s">
        <v>140</v>
      </c>
      <c r="F268" s="78">
        <v>43397</v>
      </c>
      <c r="G268" s="83" t="s">
        <v>4033</v>
      </c>
      <c r="H268" s="79">
        <v>1.9444444444444445E-2</v>
      </c>
      <c r="J268" s="77" t="s">
        <v>670</v>
      </c>
      <c r="K268" s="77" t="s">
        <v>111</v>
      </c>
      <c r="L268" s="77" t="s">
        <v>23</v>
      </c>
      <c r="M268" s="77">
        <v>0</v>
      </c>
      <c r="O268" s="77">
        <v>1</v>
      </c>
      <c r="P268" s="77" t="s">
        <v>14</v>
      </c>
      <c r="Q268" s="77" t="s">
        <v>2128</v>
      </c>
      <c r="R268" s="77" t="s">
        <v>122</v>
      </c>
      <c r="S268" s="77" t="s">
        <v>1805</v>
      </c>
      <c r="T268" s="80" t="s">
        <v>23</v>
      </c>
      <c r="U268" s="80" t="s">
        <v>3999</v>
      </c>
      <c r="V268" s="80" t="s">
        <v>4006</v>
      </c>
      <c r="W268" s="77" t="s">
        <v>24</v>
      </c>
      <c r="X268" s="77" t="s">
        <v>24</v>
      </c>
      <c r="Y268" s="77">
        <v>8</v>
      </c>
      <c r="Z268" s="81">
        <v>63.723059999999997</v>
      </c>
      <c r="AA268" s="81">
        <v>148.95411999999999</v>
      </c>
      <c r="AB268" s="62">
        <f t="shared" si="4"/>
        <v>212.67717999999999</v>
      </c>
      <c r="AC268" s="87"/>
      <c r="AD268" s="87"/>
      <c r="AH268" s="87">
        <v>0</v>
      </c>
      <c r="AI268" s="87">
        <v>0</v>
      </c>
      <c r="AJ268" s="87">
        <v>0</v>
      </c>
      <c r="AK268" s="87">
        <v>0</v>
      </c>
      <c r="AL268" s="87">
        <v>0</v>
      </c>
      <c r="AM268" s="87">
        <v>0</v>
      </c>
      <c r="AN268" s="77">
        <v>0</v>
      </c>
      <c r="AP268" s="77" t="s">
        <v>1806</v>
      </c>
    </row>
    <row r="269" spans="1:48" s="77" customFormat="1" ht="15" customHeight="1" x14ac:dyDescent="0.2">
      <c r="A269" s="77" t="s">
        <v>1852</v>
      </c>
      <c r="B269" s="77" t="s">
        <v>1853</v>
      </c>
      <c r="C269" s="77">
        <v>26</v>
      </c>
      <c r="D269" s="77">
        <v>1</v>
      </c>
      <c r="E269" s="77" t="s">
        <v>140</v>
      </c>
      <c r="F269" s="78">
        <v>43397</v>
      </c>
      <c r="G269" s="83" t="s">
        <v>4033</v>
      </c>
      <c r="H269" s="79">
        <v>1.3888888888888888E-2</v>
      </c>
      <c r="J269" s="77" t="s">
        <v>670</v>
      </c>
      <c r="K269" s="77" t="s">
        <v>111</v>
      </c>
      <c r="L269" s="77" t="s">
        <v>23</v>
      </c>
      <c r="M269" s="77">
        <v>0</v>
      </c>
      <c r="O269" s="77">
        <v>1</v>
      </c>
      <c r="P269" s="77" t="s">
        <v>176</v>
      </c>
      <c r="Q269" s="77" t="s">
        <v>176</v>
      </c>
      <c r="R269" s="77" t="s">
        <v>1854</v>
      </c>
      <c r="S269" s="77" t="s">
        <v>263</v>
      </c>
      <c r="T269" s="80" t="s">
        <v>23</v>
      </c>
      <c r="U269" s="80" t="s">
        <v>4004</v>
      </c>
      <c r="V269" s="80" t="s">
        <v>4005</v>
      </c>
      <c r="W269" s="77" t="s">
        <v>24</v>
      </c>
      <c r="X269" s="77" t="s">
        <v>24</v>
      </c>
      <c r="Y269" s="77">
        <v>10</v>
      </c>
      <c r="Z269" s="81">
        <v>63.722700000000003</v>
      </c>
      <c r="AA269" s="81">
        <v>148.95214999999999</v>
      </c>
      <c r="AB269" s="62">
        <f t="shared" si="4"/>
        <v>212.67484999999999</v>
      </c>
      <c r="AC269" s="87"/>
      <c r="AD269" s="87"/>
      <c r="AH269" s="87">
        <v>0</v>
      </c>
      <c r="AI269" s="87">
        <v>0</v>
      </c>
      <c r="AJ269" s="87">
        <v>0</v>
      </c>
      <c r="AK269" s="87">
        <v>0</v>
      </c>
      <c r="AL269" s="87">
        <v>0</v>
      </c>
      <c r="AM269" s="87">
        <v>0</v>
      </c>
      <c r="AN269" s="77">
        <v>0</v>
      </c>
    </row>
    <row r="270" spans="1:48" s="77" customFormat="1" x14ac:dyDescent="0.2">
      <c r="A270" s="77" t="s">
        <v>1849</v>
      </c>
      <c r="B270" s="77" t="s">
        <v>1848</v>
      </c>
      <c r="C270" s="77">
        <v>24</v>
      </c>
      <c r="D270" s="77">
        <v>1</v>
      </c>
      <c r="E270" s="77" t="s">
        <v>140</v>
      </c>
      <c r="F270" s="78">
        <v>43397</v>
      </c>
      <c r="G270" s="83" t="s">
        <v>4033</v>
      </c>
      <c r="H270" s="79">
        <v>1.5972222222222224E-2</v>
      </c>
      <c r="J270" s="77" t="s">
        <v>670</v>
      </c>
      <c r="K270" s="77" t="s">
        <v>111</v>
      </c>
      <c r="L270" s="77" t="s">
        <v>23</v>
      </c>
      <c r="M270" s="77">
        <v>0</v>
      </c>
      <c r="O270" s="77">
        <v>1</v>
      </c>
      <c r="P270" s="77" t="s">
        <v>176</v>
      </c>
      <c r="Q270" s="77" t="s">
        <v>176</v>
      </c>
      <c r="R270" s="77" t="s">
        <v>24</v>
      </c>
      <c r="S270" s="77" t="s">
        <v>709</v>
      </c>
      <c r="T270" s="80" t="s">
        <v>23</v>
      </c>
      <c r="U270" s="80" t="s">
        <v>4004</v>
      </c>
      <c r="V270" s="80" t="s">
        <v>4005</v>
      </c>
      <c r="W270" s="77" t="s">
        <v>24</v>
      </c>
      <c r="X270" s="77" t="s">
        <v>24</v>
      </c>
      <c r="Y270" s="77" t="s">
        <v>24</v>
      </c>
      <c r="Z270" s="81">
        <v>63.722619999999999</v>
      </c>
      <c r="AA270" s="81">
        <v>148.95219</v>
      </c>
      <c r="AB270" s="62">
        <f t="shared" si="4"/>
        <v>212.67481000000001</v>
      </c>
      <c r="AC270" s="87"/>
      <c r="AD270" s="87"/>
      <c r="AH270" s="87">
        <v>0</v>
      </c>
      <c r="AI270" s="87">
        <v>0</v>
      </c>
      <c r="AJ270" s="87">
        <v>0</v>
      </c>
      <c r="AK270" s="87">
        <v>0</v>
      </c>
      <c r="AL270" s="87">
        <v>0</v>
      </c>
      <c r="AM270" s="87">
        <v>0</v>
      </c>
      <c r="AN270" s="77">
        <v>0</v>
      </c>
      <c r="AP270" s="77" t="s">
        <v>1021</v>
      </c>
    </row>
    <row r="271" spans="1:48" s="77" customFormat="1" x14ac:dyDescent="0.2">
      <c r="A271" s="82" t="s">
        <v>1809</v>
      </c>
      <c r="B271" s="82" t="s">
        <v>1810</v>
      </c>
      <c r="C271" s="82">
        <v>8</v>
      </c>
      <c r="D271" s="82">
        <v>1</v>
      </c>
      <c r="E271" s="77" t="s">
        <v>140</v>
      </c>
      <c r="F271" s="83">
        <v>43397</v>
      </c>
      <c r="G271" s="83" t="s">
        <v>4033</v>
      </c>
      <c r="H271" s="84">
        <v>9.7916666666666666E-2</v>
      </c>
      <c r="I271" s="82"/>
      <c r="J271" s="77" t="s">
        <v>670</v>
      </c>
      <c r="K271" s="82" t="s">
        <v>187</v>
      </c>
      <c r="L271" s="82" t="s">
        <v>23</v>
      </c>
      <c r="M271" s="82">
        <v>0</v>
      </c>
      <c r="N271" s="82"/>
      <c r="O271" s="82">
        <v>1</v>
      </c>
      <c r="P271" s="77" t="s">
        <v>176</v>
      </c>
      <c r="Q271" s="82" t="s">
        <v>176</v>
      </c>
      <c r="R271" s="82" t="s">
        <v>176</v>
      </c>
      <c r="S271" s="82" t="s">
        <v>2098</v>
      </c>
      <c r="T271" s="82" t="s">
        <v>23</v>
      </c>
      <c r="U271" s="82" t="s">
        <v>3999</v>
      </c>
      <c r="V271" s="82" t="s">
        <v>4002</v>
      </c>
      <c r="W271" s="77" t="s">
        <v>24</v>
      </c>
      <c r="X271" s="77" t="s">
        <v>24</v>
      </c>
      <c r="Y271" s="82" t="s">
        <v>176</v>
      </c>
      <c r="Z271" s="85">
        <v>63.723379999999999</v>
      </c>
      <c r="AA271" s="85">
        <v>148.95421999999999</v>
      </c>
      <c r="AB271" s="62">
        <f t="shared" si="4"/>
        <v>212.67759999999998</v>
      </c>
      <c r="AC271" s="88"/>
      <c r="AD271" s="88"/>
      <c r="AH271" s="88">
        <v>25</v>
      </c>
      <c r="AI271" s="88">
        <v>27</v>
      </c>
      <c r="AJ271" s="88">
        <v>8</v>
      </c>
      <c r="AK271" s="88">
        <v>44</v>
      </c>
      <c r="AL271" s="88">
        <v>24</v>
      </c>
      <c r="AM271" s="82">
        <v>0</v>
      </c>
      <c r="AN271" s="82">
        <v>76</v>
      </c>
      <c r="AO271" s="82" t="s">
        <v>375</v>
      </c>
      <c r="AP271" s="82" t="s">
        <v>2146</v>
      </c>
      <c r="AQ271" s="82">
        <v>3</v>
      </c>
      <c r="AR271" s="82"/>
      <c r="AS271" s="82"/>
      <c r="AT271" s="82"/>
      <c r="AU271" s="82"/>
      <c r="AV271" s="82"/>
    </row>
    <row r="272" spans="1:48" s="82" customFormat="1" x14ac:dyDescent="0.2">
      <c r="A272" s="77" t="s">
        <v>1899</v>
      </c>
      <c r="B272" s="77" t="s">
        <v>1900</v>
      </c>
      <c r="C272" s="77">
        <v>5</v>
      </c>
      <c r="D272" s="77">
        <v>1</v>
      </c>
      <c r="E272" s="77" t="s">
        <v>324</v>
      </c>
      <c r="F272" s="78">
        <v>43398</v>
      </c>
      <c r="G272" s="83" t="s">
        <v>4033</v>
      </c>
      <c r="H272" s="79">
        <v>9.0277777777777787E-3</v>
      </c>
      <c r="I272" s="77"/>
      <c r="J272" s="77" t="s">
        <v>325</v>
      </c>
      <c r="K272" s="77" t="s">
        <v>102</v>
      </c>
      <c r="L272" s="77" t="s">
        <v>115</v>
      </c>
      <c r="M272" s="77">
        <v>0</v>
      </c>
      <c r="N272" s="77"/>
      <c r="O272" s="77">
        <v>1</v>
      </c>
      <c r="P272" s="77" t="s">
        <v>176</v>
      </c>
      <c r="Q272" s="77" t="s">
        <v>176</v>
      </c>
      <c r="R272" s="77" t="s">
        <v>122</v>
      </c>
      <c r="S272" s="77" t="s">
        <v>3963</v>
      </c>
      <c r="T272" s="82" t="s">
        <v>23</v>
      </c>
      <c r="U272" s="82" t="s">
        <v>3997</v>
      </c>
      <c r="V272" s="82" t="s">
        <v>4007</v>
      </c>
      <c r="W272" s="77" t="s">
        <v>24</v>
      </c>
      <c r="X272" s="77" t="s">
        <v>24</v>
      </c>
      <c r="Y272" s="77">
        <v>5</v>
      </c>
      <c r="Z272" s="81">
        <v>63.723309999999998</v>
      </c>
      <c r="AA272" s="81">
        <v>148.88614000000001</v>
      </c>
      <c r="AB272" s="62">
        <f t="shared" si="4"/>
        <v>212.60945000000001</v>
      </c>
      <c r="AC272" s="87">
        <v>1</v>
      </c>
      <c r="AD272" s="87"/>
      <c r="AE272" s="77"/>
      <c r="AF272" s="77"/>
      <c r="AG272" s="77"/>
      <c r="AH272" s="87">
        <v>0</v>
      </c>
      <c r="AI272" s="87">
        <v>0</v>
      </c>
      <c r="AJ272" s="87">
        <v>0</v>
      </c>
      <c r="AK272" s="87">
        <v>0</v>
      </c>
      <c r="AL272" s="87">
        <v>0</v>
      </c>
      <c r="AM272" s="87">
        <v>0</v>
      </c>
      <c r="AN272" s="77">
        <v>0</v>
      </c>
      <c r="AO272" s="77"/>
      <c r="AP272" s="77" t="s">
        <v>1021</v>
      </c>
      <c r="AQ272" s="77"/>
      <c r="AR272" s="77"/>
      <c r="AS272" s="59"/>
      <c r="AT272" s="59"/>
      <c r="AU272" s="59"/>
      <c r="AV272" s="59"/>
    </row>
    <row r="273" spans="1:48" s="77" customFormat="1" x14ac:dyDescent="0.2">
      <c r="A273" s="82" t="s">
        <v>1874</v>
      </c>
      <c r="B273" s="82" t="s">
        <v>1875</v>
      </c>
      <c r="C273" s="82">
        <v>7</v>
      </c>
      <c r="D273" s="82">
        <v>1</v>
      </c>
      <c r="E273" s="82" t="s">
        <v>10</v>
      </c>
      <c r="F273" s="83">
        <v>43398</v>
      </c>
      <c r="G273" s="83" t="s">
        <v>4033</v>
      </c>
      <c r="H273" s="84">
        <v>4.4444444444444446E-2</v>
      </c>
      <c r="I273" s="82"/>
      <c r="J273" s="82" t="s">
        <v>64</v>
      </c>
      <c r="K273" s="82" t="s">
        <v>156</v>
      </c>
      <c r="L273" s="82" t="s">
        <v>23</v>
      </c>
      <c r="M273" s="82">
        <v>1</v>
      </c>
      <c r="N273" s="82"/>
      <c r="O273" s="82">
        <v>1</v>
      </c>
      <c r="P273" s="77" t="s">
        <v>112</v>
      </c>
      <c r="Q273" s="82" t="s">
        <v>2111</v>
      </c>
      <c r="R273" s="82" t="s">
        <v>192</v>
      </c>
      <c r="S273" s="77" t="s">
        <v>1035</v>
      </c>
      <c r="T273" s="82" t="s">
        <v>23</v>
      </c>
      <c r="U273" s="82" t="s">
        <v>3997</v>
      </c>
      <c r="V273" s="82" t="s">
        <v>4006</v>
      </c>
      <c r="W273" s="77" t="s">
        <v>24</v>
      </c>
      <c r="X273" s="77" t="s">
        <v>24</v>
      </c>
      <c r="Y273" s="82">
        <v>6</v>
      </c>
      <c r="Z273" s="85">
        <v>63.732669999999999</v>
      </c>
      <c r="AA273" s="85">
        <v>148.89955</v>
      </c>
      <c r="AB273" s="62">
        <f t="shared" si="4"/>
        <v>212.63222000000002</v>
      </c>
      <c r="AC273" s="88"/>
      <c r="AD273" s="88"/>
      <c r="AH273" s="88">
        <v>29</v>
      </c>
      <c r="AI273" s="88">
        <v>0</v>
      </c>
      <c r="AJ273" s="88">
        <v>0</v>
      </c>
      <c r="AK273" s="88">
        <v>29</v>
      </c>
      <c r="AL273" s="88">
        <v>9</v>
      </c>
      <c r="AM273" s="88">
        <v>0</v>
      </c>
      <c r="AN273" s="82">
        <v>38</v>
      </c>
      <c r="AO273" s="82"/>
      <c r="AP273" s="82"/>
      <c r="AQ273" s="82"/>
      <c r="AR273" s="82"/>
      <c r="AS273" s="72"/>
      <c r="AT273" s="72"/>
      <c r="AU273" s="72"/>
      <c r="AV273" s="72"/>
    </row>
    <row r="274" spans="1:48" s="77" customFormat="1" x14ac:dyDescent="0.2">
      <c r="A274" s="77" t="s">
        <v>1881</v>
      </c>
      <c r="B274" s="77" t="s">
        <v>1882</v>
      </c>
      <c r="C274" s="77">
        <v>10</v>
      </c>
      <c r="D274" s="77">
        <v>2</v>
      </c>
      <c r="E274" s="77" t="s">
        <v>10</v>
      </c>
      <c r="F274" s="78">
        <v>43398</v>
      </c>
      <c r="G274" s="83" t="s">
        <v>4033</v>
      </c>
      <c r="H274" s="79">
        <v>6.5972222222222224E-2</v>
      </c>
      <c r="J274" s="77" t="s">
        <v>363</v>
      </c>
      <c r="K274" s="77" t="s">
        <v>102</v>
      </c>
      <c r="L274" s="77" t="s">
        <v>23</v>
      </c>
      <c r="M274" s="77">
        <v>1</v>
      </c>
      <c r="O274" s="77">
        <v>1</v>
      </c>
      <c r="P274" s="77" t="s">
        <v>461</v>
      </c>
      <c r="Q274" s="77" t="s">
        <v>2125</v>
      </c>
      <c r="R274" s="77" t="s">
        <v>122</v>
      </c>
      <c r="S274" s="77" t="s">
        <v>1035</v>
      </c>
      <c r="T274" s="82" t="s">
        <v>23</v>
      </c>
      <c r="U274" s="82" t="s">
        <v>3997</v>
      </c>
      <c r="V274" s="82" t="s">
        <v>4006</v>
      </c>
      <c r="W274" s="77" t="s">
        <v>24</v>
      </c>
      <c r="X274" s="77" t="s">
        <v>24</v>
      </c>
      <c r="Y274" s="77">
        <v>9</v>
      </c>
      <c r="Z274" s="81">
        <v>63.732770000000002</v>
      </c>
      <c r="AA274" s="81">
        <v>148.89867000000001</v>
      </c>
      <c r="AB274" s="62">
        <f t="shared" si="4"/>
        <v>212.63144</v>
      </c>
      <c r="AC274" s="87">
        <v>1</v>
      </c>
      <c r="AD274" s="87" t="s">
        <v>4765</v>
      </c>
      <c r="AH274" s="87">
        <v>0</v>
      </c>
      <c r="AI274" s="87">
        <v>0</v>
      </c>
      <c r="AJ274" s="87">
        <v>0</v>
      </c>
      <c r="AK274" s="87">
        <v>0</v>
      </c>
      <c r="AL274" s="87">
        <v>0</v>
      </c>
      <c r="AM274" s="87">
        <v>0</v>
      </c>
      <c r="AN274" s="77">
        <v>0</v>
      </c>
      <c r="AO274" s="77" t="s">
        <v>2102</v>
      </c>
      <c r="AS274" s="59"/>
      <c r="AT274" s="59"/>
      <c r="AU274" s="59"/>
      <c r="AV274" s="59"/>
    </row>
    <row r="275" spans="1:48" s="77" customFormat="1" x14ac:dyDescent="0.2">
      <c r="A275" s="77" t="s">
        <v>1881</v>
      </c>
      <c r="B275" s="77" t="s">
        <v>1882</v>
      </c>
      <c r="C275" s="77">
        <v>10</v>
      </c>
      <c r="D275" s="77">
        <v>1</v>
      </c>
      <c r="E275" s="77" t="s">
        <v>10</v>
      </c>
      <c r="F275" s="78">
        <v>43398</v>
      </c>
      <c r="G275" s="83" t="s">
        <v>4033</v>
      </c>
      <c r="H275" s="79">
        <v>6.5972222222222224E-2</v>
      </c>
      <c r="J275" s="77" t="s">
        <v>363</v>
      </c>
      <c r="K275" s="77" t="s">
        <v>102</v>
      </c>
      <c r="L275" s="77" t="s">
        <v>23</v>
      </c>
      <c r="M275" s="77">
        <v>1</v>
      </c>
      <c r="O275" s="77">
        <v>1</v>
      </c>
      <c r="P275" s="77" t="s">
        <v>461</v>
      </c>
      <c r="Q275" s="77" t="s">
        <v>2125</v>
      </c>
      <c r="R275" s="77" t="s">
        <v>122</v>
      </c>
      <c r="S275" s="77" t="s">
        <v>2101</v>
      </c>
      <c r="T275" s="82" t="s">
        <v>23</v>
      </c>
      <c r="U275" s="82" t="s">
        <v>3999</v>
      </c>
      <c r="V275" s="82" t="s">
        <v>4001</v>
      </c>
      <c r="W275" s="77" t="s">
        <v>24</v>
      </c>
      <c r="X275" s="77" t="s">
        <v>24</v>
      </c>
      <c r="Y275" s="77">
        <v>9</v>
      </c>
      <c r="Z275" s="81">
        <v>63.732770000000002</v>
      </c>
      <c r="AA275" s="81">
        <v>148.89867000000001</v>
      </c>
      <c r="AB275" s="62">
        <f t="shared" si="4"/>
        <v>212.63144</v>
      </c>
      <c r="AC275" s="87">
        <v>1</v>
      </c>
      <c r="AD275" s="87"/>
      <c r="AH275" s="87">
        <v>0</v>
      </c>
      <c r="AI275" s="87">
        <v>0</v>
      </c>
      <c r="AJ275" s="87">
        <v>0</v>
      </c>
      <c r="AK275" s="87">
        <v>0</v>
      </c>
      <c r="AL275" s="87">
        <v>0</v>
      </c>
      <c r="AM275" s="87">
        <v>0</v>
      </c>
      <c r="AN275" s="77">
        <v>0</v>
      </c>
      <c r="AS275" s="59"/>
      <c r="AT275" s="59"/>
      <c r="AU275" s="59"/>
      <c r="AV275" s="59"/>
    </row>
    <row r="276" spans="1:48" s="77" customFormat="1" x14ac:dyDescent="0.2">
      <c r="A276" s="77" t="s">
        <v>1884</v>
      </c>
      <c r="B276" s="77" t="s">
        <v>1885</v>
      </c>
      <c r="C276" s="77">
        <v>11</v>
      </c>
      <c r="D276" s="77">
        <v>1</v>
      </c>
      <c r="E276" s="77" t="s">
        <v>10</v>
      </c>
      <c r="F276" s="78">
        <v>43398</v>
      </c>
      <c r="G276" s="83" t="s">
        <v>4033</v>
      </c>
      <c r="H276" s="79">
        <v>1.9444444444444445E-2</v>
      </c>
      <c r="J276" s="77" t="s">
        <v>363</v>
      </c>
      <c r="K276" s="77" t="s">
        <v>111</v>
      </c>
      <c r="L276" s="77" t="s">
        <v>23</v>
      </c>
      <c r="M276" s="77">
        <v>0</v>
      </c>
      <c r="O276" s="77">
        <v>1</v>
      </c>
      <c r="P276" s="77" t="s">
        <v>461</v>
      </c>
      <c r="Q276" s="77" t="s">
        <v>2125</v>
      </c>
      <c r="R276" s="77" t="s">
        <v>122</v>
      </c>
      <c r="S276" s="77" t="s">
        <v>1035</v>
      </c>
      <c r="T276" s="82" t="s">
        <v>23</v>
      </c>
      <c r="U276" s="82" t="s">
        <v>3997</v>
      </c>
      <c r="V276" s="82" t="s">
        <v>4006</v>
      </c>
      <c r="W276" s="77" t="s">
        <v>24</v>
      </c>
      <c r="X276" s="77" t="s">
        <v>24</v>
      </c>
      <c r="Y276" s="77">
        <v>25</v>
      </c>
      <c r="Z276" s="81">
        <v>63.733040000000003</v>
      </c>
      <c r="AA276" s="81">
        <v>148.89887999999999</v>
      </c>
      <c r="AB276" s="62">
        <f t="shared" si="4"/>
        <v>212.63191999999998</v>
      </c>
      <c r="AC276" s="87"/>
      <c r="AD276" s="87"/>
      <c r="AE276" s="82"/>
      <c r="AF276" s="82"/>
      <c r="AG276" s="82"/>
      <c r="AH276" s="87">
        <v>0</v>
      </c>
      <c r="AI276" s="87">
        <v>0</v>
      </c>
      <c r="AJ276" s="87">
        <v>0</v>
      </c>
      <c r="AK276" s="87">
        <v>0</v>
      </c>
      <c r="AL276" s="87">
        <v>0</v>
      </c>
      <c r="AM276" s="87">
        <v>0</v>
      </c>
      <c r="AN276" s="77">
        <v>0</v>
      </c>
      <c r="AP276" s="77" t="s">
        <v>1886</v>
      </c>
      <c r="AS276" s="59"/>
      <c r="AT276" s="59"/>
      <c r="AU276" s="59"/>
      <c r="AV276" s="59"/>
    </row>
    <row r="277" spans="1:48" s="77" customFormat="1" x14ac:dyDescent="0.2">
      <c r="A277" s="77" t="s">
        <v>1887</v>
      </c>
      <c r="B277" s="77" t="s">
        <v>1888</v>
      </c>
      <c r="C277" s="77">
        <v>12</v>
      </c>
      <c r="D277" s="77">
        <v>1</v>
      </c>
      <c r="E277" s="77" t="s">
        <v>10</v>
      </c>
      <c r="F277" s="78">
        <v>43398</v>
      </c>
      <c r="G277" s="83" t="s">
        <v>4033</v>
      </c>
      <c r="H277" s="79">
        <v>3.4722222222222224E-2</v>
      </c>
      <c r="J277" s="77" t="s">
        <v>363</v>
      </c>
      <c r="K277" s="77" t="s">
        <v>111</v>
      </c>
      <c r="L277" s="77" t="s">
        <v>23</v>
      </c>
      <c r="M277" s="77">
        <v>0</v>
      </c>
      <c r="O277" s="77">
        <v>1</v>
      </c>
      <c r="P277" s="77" t="s">
        <v>461</v>
      </c>
      <c r="Q277" s="77" t="s">
        <v>2125</v>
      </c>
      <c r="R277" s="77" t="s">
        <v>122</v>
      </c>
      <c r="S277" s="77" t="s">
        <v>1035</v>
      </c>
      <c r="T277" s="82" t="s">
        <v>23</v>
      </c>
      <c r="U277" s="82" t="s">
        <v>3997</v>
      </c>
      <c r="V277" s="82" t="s">
        <v>4006</v>
      </c>
      <c r="W277" s="77" t="s">
        <v>24</v>
      </c>
      <c r="X277" s="77" t="s">
        <v>24</v>
      </c>
      <c r="Y277" s="77">
        <v>30</v>
      </c>
      <c r="Z277" s="81">
        <v>63.733040000000003</v>
      </c>
      <c r="AA277" s="81">
        <v>148.89893000000001</v>
      </c>
      <c r="AB277" s="62">
        <f t="shared" si="4"/>
        <v>212.63197000000002</v>
      </c>
      <c r="AC277" s="87"/>
      <c r="AD277" s="87"/>
      <c r="AH277" s="87">
        <v>0</v>
      </c>
      <c r="AI277" s="87">
        <v>0</v>
      </c>
      <c r="AJ277" s="87">
        <v>0</v>
      </c>
      <c r="AK277" s="87">
        <v>0</v>
      </c>
      <c r="AL277" s="87">
        <v>0</v>
      </c>
      <c r="AM277" s="87">
        <v>0</v>
      </c>
      <c r="AN277" s="77">
        <v>0</v>
      </c>
      <c r="AP277" s="77" t="s">
        <v>1889</v>
      </c>
      <c r="AS277" s="68"/>
      <c r="AT277" s="68"/>
      <c r="AU277" s="68"/>
      <c r="AV277" s="68"/>
    </row>
    <row r="278" spans="1:48" s="77" customFormat="1" x14ac:dyDescent="0.2">
      <c r="A278" s="77" t="s">
        <v>1887</v>
      </c>
      <c r="B278" s="77" t="s">
        <v>1888</v>
      </c>
      <c r="C278" s="77">
        <v>12</v>
      </c>
      <c r="D278" s="77">
        <v>2</v>
      </c>
      <c r="E278" s="77" t="s">
        <v>10</v>
      </c>
      <c r="F278" s="78">
        <v>43398</v>
      </c>
      <c r="G278" s="83" t="s">
        <v>4033</v>
      </c>
      <c r="H278" s="79">
        <v>3.4722222222222224E-2</v>
      </c>
      <c r="J278" s="77" t="s">
        <v>363</v>
      </c>
      <c r="K278" s="77" t="s">
        <v>111</v>
      </c>
      <c r="L278" s="77" t="s">
        <v>23</v>
      </c>
      <c r="M278" s="77">
        <v>0</v>
      </c>
      <c r="O278" s="77">
        <v>1</v>
      </c>
      <c r="P278" s="77" t="s">
        <v>461</v>
      </c>
      <c r="Q278" s="77" t="s">
        <v>2125</v>
      </c>
      <c r="R278" s="77" t="s">
        <v>122</v>
      </c>
      <c r="S278" s="77" t="s">
        <v>1035</v>
      </c>
      <c r="T278" s="82" t="s">
        <v>23</v>
      </c>
      <c r="U278" s="82" t="s">
        <v>3997</v>
      </c>
      <c r="V278" s="82" t="s">
        <v>4006</v>
      </c>
      <c r="W278" s="77" t="s">
        <v>24</v>
      </c>
      <c r="X278" s="77" t="s">
        <v>24</v>
      </c>
      <c r="Y278" s="77">
        <v>30</v>
      </c>
      <c r="Z278" s="81">
        <v>63.733020000000003</v>
      </c>
      <c r="AA278" s="81">
        <v>148.89896999999999</v>
      </c>
      <c r="AB278" s="62">
        <f t="shared" si="4"/>
        <v>212.63199</v>
      </c>
      <c r="AC278" s="87"/>
      <c r="AD278" s="87"/>
      <c r="AH278" s="87">
        <v>0</v>
      </c>
      <c r="AI278" s="87">
        <v>0</v>
      </c>
      <c r="AJ278" s="87">
        <v>0</v>
      </c>
      <c r="AK278" s="87">
        <v>0</v>
      </c>
      <c r="AL278" s="87">
        <v>0</v>
      </c>
      <c r="AM278" s="87">
        <v>0</v>
      </c>
      <c r="AN278" s="77">
        <v>0</v>
      </c>
      <c r="AP278" s="77" t="s">
        <v>1889</v>
      </c>
      <c r="AS278" s="68"/>
      <c r="AT278" s="68"/>
      <c r="AU278" s="68"/>
      <c r="AV278" s="68"/>
    </row>
    <row r="279" spans="1:48" s="77" customFormat="1" x14ac:dyDescent="0.2">
      <c r="A279" s="77" t="s">
        <v>1901</v>
      </c>
      <c r="B279" s="77" t="s">
        <v>1902</v>
      </c>
      <c r="C279" s="77">
        <v>6</v>
      </c>
      <c r="D279" s="77">
        <v>1</v>
      </c>
      <c r="E279" s="77" t="s">
        <v>324</v>
      </c>
      <c r="F279" s="78">
        <v>43398</v>
      </c>
      <c r="G279" s="83" t="s">
        <v>4033</v>
      </c>
      <c r="H279" s="79">
        <v>2.4999999999999998E-2</v>
      </c>
      <c r="J279" s="77" t="s">
        <v>325</v>
      </c>
      <c r="K279" s="77" t="s">
        <v>111</v>
      </c>
      <c r="L279" s="77" t="s">
        <v>23</v>
      </c>
      <c r="M279" s="77">
        <v>0</v>
      </c>
      <c r="O279" s="77">
        <v>1</v>
      </c>
      <c r="P279" s="77" t="s">
        <v>14</v>
      </c>
      <c r="Q279" s="77" t="s">
        <v>2123</v>
      </c>
      <c r="R279" s="77" t="s">
        <v>24</v>
      </c>
      <c r="S279" s="77" t="s">
        <v>3963</v>
      </c>
      <c r="T279" s="80" t="s">
        <v>23</v>
      </c>
      <c r="U279" s="80" t="s">
        <v>3997</v>
      </c>
      <c r="V279" s="82" t="s">
        <v>4007</v>
      </c>
      <c r="W279" s="77" t="s">
        <v>24</v>
      </c>
      <c r="X279" s="77" t="s">
        <v>24</v>
      </c>
      <c r="Y279" s="77" t="s">
        <v>24</v>
      </c>
      <c r="Z279" s="81">
        <v>63.723309999999998</v>
      </c>
      <c r="AA279" s="81">
        <v>148.88614000000001</v>
      </c>
      <c r="AB279" s="62">
        <f t="shared" si="4"/>
        <v>212.60945000000001</v>
      </c>
      <c r="AC279" s="87">
        <v>1</v>
      </c>
      <c r="AD279" s="87" t="s">
        <v>4765</v>
      </c>
      <c r="AH279" s="87">
        <v>0</v>
      </c>
      <c r="AI279" s="87">
        <v>0</v>
      </c>
      <c r="AJ279" s="87">
        <v>0</v>
      </c>
      <c r="AK279" s="87">
        <v>0</v>
      </c>
      <c r="AL279" s="87">
        <v>0</v>
      </c>
      <c r="AM279" s="87">
        <v>0</v>
      </c>
      <c r="AN279" s="77">
        <v>0</v>
      </c>
      <c r="AP279" s="77" t="s">
        <v>1903</v>
      </c>
      <c r="AS279" s="59"/>
      <c r="AT279" s="59"/>
      <c r="AU279" s="59"/>
      <c r="AV279" s="59"/>
    </row>
    <row r="280" spans="1:48" s="77" customFormat="1" x14ac:dyDescent="0.2">
      <c r="A280" s="77" t="s">
        <v>1868</v>
      </c>
      <c r="B280" s="77" t="s">
        <v>1873</v>
      </c>
      <c r="C280" s="77">
        <v>5</v>
      </c>
      <c r="D280" s="77">
        <v>1</v>
      </c>
      <c r="E280" s="77" t="s">
        <v>10</v>
      </c>
      <c r="F280" s="78">
        <v>43398</v>
      </c>
      <c r="G280" s="83" t="s">
        <v>4033</v>
      </c>
      <c r="H280" s="79">
        <v>3.2638888888888891E-2</v>
      </c>
      <c r="J280" s="77" t="s">
        <v>64</v>
      </c>
      <c r="K280" s="77" t="s">
        <v>111</v>
      </c>
      <c r="L280" s="77" t="s">
        <v>12</v>
      </c>
      <c r="M280" s="77">
        <v>0</v>
      </c>
      <c r="O280" s="77">
        <v>1</v>
      </c>
      <c r="P280" s="77" t="s">
        <v>176</v>
      </c>
      <c r="Q280" s="77" t="s">
        <v>176</v>
      </c>
      <c r="R280" s="77" t="s">
        <v>24</v>
      </c>
      <c r="S280" s="77" t="s">
        <v>1869</v>
      </c>
      <c r="T280" s="82" t="s">
        <v>12</v>
      </c>
      <c r="U280" s="82" t="s">
        <v>3997</v>
      </c>
      <c r="V280" s="82" t="s">
        <v>4005</v>
      </c>
      <c r="W280" s="77" t="s">
        <v>24</v>
      </c>
      <c r="X280" s="77" t="s">
        <v>24</v>
      </c>
      <c r="Y280" s="77" t="s">
        <v>24</v>
      </c>
      <c r="Z280" s="81">
        <v>63.73254</v>
      </c>
      <c r="AA280" s="81">
        <v>148.89940000000001</v>
      </c>
      <c r="AB280" s="62">
        <f t="shared" si="4"/>
        <v>212.63194000000001</v>
      </c>
      <c r="AC280" s="87"/>
      <c r="AD280" s="87"/>
      <c r="AE280" s="82"/>
      <c r="AF280" s="82"/>
      <c r="AG280" s="82"/>
      <c r="AH280" s="87">
        <v>0</v>
      </c>
      <c r="AI280" s="87">
        <v>0</v>
      </c>
      <c r="AJ280" s="87">
        <v>0</v>
      </c>
      <c r="AK280" s="87">
        <v>0</v>
      </c>
      <c r="AL280" s="87">
        <v>0</v>
      </c>
      <c r="AM280" s="87">
        <v>0</v>
      </c>
      <c r="AN280" s="77">
        <v>0</v>
      </c>
      <c r="AP280" s="77" t="s">
        <v>1870</v>
      </c>
      <c r="AS280" s="59"/>
      <c r="AT280" s="59"/>
      <c r="AU280" s="59"/>
      <c r="AV280" s="59"/>
    </row>
    <row r="281" spans="1:48" s="77" customFormat="1" x14ac:dyDescent="0.2">
      <c r="A281" s="77" t="s">
        <v>1904</v>
      </c>
      <c r="B281" s="77" t="s">
        <v>1905</v>
      </c>
      <c r="C281" s="77">
        <v>1</v>
      </c>
      <c r="D281" s="77">
        <v>1</v>
      </c>
      <c r="E281" s="77" t="s">
        <v>395</v>
      </c>
      <c r="F281" s="78">
        <v>43399</v>
      </c>
      <c r="G281" s="83" t="s">
        <v>4033</v>
      </c>
      <c r="H281" s="79">
        <v>1.8055555555555557E-2</v>
      </c>
      <c r="J281" s="77" t="s">
        <v>176</v>
      </c>
      <c r="K281" s="77" t="s">
        <v>111</v>
      </c>
      <c r="L281" s="77" t="s">
        <v>23</v>
      </c>
      <c r="M281" s="77">
        <v>0</v>
      </c>
      <c r="O281" s="77">
        <v>1</v>
      </c>
      <c r="P281" s="77" t="s">
        <v>14</v>
      </c>
      <c r="Q281" s="77" t="s">
        <v>2128</v>
      </c>
      <c r="R281" s="77" t="s">
        <v>24</v>
      </c>
      <c r="S281" s="77" t="s">
        <v>1035</v>
      </c>
      <c r="T281" s="80" t="s">
        <v>23</v>
      </c>
      <c r="U281" s="80" t="s">
        <v>3997</v>
      </c>
      <c r="V281" s="80" t="s">
        <v>4006</v>
      </c>
      <c r="W281" s="77" t="s">
        <v>24</v>
      </c>
      <c r="X281" s="77" t="s">
        <v>24</v>
      </c>
      <c r="Y281" s="77" t="s">
        <v>24</v>
      </c>
      <c r="Z281" s="81">
        <v>63.719990000000003</v>
      </c>
      <c r="AA281" s="81">
        <v>148.98468</v>
      </c>
      <c r="AB281" s="62">
        <f t="shared" si="4"/>
        <v>212.70466999999999</v>
      </c>
      <c r="AC281" s="87"/>
      <c r="AD281" s="87"/>
      <c r="AH281" s="87">
        <v>0</v>
      </c>
      <c r="AI281" s="87">
        <v>0</v>
      </c>
      <c r="AJ281" s="87">
        <v>0</v>
      </c>
      <c r="AK281" s="87">
        <v>0</v>
      </c>
      <c r="AL281" s="87">
        <v>0</v>
      </c>
      <c r="AM281" s="87">
        <v>0</v>
      </c>
      <c r="AN281" s="77">
        <v>0</v>
      </c>
      <c r="AP281" s="77" t="s">
        <v>1906</v>
      </c>
    </row>
    <row r="282" spans="1:48" s="77" customFormat="1" x14ac:dyDescent="0.2">
      <c r="A282" s="77" t="s">
        <v>1959</v>
      </c>
      <c r="B282" s="77" t="s">
        <v>1960</v>
      </c>
      <c r="C282" s="77">
        <v>7</v>
      </c>
      <c r="D282" s="77">
        <v>1</v>
      </c>
      <c r="E282" s="77" t="s">
        <v>10</v>
      </c>
      <c r="F282" s="78">
        <v>43402</v>
      </c>
      <c r="G282" s="83" t="s">
        <v>4033</v>
      </c>
      <c r="H282" s="79">
        <v>2.5694444444444447E-2</v>
      </c>
      <c r="I282" s="77" t="s">
        <v>2028</v>
      </c>
      <c r="J282" s="77" t="s">
        <v>64</v>
      </c>
      <c r="K282" s="77" t="s">
        <v>111</v>
      </c>
      <c r="L282" s="77" t="s">
        <v>23</v>
      </c>
      <c r="M282" s="77">
        <v>0</v>
      </c>
      <c r="O282" s="77">
        <v>2</v>
      </c>
      <c r="P282" s="77" t="s">
        <v>176</v>
      </c>
      <c r="Q282" s="77" t="s">
        <v>2116</v>
      </c>
      <c r="R282" s="77" t="s">
        <v>1958</v>
      </c>
      <c r="S282" s="77" t="s">
        <v>1961</v>
      </c>
      <c r="T282" s="80" t="s">
        <v>23</v>
      </c>
      <c r="U282" s="80" t="s">
        <v>3999</v>
      </c>
      <c r="V282" s="80" t="s">
        <v>4006</v>
      </c>
      <c r="W282" s="77" t="s">
        <v>24</v>
      </c>
      <c r="X282" s="77" t="s">
        <v>24</v>
      </c>
      <c r="Y282" s="77">
        <v>7</v>
      </c>
      <c r="Z282" s="81">
        <v>63.736229999999999</v>
      </c>
      <c r="AA282" s="81">
        <v>148.90009000000001</v>
      </c>
      <c r="AB282" s="62">
        <f t="shared" si="4"/>
        <v>212.63632000000001</v>
      </c>
      <c r="AC282" s="87"/>
      <c r="AD282" s="87"/>
      <c r="AH282" s="87">
        <v>0</v>
      </c>
      <c r="AI282" s="87">
        <v>0</v>
      </c>
      <c r="AJ282" s="87">
        <v>0</v>
      </c>
      <c r="AK282" s="87">
        <v>0</v>
      </c>
      <c r="AL282" s="87">
        <v>0</v>
      </c>
      <c r="AM282" s="87">
        <v>0</v>
      </c>
      <c r="AN282" s="77">
        <v>0</v>
      </c>
      <c r="AP282" s="77" t="s">
        <v>1028</v>
      </c>
      <c r="AS282" s="72"/>
      <c r="AT282" s="72"/>
      <c r="AU282" s="72"/>
      <c r="AV282" s="72"/>
    </row>
    <row r="283" spans="1:48" s="82" customFormat="1" x14ac:dyDescent="0.2">
      <c r="A283" s="77" t="s">
        <v>1923</v>
      </c>
      <c r="B283" s="77" t="s">
        <v>1924</v>
      </c>
      <c r="C283" s="77">
        <v>15</v>
      </c>
      <c r="D283" s="77">
        <v>1</v>
      </c>
      <c r="E283" s="77" t="s">
        <v>138</v>
      </c>
      <c r="F283" s="78">
        <v>43402</v>
      </c>
      <c r="G283" s="83" t="s">
        <v>4033</v>
      </c>
      <c r="H283" s="79">
        <v>1.5972222222222224E-2</v>
      </c>
      <c r="I283" s="77" t="s">
        <v>2028</v>
      </c>
      <c r="J283" s="77" t="s">
        <v>173</v>
      </c>
      <c r="K283" s="77" t="s">
        <v>111</v>
      </c>
      <c r="L283" s="77" t="s">
        <v>23</v>
      </c>
      <c r="M283" s="77">
        <v>0</v>
      </c>
      <c r="N283" s="77"/>
      <c r="O283" s="77">
        <v>1</v>
      </c>
      <c r="P283" s="77" t="s">
        <v>176</v>
      </c>
      <c r="Q283" s="77" t="s">
        <v>176</v>
      </c>
      <c r="R283" s="77" t="s">
        <v>1922</v>
      </c>
      <c r="S283" s="77" t="s">
        <v>3963</v>
      </c>
      <c r="T283" s="80" t="s">
        <v>23</v>
      </c>
      <c r="U283" s="80" t="s">
        <v>3997</v>
      </c>
      <c r="V283" s="80" t="s">
        <v>4007</v>
      </c>
      <c r="W283" s="77" t="s">
        <v>24</v>
      </c>
      <c r="X283" s="77" t="s">
        <v>24</v>
      </c>
      <c r="Y283" s="77" t="s">
        <v>24</v>
      </c>
      <c r="Z283" s="81">
        <v>63.725090000000002</v>
      </c>
      <c r="AA283" s="81">
        <v>148.96426</v>
      </c>
      <c r="AB283" s="62">
        <f t="shared" si="4"/>
        <v>212.68934999999999</v>
      </c>
      <c r="AC283" s="87"/>
      <c r="AD283" s="87"/>
      <c r="AE283" s="77"/>
      <c r="AF283" s="77"/>
      <c r="AG283" s="77"/>
      <c r="AH283" s="87">
        <v>0</v>
      </c>
      <c r="AI283" s="87">
        <v>0</v>
      </c>
      <c r="AJ283" s="87">
        <v>0</v>
      </c>
      <c r="AK283" s="87">
        <v>0</v>
      </c>
      <c r="AL283" s="87">
        <v>0</v>
      </c>
      <c r="AM283" s="87">
        <v>0</v>
      </c>
      <c r="AN283" s="77">
        <v>0</v>
      </c>
      <c r="AO283" s="77"/>
      <c r="AP283" s="77" t="s">
        <v>1925</v>
      </c>
      <c r="AQ283" s="77"/>
      <c r="AR283" s="77"/>
      <c r="AS283" s="77"/>
      <c r="AT283" s="77"/>
      <c r="AU283" s="77"/>
      <c r="AV283" s="77"/>
    </row>
    <row r="284" spans="1:48" s="82" customFormat="1" x14ac:dyDescent="0.2">
      <c r="A284" s="77" t="s">
        <v>1996</v>
      </c>
      <c r="B284" s="77" t="s">
        <v>1997</v>
      </c>
      <c r="C284" s="77">
        <v>4</v>
      </c>
      <c r="D284" s="77">
        <v>1</v>
      </c>
      <c r="E284" s="77" t="s">
        <v>272</v>
      </c>
      <c r="F284" s="78">
        <v>43404</v>
      </c>
      <c r="G284" s="83" t="s">
        <v>4033</v>
      </c>
      <c r="H284" s="79">
        <v>3.5416666666666666E-2</v>
      </c>
      <c r="I284" s="77" t="s">
        <v>2029</v>
      </c>
      <c r="J284" s="77" t="s">
        <v>1993</v>
      </c>
      <c r="K284" s="77" t="s">
        <v>111</v>
      </c>
      <c r="L284" s="77" t="s">
        <v>12</v>
      </c>
      <c r="M284" s="77">
        <v>0</v>
      </c>
      <c r="N284" s="77"/>
      <c r="O284" s="77">
        <v>1</v>
      </c>
      <c r="P284" s="77" t="s">
        <v>176</v>
      </c>
      <c r="Q284" s="77" t="s">
        <v>176</v>
      </c>
      <c r="R284" s="77" t="s">
        <v>24</v>
      </c>
      <c r="S284" s="77" t="s">
        <v>1027</v>
      </c>
      <c r="T284" s="80" t="s">
        <v>12</v>
      </c>
      <c r="U284" s="80" t="s">
        <v>3997</v>
      </c>
      <c r="V284" s="80" t="s">
        <v>4005</v>
      </c>
      <c r="W284" s="77" t="s">
        <v>24</v>
      </c>
      <c r="X284" s="77" t="s">
        <v>24</v>
      </c>
      <c r="Y284" s="77" t="s">
        <v>24</v>
      </c>
      <c r="Z284" s="81">
        <v>63.73142</v>
      </c>
      <c r="AA284" s="81">
        <v>148.89966999999999</v>
      </c>
      <c r="AB284" s="62">
        <f t="shared" si="4"/>
        <v>212.63108999999997</v>
      </c>
      <c r="AC284" s="87"/>
      <c r="AD284" s="87"/>
      <c r="AE284" s="77"/>
      <c r="AF284" s="77"/>
      <c r="AG284" s="77"/>
      <c r="AH284" s="87">
        <v>0</v>
      </c>
      <c r="AI284" s="87">
        <v>0</v>
      </c>
      <c r="AJ284" s="87">
        <v>0</v>
      </c>
      <c r="AK284" s="87">
        <v>0</v>
      </c>
      <c r="AL284" s="87">
        <v>0</v>
      </c>
      <c r="AM284" s="87">
        <v>0</v>
      </c>
      <c r="AN284" s="77">
        <v>0</v>
      </c>
      <c r="AO284" s="77"/>
      <c r="AP284" s="77" t="s">
        <v>1998</v>
      </c>
      <c r="AQ284" s="77"/>
      <c r="AR284" s="77"/>
      <c r="AS284" s="59"/>
      <c r="AT284" s="59"/>
      <c r="AU284" s="59"/>
      <c r="AV284" s="59"/>
    </row>
    <row r="285" spans="1:48" s="77" customFormat="1" x14ac:dyDescent="0.2">
      <c r="A285" s="77" t="s">
        <v>2007</v>
      </c>
      <c r="B285" s="77" t="s">
        <v>2008</v>
      </c>
      <c r="C285" s="77">
        <v>9</v>
      </c>
      <c r="D285" s="77">
        <v>1</v>
      </c>
      <c r="E285" s="77" t="s">
        <v>272</v>
      </c>
      <c r="F285" s="78">
        <v>43404</v>
      </c>
      <c r="G285" s="83" t="s">
        <v>4033</v>
      </c>
      <c r="H285" s="79">
        <v>3.9583333333333331E-2</v>
      </c>
      <c r="I285" s="77" t="s">
        <v>2029</v>
      </c>
      <c r="J285" s="77" t="s">
        <v>255</v>
      </c>
      <c r="K285" s="77" t="s">
        <v>111</v>
      </c>
      <c r="L285" s="77" t="s">
        <v>23</v>
      </c>
      <c r="M285" s="77">
        <v>0</v>
      </c>
      <c r="O285" s="77">
        <v>1</v>
      </c>
      <c r="P285" s="77" t="s">
        <v>176</v>
      </c>
      <c r="Q285" s="77" t="s">
        <v>176</v>
      </c>
      <c r="R285" s="77" t="s">
        <v>24</v>
      </c>
      <c r="S285" s="77" t="s">
        <v>2104</v>
      </c>
      <c r="T285" s="80" t="s">
        <v>23</v>
      </c>
      <c r="U285" s="80" t="s">
        <v>3997</v>
      </c>
      <c r="V285" s="80" t="s">
        <v>4006</v>
      </c>
      <c r="W285" s="77" t="s">
        <v>24</v>
      </c>
      <c r="X285" s="77" t="s">
        <v>24</v>
      </c>
      <c r="Y285" s="77" t="s">
        <v>24</v>
      </c>
      <c r="Z285" s="81">
        <v>63.73171</v>
      </c>
      <c r="AA285" s="81">
        <v>148.90314000000001</v>
      </c>
      <c r="AB285" s="62">
        <f t="shared" si="4"/>
        <v>212.63485</v>
      </c>
      <c r="AC285" s="87"/>
      <c r="AD285" s="87"/>
      <c r="AH285" s="87">
        <v>0</v>
      </c>
      <c r="AI285" s="87">
        <v>0</v>
      </c>
      <c r="AJ285" s="87">
        <v>0</v>
      </c>
      <c r="AK285" s="87">
        <v>0</v>
      </c>
      <c r="AL285" s="87">
        <v>0</v>
      </c>
      <c r="AM285" s="87">
        <v>0</v>
      </c>
      <c r="AN285" s="77">
        <v>0</v>
      </c>
      <c r="AP285" s="77" t="s">
        <v>2009</v>
      </c>
      <c r="AS285" s="72"/>
      <c r="AT285" s="72"/>
      <c r="AU285" s="72"/>
      <c r="AV285" s="72"/>
    </row>
    <row r="286" spans="1:48" s="77" customFormat="1" x14ac:dyDescent="0.2">
      <c r="A286" s="77" t="s">
        <v>2007</v>
      </c>
      <c r="B286" s="77" t="s">
        <v>2008</v>
      </c>
      <c r="C286" s="77">
        <v>9</v>
      </c>
      <c r="D286" s="77">
        <v>2</v>
      </c>
      <c r="E286" s="77" t="s">
        <v>272</v>
      </c>
      <c r="F286" s="78">
        <v>43404</v>
      </c>
      <c r="G286" s="83" t="s">
        <v>4033</v>
      </c>
      <c r="H286" s="79">
        <v>3.9583333333333331E-2</v>
      </c>
      <c r="I286" s="77" t="s">
        <v>2029</v>
      </c>
      <c r="J286" s="77" t="s">
        <v>255</v>
      </c>
      <c r="K286" s="77" t="s">
        <v>111</v>
      </c>
      <c r="L286" s="77" t="s">
        <v>23</v>
      </c>
      <c r="M286" s="77">
        <v>0</v>
      </c>
      <c r="O286" s="77">
        <v>1</v>
      </c>
      <c r="P286" s="77" t="s">
        <v>176</v>
      </c>
      <c r="Q286" s="77" t="s">
        <v>176</v>
      </c>
      <c r="R286" s="77" t="s">
        <v>24</v>
      </c>
      <c r="S286" s="77" t="s">
        <v>2103</v>
      </c>
      <c r="T286" s="80" t="s">
        <v>23</v>
      </c>
      <c r="U286" s="80" t="s">
        <v>4004</v>
      </c>
      <c r="V286" s="80" t="s">
        <v>4005</v>
      </c>
      <c r="W286" s="77" t="s">
        <v>24</v>
      </c>
      <c r="X286" s="77" t="s">
        <v>24</v>
      </c>
      <c r="Y286" s="77" t="s">
        <v>24</v>
      </c>
      <c r="Z286" s="81">
        <v>63.73171</v>
      </c>
      <c r="AA286" s="81">
        <v>148.90315000000001</v>
      </c>
      <c r="AB286" s="62">
        <f t="shared" si="4"/>
        <v>212.63486</v>
      </c>
      <c r="AC286" s="87"/>
      <c r="AD286" s="87"/>
      <c r="AH286" s="87">
        <v>0</v>
      </c>
      <c r="AI286" s="87">
        <v>0</v>
      </c>
      <c r="AJ286" s="87">
        <v>0</v>
      </c>
      <c r="AK286" s="87">
        <v>0</v>
      </c>
      <c r="AL286" s="87">
        <v>0</v>
      </c>
      <c r="AM286" s="87">
        <v>0</v>
      </c>
      <c r="AN286" s="77">
        <v>0</v>
      </c>
      <c r="AP286" s="77" t="s">
        <v>2009</v>
      </c>
      <c r="AS286" s="72"/>
      <c r="AT286" s="72"/>
      <c r="AU286" s="72"/>
      <c r="AV286" s="72"/>
    </row>
    <row r="287" spans="1:48" s="77" customFormat="1" x14ac:dyDescent="0.2">
      <c r="A287" s="77" t="s">
        <v>1973</v>
      </c>
      <c r="B287" s="77" t="s">
        <v>1974</v>
      </c>
      <c r="C287" s="77">
        <v>6</v>
      </c>
      <c r="D287" s="77">
        <v>1</v>
      </c>
      <c r="E287" s="77" t="s">
        <v>201</v>
      </c>
      <c r="F287" s="78">
        <v>43404</v>
      </c>
      <c r="G287" s="83" t="s">
        <v>4033</v>
      </c>
      <c r="H287" s="79">
        <v>2.5694444444444447E-2</v>
      </c>
      <c r="I287" s="77" t="s">
        <v>101</v>
      </c>
      <c r="J287" s="77" t="s">
        <v>670</v>
      </c>
      <c r="K287" s="77" t="s">
        <v>111</v>
      </c>
      <c r="L287" s="77" t="s">
        <v>23</v>
      </c>
      <c r="M287" s="77">
        <v>0</v>
      </c>
      <c r="O287" s="77">
        <v>1</v>
      </c>
      <c r="P287" s="77" t="s">
        <v>176</v>
      </c>
      <c r="Q287" s="77" t="s">
        <v>176</v>
      </c>
      <c r="R287" s="77" t="s">
        <v>24</v>
      </c>
      <c r="S287" s="77" t="s">
        <v>1057</v>
      </c>
      <c r="T287" s="80" t="s">
        <v>23</v>
      </c>
      <c r="U287" s="80" t="s">
        <v>3999</v>
      </c>
      <c r="V287" s="80" t="s">
        <v>4005</v>
      </c>
      <c r="W287" s="77" t="s">
        <v>24</v>
      </c>
      <c r="X287" s="77" t="s">
        <v>24</v>
      </c>
      <c r="Y287" s="77" t="s">
        <v>24</v>
      </c>
      <c r="Z287" s="81">
        <v>63.722760000000001</v>
      </c>
      <c r="AA287" s="81">
        <v>148.95087000000001</v>
      </c>
      <c r="AB287" s="62">
        <f t="shared" si="4"/>
        <v>212.67363</v>
      </c>
      <c r="AC287" s="87"/>
      <c r="AD287" s="87"/>
      <c r="AH287" s="87">
        <v>0</v>
      </c>
      <c r="AI287" s="87">
        <v>0</v>
      </c>
      <c r="AJ287" s="87">
        <v>0</v>
      </c>
      <c r="AK287" s="87">
        <v>0</v>
      </c>
      <c r="AL287" s="87">
        <v>0</v>
      </c>
      <c r="AM287" s="87">
        <v>0</v>
      </c>
      <c r="AN287" s="77">
        <v>0</v>
      </c>
    </row>
    <row r="288" spans="1:48" s="77" customFormat="1" x14ac:dyDescent="0.2">
      <c r="A288" s="72" t="s">
        <v>2375</v>
      </c>
      <c r="B288" s="72" t="s">
        <v>2376</v>
      </c>
      <c r="C288" s="72">
        <v>14</v>
      </c>
      <c r="D288" s="72">
        <v>1</v>
      </c>
      <c r="E288" s="72" t="s">
        <v>2343</v>
      </c>
      <c r="F288" s="73">
        <v>43544</v>
      </c>
      <c r="G288" s="73" t="s">
        <v>4026</v>
      </c>
      <c r="H288" s="74">
        <v>4.1666666666666666E-3</v>
      </c>
      <c r="I288" s="72" t="s">
        <v>101</v>
      </c>
      <c r="J288" s="72" t="s">
        <v>2927</v>
      </c>
      <c r="K288" s="72" t="s">
        <v>111</v>
      </c>
      <c r="L288" s="72" t="s">
        <v>23</v>
      </c>
      <c r="M288" s="72">
        <v>1</v>
      </c>
      <c r="N288" s="72">
        <v>0</v>
      </c>
      <c r="O288" s="72">
        <v>1</v>
      </c>
      <c r="P288" s="72" t="s">
        <v>598</v>
      </c>
      <c r="Q288" s="72" t="s">
        <v>2377</v>
      </c>
      <c r="R288" s="72" t="s">
        <v>122</v>
      </c>
      <c r="S288" s="72" t="s">
        <v>2088</v>
      </c>
      <c r="T288" s="75" t="s">
        <v>23</v>
      </c>
      <c r="U288" s="75" t="s">
        <v>3997</v>
      </c>
      <c r="V288" s="75" t="s">
        <v>4021</v>
      </c>
      <c r="W288" s="72" t="s">
        <v>2379</v>
      </c>
      <c r="X288" s="72">
        <v>82</v>
      </c>
      <c r="Y288" s="72" t="s">
        <v>176</v>
      </c>
      <c r="Z288" s="72">
        <v>63.739370000000001</v>
      </c>
      <c r="AA288" s="72">
        <v>148.91734</v>
      </c>
      <c r="AB288" s="62">
        <f t="shared" si="4"/>
        <v>212.65671</v>
      </c>
      <c r="AC288" s="118"/>
      <c r="AD288" s="118"/>
      <c r="AE288" s="72"/>
      <c r="AF288" s="72"/>
      <c r="AG288" s="72"/>
      <c r="AH288" s="72">
        <v>0</v>
      </c>
      <c r="AI288" s="72">
        <v>0</v>
      </c>
      <c r="AJ288" s="72">
        <v>0</v>
      </c>
      <c r="AK288" s="72">
        <v>0</v>
      </c>
      <c r="AL288" s="72">
        <v>0</v>
      </c>
      <c r="AM288" s="72"/>
      <c r="AN288" s="72">
        <v>0</v>
      </c>
      <c r="AO288" s="72" t="s">
        <v>115</v>
      </c>
      <c r="AP288" s="72" t="s">
        <v>2380</v>
      </c>
      <c r="AQ288" s="72"/>
      <c r="AR288" s="72"/>
    </row>
    <row r="289" spans="1:48" s="82" customFormat="1" x14ac:dyDescent="0.2">
      <c r="A289" s="72" t="s">
        <v>2453</v>
      </c>
      <c r="B289" s="72" t="s">
        <v>2454</v>
      </c>
      <c r="C289" s="72">
        <v>1</v>
      </c>
      <c r="D289" s="72">
        <v>1</v>
      </c>
      <c r="E289" s="72" t="s">
        <v>2338</v>
      </c>
      <c r="F289" s="73">
        <v>43546</v>
      </c>
      <c r="G289" s="73" t="s">
        <v>4026</v>
      </c>
      <c r="H289" s="74">
        <v>1.5972222222222224E-2</v>
      </c>
      <c r="I289" s="72" t="s">
        <v>101</v>
      </c>
      <c r="J289" s="72" t="s">
        <v>589</v>
      </c>
      <c r="K289" s="72" t="s">
        <v>102</v>
      </c>
      <c r="L289" s="72" t="s">
        <v>23</v>
      </c>
      <c r="M289" s="72">
        <v>1</v>
      </c>
      <c r="N289" s="72">
        <v>0</v>
      </c>
      <c r="O289" s="72">
        <v>1</v>
      </c>
      <c r="P289" s="72" t="s">
        <v>598</v>
      </c>
      <c r="Q289" s="72" t="s">
        <v>2455</v>
      </c>
      <c r="R289" s="72" t="s">
        <v>122</v>
      </c>
      <c r="S289" s="72" t="s">
        <v>2456</v>
      </c>
      <c r="T289" s="75" t="s">
        <v>23</v>
      </c>
      <c r="U289" s="75" t="s">
        <v>3997</v>
      </c>
      <c r="V289" s="75" t="s">
        <v>4005</v>
      </c>
      <c r="W289" s="72" t="s">
        <v>2457</v>
      </c>
      <c r="X289" s="72"/>
      <c r="Y289" s="72">
        <v>1</v>
      </c>
      <c r="Z289" s="72">
        <v>63.738889999999998</v>
      </c>
      <c r="AA289" s="72">
        <v>148.9128</v>
      </c>
      <c r="AB289" s="62">
        <f t="shared" si="4"/>
        <v>212.65169</v>
      </c>
      <c r="AC289" s="118"/>
      <c r="AD289" s="118"/>
      <c r="AE289" s="72"/>
      <c r="AF289" s="72"/>
      <c r="AG289" s="72"/>
      <c r="AH289" s="72">
        <v>0</v>
      </c>
      <c r="AI289" s="72">
        <v>0</v>
      </c>
      <c r="AJ289" s="72">
        <v>0</v>
      </c>
      <c r="AK289" s="72">
        <v>0</v>
      </c>
      <c r="AL289" s="72">
        <v>0</v>
      </c>
      <c r="AM289" s="72"/>
      <c r="AN289" s="72">
        <v>0</v>
      </c>
      <c r="AO289" s="72"/>
      <c r="AP289" s="72" t="s">
        <v>2405</v>
      </c>
      <c r="AQ289" s="72"/>
      <c r="AR289" s="72"/>
    </row>
    <row r="290" spans="1:48" s="82" customFormat="1" x14ac:dyDescent="0.2">
      <c r="A290" s="72" t="s">
        <v>2499</v>
      </c>
      <c r="B290" s="72" t="s">
        <v>2500</v>
      </c>
      <c r="C290" s="72">
        <v>6</v>
      </c>
      <c r="D290" s="72">
        <v>1</v>
      </c>
      <c r="E290" s="72" t="s">
        <v>2487</v>
      </c>
      <c r="F290" s="73">
        <v>43549</v>
      </c>
      <c r="G290" s="73" t="s">
        <v>4026</v>
      </c>
      <c r="H290" s="74">
        <v>2.1527777777777781E-2</v>
      </c>
      <c r="I290" s="75" t="s">
        <v>398</v>
      </c>
      <c r="J290" s="72" t="s">
        <v>2498</v>
      </c>
      <c r="K290" s="72" t="s">
        <v>111</v>
      </c>
      <c r="L290" s="72" t="s">
        <v>23</v>
      </c>
      <c r="M290" s="72">
        <v>0</v>
      </c>
      <c r="N290" s="72">
        <v>0</v>
      </c>
      <c r="O290" s="72">
        <v>1</v>
      </c>
      <c r="P290" s="72" t="s">
        <v>14</v>
      </c>
      <c r="Q290" s="72" t="s">
        <v>14</v>
      </c>
      <c r="R290" s="72" t="s">
        <v>122</v>
      </c>
      <c r="S290" s="72" t="s">
        <v>2088</v>
      </c>
      <c r="T290" s="75" t="s">
        <v>23</v>
      </c>
      <c r="U290" s="75" t="s">
        <v>3997</v>
      </c>
      <c r="V290" s="75" t="s">
        <v>4021</v>
      </c>
      <c r="W290" s="72"/>
      <c r="X290" s="72"/>
      <c r="Y290" s="72">
        <v>10</v>
      </c>
      <c r="Z290" s="72">
        <v>63.72101</v>
      </c>
      <c r="AA290" s="72">
        <v>148.98340999999999</v>
      </c>
      <c r="AB290" s="62">
        <f t="shared" si="4"/>
        <v>212.70442</v>
      </c>
      <c r="AC290" s="118"/>
      <c r="AD290" s="118"/>
      <c r="AE290" s="72"/>
      <c r="AF290" s="72"/>
      <c r="AG290" s="72"/>
      <c r="AH290" s="72">
        <v>0</v>
      </c>
      <c r="AI290" s="72">
        <v>0</v>
      </c>
      <c r="AJ290" s="72">
        <v>0</v>
      </c>
      <c r="AK290" s="72">
        <v>0</v>
      </c>
      <c r="AL290" s="72">
        <v>0</v>
      </c>
      <c r="AM290" s="72"/>
      <c r="AN290" s="72">
        <v>0</v>
      </c>
      <c r="AO290" s="72"/>
      <c r="AP290" s="72" t="s">
        <v>2501</v>
      </c>
      <c r="AQ290" s="72"/>
      <c r="AR290" s="72"/>
      <c r="AS290" s="77"/>
      <c r="AT290" s="77"/>
      <c r="AU290" s="77"/>
      <c r="AV290" s="77"/>
    </row>
    <row r="291" spans="1:48" s="77" customFormat="1" x14ac:dyDescent="0.2">
      <c r="A291" s="72" t="s">
        <v>2549</v>
      </c>
      <c r="B291" s="72" t="s">
        <v>2550</v>
      </c>
      <c r="C291" s="72">
        <v>3</v>
      </c>
      <c r="D291" s="72">
        <v>1</v>
      </c>
      <c r="E291" s="72" t="s">
        <v>324</v>
      </c>
      <c r="F291" s="73">
        <v>43550</v>
      </c>
      <c r="G291" s="73" t="s">
        <v>4026</v>
      </c>
      <c r="H291" s="74">
        <v>4.9305555555555554E-2</v>
      </c>
      <c r="I291" s="75" t="s">
        <v>640</v>
      </c>
      <c r="J291" s="72" t="s">
        <v>325</v>
      </c>
      <c r="K291" s="72" t="s">
        <v>156</v>
      </c>
      <c r="L291" s="72" t="s">
        <v>23</v>
      </c>
      <c r="M291" s="72">
        <v>0</v>
      </c>
      <c r="N291" s="72">
        <v>0</v>
      </c>
      <c r="O291" s="72">
        <v>1</v>
      </c>
      <c r="P291" s="72" t="s">
        <v>176</v>
      </c>
      <c r="Q291" s="72" t="s">
        <v>24</v>
      </c>
      <c r="R291" s="72" t="s">
        <v>2383</v>
      </c>
      <c r="S291" s="72" t="s">
        <v>2088</v>
      </c>
      <c r="T291" s="75" t="s">
        <v>23</v>
      </c>
      <c r="U291" s="75" t="s">
        <v>3997</v>
      </c>
      <c r="V291" s="75" t="s">
        <v>4021</v>
      </c>
      <c r="W291" s="72" t="s">
        <v>2551</v>
      </c>
      <c r="X291" s="72">
        <v>0</v>
      </c>
      <c r="Y291" s="72" t="s">
        <v>24</v>
      </c>
      <c r="Z291" s="72">
        <v>63.723170000000003</v>
      </c>
      <c r="AA291" s="72">
        <v>148.89055999999999</v>
      </c>
      <c r="AB291" s="62">
        <f t="shared" si="4"/>
        <v>212.61373</v>
      </c>
      <c r="AC291" s="118"/>
      <c r="AD291" s="118"/>
      <c r="AE291" s="72"/>
      <c r="AF291" s="72"/>
      <c r="AG291" s="72"/>
      <c r="AH291" s="72">
        <v>0</v>
      </c>
      <c r="AI291" s="72">
        <v>0</v>
      </c>
      <c r="AJ291" s="72">
        <v>0</v>
      </c>
      <c r="AK291" s="72">
        <v>0</v>
      </c>
      <c r="AL291" s="72">
        <v>0</v>
      </c>
      <c r="AM291" s="72"/>
      <c r="AN291" s="72">
        <v>0</v>
      </c>
      <c r="AO291" s="72"/>
      <c r="AP291" s="72"/>
      <c r="AQ291" s="72"/>
      <c r="AR291" s="72"/>
      <c r="AS291" s="59"/>
      <c r="AT291" s="59"/>
      <c r="AU291" s="59"/>
      <c r="AV291" s="59"/>
    </row>
    <row r="292" spans="1:48" s="77" customFormat="1" x14ac:dyDescent="0.2">
      <c r="A292" s="72" t="s">
        <v>2555</v>
      </c>
      <c r="B292" s="72" t="s">
        <v>2556</v>
      </c>
      <c r="C292" s="72">
        <v>5</v>
      </c>
      <c r="D292" s="72">
        <v>1</v>
      </c>
      <c r="E292" s="72" t="s">
        <v>324</v>
      </c>
      <c r="F292" s="73">
        <v>43550</v>
      </c>
      <c r="G292" s="73" t="s">
        <v>4026</v>
      </c>
      <c r="H292" s="74">
        <v>4.5833333333333337E-2</v>
      </c>
      <c r="I292" s="75" t="s">
        <v>640</v>
      </c>
      <c r="J292" s="72" t="s">
        <v>325</v>
      </c>
      <c r="K292" s="72" t="s">
        <v>187</v>
      </c>
      <c r="L292" s="72" t="s">
        <v>23</v>
      </c>
      <c r="M292" s="72">
        <v>1</v>
      </c>
      <c r="N292" s="72">
        <v>0</v>
      </c>
      <c r="O292" s="72">
        <v>1</v>
      </c>
      <c r="P292" s="72" t="s">
        <v>14</v>
      </c>
      <c r="Q292" s="72" t="s">
        <v>2557</v>
      </c>
      <c r="R292" s="72" t="s">
        <v>122</v>
      </c>
      <c r="S292" s="72" t="s">
        <v>1035</v>
      </c>
      <c r="T292" s="75" t="s">
        <v>23</v>
      </c>
      <c r="U292" s="75" t="s">
        <v>3997</v>
      </c>
      <c r="V292" s="75" t="s">
        <v>4006</v>
      </c>
      <c r="W292" s="72" t="s">
        <v>2558</v>
      </c>
      <c r="X292" s="72">
        <v>270</v>
      </c>
      <c r="Y292" s="72">
        <v>10</v>
      </c>
      <c r="Z292" s="72">
        <v>63.723640000000003</v>
      </c>
      <c r="AA292" s="72">
        <v>148.89089999999999</v>
      </c>
      <c r="AB292" s="62">
        <f t="shared" si="4"/>
        <v>212.61453999999998</v>
      </c>
      <c r="AC292" s="118"/>
      <c r="AD292" s="118"/>
      <c r="AE292" s="72"/>
      <c r="AF292" s="72"/>
      <c r="AG292" s="72"/>
      <c r="AH292" s="72">
        <v>0</v>
      </c>
      <c r="AI292" s="72">
        <v>0</v>
      </c>
      <c r="AJ292" s="72">
        <v>0</v>
      </c>
      <c r="AK292" s="72">
        <v>0</v>
      </c>
      <c r="AL292" s="72">
        <v>4</v>
      </c>
      <c r="AM292" s="72"/>
      <c r="AN292" s="72">
        <v>4</v>
      </c>
      <c r="AO292" s="72" t="s">
        <v>188</v>
      </c>
      <c r="AP292" s="72"/>
      <c r="AQ292" s="72"/>
      <c r="AR292" s="72"/>
      <c r="AS292" s="59"/>
      <c r="AT292" s="59"/>
      <c r="AU292" s="59"/>
      <c r="AV292" s="59"/>
    </row>
    <row r="293" spans="1:48" s="77" customFormat="1" x14ac:dyDescent="0.2">
      <c r="A293" s="72" t="s">
        <v>2580</v>
      </c>
      <c r="B293" s="72" t="s">
        <v>2581</v>
      </c>
      <c r="C293" s="72">
        <v>3</v>
      </c>
      <c r="D293" s="72">
        <v>1</v>
      </c>
      <c r="E293" s="72" t="s">
        <v>834</v>
      </c>
      <c r="F293" s="73">
        <v>43550</v>
      </c>
      <c r="G293" s="73" t="s">
        <v>4026</v>
      </c>
      <c r="H293" s="74">
        <v>3.888888888888889E-2</v>
      </c>
      <c r="I293" s="75" t="s">
        <v>2576</v>
      </c>
      <c r="J293" s="72" t="s">
        <v>466</v>
      </c>
      <c r="K293" s="72" t="s">
        <v>187</v>
      </c>
      <c r="L293" s="72" t="s">
        <v>23</v>
      </c>
      <c r="M293" s="72">
        <v>1</v>
      </c>
      <c r="N293" s="72">
        <v>0</v>
      </c>
      <c r="O293" s="72">
        <v>1</v>
      </c>
      <c r="P293" s="72" t="s">
        <v>14</v>
      </c>
      <c r="Q293" s="72" t="s">
        <v>2582</v>
      </c>
      <c r="R293" s="72" t="s">
        <v>122</v>
      </c>
      <c r="S293" s="72" t="s">
        <v>2088</v>
      </c>
      <c r="T293" s="75" t="s">
        <v>23</v>
      </c>
      <c r="U293" s="75" t="s">
        <v>3997</v>
      </c>
      <c r="V293" s="75" t="s">
        <v>4021</v>
      </c>
      <c r="W293" s="72" t="s">
        <v>2551</v>
      </c>
      <c r="X293" s="72">
        <v>335</v>
      </c>
      <c r="Y293" s="72">
        <v>3</v>
      </c>
      <c r="Z293" s="72">
        <v>63.73948</v>
      </c>
      <c r="AA293" s="72">
        <v>148.89815999999999</v>
      </c>
      <c r="AB293" s="62">
        <f t="shared" si="4"/>
        <v>212.63763999999998</v>
      </c>
      <c r="AC293" s="118"/>
      <c r="AD293" s="118"/>
      <c r="AE293" s="72"/>
      <c r="AF293" s="72"/>
      <c r="AG293" s="72"/>
      <c r="AH293" s="72">
        <v>0</v>
      </c>
      <c r="AI293" s="72">
        <v>0</v>
      </c>
      <c r="AJ293" s="72">
        <v>0</v>
      </c>
      <c r="AK293" s="72">
        <v>0</v>
      </c>
      <c r="AL293" s="72">
        <v>34</v>
      </c>
      <c r="AM293" s="72"/>
      <c r="AN293" s="72">
        <v>34</v>
      </c>
      <c r="AO293" s="72"/>
      <c r="AP293" s="72" t="s">
        <v>2583</v>
      </c>
      <c r="AQ293" s="72"/>
      <c r="AR293" s="72"/>
      <c r="AS293" s="72"/>
      <c r="AT293" s="72"/>
      <c r="AU293" s="72"/>
      <c r="AV293" s="72"/>
    </row>
    <row r="294" spans="1:48" s="77" customFormat="1" x14ac:dyDescent="0.2">
      <c r="A294" s="72" t="s">
        <v>2546</v>
      </c>
      <c r="B294" s="72" t="s">
        <v>2547</v>
      </c>
      <c r="C294" s="72">
        <v>2</v>
      </c>
      <c r="D294" s="72">
        <v>1</v>
      </c>
      <c r="E294" s="72" t="s">
        <v>324</v>
      </c>
      <c r="F294" s="73">
        <v>43550</v>
      </c>
      <c r="G294" s="73" t="s">
        <v>4026</v>
      </c>
      <c r="H294" s="74">
        <v>2.4305555555555556E-2</v>
      </c>
      <c r="I294" s="75" t="s">
        <v>640</v>
      </c>
      <c r="J294" s="72" t="s">
        <v>325</v>
      </c>
      <c r="K294" s="72" t="s">
        <v>156</v>
      </c>
      <c r="L294" s="72" t="s">
        <v>12</v>
      </c>
      <c r="M294" s="72">
        <v>0</v>
      </c>
      <c r="N294" s="72">
        <v>0</v>
      </c>
      <c r="O294" s="72">
        <v>2</v>
      </c>
      <c r="P294" s="72" t="s">
        <v>24</v>
      </c>
      <c r="Q294" s="72" t="s">
        <v>24</v>
      </c>
      <c r="R294" s="72" t="s">
        <v>24</v>
      </c>
      <c r="S294" s="72" t="s">
        <v>1027</v>
      </c>
      <c r="T294" s="75" t="s">
        <v>12</v>
      </c>
      <c r="U294" s="75" t="s">
        <v>3997</v>
      </c>
      <c r="V294" s="75" t="s">
        <v>4005</v>
      </c>
      <c r="W294" s="72" t="s">
        <v>24</v>
      </c>
      <c r="X294" s="72" t="s">
        <v>24</v>
      </c>
      <c r="Y294" s="72" t="s">
        <v>24</v>
      </c>
      <c r="Z294" s="72" t="s">
        <v>24</v>
      </c>
      <c r="AA294" s="72" t="s">
        <v>24</v>
      </c>
      <c r="AB294" s="62" t="e">
        <f t="shared" si="4"/>
        <v>#VALUE!</v>
      </c>
      <c r="AC294" s="118"/>
      <c r="AD294" s="118"/>
      <c r="AE294" s="72"/>
      <c r="AF294" s="72"/>
      <c r="AG294" s="72"/>
      <c r="AH294" s="72">
        <v>0</v>
      </c>
      <c r="AI294" s="72">
        <v>0</v>
      </c>
      <c r="AJ294" s="72">
        <v>0</v>
      </c>
      <c r="AK294" s="72">
        <v>0</v>
      </c>
      <c r="AL294" s="72">
        <v>0</v>
      </c>
      <c r="AM294" s="72"/>
      <c r="AN294" s="72">
        <v>0</v>
      </c>
      <c r="AO294" s="72"/>
      <c r="AP294" s="72" t="s">
        <v>2548</v>
      </c>
      <c r="AQ294" s="72"/>
      <c r="AR294" s="72"/>
      <c r="AS294" s="82"/>
      <c r="AT294" s="82"/>
      <c r="AU294" s="82"/>
      <c r="AV294" s="82"/>
    </row>
    <row r="295" spans="1:48" s="82" customFormat="1" x14ac:dyDescent="0.2">
      <c r="A295" s="72" t="s">
        <v>2739</v>
      </c>
      <c r="B295" s="72" t="s">
        <v>2740</v>
      </c>
      <c r="C295" s="72">
        <v>7</v>
      </c>
      <c r="D295" s="72">
        <v>2</v>
      </c>
      <c r="E295" s="72" t="s">
        <v>834</v>
      </c>
      <c r="F295" s="73">
        <v>43554</v>
      </c>
      <c r="G295" s="73" t="s">
        <v>4026</v>
      </c>
      <c r="H295" s="74">
        <v>0.11319444444444444</v>
      </c>
      <c r="I295" s="72"/>
      <c r="J295" s="72" t="s">
        <v>466</v>
      </c>
      <c r="K295" s="72" t="s">
        <v>187</v>
      </c>
      <c r="L295" s="72" t="s">
        <v>115</v>
      </c>
      <c r="M295" s="72">
        <v>1</v>
      </c>
      <c r="N295" s="72">
        <v>0</v>
      </c>
      <c r="O295" s="72">
        <v>1</v>
      </c>
      <c r="P295" s="72" t="s">
        <v>598</v>
      </c>
      <c r="Q295" s="75" t="s">
        <v>2741</v>
      </c>
      <c r="R295" s="75" t="s">
        <v>122</v>
      </c>
      <c r="S295" s="75" t="s">
        <v>2088</v>
      </c>
      <c r="T295" s="75" t="s">
        <v>23</v>
      </c>
      <c r="U295" s="75" t="s">
        <v>3997</v>
      </c>
      <c r="V295" s="75" t="s">
        <v>4021</v>
      </c>
      <c r="W295" s="75" t="s">
        <v>2457</v>
      </c>
      <c r="X295" s="72">
        <v>40</v>
      </c>
      <c r="Y295" s="75" t="s">
        <v>24</v>
      </c>
      <c r="Z295" s="72">
        <v>63.739150000000002</v>
      </c>
      <c r="AA295" s="72">
        <v>148.90440000000001</v>
      </c>
      <c r="AB295" s="62">
        <f t="shared" si="4"/>
        <v>212.64355</v>
      </c>
      <c r="AC295" s="118"/>
      <c r="AD295" s="118"/>
      <c r="AE295" s="75" t="s">
        <v>115</v>
      </c>
      <c r="AF295" s="75" t="s">
        <v>115</v>
      </c>
      <c r="AG295" s="75"/>
      <c r="AH295" s="72">
        <v>0</v>
      </c>
      <c r="AI295" s="72">
        <v>0</v>
      </c>
      <c r="AJ295" s="72">
        <v>0</v>
      </c>
      <c r="AK295" s="72">
        <v>0</v>
      </c>
      <c r="AL295" s="72">
        <v>0</v>
      </c>
      <c r="AM295" s="72"/>
      <c r="AN295" s="72">
        <v>0</v>
      </c>
      <c r="AO295" s="72" t="s">
        <v>188</v>
      </c>
      <c r="AP295" s="72" t="s">
        <v>2758</v>
      </c>
      <c r="AQ295" s="72"/>
      <c r="AR295" s="72"/>
    </row>
    <row r="296" spans="1:48" s="77" customFormat="1" x14ac:dyDescent="0.2">
      <c r="A296" s="72" t="s">
        <v>2753</v>
      </c>
      <c r="B296" s="72" t="s">
        <v>2754</v>
      </c>
      <c r="C296" s="72">
        <v>13</v>
      </c>
      <c r="D296" s="72">
        <v>1</v>
      </c>
      <c r="E296" s="72" t="s">
        <v>834</v>
      </c>
      <c r="F296" s="73">
        <v>43554</v>
      </c>
      <c r="G296" s="73" t="s">
        <v>4026</v>
      </c>
      <c r="H296" s="74">
        <v>5.347222222222222E-2</v>
      </c>
      <c r="I296" s="72"/>
      <c r="J296" s="72" t="s">
        <v>466</v>
      </c>
      <c r="K296" s="72" t="s">
        <v>242</v>
      </c>
      <c r="L296" s="72" t="s">
        <v>115</v>
      </c>
      <c r="M296" s="72">
        <v>0</v>
      </c>
      <c r="N296" s="72">
        <v>0</v>
      </c>
      <c r="O296" s="72">
        <v>1</v>
      </c>
      <c r="P296" s="72" t="s">
        <v>598</v>
      </c>
      <c r="Q296" s="75" t="s">
        <v>2802</v>
      </c>
      <c r="R296" s="75" t="s">
        <v>115</v>
      </c>
      <c r="S296" s="75" t="s">
        <v>2088</v>
      </c>
      <c r="T296" s="75" t="s">
        <v>23</v>
      </c>
      <c r="U296" s="75" t="s">
        <v>3997</v>
      </c>
      <c r="V296" s="75" t="s">
        <v>4021</v>
      </c>
      <c r="W296" s="75" t="s">
        <v>2558</v>
      </c>
      <c r="X296" s="72">
        <v>280</v>
      </c>
      <c r="Y296" s="72">
        <v>19</v>
      </c>
      <c r="Z296" s="72">
        <v>63.740380000000002</v>
      </c>
      <c r="AA296" s="72">
        <v>148.90360999999999</v>
      </c>
      <c r="AB296" s="62">
        <f t="shared" si="4"/>
        <v>212.64398999999997</v>
      </c>
      <c r="AC296" s="118"/>
      <c r="AD296" s="118"/>
      <c r="AE296" s="75" t="s">
        <v>115</v>
      </c>
      <c r="AF296" s="75" t="s">
        <v>115</v>
      </c>
      <c r="AG296" s="75"/>
      <c r="AH296" s="72">
        <v>0</v>
      </c>
      <c r="AI296" s="72">
        <v>0</v>
      </c>
      <c r="AJ296" s="72">
        <v>0</v>
      </c>
      <c r="AK296" s="72">
        <v>0</v>
      </c>
      <c r="AL296" s="72">
        <v>0</v>
      </c>
      <c r="AM296" s="72"/>
      <c r="AN296" s="72">
        <v>0</v>
      </c>
      <c r="AO296" s="72"/>
      <c r="AP296" s="72" t="s">
        <v>2755</v>
      </c>
      <c r="AQ296" s="72"/>
      <c r="AR296" s="72"/>
    </row>
    <row r="297" spans="1:48" s="77" customFormat="1" x14ac:dyDescent="0.2">
      <c r="A297" s="72" t="s">
        <v>2763</v>
      </c>
      <c r="B297" s="72" t="s">
        <v>2764</v>
      </c>
      <c r="C297" s="72">
        <v>17</v>
      </c>
      <c r="D297" s="72">
        <v>1</v>
      </c>
      <c r="E297" s="72" t="s">
        <v>834</v>
      </c>
      <c r="F297" s="73">
        <v>43554</v>
      </c>
      <c r="G297" s="73" t="s">
        <v>4026</v>
      </c>
      <c r="H297" s="74">
        <v>6.2499999999999995E-3</v>
      </c>
      <c r="I297" s="72"/>
      <c r="J297" s="72" t="s">
        <v>466</v>
      </c>
      <c r="K297" s="72" t="s">
        <v>111</v>
      </c>
      <c r="L297" s="72" t="s">
        <v>115</v>
      </c>
      <c r="M297" s="72">
        <v>0</v>
      </c>
      <c r="N297" s="72">
        <v>0</v>
      </c>
      <c r="O297" s="72">
        <v>1</v>
      </c>
      <c r="P297" s="72" t="s">
        <v>598</v>
      </c>
      <c r="Q297" s="75" t="s">
        <v>2437</v>
      </c>
      <c r="R297" s="75" t="s">
        <v>122</v>
      </c>
      <c r="S297" s="75" t="s">
        <v>2088</v>
      </c>
      <c r="T297" s="75"/>
      <c r="U297" s="75"/>
      <c r="V297" s="75"/>
      <c r="W297" s="72"/>
      <c r="X297" s="75">
        <v>315</v>
      </c>
      <c r="Y297" s="72">
        <v>20</v>
      </c>
      <c r="Z297" s="72">
        <v>63.740479999999998</v>
      </c>
      <c r="AA297" s="72">
        <v>148.90235999999999</v>
      </c>
      <c r="AB297" s="62">
        <f t="shared" si="4"/>
        <v>212.64283999999998</v>
      </c>
      <c r="AC297" s="118"/>
      <c r="AD297" s="118"/>
      <c r="AE297" s="75" t="s">
        <v>115</v>
      </c>
      <c r="AF297" s="75" t="s">
        <v>115</v>
      </c>
      <c r="AG297" s="75"/>
      <c r="AH297" s="72">
        <v>0</v>
      </c>
      <c r="AI297" s="72">
        <v>0</v>
      </c>
      <c r="AJ297" s="72">
        <v>0</v>
      </c>
      <c r="AK297" s="72">
        <v>0</v>
      </c>
      <c r="AL297" s="72">
        <v>0</v>
      </c>
      <c r="AM297" s="72"/>
      <c r="AN297" s="72">
        <v>0</v>
      </c>
      <c r="AO297" s="72"/>
      <c r="AP297" s="72" t="s">
        <v>2766</v>
      </c>
      <c r="AQ297" s="72"/>
      <c r="AR297" s="72"/>
      <c r="AS297" s="82"/>
      <c r="AT297" s="82"/>
      <c r="AU297" s="82"/>
      <c r="AV297" s="82"/>
    </row>
    <row r="298" spans="1:48" s="77" customFormat="1" x14ac:dyDescent="0.2">
      <c r="A298" s="72" t="s">
        <v>2786</v>
      </c>
      <c r="B298" s="72" t="s">
        <v>2787</v>
      </c>
      <c r="C298" s="72">
        <v>3</v>
      </c>
      <c r="D298" s="72">
        <v>1</v>
      </c>
      <c r="E298" s="72" t="s">
        <v>2781</v>
      </c>
      <c r="F298" s="73">
        <v>43556</v>
      </c>
      <c r="G298" s="73" t="s">
        <v>4027</v>
      </c>
      <c r="H298" s="74">
        <v>6.5277777777777782E-2</v>
      </c>
      <c r="I298" s="72"/>
      <c r="J298" s="72" t="s">
        <v>2782</v>
      </c>
      <c r="K298" s="72" t="s">
        <v>111</v>
      </c>
      <c r="L298" s="72" t="s">
        <v>23</v>
      </c>
      <c r="M298" s="72">
        <v>1</v>
      </c>
      <c r="N298" s="72">
        <v>0</v>
      </c>
      <c r="O298" s="72">
        <v>1</v>
      </c>
      <c r="P298" s="72" t="s">
        <v>176</v>
      </c>
      <c r="Q298" s="75" t="s">
        <v>24</v>
      </c>
      <c r="R298" s="75" t="s">
        <v>2383</v>
      </c>
      <c r="S298" s="75" t="s">
        <v>1035</v>
      </c>
      <c r="T298" s="75" t="s">
        <v>23</v>
      </c>
      <c r="U298" s="75" t="s">
        <v>3997</v>
      </c>
      <c r="V298" s="75" t="s">
        <v>4006</v>
      </c>
      <c r="W298" s="75" t="s">
        <v>2457</v>
      </c>
      <c r="X298" s="72">
        <v>50</v>
      </c>
      <c r="Y298" s="75" t="s">
        <v>24</v>
      </c>
      <c r="Z298" s="72">
        <v>63.725149999999999</v>
      </c>
      <c r="AA298" s="72">
        <v>148.98685</v>
      </c>
      <c r="AB298" s="62">
        <f t="shared" si="4"/>
        <v>212.71199999999999</v>
      </c>
      <c r="AC298" s="118"/>
      <c r="AD298" s="118"/>
      <c r="AE298" s="75" t="s">
        <v>115</v>
      </c>
      <c r="AF298" s="75" t="s">
        <v>115</v>
      </c>
      <c r="AG298" s="75"/>
      <c r="AH298" s="72">
        <v>0</v>
      </c>
      <c r="AI298" s="72">
        <v>0</v>
      </c>
      <c r="AJ298" s="72">
        <v>0</v>
      </c>
      <c r="AK298" s="72">
        <v>0</v>
      </c>
      <c r="AL298" s="72">
        <v>0</v>
      </c>
      <c r="AM298" s="72"/>
      <c r="AN298" s="72">
        <v>0</v>
      </c>
      <c r="AO298" s="72"/>
      <c r="AP298" s="72"/>
      <c r="AQ298" s="72"/>
      <c r="AR298" s="72"/>
      <c r="AS298" s="82"/>
      <c r="AT298" s="82"/>
      <c r="AU298" s="82"/>
      <c r="AV298" s="82"/>
    </row>
    <row r="299" spans="1:48" s="77" customFormat="1" x14ac:dyDescent="0.2">
      <c r="A299" s="72" t="s">
        <v>2823</v>
      </c>
      <c r="B299" s="72" t="s">
        <v>2824</v>
      </c>
      <c r="C299" s="72">
        <v>17</v>
      </c>
      <c r="D299" s="72">
        <v>1</v>
      </c>
      <c r="E299" s="72" t="s">
        <v>138</v>
      </c>
      <c r="F299" s="73">
        <v>43556</v>
      </c>
      <c r="G299" s="73" t="s">
        <v>4027</v>
      </c>
      <c r="H299" s="74">
        <v>5.5555555555555558E-3</v>
      </c>
      <c r="I299" s="72"/>
      <c r="J299" s="72" t="s">
        <v>173</v>
      </c>
      <c r="K299" s="72" t="s">
        <v>111</v>
      </c>
      <c r="L299" s="72" t="s">
        <v>23</v>
      </c>
      <c r="M299" s="72">
        <v>0</v>
      </c>
      <c r="N299" s="72">
        <v>0</v>
      </c>
      <c r="O299" s="72">
        <v>1</v>
      </c>
      <c r="P299" s="72" t="s">
        <v>598</v>
      </c>
      <c r="Q299" s="75" t="s">
        <v>2802</v>
      </c>
      <c r="R299" s="75" t="s">
        <v>122</v>
      </c>
      <c r="S299" s="75" t="s">
        <v>1035</v>
      </c>
      <c r="T299" s="75" t="s">
        <v>23</v>
      </c>
      <c r="U299" s="75" t="s">
        <v>3997</v>
      </c>
      <c r="V299" s="75" t="s">
        <v>4006</v>
      </c>
      <c r="W299" s="75" t="s">
        <v>2825</v>
      </c>
      <c r="X299" s="72">
        <v>105</v>
      </c>
      <c r="Y299" s="72">
        <v>30</v>
      </c>
      <c r="Z299" s="72">
        <v>63.724870000000003</v>
      </c>
      <c r="AA299" s="72">
        <v>148.95508000000001</v>
      </c>
      <c r="AB299" s="62">
        <f t="shared" si="4"/>
        <v>212.67995000000002</v>
      </c>
      <c r="AC299" s="118"/>
      <c r="AD299" s="118"/>
      <c r="AE299" s="72">
        <v>0</v>
      </c>
      <c r="AF299" s="72">
        <v>0</v>
      </c>
      <c r="AG299" s="72"/>
      <c r="AH299" s="72">
        <v>0</v>
      </c>
      <c r="AI299" s="72">
        <v>0</v>
      </c>
      <c r="AJ299" s="72">
        <v>0</v>
      </c>
      <c r="AK299" s="72">
        <v>0</v>
      </c>
      <c r="AL299" s="72">
        <v>0</v>
      </c>
      <c r="AM299" s="72"/>
      <c r="AN299" s="72">
        <v>0</v>
      </c>
      <c r="AO299" s="72"/>
      <c r="AP299" s="72" t="s">
        <v>2826</v>
      </c>
      <c r="AQ299" s="72"/>
      <c r="AR299" s="72"/>
    </row>
    <row r="300" spans="1:48" s="82" customFormat="1" x14ac:dyDescent="0.2">
      <c r="A300" s="72" t="s">
        <v>2815</v>
      </c>
      <c r="B300" s="72" t="s">
        <v>2816</v>
      </c>
      <c r="C300" s="72">
        <v>14</v>
      </c>
      <c r="D300" s="72">
        <v>1</v>
      </c>
      <c r="E300" s="72" t="s">
        <v>138</v>
      </c>
      <c r="F300" s="73">
        <v>43556</v>
      </c>
      <c r="G300" s="73" t="s">
        <v>4027</v>
      </c>
      <c r="H300" s="74">
        <v>9.1666666666666674E-2</v>
      </c>
      <c r="I300" s="72"/>
      <c r="J300" s="72" t="s">
        <v>173</v>
      </c>
      <c r="K300" s="72" t="s">
        <v>187</v>
      </c>
      <c r="L300" s="72" t="s">
        <v>23</v>
      </c>
      <c r="M300" s="72">
        <v>1</v>
      </c>
      <c r="N300" s="72">
        <v>0</v>
      </c>
      <c r="O300" s="72">
        <v>1</v>
      </c>
      <c r="P300" s="72" t="s">
        <v>176</v>
      </c>
      <c r="Q300" s="75" t="s">
        <v>24</v>
      </c>
      <c r="R300" s="75" t="s">
        <v>122</v>
      </c>
      <c r="S300" s="75" t="s">
        <v>2088</v>
      </c>
      <c r="T300" s="75" t="s">
        <v>23</v>
      </c>
      <c r="U300" s="75" t="s">
        <v>3997</v>
      </c>
      <c r="V300" s="75" t="s">
        <v>4021</v>
      </c>
      <c r="W300" s="75" t="s">
        <v>2558</v>
      </c>
      <c r="X300" s="72">
        <v>280</v>
      </c>
      <c r="Y300" s="72">
        <v>5</v>
      </c>
      <c r="Z300" s="72">
        <v>63.724850000000004</v>
      </c>
      <c r="AA300" s="72">
        <v>148.95644999999999</v>
      </c>
      <c r="AB300" s="62">
        <f t="shared" si="4"/>
        <v>212.68129999999999</v>
      </c>
      <c r="AC300" s="118"/>
      <c r="AD300" s="118"/>
      <c r="AE300" s="72">
        <v>0</v>
      </c>
      <c r="AF300" s="72">
        <v>0</v>
      </c>
      <c r="AG300" s="72"/>
      <c r="AH300" s="72">
        <v>0</v>
      </c>
      <c r="AI300" s="72">
        <v>0</v>
      </c>
      <c r="AJ300" s="72">
        <v>0</v>
      </c>
      <c r="AK300" s="72">
        <v>0</v>
      </c>
      <c r="AL300" s="72">
        <v>0</v>
      </c>
      <c r="AM300" s="72"/>
      <c r="AN300" s="72">
        <v>0</v>
      </c>
      <c r="AO300" s="72"/>
      <c r="AP300" s="72" t="s">
        <v>2817</v>
      </c>
      <c r="AQ300" s="72"/>
      <c r="AR300" s="72"/>
      <c r="AS300" s="77"/>
      <c r="AT300" s="77"/>
      <c r="AU300" s="77"/>
      <c r="AV300" s="77"/>
    </row>
    <row r="301" spans="1:48" s="82" customFormat="1" x14ac:dyDescent="0.2">
      <c r="A301" s="72" t="s">
        <v>2848</v>
      </c>
      <c r="B301" s="72" t="s">
        <v>2849</v>
      </c>
      <c r="C301" s="72">
        <v>4</v>
      </c>
      <c r="D301" s="72">
        <v>1</v>
      </c>
      <c r="E301" s="72" t="s">
        <v>140</v>
      </c>
      <c r="F301" s="73">
        <v>43557</v>
      </c>
      <c r="G301" s="73" t="s">
        <v>4027</v>
      </c>
      <c r="H301" s="74">
        <v>1.8749999999999999E-2</v>
      </c>
      <c r="I301" s="74"/>
      <c r="J301" s="72" t="s">
        <v>149</v>
      </c>
      <c r="K301" s="72" t="s">
        <v>111</v>
      </c>
      <c r="L301" s="72" t="s">
        <v>23</v>
      </c>
      <c r="M301" s="72">
        <v>1</v>
      </c>
      <c r="N301" s="72">
        <v>0</v>
      </c>
      <c r="O301" s="72">
        <v>1</v>
      </c>
      <c r="P301" s="72" t="s">
        <v>176</v>
      </c>
      <c r="Q301" s="75" t="s">
        <v>24</v>
      </c>
      <c r="R301" s="75" t="s">
        <v>122</v>
      </c>
      <c r="S301" s="75" t="s">
        <v>1035</v>
      </c>
      <c r="T301" s="75" t="s">
        <v>23</v>
      </c>
      <c r="U301" s="75" t="s">
        <v>3997</v>
      </c>
      <c r="V301" s="75" t="s">
        <v>4006</v>
      </c>
      <c r="W301" s="72" t="s">
        <v>2850</v>
      </c>
      <c r="X301" s="75">
        <v>115</v>
      </c>
      <c r="Y301" s="72">
        <v>21</v>
      </c>
      <c r="Z301" s="72">
        <v>63.724209999999999</v>
      </c>
      <c r="AA301" s="72">
        <v>148.95044999999999</v>
      </c>
      <c r="AB301" s="62">
        <f t="shared" si="4"/>
        <v>212.67465999999999</v>
      </c>
      <c r="AC301" s="118"/>
      <c r="AD301" s="118"/>
      <c r="AE301" s="75" t="s">
        <v>115</v>
      </c>
      <c r="AF301" s="75" t="s">
        <v>115</v>
      </c>
      <c r="AG301" s="75"/>
      <c r="AH301" s="72">
        <v>0</v>
      </c>
      <c r="AI301" s="72">
        <v>0</v>
      </c>
      <c r="AJ301" s="72">
        <v>0</v>
      </c>
      <c r="AK301" s="72">
        <v>0</v>
      </c>
      <c r="AL301" s="72">
        <v>0</v>
      </c>
      <c r="AM301" s="72"/>
      <c r="AN301" s="72">
        <v>0</v>
      </c>
      <c r="AO301" s="72"/>
      <c r="AP301" s="72" t="s">
        <v>2851</v>
      </c>
      <c r="AQ301" s="72"/>
      <c r="AR301" s="72"/>
    </row>
    <row r="302" spans="1:48" s="77" customFormat="1" x14ac:dyDescent="0.2">
      <c r="A302" s="72" t="s">
        <v>2909</v>
      </c>
      <c r="B302" s="72" t="s">
        <v>2910</v>
      </c>
      <c r="C302" s="72">
        <v>3</v>
      </c>
      <c r="D302" s="72">
        <v>1</v>
      </c>
      <c r="E302" s="72" t="s">
        <v>2601</v>
      </c>
      <c r="F302" s="73">
        <v>43558</v>
      </c>
      <c r="G302" s="73" t="s">
        <v>4027</v>
      </c>
      <c r="H302" s="74">
        <v>3.472222222222222E-3</v>
      </c>
      <c r="I302" s="72"/>
      <c r="J302" s="72" t="s">
        <v>173</v>
      </c>
      <c r="K302" s="72" t="s">
        <v>111</v>
      </c>
      <c r="L302" s="72" t="s">
        <v>23</v>
      </c>
      <c r="M302" s="72">
        <v>0</v>
      </c>
      <c r="N302" s="72">
        <v>0</v>
      </c>
      <c r="O302" s="72">
        <v>1</v>
      </c>
      <c r="P302" s="72" t="s">
        <v>598</v>
      </c>
      <c r="Q302" s="75" t="s">
        <v>2911</v>
      </c>
      <c r="R302" s="75" t="s">
        <v>122</v>
      </c>
      <c r="S302" s="75" t="s">
        <v>2088</v>
      </c>
      <c r="T302" s="75" t="s">
        <v>23</v>
      </c>
      <c r="U302" s="75" t="s">
        <v>3997</v>
      </c>
      <c r="V302" s="75" t="s">
        <v>4021</v>
      </c>
      <c r="W302" s="75" t="s">
        <v>2912</v>
      </c>
      <c r="X302" s="72">
        <v>220</v>
      </c>
      <c r="Y302" s="72" t="s">
        <v>24</v>
      </c>
      <c r="Z302" s="72">
        <v>63.725769999999997</v>
      </c>
      <c r="AA302" s="72">
        <v>148.95903000000001</v>
      </c>
      <c r="AB302" s="62">
        <f t="shared" si="4"/>
        <v>212.6848</v>
      </c>
      <c r="AC302" s="118"/>
      <c r="AD302" s="118"/>
      <c r="AE302" s="75" t="s">
        <v>115</v>
      </c>
      <c r="AF302" s="75" t="s">
        <v>115</v>
      </c>
      <c r="AG302" s="75"/>
      <c r="AH302" s="72">
        <v>0</v>
      </c>
      <c r="AI302" s="72">
        <v>0</v>
      </c>
      <c r="AJ302" s="72">
        <v>0</v>
      </c>
      <c r="AK302" s="72">
        <v>0</v>
      </c>
      <c r="AL302" s="72">
        <v>0</v>
      </c>
      <c r="AM302" s="72"/>
      <c r="AN302" s="72">
        <v>0</v>
      </c>
      <c r="AO302" s="72"/>
      <c r="AP302" s="72" t="s">
        <v>2913</v>
      </c>
      <c r="AQ302" s="72"/>
      <c r="AR302" s="72"/>
    </row>
    <row r="303" spans="1:48" s="77" customFormat="1" x14ac:dyDescent="0.2">
      <c r="A303" s="72" t="s">
        <v>2962</v>
      </c>
      <c r="B303" s="72" t="s">
        <v>2963</v>
      </c>
      <c r="C303" s="72">
        <v>16</v>
      </c>
      <c r="D303" s="72">
        <v>1</v>
      </c>
      <c r="E303" s="72" t="s">
        <v>834</v>
      </c>
      <c r="F303" s="73">
        <v>43560</v>
      </c>
      <c r="G303" s="73" t="s">
        <v>4027</v>
      </c>
      <c r="H303" s="74">
        <v>8.7500000000000008E-2</v>
      </c>
      <c r="I303" s="72"/>
      <c r="J303" s="72" t="s">
        <v>466</v>
      </c>
      <c r="K303" s="72" t="s">
        <v>111</v>
      </c>
      <c r="L303" s="72" t="s">
        <v>23</v>
      </c>
      <c r="M303" s="72">
        <v>0</v>
      </c>
      <c r="N303" s="72">
        <v>0</v>
      </c>
      <c r="O303" s="72">
        <v>1</v>
      </c>
      <c r="P303" s="72" t="s">
        <v>598</v>
      </c>
      <c r="Q303" s="75" t="s">
        <v>2801</v>
      </c>
      <c r="R303" s="75" t="s">
        <v>115</v>
      </c>
      <c r="S303" s="75" t="s">
        <v>2088</v>
      </c>
      <c r="T303" s="75" t="s">
        <v>23</v>
      </c>
      <c r="U303" s="75" t="s">
        <v>3997</v>
      </c>
      <c r="V303" s="75" t="s">
        <v>4021</v>
      </c>
      <c r="W303" s="72"/>
      <c r="X303" s="72">
        <v>60</v>
      </c>
      <c r="Y303" s="72">
        <v>15</v>
      </c>
      <c r="Z303" s="72">
        <v>63.738950000000003</v>
      </c>
      <c r="AA303" s="72">
        <v>148.89493999999999</v>
      </c>
      <c r="AB303" s="62">
        <f t="shared" si="4"/>
        <v>212.63389000000001</v>
      </c>
      <c r="AC303" s="118"/>
      <c r="AD303" s="118"/>
      <c r="AE303" s="75" t="s">
        <v>115</v>
      </c>
      <c r="AF303" s="75" t="s">
        <v>115</v>
      </c>
      <c r="AG303" s="75"/>
      <c r="AH303" s="72">
        <v>0</v>
      </c>
      <c r="AI303" s="72">
        <v>0</v>
      </c>
      <c r="AJ303" s="72">
        <v>0</v>
      </c>
      <c r="AK303" s="72">
        <v>0</v>
      </c>
      <c r="AL303" s="72">
        <v>81</v>
      </c>
      <c r="AM303" s="72"/>
      <c r="AN303" s="72">
        <v>81</v>
      </c>
      <c r="AO303" s="72" t="s">
        <v>188</v>
      </c>
      <c r="AP303" s="72"/>
      <c r="AQ303" s="72"/>
      <c r="AR303" s="72"/>
      <c r="AS303" s="72"/>
      <c r="AT303" s="72"/>
      <c r="AU303" s="72"/>
      <c r="AV303" s="72"/>
    </row>
    <row r="304" spans="1:48" s="77" customFormat="1" x14ac:dyDescent="0.2">
      <c r="A304" s="72" t="s">
        <v>2972</v>
      </c>
      <c r="B304" s="72" t="s">
        <v>2973</v>
      </c>
      <c r="C304" s="72">
        <v>21</v>
      </c>
      <c r="D304" s="72">
        <v>1</v>
      </c>
      <c r="E304" s="72" t="s">
        <v>834</v>
      </c>
      <c r="F304" s="73">
        <v>43560</v>
      </c>
      <c r="G304" s="73" t="s">
        <v>4027</v>
      </c>
      <c r="H304" s="74">
        <v>4.8611111111111112E-3</v>
      </c>
      <c r="I304" s="72"/>
      <c r="J304" s="72" t="s">
        <v>466</v>
      </c>
      <c r="K304" s="72" t="s">
        <v>111</v>
      </c>
      <c r="L304" s="72" t="s">
        <v>23</v>
      </c>
      <c r="M304" s="72">
        <v>0</v>
      </c>
      <c r="N304" s="72">
        <v>0</v>
      </c>
      <c r="O304" s="72">
        <v>1</v>
      </c>
      <c r="P304" s="72" t="s">
        <v>598</v>
      </c>
      <c r="Q304" s="75" t="s">
        <v>2801</v>
      </c>
      <c r="R304" s="75" t="s">
        <v>115</v>
      </c>
      <c r="S304" s="75" t="s">
        <v>1035</v>
      </c>
      <c r="T304" s="75" t="s">
        <v>23</v>
      </c>
      <c r="U304" s="75" t="s">
        <v>3997</v>
      </c>
      <c r="V304" s="75" t="s">
        <v>4006</v>
      </c>
      <c r="W304" s="72"/>
      <c r="X304" s="72">
        <v>160</v>
      </c>
      <c r="Y304" s="72"/>
      <c r="Z304" s="72">
        <v>63.739040000000003</v>
      </c>
      <c r="AA304" s="72">
        <v>148.89462</v>
      </c>
      <c r="AB304" s="62">
        <f t="shared" si="4"/>
        <v>212.63366000000002</v>
      </c>
      <c r="AC304" s="118"/>
      <c r="AD304" s="118"/>
      <c r="AE304" s="75" t="s">
        <v>115</v>
      </c>
      <c r="AF304" s="75" t="s">
        <v>115</v>
      </c>
      <c r="AG304" s="75"/>
      <c r="AH304" s="72">
        <v>0</v>
      </c>
      <c r="AI304" s="72">
        <v>0</v>
      </c>
      <c r="AJ304" s="72">
        <v>0</v>
      </c>
      <c r="AK304" s="72">
        <v>0</v>
      </c>
      <c r="AL304" s="72">
        <v>0</v>
      </c>
      <c r="AM304" s="72"/>
      <c r="AN304" s="72">
        <v>0</v>
      </c>
      <c r="AO304" s="72"/>
      <c r="AP304" s="72"/>
      <c r="AQ304" s="72"/>
      <c r="AR304" s="72"/>
      <c r="AS304" s="72"/>
      <c r="AT304" s="72"/>
      <c r="AU304" s="72"/>
      <c r="AV304" s="72"/>
    </row>
    <row r="305" spans="1:48" s="82" customFormat="1" x14ac:dyDescent="0.2">
      <c r="A305" s="72" t="s">
        <v>2935</v>
      </c>
      <c r="B305" s="72" t="s">
        <v>2936</v>
      </c>
      <c r="C305" s="72">
        <v>4</v>
      </c>
      <c r="D305" s="72">
        <v>1</v>
      </c>
      <c r="E305" s="72" t="s">
        <v>834</v>
      </c>
      <c r="F305" s="73">
        <v>43560</v>
      </c>
      <c r="G305" s="73" t="s">
        <v>4027</v>
      </c>
      <c r="H305" s="74">
        <v>2.2916666666666669E-2</v>
      </c>
      <c r="I305" s="72"/>
      <c r="J305" s="72" t="s">
        <v>466</v>
      </c>
      <c r="K305" s="72" t="s">
        <v>111</v>
      </c>
      <c r="L305" s="72" t="s">
        <v>23</v>
      </c>
      <c r="M305" s="72">
        <v>0</v>
      </c>
      <c r="N305" s="72">
        <v>0</v>
      </c>
      <c r="O305" s="72">
        <v>1</v>
      </c>
      <c r="P305" s="72" t="s">
        <v>598</v>
      </c>
      <c r="Q305" s="75" t="s">
        <v>2801</v>
      </c>
      <c r="R305" s="75" t="s">
        <v>115</v>
      </c>
      <c r="S305" s="75" t="s">
        <v>2088</v>
      </c>
      <c r="T305" s="75" t="s">
        <v>23</v>
      </c>
      <c r="U305" s="75" t="s">
        <v>3997</v>
      </c>
      <c r="V305" s="75" t="s">
        <v>4021</v>
      </c>
      <c r="W305" s="75" t="s">
        <v>2551</v>
      </c>
      <c r="X305" s="72">
        <v>340</v>
      </c>
      <c r="Y305" s="72">
        <v>10</v>
      </c>
      <c r="Z305" s="72">
        <v>63.738860000000003</v>
      </c>
      <c r="AA305" s="72">
        <v>148.89845</v>
      </c>
      <c r="AB305" s="62">
        <f t="shared" si="4"/>
        <v>212.63731000000001</v>
      </c>
      <c r="AC305" s="118"/>
      <c r="AD305" s="118"/>
      <c r="AE305" s="75" t="s">
        <v>115</v>
      </c>
      <c r="AF305" s="75" t="s">
        <v>115</v>
      </c>
      <c r="AG305" s="75"/>
      <c r="AH305" s="72">
        <v>0</v>
      </c>
      <c r="AI305" s="72">
        <v>0</v>
      </c>
      <c r="AJ305" s="72">
        <v>0</v>
      </c>
      <c r="AK305" s="72">
        <v>0</v>
      </c>
      <c r="AL305" s="72">
        <v>0</v>
      </c>
      <c r="AM305" s="72"/>
      <c r="AN305" s="72">
        <v>0</v>
      </c>
      <c r="AO305" s="72"/>
      <c r="AP305" s="72" t="s">
        <v>2937</v>
      </c>
      <c r="AQ305" s="72"/>
      <c r="AR305" s="72"/>
      <c r="AS305" s="72"/>
      <c r="AT305" s="72"/>
      <c r="AU305" s="72"/>
      <c r="AV305" s="72"/>
    </row>
    <row r="306" spans="1:48" s="77" customFormat="1" x14ac:dyDescent="0.2">
      <c r="A306" s="72" t="s">
        <v>2938</v>
      </c>
      <c r="B306" s="72" t="s">
        <v>2939</v>
      </c>
      <c r="C306" s="72">
        <v>5</v>
      </c>
      <c r="D306" s="72">
        <v>3</v>
      </c>
      <c r="E306" s="72" t="s">
        <v>834</v>
      </c>
      <c r="F306" s="73">
        <v>43560</v>
      </c>
      <c r="G306" s="73" t="s">
        <v>4027</v>
      </c>
      <c r="H306" s="74">
        <v>9.930555555555555E-2</v>
      </c>
      <c r="I306" s="72"/>
      <c r="J306" s="72" t="s">
        <v>466</v>
      </c>
      <c r="K306" s="72" t="s">
        <v>111</v>
      </c>
      <c r="L306" s="72" t="s">
        <v>23</v>
      </c>
      <c r="M306" s="72">
        <v>0</v>
      </c>
      <c r="N306" s="72">
        <v>0</v>
      </c>
      <c r="O306" s="72">
        <v>1</v>
      </c>
      <c r="P306" s="72" t="s">
        <v>598</v>
      </c>
      <c r="Q306" s="75" t="s">
        <v>2801</v>
      </c>
      <c r="R306" s="75" t="s">
        <v>115</v>
      </c>
      <c r="S306" s="75" t="s">
        <v>2088</v>
      </c>
      <c r="T306" s="75" t="s">
        <v>23</v>
      </c>
      <c r="U306" s="75" t="s">
        <v>3997</v>
      </c>
      <c r="V306" s="75" t="s">
        <v>4021</v>
      </c>
      <c r="W306" s="151"/>
      <c r="X306" s="75">
        <v>66</v>
      </c>
      <c r="Y306" s="72">
        <v>3</v>
      </c>
      <c r="Z306" s="72">
        <v>63.738750000000003</v>
      </c>
      <c r="AA306" s="72">
        <v>148.89812000000001</v>
      </c>
      <c r="AB306" s="62">
        <f t="shared" si="4"/>
        <v>212.63687000000002</v>
      </c>
      <c r="AC306" s="118"/>
      <c r="AD306" s="118"/>
      <c r="AE306" s="75" t="s">
        <v>115</v>
      </c>
      <c r="AF306" s="75" t="s">
        <v>115</v>
      </c>
      <c r="AG306" s="75"/>
      <c r="AH306" s="72">
        <v>0</v>
      </c>
      <c r="AI306" s="72">
        <v>0</v>
      </c>
      <c r="AJ306" s="72">
        <v>0</v>
      </c>
      <c r="AK306" s="72">
        <v>0</v>
      </c>
      <c r="AL306" s="72">
        <v>0</v>
      </c>
      <c r="AM306" s="72"/>
      <c r="AN306" s="72">
        <v>0</v>
      </c>
      <c r="AO306" s="72"/>
      <c r="AP306" s="72"/>
      <c r="AQ306" s="72"/>
      <c r="AR306" s="72"/>
      <c r="AS306" s="72"/>
      <c r="AT306" s="72"/>
      <c r="AU306" s="72"/>
      <c r="AV306" s="72"/>
    </row>
    <row r="307" spans="1:48" s="77" customFormat="1" x14ac:dyDescent="0.2">
      <c r="A307" s="72" t="s">
        <v>3013</v>
      </c>
      <c r="B307" s="72" t="s">
        <v>3014</v>
      </c>
      <c r="C307" s="72">
        <v>1</v>
      </c>
      <c r="D307" s="72">
        <v>1</v>
      </c>
      <c r="E307" s="72" t="s">
        <v>2487</v>
      </c>
      <c r="F307" s="73">
        <v>43564</v>
      </c>
      <c r="G307" s="73" t="s">
        <v>4027</v>
      </c>
      <c r="H307" s="74">
        <v>2.7083333333333334E-2</v>
      </c>
      <c r="I307" s="72"/>
      <c r="J307" s="72" t="s">
        <v>2488</v>
      </c>
      <c r="K307" s="72" t="s">
        <v>102</v>
      </c>
      <c r="L307" s="72" t="s">
        <v>115</v>
      </c>
      <c r="M307" s="72">
        <v>1</v>
      </c>
      <c r="N307" s="72">
        <v>0</v>
      </c>
      <c r="O307" s="72">
        <v>1</v>
      </c>
      <c r="P307" s="72" t="s">
        <v>598</v>
      </c>
      <c r="Q307" s="75" t="s">
        <v>2506</v>
      </c>
      <c r="R307" s="75" t="s">
        <v>122</v>
      </c>
      <c r="S307" s="75" t="s">
        <v>2088</v>
      </c>
      <c r="T307" s="75" t="s">
        <v>23</v>
      </c>
      <c r="U307" s="75" t="s">
        <v>3997</v>
      </c>
      <c r="V307" s="75" t="s">
        <v>4021</v>
      </c>
      <c r="W307" s="72" t="s">
        <v>2825</v>
      </c>
      <c r="X307" s="72">
        <v>95</v>
      </c>
      <c r="Y307" s="72">
        <v>1</v>
      </c>
      <c r="Z307" s="72">
        <v>63.71951</v>
      </c>
      <c r="AA307" s="72">
        <v>148.98781</v>
      </c>
      <c r="AB307" s="62">
        <f t="shared" si="4"/>
        <v>212.70731999999998</v>
      </c>
      <c r="AC307" s="118"/>
      <c r="AD307" s="118"/>
      <c r="AE307" s="75" t="s">
        <v>115</v>
      </c>
      <c r="AF307" s="75" t="s">
        <v>115</v>
      </c>
      <c r="AG307" s="75"/>
      <c r="AH307" s="72">
        <v>0</v>
      </c>
      <c r="AI307" s="72">
        <v>0</v>
      </c>
      <c r="AJ307" s="72">
        <v>0</v>
      </c>
      <c r="AK307" s="72">
        <v>0</v>
      </c>
      <c r="AL307" s="72">
        <v>5</v>
      </c>
      <c r="AM307" s="72"/>
      <c r="AN307" s="72">
        <v>5</v>
      </c>
      <c r="AO307" s="72" t="s">
        <v>188</v>
      </c>
      <c r="AP307" s="72" t="s">
        <v>3015</v>
      </c>
      <c r="AQ307" s="72"/>
      <c r="AR307" s="72"/>
      <c r="AS307" s="82"/>
      <c r="AT307" s="82"/>
      <c r="AU307" s="82"/>
      <c r="AV307" s="82"/>
    </row>
    <row r="308" spans="1:48" s="77" customFormat="1" x14ac:dyDescent="0.2">
      <c r="A308" s="72" t="s">
        <v>3036</v>
      </c>
      <c r="B308" s="72" t="s">
        <v>3037</v>
      </c>
      <c r="C308" s="72">
        <v>9</v>
      </c>
      <c r="D308" s="72">
        <v>1</v>
      </c>
      <c r="E308" s="72" t="s">
        <v>2487</v>
      </c>
      <c r="F308" s="73">
        <v>43564</v>
      </c>
      <c r="G308" s="73" t="s">
        <v>4027</v>
      </c>
      <c r="H308" s="74">
        <v>3.1944444444444449E-2</v>
      </c>
      <c r="I308" s="72"/>
      <c r="J308" s="72" t="s">
        <v>2498</v>
      </c>
      <c r="K308" s="72" t="s">
        <v>187</v>
      </c>
      <c r="L308" s="72" t="s">
        <v>23</v>
      </c>
      <c r="M308" s="72">
        <v>1</v>
      </c>
      <c r="N308" s="72">
        <v>0</v>
      </c>
      <c r="O308" s="72">
        <v>1</v>
      </c>
      <c r="P308" s="72" t="s">
        <v>598</v>
      </c>
      <c r="Q308" s="75" t="s">
        <v>2437</v>
      </c>
      <c r="R308" s="75" t="s">
        <v>122</v>
      </c>
      <c r="S308" s="75" t="s">
        <v>2088</v>
      </c>
      <c r="T308" s="75" t="s">
        <v>23</v>
      </c>
      <c r="U308" s="75" t="s">
        <v>3997</v>
      </c>
      <c r="V308" s="75" t="s">
        <v>4021</v>
      </c>
      <c r="W308" s="75" t="s">
        <v>2765</v>
      </c>
      <c r="X308" s="72">
        <v>330</v>
      </c>
      <c r="Y308" s="72">
        <v>5</v>
      </c>
      <c r="Z308" s="72">
        <v>63.719679999999997</v>
      </c>
      <c r="AA308" s="72">
        <v>148.98660000000001</v>
      </c>
      <c r="AB308" s="62">
        <f t="shared" si="4"/>
        <v>212.70627999999999</v>
      </c>
      <c r="AC308" s="118"/>
      <c r="AD308" s="118"/>
      <c r="AE308" s="75" t="s">
        <v>115</v>
      </c>
      <c r="AF308" s="75" t="s">
        <v>115</v>
      </c>
      <c r="AG308" s="75"/>
      <c r="AH308" s="72">
        <v>0</v>
      </c>
      <c r="AI308" s="72">
        <v>0</v>
      </c>
      <c r="AJ308" s="72">
        <v>0</v>
      </c>
      <c r="AK308" s="72">
        <v>0</v>
      </c>
      <c r="AL308" s="72">
        <v>7</v>
      </c>
      <c r="AM308" s="72"/>
      <c r="AN308" s="72">
        <v>7</v>
      </c>
      <c r="AO308" s="72" t="s">
        <v>188</v>
      </c>
      <c r="AP308" s="72"/>
      <c r="AQ308" s="72"/>
      <c r="AR308" s="72"/>
    </row>
    <row r="309" spans="1:48" s="82" customFormat="1" x14ac:dyDescent="0.2">
      <c r="A309" s="72" t="s">
        <v>3022</v>
      </c>
      <c r="B309" s="72" t="s">
        <v>3023</v>
      </c>
      <c r="C309" s="72">
        <v>4</v>
      </c>
      <c r="D309" s="72">
        <v>1</v>
      </c>
      <c r="E309" s="72" t="s">
        <v>2487</v>
      </c>
      <c r="F309" s="73">
        <v>43564</v>
      </c>
      <c r="G309" s="73" t="s">
        <v>4027</v>
      </c>
      <c r="H309" s="74">
        <v>5.7638888888888885E-2</v>
      </c>
      <c r="I309" s="72"/>
      <c r="J309" s="72" t="s">
        <v>2498</v>
      </c>
      <c r="K309" s="72" t="s">
        <v>156</v>
      </c>
      <c r="L309" s="72" t="s">
        <v>1196</v>
      </c>
      <c r="M309" s="72">
        <v>0</v>
      </c>
      <c r="N309" s="72">
        <v>0</v>
      </c>
      <c r="O309" s="72">
        <v>1</v>
      </c>
      <c r="P309" s="72" t="s">
        <v>598</v>
      </c>
      <c r="Q309" s="75" t="s">
        <v>3100</v>
      </c>
      <c r="R309" s="75" t="s">
        <v>122</v>
      </c>
      <c r="S309" s="75" t="s">
        <v>3024</v>
      </c>
      <c r="T309" s="75" t="s">
        <v>1196</v>
      </c>
      <c r="U309" s="75" t="s">
        <v>3997</v>
      </c>
      <c r="V309" s="75" t="s">
        <v>4020</v>
      </c>
      <c r="W309" s="75" t="s">
        <v>3025</v>
      </c>
      <c r="X309" s="75" t="s">
        <v>3025</v>
      </c>
      <c r="Y309" s="75" t="s">
        <v>3026</v>
      </c>
      <c r="Z309" s="72">
        <v>63.71922</v>
      </c>
      <c r="AA309" s="72">
        <v>148.98706000000001</v>
      </c>
      <c r="AB309" s="62">
        <f t="shared" si="4"/>
        <v>212.70628000000002</v>
      </c>
      <c r="AC309" s="118"/>
      <c r="AD309" s="118"/>
      <c r="AE309" s="75" t="s">
        <v>115</v>
      </c>
      <c r="AF309" s="75" t="s">
        <v>115</v>
      </c>
      <c r="AG309" s="75"/>
      <c r="AH309" s="72">
        <v>0</v>
      </c>
      <c r="AI309" s="72">
        <v>0</v>
      </c>
      <c r="AJ309" s="72">
        <v>0</v>
      </c>
      <c r="AK309" s="72">
        <v>0</v>
      </c>
      <c r="AL309" s="72">
        <v>65</v>
      </c>
      <c r="AM309" s="72"/>
      <c r="AN309" s="72">
        <v>65</v>
      </c>
      <c r="AO309" s="72"/>
      <c r="AP309" s="72" t="s">
        <v>3960</v>
      </c>
      <c r="AQ309" s="72"/>
      <c r="AR309" s="72"/>
      <c r="AS309" s="77"/>
      <c r="AT309" s="77"/>
      <c r="AU309" s="77"/>
      <c r="AV309" s="77"/>
    </row>
    <row r="310" spans="1:48" s="77" customFormat="1" x14ac:dyDescent="0.2">
      <c r="A310" s="72" t="s">
        <v>3090</v>
      </c>
      <c r="B310" s="72" t="s">
        <v>3091</v>
      </c>
      <c r="C310" s="72">
        <v>9</v>
      </c>
      <c r="D310" s="72">
        <v>1</v>
      </c>
      <c r="E310" s="72" t="s">
        <v>2601</v>
      </c>
      <c r="F310" s="73">
        <v>43570</v>
      </c>
      <c r="G310" s="73" t="s">
        <v>4027</v>
      </c>
      <c r="H310" s="74">
        <v>8.2638888888888887E-2</v>
      </c>
      <c r="I310" s="72" t="s">
        <v>101</v>
      </c>
      <c r="J310" s="72" t="s">
        <v>177</v>
      </c>
      <c r="K310" s="72" t="s">
        <v>111</v>
      </c>
      <c r="L310" s="72" t="s">
        <v>23</v>
      </c>
      <c r="M310" s="72">
        <v>0</v>
      </c>
      <c r="N310" s="72">
        <v>0</v>
      </c>
      <c r="O310" s="72">
        <v>1</v>
      </c>
      <c r="P310" s="72" t="s">
        <v>598</v>
      </c>
      <c r="Q310" s="75" t="s">
        <v>3089</v>
      </c>
      <c r="R310" s="72"/>
      <c r="S310" s="75" t="s">
        <v>2088</v>
      </c>
      <c r="T310" s="75" t="s">
        <v>23</v>
      </c>
      <c r="U310" s="75" t="s">
        <v>3997</v>
      </c>
      <c r="V310" s="75" t="s">
        <v>4021</v>
      </c>
      <c r="W310" s="72" t="s">
        <v>2551</v>
      </c>
      <c r="X310" s="72">
        <v>0</v>
      </c>
      <c r="Y310" s="72">
        <v>40</v>
      </c>
      <c r="Z310" s="72">
        <v>63.724319999999999</v>
      </c>
      <c r="AA310" s="72">
        <v>148.9547</v>
      </c>
      <c r="AB310" s="62">
        <f t="shared" si="4"/>
        <v>212.67902000000001</v>
      </c>
      <c r="AC310" s="118"/>
      <c r="AD310" s="118"/>
      <c r="AE310" s="75" t="s">
        <v>115</v>
      </c>
      <c r="AF310" s="75" t="s">
        <v>115</v>
      </c>
      <c r="AG310" s="75"/>
      <c r="AH310" s="72">
        <v>0</v>
      </c>
      <c r="AI310" s="72">
        <v>0</v>
      </c>
      <c r="AJ310" s="72">
        <v>0</v>
      </c>
      <c r="AK310" s="72">
        <v>0</v>
      </c>
      <c r="AL310" s="72">
        <v>0</v>
      </c>
      <c r="AM310" s="72"/>
      <c r="AN310" s="72">
        <v>0</v>
      </c>
      <c r="AO310" s="72"/>
      <c r="AP310" s="72" t="s">
        <v>3092</v>
      </c>
      <c r="AQ310" s="72"/>
      <c r="AR310" s="72"/>
    </row>
    <row r="311" spans="1:48" s="77" customFormat="1" x14ac:dyDescent="0.2">
      <c r="A311" s="72" t="s">
        <v>3167</v>
      </c>
      <c r="B311" s="72" t="s">
        <v>3168</v>
      </c>
      <c r="C311" s="72">
        <v>9</v>
      </c>
      <c r="D311" s="72">
        <v>1</v>
      </c>
      <c r="E311" s="72" t="s">
        <v>834</v>
      </c>
      <c r="F311" s="73">
        <v>43571</v>
      </c>
      <c r="G311" s="73" t="s">
        <v>4027</v>
      </c>
      <c r="H311" s="74">
        <v>2.9166666666666664E-2</v>
      </c>
      <c r="I311" s="72" t="s">
        <v>1278</v>
      </c>
      <c r="J311" s="72" t="s">
        <v>466</v>
      </c>
      <c r="K311" s="72" t="s">
        <v>111</v>
      </c>
      <c r="L311" s="72" t="s">
        <v>23</v>
      </c>
      <c r="M311" s="72">
        <v>0</v>
      </c>
      <c r="N311" s="72">
        <v>0</v>
      </c>
      <c r="O311" s="72">
        <v>1</v>
      </c>
      <c r="P311" s="72" t="s">
        <v>461</v>
      </c>
      <c r="Q311" s="75" t="s">
        <v>2605</v>
      </c>
      <c r="R311" s="75" t="s">
        <v>115</v>
      </c>
      <c r="S311" s="75" t="s">
        <v>709</v>
      </c>
      <c r="T311" s="75" t="s">
        <v>23</v>
      </c>
      <c r="U311" s="75" t="s">
        <v>4004</v>
      </c>
      <c r="V311" s="75" t="s">
        <v>4005</v>
      </c>
      <c r="W311" s="75" t="s">
        <v>2457</v>
      </c>
      <c r="X311" s="72">
        <v>30</v>
      </c>
      <c r="Y311" s="72">
        <v>12</v>
      </c>
      <c r="Z311" s="72">
        <v>63.740470000000002</v>
      </c>
      <c r="AA311" s="72">
        <v>148.90082000000001</v>
      </c>
      <c r="AB311" s="62">
        <f t="shared" si="4"/>
        <v>212.64129000000003</v>
      </c>
      <c r="AC311" s="118"/>
      <c r="AD311" s="118"/>
      <c r="AE311" s="75" t="s">
        <v>115</v>
      </c>
      <c r="AF311" s="75" t="s">
        <v>115</v>
      </c>
      <c r="AG311" s="75"/>
      <c r="AH311" s="72">
        <v>0</v>
      </c>
      <c r="AI311" s="72">
        <v>0</v>
      </c>
      <c r="AJ311" s="72">
        <v>0</v>
      </c>
      <c r="AK311" s="72">
        <v>0</v>
      </c>
      <c r="AL311" s="72">
        <v>0</v>
      </c>
      <c r="AM311" s="72"/>
      <c r="AN311" s="72">
        <v>0</v>
      </c>
      <c r="AO311" s="72"/>
      <c r="AP311" s="72"/>
      <c r="AQ311" s="72"/>
      <c r="AR311" s="72"/>
    </row>
    <row r="312" spans="1:48" s="77" customFormat="1" x14ac:dyDescent="0.2">
      <c r="A312" s="72" t="s">
        <v>3152</v>
      </c>
      <c r="B312" s="72" t="s">
        <v>3155</v>
      </c>
      <c r="C312" s="72">
        <v>4</v>
      </c>
      <c r="D312" s="72">
        <v>1</v>
      </c>
      <c r="E312" s="72" t="s">
        <v>834</v>
      </c>
      <c r="F312" s="73">
        <v>43571</v>
      </c>
      <c r="G312" s="73" t="s">
        <v>4027</v>
      </c>
      <c r="H312" s="74">
        <v>4.8611111111111112E-3</v>
      </c>
      <c r="I312" s="72" t="s">
        <v>1278</v>
      </c>
      <c r="J312" s="72" t="s">
        <v>466</v>
      </c>
      <c r="K312" s="72" t="s">
        <v>111</v>
      </c>
      <c r="L312" s="72" t="s">
        <v>23</v>
      </c>
      <c r="M312" s="72">
        <v>0</v>
      </c>
      <c r="N312" s="72">
        <v>0</v>
      </c>
      <c r="O312" s="72">
        <v>1</v>
      </c>
      <c r="P312" s="72" t="s">
        <v>461</v>
      </c>
      <c r="Q312" s="75" t="s">
        <v>2605</v>
      </c>
      <c r="R312" s="75" t="s">
        <v>122</v>
      </c>
      <c r="S312" s="75" t="s">
        <v>1035</v>
      </c>
      <c r="T312" s="75" t="s">
        <v>23</v>
      </c>
      <c r="U312" s="75" t="s">
        <v>3997</v>
      </c>
      <c r="V312" s="75" t="s">
        <v>4006</v>
      </c>
      <c r="W312" s="75" t="s">
        <v>2457</v>
      </c>
      <c r="X312" s="72">
        <v>60</v>
      </c>
      <c r="Y312" s="72">
        <v>10</v>
      </c>
      <c r="Z312" s="72">
        <v>63.740470000000002</v>
      </c>
      <c r="AA312" s="72">
        <v>148.90053</v>
      </c>
      <c r="AB312" s="62">
        <f t="shared" si="4"/>
        <v>212.64100000000002</v>
      </c>
      <c r="AC312" s="118"/>
      <c r="AD312" s="118"/>
      <c r="AE312" s="75" t="s">
        <v>115</v>
      </c>
      <c r="AF312" s="75" t="s">
        <v>115</v>
      </c>
      <c r="AG312" s="75"/>
      <c r="AH312" s="72">
        <v>0</v>
      </c>
      <c r="AI312" s="72">
        <v>0</v>
      </c>
      <c r="AJ312" s="72">
        <v>0</v>
      </c>
      <c r="AK312" s="72">
        <v>0</v>
      </c>
      <c r="AL312" s="72">
        <v>0</v>
      </c>
      <c r="AM312" s="72"/>
      <c r="AN312" s="72">
        <v>0</v>
      </c>
      <c r="AO312" s="72"/>
      <c r="AP312" s="72" t="s">
        <v>3156</v>
      </c>
      <c r="AQ312" s="72"/>
      <c r="AR312" s="72"/>
      <c r="AS312" s="82"/>
      <c r="AT312" s="82"/>
      <c r="AU312" s="82"/>
      <c r="AV312" s="82"/>
    </row>
    <row r="313" spans="1:48" s="77" customFormat="1" x14ac:dyDescent="0.2">
      <c r="A313" s="72" t="s">
        <v>3137</v>
      </c>
      <c r="B313" s="72" t="s">
        <v>3138</v>
      </c>
      <c r="C313" s="72">
        <v>1</v>
      </c>
      <c r="D313" s="72">
        <v>1</v>
      </c>
      <c r="E313" s="72" t="s">
        <v>2462</v>
      </c>
      <c r="F313" s="73">
        <v>43571</v>
      </c>
      <c r="G313" s="73" t="s">
        <v>4027</v>
      </c>
      <c r="H313" s="74">
        <v>4.7222222222222221E-2</v>
      </c>
      <c r="I313" s="72" t="s">
        <v>1278</v>
      </c>
      <c r="J313" s="72" t="s">
        <v>64</v>
      </c>
      <c r="K313" s="72" t="s">
        <v>102</v>
      </c>
      <c r="L313" s="72" t="s">
        <v>23</v>
      </c>
      <c r="M313" s="72">
        <v>1</v>
      </c>
      <c r="N313" s="72">
        <v>0</v>
      </c>
      <c r="O313" s="72">
        <v>1</v>
      </c>
      <c r="P313" s="72" t="s">
        <v>14</v>
      </c>
      <c r="Q313" s="75" t="s">
        <v>3139</v>
      </c>
      <c r="R313" s="75" t="s">
        <v>122</v>
      </c>
      <c r="S313" s="75" t="s">
        <v>1035</v>
      </c>
      <c r="T313" s="75" t="s">
        <v>23</v>
      </c>
      <c r="U313" s="75" t="s">
        <v>3997</v>
      </c>
      <c r="V313" s="75" t="s">
        <v>4006</v>
      </c>
      <c r="W313" s="72" t="s">
        <v>2825</v>
      </c>
      <c r="X313" s="72">
        <v>70</v>
      </c>
      <c r="Y313" s="72">
        <v>1</v>
      </c>
      <c r="Z313" s="72">
        <v>63.735900000000001</v>
      </c>
      <c r="AA313" s="72">
        <v>148.89832000000001</v>
      </c>
      <c r="AB313" s="62">
        <f t="shared" si="4"/>
        <v>212.63422000000003</v>
      </c>
      <c r="AC313" s="118"/>
      <c r="AD313" s="118"/>
      <c r="AE313" s="75" t="s">
        <v>115</v>
      </c>
      <c r="AF313" s="75" t="s">
        <v>115</v>
      </c>
      <c r="AG313" s="75"/>
      <c r="AH313" s="72">
        <v>0</v>
      </c>
      <c r="AI313" s="72">
        <v>0</v>
      </c>
      <c r="AJ313" s="72">
        <v>0</v>
      </c>
      <c r="AK313" s="72">
        <v>0</v>
      </c>
      <c r="AL313" s="72">
        <v>33</v>
      </c>
      <c r="AM313" s="72"/>
      <c r="AN313" s="72">
        <v>33</v>
      </c>
      <c r="AO313" s="72" t="s">
        <v>188</v>
      </c>
      <c r="AP313" s="72" t="s">
        <v>3140</v>
      </c>
      <c r="AQ313" s="72"/>
      <c r="AR313" s="72"/>
      <c r="AS313" s="72"/>
      <c r="AT313" s="72"/>
      <c r="AU313" s="72"/>
      <c r="AV313" s="72"/>
    </row>
    <row r="314" spans="1:48" s="82" customFormat="1" x14ac:dyDescent="0.2">
      <c r="A314" s="72" t="s">
        <v>3162</v>
      </c>
      <c r="B314" s="72" t="s">
        <v>3163</v>
      </c>
      <c r="C314" s="72">
        <v>7</v>
      </c>
      <c r="D314" s="72">
        <v>1</v>
      </c>
      <c r="E314" s="72" t="s">
        <v>834</v>
      </c>
      <c r="F314" s="73">
        <v>43571</v>
      </c>
      <c r="G314" s="73" t="s">
        <v>4027</v>
      </c>
      <c r="H314" s="74">
        <v>5.6944444444444443E-2</v>
      </c>
      <c r="I314" s="72" t="s">
        <v>1278</v>
      </c>
      <c r="J314" s="72" t="s">
        <v>466</v>
      </c>
      <c r="K314" s="72" t="s">
        <v>242</v>
      </c>
      <c r="L314" s="72" t="s">
        <v>23</v>
      </c>
      <c r="M314" s="72">
        <v>0</v>
      </c>
      <c r="N314" s="72">
        <v>0</v>
      </c>
      <c r="O314" s="72">
        <v>1</v>
      </c>
      <c r="P314" s="72" t="s">
        <v>461</v>
      </c>
      <c r="Q314" s="75" t="s">
        <v>2605</v>
      </c>
      <c r="R314" s="75" t="s">
        <v>115</v>
      </c>
      <c r="S314" s="75" t="s">
        <v>333</v>
      </c>
      <c r="T314" s="75" t="s">
        <v>23</v>
      </c>
      <c r="U314" s="75" t="s">
        <v>3999</v>
      </c>
      <c r="V314" s="75" t="s">
        <v>4006</v>
      </c>
      <c r="W314" s="75" t="s">
        <v>2850</v>
      </c>
      <c r="X314" s="72">
        <v>157</v>
      </c>
      <c r="Y314" s="72">
        <v>26</v>
      </c>
      <c r="Z314" s="72">
        <v>63.740699999999997</v>
      </c>
      <c r="AA314" s="72">
        <v>148.90117000000001</v>
      </c>
      <c r="AB314" s="62">
        <f t="shared" si="4"/>
        <v>212.64187000000001</v>
      </c>
      <c r="AC314" s="118"/>
      <c r="AD314" s="118"/>
      <c r="AE314" s="75" t="s">
        <v>115</v>
      </c>
      <c r="AF314" s="75" t="s">
        <v>115</v>
      </c>
      <c r="AG314" s="75"/>
      <c r="AH314" s="72">
        <v>0</v>
      </c>
      <c r="AI314" s="72">
        <v>0</v>
      </c>
      <c r="AJ314" s="72">
        <v>0</v>
      </c>
      <c r="AK314" s="72">
        <v>0</v>
      </c>
      <c r="AL314" s="72">
        <v>0</v>
      </c>
      <c r="AM314" s="72"/>
      <c r="AN314" s="72">
        <v>0</v>
      </c>
      <c r="AO314" s="72"/>
      <c r="AP314" s="72" t="s">
        <v>3164</v>
      </c>
      <c r="AQ314" s="72"/>
      <c r="AR314" s="72"/>
      <c r="AS314" s="77"/>
      <c r="AT314" s="77"/>
      <c r="AU314" s="77"/>
      <c r="AV314" s="77"/>
    </row>
    <row r="315" spans="1:48" s="77" customFormat="1" x14ac:dyDescent="0.2">
      <c r="A315" s="72" t="s">
        <v>3232</v>
      </c>
      <c r="B315" s="72" t="s">
        <v>3233</v>
      </c>
      <c r="C315" s="72">
        <v>3</v>
      </c>
      <c r="D315" s="72">
        <v>1</v>
      </c>
      <c r="E315" s="72" t="s">
        <v>791</v>
      </c>
      <c r="F315" s="73">
        <v>43572</v>
      </c>
      <c r="G315" s="73" t="s">
        <v>4027</v>
      </c>
      <c r="H315" s="74">
        <v>4.7916666666666663E-2</v>
      </c>
      <c r="I315" s="72" t="s">
        <v>3187</v>
      </c>
      <c r="J315" s="72" t="s">
        <v>924</v>
      </c>
      <c r="K315" s="72" t="s">
        <v>111</v>
      </c>
      <c r="L315" s="72" t="s">
        <v>115</v>
      </c>
      <c r="M315" s="72">
        <v>0</v>
      </c>
      <c r="N315" s="72">
        <v>0</v>
      </c>
      <c r="O315" s="72">
        <v>1</v>
      </c>
      <c r="P315" s="72" t="s">
        <v>598</v>
      </c>
      <c r="Q315" s="75" t="s">
        <v>2801</v>
      </c>
      <c r="R315" s="75" t="s">
        <v>115</v>
      </c>
      <c r="S315" s="75" t="s">
        <v>2068</v>
      </c>
      <c r="T315" s="75" t="s">
        <v>23</v>
      </c>
      <c r="U315" s="75" t="s">
        <v>3997</v>
      </c>
      <c r="V315" s="75" t="s">
        <v>4005</v>
      </c>
      <c r="W315" s="75" t="s">
        <v>3238</v>
      </c>
      <c r="X315" s="75">
        <v>265</v>
      </c>
      <c r="Y315" s="75">
        <v>9</v>
      </c>
      <c r="Z315" s="75">
        <v>63.725189999999998</v>
      </c>
      <c r="AA315" s="75">
        <v>148.96460999999999</v>
      </c>
      <c r="AB315" s="62">
        <f t="shared" si="4"/>
        <v>212.68979999999999</v>
      </c>
      <c r="AC315" s="120"/>
      <c r="AD315" s="120"/>
      <c r="AE315" s="75" t="s">
        <v>115</v>
      </c>
      <c r="AF315" s="75" t="s">
        <v>115</v>
      </c>
      <c r="AG315" s="75" t="s">
        <v>115</v>
      </c>
      <c r="AH315" s="75">
        <v>0</v>
      </c>
      <c r="AI315" s="75">
        <v>0</v>
      </c>
      <c r="AJ315" s="75">
        <v>0</v>
      </c>
      <c r="AK315" s="75">
        <v>0</v>
      </c>
      <c r="AL315" s="75">
        <v>0</v>
      </c>
      <c r="AM315" s="72"/>
      <c r="AN315" s="72">
        <v>0</v>
      </c>
      <c r="AO315" s="72"/>
      <c r="AP315" s="72"/>
      <c r="AQ315" s="72"/>
      <c r="AR315" s="72"/>
    </row>
    <row r="316" spans="1:48" s="77" customFormat="1" x14ac:dyDescent="0.2">
      <c r="A316" s="72" t="s">
        <v>3245</v>
      </c>
      <c r="B316" s="72" t="s">
        <v>3246</v>
      </c>
      <c r="C316" s="72">
        <v>1</v>
      </c>
      <c r="D316" s="72">
        <v>2</v>
      </c>
      <c r="E316" s="72" t="s">
        <v>2462</v>
      </c>
      <c r="F316" s="73">
        <v>43573</v>
      </c>
      <c r="G316" s="73" t="s">
        <v>4027</v>
      </c>
      <c r="H316" s="74">
        <v>9.7222222222222224E-2</v>
      </c>
      <c r="I316" s="72" t="s">
        <v>398</v>
      </c>
      <c r="J316" s="72" t="s">
        <v>64</v>
      </c>
      <c r="K316" s="72" t="s">
        <v>102</v>
      </c>
      <c r="L316" s="72" t="s">
        <v>23</v>
      </c>
      <c r="M316" s="72">
        <v>1</v>
      </c>
      <c r="N316" s="72">
        <v>1</v>
      </c>
      <c r="O316" s="72">
        <v>1</v>
      </c>
      <c r="P316" s="72" t="s">
        <v>176</v>
      </c>
      <c r="Q316" s="75" t="s">
        <v>3247</v>
      </c>
      <c r="R316" s="75" t="s">
        <v>2061</v>
      </c>
      <c r="S316" s="75" t="s">
        <v>1035</v>
      </c>
      <c r="T316" s="75" t="s">
        <v>23</v>
      </c>
      <c r="U316" s="75" t="s">
        <v>3997</v>
      </c>
      <c r="V316" s="75" t="s">
        <v>4006</v>
      </c>
      <c r="W316" s="75" t="s">
        <v>2825</v>
      </c>
      <c r="X316" s="72">
        <v>70</v>
      </c>
      <c r="Y316" s="75" t="s">
        <v>3026</v>
      </c>
      <c r="Z316" s="72">
        <v>63.735770000000002</v>
      </c>
      <c r="AA316" s="72">
        <v>148.89865</v>
      </c>
      <c r="AB316" s="62">
        <f t="shared" si="4"/>
        <v>212.63442000000001</v>
      </c>
      <c r="AC316" s="118"/>
      <c r="AD316" s="118"/>
      <c r="AE316" s="72">
        <v>63.735770000000002</v>
      </c>
      <c r="AF316" s="72">
        <v>148.89854</v>
      </c>
      <c r="AG316" s="75" t="s">
        <v>115</v>
      </c>
      <c r="AH316" s="72">
        <v>0</v>
      </c>
      <c r="AI316" s="72">
        <v>10</v>
      </c>
      <c r="AJ316" s="72">
        <v>10</v>
      </c>
      <c r="AK316" s="72">
        <v>0</v>
      </c>
      <c r="AL316" s="72">
        <v>0</v>
      </c>
      <c r="AM316" s="72"/>
      <c r="AN316" s="72">
        <v>10</v>
      </c>
      <c r="AO316" s="72" t="s">
        <v>188</v>
      </c>
      <c r="AP316" s="72" t="s">
        <v>3248</v>
      </c>
      <c r="AQ316" s="72"/>
      <c r="AR316" s="72"/>
      <c r="AS316" s="72"/>
      <c r="AT316" s="72"/>
      <c r="AU316" s="72"/>
      <c r="AV316" s="72"/>
    </row>
    <row r="317" spans="1:48" s="82" customFormat="1" x14ac:dyDescent="0.2">
      <c r="A317" s="72" t="s">
        <v>3245</v>
      </c>
      <c r="B317" s="72" t="s">
        <v>3246</v>
      </c>
      <c r="C317" s="72">
        <v>1</v>
      </c>
      <c r="D317" s="72">
        <v>1</v>
      </c>
      <c r="E317" s="72" t="s">
        <v>2462</v>
      </c>
      <c r="F317" s="73">
        <v>43573</v>
      </c>
      <c r="G317" s="73" t="s">
        <v>4027</v>
      </c>
      <c r="H317" s="74">
        <v>9.7222222222222224E-2</v>
      </c>
      <c r="I317" s="72" t="s">
        <v>398</v>
      </c>
      <c r="J317" s="72" t="s">
        <v>64</v>
      </c>
      <c r="K317" s="72" t="s">
        <v>102</v>
      </c>
      <c r="L317" s="72" t="s">
        <v>115</v>
      </c>
      <c r="M317" s="72">
        <v>1</v>
      </c>
      <c r="N317" s="72"/>
      <c r="O317" s="72">
        <v>1</v>
      </c>
      <c r="P317" s="72" t="s">
        <v>14</v>
      </c>
      <c r="Q317" s="75" t="s">
        <v>3250</v>
      </c>
      <c r="R317" s="75" t="s">
        <v>122</v>
      </c>
      <c r="S317" s="75" t="s">
        <v>1035</v>
      </c>
      <c r="T317" s="75" t="s">
        <v>23</v>
      </c>
      <c r="U317" s="75" t="s">
        <v>3997</v>
      </c>
      <c r="V317" s="75" t="s">
        <v>4006</v>
      </c>
      <c r="W317" s="75" t="s">
        <v>2850</v>
      </c>
      <c r="X317" s="72">
        <v>120</v>
      </c>
      <c r="Y317" s="72">
        <v>2</v>
      </c>
      <c r="Z317" s="72">
        <v>63.735770000000002</v>
      </c>
      <c r="AA317" s="72">
        <v>148.89854</v>
      </c>
      <c r="AB317" s="62">
        <f t="shared" si="4"/>
        <v>212.63431</v>
      </c>
      <c r="AC317" s="118"/>
      <c r="AD317" s="118"/>
      <c r="AE317" s="75" t="s">
        <v>115</v>
      </c>
      <c r="AF317" s="75" t="s">
        <v>115</v>
      </c>
      <c r="AG317" s="75" t="s">
        <v>115</v>
      </c>
      <c r="AH317" s="72">
        <v>0</v>
      </c>
      <c r="AI317" s="72">
        <v>0</v>
      </c>
      <c r="AJ317" s="72">
        <v>0</v>
      </c>
      <c r="AK317" s="72">
        <v>0</v>
      </c>
      <c r="AL317" s="72">
        <v>10</v>
      </c>
      <c r="AM317" s="72"/>
      <c r="AN317" s="72">
        <v>10</v>
      </c>
      <c r="AO317" s="72"/>
      <c r="AP317" s="72"/>
      <c r="AQ317" s="72"/>
      <c r="AR317" s="72"/>
      <c r="AS317" s="72"/>
      <c r="AT317" s="72"/>
      <c r="AU317" s="72"/>
      <c r="AV317" s="72"/>
    </row>
    <row r="318" spans="1:48" s="77" customFormat="1" x14ac:dyDescent="0.2">
      <c r="A318" s="72" t="s">
        <v>3282</v>
      </c>
      <c r="B318" s="72" t="s">
        <v>3283</v>
      </c>
      <c r="C318" s="72">
        <v>4</v>
      </c>
      <c r="D318" s="72">
        <v>1</v>
      </c>
      <c r="E318" s="72" t="s">
        <v>2601</v>
      </c>
      <c r="F318" s="73">
        <v>43573</v>
      </c>
      <c r="G318" s="73" t="s">
        <v>4027</v>
      </c>
      <c r="H318" s="74">
        <v>1.3194444444444444E-2</v>
      </c>
      <c r="I318" s="72" t="s">
        <v>3277</v>
      </c>
      <c r="J318" s="72" t="s">
        <v>173</v>
      </c>
      <c r="K318" s="72" t="s">
        <v>111</v>
      </c>
      <c r="L318" s="72" t="s">
        <v>23</v>
      </c>
      <c r="M318" s="72">
        <v>0</v>
      </c>
      <c r="N318" s="72">
        <v>0</v>
      </c>
      <c r="O318" s="72">
        <v>1</v>
      </c>
      <c r="P318" s="72" t="s">
        <v>598</v>
      </c>
      <c r="Q318" s="75" t="s">
        <v>2801</v>
      </c>
      <c r="R318" s="75" t="s">
        <v>115</v>
      </c>
      <c r="S318" s="75" t="s">
        <v>333</v>
      </c>
      <c r="T318" s="75" t="s">
        <v>23</v>
      </c>
      <c r="U318" s="75" t="s">
        <v>3999</v>
      </c>
      <c r="V318" s="75" t="s">
        <v>4006</v>
      </c>
      <c r="W318" s="75" t="s">
        <v>2850</v>
      </c>
      <c r="X318" s="75">
        <v>120</v>
      </c>
      <c r="Y318" s="75" t="s">
        <v>176</v>
      </c>
      <c r="Z318" s="75">
        <v>63.726089999999999</v>
      </c>
      <c r="AA318" s="75">
        <v>148.95284000000001</v>
      </c>
      <c r="AB318" s="62">
        <f t="shared" si="4"/>
        <v>212.67893000000001</v>
      </c>
      <c r="AC318" s="120"/>
      <c r="AD318" s="120"/>
      <c r="AE318" s="75" t="s">
        <v>115</v>
      </c>
      <c r="AF318" s="75" t="s">
        <v>115</v>
      </c>
      <c r="AG318" s="75" t="s">
        <v>115</v>
      </c>
      <c r="AH318" s="72">
        <v>0</v>
      </c>
      <c r="AI318" s="72">
        <v>0</v>
      </c>
      <c r="AJ318" s="72">
        <v>0</v>
      </c>
      <c r="AK318" s="72">
        <v>0</v>
      </c>
      <c r="AL318" s="72">
        <v>0</v>
      </c>
      <c r="AM318" s="72"/>
      <c r="AN318" s="72">
        <v>0</v>
      </c>
      <c r="AO318" s="72"/>
      <c r="AP318" s="72"/>
      <c r="AQ318" s="72"/>
      <c r="AR318" s="72"/>
    </row>
    <row r="319" spans="1:48" s="82" customFormat="1" x14ac:dyDescent="0.2">
      <c r="A319" s="72" t="s">
        <v>3389</v>
      </c>
      <c r="B319" s="72" t="s">
        <v>3390</v>
      </c>
      <c r="C319" s="72">
        <v>17</v>
      </c>
      <c r="D319" s="72">
        <v>2</v>
      </c>
      <c r="E319" s="72" t="s">
        <v>3171</v>
      </c>
      <c r="F319" s="73">
        <v>43577</v>
      </c>
      <c r="G319" s="73" t="s">
        <v>4027</v>
      </c>
      <c r="H319" s="74">
        <v>5.6944444444444443E-2</v>
      </c>
      <c r="I319" s="72" t="s">
        <v>101</v>
      </c>
      <c r="J319" s="72" t="s">
        <v>149</v>
      </c>
      <c r="K319" s="72" t="s">
        <v>242</v>
      </c>
      <c r="L319" s="72" t="s">
        <v>23</v>
      </c>
      <c r="M319" s="72">
        <v>0</v>
      </c>
      <c r="N319" s="72">
        <v>0</v>
      </c>
      <c r="O319" s="72">
        <v>1</v>
      </c>
      <c r="P319" s="72" t="s">
        <v>176</v>
      </c>
      <c r="Q319" s="75" t="s">
        <v>24</v>
      </c>
      <c r="R319" s="75" t="s">
        <v>24</v>
      </c>
      <c r="S319" s="75" t="s">
        <v>2068</v>
      </c>
      <c r="T319" s="75" t="s">
        <v>23</v>
      </c>
      <c r="U319" s="75" t="s">
        <v>3997</v>
      </c>
      <c r="V319" s="75" t="s">
        <v>4005</v>
      </c>
      <c r="W319" s="72"/>
      <c r="X319" s="72"/>
      <c r="Y319" s="75" t="s">
        <v>176</v>
      </c>
      <c r="Z319" s="75">
        <v>63.722610000000003</v>
      </c>
      <c r="AA319" s="75">
        <v>148.94719000000001</v>
      </c>
      <c r="AB319" s="62">
        <f t="shared" si="4"/>
        <v>212.66980000000001</v>
      </c>
      <c r="AC319" s="120">
        <v>1</v>
      </c>
      <c r="AD319" s="120" t="s">
        <v>4765</v>
      </c>
      <c r="AE319" s="75" t="s">
        <v>115</v>
      </c>
      <c r="AF319" s="75" t="s">
        <v>115</v>
      </c>
      <c r="AG319" s="75" t="s">
        <v>115</v>
      </c>
      <c r="AH319" s="72">
        <v>0</v>
      </c>
      <c r="AI319" s="72">
        <v>0</v>
      </c>
      <c r="AJ319" s="72">
        <v>0</v>
      </c>
      <c r="AK319" s="72">
        <v>0</v>
      </c>
      <c r="AL319" s="72">
        <v>0</v>
      </c>
      <c r="AM319" s="72"/>
      <c r="AN319" s="72">
        <v>0</v>
      </c>
      <c r="AO319" s="72"/>
      <c r="AP319" s="72" t="s">
        <v>3391</v>
      </c>
      <c r="AQ319" s="72"/>
      <c r="AR319" s="72"/>
      <c r="AS319" s="59"/>
      <c r="AT319" s="59"/>
      <c r="AU319" s="59"/>
      <c r="AV319" s="59"/>
    </row>
    <row r="320" spans="1:48" s="77" customFormat="1" x14ac:dyDescent="0.2">
      <c r="A320" s="72" t="s">
        <v>3389</v>
      </c>
      <c r="B320" s="72" t="s">
        <v>3390</v>
      </c>
      <c r="C320" s="72">
        <v>17</v>
      </c>
      <c r="D320" s="72">
        <v>1</v>
      </c>
      <c r="E320" s="72" t="s">
        <v>3171</v>
      </c>
      <c r="F320" s="73">
        <v>43577</v>
      </c>
      <c r="G320" s="73" t="s">
        <v>4027</v>
      </c>
      <c r="H320" s="74">
        <v>5.6944444444444443E-2</v>
      </c>
      <c r="I320" s="72" t="s">
        <v>101</v>
      </c>
      <c r="J320" s="72" t="s">
        <v>149</v>
      </c>
      <c r="K320" s="72" t="s">
        <v>242</v>
      </c>
      <c r="L320" s="72" t="s">
        <v>23</v>
      </c>
      <c r="M320" s="72">
        <v>0</v>
      </c>
      <c r="N320" s="72">
        <v>0</v>
      </c>
      <c r="O320" s="72">
        <v>1</v>
      </c>
      <c r="P320" s="72" t="s">
        <v>176</v>
      </c>
      <c r="Q320" s="75" t="s">
        <v>24</v>
      </c>
      <c r="R320" s="75" t="s">
        <v>24</v>
      </c>
      <c r="S320" s="75" t="s">
        <v>2068</v>
      </c>
      <c r="T320" s="75" t="s">
        <v>23</v>
      </c>
      <c r="U320" s="75" t="s">
        <v>3997</v>
      </c>
      <c r="V320" s="75" t="s">
        <v>4005</v>
      </c>
      <c r="W320" s="72"/>
      <c r="X320" s="72"/>
      <c r="Y320" s="75" t="s">
        <v>176</v>
      </c>
      <c r="Z320" s="75">
        <v>63.722610000000003</v>
      </c>
      <c r="AA320" s="75">
        <v>148.94719000000001</v>
      </c>
      <c r="AB320" s="62">
        <f t="shared" si="4"/>
        <v>212.66980000000001</v>
      </c>
      <c r="AC320" s="120">
        <v>1</v>
      </c>
      <c r="AD320" s="120"/>
      <c r="AE320" s="75" t="s">
        <v>115</v>
      </c>
      <c r="AF320" s="75" t="s">
        <v>115</v>
      </c>
      <c r="AG320" s="75" t="s">
        <v>115</v>
      </c>
      <c r="AH320" s="72">
        <v>0</v>
      </c>
      <c r="AI320" s="72">
        <v>0</v>
      </c>
      <c r="AJ320" s="72">
        <v>0</v>
      </c>
      <c r="AK320" s="72">
        <v>0</v>
      </c>
      <c r="AL320" s="72">
        <v>0</v>
      </c>
      <c r="AM320" s="72"/>
      <c r="AN320" s="72">
        <v>0</v>
      </c>
      <c r="AO320" s="72"/>
      <c r="AP320" s="72" t="s">
        <v>3391</v>
      </c>
      <c r="AQ320" s="72"/>
      <c r="AR320" s="72"/>
      <c r="AS320" s="59"/>
      <c r="AT320" s="59"/>
      <c r="AU320" s="59"/>
      <c r="AV320" s="59"/>
    </row>
    <row r="321" spans="1:48" s="77" customFormat="1" x14ac:dyDescent="0.2">
      <c r="A321" s="72" t="s">
        <v>3358</v>
      </c>
      <c r="B321" s="72" t="s">
        <v>3359</v>
      </c>
      <c r="C321" s="72">
        <v>3</v>
      </c>
      <c r="D321" s="72">
        <v>1</v>
      </c>
      <c r="E321" s="72" t="s">
        <v>3171</v>
      </c>
      <c r="F321" s="73">
        <v>43577</v>
      </c>
      <c r="G321" s="73" t="s">
        <v>4027</v>
      </c>
      <c r="H321" s="74">
        <v>2.7777777777777776E-2</v>
      </c>
      <c r="I321" s="72" t="s">
        <v>101</v>
      </c>
      <c r="J321" s="72" t="s">
        <v>149</v>
      </c>
      <c r="K321" s="72" t="s">
        <v>242</v>
      </c>
      <c r="L321" s="72" t="s">
        <v>115</v>
      </c>
      <c r="M321" s="72">
        <v>0</v>
      </c>
      <c r="N321" s="72">
        <v>0</v>
      </c>
      <c r="O321" s="72">
        <v>1</v>
      </c>
      <c r="P321" s="72" t="s">
        <v>598</v>
      </c>
      <c r="Q321" s="75" t="s">
        <v>2801</v>
      </c>
      <c r="R321" s="75" t="s">
        <v>115</v>
      </c>
      <c r="S321" s="75" t="s">
        <v>333</v>
      </c>
      <c r="T321" s="75" t="s">
        <v>23</v>
      </c>
      <c r="U321" s="75" t="s">
        <v>3999</v>
      </c>
      <c r="V321" s="75" t="s">
        <v>4006</v>
      </c>
      <c r="W321" s="72"/>
      <c r="X321" s="72"/>
      <c r="Y321" s="72" t="s">
        <v>24</v>
      </c>
      <c r="Z321" s="72">
        <v>63.722679999999997</v>
      </c>
      <c r="AA321" s="72">
        <v>148.95184</v>
      </c>
      <c r="AB321" s="62">
        <f t="shared" si="4"/>
        <v>212.67452</v>
      </c>
      <c r="AC321" s="118"/>
      <c r="AD321" s="118"/>
      <c r="AE321" s="75" t="s">
        <v>115</v>
      </c>
      <c r="AF321" s="75" t="s">
        <v>115</v>
      </c>
      <c r="AG321" s="75" t="s">
        <v>3360</v>
      </c>
      <c r="AH321" s="72">
        <v>0</v>
      </c>
      <c r="AI321" s="72"/>
      <c r="AJ321" s="72">
        <v>0</v>
      </c>
      <c r="AK321" s="72">
        <v>0</v>
      </c>
      <c r="AL321" s="72">
        <v>0</v>
      </c>
      <c r="AM321" s="72"/>
      <c r="AN321" s="72">
        <v>0</v>
      </c>
      <c r="AO321" s="72" t="s">
        <v>188</v>
      </c>
      <c r="AP321" s="72"/>
      <c r="AQ321" s="72"/>
      <c r="AR321" s="72"/>
      <c r="AS321" s="82"/>
      <c r="AT321" s="82"/>
      <c r="AU321" s="82"/>
      <c r="AV321" s="82"/>
    </row>
    <row r="322" spans="1:48" s="77" customFormat="1" x14ac:dyDescent="0.2">
      <c r="A322" s="72" t="s">
        <v>3513</v>
      </c>
      <c r="B322" s="72" t="s">
        <v>3514</v>
      </c>
      <c r="C322" s="72">
        <v>29</v>
      </c>
      <c r="D322" s="72">
        <v>1</v>
      </c>
      <c r="E322" s="72" t="s">
        <v>2462</v>
      </c>
      <c r="F322" s="73">
        <v>43579</v>
      </c>
      <c r="G322" s="73" t="s">
        <v>4027</v>
      </c>
      <c r="H322" s="74">
        <v>7.0833333333333331E-2</v>
      </c>
      <c r="I322" s="72" t="s">
        <v>101</v>
      </c>
      <c r="J322" s="72" t="s">
        <v>363</v>
      </c>
      <c r="K322" s="72" t="s">
        <v>187</v>
      </c>
      <c r="L322" s="72" t="s">
        <v>23</v>
      </c>
      <c r="M322" s="72">
        <v>1</v>
      </c>
      <c r="N322" s="72">
        <v>0</v>
      </c>
      <c r="O322" s="72">
        <v>1</v>
      </c>
      <c r="P322" s="72" t="s">
        <v>598</v>
      </c>
      <c r="Q322" s="75" t="s">
        <v>2801</v>
      </c>
      <c r="R322" s="75" t="s">
        <v>122</v>
      </c>
      <c r="S322" s="75" t="s">
        <v>2141</v>
      </c>
      <c r="T322" s="75" t="s">
        <v>23</v>
      </c>
      <c r="U322" s="75" t="s">
        <v>3997</v>
      </c>
      <c r="V322" s="75" t="s">
        <v>4020</v>
      </c>
      <c r="W322" s="75" t="s">
        <v>2825</v>
      </c>
      <c r="X322" s="72">
        <v>80</v>
      </c>
      <c r="Y322" s="72">
        <v>9</v>
      </c>
      <c r="Z322" s="72">
        <v>63.73518</v>
      </c>
      <c r="AA322" s="72">
        <v>148.90012999999999</v>
      </c>
      <c r="AB322" s="62">
        <f t="shared" ref="AB322:AB385" si="5">Z322+AA322</f>
        <v>212.63531</v>
      </c>
      <c r="AC322" s="118"/>
      <c r="AD322" s="118"/>
      <c r="AE322" s="75" t="s">
        <v>115</v>
      </c>
      <c r="AF322" s="75" t="s">
        <v>115</v>
      </c>
      <c r="AG322" s="75" t="s">
        <v>115</v>
      </c>
      <c r="AH322" s="72">
        <v>0</v>
      </c>
      <c r="AI322" s="72">
        <v>0</v>
      </c>
      <c r="AJ322" s="72">
        <v>0</v>
      </c>
      <c r="AK322" s="72">
        <v>0</v>
      </c>
      <c r="AL322" s="72">
        <v>6</v>
      </c>
      <c r="AM322" s="72"/>
      <c r="AN322" s="72">
        <v>6</v>
      </c>
      <c r="AO322" s="72" t="s">
        <v>188</v>
      </c>
      <c r="AP322" s="72" t="s">
        <v>3015</v>
      </c>
      <c r="AQ322" s="72"/>
      <c r="AR322" s="72"/>
      <c r="AS322" s="72"/>
      <c r="AT322" s="72"/>
      <c r="AU322" s="72"/>
      <c r="AV322" s="72"/>
    </row>
    <row r="323" spans="1:48" s="82" customFormat="1" x14ac:dyDescent="0.2">
      <c r="A323" s="72" t="s">
        <v>3477</v>
      </c>
      <c r="B323" s="72" t="s">
        <v>3478</v>
      </c>
      <c r="C323" s="72">
        <v>12</v>
      </c>
      <c r="D323" s="72">
        <v>1</v>
      </c>
      <c r="E323" s="72" t="s">
        <v>2462</v>
      </c>
      <c r="F323" s="73">
        <v>43579</v>
      </c>
      <c r="G323" s="73" t="s">
        <v>4027</v>
      </c>
      <c r="H323" s="74">
        <v>2.8472222222222222E-2</v>
      </c>
      <c r="I323" s="72" t="s">
        <v>101</v>
      </c>
      <c r="J323" s="72" t="s">
        <v>363</v>
      </c>
      <c r="K323" s="72" t="s">
        <v>107</v>
      </c>
      <c r="L323" s="72" t="s">
        <v>115</v>
      </c>
      <c r="M323" s="72">
        <v>1</v>
      </c>
      <c r="N323" s="72">
        <v>0</v>
      </c>
      <c r="O323" s="72">
        <v>1</v>
      </c>
      <c r="P323" s="72" t="s">
        <v>176</v>
      </c>
      <c r="Q323" s="75" t="s">
        <v>24</v>
      </c>
      <c r="R323" s="75" t="s">
        <v>24</v>
      </c>
      <c r="S323" s="75" t="s">
        <v>2068</v>
      </c>
      <c r="T323" s="75" t="s">
        <v>23</v>
      </c>
      <c r="U323" s="75" t="s">
        <v>3997</v>
      </c>
      <c r="V323" s="75" t="s">
        <v>4005</v>
      </c>
      <c r="W323" s="72"/>
      <c r="X323" s="72"/>
      <c r="Y323" s="75" t="s">
        <v>176</v>
      </c>
      <c r="Z323" s="72"/>
      <c r="AA323" s="72"/>
      <c r="AB323" s="62">
        <f t="shared" si="5"/>
        <v>0</v>
      </c>
      <c r="AC323" s="118"/>
      <c r="AD323" s="118"/>
      <c r="AE323" s="75" t="s">
        <v>115</v>
      </c>
      <c r="AF323" s="75" t="s">
        <v>115</v>
      </c>
      <c r="AG323" s="75" t="s">
        <v>115</v>
      </c>
      <c r="AH323" s="72">
        <v>0</v>
      </c>
      <c r="AI323" s="72">
        <v>0</v>
      </c>
      <c r="AJ323" s="72">
        <v>0</v>
      </c>
      <c r="AK323" s="72">
        <v>0</v>
      </c>
      <c r="AL323" s="72">
        <v>0</v>
      </c>
      <c r="AM323" s="72"/>
      <c r="AN323" s="72">
        <v>0</v>
      </c>
      <c r="AO323" s="72"/>
      <c r="AP323" s="72" t="s">
        <v>3479</v>
      </c>
      <c r="AQ323" s="72"/>
      <c r="AR323" s="72"/>
      <c r="AS323" s="59"/>
      <c r="AT323" s="59"/>
      <c r="AU323" s="59"/>
      <c r="AV323" s="59"/>
    </row>
    <row r="324" spans="1:48" s="77" customFormat="1" x14ac:dyDescent="0.2">
      <c r="A324" s="72" t="s">
        <v>3597</v>
      </c>
      <c r="B324" s="72" t="s">
        <v>3598</v>
      </c>
      <c r="C324" s="72">
        <v>1</v>
      </c>
      <c r="D324" s="72">
        <v>1</v>
      </c>
      <c r="E324" s="72" t="s">
        <v>791</v>
      </c>
      <c r="F324" s="73">
        <v>43581</v>
      </c>
      <c r="G324" s="73" t="s">
        <v>4027</v>
      </c>
      <c r="H324" s="74">
        <v>2.7083333333333334E-2</v>
      </c>
      <c r="I324" s="72"/>
      <c r="J324" s="72" t="s">
        <v>927</v>
      </c>
      <c r="K324" s="72" t="s">
        <v>107</v>
      </c>
      <c r="L324" s="72" t="s">
        <v>115</v>
      </c>
      <c r="M324" s="72">
        <v>1</v>
      </c>
      <c r="N324" s="72">
        <v>1</v>
      </c>
      <c r="O324" s="72">
        <v>1</v>
      </c>
      <c r="P324" s="72" t="s">
        <v>1618</v>
      </c>
      <c r="Q324" s="75" t="s">
        <v>764</v>
      </c>
      <c r="R324" s="75" t="s">
        <v>24</v>
      </c>
      <c r="S324" s="75" t="s">
        <v>3599</v>
      </c>
      <c r="T324" s="75" t="s">
        <v>23</v>
      </c>
      <c r="U324" s="75" t="s">
        <v>3997</v>
      </c>
      <c r="V324" s="75" t="s">
        <v>4006</v>
      </c>
      <c r="W324" s="75" t="s">
        <v>2825</v>
      </c>
      <c r="X324" s="75">
        <v>90</v>
      </c>
      <c r="Y324" s="75" t="s">
        <v>176</v>
      </c>
      <c r="Z324" s="75">
        <v>63.72457</v>
      </c>
      <c r="AA324" s="75">
        <v>148.96351999999999</v>
      </c>
      <c r="AB324" s="62">
        <f t="shared" si="5"/>
        <v>212.68808999999999</v>
      </c>
      <c r="AC324" s="120">
        <v>1</v>
      </c>
      <c r="AD324" s="120" t="s">
        <v>4765</v>
      </c>
      <c r="AE324" s="75" t="s">
        <v>24</v>
      </c>
      <c r="AF324" s="75" t="s">
        <v>24</v>
      </c>
      <c r="AG324" s="75" t="s">
        <v>115</v>
      </c>
      <c r="AH324" s="72">
        <v>0</v>
      </c>
      <c r="AI324" s="72">
        <v>0</v>
      </c>
      <c r="AJ324" s="72">
        <v>0</v>
      </c>
      <c r="AK324" s="72">
        <v>0</v>
      </c>
      <c r="AL324" s="72">
        <v>0</v>
      </c>
      <c r="AM324" s="72"/>
      <c r="AN324" s="72">
        <v>0</v>
      </c>
      <c r="AO324" s="72"/>
      <c r="AP324" s="72" t="s">
        <v>2480</v>
      </c>
      <c r="AQ324" s="72"/>
      <c r="AR324" s="72"/>
      <c r="AS324" s="59"/>
      <c r="AT324" s="59"/>
      <c r="AU324" s="59"/>
      <c r="AV324" s="59"/>
    </row>
    <row r="325" spans="1:48" s="77" customFormat="1" x14ac:dyDescent="0.2">
      <c r="A325" s="72" t="s">
        <v>3597</v>
      </c>
      <c r="B325" s="72" t="s">
        <v>3598</v>
      </c>
      <c r="C325" s="72">
        <v>1</v>
      </c>
      <c r="D325" s="72">
        <v>2</v>
      </c>
      <c r="E325" s="72" t="s">
        <v>791</v>
      </c>
      <c r="F325" s="73">
        <v>43581</v>
      </c>
      <c r="G325" s="73" t="s">
        <v>4027</v>
      </c>
      <c r="H325" s="74">
        <v>2.7083333333333334E-2</v>
      </c>
      <c r="I325" s="72"/>
      <c r="J325" s="72" t="s">
        <v>927</v>
      </c>
      <c r="K325" s="72" t="s">
        <v>107</v>
      </c>
      <c r="L325" s="72" t="s">
        <v>115</v>
      </c>
      <c r="M325" s="72">
        <v>0</v>
      </c>
      <c r="N325" s="72">
        <v>0</v>
      </c>
      <c r="O325" s="72">
        <v>1</v>
      </c>
      <c r="P325" s="72" t="s">
        <v>1618</v>
      </c>
      <c r="Q325" s="75" t="s">
        <v>764</v>
      </c>
      <c r="R325" s="75" t="s">
        <v>24</v>
      </c>
      <c r="S325" s="75" t="s">
        <v>3599</v>
      </c>
      <c r="T325" s="75" t="s">
        <v>23</v>
      </c>
      <c r="U325" s="75" t="s">
        <v>3997</v>
      </c>
      <c r="V325" s="75" t="s">
        <v>4006</v>
      </c>
      <c r="W325" s="75" t="s">
        <v>115</v>
      </c>
      <c r="X325" s="75" t="s">
        <v>115</v>
      </c>
      <c r="Y325" s="75" t="s">
        <v>115</v>
      </c>
      <c r="Z325" s="75">
        <v>63.72457</v>
      </c>
      <c r="AA325" s="75">
        <v>148.96351999999999</v>
      </c>
      <c r="AB325" s="62">
        <f t="shared" si="5"/>
        <v>212.68808999999999</v>
      </c>
      <c r="AC325" s="120">
        <v>1</v>
      </c>
      <c r="AD325" s="120"/>
      <c r="AE325" s="75" t="s">
        <v>24</v>
      </c>
      <c r="AF325" s="75" t="s">
        <v>24</v>
      </c>
      <c r="AG325" s="75" t="s">
        <v>115</v>
      </c>
      <c r="AH325" s="72">
        <v>0</v>
      </c>
      <c r="AI325" s="72">
        <v>0</v>
      </c>
      <c r="AJ325" s="72">
        <v>0</v>
      </c>
      <c r="AK325" s="72">
        <v>0</v>
      </c>
      <c r="AL325" s="72">
        <v>0</v>
      </c>
      <c r="AM325" s="72"/>
      <c r="AN325" s="72">
        <v>0</v>
      </c>
      <c r="AO325" s="72"/>
      <c r="AP325" s="72" t="s">
        <v>3600</v>
      </c>
      <c r="AQ325" s="72"/>
      <c r="AR325" s="72"/>
      <c r="AS325" s="59"/>
      <c r="AT325" s="59"/>
      <c r="AU325" s="59"/>
      <c r="AV325" s="59"/>
    </row>
    <row r="326" spans="1:48" s="77" customFormat="1" x14ac:dyDescent="0.2">
      <c r="A326" s="72" t="s">
        <v>3608</v>
      </c>
      <c r="B326" s="72" t="s">
        <v>3606</v>
      </c>
      <c r="C326" s="72">
        <v>4</v>
      </c>
      <c r="D326" s="72">
        <v>1</v>
      </c>
      <c r="E326" s="72" t="s">
        <v>791</v>
      </c>
      <c r="F326" s="73">
        <v>43581</v>
      </c>
      <c r="G326" s="73" t="s">
        <v>4027</v>
      </c>
      <c r="H326" s="74">
        <v>0.25069444444444444</v>
      </c>
      <c r="I326" s="72"/>
      <c r="J326" s="72" t="s">
        <v>924</v>
      </c>
      <c r="K326" s="72" t="s">
        <v>187</v>
      </c>
      <c r="L326" s="72" t="s">
        <v>1196</v>
      </c>
      <c r="M326" s="72">
        <v>1</v>
      </c>
      <c r="N326" s="72">
        <v>0</v>
      </c>
      <c r="O326" s="72">
        <v>1</v>
      </c>
      <c r="P326" s="72" t="s">
        <v>598</v>
      </c>
      <c r="Q326" s="75" t="s">
        <v>2437</v>
      </c>
      <c r="R326" s="75" t="s">
        <v>122</v>
      </c>
      <c r="S326" s="75" t="s">
        <v>3609</v>
      </c>
      <c r="T326" s="75" t="s">
        <v>1196</v>
      </c>
      <c r="U326" s="75" t="s">
        <v>3997</v>
      </c>
      <c r="V326" s="75" t="s">
        <v>4020</v>
      </c>
      <c r="W326" s="75" t="s">
        <v>3610</v>
      </c>
      <c r="X326" s="75" t="s">
        <v>3610</v>
      </c>
      <c r="Y326" s="72">
        <v>1</v>
      </c>
      <c r="Z326" s="72">
        <v>63.724170000000001</v>
      </c>
      <c r="AA326" s="72">
        <v>148.96494000000001</v>
      </c>
      <c r="AB326" s="62">
        <f t="shared" si="5"/>
        <v>212.68911000000003</v>
      </c>
      <c r="AC326" s="118"/>
      <c r="AD326" s="118"/>
      <c r="AE326" s="75" t="s">
        <v>115</v>
      </c>
      <c r="AF326" s="75" t="s">
        <v>115</v>
      </c>
      <c r="AG326" s="75" t="s">
        <v>115</v>
      </c>
      <c r="AH326" s="72">
        <v>0</v>
      </c>
      <c r="AI326" s="72">
        <v>0</v>
      </c>
      <c r="AJ326" s="72">
        <v>0</v>
      </c>
      <c r="AK326" s="72">
        <v>0</v>
      </c>
      <c r="AL326" s="72">
        <v>253</v>
      </c>
      <c r="AM326" s="72"/>
      <c r="AN326" s="72">
        <v>253</v>
      </c>
      <c r="AO326" s="72" t="s">
        <v>188</v>
      </c>
      <c r="AP326" s="72" t="s">
        <v>3611</v>
      </c>
      <c r="AQ326" s="72"/>
      <c r="AR326" s="72"/>
      <c r="AS326" s="82"/>
      <c r="AT326" s="82"/>
      <c r="AU326" s="82"/>
      <c r="AV326" s="82"/>
    </row>
    <row r="327" spans="1:48" s="77" customFormat="1" x14ac:dyDescent="0.2">
      <c r="A327" s="72" t="s">
        <v>3635</v>
      </c>
      <c r="B327" s="72" t="s">
        <v>3641</v>
      </c>
      <c r="C327" s="72">
        <v>6</v>
      </c>
      <c r="D327" s="72">
        <v>1</v>
      </c>
      <c r="E327" s="72" t="s">
        <v>2487</v>
      </c>
      <c r="F327" s="73">
        <v>43585</v>
      </c>
      <c r="G327" s="73" t="s">
        <v>4027</v>
      </c>
      <c r="H327" s="74">
        <v>3.472222222222222E-3</v>
      </c>
      <c r="I327" s="72" t="s">
        <v>3626</v>
      </c>
      <c r="J327" s="72" t="s">
        <v>2488</v>
      </c>
      <c r="K327" s="72" t="s">
        <v>102</v>
      </c>
      <c r="L327" s="72" t="s">
        <v>115</v>
      </c>
      <c r="M327" s="72">
        <v>0</v>
      </c>
      <c r="N327" s="72">
        <v>0</v>
      </c>
      <c r="O327" s="72">
        <v>1</v>
      </c>
      <c r="P327" s="72" t="s">
        <v>176</v>
      </c>
      <c r="Q327" s="75" t="s">
        <v>24</v>
      </c>
      <c r="R327" s="75" t="s">
        <v>24</v>
      </c>
      <c r="S327" s="75" t="s">
        <v>2088</v>
      </c>
      <c r="T327" s="75" t="s">
        <v>23</v>
      </c>
      <c r="U327" s="75" t="s">
        <v>3997</v>
      </c>
      <c r="V327" s="75" t="s">
        <v>4021</v>
      </c>
      <c r="W327" s="75" t="s">
        <v>2457</v>
      </c>
      <c r="X327" s="72">
        <v>50</v>
      </c>
      <c r="Y327" s="75" t="s">
        <v>176</v>
      </c>
      <c r="Z327" s="72">
        <v>63.720140000000001</v>
      </c>
      <c r="AA327" s="72">
        <v>148.98885999999999</v>
      </c>
      <c r="AB327" s="62">
        <f t="shared" si="5"/>
        <v>212.709</v>
      </c>
      <c r="AC327" s="118"/>
      <c r="AD327" s="118"/>
      <c r="AE327" s="75" t="s">
        <v>115</v>
      </c>
      <c r="AF327" s="75" t="s">
        <v>115</v>
      </c>
      <c r="AG327" s="75" t="s">
        <v>115</v>
      </c>
      <c r="AH327" s="72">
        <v>0</v>
      </c>
      <c r="AI327" s="72">
        <v>0</v>
      </c>
      <c r="AJ327" s="72">
        <v>0</v>
      </c>
      <c r="AK327" s="72">
        <v>0</v>
      </c>
      <c r="AL327" s="72">
        <v>0</v>
      </c>
      <c r="AM327" s="72"/>
      <c r="AN327" s="72">
        <v>0</v>
      </c>
      <c r="AO327" s="72"/>
      <c r="AP327" s="72" t="s">
        <v>3636</v>
      </c>
      <c r="AQ327" s="72"/>
      <c r="AR327" s="72"/>
      <c r="AS327" s="82"/>
      <c r="AT327" s="82"/>
      <c r="AU327" s="82"/>
      <c r="AV327" s="82"/>
    </row>
    <row r="328" spans="1:48" s="77" customFormat="1" x14ac:dyDescent="0.2">
      <c r="A328" s="72" t="s">
        <v>3683</v>
      </c>
      <c r="B328" s="72" t="s">
        <v>3681</v>
      </c>
      <c r="C328" s="72">
        <v>24</v>
      </c>
      <c r="D328" s="72">
        <v>1</v>
      </c>
      <c r="E328" s="72" t="s">
        <v>2487</v>
      </c>
      <c r="F328" s="73">
        <v>43585</v>
      </c>
      <c r="G328" s="73" t="s">
        <v>4027</v>
      </c>
      <c r="H328" s="74">
        <v>7.9861111111111105E-2</v>
      </c>
      <c r="I328" s="72" t="s">
        <v>3626</v>
      </c>
      <c r="J328" s="72" t="s">
        <v>2488</v>
      </c>
      <c r="K328" s="72" t="s">
        <v>111</v>
      </c>
      <c r="L328" s="72" t="s">
        <v>23</v>
      </c>
      <c r="M328" s="72">
        <v>0</v>
      </c>
      <c r="N328" s="72">
        <v>0</v>
      </c>
      <c r="O328" s="72">
        <v>1</v>
      </c>
      <c r="P328" s="72" t="s">
        <v>598</v>
      </c>
      <c r="Q328" s="75" t="s">
        <v>2801</v>
      </c>
      <c r="R328" s="75" t="s">
        <v>115</v>
      </c>
      <c r="S328" s="75" t="s">
        <v>3599</v>
      </c>
      <c r="T328" s="75" t="s">
        <v>23</v>
      </c>
      <c r="U328" s="75" t="s">
        <v>3997</v>
      </c>
      <c r="V328" s="75" t="s">
        <v>4006</v>
      </c>
      <c r="W328" s="75" t="s">
        <v>2912</v>
      </c>
      <c r="X328" s="72">
        <v>175</v>
      </c>
      <c r="Y328" s="72">
        <v>12</v>
      </c>
      <c r="Z328" s="72">
        <v>63.720010000000002</v>
      </c>
      <c r="AA328" s="72">
        <v>148.98734999999999</v>
      </c>
      <c r="AB328" s="62">
        <f t="shared" si="5"/>
        <v>212.70735999999999</v>
      </c>
      <c r="AC328" s="118"/>
      <c r="AD328" s="118"/>
      <c r="AE328" s="75" t="s">
        <v>115</v>
      </c>
      <c r="AF328" s="75" t="s">
        <v>115</v>
      </c>
      <c r="AG328" s="75" t="s">
        <v>115</v>
      </c>
      <c r="AH328" s="72">
        <v>0</v>
      </c>
      <c r="AI328" s="72">
        <v>0</v>
      </c>
      <c r="AJ328" s="72">
        <v>0</v>
      </c>
      <c r="AK328" s="72">
        <v>0</v>
      </c>
      <c r="AL328" s="72">
        <v>0</v>
      </c>
      <c r="AM328" s="72"/>
      <c r="AN328" s="72">
        <v>0</v>
      </c>
      <c r="AO328" s="72"/>
      <c r="AP328" s="72" t="s">
        <v>3611</v>
      </c>
      <c r="AQ328" s="72"/>
      <c r="AR328" s="72"/>
      <c r="AS328" s="82"/>
      <c r="AT328" s="82"/>
      <c r="AU328" s="82"/>
      <c r="AV328" s="82"/>
    </row>
    <row r="329" spans="1:48" s="82" customFormat="1" x14ac:dyDescent="0.2">
      <c r="A329" s="72" t="s">
        <v>3661</v>
      </c>
      <c r="B329" s="72" t="s">
        <v>3660</v>
      </c>
      <c r="C329" s="72">
        <v>15</v>
      </c>
      <c r="D329" s="72">
        <v>2</v>
      </c>
      <c r="E329" s="72" t="s">
        <v>2487</v>
      </c>
      <c r="F329" s="73">
        <v>43585</v>
      </c>
      <c r="G329" s="73" t="s">
        <v>4027</v>
      </c>
      <c r="H329" s="74">
        <v>0.15416666666666667</v>
      </c>
      <c r="I329" s="72" t="s">
        <v>3626</v>
      </c>
      <c r="J329" s="72" t="s">
        <v>2488</v>
      </c>
      <c r="K329" s="72" t="s">
        <v>102</v>
      </c>
      <c r="L329" s="72" t="s">
        <v>115</v>
      </c>
      <c r="M329" s="72">
        <v>1</v>
      </c>
      <c r="N329" s="72">
        <v>0</v>
      </c>
      <c r="O329" s="72">
        <v>1</v>
      </c>
      <c r="P329" s="72" t="s">
        <v>598</v>
      </c>
      <c r="Q329" s="75" t="s">
        <v>2437</v>
      </c>
      <c r="R329" s="75" t="s">
        <v>122</v>
      </c>
      <c r="S329" s="75" t="s">
        <v>2141</v>
      </c>
      <c r="T329" s="75" t="s">
        <v>23</v>
      </c>
      <c r="U329" s="75" t="s">
        <v>3997</v>
      </c>
      <c r="V329" s="75" t="s">
        <v>4020</v>
      </c>
      <c r="W329" s="75" t="s">
        <v>3653</v>
      </c>
      <c r="X329" s="72">
        <v>220</v>
      </c>
      <c r="Y329" s="72">
        <v>4</v>
      </c>
      <c r="Z329" s="72">
        <v>63.720669999999998</v>
      </c>
      <c r="AA329" s="72">
        <v>148.98961</v>
      </c>
      <c r="AB329" s="62">
        <f t="shared" si="5"/>
        <v>212.71028000000001</v>
      </c>
      <c r="AC329" s="118"/>
      <c r="AD329" s="118"/>
      <c r="AE329" s="75" t="s">
        <v>115</v>
      </c>
      <c r="AF329" s="75" t="s">
        <v>115</v>
      </c>
      <c r="AG329" s="75" t="s">
        <v>115</v>
      </c>
      <c r="AH329" s="72">
        <v>0</v>
      </c>
      <c r="AI329" s="72">
        <v>0</v>
      </c>
      <c r="AJ329" s="72">
        <v>0</v>
      </c>
      <c r="AK329" s="72">
        <v>0</v>
      </c>
      <c r="AL329" s="72">
        <v>168</v>
      </c>
      <c r="AM329" s="72"/>
      <c r="AN329" s="72">
        <v>168</v>
      </c>
      <c r="AO329" s="72" t="s">
        <v>188</v>
      </c>
      <c r="AP329" s="72" t="s">
        <v>3663</v>
      </c>
      <c r="AQ329" s="72"/>
      <c r="AR329" s="72"/>
      <c r="AS329" s="77"/>
      <c r="AT329" s="77"/>
      <c r="AU329" s="77"/>
      <c r="AV329" s="77"/>
    </row>
    <row r="330" spans="1:48" s="82" customFormat="1" x14ac:dyDescent="0.2">
      <c r="A330" s="72" t="s">
        <v>3652</v>
      </c>
      <c r="B330" s="72" t="s">
        <v>3651</v>
      </c>
      <c r="C330" s="72">
        <v>11</v>
      </c>
      <c r="D330" s="72">
        <v>1</v>
      </c>
      <c r="E330" s="72" t="s">
        <v>2487</v>
      </c>
      <c r="F330" s="73">
        <v>43585</v>
      </c>
      <c r="G330" s="73" t="s">
        <v>4027</v>
      </c>
      <c r="H330" s="74">
        <v>6.7361111111111108E-2</v>
      </c>
      <c r="I330" s="72" t="s">
        <v>3626</v>
      </c>
      <c r="J330" s="72" t="s">
        <v>2498</v>
      </c>
      <c r="K330" s="72" t="s">
        <v>102</v>
      </c>
      <c r="L330" s="72" t="s">
        <v>115</v>
      </c>
      <c r="M330" s="72">
        <v>1</v>
      </c>
      <c r="N330" s="72">
        <v>0</v>
      </c>
      <c r="O330" s="72">
        <v>1</v>
      </c>
      <c r="P330" s="72" t="s">
        <v>14</v>
      </c>
      <c r="Q330" s="75" t="s">
        <v>3279</v>
      </c>
      <c r="R330" s="75" t="s">
        <v>122</v>
      </c>
      <c r="S330" s="75" t="s">
        <v>2088</v>
      </c>
      <c r="T330" s="75" t="s">
        <v>23</v>
      </c>
      <c r="U330" s="75" t="s">
        <v>3997</v>
      </c>
      <c r="V330" s="75" t="s">
        <v>4021</v>
      </c>
      <c r="W330" s="75" t="s">
        <v>3653</v>
      </c>
      <c r="X330" s="72">
        <v>220</v>
      </c>
      <c r="Y330" s="76">
        <v>10.9</v>
      </c>
      <c r="Z330" s="72">
        <v>63.719990000000003</v>
      </c>
      <c r="AA330" s="72">
        <v>148.98865000000001</v>
      </c>
      <c r="AB330" s="62">
        <f t="shared" si="5"/>
        <v>212.70864</v>
      </c>
      <c r="AC330" s="118"/>
      <c r="AD330" s="118"/>
      <c r="AE330" s="72" t="s">
        <v>115</v>
      </c>
      <c r="AF330" s="72" t="s">
        <v>115</v>
      </c>
      <c r="AG330" s="75" t="s">
        <v>115</v>
      </c>
      <c r="AH330" s="72">
        <v>0</v>
      </c>
      <c r="AI330" s="72">
        <v>0</v>
      </c>
      <c r="AJ330" s="72">
        <v>0</v>
      </c>
      <c r="AK330" s="72">
        <v>0</v>
      </c>
      <c r="AL330" s="72">
        <v>85</v>
      </c>
      <c r="AM330" s="72"/>
      <c r="AN330" s="72">
        <v>85</v>
      </c>
      <c r="AO330" s="72" t="s">
        <v>188</v>
      </c>
      <c r="AP330" s="72"/>
      <c r="AQ330" s="72"/>
      <c r="AR330" s="72"/>
    </row>
    <row r="331" spans="1:48" s="82" customFormat="1" x14ac:dyDescent="0.2">
      <c r="A331" s="72" t="s">
        <v>3742</v>
      </c>
      <c r="B331" s="72" t="s">
        <v>3743</v>
      </c>
      <c r="C331" s="72">
        <v>3</v>
      </c>
      <c r="D331" s="72">
        <v>1</v>
      </c>
      <c r="E331" s="72" t="s">
        <v>2601</v>
      </c>
      <c r="F331" s="73">
        <v>43587</v>
      </c>
      <c r="G331" s="73" t="s">
        <v>4028</v>
      </c>
      <c r="H331" s="74">
        <v>3.888888888888889E-2</v>
      </c>
      <c r="I331" s="72" t="s">
        <v>1278</v>
      </c>
      <c r="J331" s="72" t="s">
        <v>177</v>
      </c>
      <c r="K331" s="72" t="s">
        <v>187</v>
      </c>
      <c r="L331" s="72" t="s">
        <v>23</v>
      </c>
      <c r="M331" s="72" t="s">
        <v>24</v>
      </c>
      <c r="N331" s="72">
        <v>0</v>
      </c>
      <c r="O331" s="72">
        <v>1</v>
      </c>
      <c r="P331" s="72" t="s">
        <v>176</v>
      </c>
      <c r="Q331" s="75" t="s">
        <v>24</v>
      </c>
      <c r="R331" s="75" t="s">
        <v>24</v>
      </c>
      <c r="S331" s="75" t="s">
        <v>3744</v>
      </c>
      <c r="T331" s="75" t="s">
        <v>23</v>
      </c>
      <c r="U331" s="75" t="s">
        <v>3999</v>
      </c>
      <c r="V331" s="75" t="s">
        <v>4020</v>
      </c>
      <c r="W331" s="72" t="s">
        <v>2457</v>
      </c>
      <c r="X331" s="72">
        <v>32</v>
      </c>
      <c r="Y331" s="75" t="s">
        <v>176</v>
      </c>
      <c r="Z331" s="72">
        <v>63.72598</v>
      </c>
      <c r="AA331" s="72">
        <v>148.96046000000001</v>
      </c>
      <c r="AB331" s="62">
        <f t="shared" si="5"/>
        <v>212.68644</v>
      </c>
      <c r="AC331" s="118"/>
      <c r="AD331" s="118"/>
      <c r="AE331" s="75" t="s">
        <v>115</v>
      </c>
      <c r="AF331" s="75" t="s">
        <v>115</v>
      </c>
      <c r="AG331" s="75" t="s">
        <v>115</v>
      </c>
      <c r="AH331" s="72">
        <v>0</v>
      </c>
      <c r="AI331" s="72">
        <v>0</v>
      </c>
      <c r="AJ331" s="72">
        <v>0</v>
      </c>
      <c r="AK331" s="72">
        <v>0</v>
      </c>
      <c r="AL331" s="72">
        <v>54</v>
      </c>
      <c r="AM331" s="72"/>
      <c r="AN331" s="72">
        <v>54</v>
      </c>
      <c r="AO331" s="72" t="s">
        <v>188</v>
      </c>
      <c r="AP331" s="72" t="s">
        <v>3754</v>
      </c>
      <c r="AQ331" s="72"/>
      <c r="AR331" s="72"/>
      <c r="AS331" s="77"/>
      <c r="AT331" s="77"/>
      <c r="AU331" s="77"/>
      <c r="AV331" s="77"/>
    </row>
    <row r="332" spans="1:48" s="82" customFormat="1" x14ac:dyDescent="0.2">
      <c r="A332" s="72" t="s">
        <v>3735</v>
      </c>
      <c r="B332" s="72" t="s">
        <v>3736</v>
      </c>
      <c r="C332" s="72">
        <v>4</v>
      </c>
      <c r="D332" s="72">
        <v>1</v>
      </c>
      <c r="E332" s="72" t="s">
        <v>3731</v>
      </c>
      <c r="F332" s="73">
        <v>43587</v>
      </c>
      <c r="G332" s="73" t="s">
        <v>4028</v>
      </c>
      <c r="H332" s="74">
        <v>2.7083333333333334E-2</v>
      </c>
      <c r="I332" s="72" t="s">
        <v>1278</v>
      </c>
      <c r="J332" s="72" t="s">
        <v>255</v>
      </c>
      <c r="K332" s="72" t="s">
        <v>111</v>
      </c>
      <c r="L332" s="72" t="s">
        <v>23</v>
      </c>
      <c r="M332" s="72">
        <v>0</v>
      </c>
      <c r="N332" s="72">
        <v>0</v>
      </c>
      <c r="O332" s="72">
        <v>1</v>
      </c>
      <c r="P332" s="72" t="s">
        <v>598</v>
      </c>
      <c r="Q332" s="75" t="s">
        <v>2801</v>
      </c>
      <c r="R332" s="75" t="s">
        <v>115</v>
      </c>
      <c r="S332" s="75" t="s">
        <v>2088</v>
      </c>
      <c r="T332" s="75" t="s">
        <v>23</v>
      </c>
      <c r="U332" s="75" t="s">
        <v>3997</v>
      </c>
      <c r="V332" s="75" t="s">
        <v>4021</v>
      </c>
      <c r="W332" s="75" t="s">
        <v>2765</v>
      </c>
      <c r="X332" s="72">
        <v>220</v>
      </c>
      <c r="Y332" s="72">
        <v>20</v>
      </c>
      <c r="Z332" s="72">
        <v>63.733550000000001</v>
      </c>
      <c r="AA332" s="72">
        <v>148.90380999999999</v>
      </c>
      <c r="AB332" s="62">
        <f t="shared" si="5"/>
        <v>212.63736</v>
      </c>
      <c r="AC332" s="118">
        <v>1</v>
      </c>
      <c r="AD332" s="118"/>
      <c r="AE332" s="75" t="s">
        <v>115</v>
      </c>
      <c r="AF332" s="75" t="s">
        <v>115</v>
      </c>
      <c r="AG332" s="75" t="s">
        <v>115</v>
      </c>
      <c r="AH332" s="72">
        <v>0</v>
      </c>
      <c r="AI332" s="72">
        <v>0</v>
      </c>
      <c r="AJ332" s="72">
        <v>0</v>
      </c>
      <c r="AK332" s="72">
        <v>0</v>
      </c>
      <c r="AL332" s="72">
        <v>0</v>
      </c>
      <c r="AM332" s="72"/>
      <c r="AN332" s="72">
        <v>0</v>
      </c>
      <c r="AO332" s="72"/>
      <c r="AP332" s="72"/>
      <c r="AQ332" s="72"/>
      <c r="AR332" s="72"/>
      <c r="AS332" s="59"/>
      <c r="AT332" s="59"/>
      <c r="AU332" s="59"/>
      <c r="AV332" s="59"/>
    </row>
    <row r="333" spans="1:48" s="82" customFormat="1" x14ac:dyDescent="0.2">
      <c r="A333" s="72" t="s">
        <v>3735</v>
      </c>
      <c r="B333" s="72" t="s">
        <v>3736</v>
      </c>
      <c r="C333" s="72">
        <v>4</v>
      </c>
      <c r="D333" s="72">
        <v>2</v>
      </c>
      <c r="E333" s="72" t="s">
        <v>3731</v>
      </c>
      <c r="F333" s="73">
        <v>43587</v>
      </c>
      <c r="G333" s="73" t="s">
        <v>4028</v>
      </c>
      <c r="H333" s="74">
        <v>2.7083333333333334E-2</v>
      </c>
      <c r="I333" s="72" t="s">
        <v>1278</v>
      </c>
      <c r="J333" s="72" t="s">
        <v>255</v>
      </c>
      <c r="K333" s="72" t="s">
        <v>111</v>
      </c>
      <c r="L333" s="72" t="s">
        <v>23</v>
      </c>
      <c r="M333" s="72">
        <v>0</v>
      </c>
      <c r="N333" s="72">
        <v>0</v>
      </c>
      <c r="O333" s="72">
        <v>1</v>
      </c>
      <c r="P333" s="72" t="s">
        <v>598</v>
      </c>
      <c r="Q333" s="75" t="s">
        <v>2801</v>
      </c>
      <c r="R333" s="75" t="s">
        <v>115</v>
      </c>
      <c r="S333" s="75" t="s">
        <v>2088</v>
      </c>
      <c r="T333" s="75" t="s">
        <v>23</v>
      </c>
      <c r="U333" s="75" t="s">
        <v>3997</v>
      </c>
      <c r="V333" s="75" t="s">
        <v>4021</v>
      </c>
      <c r="W333" s="75" t="s">
        <v>2765</v>
      </c>
      <c r="X333" s="72">
        <v>240</v>
      </c>
      <c r="Y333" s="72">
        <v>20</v>
      </c>
      <c r="Z333" s="72">
        <v>63.733550000000001</v>
      </c>
      <c r="AA333" s="72">
        <v>148.90380999999999</v>
      </c>
      <c r="AB333" s="62">
        <f t="shared" si="5"/>
        <v>212.63736</v>
      </c>
      <c r="AC333" s="118">
        <v>1</v>
      </c>
      <c r="AD333" s="118" t="s">
        <v>4765</v>
      </c>
      <c r="AE333" s="75" t="s">
        <v>115</v>
      </c>
      <c r="AF333" s="75" t="s">
        <v>115</v>
      </c>
      <c r="AG333" s="75" t="s">
        <v>115</v>
      </c>
      <c r="AH333" s="72">
        <v>0</v>
      </c>
      <c r="AI333" s="72">
        <v>0</v>
      </c>
      <c r="AJ333" s="72">
        <v>0</v>
      </c>
      <c r="AK333" s="72">
        <v>0</v>
      </c>
      <c r="AL333" s="72">
        <v>0</v>
      </c>
      <c r="AM333" s="72"/>
      <c r="AN333" s="72">
        <v>0</v>
      </c>
      <c r="AO333" s="72"/>
      <c r="AP333" s="72" t="s">
        <v>3737</v>
      </c>
      <c r="AQ333" s="72"/>
      <c r="AR333" s="72"/>
      <c r="AS333" s="59"/>
      <c r="AT333" s="59"/>
      <c r="AU333" s="59"/>
      <c r="AV333" s="59"/>
    </row>
    <row r="334" spans="1:48" s="77" customFormat="1" x14ac:dyDescent="0.2">
      <c r="A334" s="72" t="s">
        <v>3761</v>
      </c>
      <c r="B334" s="72" t="s">
        <v>3762</v>
      </c>
      <c r="C334" s="72">
        <v>4</v>
      </c>
      <c r="D334" s="72">
        <v>1</v>
      </c>
      <c r="E334" s="72" t="s">
        <v>3171</v>
      </c>
      <c r="F334" s="73">
        <v>43588</v>
      </c>
      <c r="G334" s="73" t="s">
        <v>4028</v>
      </c>
      <c r="H334" s="74">
        <v>6.9444444444444441E-3</v>
      </c>
      <c r="I334" s="72" t="s">
        <v>3187</v>
      </c>
      <c r="J334" s="72" t="s">
        <v>149</v>
      </c>
      <c r="K334" s="72" t="s">
        <v>242</v>
      </c>
      <c r="L334" s="72" t="s">
        <v>23</v>
      </c>
      <c r="M334" s="72">
        <v>1</v>
      </c>
      <c r="N334" s="72">
        <v>0</v>
      </c>
      <c r="O334" s="72">
        <v>1</v>
      </c>
      <c r="P334" s="72" t="s">
        <v>598</v>
      </c>
      <c r="Q334" s="75" t="s">
        <v>3794</v>
      </c>
      <c r="R334" s="75" t="s">
        <v>122</v>
      </c>
      <c r="S334" s="75" t="s">
        <v>333</v>
      </c>
      <c r="T334" s="75" t="s">
        <v>23</v>
      </c>
      <c r="U334" s="75" t="s">
        <v>3999</v>
      </c>
      <c r="V334" s="75" t="s">
        <v>4006</v>
      </c>
      <c r="W334" s="75" t="s">
        <v>2850</v>
      </c>
      <c r="X334" s="72">
        <v>115</v>
      </c>
      <c r="Y334" s="75">
        <v>10</v>
      </c>
      <c r="Z334" s="72">
        <v>63.722990000000003</v>
      </c>
      <c r="AA334" s="75">
        <v>148.94640999999999</v>
      </c>
      <c r="AB334" s="62">
        <f t="shared" si="5"/>
        <v>212.6694</v>
      </c>
      <c r="AC334" s="120"/>
      <c r="AD334" s="120"/>
      <c r="AE334" s="75" t="s">
        <v>115</v>
      </c>
      <c r="AF334" s="75" t="s">
        <v>115</v>
      </c>
      <c r="AG334" s="75" t="s">
        <v>115</v>
      </c>
      <c r="AH334" s="72">
        <v>0</v>
      </c>
      <c r="AI334" s="72">
        <v>0</v>
      </c>
      <c r="AJ334" s="72">
        <v>0</v>
      </c>
      <c r="AK334" s="72">
        <v>0</v>
      </c>
      <c r="AL334" s="72">
        <v>0</v>
      </c>
      <c r="AM334" s="72"/>
      <c r="AN334" s="72">
        <v>0</v>
      </c>
      <c r="AO334" s="72"/>
      <c r="AP334" s="72" t="s">
        <v>3763</v>
      </c>
      <c r="AQ334" s="72"/>
      <c r="AR334" s="72"/>
      <c r="AS334" s="82"/>
      <c r="AT334" s="82"/>
      <c r="AU334" s="82"/>
      <c r="AV334" s="82"/>
    </row>
    <row r="335" spans="1:48" s="82" customFormat="1" x14ac:dyDescent="0.2">
      <c r="A335" s="72" t="s">
        <v>3788</v>
      </c>
      <c r="B335" s="72" t="s">
        <v>3789</v>
      </c>
      <c r="C335" s="72">
        <v>16</v>
      </c>
      <c r="D335" s="72">
        <v>1</v>
      </c>
      <c r="E335" s="72" t="s">
        <v>3171</v>
      </c>
      <c r="F335" s="73">
        <v>43588</v>
      </c>
      <c r="G335" s="73" t="s">
        <v>4028</v>
      </c>
      <c r="H335" s="74">
        <v>2.6388888888888889E-2</v>
      </c>
      <c r="I335" s="72" t="s">
        <v>3187</v>
      </c>
      <c r="J335" s="72" t="s">
        <v>149</v>
      </c>
      <c r="K335" s="72" t="s">
        <v>187</v>
      </c>
      <c r="L335" s="72" t="s">
        <v>23</v>
      </c>
      <c r="M335" s="72">
        <v>1</v>
      </c>
      <c r="N335" s="72">
        <v>0</v>
      </c>
      <c r="O335" s="72">
        <v>1</v>
      </c>
      <c r="P335" s="72" t="s">
        <v>598</v>
      </c>
      <c r="Q335" s="75" t="s">
        <v>2437</v>
      </c>
      <c r="R335" s="75" t="s">
        <v>122</v>
      </c>
      <c r="S335" s="75" t="s">
        <v>333</v>
      </c>
      <c r="T335" s="75" t="s">
        <v>23</v>
      </c>
      <c r="U335" s="75" t="s">
        <v>3999</v>
      </c>
      <c r="V335" s="75" t="s">
        <v>4006</v>
      </c>
      <c r="W335" s="75" t="s">
        <v>2912</v>
      </c>
      <c r="X335" s="72">
        <v>165</v>
      </c>
      <c r="Y335" s="72">
        <v>5</v>
      </c>
      <c r="Z335" s="72">
        <v>63.722900000000003</v>
      </c>
      <c r="AA335" s="72">
        <v>148.94708</v>
      </c>
      <c r="AB335" s="62">
        <f t="shared" si="5"/>
        <v>212.66998000000001</v>
      </c>
      <c r="AC335" s="118"/>
      <c r="AD335" s="118"/>
      <c r="AE335" s="72"/>
      <c r="AF335" s="75" t="s">
        <v>115</v>
      </c>
      <c r="AG335" s="75" t="s">
        <v>115</v>
      </c>
      <c r="AH335" s="72">
        <v>0</v>
      </c>
      <c r="AI335" s="72">
        <v>0</v>
      </c>
      <c r="AJ335" s="72">
        <v>0</v>
      </c>
      <c r="AK335" s="72">
        <v>0</v>
      </c>
      <c r="AL335" s="72">
        <v>23</v>
      </c>
      <c r="AM335" s="72"/>
      <c r="AN335" s="72">
        <v>23</v>
      </c>
      <c r="AO335" s="72" t="s">
        <v>188</v>
      </c>
      <c r="AP335" s="72"/>
      <c r="AQ335" s="72"/>
      <c r="AR335" s="72"/>
      <c r="AS335" s="77"/>
      <c r="AT335" s="77"/>
      <c r="AU335" s="77"/>
      <c r="AV335" s="77"/>
    </row>
    <row r="336" spans="1:48" s="77" customFormat="1" x14ac:dyDescent="0.2">
      <c r="A336" s="72" t="s">
        <v>3864</v>
      </c>
      <c r="B336" s="72" t="s">
        <v>3865</v>
      </c>
      <c r="C336" s="72">
        <v>2</v>
      </c>
      <c r="D336" s="72">
        <v>1</v>
      </c>
      <c r="E336" s="72" t="s">
        <v>2601</v>
      </c>
      <c r="F336" s="73">
        <v>43590</v>
      </c>
      <c r="G336" s="73" t="s">
        <v>4028</v>
      </c>
      <c r="H336" s="74">
        <v>3.3333333333333333E-2</v>
      </c>
      <c r="I336" s="72" t="s">
        <v>1278</v>
      </c>
      <c r="J336" s="72" t="s">
        <v>177</v>
      </c>
      <c r="K336" s="72" t="s">
        <v>187</v>
      </c>
      <c r="L336" s="72" t="s">
        <v>115</v>
      </c>
      <c r="M336" s="72" t="s">
        <v>24</v>
      </c>
      <c r="N336" s="72">
        <v>0</v>
      </c>
      <c r="O336" s="72">
        <v>1</v>
      </c>
      <c r="P336" s="72" t="s">
        <v>598</v>
      </c>
      <c r="Q336" s="75" t="s">
        <v>2437</v>
      </c>
      <c r="R336" s="75" t="s">
        <v>24</v>
      </c>
      <c r="S336" s="75" t="s">
        <v>3866</v>
      </c>
      <c r="T336" s="75" t="s">
        <v>23</v>
      </c>
      <c r="U336" s="75" t="s">
        <v>3999</v>
      </c>
      <c r="V336" s="75" t="s">
        <v>4021</v>
      </c>
      <c r="W336" s="75" t="s">
        <v>2551</v>
      </c>
      <c r="X336" s="72">
        <v>355</v>
      </c>
      <c r="Y336" s="75" t="s">
        <v>176</v>
      </c>
      <c r="Z336" s="72">
        <v>63.72616</v>
      </c>
      <c r="AA336" s="72">
        <v>148.96205</v>
      </c>
      <c r="AB336" s="62">
        <f t="shared" si="5"/>
        <v>212.68821</v>
      </c>
      <c r="AC336" s="118"/>
      <c r="AD336" s="118"/>
      <c r="AE336" s="75" t="s">
        <v>115</v>
      </c>
      <c r="AF336" s="75" t="s">
        <v>115</v>
      </c>
      <c r="AG336" s="75" t="s">
        <v>115</v>
      </c>
      <c r="AH336" s="72">
        <v>0</v>
      </c>
      <c r="AI336" s="72">
        <v>0</v>
      </c>
      <c r="AJ336" s="72">
        <v>0</v>
      </c>
      <c r="AK336" s="72">
        <v>0</v>
      </c>
      <c r="AL336" s="72">
        <v>44</v>
      </c>
      <c r="AM336" s="72"/>
      <c r="AN336" s="72">
        <v>44</v>
      </c>
      <c r="AO336" s="72" t="s">
        <v>188</v>
      </c>
      <c r="AP336" s="72"/>
      <c r="AQ336" s="72"/>
      <c r="AR336" s="72"/>
    </row>
    <row r="337" spans="1:48" s="77" customFormat="1" x14ac:dyDescent="0.2">
      <c r="A337" s="72" t="s">
        <v>3785</v>
      </c>
      <c r="B337" s="72" t="s">
        <v>3786</v>
      </c>
      <c r="C337" s="72">
        <v>15</v>
      </c>
      <c r="D337" s="72">
        <v>1</v>
      </c>
      <c r="E337" s="72" t="s">
        <v>3171</v>
      </c>
      <c r="F337" s="73">
        <v>43590</v>
      </c>
      <c r="G337" s="73" t="s">
        <v>4028</v>
      </c>
      <c r="H337" s="74">
        <v>8.4722222222222213E-2</v>
      </c>
      <c r="I337" s="72" t="s">
        <v>3187</v>
      </c>
      <c r="J337" s="72" t="s">
        <v>149</v>
      </c>
      <c r="K337" s="72" t="s">
        <v>111</v>
      </c>
      <c r="L337" s="72" t="s">
        <v>23</v>
      </c>
      <c r="M337" s="72">
        <v>0</v>
      </c>
      <c r="N337" s="72">
        <v>0</v>
      </c>
      <c r="O337" s="72">
        <v>1</v>
      </c>
      <c r="P337" s="72" t="s">
        <v>598</v>
      </c>
      <c r="Q337" s="75" t="s">
        <v>2437</v>
      </c>
      <c r="R337" s="75" t="s">
        <v>115</v>
      </c>
      <c r="S337" s="75" t="s">
        <v>263</v>
      </c>
      <c r="T337" s="75" t="s">
        <v>23</v>
      </c>
      <c r="U337" s="75" t="s">
        <v>4004</v>
      </c>
      <c r="V337" s="75" t="s">
        <v>4005</v>
      </c>
      <c r="W337" s="75" t="s">
        <v>3787</v>
      </c>
      <c r="X337" s="75" t="s">
        <v>3787</v>
      </c>
      <c r="Y337" s="75" t="s">
        <v>3787</v>
      </c>
      <c r="Z337" s="75" t="s">
        <v>3787</v>
      </c>
      <c r="AA337" s="75" t="s">
        <v>3787</v>
      </c>
      <c r="AB337" s="62" t="e">
        <f t="shared" si="5"/>
        <v>#VALUE!</v>
      </c>
      <c r="AC337" s="120"/>
      <c r="AD337" s="120"/>
      <c r="AE337" s="75" t="s">
        <v>115</v>
      </c>
      <c r="AF337" s="75" t="s">
        <v>115</v>
      </c>
      <c r="AG337" s="75" t="s">
        <v>115</v>
      </c>
      <c r="AH337" s="72">
        <v>0</v>
      </c>
      <c r="AI337" s="72">
        <v>0</v>
      </c>
      <c r="AJ337" s="72">
        <v>0</v>
      </c>
      <c r="AK337" s="72">
        <v>0</v>
      </c>
      <c r="AL337" s="72">
        <v>0</v>
      </c>
      <c r="AM337" s="72"/>
      <c r="AN337" s="72">
        <v>0</v>
      </c>
      <c r="AO337" s="72"/>
      <c r="AP337" s="72"/>
      <c r="AQ337" s="72"/>
      <c r="AR337" s="72"/>
    </row>
    <row r="338" spans="1:48" s="77" customFormat="1" x14ac:dyDescent="0.2">
      <c r="A338" s="72" t="s">
        <v>3913</v>
      </c>
      <c r="B338" s="72" t="s">
        <v>3914</v>
      </c>
      <c r="C338" s="72">
        <v>14</v>
      </c>
      <c r="D338" s="72">
        <v>1</v>
      </c>
      <c r="E338" s="72" t="s">
        <v>2462</v>
      </c>
      <c r="F338" s="73">
        <v>43591</v>
      </c>
      <c r="G338" s="73" t="s">
        <v>4028</v>
      </c>
      <c r="H338" s="74">
        <v>6.9444444444444441E-3</v>
      </c>
      <c r="I338" s="72" t="s">
        <v>1278</v>
      </c>
      <c r="J338" s="72" t="s">
        <v>64</v>
      </c>
      <c r="K338" s="72" t="s">
        <v>111</v>
      </c>
      <c r="L338" s="72" t="s">
        <v>23</v>
      </c>
      <c r="M338" s="72">
        <v>1</v>
      </c>
      <c r="N338" s="72">
        <v>0</v>
      </c>
      <c r="O338" s="72">
        <v>1</v>
      </c>
      <c r="P338" s="72" t="s">
        <v>598</v>
      </c>
      <c r="Q338" s="75" t="s">
        <v>2437</v>
      </c>
      <c r="R338" s="75" t="s">
        <v>24</v>
      </c>
      <c r="S338" s="75" t="s">
        <v>3591</v>
      </c>
      <c r="T338" s="75" t="s">
        <v>23</v>
      </c>
      <c r="U338" s="75" t="s">
        <v>3997</v>
      </c>
      <c r="V338" s="75" t="s">
        <v>4020</v>
      </c>
      <c r="W338" s="75" t="s">
        <v>2457</v>
      </c>
      <c r="X338" s="72">
        <v>39</v>
      </c>
      <c r="Y338" s="75" t="s">
        <v>176</v>
      </c>
      <c r="Z338" s="72">
        <v>63.736240000000002</v>
      </c>
      <c r="AA338" s="72">
        <v>148.90282999999999</v>
      </c>
      <c r="AB338" s="62">
        <f t="shared" si="5"/>
        <v>212.63907</v>
      </c>
      <c r="AC338" s="118"/>
      <c r="AD338" s="118"/>
      <c r="AE338" s="75" t="s">
        <v>115</v>
      </c>
      <c r="AF338" s="75" t="s">
        <v>115</v>
      </c>
      <c r="AG338" s="75" t="s">
        <v>115</v>
      </c>
      <c r="AH338" s="72">
        <v>0</v>
      </c>
      <c r="AI338" s="72">
        <v>0</v>
      </c>
      <c r="AJ338" s="72">
        <v>0</v>
      </c>
      <c r="AK338" s="72">
        <v>0</v>
      </c>
      <c r="AL338" s="72">
        <v>0</v>
      </c>
      <c r="AM338" s="72"/>
      <c r="AN338" s="72">
        <v>0</v>
      </c>
      <c r="AO338" s="72"/>
      <c r="AP338" s="72" t="s">
        <v>3611</v>
      </c>
      <c r="AQ338" s="72"/>
      <c r="AR338" s="72"/>
      <c r="AS338" s="72"/>
      <c r="AT338" s="72"/>
      <c r="AU338" s="72"/>
      <c r="AV338" s="72"/>
    </row>
    <row r="339" spans="1:48" s="82" customFormat="1" x14ac:dyDescent="0.2">
      <c r="A339" s="72" t="s">
        <v>3910</v>
      </c>
      <c r="B339" s="72" t="s">
        <v>3911</v>
      </c>
      <c r="C339" s="72">
        <v>13</v>
      </c>
      <c r="D339" s="72">
        <v>1</v>
      </c>
      <c r="E339" s="72" t="s">
        <v>2462</v>
      </c>
      <c r="F339" s="73">
        <v>43591</v>
      </c>
      <c r="G339" s="73" t="s">
        <v>4028</v>
      </c>
      <c r="H339" s="74">
        <v>9.0277777777777787E-3</v>
      </c>
      <c r="I339" s="72" t="s">
        <v>1278</v>
      </c>
      <c r="J339" s="72" t="s">
        <v>64</v>
      </c>
      <c r="K339" s="72" t="s">
        <v>111</v>
      </c>
      <c r="L339" s="72" t="s">
        <v>23</v>
      </c>
      <c r="M339" s="72">
        <v>0</v>
      </c>
      <c r="N339" s="72">
        <v>0</v>
      </c>
      <c r="O339" s="72">
        <v>1</v>
      </c>
      <c r="P339" s="72" t="s">
        <v>598</v>
      </c>
      <c r="Q339" s="75" t="s">
        <v>2801</v>
      </c>
      <c r="R339" s="75" t="s">
        <v>115</v>
      </c>
      <c r="S339" s="75" t="s">
        <v>333</v>
      </c>
      <c r="T339" s="75" t="s">
        <v>23</v>
      </c>
      <c r="U339" s="75" t="s">
        <v>3999</v>
      </c>
      <c r="V339" s="75" t="s">
        <v>4006</v>
      </c>
      <c r="W339" s="72" t="s">
        <v>3912</v>
      </c>
      <c r="X339" s="72">
        <v>95</v>
      </c>
      <c r="Y339" s="72">
        <v>21</v>
      </c>
      <c r="Z339" s="72">
        <v>63.736319999999999</v>
      </c>
      <c r="AA339" s="72">
        <v>148.90260000000001</v>
      </c>
      <c r="AB339" s="62">
        <f t="shared" si="5"/>
        <v>212.63892000000001</v>
      </c>
      <c r="AC339" s="118"/>
      <c r="AD339" s="118"/>
      <c r="AE339" s="75" t="s">
        <v>115</v>
      </c>
      <c r="AF339" s="75" t="s">
        <v>115</v>
      </c>
      <c r="AG339" s="75" t="s">
        <v>115</v>
      </c>
      <c r="AH339" s="72">
        <v>0</v>
      </c>
      <c r="AI339" s="72">
        <v>0</v>
      </c>
      <c r="AJ339" s="72">
        <v>0</v>
      </c>
      <c r="AK339" s="72">
        <v>0</v>
      </c>
      <c r="AL339" s="72">
        <v>0</v>
      </c>
      <c r="AM339" s="72"/>
      <c r="AN339" s="72">
        <v>0</v>
      </c>
      <c r="AO339" s="72"/>
      <c r="AP339" s="72" t="s">
        <v>3611</v>
      </c>
      <c r="AQ339" s="72"/>
      <c r="AR339" s="72"/>
      <c r="AS339" s="72"/>
      <c r="AT339" s="72"/>
      <c r="AU339" s="72"/>
      <c r="AV339" s="72"/>
    </row>
    <row r="340" spans="1:48" s="77" customFormat="1" x14ac:dyDescent="0.2">
      <c r="A340" s="72" t="s">
        <v>3882</v>
      </c>
      <c r="B340" s="72" t="s">
        <v>3883</v>
      </c>
      <c r="C340" s="72">
        <v>4</v>
      </c>
      <c r="D340" s="72">
        <v>1</v>
      </c>
      <c r="E340" s="72" t="s">
        <v>3171</v>
      </c>
      <c r="F340" s="73">
        <v>43591</v>
      </c>
      <c r="G340" s="73" t="s">
        <v>4028</v>
      </c>
      <c r="H340" s="74">
        <v>7.5694444444444439E-2</v>
      </c>
      <c r="I340" s="72" t="s">
        <v>1278</v>
      </c>
      <c r="J340" s="72" t="s">
        <v>149</v>
      </c>
      <c r="K340" s="72" t="s">
        <v>102</v>
      </c>
      <c r="L340" s="72" t="s">
        <v>115</v>
      </c>
      <c r="M340" s="72">
        <v>0</v>
      </c>
      <c r="N340" s="72">
        <v>0</v>
      </c>
      <c r="O340" s="72">
        <v>3</v>
      </c>
      <c r="P340" s="72" t="s">
        <v>176</v>
      </c>
      <c r="Q340" s="75" t="s">
        <v>24</v>
      </c>
      <c r="R340" s="75" t="s">
        <v>24</v>
      </c>
      <c r="S340" s="75" t="s">
        <v>2088</v>
      </c>
      <c r="T340" s="75" t="s">
        <v>23</v>
      </c>
      <c r="U340" s="75" t="s">
        <v>3997</v>
      </c>
      <c r="V340" s="75" t="s">
        <v>4021</v>
      </c>
      <c r="W340" s="75" t="s">
        <v>3653</v>
      </c>
      <c r="X340" s="72">
        <v>230</v>
      </c>
      <c r="Y340" s="75" t="s">
        <v>176</v>
      </c>
      <c r="Z340" s="72">
        <v>63.72392</v>
      </c>
      <c r="AA340" s="72">
        <v>148.95093</v>
      </c>
      <c r="AB340" s="62">
        <f t="shared" si="5"/>
        <v>212.67484999999999</v>
      </c>
      <c r="AC340" s="118"/>
      <c r="AD340" s="118"/>
      <c r="AE340" s="75" t="s">
        <v>115</v>
      </c>
      <c r="AF340" s="75" t="s">
        <v>115</v>
      </c>
      <c r="AG340" s="75" t="s">
        <v>115</v>
      </c>
      <c r="AH340" s="72">
        <v>0</v>
      </c>
      <c r="AI340" s="72">
        <v>0</v>
      </c>
      <c r="AJ340" s="72">
        <v>0</v>
      </c>
      <c r="AK340" s="72">
        <v>0</v>
      </c>
      <c r="AL340" s="72">
        <v>0</v>
      </c>
      <c r="AM340" s="72"/>
      <c r="AN340" s="72">
        <v>0</v>
      </c>
      <c r="AO340" s="72"/>
      <c r="AP340" s="72" t="s">
        <v>3884</v>
      </c>
      <c r="AQ340" s="72"/>
      <c r="AR340" s="72"/>
    </row>
    <row r="341" spans="1:48" s="82" customFormat="1" x14ac:dyDescent="0.2">
      <c r="A341" s="65" t="s">
        <v>4046</v>
      </c>
      <c r="B341" s="65" t="s">
        <v>4047</v>
      </c>
      <c r="C341" s="65">
        <v>7</v>
      </c>
      <c r="D341" s="65">
        <v>1</v>
      </c>
      <c r="E341" s="65" t="s">
        <v>2462</v>
      </c>
      <c r="F341" s="66">
        <v>43646</v>
      </c>
      <c r="G341" s="65" t="s">
        <v>4034</v>
      </c>
      <c r="H341" s="67">
        <v>4.3750000000000004E-2</v>
      </c>
      <c r="I341" s="65" t="s">
        <v>4035</v>
      </c>
      <c r="J341" s="65" t="s">
        <v>363</v>
      </c>
      <c r="K341" s="65" t="s">
        <v>4079</v>
      </c>
      <c r="L341" s="65" t="s">
        <v>23</v>
      </c>
      <c r="M341" s="65">
        <v>1</v>
      </c>
      <c r="N341" s="65">
        <v>0</v>
      </c>
      <c r="O341" s="65">
        <v>1</v>
      </c>
      <c r="P341" s="65" t="s">
        <v>598</v>
      </c>
      <c r="Q341" s="65" t="s">
        <v>4048</v>
      </c>
      <c r="R341" s="65" t="s">
        <v>122</v>
      </c>
      <c r="S341" s="65" t="s">
        <v>263</v>
      </c>
      <c r="T341" s="65" t="s">
        <v>23</v>
      </c>
      <c r="U341" s="65" t="s">
        <v>4004</v>
      </c>
      <c r="V341" s="65" t="s">
        <v>4022</v>
      </c>
      <c r="W341" s="65" t="s">
        <v>2912</v>
      </c>
      <c r="X341" s="65">
        <v>190</v>
      </c>
      <c r="Y341" s="65">
        <v>2</v>
      </c>
      <c r="Z341" s="65">
        <v>63.73545</v>
      </c>
      <c r="AA341" s="65">
        <v>148.89067</v>
      </c>
      <c r="AB341" s="62">
        <f t="shared" si="5"/>
        <v>212.62612000000001</v>
      </c>
      <c r="AC341" s="119"/>
      <c r="AD341" s="119"/>
      <c r="AE341" s="65" t="s">
        <v>115</v>
      </c>
      <c r="AF341" s="65" t="s">
        <v>115</v>
      </c>
      <c r="AG341" s="65" t="s">
        <v>115</v>
      </c>
      <c r="AH341" s="65">
        <v>0</v>
      </c>
      <c r="AI341" s="65">
        <v>0</v>
      </c>
      <c r="AJ341" s="65">
        <v>0</v>
      </c>
      <c r="AK341" s="65">
        <v>0</v>
      </c>
      <c r="AL341" s="65">
        <v>38</v>
      </c>
      <c r="AM341" s="68">
        <v>0</v>
      </c>
      <c r="AN341" s="65">
        <v>38</v>
      </c>
      <c r="AO341" s="65" t="s">
        <v>188</v>
      </c>
      <c r="AP341" s="65" t="s">
        <v>4113</v>
      </c>
      <c r="AQ341" s="65"/>
      <c r="AR341" s="65"/>
      <c r="AS341" s="59"/>
      <c r="AT341" s="59"/>
      <c r="AU341" s="59"/>
      <c r="AV341" s="59"/>
    </row>
    <row r="342" spans="1:48" s="82" customFormat="1" x14ac:dyDescent="0.2">
      <c r="A342" s="65" t="s">
        <v>4051</v>
      </c>
      <c r="B342" s="65" t="s">
        <v>4052</v>
      </c>
      <c r="C342" s="65">
        <v>9</v>
      </c>
      <c r="D342" s="65">
        <v>1</v>
      </c>
      <c r="E342" s="65" t="s">
        <v>2462</v>
      </c>
      <c r="F342" s="66">
        <v>43646</v>
      </c>
      <c r="G342" s="65" t="s">
        <v>4034</v>
      </c>
      <c r="H342" s="67">
        <v>1.3888888888888888E-2</v>
      </c>
      <c r="I342" s="65" t="s">
        <v>4035</v>
      </c>
      <c r="J342" s="65" t="s">
        <v>64</v>
      </c>
      <c r="K342" s="65" t="s">
        <v>102</v>
      </c>
      <c r="L342" s="65" t="s">
        <v>23</v>
      </c>
      <c r="M342" s="65">
        <v>1</v>
      </c>
      <c r="N342" s="65" t="s">
        <v>115</v>
      </c>
      <c r="O342" s="65">
        <v>1</v>
      </c>
      <c r="P342" s="65" t="s">
        <v>1618</v>
      </c>
      <c r="Q342" s="65" t="s">
        <v>4053</v>
      </c>
      <c r="R342" s="65" t="s">
        <v>176</v>
      </c>
      <c r="S342" s="65" t="s">
        <v>4054</v>
      </c>
      <c r="T342" s="65" t="s">
        <v>23</v>
      </c>
      <c r="U342" s="65" t="s">
        <v>4055</v>
      </c>
      <c r="V342" s="65" t="s">
        <v>4006</v>
      </c>
      <c r="W342" s="69"/>
      <c r="X342" s="69"/>
      <c r="Y342" s="65" t="s">
        <v>176</v>
      </c>
      <c r="Z342" s="65">
        <v>63.737050000000004</v>
      </c>
      <c r="AA342" s="65">
        <v>148.89748</v>
      </c>
      <c r="AB342" s="62">
        <f t="shared" si="5"/>
        <v>212.63453000000001</v>
      </c>
      <c r="AC342" s="119"/>
      <c r="AD342" s="119"/>
      <c r="AE342" s="65" t="s">
        <v>115</v>
      </c>
      <c r="AF342" s="65" t="s">
        <v>115</v>
      </c>
      <c r="AG342" s="65" t="s">
        <v>115</v>
      </c>
      <c r="AH342" s="65">
        <v>0</v>
      </c>
      <c r="AI342" s="65">
        <v>0</v>
      </c>
      <c r="AJ342" s="65">
        <v>0</v>
      </c>
      <c r="AK342" s="65">
        <v>0</v>
      </c>
      <c r="AL342" s="65">
        <v>0</v>
      </c>
      <c r="AM342" s="68">
        <v>0</v>
      </c>
      <c r="AN342" s="65">
        <v>0</v>
      </c>
      <c r="AO342" s="65"/>
      <c r="AP342" s="65"/>
      <c r="AQ342" s="65"/>
      <c r="AR342" s="65"/>
      <c r="AS342" s="72"/>
      <c r="AT342" s="72"/>
      <c r="AU342" s="72"/>
      <c r="AV342" s="72"/>
    </row>
    <row r="343" spans="1:48" s="77" customFormat="1" x14ac:dyDescent="0.2">
      <c r="A343" s="65" t="s">
        <v>4085</v>
      </c>
      <c r="B343" s="65" t="s">
        <v>4086</v>
      </c>
      <c r="C343" s="65">
        <v>13</v>
      </c>
      <c r="D343" s="65">
        <v>1</v>
      </c>
      <c r="E343" s="65" t="s">
        <v>140</v>
      </c>
      <c r="F343" s="66">
        <v>43647</v>
      </c>
      <c r="G343" s="65" t="s">
        <v>4058</v>
      </c>
      <c r="H343" s="67">
        <v>2.7777777777777776E-2</v>
      </c>
      <c r="I343" s="65" t="s">
        <v>398</v>
      </c>
      <c r="J343" s="65" t="s">
        <v>670</v>
      </c>
      <c r="K343" s="65" t="s">
        <v>4079</v>
      </c>
      <c r="L343" s="65" t="s">
        <v>23</v>
      </c>
      <c r="M343" s="65">
        <v>1</v>
      </c>
      <c r="N343" s="65">
        <v>0</v>
      </c>
      <c r="O343" s="65">
        <v>1</v>
      </c>
      <c r="P343" s="65" t="s">
        <v>176</v>
      </c>
      <c r="Q343" s="65" t="s">
        <v>176</v>
      </c>
      <c r="R343" s="65" t="s">
        <v>4084</v>
      </c>
      <c r="S343" s="65" t="s">
        <v>487</v>
      </c>
      <c r="T343" s="65" t="s">
        <v>23</v>
      </c>
      <c r="U343" s="65" t="s">
        <v>3997</v>
      </c>
      <c r="V343" s="65" t="s">
        <v>4022</v>
      </c>
      <c r="W343" s="65" t="s">
        <v>2457</v>
      </c>
      <c r="X343" s="65">
        <v>34</v>
      </c>
      <c r="Y343" s="65" t="s">
        <v>176</v>
      </c>
      <c r="Z343" s="65">
        <v>63.724420000000002</v>
      </c>
      <c r="AA343" s="65">
        <v>148.94866999999999</v>
      </c>
      <c r="AB343" s="62">
        <f t="shared" si="5"/>
        <v>212.67309</v>
      </c>
      <c r="AC343" s="119"/>
      <c r="AD343" s="119"/>
      <c r="AE343" s="65" t="s">
        <v>115</v>
      </c>
      <c r="AF343" s="65" t="s">
        <v>115</v>
      </c>
      <c r="AG343" s="65" t="s">
        <v>115</v>
      </c>
      <c r="AH343" s="65">
        <v>0</v>
      </c>
      <c r="AI343" s="65">
        <v>26</v>
      </c>
      <c r="AJ343" s="65">
        <v>26</v>
      </c>
      <c r="AK343" s="65">
        <v>0</v>
      </c>
      <c r="AL343" s="65">
        <v>0</v>
      </c>
      <c r="AM343" s="68">
        <v>0</v>
      </c>
      <c r="AN343" s="65">
        <v>26</v>
      </c>
      <c r="AO343" s="65" t="s">
        <v>188</v>
      </c>
      <c r="AP343" s="65"/>
      <c r="AQ343" s="65"/>
      <c r="AR343" s="65"/>
    </row>
    <row r="344" spans="1:48" s="77" customFormat="1" x14ac:dyDescent="0.2">
      <c r="A344" s="65" t="s">
        <v>4101</v>
      </c>
      <c r="B344" s="65" t="s">
        <v>4102</v>
      </c>
      <c r="C344" s="65">
        <v>1</v>
      </c>
      <c r="D344" s="65">
        <v>1</v>
      </c>
      <c r="E344" s="65" t="s">
        <v>176</v>
      </c>
      <c r="F344" s="66">
        <v>43647</v>
      </c>
      <c r="G344" s="65" t="s">
        <v>4058</v>
      </c>
      <c r="H344" s="67">
        <v>1.6666666666666666E-2</v>
      </c>
      <c r="I344" s="65" t="s">
        <v>398</v>
      </c>
      <c r="J344" s="65" t="s">
        <v>4112</v>
      </c>
      <c r="K344" s="65" t="s">
        <v>111</v>
      </c>
      <c r="L344" s="65" t="s">
        <v>23</v>
      </c>
      <c r="M344" s="65">
        <v>0</v>
      </c>
      <c r="N344" s="65">
        <v>0</v>
      </c>
      <c r="O344" s="65">
        <v>1</v>
      </c>
      <c r="P344" s="65" t="s">
        <v>176</v>
      </c>
      <c r="Q344" s="65" t="s">
        <v>176</v>
      </c>
      <c r="R344" s="65" t="s">
        <v>4103</v>
      </c>
      <c r="S344" s="65" t="s">
        <v>487</v>
      </c>
      <c r="T344" s="65" t="s">
        <v>23</v>
      </c>
      <c r="U344" s="65" t="s">
        <v>3997</v>
      </c>
      <c r="V344" s="65" t="s">
        <v>4022</v>
      </c>
      <c r="W344" s="65"/>
      <c r="X344" s="65">
        <v>70</v>
      </c>
      <c r="Y344" s="65" t="s">
        <v>176</v>
      </c>
      <c r="Z344" s="65">
        <v>63.727580000000003</v>
      </c>
      <c r="AA344" s="65">
        <v>148.95523</v>
      </c>
      <c r="AB344" s="62">
        <f t="shared" si="5"/>
        <v>212.68281000000002</v>
      </c>
      <c r="AC344" s="119"/>
      <c r="AD344" s="119"/>
      <c r="AE344" s="65" t="s">
        <v>115</v>
      </c>
      <c r="AF344" s="65" t="s">
        <v>115</v>
      </c>
      <c r="AG344" s="65" t="s">
        <v>115</v>
      </c>
      <c r="AH344" s="65">
        <v>0</v>
      </c>
      <c r="AI344" s="65">
        <v>0</v>
      </c>
      <c r="AJ344" s="65">
        <v>0</v>
      </c>
      <c r="AK344" s="65">
        <v>0</v>
      </c>
      <c r="AL344" s="65">
        <v>0</v>
      </c>
      <c r="AM344" s="68">
        <v>0</v>
      </c>
      <c r="AN344" s="65">
        <v>0</v>
      </c>
      <c r="AO344" s="65"/>
      <c r="AP344" s="65"/>
      <c r="AQ344" s="65"/>
      <c r="AR344" s="65"/>
    </row>
    <row r="345" spans="1:48" s="77" customFormat="1" x14ac:dyDescent="0.2">
      <c r="A345" s="65" t="s">
        <v>4091</v>
      </c>
      <c r="B345" s="65" t="s">
        <v>4092</v>
      </c>
      <c r="C345" s="65">
        <v>16</v>
      </c>
      <c r="D345" s="65">
        <v>1</v>
      </c>
      <c r="E345" s="65" t="s">
        <v>140</v>
      </c>
      <c r="F345" s="66">
        <v>43647</v>
      </c>
      <c r="G345" s="65" t="s">
        <v>4058</v>
      </c>
      <c r="H345" s="67">
        <v>2.1527777777777781E-2</v>
      </c>
      <c r="I345" s="65" t="s">
        <v>398</v>
      </c>
      <c r="J345" s="65" t="s">
        <v>149</v>
      </c>
      <c r="K345" s="65" t="s">
        <v>111</v>
      </c>
      <c r="L345" s="65" t="s">
        <v>23</v>
      </c>
      <c r="M345" s="65">
        <v>0</v>
      </c>
      <c r="N345" s="65">
        <v>0</v>
      </c>
      <c r="O345" s="65">
        <v>1</v>
      </c>
      <c r="P345" s="65" t="s">
        <v>176</v>
      </c>
      <c r="Q345" s="65" t="s">
        <v>176</v>
      </c>
      <c r="R345" s="65" t="s">
        <v>176</v>
      </c>
      <c r="S345" s="65" t="s">
        <v>263</v>
      </c>
      <c r="T345" s="65" t="s">
        <v>23</v>
      </c>
      <c r="U345" s="65" t="s">
        <v>4004</v>
      </c>
      <c r="V345" s="65" t="s">
        <v>4022</v>
      </c>
      <c r="W345" s="65"/>
      <c r="X345" s="65">
        <v>201</v>
      </c>
      <c r="Y345" s="65" t="s">
        <v>176</v>
      </c>
      <c r="Z345" s="65">
        <v>63.725879999999997</v>
      </c>
      <c r="AA345" s="65">
        <v>148.94893999999999</v>
      </c>
      <c r="AB345" s="62">
        <f t="shared" si="5"/>
        <v>212.67481999999998</v>
      </c>
      <c r="AC345" s="119"/>
      <c r="AD345" s="119"/>
      <c r="AE345" s="65" t="s">
        <v>115</v>
      </c>
      <c r="AF345" s="65" t="s">
        <v>115</v>
      </c>
      <c r="AG345" s="65" t="s">
        <v>115</v>
      </c>
      <c r="AH345" s="65">
        <v>0</v>
      </c>
      <c r="AI345" s="65">
        <v>0</v>
      </c>
      <c r="AJ345" s="65">
        <v>0</v>
      </c>
      <c r="AK345" s="65">
        <v>0</v>
      </c>
      <c r="AL345" s="65">
        <v>0</v>
      </c>
      <c r="AM345" s="68">
        <v>0</v>
      </c>
      <c r="AN345" s="65">
        <v>0</v>
      </c>
      <c r="AO345" s="65"/>
      <c r="AP345" s="65"/>
      <c r="AQ345" s="65"/>
      <c r="AR345" s="65"/>
    </row>
    <row r="346" spans="1:48" s="77" customFormat="1" x14ac:dyDescent="0.2">
      <c r="A346" s="65" t="s">
        <v>4077</v>
      </c>
      <c r="B346" s="65" t="s">
        <v>4078</v>
      </c>
      <c r="C346" s="65">
        <v>10</v>
      </c>
      <c r="D346" s="65">
        <v>2</v>
      </c>
      <c r="E346" s="65" t="s">
        <v>140</v>
      </c>
      <c r="F346" s="66">
        <v>43647</v>
      </c>
      <c r="G346" s="65" t="s">
        <v>4058</v>
      </c>
      <c r="H346" s="67">
        <v>6.805555555555555E-2</v>
      </c>
      <c r="I346" s="65" t="s">
        <v>398</v>
      </c>
      <c r="J346" s="65" t="s">
        <v>670</v>
      </c>
      <c r="K346" s="65" t="s">
        <v>4079</v>
      </c>
      <c r="L346" s="65" t="s">
        <v>23</v>
      </c>
      <c r="M346" s="65">
        <v>0</v>
      </c>
      <c r="N346" s="65">
        <v>0</v>
      </c>
      <c r="O346" s="65">
        <v>1</v>
      </c>
      <c r="P346" s="65" t="s">
        <v>176</v>
      </c>
      <c r="Q346" s="65" t="s">
        <v>176</v>
      </c>
      <c r="R346" s="65" t="s">
        <v>176</v>
      </c>
      <c r="S346" s="65" t="s">
        <v>1940</v>
      </c>
      <c r="T346" s="65" t="s">
        <v>23</v>
      </c>
      <c r="U346" s="65" t="s">
        <v>4055</v>
      </c>
      <c r="V346" s="65" t="s">
        <v>4022</v>
      </c>
      <c r="W346" s="65"/>
      <c r="X346" s="65"/>
      <c r="Y346" s="65" t="s">
        <v>176</v>
      </c>
      <c r="Z346" s="65">
        <v>63.724249999999998</v>
      </c>
      <c r="AA346" s="65">
        <v>148.94682</v>
      </c>
      <c r="AB346" s="62">
        <f t="shared" si="5"/>
        <v>212.67106999999999</v>
      </c>
      <c r="AC346" s="119"/>
      <c r="AD346" s="119"/>
      <c r="AE346" s="65" t="s">
        <v>115</v>
      </c>
      <c r="AF346" s="65" t="s">
        <v>115</v>
      </c>
      <c r="AG346" s="65" t="s">
        <v>115</v>
      </c>
      <c r="AH346" s="65">
        <v>65</v>
      </c>
      <c r="AI346" s="65">
        <v>0</v>
      </c>
      <c r="AJ346" s="65">
        <v>65</v>
      </c>
      <c r="AK346" s="65">
        <v>0</v>
      </c>
      <c r="AL346" s="65">
        <v>0</v>
      </c>
      <c r="AM346" s="68">
        <v>0</v>
      </c>
      <c r="AN346" s="65">
        <v>65</v>
      </c>
      <c r="AO346" s="65" t="s">
        <v>188</v>
      </c>
      <c r="AP346" s="65"/>
      <c r="AQ346" s="65"/>
      <c r="AR346" s="65">
        <v>1</v>
      </c>
      <c r="AS346" s="82"/>
      <c r="AT346" s="82"/>
      <c r="AU346" s="82"/>
      <c r="AV346" s="82"/>
    </row>
    <row r="347" spans="1:48" s="77" customFormat="1" x14ac:dyDescent="0.2">
      <c r="A347" s="65" t="s">
        <v>4148</v>
      </c>
      <c r="B347" s="65" t="s">
        <v>4149</v>
      </c>
      <c r="C347" s="65">
        <v>17</v>
      </c>
      <c r="D347" s="65">
        <v>1</v>
      </c>
      <c r="E347" s="65" t="s">
        <v>395</v>
      </c>
      <c r="F347" s="70">
        <v>43648</v>
      </c>
      <c r="G347" s="65" t="s">
        <v>4058</v>
      </c>
      <c r="H347" s="71">
        <v>1.4583333333333332E-2</v>
      </c>
      <c r="I347" s="65" t="s">
        <v>398</v>
      </c>
      <c r="J347" s="65" t="s">
        <v>2488</v>
      </c>
      <c r="K347" s="65" t="s">
        <v>111</v>
      </c>
      <c r="L347" s="65" t="s">
        <v>23</v>
      </c>
      <c r="M347" s="68">
        <v>0</v>
      </c>
      <c r="N347" s="68"/>
      <c r="O347" s="65">
        <v>1</v>
      </c>
      <c r="P347" s="65" t="s">
        <v>176</v>
      </c>
      <c r="Q347" s="65" t="s">
        <v>176</v>
      </c>
      <c r="R347" s="65" t="s">
        <v>4150</v>
      </c>
      <c r="S347" s="65" t="s">
        <v>487</v>
      </c>
      <c r="T347" s="65" t="s">
        <v>23</v>
      </c>
      <c r="U347" s="65" t="s">
        <v>3997</v>
      </c>
      <c r="V347" s="65" t="s">
        <v>4022</v>
      </c>
      <c r="W347" s="65"/>
      <c r="X347" s="65">
        <v>87</v>
      </c>
      <c r="Y347" s="65" t="s">
        <v>176</v>
      </c>
      <c r="Z347" s="65">
        <v>63.720939999999999</v>
      </c>
      <c r="AA347" s="65">
        <v>148.98759000000001</v>
      </c>
      <c r="AB347" s="62">
        <f t="shared" si="5"/>
        <v>212.70853</v>
      </c>
      <c r="AC347" s="119"/>
      <c r="AD347" s="119"/>
      <c r="AE347" s="65" t="s">
        <v>115</v>
      </c>
      <c r="AF347" s="65" t="s">
        <v>115</v>
      </c>
      <c r="AG347" s="65" t="s">
        <v>115</v>
      </c>
      <c r="AH347" s="65">
        <v>7</v>
      </c>
      <c r="AI347" s="65">
        <v>0</v>
      </c>
      <c r="AJ347" s="65">
        <v>7</v>
      </c>
      <c r="AK347" s="65">
        <v>0</v>
      </c>
      <c r="AL347" s="65">
        <v>0</v>
      </c>
      <c r="AM347" s="68">
        <v>0</v>
      </c>
      <c r="AN347" s="65">
        <v>7</v>
      </c>
      <c r="AO347" s="68"/>
      <c r="AP347" s="68"/>
      <c r="AQ347" s="68"/>
      <c r="AR347" s="68"/>
    </row>
    <row r="348" spans="1:48" s="77" customFormat="1" x14ac:dyDescent="0.2">
      <c r="A348" s="59" t="s">
        <v>4161</v>
      </c>
      <c r="B348" s="59" t="s">
        <v>4164</v>
      </c>
      <c r="C348" s="59">
        <v>1</v>
      </c>
      <c r="D348" s="59">
        <v>1</v>
      </c>
      <c r="E348" s="59" t="s">
        <v>4165</v>
      </c>
      <c r="F348" s="60">
        <v>43685</v>
      </c>
      <c r="G348" s="59" t="s">
        <v>4031</v>
      </c>
      <c r="H348" s="61">
        <v>2.013888888888889E-2</v>
      </c>
      <c r="I348" s="59" t="s">
        <v>4157</v>
      </c>
      <c r="J348" s="59" t="s">
        <v>4163</v>
      </c>
      <c r="K348" s="59" t="s">
        <v>111</v>
      </c>
      <c r="L348" s="59" t="s">
        <v>23</v>
      </c>
      <c r="M348" s="59">
        <v>0</v>
      </c>
      <c r="N348" s="59" t="s">
        <v>115</v>
      </c>
      <c r="O348" s="59">
        <v>1</v>
      </c>
      <c r="P348" s="59" t="s">
        <v>176</v>
      </c>
      <c r="Q348" s="59" t="s">
        <v>176</v>
      </c>
      <c r="R348" s="59" t="s">
        <v>176</v>
      </c>
      <c r="S348" s="59" t="s">
        <v>939</v>
      </c>
      <c r="T348" s="59" t="s">
        <v>23</v>
      </c>
      <c r="U348" s="59" t="s">
        <v>3999</v>
      </c>
      <c r="V348" s="59" t="s">
        <v>4022</v>
      </c>
      <c r="W348" s="59" t="s">
        <v>2457</v>
      </c>
      <c r="X348" s="59">
        <v>62</v>
      </c>
      <c r="Y348" s="59" t="s">
        <v>176</v>
      </c>
      <c r="Z348" s="62">
        <v>63.720280000000002</v>
      </c>
      <c r="AA348" s="62">
        <v>148.97528</v>
      </c>
      <c r="AB348" s="62">
        <f t="shared" si="5"/>
        <v>212.69556</v>
      </c>
      <c r="AC348" s="117"/>
      <c r="AD348" s="117"/>
      <c r="AE348" s="59" t="s">
        <v>115</v>
      </c>
      <c r="AF348" s="59" t="s">
        <v>115</v>
      </c>
      <c r="AG348" s="59" t="s">
        <v>115</v>
      </c>
      <c r="AH348" s="59">
        <v>0</v>
      </c>
      <c r="AI348" s="59">
        <v>0</v>
      </c>
      <c r="AJ348" s="59">
        <v>0</v>
      </c>
      <c r="AK348" s="59">
        <v>0</v>
      </c>
      <c r="AL348" s="59">
        <v>0</v>
      </c>
      <c r="AM348" s="59">
        <v>0</v>
      </c>
      <c r="AN348" s="59">
        <v>0</v>
      </c>
      <c r="AO348" s="59"/>
      <c r="AP348" s="59"/>
      <c r="AQ348" s="59"/>
      <c r="AR348" s="59"/>
    </row>
    <row r="349" spans="1:48" s="77" customFormat="1" x14ac:dyDescent="0.2">
      <c r="A349" s="59" t="s">
        <v>4186</v>
      </c>
      <c r="B349" s="59" t="s">
        <v>4187</v>
      </c>
      <c r="C349" s="59">
        <v>10</v>
      </c>
      <c r="D349" s="59">
        <v>1</v>
      </c>
      <c r="E349" s="59" t="s">
        <v>2537</v>
      </c>
      <c r="F349" s="60">
        <v>43686</v>
      </c>
      <c r="G349" s="59" t="s">
        <v>4031</v>
      </c>
      <c r="H349" s="61">
        <v>1.5277777777777777E-2</v>
      </c>
      <c r="I349" s="59" t="s">
        <v>1278</v>
      </c>
      <c r="J349" s="59" t="s">
        <v>64</v>
      </c>
      <c r="K349" s="59" t="s">
        <v>111</v>
      </c>
      <c r="L349" s="59" t="s">
        <v>12</v>
      </c>
      <c r="M349" s="59">
        <v>0</v>
      </c>
      <c r="N349" s="59">
        <v>0</v>
      </c>
      <c r="O349" s="59">
        <v>1</v>
      </c>
      <c r="P349" s="59" t="s">
        <v>176</v>
      </c>
      <c r="Q349" s="59" t="s">
        <v>176</v>
      </c>
      <c r="R349" s="59" t="s">
        <v>176</v>
      </c>
      <c r="S349" s="59" t="s">
        <v>4188</v>
      </c>
      <c r="T349" s="59" t="s">
        <v>12</v>
      </c>
      <c r="U349" s="59" t="s">
        <v>3997</v>
      </c>
      <c r="V349" s="59" t="s">
        <v>4022</v>
      </c>
      <c r="W349" s="59"/>
      <c r="X349" s="59">
        <v>65</v>
      </c>
      <c r="Y349" s="59" t="s">
        <v>176</v>
      </c>
      <c r="Z349" s="62">
        <v>63.734540000000003</v>
      </c>
      <c r="AA349" s="62">
        <v>148.89734000000001</v>
      </c>
      <c r="AB349" s="62">
        <f t="shared" si="5"/>
        <v>212.63188000000002</v>
      </c>
      <c r="AC349" s="117"/>
      <c r="AD349" s="117"/>
      <c r="AE349" s="59" t="s">
        <v>115</v>
      </c>
      <c r="AF349" s="63" t="s">
        <v>115</v>
      </c>
      <c r="AG349" s="63" t="s">
        <v>115</v>
      </c>
      <c r="AH349" s="59">
        <v>0</v>
      </c>
      <c r="AI349" s="59">
        <v>0</v>
      </c>
      <c r="AJ349" s="59">
        <v>0</v>
      </c>
      <c r="AK349" s="59">
        <v>0</v>
      </c>
      <c r="AL349" s="59">
        <v>0</v>
      </c>
      <c r="AM349" s="59">
        <v>0</v>
      </c>
      <c r="AN349" s="59">
        <v>0</v>
      </c>
      <c r="AO349" s="59"/>
      <c r="AP349" s="59"/>
      <c r="AQ349" s="59"/>
      <c r="AR349" s="59"/>
      <c r="AS349" s="59"/>
      <c r="AT349" s="59"/>
      <c r="AU349" s="59"/>
      <c r="AV349" s="59"/>
    </row>
    <row r="350" spans="1:48" s="77" customFormat="1" x14ac:dyDescent="0.2">
      <c r="A350" s="59" t="s">
        <v>4179</v>
      </c>
      <c r="B350" s="59" t="s">
        <v>4180</v>
      </c>
      <c r="C350" s="59">
        <v>7</v>
      </c>
      <c r="D350" s="59">
        <v>1</v>
      </c>
      <c r="E350" s="59" t="s">
        <v>2537</v>
      </c>
      <c r="F350" s="60">
        <v>43686</v>
      </c>
      <c r="G350" s="59" t="s">
        <v>4031</v>
      </c>
      <c r="H350" s="61">
        <v>1.5277777777777777E-2</v>
      </c>
      <c r="I350" s="59" t="s">
        <v>1278</v>
      </c>
      <c r="J350" s="59" t="s">
        <v>363</v>
      </c>
      <c r="K350" s="59" t="s">
        <v>111</v>
      </c>
      <c r="L350" s="59" t="s">
        <v>23</v>
      </c>
      <c r="M350" s="59">
        <v>0</v>
      </c>
      <c r="N350" s="59">
        <v>0</v>
      </c>
      <c r="O350" s="59">
        <v>1</v>
      </c>
      <c r="P350" s="59" t="s">
        <v>176</v>
      </c>
      <c r="Q350" s="59" t="s">
        <v>176</v>
      </c>
      <c r="R350" s="59" t="s">
        <v>176</v>
      </c>
      <c r="S350" s="59" t="s">
        <v>939</v>
      </c>
      <c r="T350" s="59" t="s">
        <v>23</v>
      </c>
      <c r="U350" s="59" t="s">
        <v>3999</v>
      </c>
      <c r="V350" s="59" t="s">
        <v>4022</v>
      </c>
      <c r="W350" s="59"/>
      <c r="X350" s="59">
        <v>215</v>
      </c>
      <c r="Y350" s="59" t="s">
        <v>176</v>
      </c>
      <c r="Z350" s="62">
        <v>63.733350000000002</v>
      </c>
      <c r="AA350" s="62">
        <v>148.89823999999999</v>
      </c>
      <c r="AB350" s="62">
        <f t="shared" si="5"/>
        <v>212.63158999999999</v>
      </c>
      <c r="AC350" s="117">
        <v>1</v>
      </c>
      <c r="AD350" s="117" t="s">
        <v>4765</v>
      </c>
      <c r="AE350" s="59" t="s">
        <v>115</v>
      </c>
      <c r="AF350" s="59" t="s">
        <v>115</v>
      </c>
      <c r="AG350" s="59" t="s">
        <v>115</v>
      </c>
      <c r="AH350" s="59">
        <v>0</v>
      </c>
      <c r="AI350" s="59">
        <v>0</v>
      </c>
      <c r="AJ350" s="59">
        <v>0</v>
      </c>
      <c r="AK350" s="59">
        <v>0</v>
      </c>
      <c r="AL350" s="59">
        <v>0</v>
      </c>
      <c r="AM350" s="59">
        <v>0</v>
      </c>
      <c r="AN350" s="59">
        <v>0</v>
      </c>
      <c r="AO350" s="59"/>
      <c r="AP350" s="59" t="s">
        <v>4181</v>
      </c>
      <c r="AQ350" s="59"/>
      <c r="AR350" s="59"/>
      <c r="AS350" s="59"/>
      <c r="AT350" s="59"/>
      <c r="AU350" s="59"/>
      <c r="AV350" s="59"/>
    </row>
    <row r="351" spans="1:48" s="77" customFormat="1" x14ac:dyDescent="0.2">
      <c r="A351" s="59" t="s">
        <v>4179</v>
      </c>
      <c r="B351" s="59" t="s">
        <v>4180</v>
      </c>
      <c r="C351" s="59">
        <v>7</v>
      </c>
      <c r="D351" s="59">
        <v>1</v>
      </c>
      <c r="E351" s="59" t="s">
        <v>2537</v>
      </c>
      <c r="F351" s="60">
        <v>43686</v>
      </c>
      <c r="G351" s="59" t="s">
        <v>4031</v>
      </c>
      <c r="H351" s="61">
        <v>1.5277777777777777E-2</v>
      </c>
      <c r="I351" s="59" t="s">
        <v>1278</v>
      </c>
      <c r="J351" s="59" t="s">
        <v>363</v>
      </c>
      <c r="K351" s="59" t="s">
        <v>111</v>
      </c>
      <c r="L351" s="59" t="s">
        <v>23</v>
      </c>
      <c r="M351" s="59">
        <v>0</v>
      </c>
      <c r="N351" s="59">
        <v>0</v>
      </c>
      <c r="O351" s="59">
        <v>1</v>
      </c>
      <c r="P351" s="59" t="s">
        <v>176</v>
      </c>
      <c r="Q351" s="59" t="s">
        <v>176</v>
      </c>
      <c r="R351" s="59" t="s">
        <v>176</v>
      </c>
      <c r="S351" s="59" t="s">
        <v>4168</v>
      </c>
      <c r="T351" s="59" t="s">
        <v>23</v>
      </c>
      <c r="U351" s="59" t="s">
        <v>3997</v>
      </c>
      <c r="V351" s="59" t="s">
        <v>4022</v>
      </c>
      <c r="W351" s="59"/>
      <c r="X351" s="59">
        <v>215</v>
      </c>
      <c r="Y351" s="59" t="s">
        <v>176</v>
      </c>
      <c r="Z351" s="62">
        <v>63.733350000000002</v>
      </c>
      <c r="AA351" s="62">
        <v>148.89823999999999</v>
      </c>
      <c r="AB351" s="62">
        <f t="shared" si="5"/>
        <v>212.63158999999999</v>
      </c>
      <c r="AC351" s="117">
        <v>1</v>
      </c>
      <c r="AD351" s="117"/>
      <c r="AE351" s="59" t="s">
        <v>115</v>
      </c>
      <c r="AF351" s="59" t="s">
        <v>115</v>
      </c>
      <c r="AG351" s="59" t="s">
        <v>115</v>
      </c>
      <c r="AH351" s="59">
        <v>0</v>
      </c>
      <c r="AI351" s="59">
        <v>0</v>
      </c>
      <c r="AJ351" s="59">
        <v>0</v>
      </c>
      <c r="AK351" s="59">
        <v>0</v>
      </c>
      <c r="AL351" s="59">
        <v>0</v>
      </c>
      <c r="AM351" s="59">
        <v>0</v>
      </c>
      <c r="AN351" s="59">
        <v>0</v>
      </c>
      <c r="AO351" s="59"/>
      <c r="AP351" s="59"/>
      <c r="AQ351" s="59"/>
      <c r="AR351" s="59"/>
      <c r="AS351" s="59"/>
      <c r="AT351" s="59"/>
      <c r="AU351" s="59"/>
      <c r="AV351" s="59"/>
    </row>
    <row r="352" spans="1:48" s="82" customFormat="1" x14ac:dyDescent="0.2">
      <c r="A352" s="59" t="s">
        <v>4169</v>
      </c>
      <c r="B352" s="59" t="s">
        <v>4170</v>
      </c>
      <c r="C352" s="59">
        <v>3</v>
      </c>
      <c r="D352" s="59">
        <v>1</v>
      </c>
      <c r="E352" s="59" t="s">
        <v>2537</v>
      </c>
      <c r="F352" s="60">
        <v>43686</v>
      </c>
      <c r="G352" s="59" t="s">
        <v>4031</v>
      </c>
      <c r="H352" s="61">
        <v>4.8611111111111112E-3</v>
      </c>
      <c r="I352" s="59" t="s">
        <v>1278</v>
      </c>
      <c r="J352" s="59" t="s">
        <v>363</v>
      </c>
      <c r="K352" s="59" t="s">
        <v>111</v>
      </c>
      <c r="L352" s="59" t="s">
        <v>23</v>
      </c>
      <c r="M352" s="59">
        <v>0</v>
      </c>
      <c r="N352" s="59">
        <v>1</v>
      </c>
      <c r="O352" s="59">
        <v>1</v>
      </c>
      <c r="P352" s="59" t="s">
        <v>176</v>
      </c>
      <c r="Q352" s="59" t="s">
        <v>176</v>
      </c>
      <c r="R352" s="59" t="s">
        <v>176</v>
      </c>
      <c r="S352" s="59" t="s">
        <v>709</v>
      </c>
      <c r="T352" s="59" t="s">
        <v>23</v>
      </c>
      <c r="U352" s="59" t="s">
        <v>4004</v>
      </c>
      <c r="V352" s="59" t="s">
        <v>4022</v>
      </c>
      <c r="W352" s="59"/>
      <c r="X352" s="59">
        <v>246</v>
      </c>
      <c r="Y352" s="59" t="s">
        <v>176</v>
      </c>
      <c r="Z352" s="62">
        <v>63.731619999999999</v>
      </c>
      <c r="AA352" s="62">
        <v>148.90079</v>
      </c>
      <c r="AB352" s="62">
        <f t="shared" si="5"/>
        <v>212.63240999999999</v>
      </c>
      <c r="AC352" s="117"/>
      <c r="AD352" s="117"/>
      <c r="AE352" s="59" t="s">
        <v>115</v>
      </c>
      <c r="AF352" s="59" t="s">
        <v>115</v>
      </c>
      <c r="AG352" s="59" t="s">
        <v>115</v>
      </c>
      <c r="AH352" s="59">
        <v>0</v>
      </c>
      <c r="AI352" s="59">
        <v>0</v>
      </c>
      <c r="AJ352" s="59">
        <v>0</v>
      </c>
      <c r="AK352" s="59">
        <v>0</v>
      </c>
      <c r="AL352" s="59">
        <v>0</v>
      </c>
      <c r="AM352" s="59">
        <v>0</v>
      </c>
      <c r="AN352" s="59">
        <v>0</v>
      </c>
      <c r="AO352" s="59"/>
      <c r="AP352" s="59" t="s">
        <v>2405</v>
      </c>
      <c r="AQ352" s="59"/>
      <c r="AR352" s="59"/>
      <c r="AS352" s="72"/>
      <c r="AT352" s="72"/>
      <c r="AU352" s="72"/>
      <c r="AV352" s="72"/>
    </row>
    <row r="353" spans="1:48" s="77" customFormat="1" x14ac:dyDescent="0.2">
      <c r="A353" s="59" t="s">
        <v>4166</v>
      </c>
      <c r="B353" s="59" t="s">
        <v>4167</v>
      </c>
      <c r="C353" s="59">
        <v>2</v>
      </c>
      <c r="D353" s="59">
        <v>1</v>
      </c>
      <c r="E353" s="59" t="s">
        <v>2537</v>
      </c>
      <c r="F353" s="60">
        <v>43686</v>
      </c>
      <c r="G353" s="59" t="s">
        <v>4031</v>
      </c>
      <c r="H353" s="61">
        <v>1.8749999999999999E-2</v>
      </c>
      <c r="I353" s="59" t="s">
        <v>1278</v>
      </c>
      <c r="J353" s="59" t="s">
        <v>363</v>
      </c>
      <c r="K353" s="59" t="s">
        <v>111</v>
      </c>
      <c r="L353" s="59" t="s">
        <v>23</v>
      </c>
      <c r="M353" s="59">
        <v>0</v>
      </c>
      <c r="N353" s="59">
        <v>0</v>
      </c>
      <c r="O353" s="59">
        <v>1</v>
      </c>
      <c r="P353" s="59" t="s">
        <v>176</v>
      </c>
      <c r="Q353" s="59" t="s">
        <v>176</v>
      </c>
      <c r="R353" s="59" t="s">
        <v>176</v>
      </c>
      <c r="S353" s="59" t="s">
        <v>4168</v>
      </c>
      <c r="T353" s="59" t="s">
        <v>23</v>
      </c>
      <c r="U353" s="59" t="s">
        <v>3997</v>
      </c>
      <c r="V353" s="59" t="s">
        <v>4022</v>
      </c>
      <c r="W353" s="59"/>
      <c r="X353" s="59">
        <v>300</v>
      </c>
      <c r="Y353" s="59" t="s">
        <v>176</v>
      </c>
      <c r="Z353" s="62">
        <v>63.733980000000003</v>
      </c>
      <c r="AA353" s="62">
        <v>148.89940000000001</v>
      </c>
      <c r="AB353" s="62">
        <f t="shared" si="5"/>
        <v>212.63338000000002</v>
      </c>
      <c r="AC353" s="117"/>
      <c r="AD353" s="117"/>
      <c r="AE353" s="59" t="s">
        <v>115</v>
      </c>
      <c r="AF353" s="59" t="s">
        <v>115</v>
      </c>
      <c r="AG353" s="59" t="s">
        <v>115</v>
      </c>
      <c r="AH353" s="59">
        <v>0</v>
      </c>
      <c r="AI353" s="59">
        <v>0</v>
      </c>
      <c r="AJ353" s="59">
        <v>0</v>
      </c>
      <c r="AK353" s="59">
        <v>0</v>
      </c>
      <c r="AL353" s="59">
        <v>0</v>
      </c>
      <c r="AM353" s="59">
        <v>0</v>
      </c>
      <c r="AN353" s="59">
        <v>0</v>
      </c>
      <c r="AO353" s="59"/>
      <c r="AP353" s="59" t="s">
        <v>2405</v>
      </c>
      <c r="AQ353" s="59"/>
      <c r="AR353" s="59"/>
      <c r="AS353" s="72"/>
      <c r="AT353" s="72"/>
      <c r="AU353" s="72"/>
      <c r="AV353" s="72"/>
    </row>
    <row r="354" spans="1:48" s="82" customFormat="1" x14ac:dyDescent="0.2">
      <c r="A354" s="59" t="s">
        <v>4237</v>
      </c>
      <c r="B354" s="59" t="s">
        <v>4238</v>
      </c>
      <c r="C354" s="59">
        <v>3</v>
      </c>
      <c r="D354" s="59">
        <v>1</v>
      </c>
      <c r="E354" s="59" t="s">
        <v>138</v>
      </c>
      <c r="F354" s="60">
        <v>43687</v>
      </c>
      <c r="G354" s="59" t="s">
        <v>4031</v>
      </c>
      <c r="H354" s="61">
        <v>9.7222222222222224E-3</v>
      </c>
      <c r="I354" s="59" t="s">
        <v>398</v>
      </c>
      <c r="J354" s="59" t="s">
        <v>4232</v>
      </c>
      <c r="K354" s="59" t="s">
        <v>111</v>
      </c>
      <c r="L354" s="59" t="s">
        <v>23</v>
      </c>
      <c r="M354" s="59">
        <v>0</v>
      </c>
      <c r="N354" s="59">
        <v>0</v>
      </c>
      <c r="O354" s="59">
        <v>1</v>
      </c>
      <c r="P354" s="59" t="s">
        <v>176</v>
      </c>
      <c r="Q354" s="59" t="s">
        <v>176</v>
      </c>
      <c r="R354" s="59" t="s">
        <v>176</v>
      </c>
      <c r="S354" s="59" t="s">
        <v>4236</v>
      </c>
      <c r="T354" s="59" t="s">
        <v>23</v>
      </c>
      <c r="U354" s="59" t="s">
        <v>3997</v>
      </c>
      <c r="V354" s="59" t="s">
        <v>2179</v>
      </c>
      <c r="W354" s="59"/>
      <c r="X354" s="59">
        <v>24</v>
      </c>
      <c r="Y354" s="59" t="s">
        <v>176</v>
      </c>
      <c r="Z354" s="62">
        <v>63.724029999999999</v>
      </c>
      <c r="AA354" s="62">
        <v>148.95576</v>
      </c>
      <c r="AB354" s="62">
        <f t="shared" si="5"/>
        <v>212.67979</v>
      </c>
      <c r="AC354" s="117"/>
      <c r="AD354" s="117"/>
      <c r="AE354" s="59" t="s">
        <v>115</v>
      </c>
      <c r="AF354" s="59" t="s">
        <v>115</v>
      </c>
      <c r="AG354" s="59" t="s">
        <v>115</v>
      </c>
      <c r="AH354" s="59">
        <v>0</v>
      </c>
      <c r="AI354" s="59">
        <v>0</v>
      </c>
      <c r="AJ354" s="59">
        <v>0</v>
      </c>
      <c r="AK354" s="59">
        <v>0</v>
      </c>
      <c r="AL354" s="59">
        <v>0</v>
      </c>
      <c r="AM354" s="59">
        <v>0</v>
      </c>
      <c r="AN354" s="59">
        <v>0</v>
      </c>
      <c r="AO354" s="59"/>
      <c r="AP354" s="59"/>
      <c r="AQ354" s="59"/>
      <c r="AR354" s="59"/>
    </row>
    <row r="355" spans="1:48" s="82" customFormat="1" x14ac:dyDescent="0.2">
      <c r="A355" s="59" t="s">
        <v>4209</v>
      </c>
      <c r="B355" s="59" t="s">
        <v>4210</v>
      </c>
      <c r="C355" s="59">
        <v>9</v>
      </c>
      <c r="D355" s="59">
        <v>2</v>
      </c>
      <c r="E355" s="59" t="s">
        <v>4191</v>
      </c>
      <c r="F355" s="60">
        <v>43687</v>
      </c>
      <c r="G355" s="59" t="s">
        <v>4031</v>
      </c>
      <c r="H355" s="61">
        <v>3.5416666666666666E-2</v>
      </c>
      <c r="I355" s="59" t="s">
        <v>398</v>
      </c>
      <c r="J355" s="59" t="s">
        <v>241</v>
      </c>
      <c r="K355" s="59" t="s">
        <v>111</v>
      </c>
      <c r="L355" s="59" t="s">
        <v>23</v>
      </c>
      <c r="M355" s="59">
        <v>0</v>
      </c>
      <c r="N355" s="59">
        <v>0</v>
      </c>
      <c r="O355" s="59">
        <v>1</v>
      </c>
      <c r="P355" s="59" t="s">
        <v>176</v>
      </c>
      <c r="Q355" s="59" t="s">
        <v>176</v>
      </c>
      <c r="R355" s="59" t="s">
        <v>115</v>
      </c>
      <c r="S355" s="59" t="s">
        <v>4211</v>
      </c>
      <c r="T355" s="59" t="s">
        <v>23</v>
      </c>
      <c r="U355" s="59" t="s">
        <v>3999</v>
      </c>
      <c r="V355" s="59" t="s">
        <v>4022</v>
      </c>
      <c r="W355" s="59"/>
      <c r="X355" s="59">
        <v>30</v>
      </c>
      <c r="Y355" s="59">
        <v>10</v>
      </c>
      <c r="Z355" s="62">
        <v>63.739519999999999</v>
      </c>
      <c r="AA355" s="62">
        <v>148.89788999999999</v>
      </c>
      <c r="AB355" s="62">
        <f t="shared" si="5"/>
        <v>212.63740999999999</v>
      </c>
      <c r="AC355" s="117">
        <v>1</v>
      </c>
      <c r="AD355" s="117" t="s">
        <v>4765</v>
      </c>
      <c r="AE355" s="59" t="s">
        <v>115</v>
      </c>
      <c r="AF355" s="59" t="s">
        <v>115</v>
      </c>
      <c r="AG355" s="59" t="s">
        <v>115</v>
      </c>
      <c r="AH355" s="59">
        <v>0</v>
      </c>
      <c r="AI355" s="59">
        <v>0</v>
      </c>
      <c r="AJ355" s="59">
        <v>0</v>
      </c>
      <c r="AK355" s="59">
        <v>0</v>
      </c>
      <c r="AL355" s="59">
        <v>0</v>
      </c>
      <c r="AM355" s="59">
        <v>0</v>
      </c>
      <c r="AN355" s="59">
        <v>0</v>
      </c>
      <c r="AO355" s="59"/>
      <c r="AP355" s="59"/>
      <c r="AQ355" s="59"/>
      <c r="AR355" s="59"/>
      <c r="AS355" s="59"/>
      <c r="AT355" s="59"/>
      <c r="AU355" s="59"/>
      <c r="AV355" s="59"/>
    </row>
    <row r="356" spans="1:48" s="82" customFormat="1" x14ac:dyDescent="0.2">
      <c r="A356" s="59" t="s">
        <v>4207</v>
      </c>
      <c r="B356" s="59" t="s">
        <v>4208</v>
      </c>
      <c r="C356" s="59">
        <v>8</v>
      </c>
      <c r="D356" s="59">
        <v>1</v>
      </c>
      <c r="E356" s="59" t="s">
        <v>4191</v>
      </c>
      <c r="F356" s="60">
        <v>43687</v>
      </c>
      <c r="G356" s="59" t="s">
        <v>4031</v>
      </c>
      <c r="H356" s="61">
        <v>1.5972222222222224E-2</v>
      </c>
      <c r="I356" s="59" t="s">
        <v>398</v>
      </c>
      <c r="J356" s="59" t="s">
        <v>241</v>
      </c>
      <c r="K356" s="59" t="s">
        <v>111</v>
      </c>
      <c r="L356" s="59" t="s">
        <v>23</v>
      </c>
      <c r="M356" s="59">
        <v>1</v>
      </c>
      <c r="N356" s="59">
        <v>0</v>
      </c>
      <c r="O356" s="59">
        <v>1</v>
      </c>
      <c r="P356" s="59" t="s">
        <v>176</v>
      </c>
      <c r="Q356" s="59" t="s">
        <v>176</v>
      </c>
      <c r="R356" s="59" t="s">
        <v>4192</v>
      </c>
      <c r="S356" s="59" t="s">
        <v>2301</v>
      </c>
      <c r="T356" s="59" t="s">
        <v>23</v>
      </c>
      <c r="U356" s="59" t="s">
        <v>3999</v>
      </c>
      <c r="V356" s="59" t="s">
        <v>4006</v>
      </c>
      <c r="W356" s="59"/>
      <c r="X356" s="59">
        <v>30</v>
      </c>
      <c r="Y356" s="59">
        <v>10</v>
      </c>
      <c r="Z356" s="62">
        <v>63.739519999999999</v>
      </c>
      <c r="AA356" s="62">
        <v>148.89788999999999</v>
      </c>
      <c r="AB356" s="62">
        <f t="shared" si="5"/>
        <v>212.63740999999999</v>
      </c>
      <c r="AC356" s="117">
        <v>1</v>
      </c>
      <c r="AD356" s="117" t="s">
        <v>4765</v>
      </c>
      <c r="AE356" s="59" t="s">
        <v>115</v>
      </c>
      <c r="AF356" s="59" t="s">
        <v>115</v>
      </c>
      <c r="AG356" s="59" t="s">
        <v>115</v>
      </c>
      <c r="AH356" s="59">
        <v>12</v>
      </c>
      <c r="AI356" s="59">
        <v>0</v>
      </c>
      <c r="AJ356" s="59">
        <v>12</v>
      </c>
      <c r="AK356" s="59">
        <v>0</v>
      </c>
      <c r="AL356" s="59">
        <v>0</v>
      </c>
      <c r="AM356" s="59">
        <v>0</v>
      </c>
      <c r="AN356" s="59">
        <v>12</v>
      </c>
      <c r="AO356" s="59"/>
      <c r="AP356" s="59"/>
      <c r="AQ356" s="59"/>
      <c r="AR356" s="59"/>
      <c r="AS356" s="59"/>
      <c r="AT356" s="59"/>
      <c r="AU356" s="59"/>
      <c r="AV356" s="59"/>
    </row>
    <row r="357" spans="1:48" s="82" customFormat="1" x14ac:dyDescent="0.2">
      <c r="A357" s="59" t="s">
        <v>4204</v>
      </c>
      <c r="B357" s="59" t="s">
        <v>4205</v>
      </c>
      <c r="C357" s="59">
        <v>7</v>
      </c>
      <c r="D357" s="59">
        <v>1</v>
      </c>
      <c r="E357" s="59" t="s">
        <v>4191</v>
      </c>
      <c r="F357" s="60">
        <v>43687</v>
      </c>
      <c r="G357" s="59" t="s">
        <v>4031</v>
      </c>
      <c r="H357" s="61">
        <v>1.3194444444444444E-2</v>
      </c>
      <c r="I357" s="59" t="s">
        <v>398</v>
      </c>
      <c r="J357" s="59" t="s">
        <v>241</v>
      </c>
      <c r="K357" s="59" t="s">
        <v>111</v>
      </c>
      <c r="L357" s="59" t="s">
        <v>23</v>
      </c>
      <c r="M357" s="59">
        <v>1</v>
      </c>
      <c r="N357" s="59">
        <v>0</v>
      </c>
      <c r="O357" s="59">
        <v>1</v>
      </c>
      <c r="P357" s="59" t="s">
        <v>461</v>
      </c>
      <c r="Q357" s="59" t="s">
        <v>461</v>
      </c>
      <c r="R357" s="59" t="s">
        <v>4175</v>
      </c>
      <c r="S357" s="59" t="s">
        <v>4168</v>
      </c>
      <c r="T357" s="59" t="s">
        <v>23</v>
      </c>
      <c r="U357" s="59" t="s">
        <v>3997</v>
      </c>
      <c r="V357" s="59" t="s">
        <v>4022</v>
      </c>
      <c r="W357" s="59"/>
      <c r="X357" s="59">
        <v>47</v>
      </c>
      <c r="Y357" s="59">
        <v>35</v>
      </c>
      <c r="Z357" s="62">
        <v>63.73856</v>
      </c>
      <c r="AA357" s="62">
        <v>148.89789999999999</v>
      </c>
      <c r="AB357" s="62">
        <f t="shared" si="5"/>
        <v>212.63646</v>
      </c>
      <c r="AC357" s="117"/>
      <c r="AD357" s="117"/>
      <c r="AE357" s="59" t="s">
        <v>115</v>
      </c>
      <c r="AF357" s="59" t="s">
        <v>115</v>
      </c>
      <c r="AG357" s="59" t="s">
        <v>115</v>
      </c>
      <c r="AH357" s="59"/>
      <c r="AI357" s="59">
        <v>0</v>
      </c>
      <c r="AJ357" s="59">
        <v>0</v>
      </c>
      <c r="AK357" s="59">
        <v>0</v>
      </c>
      <c r="AL357" s="59">
        <v>0</v>
      </c>
      <c r="AM357" s="59">
        <v>0</v>
      </c>
      <c r="AN357" s="59">
        <v>0</v>
      </c>
      <c r="AO357" s="59"/>
      <c r="AP357" s="59" t="s">
        <v>4206</v>
      </c>
      <c r="AQ357" s="59"/>
      <c r="AR357" s="59"/>
      <c r="AS357" s="72"/>
      <c r="AT357" s="72"/>
      <c r="AU357" s="72"/>
      <c r="AV357" s="72"/>
    </row>
    <row r="358" spans="1:48" s="77" customFormat="1" x14ac:dyDescent="0.2">
      <c r="A358" s="59" t="s">
        <v>4215</v>
      </c>
      <c r="B358" s="59" t="s">
        <v>4216</v>
      </c>
      <c r="C358" s="59">
        <v>11</v>
      </c>
      <c r="D358" s="59">
        <v>1</v>
      </c>
      <c r="E358" s="59" t="s">
        <v>4191</v>
      </c>
      <c r="F358" s="60">
        <v>43687</v>
      </c>
      <c r="G358" s="59" t="s">
        <v>4031</v>
      </c>
      <c r="H358" s="61">
        <v>4.2361111111111106E-2</v>
      </c>
      <c r="I358" s="59" t="s">
        <v>398</v>
      </c>
      <c r="J358" s="59" t="s">
        <v>241</v>
      </c>
      <c r="K358" s="59" t="s">
        <v>102</v>
      </c>
      <c r="L358" s="59" t="s">
        <v>23</v>
      </c>
      <c r="M358" s="59">
        <v>0</v>
      </c>
      <c r="N358" s="59">
        <v>0</v>
      </c>
      <c r="O358" s="59">
        <v>1</v>
      </c>
      <c r="P358" s="59" t="s">
        <v>176</v>
      </c>
      <c r="Q358" s="59" t="s">
        <v>176</v>
      </c>
      <c r="R358" s="59" t="s">
        <v>176</v>
      </c>
      <c r="S358" s="59" t="s">
        <v>709</v>
      </c>
      <c r="T358" s="59" t="s">
        <v>23</v>
      </c>
      <c r="U358" s="59" t="s">
        <v>4004</v>
      </c>
      <c r="V358" s="59" t="s">
        <v>4022</v>
      </c>
      <c r="W358" s="59"/>
      <c r="X358" s="59">
        <v>72</v>
      </c>
      <c r="Y358" s="59" t="s">
        <v>176</v>
      </c>
      <c r="Z358" s="62">
        <v>63.740099999999998</v>
      </c>
      <c r="AA358" s="62">
        <v>148.89954</v>
      </c>
      <c r="AB358" s="62">
        <f t="shared" si="5"/>
        <v>212.63963999999999</v>
      </c>
      <c r="AC358" s="117"/>
      <c r="AD358" s="117"/>
      <c r="AE358" s="59" t="s">
        <v>115</v>
      </c>
      <c r="AF358" s="59" t="s">
        <v>115</v>
      </c>
      <c r="AG358" s="59" t="s">
        <v>115</v>
      </c>
      <c r="AH358" s="59">
        <v>0</v>
      </c>
      <c r="AI358" s="59">
        <v>0</v>
      </c>
      <c r="AJ358" s="59">
        <v>0</v>
      </c>
      <c r="AK358" s="59">
        <v>0</v>
      </c>
      <c r="AL358" s="59">
        <v>0</v>
      </c>
      <c r="AM358" s="59">
        <v>0</v>
      </c>
      <c r="AN358" s="59">
        <v>0</v>
      </c>
      <c r="AO358" s="59"/>
      <c r="AP358" s="59"/>
      <c r="AQ358" s="59"/>
      <c r="AR358" s="59"/>
      <c r="AS358" s="72"/>
      <c r="AT358" s="72"/>
      <c r="AU358" s="72"/>
      <c r="AV358" s="72"/>
    </row>
    <row r="359" spans="1:48" s="77" customFormat="1" x14ac:dyDescent="0.2">
      <c r="A359" s="59" t="s">
        <v>4215</v>
      </c>
      <c r="B359" s="59" t="s">
        <v>4216</v>
      </c>
      <c r="C359" s="59">
        <v>11</v>
      </c>
      <c r="D359" s="59">
        <v>2</v>
      </c>
      <c r="E359" s="59" t="s">
        <v>4191</v>
      </c>
      <c r="F359" s="60">
        <v>43687</v>
      </c>
      <c r="G359" s="59" t="s">
        <v>4031</v>
      </c>
      <c r="H359" s="61">
        <v>4.2361111111111106E-2</v>
      </c>
      <c r="I359" s="59" t="s">
        <v>398</v>
      </c>
      <c r="J359" s="59" t="s">
        <v>241</v>
      </c>
      <c r="K359" s="59" t="s">
        <v>102</v>
      </c>
      <c r="L359" s="59" t="s">
        <v>23</v>
      </c>
      <c r="M359" s="59">
        <v>1</v>
      </c>
      <c r="N359" s="59">
        <v>0</v>
      </c>
      <c r="O359" s="59">
        <v>1</v>
      </c>
      <c r="P359" s="59" t="s">
        <v>176</v>
      </c>
      <c r="Q359" s="59" t="s">
        <v>176</v>
      </c>
      <c r="R359" s="59" t="s">
        <v>4159</v>
      </c>
      <c r="S359" s="59" t="s">
        <v>709</v>
      </c>
      <c r="T359" s="59" t="s">
        <v>23</v>
      </c>
      <c r="U359" s="59" t="s">
        <v>4004</v>
      </c>
      <c r="V359" s="59" t="s">
        <v>4022</v>
      </c>
      <c r="W359" s="59"/>
      <c r="X359" s="59">
        <v>123</v>
      </c>
      <c r="Y359" s="59">
        <v>0</v>
      </c>
      <c r="Z359" s="62">
        <v>63.740020000000001</v>
      </c>
      <c r="AA359" s="62">
        <v>148.89968999999999</v>
      </c>
      <c r="AB359" s="62">
        <f t="shared" si="5"/>
        <v>212.63970999999998</v>
      </c>
      <c r="AC359" s="117"/>
      <c r="AD359" s="117"/>
      <c r="AE359" s="59" t="s">
        <v>115</v>
      </c>
      <c r="AF359" s="59" t="s">
        <v>115</v>
      </c>
      <c r="AG359" s="59" t="s">
        <v>115</v>
      </c>
      <c r="AH359" s="59">
        <v>4</v>
      </c>
      <c r="AI359" s="59">
        <v>0</v>
      </c>
      <c r="AJ359" s="59">
        <v>0</v>
      </c>
      <c r="AK359" s="59">
        <v>4</v>
      </c>
      <c r="AL359" s="59">
        <v>0</v>
      </c>
      <c r="AM359" s="59">
        <v>0</v>
      </c>
      <c r="AN359" s="59">
        <v>4</v>
      </c>
      <c r="AO359" s="59"/>
      <c r="AP359" s="59"/>
      <c r="AQ359" s="59"/>
      <c r="AR359" s="59"/>
      <c r="AS359" s="72"/>
      <c r="AT359" s="72"/>
      <c r="AU359" s="72"/>
      <c r="AV359" s="72"/>
    </row>
    <row r="360" spans="1:48" s="77" customFormat="1" x14ac:dyDescent="0.2">
      <c r="A360" s="59" t="s">
        <v>4209</v>
      </c>
      <c r="B360" s="59" t="s">
        <v>4210</v>
      </c>
      <c r="C360" s="59">
        <v>9</v>
      </c>
      <c r="D360" s="59">
        <v>1</v>
      </c>
      <c r="E360" s="59" t="s">
        <v>4191</v>
      </c>
      <c r="F360" s="60">
        <v>43687</v>
      </c>
      <c r="G360" s="59" t="s">
        <v>4031</v>
      </c>
      <c r="H360" s="61">
        <v>3.5416666666666666E-2</v>
      </c>
      <c r="I360" s="59" t="s">
        <v>398</v>
      </c>
      <c r="J360" s="59" t="s">
        <v>241</v>
      </c>
      <c r="K360" s="59" t="s">
        <v>111</v>
      </c>
      <c r="L360" s="59" t="s">
        <v>23</v>
      </c>
      <c r="M360" s="59">
        <v>0</v>
      </c>
      <c r="N360" s="59">
        <v>0</v>
      </c>
      <c r="O360" s="59">
        <v>1</v>
      </c>
      <c r="P360" s="59" t="s">
        <v>176</v>
      </c>
      <c r="Q360" s="59" t="s">
        <v>176</v>
      </c>
      <c r="R360" s="59" t="s">
        <v>115</v>
      </c>
      <c r="S360" s="59" t="s">
        <v>4168</v>
      </c>
      <c r="T360" s="59" t="s">
        <v>23</v>
      </c>
      <c r="U360" s="59" t="s">
        <v>3997</v>
      </c>
      <c r="V360" s="59" t="s">
        <v>4022</v>
      </c>
      <c r="W360" s="59"/>
      <c r="X360" s="59">
        <v>123</v>
      </c>
      <c r="Y360" s="59">
        <v>10</v>
      </c>
      <c r="Z360" s="62">
        <v>63.739519999999999</v>
      </c>
      <c r="AA360" s="62">
        <v>148.89788999999999</v>
      </c>
      <c r="AB360" s="62">
        <f t="shared" si="5"/>
        <v>212.63740999999999</v>
      </c>
      <c r="AC360" s="117">
        <v>1</v>
      </c>
      <c r="AD360" s="117"/>
      <c r="AE360" s="59" t="s">
        <v>115</v>
      </c>
      <c r="AF360" s="59" t="s">
        <v>115</v>
      </c>
      <c r="AG360" s="59" t="s">
        <v>115</v>
      </c>
      <c r="AH360" s="59">
        <v>0</v>
      </c>
      <c r="AI360" s="59">
        <v>0</v>
      </c>
      <c r="AJ360" s="59">
        <v>0</v>
      </c>
      <c r="AK360" s="59">
        <v>0</v>
      </c>
      <c r="AL360" s="59">
        <v>0</v>
      </c>
      <c r="AM360" s="59">
        <v>0</v>
      </c>
      <c r="AN360" s="59">
        <v>0</v>
      </c>
      <c r="AO360" s="59"/>
      <c r="AP360" s="59"/>
      <c r="AQ360" s="59"/>
      <c r="AR360" s="59"/>
      <c r="AS360" s="59"/>
      <c r="AT360" s="59"/>
      <c r="AU360" s="59"/>
      <c r="AV360" s="59"/>
    </row>
    <row r="361" spans="1:48" s="77" customFormat="1" x14ac:dyDescent="0.2">
      <c r="A361" s="59" t="s">
        <v>4209</v>
      </c>
      <c r="B361" s="59" t="s">
        <v>4210</v>
      </c>
      <c r="C361" s="59">
        <v>9</v>
      </c>
      <c r="D361" s="59">
        <v>3</v>
      </c>
      <c r="E361" s="59" t="s">
        <v>4191</v>
      </c>
      <c r="F361" s="60">
        <v>43687</v>
      </c>
      <c r="G361" s="59" t="s">
        <v>4031</v>
      </c>
      <c r="H361" s="61">
        <v>3.5416666666666666E-2</v>
      </c>
      <c r="I361" s="59" t="s">
        <v>398</v>
      </c>
      <c r="J361" s="59" t="s">
        <v>241</v>
      </c>
      <c r="K361" s="59" t="s">
        <v>111</v>
      </c>
      <c r="L361" s="59" t="s">
        <v>23</v>
      </c>
      <c r="M361" s="59">
        <v>0</v>
      </c>
      <c r="N361" s="59">
        <v>0</v>
      </c>
      <c r="O361" s="59">
        <v>1</v>
      </c>
      <c r="P361" s="59" t="s">
        <v>176</v>
      </c>
      <c r="Q361" s="59" t="s">
        <v>176</v>
      </c>
      <c r="R361" s="59" t="s">
        <v>115</v>
      </c>
      <c r="S361" s="59" t="s">
        <v>4211</v>
      </c>
      <c r="T361" s="59" t="s">
        <v>23</v>
      </c>
      <c r="U361" s="59" t="s">
        <v>3999</v>
      </c>
      <c r="V361" s="59" t="s">
        <v>4022</v>
      </c>
      <c r="W361" s="59"/>
      <c r="X361" s="59">
        <v>223</v>
      </c>
      <c r="Y361" s="59">
        <v>12</v>
      </c>
      <c r="Z361" s="62">
        <v>63.739730000000002</v>
      </c>
      <c r="AA361" s="62">
        <v>148.89786000000001</v>
      </c>
      <c r="AB361" s="62">
        <f t="shared" si="5"/>
        <v>212.63759000000002</v>
      </c>
      <c r="AC361" s="117"/>
      <c r="AD361" s="117"/>
      <c r="AE361" s="59" t="s">
        <v>115</v>
      </c>
      <c r="AF361" s="59" t="s">
        <v>115</v>
      </c>
      <c r="AG361" s="59" t="s">
        <v>115</v>
      </c>
      <c r="AH361" s="59">
        <v>0</v>
      </c>
      <c r="AI361" s="59">
        <v>0</v>
      </c>
      <c r="AJ361" s="59">
        <v>0</v>
      </c>
      <c r="AK361" s="59">
        <v>0</v>
      </c>
      <c r="AL361" s="59">
        <v>0</v>
      </c>
      <c r="AM361" s="59">
        <v>0</v>
      </c>
      <c r="AN361" s="59">
        <v>0</v>
      </c>
      <c r="AO361" s="59"/>
      <c r="AP361" s="59"/>
      <c r="AQ361" s="59"/>
      <c r="AR361" s="59"/>
      <c r="AS361" s="72"/>
      <c r="AT361" s="72"/>
      <c r="AU361" s="72"/>
      <c r="AV361" s="72"/>
    </row>
    <row r="362" spans="1:48" s="77" customFormat="1" x14ac:dyDescent="0.2">
      <c r="A362" s="59" t="s">
        <v>4227</v>
      </c>
      <c r="B362" s="59" t="s">
        <v>4228</v>
      </c>
      <c r="C362" s="59">
        <v>5</v>
      </c>
      <c r="D362" s="59">
        <v>1</v>
      </c>
      <c r="E362" s="59" t="s">
        <v>140</v>
      </c>
      <c r="F362" s="60">
        <v>43687</v>
      </c>
      <c r="G362" s="59" t="s">
        <v>4031</v>
      </c>
      <c r="H362" s="61">
        <v>3.8194444444444441E-2</v>
      </c>
      <c r="I362" s="59" t="s">
        <v>398</v>
      </c>
      <c r="J362" s="59" t="s">
        <v>4226</v>
      </c>
      <c r="K362" s="59" t="s">
        <v>102</v>
      </c>
      <c r="L362" s="59" t="s">
        <v>23</v>
      </c>
      <c r="M362" s="59">
        <v>1</v>
      </c>
      <c r="N362" s="59">
        <v>0</v>
      </c>
      <c r="O362" s="59">
        <v>1</v>
      </c>
      <c r="P362" s="59" t="s">
        <v>176</v>
      </c>
      <c r="Q362" s="59" t="s">
        <v>176</v>
      </c>
      <c r="R362" s="59" t="s">
        <v>176</v>
      </c>
      <c r="S362" s="59" t="s">
        <v>939</v>
      </c>
      <c r="T362" s="59" t="s">
        <v>23</v>
      </c>
      <c r="U362" s="59" t="s">
        <v>3999</v>
      </c>
      <c r="V362" s="59" t="s">
        <v>4022</v>
      </c>
      <c r="W362" s="59"/>
      <c r="X362" s="59">
        <v>250</v>
      </c>
      <c r="Y362" s="59" t="s">
        <v>176</v>
      </c>
      <c r="Z362" s="62">
        <v>63.724339999999998</v>
      </c>
      <c r="AA362" s="62">
        <v>148.94852</v>
      </c>
      <c r="AB362" s="62">
        <f t="shared" si="5"/>
        <v>212.67286000000001</v>
      </c>
      <c r="AC362" s="117"/>
      <c r="AD362" s="117"/>
      <c r="AE362" s="59" t="s">
        <v>115</v>
      </c>
      <c r="AF362" s="59" t="s">
        <v>115</v>
      </c>
      <c r="AG362" s="59" t="s">
        <v>115</v>
      </c>
      <c r="AH362" s="59">
        <v>0</v>
      </c>
      <c r="AI362" s="59">
        <v>0</v>
      </c>
      <c r="AJ362" s="59">
        <v>0</v>
      </c>
      <c r="AK362" s="59">
        <v>0</v>
      </c>
      <c r="AL362" s="59">
        <v>0</v>
      </c>
      <c r="AM362" s="59">
        <v>0</v>
      </c>
      <c r="AN362" s="59">
        <v>0</v>
      </c>
      <c r="AO362" s="59"/>
      <c r="AP362" s="59" t="s">
        <v>4229</v>
      </c>
      <c r="AQ362" s="59"/>
      <c r="AR362" s="59"/>
    </row>
    <row r="363" spans="1:48" s="82" customFormat="1" x14ac:dyDescent="0.2">
      <c r="A363" s="59" t="s">
        <v>4195</v>
      </c>
      <c r="B363" s="59" t="s">
        <v>4196</v>
      </c>
      <c r="C363" s="59">
        <v>3</v>
      </c>
      <c r="D363" s="59">
        <v>1</v>
      </c>
      <c r="E363" s="59" t="s">
        <v>4191</v>
      </c>
      <c r="F363" s="60">
        <v>43687</v>
      </c>
      <c r="G363" s="59" t="s">
        <v>4031</v>
      </c>
      <c r="H363" s="61">
        <v>8.3333333333333332E-3</v>
      </c>
      <c r="I363" s="59" t="s">
        <v>398</v>
      </c>
      <c r="J363" s="59" t="s">
        <v>241</v>
      </c>
      <c r="K363" s="59" t="s">
        <v>111</v>
      </c>
      <c r="L363" s="59" t="s">
        <v>23</v>
      </c>
      <c r="M363" s="59">
        <v>0</v>
      </c>
      <c r="N363" s="59">
        <v>0</v>
      </c>
      <c r="O363" s="59">
        <v>1</v>
      </c>
      <c r="P363" s="59" t="s">
        <v>176</v>
      </c>
      <c r="Q363" s="59" t="s">
        <v>176</v>
      </c>
      <c r="R363" s="59" t="s">
        <v>176</v>
      </c>
      <c r="S363" s="59" t="s">
        <v>709</v>
      </c>
      <c r="T363" s="59" t="s">
        <v>23</v>
      </c>
      <c r="U363" s="59" t="s">
        <v>4004</v>
      </c>
      <c r="V363" s="59" t="s">
        <v>4022</v>
      </c>
      <c r="W363" s="59"/>
      <c r="X363" s="59">
        <v>302</v>
      </c>
      <c r="Y363" s="59" t="s">
        <v>176</v>
      </c>
      <c r="Z363" s="62">
        <v>63.739220000000003</v>
      </c>
      <c r="AA363" s="62">
        <v>148.90398999999999</v>
      </c>
      <c r="AB363" s="62">
        <f t="shared" si="5"/>
        <v>212.64321000000001</v>
      </c>
      <c r="AC363" s="117"/>
      <c r="AD363" s="117"/>
      <c r="AE363" s="59" t="s">
        <v>115</v>
      </c>
      <c r="AF363" s="59" t="s">
        <v>115</v>
      </c>
      <c r="AG363" s="59" t="s">
        <v>115</v>
      </c>
      <c r="AH363" s="59">
        <v>0</v>
      </c>
      <c r="AI363" s="59">
        <v>0</v>
      </c>
      <c r="AJ363" s="59">
        <v>0</v>
      </c>
      <c r="AK363" s="59">
        <v>0</v>
      </c>
      <c r="AL363" s="59">
        <v>0</v>
      </c>
      <c r="AM363" s="59">
        <v>0</v>
      </c>
      <c r="AN363" s="59">
        <v>0</v>
      </c>
      <c r="AO363" s="59"/>
      <c r="AP363" s="59"/>
      <c r="AQ363" s="59"/>
      <c r="AR363" s="59"/>
      <c r="AS363" s="77"/>
      <c r="AT363" s="77"/>
      <c r="AU363" s="77"/>
      <c r="AV363" s="77"/>
    </row>
    <row r="364" spans="1:48" s="77" customFormat="1" x14ac:dyDescent="0.2">
      <c r="A364" s="59" t="s">
        <v>4233</v>
      </c>
      <c r="B364" s="59" t="s">
        <v>4234</v>
      </c>
      <c r="C364" s="59">
        <v>2</v>
      </c>
      <c r="D364" s="59">
        <v>1</v>
      </c>
      <c r="E364" s="59" t="s">
        <v>138</v>
      </c>
      <c r="F364" s="60">
        <v>43687</v>
      </c>
      <c r="G364" s="59" t="s">
        <v>4031</v>
      </c>
      <c r="H364" s="61">
        <v>3.2638888888888891E-2</v>
      </c>
      <c r="I364" s="59" t="s">
        <v>398</v>
      </c>
      <c r="J364" s="59" t="s">
        <v>4232</v>
      </c>
      <c r="K364" s="59" t="s">
        <v>4235</v>
      </c>
      <c r="L364" s="59" t="s">
        <v>23</v>
      </c>
      <c r="M364" s="59">
        <v>0</v>
      </c>
      <c r="N364" s="59">
        <v>0</v>
      </c>
      <c r="O364" s="59">
        <v>1</v>
      </c>
      <c r="P364" s="59" t="s">
        <v>176</v>
      </c>
      <c r="Q364" s="59" t="s">
        <v>176</v>
      </c>
      <c r="R364" s="59" t="s">
        <v>176</v>
      </c>
      <c r="S364" s="59" t="s">
        <v>4236</v>
      </c>
      <c r="T364" s="59" t="s">
        <v>23</v>
      </c>
      <c r="U364" s="59" t="s">
        <v>3997</v>
      </c>
      <c r="V364" s="59" t="s">
        <v>2179</v>
      </c>
      <c r="W364" s="59"/>
      <c r="X364" s="59">
        <v>335</v>
      </c>
      <c r="Y364" s="59" t="s">
        <v>176</v>
      </c>
      <c r="Z364" s="62">
        <v>63.723979999999997</v>
      </c>
      <c r="AA364" s="62">
        <v>148.95451</v>
      </c>
      <c r="AB364" s="62">
        <f t="shared" si="5"/>
        <v>212.67849000000001</v>
      </c>
      <c r="AC364" s="117"/>
      <c r="AD364" s="117"/>
      <c r="AE364" s="59" t="s">
        <v>115</v>
      </c>
      <c r="AF364" s="59" t="s">
        <v>115</v>
      </c>
      <c r="AG364" s="59" t="s">
        <v>115</v>
      </c>
      <c r="AH364" s="59">
        <v>11</v>
      </c>
      <c r="AI364" s="59">
        <v>0</v>
      </c>
      <c r="AJ364" s="59">
        <v>11</v>
      </c>
      <c r="AK364" s="59">
        <v>0</v>
      </c>
      <c r="AL364" s="59">
        <v>0</v>
      </c>
      <c r="AM364" s="59">
        <v>0</v>
      </c>
      <c r="AN364" s="59">
        <v>11</v>
      </c>
      <c r="AO364" s="59"/>
      <c r="AP364" s="59"/>
      <c r="AQ364" s="59"/>
      <c r="AR364" s="59"/>
      <c r="AS364" s="82"/>
      <c r="AT364" s="82"/>
      <c r="AU364" s="82"/>
      <c r="AV364" s="82"/>
    </row>
    <row r="365" spans="1:48" s="77" customFormat="1" x14ac:dyDescent="0.2">
      <c r="A365" s="59" t="s">
        <v>4219</v>
      </c>
      <c r="B365" s="59" t="s">
        <v>4220</v>
      </c>
      <c r="C365" s="59">
        <v>2</v>
      </c>
      <c r="D365" s="59">
        <v>1</v>
      </c>
      <c r="E365" s="59" t="s">
        <v>140</v>
      </c>
      <c r="F365" s="60">
        <v>43687</v>
      </c>
      <c r="G365" s="59" t="s">
        <v>4031</v>
      </c>
      <c r="H365" s="61">
        <v>3.2638888888888891E-2</v>
      </c>
      <c r="I365" s="59" t="s">
        <v>398</v>
      </c>
      <c r="J365" s="59" t="s">
        <v>149</v>
      </c>
      <c r="K365" s="59" t="s">
        <v>111</v>
      </c>
      <c r="L365" s="59" t="s">
        <v>23</v>
      </c>
      <c r="M365" s="59">
        <v>1</v>
      </c>
      <c r="N365" s="59">
        <v>0</v>
      </c>
      <c r="O365" s="59">
        <v>1</v>
      </c>
      <c r="P365" s="59" t="s">
        <v>176</v>
      </c>
      <c r="Q365" s="59" t="s">
        <v>176</v>
      </c>
      <c r="R365" s="59" t="s">
        <v>176</v>
      </c>
      <c r="S365" s="59" t="s">
        <v>2300</v>
      </c>
      <c r="T365" s="59" t="s">
        <v>23</v>
      </c>
      <c r="U365" s="59" t="s">
        <v>3997</v>
      </c>
      <c r="V365" s="59" t="s">
        <v>4006</v>
      </c>
      <c r="W365" s="59"/>
      <c r="X365" s="59">
        <v>352</v>
      </c>
      <c r="Y365" s="59" t="s">
        <v>176</v>
      </c>
      <c r="Z365" s="62">
        <v>63.724060000000001</v>
      </c>
      <c r="AA365" s="62">
        <v>148.94916000000001</v>
      </c>
      <c r="AB365" s="62">
        <f t="shared" si="5"/>
        <v>212.67322000000001</v>
      </c>
      <c r="AC365" s="117"/>
      <c r="AD365" s="117"/>
      <c r="AE365" s="59" t="s">
        <v>115</v>
      </c>
      <c r="AF365" s="59" t="s">
        <v>115</v>
      </c>
      <c r="AG365" s="59" t="s">
        <v>115</v>
      </c>
      <c r="AH365" s="59">
        <v>0</v>
      </c>
      <c r="AI365" s="59">
        <v>0</v>
      </c>
      <c r="AJ365" s="59">
        <v>0</v>
      </c>
      <c r="AK365" s="59">
        <v>0</v>
      </c>
      <c r="AL365" s="59">
        <v>0</v>
      </c>
      <c r="AM365" s="59">
        <v>0</v>
      </c>
      <c r="AN365" s="59">
        <v>0</v>
      </c>
      <c r="AO365" s="59"/>
      <c r="AP365" s="59"/>
      <c r="AQ365" s="59"/>
      <c r="AR365" s="59"/>
    </row>
    <row r="366" spans="1:48" s="82" customFormat="1" x14ac:dyDescent="0.2">
      <c r="A366" s="59" t="s">
        <v>4219</v>
      </c>
      <c r="B366" s="59" t="s">
        <v>4220</v>
      </c>
      <c r="C366" s="59">
        <v>2</v>
      </c>
      <c r="D366" s="59">
        <v>2</v>
      </c>
      <c r="E366" s="59" t="s">
        <v>140</v>
      </c>
      <c r="F366" s="60">
        <v>43687</v>
      </c>
      <c r="G366" s="59" t="s">
        <v>4031</v>
      </c>
      <c r="H366" s="61">
        <v>3.2638888888888891E-2</v>
      </c>
      <c r="I366" s="59" t="s">
        <v>398</v>
      </c>
      <c r="J366" s="59" t="s">
        <v>149</v>
      </c>
      <c r="K366" s="59" t="s">
        <v>568</v>
      </c>
      <c r="L366" s="59" t="s">
        <v>23</v>
      </c>
      <c r="M366" s="59">
        <v>1</v>
      </c>
      <c r="N366" s="59">
        <v>0</v>
      </c>
      <c r="O366" s="59">
        <v>1</v>
      </c>
      <c r="P366" s="59" t="s">
        <v>176</v>
      </c>
      <c r="Q366" s="59" t="s">
        <v>176</v>
      </c>
      <c r="R366" s="59" t="s">
        <v>1035</v>
      </c>
      <c r="S366" s="59" t="s">
        <v>2300</v>
      </c>
      <c r="T366" s="59" t="s">
        <v>23</v>
      </c>
      <c r="U366" s="59" t="s">
        <v>3997</v>
      </c>
      <c r="V366" s="59" t="s">
        <v>4006</v>
      </c>
      <c r="W366" s="59"/>
      <c r="X366" s="59" t="s">
        <v>4221</v>
      </c>
      <c r="Y366" s="59" t="s">
        <v>4221</v>
      </c>
      <c r="Z366" s="59" t="s">
        <v>4221</v>
      </c>
      <c r="AA366" s="59" t="s">
        <v>4221</v>
      </c>
      <c r="AB366" s="62" t="e">
        <f t="shared" si="5"/>
        <v>#VALUE!</v>
      </c>
      <c r="AC366" s="117"/>
      <c r="AD366" s="117"/>
      <c r="AE366" s="59" t="s">
        <v>115</v>
      </c>
      <c r="AF366" s="59" t="s">
        <v>115</v>
      </c>
      <c r="AG366" s="59" t="s">
        <v>115</v>
      </c>
      <c r="AH366" s="59">
        <v>0</v>
      </c>
      <c r="AI366" s="59">
        <v>16</v>
      </c>
      <c r="AJ366" s="59">
        <v>0</v>
      </c>
      <c r="AK366" s="59">
        <v>16</v>
      </c>
      <c r="AL366" s="59">
        <v>0</v>
      </c>
      <c r="AM366" s="59">
        <v>0</v>
      </c>
      <c r="AN366" s="59">
        <v>16</v>
      </c>
      <c r="AO366" s="59"/>
      <c r="AP366" s="59"/>
      <c r="AQ366" s="59"/>
      <c r="AR366" s="59"/>
      <c r="AS366" s="77"/>
      <c r="AT366" s="77"/>
      <c r="AU366" s="77"/>
      <c r="AV366" s="77"/>
    </row>
    <row r="367" spans="1:48" s="77" customFormat="1" x14ac:dyDescent="0.2">
      <c r="A367" s="59" t="s">
        <v>4273</v>
      </c>
      <c r="B367" s="59" t="s">
        <v>4275</v>
      </c>
      <c r="C367" s="59">
        <v>9</v>
      </c>
      <c r="D367" s="59">
        <v>2</v>
      </c>
      <c r="E367" s="59" t="s">
        <v>213</v>
      </c>
      <c r="F367" s="60">
        <v>43688</v>
      </c>
      <c r="G367" s="59" t="s">
        <v>4031</v>
      </c>
      <c r="H367" s="61">
        <v>6.8749999999999992E-2</v>
      </c>
      <c r="I367" s="59" t="s">
        <v>640</v>
      </c>
      <c r="J367" s="59" t="s">
        <v>4258</v>
      </c>
      <c r="K367" s="59" t="s">
        <v>111</v>
      </c>
      <c r="L367" s="59" t="s">
        <v>23</v>
      </c>
      <c r="M367" s="59">
        <v>0</v>
      </c>
      <c r="N367" s="59">
        <v>0</v>
      </c>
      <c r="O367" s="59">
        <v>1</v>
      </c>
      <c r="P367" s="59" t="s">
        <v>176</v>
      </c>
      <c r="Q367" s="59" t="s">
        <v>176</v>
      </c>
      <c r="R367" s="59" t="s">
        <v>176</v>
      </c>
      <c r="S367" s="59" t="s">
        <v>4168</v>
      </c>
      <c r="T367" s="59" t="s">
        <v>23</v>
      </c>
      <c r="U367" s="59" t="s">
        <v>3997</v>
      </c>
      <c r="V367" s="59" t="s">
        <v>4022</v>
      </c>
      <c r="W367" s="59"/>
      <c r="X367" s="59">
        <v>6</v>
      </c>
      <c r="Y367" s="59" t="s">
        <v>176</v>
      </c>
      <c r="Z367" s="62">
        <v>63.718780000000002</v>
      </c>
      <c r="AA367" s="62">
        <v>148.97704999999999</v>
      </c>
      <c r="AB367" s="62">
        <f t="shared" si="5"/>
        <v>212.69583</v>
      </c>
      <c r="AC367" s="117">
        <v>1</v>
      </c>
      <c r="AD367" s="117"/>
      <c r="AE367" s="59" t="s">
        <v>115</v>
      </c>
      <c r="AF367" s="59" t="s">
        <v>115</v>
      </c>
      <c r="AG367" s="59" t="s">
        <v>115</v>
      </c>
      <c r="AH367" s="59">
        <v>0</v>
      </c>
      <c r="AI367" s="59">
        <v>0</v>
      </c>
      <c r="AJ367" s="59">
        <v>0</v>
      </c>
      <c r="AK367" s="59">
        <v>0</v>
      </c>
      <c r="AL367" s="59">
        <v>0</v>
      </c>
      <c r="AM367" s="59">
        <v>0</v>
      </c>
      <c r="AN367" s="59">
        <v>0</v>
      </c>
      <c r="AO367" s="59"/>
      <c r="AP367" s="59"/>
      <c r="AQ367" s="59"/>
      <c r="AR367" s="59"/>
      <c r="AS367" s="59"/>
      <c r="AT367" s="59"/>
      <c r="AU367" s="59"/>
      <c r="AV367" s="59"/>
    </row>
    <row r="368" spans="1:48" s="77" customFormat="1" x14ac:dyDescent="0.2">
      <c r="A368" s="59" t="s">
        <v>4281</v>
      </c>
      <c r="B368" s="59" t="s">
        <v>4282</v>
      </c>
      <c r="C368" s="59">
        <v>12</v>
      </c>
      <c r="D368" s="59">
        <v>2</v>
      </c>
      <c r="E368" s="59" t="s">
        <v>213</v>
      </c>
      <c r="F368" s="60">
        <v>43688</v>
      </c>
      <c r="G368" s="59" t="s">
        <v>4031</v>
      </c>
      <c r="H368" s="61">
        <v>2.5694444444444447E-2</v>
      </c>
      <c r="I368" s="59" t="s">
        <v>640</v>
      </c>
      <c r="J368" s="59" t="s">
        <v>4280</v>
      </c>
      <c r="K368" s="59" t="s">
        <v>102</v>
      </c>
      <c r="L368" s="59" t="s">
        <v>23</v>
      </c>
      <c r="M368" s="59">
        <v>1</v>
      </c>
      <c r="N368" s="59" t="s">
        <v>176</v>
      </c>
      <c r="O368" s="59">
        <v>1</v>
      </c>
      <c r="P368" s="59" t="s">
        <v>176</v>
      </c>
      <c r="Q368" s="59" t="s">
        <v>176</v>
      </c>
      <c r="R368" s="59" t="s">
        <v>4159</v>
      </c>
      <c r="S368" s="59" t="s">
        <v>709</v>
      </c>
      <c r="T368" s="59" t="s">
        <v>23</v>
      </c>
      <c r="U368" s="59" t="s">
        <v>4004</v>
      </c>
      <c r="V368" s="59" t="s">
        <v>4022</v>
      </c>
      <c r="W368" s="59" t="s">
        <v>115</v>
      </c>
      <c r="X368" s="59">
        <v>80</v>
      </c>
      <c r="Y368" s="59">
        <v>10</v>
      </c>
      <c r="Z368" s="62">
        <v>63.718910000000001</v>
      </c>
      <c r="AA368" s="62">
        <v>148.97681</v>
      </c>
      <c r="AB368" s="62">
        <f t="shared" si="5"/>
        <v>212.69571999999999</v>
      </c>
      <c r="AC368" s="117"/>
      <c r="AD368" s="117"/>
      <c r="AE368" s="59" t="s">
        <v>115</v>
      </c>
      <c r="AF368" s="59" t="s">
        <v>115</v>
      </c>
      <c r="AG368" s="59" t="s">
        <v>115</v>
      </c>
      <c r="AH368" s="59">
        <v>10</v>
      </c>
      <c r="AI368" s="59">
        <v>0</v>
      </c>
      <c r="AJ368" s="59">
        <v>0</v>
      </c>
      <c r="AK368" s="59">
        <v>10</v>
      </c>
      <c r="AL368" s="59">
        <v>0</v>
      </c>
      <c r="AM368" s="59">
        <v>0</v>
      </c>
      <c r="AN368" s="59">
        <v>10</v>
      </c>
      <c r="AO368" s="59"/>
      <c r="AP368" s="59"/>
      <c r="AQ368" s="59"/>
      <c r="AR368" s="59"/>
      <c r="AS368" s="82"/>
      <c r="AT368" s="82"/>
      <c r="AU368" s="82"/>
      <c r="AV368" s="82"/>
    </row>
    <row r="369" spans="1:48" s="77" customFormat="1" x14ac:dyDescent="0.2">
      <c r="A369" s="59" t="s">
        <v>4268</v>
      </c>
      <c r="B369" s="59" t="s">
        <v>4269</v>
      </c>
      <c r="C369" s="59">
        <v>6</v>
      </c>
      <c r="D369" s="59">
        <v>1</v>
      </c>
      <c r="E369" s="59" t="s">
        <v>213</v>
      </c>
      <c r="F369" s="60">
        <v>43688</v>
      </c>
      <c r="G369" s="59" t="s">
        <v>4031</v>
      </c>
      <c r="H369" s="61">
        <v>3.3333333333333333E-2</v>
      </c>
      <c r="I369" s="59" t="s">
        <v>640</v>
      </c>
      <c r="J369" s="59" t="s">
        <v>4258</v>
      </c>
      <c r="K369" s="59" t="s">
        <v>568</v>
      </c>
      <c r="L369" s="59" t="s">
        <v>23</v>
      </c>
      <c r="M369" s="59">
        <v>1</v>
      </c>
      <c r="N369" s="59">
        <v>0</v>
      </c>
      <c r="O369" s="59">
        <v>1</v>
      </c>
      <c r="P369" s="59" t="s">
        <v>1342</v>
      </c>
      <c r="Q369" s="59" t="s">
        <v>4244</v>
      </c>
      <c r="R369" s="59" t="s">
        <v>122</v>
      </c>
      <c r="S369" s="59" t="s">
        <v>709</v>
      </c>
      <c r="T369" s="59" t="s">
        <v>23</v>
      </c>
      <c r="U369" s="59" t="s">
        <v>4004</v>
      </c>
      <c r="V369" s="59" t="s">
        <v>4022</v>
      </c>
      <c r="W369" s="59"/>
      <c r="X369" s="59">
        <v>95</v>
      </c>
      <c r="Y369" s="59">
        <v>9</v>
      </c>
      <c r="Z369" s="62">
        <v>63.718960000000003</v>
      </c>
      <c r="AA369" s="62">
        <v>148.97684000000001</v>
      </c>
      <c r="AB369" s="62">
        <f t="shared" si="5"/>
        <v>212.69580000000002</v>
      </c>
      <c r="AC369" s="117">
        <v>1</v>
      </c>
      <c r="AD369" s="117" t="s">
        <v>4765</v>
      </c>
      <c r="AE369" s="59" t="s">
        <v>115</v>
      </c>
      <c r="AF369" s="59" t="s">
        <v>115</v>
      </c>
      <c r="AG369" s="59" t="s">
        <v>115</v>
      </c>
      <c r="AH369" s="59">
        <v>0</v>
      </c>
      <c r="AI369" s="59">
        <v>0</v>
      </c>
      <c r="AJ369" s="59">
        <v>0</v>
      </c>
      <c r="AK369" s="59">
        <v>0</v>
      </c>
      <c r="AL369" s="59">
        <v>27</v>
      </c>
      <c r="AM369" s="59">
        <v>0</v>
      </c>
      <c r="AN369" s="59">
        <v>27</v>
      </c>
      <c r="AO369" s="59"/>
      <c r="AP369" s="59"/>
      <c r="AQ369" s="59"/>
      <c r="AR369" s="59"/>
      <c r="AS369" s="59"/>
      <c r="AT369" s="59"/>
      <c r="AU369" s="59"/>
      <c r="AV369" s="59"/>
    </row>
    <row r="370" spans="1:48" s="77" customFormat="1" x14ac:dyDescent="0.2">
      <c r="A370" s="59" t="s">
        <v>4273</v>
      </c>
      <c r="B370" s="59" t="s">
        <v>4275</v>
      </c>
      <c r="C370" s="59">
        <v>9</v>
      </c>
      <c r="D370" s="59">
        <v>1</v>
      </c>
      <c r="E370" s="59" t="s">
        <v>213</v>
      </c>
      <c r="F370" s="60">
        <v>43688</v>
      </c>
      <c r="G370" s="59" t="s">
        <v>4031</v>
      </c>
      <c r="H370" s="61">
        <v>6.8749999999999992E-2</v>
      </c>
      <c r="I370" s="59" t="s">
        <v>640</v>
      </c>
      <c r="J370" s="59" t="s">
        <v>4258</v>
      </c>
      <c r="K370" s="59" t="s">
        <v>568</v>
      </c>
      <c r="L370" s="59" t="s">
        <v>23</v>
      </c>
      <c r="M370" s="59">
        <v>1</v>
      </c>
      <c r="N370" s="59">
        <v>0</v>
      </c>
      <c r="O370" s="59">
        <v>1</v>
      </c>
      <c r="P370" s="59" t="s">
        <v>176</v>
      </c>
      <c r="Q370" s="59" t="s">
        <v>176</v>
      </c>
      <c r="R370" s="59" t="s">
        <v>176</v>
      </c>
      <c r="S370" s="59" t="s">
        <v>4168</v>
      </c>
      <c r="T370" s="59" t="s">
        <v>23</v>
      </c>
      <c r="U370" s="59" t="s">
        <v>3997</v>
      </c>
      <c r="V370" s="59" t="s">
        <v>4022</v>
      </c>
      <c r="W370" s="59"/>
      <c r="X370" s="59">
        <v>119</v>
      </c>
      <c r="Y370" s="59" t="s">
        <v>176</v>
      </c>
      <c r="Z370" s="62">
        <v>63.718780000000002</v>
      </c>
      <c r="AA370" s="62">
        <v>148.97704999999999</v>
      </c>
      <c r="AB370" s="62">
        <f t="shared" si="5"/>
        <v>212.69583</v>
      </c>
      <c r="AC370" s="117">
        <v>1</v>
      </c>
      <c r="AD370" s="117" t="s">
        <v>4765</v>
      </c>
      <c r="AE370" s="59" t="s">
        <v>115</v>
      </c>
      <c r="AF370" s="59" t="s">
        <v>115</v>
      </c>
      <c r="AG370" s="59" t="s">
        <v>115</v>
      </c>
      <c r="AH370" s="59">
        <v>0</v>
      </c>
      <c r="AI370" s="59">
        <v>0</v>
      </c>
      <c r="AJ370" s="59">
        <v>0</v>
      </c>
      <c r="AK370" s="59">
        <v>0</v>
      </c>
      <c r="AL370" s="59">
        <v>0</v>
      </c>
      <c r="AM370" s="59">
        <v>0</v>
      </c>
      <c r="AN370" s="59">
        <v>0</v>
      </c>
      <c r="AO370" s="59"/>
      <c r="AP370" s="59"/>
      <c r="AQ370" s="59"/>
      <c r="AR370" s="59"/>
      <c r="AS370" s="59"/>
      <c r="AT370" s="59"/>
      <c r="AU370" s="59"/>
      <c r="AV370" s="59"/>
    </row>
    <row r="371" spans="1:48" s="82" customFormat="1" x14ac:dyDescent="0.2">
      <c r="A371" s="59" t="s">
        <v>4253</v>
      </c>
      <c r="B371" s="59" t="s">
        <v>4254</v>
      </c>
      <c r="C371" s="59">
        <v>5</v>
      </c>
      <c r="D371" s="59">
        <v>1</v>
      </c>
      <c r="E371" s="59" t="s">
        <v>395</v>
      </c>
      <c r="F371" s="60">
        <v>43688</v>
      </c>
      <c r="G371" s="59" t="s">
        <v>4031</v>
      </c>
      <c r="H371" s="61">
        <v>9.0277777777777787E-3</v>
      </c>
      <c r="I371" s="59" t="s">
        <v>640</v>
      </c>
      <c r="J371" s="59" t="s">
        <v>4250</v>
      </c>
      <c r="K371" s="59" t="s">
        <v>111</v>
      </c>
      <c r="L371" s="59" t="s">
        <v>23</v>
      </c>
      <c r="M371" s="59">
        <v>1</v>
      </c>
      <c r="N371" s="59">
        <v>0</v>
      </c>
      <c r="O371" s="59">
        <v>1</v>
      </c>
      <c r="P371" s="59" t="s">
        <v>598</v>
      </c>
      <c r="Q371" s="59" t="s">
        <v>4255</v>
      </c>
      <c r="R371" s="59" t="s">
        <v>122</v>
      </c>
      <c r="S371" s="59" t="s">
        <v>4168</v>
      </c>
      <c r="T371" s="59" t="s">
        <v>23</v>
      </c>
      <c r="U371" s="59" t="s">
        <v>3997</v>
      </c>
      <c r="V371" s="59" t="s">
        <v>4022</v>
      </c>
      <c r="W371" s="59"/>
      <c r="X371" s="59">
        <v>142</v>
      </c>
      <c r="Y371" s="59">
        <v>3</v>
      </c>
      <c r="Z371" s="62">
        <v>63.721490000000003</v>
      </c>
      <c r="AA371" s="62">
        <v>148.98643000000001</v>
      </c>
      <c r="AB371" s="62">
        <f t="shared" si="5"/>
        <v>212.70792</v>
      </c>
      <c r="AC371" s="117"/>
      <c r="AD371" s="117"/>
      <c r="AE371" s="59" t="s">
        <v>115</v>
      </c>
      <c r="AF371" s="59" t="s">
        <v>115</v>
      </c>
      <c r="AG371" s="59" t="s">
        <v>115</v>
      </c>
      <c r="AH371" s="59">
        <v>0</v>
      </c>
      <c r="AI371" s="59">
        <v>0</v>
      </c>
      <c r="AJ371" s="59">
        <v>0</v>
      </c>
      <c r="AK371" s="59">
        <v>0</v>
      </c>
      <c r="AL371" s="59">
        <v>0</v>
      </c>
      <c r="AM371" s="59">
        <v>0</v>
      </c>
      <c r="AN371" s="59">
        <v>0</v>
      </c>
      <c r="AO371" s="59"/>
      <c r="AP371" s="59" t="s">
        <v>4256</v>
      </c>
      <c r="AQ371" s="59"/>
      <c r="AR371" s="59"/>
      <c r="AS371" s="77"/>
      <c r="AT371" s="77"/>
      <c r="AU371" s="77"/>
      <c r="AV371" s="77"/>
    </row>
    <row r="372" spans="1:48" s="77" customFormat="1" x14ac:dyDescent="0.2">
      <c r="A372" s="59" t="s">
        <v>4251</v>
      </c>
      <c r="B372" s="59" t="s">
        <v>4252</v>
      </c>
      <c r="C372" s="59">
        <v>4</v>
      </c>
      <c r="D372" s="59">
        <v>2</v>
      </c>
      <c r="E372" s="59" t="s">
        <v>395</v>
      </c>
      <c r="F372" s="60">
        <v>43688</v>
      </c>
      <c r="G372" s="59" t="s">
        <v>4031</v>
      </c>
      <c r="H372" s="61">
        <v>5.347222222222222E-2</v>
      </c>
      <c r="I372" s="59" t="s">
        <v>640</v>
      </c>
      <c r="J372" s="59" t="s">
        <v>4250</v>
      </c>
      <c r="K372" s="59" t="s">
        <v>568</v>
      </c>
      <c r="L372" s="59" t="s">
        <v>23</v>
      </c>
      <c r="M372" s="59">
        <v>1</v>
      </c>
      <c r="N372" s="59">
        <v>0</v>
      </c>
      <c r="O372" s="59">
        <v>1</v>
      </c>
      <c r="P372" s="59" t="s">
        <v>112</v>
      </c>
      <c r="Q372" s="59" t="s">
        <v>4249</v>
      </c>
      <c r="R372" s="59" t="s">
        <v>122</v>
      </c>
      <c r="S372" s="59" t="s">
        <v>4168</v>
      </c>
      <c r="T372" s="59" t="s">
        <v>23</v>
      </c>
      <c r="U372" s="59" t="s">
        <v>3997</v>
      </c>
      <c r="V372" s="59" t="s">
        <v>4022</v>
      </c>
      <c r="W372" s="59"/>
      <c r="X372" s="59">
        <v>256</v>
      </c>
      <c r="Y372" s="59">
        <v>0</v>
      </c>
      <c r="Z372" s="62">
        <v>63.721499999999999</v>
      </c>
      <c r="AA372" s="62">
        <v>148.98625000000001</v>
      </c>
      <c r="AB372" s="62">
        <f t="shared" si="5"/>
        <v>212.70775</v>
      </c>
      <c r="AC372" s="117">
        <v>1</v>
      </c>
      <c r="AD372" s="117" t="s">
        <v>4765</v>
      </c>
      <c r="AE372" s="59" t="s">
        <v>115</v>
      </c>
      <c r="AF372" s="59" t="s">
        <v>115</v>
      </c>
      <c r="AG372" s="59" t="s">
        <v>115</v>
      </c>
      <c r="AH372" s="59">
        <v>0</v>
      </c>
      <c r="AI372" s="59">
        <v>0</v>
      </c>
      <c r="AJ372" s="59">
        <v>0</v>
      </c>
      <c r="AK372" s="59">
        <v>0</v>
      </c>
      <c r="AL372" s="59">
        <v>10</v>
      </c>
      <c r="AM372" s="59">
        <v>0</v>
      </c>
      <c r="AN372" s="59">
        <v>10</v>
      </c>
      <c r="AO372" s="59"/>
      <c r="AP372" s="59"/>
      <c r="AQ372" s="59"/>
      <c r="AR372" s="59"/>
      <c r="AS372" s="59"/>
      <c r="AT372" s="59"/>
      <c r="AU372" s="59"/>
      <c r="AV372" s="59"/>
    </row>
    <row r="373" spans="1:48" s="77" customFormat="1" x14ac:dyDescent="0.2">
      <c r="A373" s="59" t="s">
        <v>4273</v>
      </c>
      <c r="B373" s="59" t="s">
        <v>4275</v>
      </c>
      <c r="C373" s="59">
        <v>9</v>
      </c>
      <c r="D373" s="59">
        <v>3</v>
      </c>
      <c r="E373" s="59" t="s">
        <v>213</v>
      </c>
      <c r="F373" s="60">
        <v>43688</v>
      </c>
      <c r="G373" s="59" t="s">
        <v>4031</v>
      </c>
      <c r="H373" s="61">
        <v>6.8749999999999992E-2</v>
      </c>
      <c r="I373" s="59" t="s">
        <v>640</v>
      </c>
      <c r="J373" s="59" t="s">
        <v>4258</v>
      </c>
      <c r="K373" s="59" t="s">
        <v>111</v>
      </c>
      <c r="L373" s="59" t="s">
        <v>23</v>
      </c>
      <c r="M373" s="59">
        <v>0</v>
      </c>
      <c r="N373" s="59">
        <v>0</v>
      </c>
      <c r="O373" s="59">
        <v>1</v>
      </c>
      <c r="P373" s="59" t="s">
        <v>176</v>
      </c>
      <c r="Q373" s="59" t="s">
        <v>176</v>
      </c>
      <c r="R373" s="59" t="s">
        <v>176</v>
      </c>
      <c r="S373" s="59" t="s">
        <v>4168</v>
      </c>
      <c r="T373" s="59" t="s">
        <v>23</v>
      </c>
      <c r="U373" s="59" t="s">
        <v>3997</v>
      </c>
      <c r="V373" s="59" t="s">
        <v>4022</v>
      </c>
      <c r="W373" s="59"/>
      <c r="X373" s="59">
        <v>260</v>
      </c>
      <c r="Y373" s="59" t="s">
        <v>176</v>
      </c>
      <c r="Z373" s="62">
        <v>63.718780000000002</v>
      </c>
      <c r="AA373" s="62">
        <v>148.97704999999999</v>
      </c>
      <c r="AB373" s="62">
        <f t="shared" si="5"/>
        <v>212.69583</v>
      </c>
      <c r="AC373" s="117">
        <v>1</v>
      </c>
      <c r="AD373" s="117" t="s">
        <v>4765</v>
      </c>
      <c r="AE373" s="59" t="s">
        <v>115</v>
      </c>
      <c r="AF373" s="59" t="s">
        <v>115</v>
      </c>
      <c r="AG373" s="59" t="s">
        <v>115</v>
      </c>
      <c r="AH373" s="59">
        <v>0</v>
      </c>
      <c r="AI373" s="59">
        <v>0</v>
      </c>
      <c r="AJ373" s="59">
        <v>0</v>
      </c>
      <c r="AK373" s="59">
        <v>0</v>
      </c>
      <c r="AL373" s="59">
        <v>0</v>
      </c>
      <c r="AM373" s="59">
        <v>0</v>
      </c>
      <c r="AN373" s="59">
        <v>0</v>
      </c>
      <c r="AO373" s="59"/>
      <c r="AP373" s="59"/>
      <c r="AQ373" s="59"/>
      <c r="AR373" s="59"/>
      <c r="AS373" s="59"/>
      <c r="AT373" s="59"/>
      <c r="AU373" s="59"/>
      <c r="AV373" s="59"/>
    </row>
    <row r="374" spans="1:48" s="82" customFormat="1" x14ac:dyDescent="0.2">
      <c r="A374" s="59" t="s">
        <v>4270</v>
      </c>
      <c r="B374" s="59" t="s">
        <v>4271</v>
      </c>
      <c r="C374" s="59">
        <v>7</v>
      </c>
      <c r="D374" s="59">
        <v>1</v>
      </c>
      <c r="E374" s="59" t="s">
        <v>213</v>
      </c>
      <c r="F374" s="60">
        <v>43688</v>
      </c>
      <c r="G374" s="59" t="s">
        <v>4031</v>
      </c>
      <c r="H374" s="61">
        <v>2.2916666666666669E-2</v>
      </c>
      <c r="I374" s="59" t="s">
        <v>640</v>
      </c>
      <c r="J374" s="59" t="s">
        <v>4258</v>
      </c>
      <c r="K374" s="59" t="s">
        <v>102</v>
      </c>
      <c r="L374" s="59" t="s">
        <v>23</v>
      </c>
      <c r="M374" s="59">
        <v>0</v>
      </c>
      <c r="N374" s="59">
        <v>0</v>
      </c>
      <c r="O374" s="59">
        <v>1</v>
      </c>
      <c r="P374" s="59" t="s">
        <v>176</v>
      </c>
      <c r="Q374" s="59" t="s">
        <v>176</v>
      </c>
      <c r="R374" s="59" t="s">
        <v>176</v>
      </c>
      <c r="S374" s="59" t="s">
        <v>115</v>
      </c>
      <c r="T374" s="59" t="s">
        <v>23</v>
      </c>
      <c r="U374" s="59" t="s">
        <v>4004</v>
      </c>
      <c r="V374" s="59" t="s">
        <v>4022</v>
      </c>
      <c r="W374" s="59"/>
      <c r="X374" s="59">
        <v>284</v>
      </c>
      <c r="Y374" s="59" t="s">
        <v>176</v>
      </c>
      <c r="Z374" s="62">
        <v>63.718960000000003</v>
      </c>
      <c r="AA374" s="62">
        <v>148.97684000000001</v>
      </c>
      <c r="AB374" s="62">
        <f t="shared" si="5"/>
        <v>212.69580000000002</v>
      </c>
      <c r="AC374" s="117">
        <v>1</v>
      </c>
      <c r="AD374" s="117"/>
      <c r="AE374" s="59" t="s">
        <v>115</v>
      </c>
      <c r="AF374" s="59" t="s">
        <v>115</v>
      </c>
      <c r="AG374" s="59" t="s">
        <v>115</v>
      </c>
      <c r="AH374" s="59">
        <v>0</v>
      </c>
      <c r="AI374" s="59">
        <v>0</v>
      </c>
      <c r="AJ374" s="59">
        <v>0</v>
      </c>
      <c r="AK374" s="59">
        <v>0</v>
      </c>
      <c r="AL374" s="59">
        <v>0</v>
      </c>
      <c r="AM374" s="59">
        <v>0</v>
      </c>
      <c r="AN374" s="59">
        <v>0</v>
      </c>
      <c r="AO374" s="59"/>
      <c r="AP374" s="59"/>
      <c r="AQ374" s="59"/>
      <c r="AR374" s="59"/>
      <c r="AS374" s="59"/>
      <c r="AT374" s="59"/>
      <c r="AU374" s="59"/>
      <c r="AV374" s="59"/>
    </row>
    <row r="375" spans="1:48" s="77" customFormat="1" x14ac:dyDescent="0.2">
      <c r="A375" s="59" t="s">
        <v>4251</v>
      </c>
      <c r="B375" s="59" t="s">
        <v>4252</v>
      </c>
      <c r="C375" s="59">
        <v>4</v>
      </c>
      <c r="D375" s="59">
        <v>1</v>
      </c>
      <c r="E375" s="59" t="s">
        <v>395</v>
      </c>
      <c r="F375" s="60">
        <v>43688</v>
      </c>
      <c r="G375" s="59" t="s">
        <v>4031</v>
      </c>
      <c r="H375" s="61">
        <v>5.347222222222222E-2</v>
      </c>
      <c r="I375" s="59" t="s">
        <v>640</v>
      </c>
      <c r="J375" s="59" t="s">
        <v>4250</v>
      </c>
      <c r="K375" s="59" t="s">
        <v>568</v>
      </c>
      <c r="L375" s="59" t="s">
        <v>23</v>
      </c>
      <c r="M375" s="59">
        <v>1</v>
      </c>
      <c r="N375" s="59">
        <v>0</v>
      </c>
      <c r="O375" s="59">
        <v>1</v>
      </c>
      <c r="P375" s="59" t="s">
        <v>112</v>
      </c>
      <c r="Q375" s="59" t="s">
        <v>4249</v>
      </c>
      <c r="R375" s="59" t="s">
        <v>122</v>
      </c>
      <c r="S375" s="59" t="s">
        <v>4168</v>
      </c>
      <c r="T375" s="59" t="s">
        <v>23</v>
      </c>
      <c r="U375" s="59" t="s">
        <v>3997</v>
      </c>
      <c r="V375" s="59" t="s">
        <v>4022</v>
      </c>
      <c r="W375" s="59"/>
      <c r="X375" s="59">
        <v>287</v>
      </c>
      <c r="Y375" s="59">
        <v>5</v>
      </c>
      <c r="Z375" s="62">
        <v>63.721490000000003</v>
      </c>
      <c r="AA375" s="62">
        <v>148.98625000000001</v>
      </c>
      <c r="AB375" s="62">
        <f t="shared" si="5"/>
        <v>212.70774</v>
      </c>
      <c r="AC375" s="117"/>
      <c r="AD375" s="117"/>
      <c r="AE375" s="59" t="s">
        <v>115</v>
      </c>
      <c r="AF375" s="59" t="s">
        <v>115</v>
      </c>
      <c r="AG375" s="59" t="s">
        <v>115</v>
      </c>
      <c r="AH375" s="59">
        <v>0</v>
      </c>
      <c r="AI375" s="59">
        <v>0</v>
      </c>
      <c r="AJ375" s="59">
        <v>0</v>
      </c>
      <c r="AK375" s="59">
        <v>0</v>
      </c>
      <c r="AL375" s="59">
        <v>11</v>
      </c>
      <c r="AM375" s="59">
        <v>0</v>
      </c>
      <c r="AN375" s="59">
        <v>11</v>
      </c>
      <c r="AO375" s="59"/>
      <c r="AP375" s="59"/>
      <c r="AQ375" s="59"/>
      <c r="AR375" s="59"/>
      <c r="AS375" s="82"/>
      <c r="AT375" s="82"/>
      <c r="AU375" s="82"/>
      <c r="AV375" s="82"/>
    </row>
    <row r="376" spans="1:48" s="82" customFormat="1" x14ac:dyDescent="0.2">
      <c r="A376" s="59" t="s">
        <v>4245</v>
      </c>
      <c r="B376" s="59" t="s">
        <v>4246</v>
      </c>
      <c r="C376" s="59">
        <v>2</v>
      </c>
      <c r="D376" s="59">
        <v>1</v>
      </c>
      <c r="E376" s="59" t="s">
        <v>395</v>
      </c>
      <c r="F376" s="60">
        <v>43688</v>
      </c>
      <c r="G376" s="59" t="s">
        <v>4031</v>
      </c>
      <c r="H376" s="61">
        <v>2.013888888888889E-2</v>
      </c>
      <c r="I376" s="59" t="s">
        <v>640</v>
      </c>
      <c r="J376" s="59" t="s">
        <v>4243</v>
      </c>
      <c r="K376" s="59" t="s">
        <v>111</v>
      </c>
      <c r="L376" s="59" t="s">
        <v>23</v>
      </c>
      <c r="M376" s="59">
        <v>0</v>
      </c>
      <c r="N376" s="59">
        <v>0</v>
      </c>
      <c r="O376" s="59">
        <v>1</v>
      </c>
      <c r="P376" s="59" t="s">
        <v>176</v>
      </c>
      <c r="Q376" s="59" t="s">
        <v>176</v>
      </c>
      <c r="R376" s="59" t="s">
        <v>176</v>
      </c>
      <c r="S376" s="59" t="s">
        <v>709</v>
      </c>
      <c r="T376" s="59" t="s">
        <v>23</v>
      </c>
      <c r="U376" s="59" t="s">
        <v>4004</v>
      </c>
      <c r="V376" s="59" t="s">
        <v>4022</v>
      </c>
      <c r="W376" s="59"/>
      <c r="X376" s="59">
        <v>288</v>
      </c>
      <c r="Y376" s="59" t="s">
        <v>176</v>
      </c>
      <c r="Z376" s="62">
        <v>63.721469999999997</v>
      </c>
      <c r="AA376" s="62">
        <v>148.98651000000001</v>
      </c>
      <c r="AB376" s="62">
        <f t="shared" si="5"/>
        <v>212.70798000000002</v>
      </c>
      <c r="AC376" s="117"/>
      <c r="AD376" s="117"/>
      <c r="AE376" s="59" t="s">
        <v>115</v>
      </c>
      <c r="AF376" s="59" t="s">
        <v>115</v>
      </c>
      <c r="AG376" s="59" t="s">
        <v>115</v>
      </c>
      <c r="AH376" s="59">
        <v>0</v>
      </c>
      <c r="AI376" s="59">
        <v>0</v>
      </c>
      <c r="AJ376" s="59">
        <v>0</v>
      </c>
      <c r="AK376" s="59">
        <v>0</v>
      </c>
      <c r="AL376" s="59">
        <v>0</v>
      </c>
      <c r="AM376" s="59">
        <v>0</v>
      </c>
      <c r="AN376" s="59">
        <v>0</v>
      </c>
      <c r="AO376" s="59"/>
      <c r="AP376" s="59"/>
      <c r="AQ376" s="59"/>
      <c r="AR376" s="59"/>
      <c r="AS376" s="77"/>
      <c r="AT376" s="77"/>
      <c r="AU376" s="77"/>
      <c r="AV376" s="77"/>
    </row>
    <row r="377" spans="1:48" s="82" customFormat="1" x14ac:dyDescent="0.2">
      <c r="A377" s="59" t="s">
        <v>4247</v>
      </c>
      <c r="B377" s="59" t="s">
        <v>4248</v>
      </c>
      <c r="C377" s="59">
        <v>3</v>
      </c>
      <c r="D377" s="59">
        <v>2</v>
      </c>
      <c r="E377" s="59" t="s">
        <v>395</v>
      </c>
      <c r="F377" s="60">
        <v>43688</v>
      </c>
      <c r="G377" s="59" t="s">
        <v>4031</v>
      </c>
      <c r="H377" s="61">
        <v>2.6388888888888889E-2</v>
      </c>
      <c r="I377" s="59" t="s">
        <v>640</v>
      </c>
      <c r="J377" s="59" t="s">
        <v>4250</v>
      </c>
      <c r="K377" s="59" t="s">
        <v>102</v>
      </c>
      <c r="L377" s="59" t="s">
        <v>23</v>
      </c>
      <c r="M377" s="59">
        <v>1</v>
      </c>
      <c r="N377" s="59">
        <v>0</v>
      </c>
      <c r="O377" s="59">
        <v>1</v>
      </c>
      <c r="P377" s="59" t="s">
        <v>112</v>
      </c>
      <c r="Q377" s="59" t="s">
        <v>4249</v>
      </c>
      <c r="R377" s="59" t="s">
        <v>122</v>
      </c>
      <c r="S377" s="59" t="s">
        <v>4168</v>
      </c>
      <c r="T377" s="59" t="s">
        <v>23</v>
      </c>
      <c r="U377" s="59" t="s">
        <v>3997</v>
      </c>
      <c r="V377" s="59" t="s">
        <v>4022</v>
      </c>
      <c r="W377" s="59"/>
      <c r="X377" s="59">
        <v>340</v>
      </c>
      <c r="Y377" s="59">
        <v>0</v>
      </c>
      <c r="Z377" s="62">
        <v>63.721499999999999</v>
      </c>
      <c r="AA377" s="62">
        <v>148.98625000000001</v>
      </c>
      <c r="AB377" s="62">
        <f t="shared" si="5"/>
        <v>212.70775</v>
      </c>
      <c r="AC377" s="117">
        <v>1</v>
      </c>
      <c r="AD377" s="117"/>
      <c r="AE377" s="59" t="s">
        <v>115</v>
      </c>
      <c r="AF377" s="59" t="s">
        <v>115</v>
      </c>
      <c r="AG377" s="59" t="s">
        <v>115</v>
      </c>
      <c r="AH377" s="59">
        <v>0</v>
      </c>
      <c r="AI377" s="59">
        <v>0</v>
      </c>
      <c r="AJ377" s="59">
        <v>0</v>
      </c>
      <c r="AK377" s="59">
        <v>0</v>
      </c>
      <c r="AL377" s="59">
        <v>12</v>
      </c>
      <c r="AM377" s="59">
        <v>0</v>
      </c>
      <c r="AN377" s="59">
        <v>12</v>
      </c>
      <c r="AO377" s="59"/>
      <c r="AP377" s="59"/>
      <c r="AQ377" s="59"/>
      <c r="AR377" s="59"/>
      <c r="AS377" s="59"/>
      <c r="AT377" s="59"/>
      <c r="AU377" s="59"/>
      <c r="AV377" s="59"/>
    </row>
    <row r="378" spans="1:48" s="77" customFormat="1" x14ac:dyDescent="0.2">
      <c r="A378" s="59" t="s">
        <v>4273</v>
      </c>
      <c r="B378" s="59" t="s">
        <v>4275</v>
      </c>
      <c r="C378" s="59">
        <v>9</v>
      </c>
      <c r="D378" s="59">
        <v>4</v>
      </c>
      <c r="E378" s="59" t="s">
        <v>213</v>
      </c>
      <c r="F378" s="60">
        <v>43688</v>
      </c>
      <c r="G378" s="59" t="s">
        <v>4031</v>
      </c>
      <c r="H378" s="61">
        <v>6.8749999999999992E-2</v>
      </c>
      <c r="I378" s="59" t="s">
        <v>640</v>
      </c>
      <c r="J378" s="59" t="s">
        <v>4258</v>
      </c>
      <c r="K378" s="59" t="s">
        <v>568</v>
      </c>
      <c r="L378" s="59" t="s">
        <v>23</v>
      </c>
      <c r="M378" s="59">
        <v>1</v>
      </c>
      <c r="N378" s="59">
        <v>0</v>
      </c>
      <c r="O378" s="59">
        <v>1</v>
      </c>
      <c r="P378" s="59" t="s">
        <v>1342</v>
      </c>
      <c r="Q378" s="59" t="s">
        <v>4244</v>
      </c>
      <c r="R378" s="59" t="s">
        <v>122</v>
      </c>
      <c r="S378" s="59" t="s">
        <v>4168</v>
      </c>
      <c r="T378" s="59" t="s">
        <v>23</v>
      </c>
      <c r="U378" s="59" t="s">
        <v>3997</v>
      </c>
      <c r="V378" s="59" t="s">
        <v>4022</v>
      </c>
      <c r="W378" s="59"/>
      <c r="X378" s="59">
        <v>343</v>
      </c>
      <c r="Y378" s="59">
        <v>11</v>
      </c>
      <c r="Z378" s="62">
        <v>63.718699999999998</v>
      </c>
      <c r="AA378" s="62">
        <v>148.97682</v>
      </c>
      <c r="AB378" s="62">
        <f t="shared" si="5"/>
        <v>212.69551999999999</v>
      </c>
      <c r="AC378" s="117"/>
      <c r="AD378" s="117"/>
      <c r="AE378" s="59" t="s">
        <v>115</v>
      </c>
      <c r="AF378" s="59" t="s">
        <v>115</v>
      </c>
      <c r="AG378" s="59" t="s">
        <v>115</v>
      </c>
      <c r="AH378" s="59">
        <v>0</v>
      </c>
      <c r="AI378" s="59">
        <v>0</v>
      </c>
      <c r="AJ378" s="59">
        <v>0</v>
      </c>
      <c r="AK378" s="59">
        <v>0</v>
      </c>
      <c r="AL378" s="59">
        <v>24</v>
      </c>
      <c r="AM378" s="59">
        <v>0</v>
      </c>
      <c r="AN378" s="59">
        <v>24</v>
      </c>
      <c r="AO378" s="59"/>
      <c r="AP378" s="59"/>
      <c r="AQ378" s="59"/>
      <c r="AR378" s="59"/>
    </row>
    <row r="379" spans="1:48" s="82" customFormat="1" x14ac:dyDescent="0.2">
      <c r="A379" s="59" t="s">
        <v>4317</v>
      </c>
      <c r="B379" s="59" t="s">
        <v>4318</v>
      </c>
      <c r="C379" s="59">
        <v>14</v>
      </c>
      <c r="D379" s="59">
        <v>1</v>
      </c>
      <c r="E379" s="59" t="s">
        <v>138</v>
      </c>
      <c r="F379" s="60">
        <v>43689</v>
      </c>
      <c r="G379" s="59" t="s">
        <v>4031</v>
      </c>
      <c r="H379" s="61">
        <v>9.7222222222222224E-3</v>
      </c>
      <c r="I379" s="59" t="s">
        <v>640</v>
      </c>
      <c r="J379" s="59" t="s">
        <v>4288</v>
      </c>
      <c r="K379" s="59" t="s">
        <v>568</v>
      </c>
      <c r="L379" s="59" t="s">
        <v>23</v>
      </c>
      <c r="M379" s="59">
        <v>1</v>
      </c>
      <c r="N379" s="59">
        <v>0</v>
      </c>
      <c r="O379" s="59">
        <v>1</v>
      </c>
      <c r="P379" s="59" t="s">
        <v>112</v>
      </c>
      <c r="Q379" s="59" t="s">
        <v>4319</v>
      </c>
      <c r="R379" s="59" t="s">
        <v>122</v>
      </c>
      <c r="S379" s="59" t="s">
        <v>1035</v>
      </c>
      <c r="T379" s="59" t="s">
        <v>23</v>
      </c>
      <c r="U379" s="59" t="s">
        <v>3997</v>
      </c>
      <c r="V379" s="59" t="s">
        <v>4006</v>
      </c>
      <c r="W379" s="59"/>
      <c r="X379" s="59">
        <v>54</v>
      </c>
      <c r="Y379" s="59">
        <v>2</v>
      </c>
      <c r="Z379" s="62">
        <v>63.724769999999999</v>
      </c>
      <c r="AA379" s="62">
        <v>148.95863</v>
      </c>
      <c r="AB379" s="62">
        <f t="shared" si="5"/>
        <v>212.68340000000001</v>
      </c>
      <c r="AC379" s="117"/>
      <c r="AD379" s="117"/>
      <c r="AE379" s="59" t="s">
        <v>115</v>
      </c>
      <c r="AF379" s="59" t="s">
        <v>115</v>
      </c>
      <c r="AG379" s="59" t="s">
        <v>115</v>
      </c>
      <c r="AH379" s="59">
        <v>0</v>
      </c>
      <c r="AI379" s="59">
        <v>0</v>
      </c>
      <c r="AJ379" s="59">
        <v>0</v>
      </c>
      <c r="AK379" s="59">
        <v>0</v>
      </c>
      <c r="AL379" s="59">
        <v>1</v>
      </c>
      <c r="AM379" s="59">
        <v>0</v>
      </c>
      <c r="AN379" s="59">
        <v>1</v>
      </c>
      <c r="AO379" s="59"/>
      <c r="AP379" s="59" t="s">
        <v>4322</v>
      </c>
      <c r="AQ379" s="59"/>
      <c r="AR379" s="59"/>
      <c r="AS379" s="77"/>
      <c r="AT379" s="77"/>
      <c r="AU379" s="77"/>
      <c r="AV379" s="77"/>
    </row>
    <row r="380" spans="1:48" s="82" customFormat="1" x14ac:dyDescent="0.2">
      <c r="A380" s="59" t="s">
        <v>4293</v>
      </c>
      <c r="B380" s="59" t="s">
        <v>4294</v>
      </c>
      <c r="C380" s="59">
        <v>4</v>
      </c>
      <c r="D380" s="59">
        <v>1</v>
      </c>
      <c r="E380" s="59" t="s">
        <v>138</v>
      </c>
      <c r="F380" s="60">
        <v>43689</v>
      </c>
      <c r="G380" s="59" t="s">
        <v>4031</v>
      </c>
      <c r="H380" s="61">
        <v>9.0277777777777787E-3</v>
      </c>
      <c r="I380" s="59" t="s">
        <v>640</v>
      </c>
      <c r="J380" s="59" t="s">
        <v>4288</v>
      </c>
      <c r="K380" s="59" t="s">
        <v>102</v>
      </c>
      <c r="L380" s="59" t="s">
        <v>23</v>
      </c>
      <c r="M380" s="59">
        <v>0</v>
      </c>
      <c r="N380" s="59">
        <v>0</v>
      </c>
      <c r="O380" s="59">
        <v>1</v>
      </c>
      <c r="P380" s="59" t="s">
        <v>176</v>
      </c>
      <c r="Q380" s="59" t="s">
        <v>176</v>
      </c>
      <c r="R380" s="59" t="s">
        <v>176</v>
      </c>
      <c r="S380" s="59" t="s">
        <v>4295</v>
      </c>
      <c r="T380" s="59" t="s">
        <v>23</v>
      </c>
      <c r="U380" s="59" t="s">
        <v>4004</v>
      </c>
      <c r="V380" s="59" t="s">
        <v>4022</v>
      </c>
      <c r="W380" s="59" t="s">
        <v>4296</v>
      </c>
      <c r="X380" s="59" t="s">
        <v>4296</v>
      </c>
      <c r="Y380" s="59" t="s">
        <v>176</v>
      </c>
      <c r="Z380" s="63" t="s">
        <v>4296</v>
      </c>
      <c r="AA380" s="63" t="s">
        <v>4296</v>
      </c>
      <c r="AB380" s="62" t="e">
        <f t="shared" si="5"/>
        <v>#VALUE!</v>
      </c>
      <c r="AC380" s="121"/>
      <c r="AD380" s="121"/>
      <c r="AE380" s="59" t="s">
        <v>115</v>
      </c>
      <c r="AF380" s="59" t="s">
        <v>115</v>
      </c>
      <c r="AG380" s="59" t="s">
        <v>115</v>
      </c>
      <c r="AH380" s="59">
        <v>0</v>
      </c>
      <c r="AI380" s="59">
        <v>0</v>
      </c>
      <c r="AJ380" s="59">
        <v>0</v>
      </c>
      <c r="AK380" s="59">
        <v>0</v>
      </c>
      <c r="AL380" s="59">
        <v>0</v>
      </c>
      <c r="AM380" s="59">
        <v>0</v>
      </c>
      <c r="AN380" s="59">
        <v>0</v>
      </c>
      <c r="AO380" s="59"/>
      <c r="AP380" s="59"/>
      <c r="AQ380" s="59"/>
      <c r="AR380" s="59"/>
      <c r="AS380" s="77"/>
      <c r="AT380" s="77"/>
      <c r="AU380" s="77"/>
      <c r="AV380" s="77"/>
    </row>
    <row r="381" spans="1:48" s="77" customFormat="1" x14ac:dyDescent="0.2">
      <c r="A381" s="59" t="s">
        <v>4338</v>
      </c>
      <c r="B381" s="59" t="s">
        <v>4340</v>
      </c>
      <c r="C381" s="59">
        <v>1</v>
      </c>
      <c r="D381" s="59">
        <v>1</v>
      </c>
      <c r="E381" s="59" t="s">
        <v>2586</v>
      </c>
      <c r="F381" s="60">
        <v>43690</v>
      </c>
      <c r="G381" s="59" t="s">
        <v>4031</v>
      </c>
      <c r="H381" s="61">
        <v>1.1111111111111112E-2</v>
      </c>
      <c r="I381" s="59" t="s">
        <v>884</v>
      </c>
      <c r="J381" s="59" t="s">
        <v>4339</v>
      </c>
      <c r="K381" s="59" t="s">
        <v>102</v>
      </c>
      <c r="L381" s="59" t="s">
        <v>12</v>
      </c>
      <c r="M381" s="59">
        <v>0</v>
      </c>
      <c r="N381" s="59">
        <v>0</v>
      </c>
      <c r="O381" s="59">
        <v>1</v>
      </c>
      <c r="P381" s="59" t="s">
        <v>176</v>
      </c>
      <c r="Q381" s="59" t="s">
        <v>176</v>
      </c>
      <c r="R381" s="59" t="s">
        <v>122</v>
      </c>
      <c r="S381" s="59" t="s">
        <v>374</v>
      </c>
      <c r="T381" s="59" t="s">
        <v>12</v>
      </c>
      <c r="U381" s="59" t="s">
        <v>3997</v>
      </c>
      <c r="V381" s="59" t="s">
        <v>4022</v>
      </c>
      <c r="W381" s="59"/>
      <c r="X381" s="59">
        <v>237</v>
      </c>
      <c r="Y381" s="59">
        <v>4</v>
      </c>
      <c r="Z381" s="62">
        <v>63.726990000000001</v>
      </c>
      <c r="AA381" s="62">
        <v>148.88686999999999</v>
      </c>
      <c r="AB381" s="62">
        <f t="shared" si="5"/>
        <v>212.61385999999999</v>
      </c>
      <c r="AC381" s="117"/>
      <c r="AD381" s="117"/>
      <c r="AE381" s="59" t="s">
        <v>115</v>
      </c>
      <c r="AF381" s="59" t="s">
        <v>115</v>
      </c>
      <c r="AG381" s="59" t="s">
        <v>115</v>
      </c>
      <c r="AH381" s="59">
        <v>0</v>
      </c>
      <c r="AI381" s="59">
        <v>0</v>
      </c>
      <c r="AJ381" s="59">
        <v>0</v>
      </c>
      <c r="AK381" s="59">
        <v>0</v>
      </c>
      <c r="AL381" s="59">
        <v>0</v>
      </c>
      <c r="AM381" s="59">
        <v>0</v>
      </c>
      <c r="AN381" s="59">
        <v>0</v>
      </c>
      <c r="AO381" s="59"/>
      <c r="AP381" s="59" t="s">
        <v>2405</v>
      </c>
      <c r="AQ381" s="59"/>
      <c r="AR381" s="59"/>
      <c r="AS381" s="59"/>
      <c r="AT381" s="59"/>
      <c r="AU381" s="59"/>
      <c r="AV381" s="59"/>
    </row>
    <row r="382" spans="1:48" s="77" customFormat="1" x14ac:dyDescent="0.2">
      <c r="A382" s="59" t="s">
        <v>4349</v>
      </c>
      <c r="B382" s="59" t="s">
        <v>4350</v>
      </c>
      <c r="C382" s="59">
        <v>6</v>
      </c>
      <c r="D382" s="59">
        <v>1</v>
      </c>
      <c r="E382" s="59" t="s">
        <v>2586</v>
      </c>
      <c r="F382" s="60">
        <v>43690</v>
      </c>
      <c r="G382" s="59" t="s">
        <v>4031</v>
      </c>
      <c r="H382" s="61">
        <v>6.458333333333334E-2</v>
      </c>
      <c r="I382" s="59" t="s">
        <v>884</v>
      </c>
      <c r="J382" s="59" t="s">
        <v>4339</v>
      </c>
      <c r="K382" s="59" t="s">
        <v>102</v>
      </c>
      <c r="L382" s="59" t="s">
        <v>115</v>
      </c>
      <c r="M382" s="59">
        <v>1</v>
      </c>
      <c r="N382" s="59">
        <v>0</v>
      </c>
      <c r="O382" s="59">
        <v>1</v>
      </c>
      <c r="P382" s="59" t="s">
        <v>112</v>
      </c>
      <c r="Q382" s="59" t="s">
        <v>4214</v>
      </c>
      <c r="R382" s="59" t="s">
        <v>122</v>
      </c>
      <c r="S382" s="59" t="s">
        <v>4295</v>
      </c>
      <c r="T382" s="59" t="s">
        <v>23</v>
      </c>
      <c r="U382" s="59" t="s">
        <v>4004</v>
      </c>
      <c r="V382" s="59" t="s">
        <v>3810</v>
      </c>
      <c r="W382" s="59"/>
      <c r="X382" s="59">
        <v>244</v>
      </c>
      <c r="Y382" s="59">
        <v>2</v>
      </c>
      <c r="Z382" s="62">
        <v>63.725720000000003</v>
      </c>
      <c r="AA382" s="62">
        <v>148.88728</v>
      </c>
      <c r="AB382" s="62">
        <f t="shared" si="5"/>
        <v>212.613</v>
      </c>
      <c r="AC382" s="117"/>
      <c r="AD382" s="117"/>
      <c r="AE382" s="59" t="s">
        <v>115</v>
      </c>
      <c r="AF382" s="59" t="s">
        <v>115</v>
      </c>
      <c r="AG382" s="59" t="s">
        <v>115</v>
      </c>
      <c r="AH382" s="59">
        <v>0</v>
      </c>
      <c r="AI382" s="59">
        <v>0</v>
      </c>
      <c r="AJ382" s="59">
        <v>0</v>
      </c>
      <c r="AK382" s="59">
        <v>0</v>
      </c>
      <c r="AL382" s="59">
        <v>0</v>
      </c>
      <c r="AM382" s="59">
        <v>0</v>
      </c>
      <c r="AN382" s="59">
        <v>0</v>
      </c>
      <c r="AO382" s="59"/>
      <c r="AP382" s="59"/>
      <c r="AQ382" s="59"/>
      <c r="AR382" s="59"/>
      <c r="AS382" s="59"/>
      <c r="AT382" s="59"/>
      <c r="AU382" s="59"/>
      <c r="AV382" s="59"/>
    </row>
    <row r="383" spans="1:48" s="77" customFormat="1" x14ac:dyDescent="0.2">
      <c r="A383" s="59" t="s">
        <v>4383</v>
      </c>
      <c r="B383" s="59" t="s">
        <v>4384</v>
      </c>
      <c r="C383" s="59">
        <v>13</v>
      </c>
      <c r="D383" s="59">
        <v>1</v>
      </c>
      <c r="E383" s="59" t="s">
        <v>213</v>
      </c>
      <c r="F383" s="60">
        <v>43692</v>
      </c>
      <c r="G383" s="59" t="s">
        <v>4031</v>
      </c>
      <c r="H383" s="61">
        <v>6.3194444444444442E-2</v>
      </c>
      <c r="I383" s="59" t="s">
        <v>4358</v>
      </c>
      <c r="J383" s="59" t="s">
        <v>4258</v>
      </c>
      <c r="K383" s="59" t="s">
        <v>111</v>
      </c>
      <c r="L383" s="59" t="s">
        <v>23</v>
      </c>
      <c r="M383" s="59">
        <v>0</v>
      </c>
      <c r="N383" s="59">
        <v>0</v>
      </c>
      <c r="O383" s="59">
        <v>1</v>
      </c>
      <c r="P383" s="59" t="s">
        <v>176</v>
      </c>
      <c r="Q383" s="59" t="s">
        <v>176</v>
      </c>
      <c r="R383" s="59" t="s">
        <v>122</v>
      </c>
      <c r="S383" s="59" t="s">
        <v>4385</v>
      </c>
      <c r="T383" s="59" t="s">
        <v>23</v>
      </c>
      <c r="U383" s="59" t="s">
        <v>3997</v>
      </c>
      <c r="V383" s="59" t="s">
        <v>3810</v>
      </c>
      <c r="W383" s="59"/>
      <c r="X383" s="59">
        <v>6</v>
      </c>
      <c r="Y383" s="59">
        <v>20</v>
      </c>
      <c r="Z383" s="62">
        <v>63.718119999999999</v>
      </c>
      <c r="AA383" s="62">
        <v>148.97382999999999</v>
      </c>
      <c r="AB383" s="62">
        <f t="shared" si="5"/>
        <v>212.69194999999999</v>
      </c>
      <c r="AC383" s="117">
        <v>1</v>
      </c>
      <c r="AD383" s="117"/>
      <c r="AE383" s="59" t="s">
        <v>115</v>
      </c>
      <c r="AF383" s="59" t="s">
        <v>115</v>
      </c>
      <c r="AG383" s="59" t="s">
        <v>115</v>
      </c>
      <c r="AH383" s="59">
        <v>0</v>
      </c>
      <c r="AI383" s="59">
        <v>0</v>
      </c>
      <c r="AJ383" s="59">
        <v>0</v>
      </c>
      <c r="AK383" s="59">
        <v>0</v>
      </c>
      <c r="AL383" s="59">
        <v>0</v>
      </c>
      <c r="AM383" s="59">
        <v>0</v>
      </c>
      <c r="AN383" s="59">
        <v>0</v>
      </c>
      <c r="AO383" s="59"/>
      <c r="AP383" s="59"/>
      <c r="AQ383" s="59"/>
      <c r="AR383" s="59"/>
      <c r="AS383" s="59"/>
      <c r="AT383" s="59"/>
      <c r="AU383" s="59"/>
      <c r="AV383" s="59"/>
    </row>
    <row r="384" spans="1:48" s="77" customFormat="1" x14ac:dyDescent="0.2">
      <c r="A384" s="59" t="s">
        <v>4369</v>
      </c>
      <c r="B384" s="59" t="s">
        <v>4370</v>
      </c>
      <c r="C384" s="59">
        <v>7</v>
      </c>
      <c r="D384" s="59">
        <v>2</v>
      </c>
      <c r="E384" s="59" t="s">
        <v>213</v>
      </c>
      <c r="F384" s="60">
        <v>43692</v>
      </c>
      <c r="G384" s="59" t="s">
        <v>4031</v>
      </c>
      <c r="H384" s="61">
        <v>1.6666666666666666E-2</v>
      </c>
      <c r="I384" s="59" t="s">
        <v>4358</v>
      </c>
      <c r="J384" s="59" t="s">
        <v>176</v>
      </c>
      <c r="K384" s="59" t="s">
        <v>111</v>
      </c>
      <c r="L384" s="59" t="s">
        <v>23</v>
      </c>
      <c r="M384" s="59">
        <v>1</v>
      </c>
      <c r="N384" s="59">
        <v>0</v>
      </c>
      <c r="O384" s="59">
        <v>1</v>
      </c>
      <c r="P384" s="59" t="s">
        <v>176</v>
      </c>
      <c r="Q384" s="59" t="s">
        <v>176</v>
      </c>
      <c r="R384" s="59" t="s">
        <v>176</v>
      </c>
      <c r="S384" s="59" t="s">
        <v>4168</v>
      </c>
      <c r="T384" s="59" t="s">
        <v>23</v>
      </c>
      <c r="U384" s="59" t="s">
        <v>3997</v>
      </c>
      <c r="V384" s="59" t="s">
        <v>4022</v>
      </c>
      <c r="W384" s="59"/>
      <c r="X384" s="59">
        <v>22</v>
      </c>
      <c r="Y384" s="59" t="s">
        <v>176</v>
      </c>
      <c r="Z384" s="62">
        <v>63.717779999999998</v>
      </c>
      <c r="AA384" s="62">
        <v>148.97417999999999</v>
      </c>
      <c r="AB384" s="62">
        <f t="shared" si="5"/>
        <v>212.69195999999999</v>
      </c>
      <c r="AC384" s="117">
        <v>1</v>
      </c>
      <c r="AD384" s="117"/>
      <c r="AE384" s="59" t="s">
        <v>115</v>
      </c>
      <c r="AF384" s="59" t="s">
        <v>115</v>
      </c>
      <c r="AG384" s="59" t="s">
        <v>115</v>
      </c>
      <c r="AH384" s="59">
        <v>0</v>
      </c>
      <c r="AI384" s="59">
        <v>0</v>
      </c>
      <c r="AJ384" s="59">
        <v>0</v>
      </c>
      <c r="AK384" s="59">
        <v>0</v>
      </c>
      <c r="AL384" s="59">
        <v>0</v>
      </c>
      <c r="AM384" s="59">
        <v>0</v>
      </c>
      <c r="AN384" s="59">
        <v>0</v>
      </c>
      <c r="AO384" s="59"/>
      <c r="AP384" s="59"/>
      <c r="AQ384" s="59"/>
      <c r="AR384" s="59"/>
      <c r="AS384" s="59"/>
      <c r="AT384" s="59"/>
      <c r="AU384" s="59"/>
      <c r="AV384" s="59"/>
    </row>
    <row r="385" spans="1:48" s="77" customFormat="1" x14ac:dyDescent="0.2">
      <c r="A385" s="59" t="s">
        <v>4383</v>
      </c>
      <c r="B385" s="59" t="s">
        <v>4384</v>
      </c>
      <c r="C385" s="59">
        <v>13</v>
      </c>
      <c r="D385" s="59">
        <v>1</v>
      </c>
      <c r="E385" s="59" t="s">
        <v>213</v>
      </c>
      <c r="F385" s="60">
        <v>43692</v>
      </c>
      <c r="G385" s="59" t="s">
        <v>4031</v>
      </c>
      <c r="H385" s="61">
        <v>6.3194444444444442E-2</v>
      </c>
      <c r="I385" s="59" t="s">
        <v>4358</v>
      </c>
      <c r="J385" s="59" t="s">
        <v>4258</v>
      </c>
      <c r="K385" s="59" t="s">
        <v>111</v>
      </c>
      <c r="L385" s="59" t="s">
        <v>23</v>
      </c>
      <c r="M385" s="59">
        <v>0</v>
      </c>
      <c r="N385" s="59">
        <v>0</v>
      </c>
      <c r="O385" s="59">
        <v>1</v>
      </c>
      <c r="P385" s="59" t="s">
        <v>176</v>
      </c>
      <c r="Q385" s="59" t="s">
        <v>176</v>
      </c>
      <c r="R385" s="59" t="s">
        <v>122</v>
      </c>
      <c r="S385" s="59" t="s">
        <v>4386</v>
      </c>
      <c r="T385" s="59" t="s">
        <v>23</v>
      </c>
      <c r="U385" s="59" t="s">
        <v>3997</v>
      </c>
      <c r="V385" s="59" t="s">
        <v>3810</v>
      </c>
      <c r="W385" s="59"/>
      <c r="X385" s="59">
        <v>187</v>
      </c>
      <c r="Y385" s="59">
        <v>20</v>
      </c>
      <c r="Z385" s="62">
        <v>63.718119999999999</v>
      </c>
      <c r="AA385" s="62">
        <v>148.97382999999999</v>
      </c>
      <c r="AB385" s="62">
        <f t="shared" si="5"/>
        <v>212.69194999999999</v>
      </c>
      <c r="AC385" s="117">
        <v>1</v>
      </c>
      <c r="AD385" s="117" t="s">
        <v>4765</v>
      </c>
      <c r="AE385" s="59" t="s">
        <v>115</v>
      </c>
      <c r="AF385" s="59" t="s">
        <v>115</v>
      </c>
      <c r="AG385" s="59" t="s">
        <v>115</v>
      </c>
      <c r="AH385" s="59">
        <v>0</v>
      </c>
      <c r="AI385" s="59">
        <v>0</v>
      </c>
      <c r="AJ385" s="59">
        <v>0</v>
      </c>
      <c r="AK385" s="59">
        <v>0</v>
      </c>
      <c r="AL385" s="59">
        <v>0</v>
      </c>
      <c r="AM385" s="59">
        <v>0</v>
      </c>
      <c r="AN385" s="59">
        <v>0</v>
      </c>
      <c r="AO385" s="59"/>
      <c r="AP385" s="59"/>
      <c r="AQ385" s="59"/>
      <c r="AR385" s="59"/>
      <c r="AS385" s="59"/>
      <c r="AT385" s="59"/>
      <c r="AU385" s="59"/>
      <c r="AV385" s="59"/>
    </row>
    <row r="386" spans="1:48" s="77" customFormat="1" x14ac:dyDescent="0.2">
      <c r="A386" s="59" t="s">
        <v>4369</v>
      </c>
      <c r="B386" s="59" t="s">
        <v>4370</v>
      </c>
      <c r="C386" s="59">
        <v>7</v>
      </c>
      <c r="D386" s="59">
        <v>1</v>
      </c>
      <c r="E386" s="59" t="s">
        <v>213</v>
      </c>
      <c r="F386" s="60">
        <v>43692</v>
      </c>
      <c r="G386" s="59" t="s">
        <v>4031</v>
      </c>
      <c r="H386" s="61">
        <v>1.6666666666666666E-2</v>
      </c>
      <c r="I386" s="59" t="s">
        <v>4358</v>
      </c>
      <c r="J386" s="59" t="s">
        <v>176</v>
      </c>
      <c r="K386" s="59" t="s">
        <v>111</v>
      </c>
      <c r="L386" s="59" t="s">
        <v>23</v>
      </c>
      <c r="M386" s="59">
        <v>1</v>
      </c>
      <c r="N386" s="59">
        <v>0</v>
      </c>
      <c r="O386" s="59">
        <v>1</v>
      </c>
      <c r="P386" s="59" t="s">
        <v>176</v>
      </c>
      <c r="Q386" s="59" t="s">
        <v>176</v>
      </c>
      <c r="R386" s="59" t="s">
        <v>176</v>
      </c>
      <c r="S386" s="59" t="s">
        <v>4168</v>
      </c>
      <c r="T386" s="59" t="s">
        <v>23</v>
      </c>
      <c r="U386" s="59" t="s">
        <v>3997</v>
      </c>
      <c r="V386" s="59" t="s">
        <v>4022</v>
      </c>
      <c r="W386" s="59"/>
      <c r="X386" s="59">
        <v>208</v>
      </c>
      <c r="Y386" s="59" t="s">
        <v>176</v>
      </c>
      <c r="Z386" s="62">
        <v>63.717779999999998</v>
      </c>
      <c r="AA386" s="62">
        <v>148.97417999999999</v>
      </c>
      <c r="AB386" s="62">
        <f t="shared" ref="AB386:AB449" si="6">Z386+AA386</f>
        <v>212.69195999999999</v>
      </c>
      <c r="AC386" s="117">
        <v>1</v>
      </c>
      <c r="AD386" s="117" t="s">
        <v>4765</v>
      </c>
      <c r="AE386" s="59" t="s">
        <v>115</v>
      </c>
      <c r="AF386" s="59" t="s">
        <v>115</v>
      </c>
      <c r="AG386" s="59" t="s">
        <v>115</v>
      </c>
      <c r="AH386" s="59">
        <v>0</v>
      </c>
      <c r="AI386" s="59">
        <v>0</v>
      </c>
      <c r="AJ386" s="59">
        <v>0</v>
      </c>
      <c r="AK386" s="59">
        <v>0</v>
      </c>
      <c r="AL386" s="59">
        <v>0</v>
      </c>
      <c r="AM386" s="59">
        <v>0</v>
      </c>
      <c r="AN386" s="59">
        <v>0</v>
      </c>
      <c r="AO386" s="59"/>
      <c r="AP386" s="59"/>
      <c r="AQ386" s="59"/>
      <c r="AR386" s="59"/>
      <c r="AS386" s="59"/>
      <c r="AT386" s="59"/>
      <c r="AU386" s="59"/>
      <c r="AV386" s="59"/>
    </row>
    <row r="387" spans="1:48" s="77" customFormat="1" x14ac:dyDescent="0.2">
      <c r="A387" s="59" t="s">
        <v>4383</v>
      </c>
      <c r="B387" s="59" t="s">
        <v>4384</v>
      </c>
      <c r="C387" s="59">
        <v>13</v>
      </c>
      <c r="D387" s="59">
        <v>1</v>
      </c>
      <c r="E387" s="59" t="s">
        <v>213</v>
      </c>
      <c r="F387" s="60">
        <v>43692</v>
      </c>
      <c r="G387" s="59" t="s">
        <v>4031</v>
      </c>
      <c r="H387" s="61">
        <v>6.3194444444444442E-2</v>
      </c>
      <c r="I387" s="59" t="s">
        <v>4358</v>
      </c>
      <c r="J387" s="59" t="s">
        <v>4258</v>
      </c>
      <c r="K387" s="59" t="s">
        <v>111</v>
      </c>
      <c r="L387" s="59" t="s">
        <v>23</v>
      </c>
      <c r="M387" s="59">
        <v>0</v>
      </c>
      <c r="N387" s="59">
        <v>0</v>
      </c>
      <c r="O387" s="59">
        <v>1</v>
      </c>
      <c r="P387" s="59" t="s">
        <v>176</v>
      </c>
      <c r="Q387" s="59" t="s">
        <v>176</v>
      </c>
      <c r="R387" s="59" t="s">
        <v>122</v>
      </c>
      <c r="S387" s="59" t="s">
        <v>4386</v>
      </c>
      <c r="T387" s="59" t="s">
        <v>23</v>
      </c>
      <c r="U387" s="59" t="s">
        <v>3997</v>
      </c>
      <c r="V387" s="59" t="s">
        <v>3810</v>
      </c>
      <c r="W387" s="59"/>
      <c r="X387" s="59">
        <v>222</v>
      </c>
      <c r="Y387" s="59">
        <v>20</v>
      </c>
      <c r="Z387" s="62">
        <v>63.718119999999999</v>
      </c>
      <c r="AA387" s="62">
        <v>148.97382999999999</v>
      </c>
      <c r="AB387" s="62">
        <f t="shared" si="6"/>
        <v>212.69194999999999</v>
      </c>
      <c r="AC387" s="117">
        <v>1</v>
      </c>
      <c r="AD387" s="117" t="s">
        <v>4765</v>
      </c>
      <c r="AE387" s="59" t="s">
        <v>115</v>
      </c>
      <c r="AF387" s="59" t="s">
        <v>115</v>
      </c>
      <c r="AG387" s="59" t="s">
        <v>115</v>
      </c>
      <c r="AH387" s="59">
        <v>0</v>
      </c>
      <c r="AI387" s="59">
        <v>0</v>
      </c>
      <c r="AJ387" s="59">
        <v>0</v>
      </c>
      <c r="AK387" s="59">
        <v>0</v>
      </c>
      <c r="AL387" s="59">
        <v>0</v>
      </c>
      <c r="AM387" s="59">
        <v>0</v>
      </c>
      <c r="AN387" s="59">
        <v>0</v>
      </c>
      <c r="AO387" s="59"/>
      <c r="AP387" s="59"/>
      <c r="AQ387" s="59"/>
      <c r="AR387" s="59"/>
      <c r="AS387" s="59"/>
      <c r="AT387" s="59"/>
      <c r="AU387" s="59"/>
      <c r="AV387" s="59"/>
    </row>
    <row r="388" spans="1:48" s="82" customFormat="1" x14ac:dyDescent="0.2">
      <c r="A388" s="59" t="s">
        <v>4363</v>
      </c>
      <c r="B388" s="59" t="s">
        <v>4364</v>
      </c>
      <c r="C388" s="59">
        <v>3</v>
      </c>
      <c r="D388" s="59">
        <v>1</v>
      </c>
      <c r="E388" s="59" t="s">
        <v>213</v>
      </c>
      <c r="F388" s="60">
        <v>43692</v>
      </c>
      <c r="G388" s="59" t="s">
        <v>4031</v>
      </c>
      <c r="H388" s="61">
        <v>3.8194444444444441E-2</v>
      </c>
      <c r="I388" s="59" t="s">
        <v>4358</v>
      </c>
      <c r="J388" s="59" t="s">
        <v>241</v>
      </c>
      <c r="K388" s="59" t="s">
        <v>111</v>
      </c>
      <c r="L388" s="59" t="s">
        <v>23</v>
      </c>
      <c r="M388" s="59">
        <v>1</v>
      </c>
      <c r="N388" s="59">
        <v>0</v>
      </c>
      <c r="O388" s="59">
        <v>1</v>
      </c>
      <c r="P388" s="59" t="s">
        <v>176</v>
      </c>
      <c r="Q388" s="59" t="s">
        <v>176</v>
      </c>
      <c r="R388" s="59" t="s">
        <v>176</v>
      </c>
      <c r="S388" s="59" t="s">
        <v>709</v>
      </c>
      <c r="T388" s="59" t="s">
        <v>23</v>
      </c>
      <c r="U388" s="59" t="s">
        <v>4004</v>
      </c>
      <c r="V388" s="59" t="s">
        <v>4022</v>
      </c>
      <c r="W388" s="59"/>
      <c r="X388" s="59">
        <v>243</v>
      </c>
      <c r="Y388" s="59" t="s">
        <v>176</v>
      </c>
      <c r="Z388" s="62">
        <v>63.718699999999998</v>
      </c>
      <c r="AA388" s="62">
        <v>148.97443000000001</v>
      </c>
      <c r="AB388" s="62">
        <f t="shared" si="6"/>
        <v>212.69313</v>
      </c>
      <c r="AC388" s="117"/>
      <c r="AD388" s="117"/>
      <c r="AE388" s="59" t="s">
        <v>115</v>
      </c>
      <c r="AF388" s="59" t="s">
        <v>115</v>
      </c>
      <c r="AG388" s="59" t="s">
        <v>115</v>
      </c>
      <c r="AH388" s="59">
        <v>0</v>
      </c>
      <c r="AI388" s="59">
        <v>0</v>
      </c>
      <c r="AJ388" s="59">
        <v>0</v>
      </c>
      <c r="AK388" s="59">
        <v>0</v>
      </c>
      <c r="AL388" s="59">
        <v>0</v>
      </c>
      <c r="AM388" s="59">
        <v>0</v>
      </c>
      <c r="AN388" s="59">
        <v>0</v>
      </c>
      <c r="AO388" s="59"/>
      <c r="AP388" s="59"/>
      <c r="AQ388" s="59"/>
      <c r="AR388" s="59"/>
      <c r="AS388" s="77"/>
      <c r="AT388" s="77"/>
      <c r="AU388" s="77"/>
      <c r="AV388" s="77"/>
    </row>
    <row r="389" spans="1:48" s="77" customFormat="1" x14ac:dyDescent="0.2">
      <c r="A389" s="59" t="s">
        <v>4362</v>
      </c>
      <c r="B389" s="59" t="s">
        <v>4361</v>
      </c>
      <c r="C389" s="59">
        <v>4</v>
      </c>
      <c r="D389" s="59">
        <v>1</v>
      </c>
      <c r="E389" s="59" t="s">
        <v>213</v>
      </c>
      <c r="F389" s="60">
        <v>43692</v>
      </c>
      <c r="G389" s="59" t="s">
        <v>4031</v>
      </c>
      <c r="H389" s="61">
        <v>8.3333333333333332E-3</v>
      </c>
      <c r="I389" s="59" t="s">
        <v>4358</v>
      </c>
      <c r="J389" s="59" t="s">
        <v>241</v>
      </c>
      <c r="K389" s="59" t="s">
        <v>111</v>
      </c>
      <c r="L389" s="59" t="s">
        <v>23</v>
      </c>
      <c r="M389" s="59">
        <v>1</v>
      </c>
      <c r="N389" s="59">
        <v>0</v>
      </c>
      <c r="O389" s="59">
        <v>1</v>
      </c>
      <c r="P389" s="59" t="s">
        <v>176</v>
      </c>
      <c r="Q389" s="59" t="s">
        <v>176</v>
      </c>
      <c r="R389" s="59" t="s">
        <v>122</v>
      </c>
      <c r="S389" s="59" t="s">
        <v>709</v>
      </c>
      <c r="T389" s="59" t="s">
        <v>23</v>
      </c>
      <c r="U389" s="59" t="s">
        <v>4004</v>
      </c>
      <c r="V389" s="59" t="s">
        <v>4022</v>
      </c>
      <c r="W389" s="59"/>
      <c r="X389" s="59">
        <v>265</v>
      </c>
      <c r="Y389" s="59" t="s">
        <v>176</v>
      </c>
      <c r="Z389" s="62">
        <v>63.718510000000002</v>
      </c>
      <c r="AA389" s="62">
        <v>148.97434999999999</v>
      </c>
      <c r="AB389" s="62">
        <f t="shared" si="6"/>
        <v>212.69286</v>
      </c>
      <c r="AC389" s="117"/>
      <c r="AD389" s="117"/>
      <c r="AE389" s="59" t="s">
        <v>115</v>
      </c>
      <c r="AF389" s="59" t="s">
        <v>115</v>
      </c>
      <c r="AG389" s="59" t="s">
        <v>115</v>
      </c>
      <c r="AH389" s="59">
        <v>0</v>
      </c>
      <c r="AI389" s="59">
        <v>0</v>
      </c>
      <c r="AJ389" s="59">
        <v>0</v>
      </c>
      <c r="AK389" s="59">
        <v>0</v>
      </c>
      <c r="AL389" s="59">
        <v>0</v>
      </c>
      <c r="AM389" s="59">
        <v>0</v>
      </c>
      <c r="AN389" s="59">
        <v>0</v>
      </c>
      <c r="AO389" s="59"/>
      <c r="AP389" s="59"/>
      <c r="AQ389" s="59"/>
      <c r="AR389" s="59"/>
      <c r="AS389" s="82"/>
      <c r="AT389" s="82"/>
      <c r="AU389" s="82"/>
      <c r="AV389" s="82"/>
    </row>
    <row r="390" spans="1:48" s="77" customFormat="1" x14ac:dyDescent="0.2">
      <c r="A390" s="59" t="s">
        <v>4373</v>
      </c>
      <c r="B390" s="59" t="s">
        <v>4374</v>
      </c>
      <c r="C390" s="59">
        <v>9</v>
      </c>
      <c r="D390" s="59">
        <v>1</v>
      </c>
      <c r="E390" s="59" t="s">
        <v>213</v>
      </c>
      <c r="F390" s="60">
        <v>43692</v>
      </c>
      <c r="G390" s="59" t="s">
        <v>4031</v>
      </c>
      <c r="H390" s="61">
        <v>2.361111111111111E-2</v>
      </c>
      <c r="I390" s="59" t="s">
        <v>4358</v>
      </c>
      <c r="J390" s="59" t="s">
        <v>4163</v>
      </c>
      <c r="K390" s="59" t="s">
        <v>111</v>
      </c>
      <c r="L390" s="59" t="s">
        <v>23</v>
      </c>
      <c r="M390" s="59">
        <v>0</v>
      </c>
      <c r="N390" s="59">
        <v>0</v>
      </c>
      <c r="O390" s="59">
        <v>1</v>
      </c>
      <c r="P390" s="59" t="s">
        <v>176</v>
      </c>
      <c r="Q390" s="59" t="s">
        <v>176</v>
      </c>
      <c r="R390" s="59" t="s">
        <v>176</v>
      </c>
      <c r="S390" s="59" t="s">
        <v>4295</v>
      </c>
      <c r="T390" s="59" t="s">
        <v>23</v>
      </c>
      <c r="U390" s="59" t="s">
        <v>4004</v>
      </c>
      <c r="V390" s="59" t="s">
        <v>4022</v>
      </c>
      <c r="W390" s="59"/>
      <c r="X390" s="59">
        <v>274</v>
      </c>
      <c r="Y390" s="59" t="s">
        <v>115</v>
      </c>
      <c r="Z390" s="62">
        <v>63.717779999999998</v>
      </c>
      <c r="AA390" s="62">
        <v>148.97417999999999</v>
      </c>
      <c r="AB390" s="62">
        <f t="shared" si="6"/>
        <v>212.69195999999999</v>
      </c>
      <c r="AC390" s="117">
        <v>1</v>
      </c>
      <c r="AD390" s="117" t="s">
        <v>4765</v>
      </c>
      <c r="AE390" s="59" t="s">
        <v>115</v>
      </c>
      <c r="AF390" s="59" t="s">
        <v>115</v>
      </c>
      <c r="AG390" s="59" t="s">
        <v>115</v>
      </c>
      <c r="AH390" s="59">
        <v>0</v>
      </c>
      <c r="AI390" s="59">
        <v>0</v>
      </c>
      <c r="AJ390" s="59">
        <v>0</v>
      </c>
      <c r="AK390" s="59">
        <v>0</v>
      </c>
      <c r="AL390" s="59">
        <v>0</v>
      </c>
      <c r="AM390" s="59">
        <v>0</v>
      </c>
      <c r="AN390" s="59">
        <v>0</v>
      </c>
      <c r="AO390" s="59"/>
      <c r="AP390" s="59"/>
      <c r="AQ390" s="59"/>
      <c r="AR390" s="59"/>
      <c r="AS390" s="59"/>
      <c r="AT390" s="59"/>
      <c r="AU390" s="59"/>
      <c r="AV390" s="59"/>
    </row>
    <row r="391" spans="1:48" s="82" customFormat="1" x14ac:dyDescent="0.2">
      <c r="A391" s="59" t="s">
        <v>4356</v>
      </c>
      <c r="B391" s="59" t="s">
        <v>4357</v>
      </c>
      <c r="C391" s="59">
        <v>1</v>
      </c>
      <c r="D391" s="59">
        <v>1</v>
      </c>
      <c r="E391" s="59" t="s">
        <v>213</v>
      </c>
      <c r="F391" s="60">
        <v>43692</v>
      </c>
      <c r="G391" s="59" t="s">
        <v>4031</v>
      </c>
      <c r="H391" s="61">
        <v>2.7083333333333334E-2</v>
      </c>
      <c r="I391" s="59" t="s">
        <v>4358</v>
      </c>
      <c r="J391" s="59" t="s">
        <v>1742</v>
      </c>
      <c r="K391" s="59" t="s">
        <v>111</v>
      </c>
      <c r="L391" s="59" t="s">
        <v>23</v>
      </c>
      <c r="M391" s="59">
        <v>1</v>
      </c>
      <c r="N391" s="59"/>
      <c r="O391" s="59">
        <v>1</v>
      </c>
      <c r="P391" s="59" t="s">
        <v>176</v>
      </c>
      <c r="Q391" s="59" t="s">
        <v>176</v>
      </c>
      <c r="R391" s="59" t="s">
        <v>122</v>
      </c>
      <c r="S391" s="59" t="s">
        <v>709</v>
      </c>
      <c r="T391" s="59" t="s">
        <v>23</v>
      </c>
      <c r="U391" s="59" t="s">
        <v>4004</v>
      </c>
      <c r="V391" s="59" t="s">
        <v>4022</v>
      </c>
      <c r="W391" s="59"/>
      <c r="X391" s="59">
        <v>288</v>
      </c>
      <c r="Y391" s="59" t="s">
        <v>176</v>
      </c>
      <c r="Z391" s="62">
        <v>63.73507</v>
      </c>
      <c r="AA391" s="62">
        <v>148.91918999999999</v>
      </c>
      <c r="AB391" s="62">
        <f t="shared" si="6"/>
        <v>212.65425999999999</v>
      </c>
      <c r="AC391" s="117"/>
      <c r="AD391" s="117"/>
      <c r="AE391" s="59" t="s">
        <v>115</v>
      </c>
      <c r="AF391" s="59" t="s">
        <v>115</v>
      </c>
      <c r="AG391" s="59" t="s">
        <v>115</v>
      </c>
      <c r="AH391" s="59">
        <v>0</v>
      </c>
      <c r="AI391" s="59">
        <v>0</v>
      </c>
      <c r="AJ391" s="59">
        <v>0</v>
      </c>
      <c r="AK391" s="59">
        <v>0</v>
      </c>
      <c r="AL391" s="59">
        <v>0</v>
      </c>
      <c r="AM391" s="59">
        <v>0</v>
      </c>
      <c r="AN391" s="59">
        <v>0</v>
      </c>
      <c r="AO391" s="59"/>
      <c r="AP391" s="59"/>
      <c r="AQ391" s="59"/>
      <c r="AR391" s="59"/>
      <c r="AS391" s="77"/>
      <c r="AT391" s="77"/>
      <c r="AU391" s="77"/>
      <c r="AV391" s="77"/>
    </row>
    <row r="392" spans="1:48" s="77" customFormat="1" x14ac:dyDescent="0.2">
      <c r="A392" s="59" t="s">
        <v>4379</v>
      </c>
      <c r="B392" s="59" t="s">
        <v>4380</v>
      </c>
      <c r="C392" s="59">
        <v>11</v>
      </c>
      <c r="D392" s="59">
        <v>1</v>
      </c>
      <c r="E392" s="59" t="s">
        <v>213</v>
      </c>
      <c r="F392" s="64">
        <v>43692</v>
      </c>
      <c r="G392" s="59" t="s">
        <v>4031</v>
      </c>
      <c r="H392" s="61">
        <v>2.1527777777777781E-2</v>
      </c>
      <c r="I392" s="59" t="s">
        <v>4358</v>
      </c>
      <c r="J392" s="59" t="s">
        <v>4258</v>
      </c>
      <c r="K392" s="59" t="s">
        <v>111</v>
      </c>
      <c r="L392" s="59" t="s">
        <v>23</v>
      </c>
      <c r="M392" s="59">
        <v>0</v>
      </c>
      <c r="N392" s="59">
        <v>0</v>
      </c>
      <c r="O392" s="59">
        <v>1</v>
      </c>
      <c r="P392" s="59" t="s">
        <v>176</v>
      </c>
      <c r="Q392" s="59" t="s">
        <v>176</v>
      </c>
      <c r="R392" s="59" t="s">
        <v>122</v>
      </c>
      <c r="S392" s="59" t="s">
        <v>4168</v>
      </c>
      <c r="T392" s="59" t="s">
        <v>23</v>
      </c>
      <c r="U392" s="59" t="s">
        <v>3997</v>
      </c>
      <c r="V392" s="59" t="s">
        <v>4022</v>
      </c>
      <c r="W392" s="59"/>
      <c r="X392" s="59">
        <v>321</v>
      </c>
      <c r="Y392" s="59">
        <v>7</v>
      </c>
      <c r="Z392" s="62">
        <v>63.717759999999998</v>
      </c>
      <c r="AA392" s="62">
        <v>148.97272000000001</v>
      </c>
      <c r="AB392" s="62">
        <f t="shared" si="6"/>
        <v>212.69048000000001</v>
      </c>
      <c r="AC392" s="117"/>
      <c r="AD392" s="117"/>
      <c r="AE392" s="59" t="s">
        <v>115</v>
      </c>
      <c r="AF392" s="59" t="s">
        <v>115</v>
      </c>
      <c r="AG392" s="59" t="s">
        <v>115</v>
      </c>
      <c r="AH392" s="59">
        <v>0</v>
      </c>
      <c r="AI392" s="59">
        <v>0</v>
      </c>
      <c r="AJ392" s="59">
        <v>0</v>
      </c>
      <c r="AK392" s="59">
        <v>0</v>
      </c>
      <c r="AL392" s="59">
        <v>0</v>
      </c>
      <c r="AM392" s="59">
        <v>0</v>
      </c>
      <c r="AN392" s="59">
        <v>0</v>
      </c>
      <c r="AO392" s="59"/>
      <c r="AP392" s="59"/>
      <c r="AQ392" s="59"/>
      <c r="AR392" s="59"/>
      <c r="AS392" s="82"/>
      <c r="AT392" s="82"/>
      <c r="AU392" s="82"/>
      <c r="AV392" s="82"/>
    </row>
    <row r="393" spans="1:48" s="77" customFormat="1" x14ac:dyDescent="0.2">
      <c r="A393" s="59" t="s">
        <v>4375</v>
      </c>
      <c r="B393" s="59" t="s">
        <v>4376</v>
      </c>
      <c r="C393" s="59">
        <v>10</v>
      </c>
      <c r="D393" s="59">
        <v>1</v>
      </c>
      <c r="E393" s="59" t="s">
        <v>213</v>
      </c>
      <c r="F393" s="60">
        <v>43692</v>
      </c>
      <c r="G393" s="59" t="s">
        <v>4031</v>
      </c>
      <c r="H393" s="61">
        <v>2.2916666666666669E-2</v>
      </c>
      <c r="I393" s="59" t="s">
        <v>4358</v>
      </c>
      <c r="J393" s="59" t="s">
        <v>4377</v>
      </c>
      <c r="K393" s="59" t="s">
        <v>111</v>
      </c>
      <c r="L393" s="59" t="s">
        <v>23</v>
      </c>
      <c r="M393" s="59">
        <v>0</v>
      </c>
      <c r="N393" s="59">
        <v>0</v>
      </c>
      <c r="O393" s="59">
        <v>1</v>
      </c>
      <c r="P393" s="59" t="s">
        <v>176</v>
      </c>
      <c r="Q393" s="59" t="s">
        <v>176</v>
      </c>
      <c r="R393" s="59" t="s">
        <v>176</v>
      </c>
      <c r="S393" s="59" t="s">
        <v>4168</v>
      </c>
      <c r="T393" s="59" t="s">
        <v>23</v>
      </c>
      <c r="U393" s="59" t="s">
        <v>3997</v>
      </c>
      <c r="V393" s="59" t="s">
        <v>4022</v>
      </c>
      <c r="W393" s="59"/>
      <c r="X393" s="59" t="s">
        <v>176</v>
      </c>
      <c r="Y393" s="59" t="s">
        <v>176</v>
      </c>
      <c r="Z393" s="59" t="s">
        <v>176</v>
      </c>
      <c r="AA393" s="59" t="s">
        <v>176</v>
      </c>
      <c r="AB393" s="62" t="e">
        <f t="shared" si="6"/>
        <v>#VALUE!</v>
      </c>
      <c r="AC393" s="117"/>
      <c r="AD393" s="117"/>
      <c r="AE393" s="59" t="s">
        <v>115</v>
      </c>
      <c r="AF393" s="59" t="s">
        <v>115</v>
      </c>
      <c r="AG393" s="59" t="s">
        <v>115</v>
      </c>
      <c r="AH393" s="59">
        <v>0</v>
      </c>
      <c r="AI393" s="59">
        <v>0</v>
      </c>
      <c r="AJ393" s="59">
        <v>0</v>
      </c>
      <c r="AK393" s="59">
        <v>0</v>
      </c>
      <c r="AL393" s="59">
        <v>0</v>
      </c>
      <c r="AM393" s="59">
        <v>0</v>
      </c>
      <c r="AN393" s="59">
        <v>0</v>
      </c>
      <c r="AO393" s="59"/>
      <c r="AP393" s="59" t="s">
        <v>4378</v>
      </c>
      <c r="AQ393" s="59"/>
      <c r="AR393" s="59"/>
    </row>
    <row r="394" spans="1:48" s="82" customFormat="1" x14ac:dyDescent="0.2">
      <c r="A394" s="59" t="s">
        <v>4387</v>
      </c>
      <c r="B394" s="59" t="s">
        <v>4388</v>
      </c>
      <c r="C394" s="59">
        <v>1</v>
      </c>
      <c r="D394" s="59">
        <v>1</v>
      </c>
      <c r="E394" s="59" t="s">
        <v>138</v>
      </c>
      <c r="F394" s="60">
        <v>43693</v>
      </c>
      <c r="G394" s="59" t="s">
        <v>4031</v>
      </c>
      <c r="H394" s="61">
        <v>1.6666666666666666E-2</v>
      </c>
      <c r="I394" s="59" t="s">
        <v>4358</v>
      </c>
      <c r="J394" s="59" t="s">
        <v>176</v>
      </c>
      <c r="K394" s="59" t="s">
        <v>111</v>
      </c>
      <c r="L394" s="59" t="s">
        <v>23</v>
      </c>
      <c r="M394" s="59">
        <v>1</v>
      </c>
      <c r="N394" s="59">
        <v>0</v>
      </c>
      <c r="O394" s="59">
        <v>1</v>
      </c>
      <c r="P394" s="59" t="s">
        <v>176</v>
      </c>
      <c r="Q394" s="59" t="s">
        <v>176</v>
      </c>
      <c r="R394" s="59" t="s">
        <v>176</v>
      </c>
      <c r="S394" s="59" t="s">
        <v>4386</v>
      </c>
      <c r="T394" s="59" t="s">
        <v>23</v>
      </c>
      <c r="U394" s="59" t="s">
        <v>3999</v>
      </c>
      <c r="V394" s="59" t="s">
        <v>176</v>
      </c>
      <c r="W394" s="59"/>
      <c r="X394" s="59">
        <v>169</v>
      </c>
      <c r="Y394" s="59" t="s">
        <v>176</v>
      </c>
      <c r="Z394" s="62">
        <v>63.72495</v>
      </c>
      <c r="AA394" s="62">
        <v>148.95622</v>
      </c>
      <c r="AB394" s="62">
        <f t="shared" si="6"/>
        <v>212.68117000000001</v>
      </c>
      <c r="AC394" s="117"/>
      <c r="AD394" s="117"/>
      <c r="AE394" s="59" t="s">
        <v>115</v>
      </c>
      <c r="AF394" s="59" t="s">
        <v>115</v>
      </c>
      <c r="AG394" s="59" t="s">
        <v>115</v>
      </c>
      <c r="AH394" s="59">
        <v>0</v>
      </c>
      <c r="AI394" s="59">
        <v>0</v>
      </c>
      <c r="AJ394" s="59">
        <v>0</v>
      </c>
      <c r="AK394" s="59">
        <v>0</v>
      </c>
      <c r="AL394" s="59">
        <v>0</v>
      </c>
      <c r="AM394" s="59">
        <v>0</v>
      </c>
      <c r="AN394" s="59">
        <v>0</v>
      </c>
      <c r="AO394" s="59"/>
      <c r="AP394" s="59"/>
      <c r="AQ394" s="59"/>
      <c r="AR394" s="59"/>
      <c r="AS394" s="77"/>
      <c r="AT394" s="77"/>
      <c r="AU394" s="77"/>
      <c r="AV394" s="77"/>
    </row>
    <row r="395" spans="1:48" s="77" customFormat="1" x14ac:dyDescent="0.2">
      <c r="A395" s="59" t="s">
        <v>4418</v>
      </c>
      <c r="B395" s="59" t="s">
        <v>4419</v>
      </c>
      <c r="C395" s="59">
        <v>5</v>
      </c>
      <c r="D395" s="59">
        <v>1</v>
      </c>
      <c r="E395" s="59" t="s">
        <v>395</v>
      </c>
      <c r="F395" s="60">
        <v>43694</v>
      </c>
      <c r="G395" s="59" t="s">
        <v>4031</v>
      </c>
      <c r="H395" s="61">
        <v>1.8749999999999999E-2</v>
      </c>
      <c r="I395" s="59" t="s">
        <v>398</v>
      </c>
      <c r="J395" s="59" t="s">
        <v>4250</v>
      </c>
      <c r="K395" s="59" t="s">
        <v>568</v>
      </c>
      <c r="L395" s="59" t="s">
        <v>23</v>
      </c>
      <c r="M395" s="59">
        <v>0</v>
      </c>
      <c r="N395" s="59">
        <v>0</v>
      </c>
      <c r="O395" s="59">
        <v>1</v>
      </c>
      <c r="P395" s="59" t="s">
        <v>112</v>
      </c>
      <c r="Q395" s="59" t="s">
        <v>4329</v>
      </c>
      <c r="R395" s="59" t="s">
        <v>122</v>
      </c>
      <c r="S395" s="59" t="s">
        <v>4385</v>
      </c>
      <c r="T395" s="59" t="s">
        <v>23</v>
      </c>
      <c r="U395" s="59" t="s">
        <v>3997</v>
      </c>
      <c r="V395" s="59" t="s">
        <v>4420</v>
      </c>
      <c r="W395" s="59"/>
      <c r="X395" s="59">
        <v>28</v>
      </c>
      <c r="Y395" s="59">
        <v>2</v>
      </c>
      <c r="Z395" s="62">
        <v>63.721559999999997</v>
      </c>
      <c r="AA395" s="62">
        <v>148.98737</v>
      </c>
      <c r="AB395" s="62">
        <f t="shared" si="6"/>
        <v>212.70893000000001</v>
      </c>
      <c r="AC395" s="117">
        <v>1</v>
      </c>
      <c r="AD395" s="117"/>
      <c r="AE395" s="59" t="s">
        <v>115</v>
      </c>
      <c r="AF395" s="59" t="s">
        <v>115</v>
      </c>
      <c r="AG395" s="59" t="s">
        <v>115</v>
      </c>
      <c r="AH395" s="59">
        <v>0</v>
      </c>
      <c r="AI395" s="59">
        <v>0</v>
      </c>
      <c r="AJ395" s="59">
        <v>0</v>
      </c>
      <c r="AK395" s="59">
        <v>0</v>
      </c>
      <c r="AL395" s="59">
        <v>6</v>
      </c>
      <c r="AM395" s="59">
        <v>0</v>
      </c>
      <c r="AN395" s="59">
        <v>6</v>
      </c>
      <c r="AO395" s="59"/>
      <c r="AP395" s="59" t="s">
        <v>4421</v>
      </c>
      <c r="AQ395" s="59"/>
      <c r="AR395" s="59"/>
      <c r="AS395" s="59"/>
      <c r="AT395" s="59"/>
      <c r="AU395" s="59"/>
      <c r="AV395" s="59"/>
    </row>
    <row r="396" spans="1:48" s="77" customFormat="1" x14ac:dyDescent="0.2">
      <c r="A396" s="59" t="s">
        <v>4433</v>
      </c>
      <c r="B396" s="59" t="s">
        <v>4435</v>
      </c>
      <c r="C396" s="59">
        <v>1</v>
      </c>
      <c r="D396" s="59">
        <v>2</v>
      </c>
      <c r="E396" s="59" t="s">
        <v>2537</v>
      </c>
      <c r="F396" s="60">
        <v>43694</v>
      </c>
      <c r="G396" s="59" t="s">
        <v>4031</v>
      </c>
      <c r="H396" s="61">
        <v>3.1944444444444449E-2</v>
      </c>
      <c r="I396" s="59" t="s">
        <v>398</v>
      </c>
      <c r="J396" s="59" t="s">
        <v>241</v>
      </c>
      <c r="K396" s="59" t="s">
        <v>568</v>
      </c>
      <c r="L396" s="59" t="s">
        <v>23</v>
      </c>
      <c r="M396" s="59">
        <v>1</v>
      </c>
      <c r="N396" s="59">
        <v>0</v>
      </c>
      <c r="O396" s="59">
        <v>1</v>
      </c>
      <c r="P396" s="59" t="s">
        <v>176</v>
      </c>
      <c r="Q396" s="59" t="s">
        <v>176</v>
      </c>
      <c r="R396" s="59" t="s">
        <v>2300</v>
      </c>
      <c r="S396" s="59" t="s">
        <v>4236</v>
      </c>
      <c r="T396" s="59" t="s">
        <v>23</v>
      </c>
      <c r="U396" s="59" t="s">
        <v>3999</v>
      </c>
      <c r="V396" s="59" t="s">
        <v>4434</v>
      </c>
      <c r="W396" s="59"/>
      <c r="X396" s="59">
        <v>47</v>
      </c>
      <c r="Y396" s="59">
        <v>0</v>
      </c>
      <c r="Z396" s="62">
        <v>63.7318</v>
      </c>
      <c r="AA396" s="62">
        <v>148.90195</v>
      </c>
      <c r="AB396" s="62">
        <f t="shared" si="6"/>
        <v>212.63374999999999</v>
      </c>
      <c r="AC396" s="117"/>
      <c r="AD396" s="117"/>
      <c r="AE396" s="59" t="s">
        <v>115</v>
      </c>
      <c r="AF396" s="59" t="s">
        <v>115</v>
      </c>
      <c r="AG396" s="59" t="s">
        <v>115</v>
      </c>
      <c r="AH396" s="59">
        <v>0</v>
      </c>
      <c r="AI396" s="59">
        <v>0</v>
      </c>
      <c r="AJ396" s="59">
        <v>0</v>
      </c>
      <c r="AK396" s="59">
        <v>0</v>
      </c>
      <c r="AL396" s="59">
        <v>4</v>
      </c>
      <c r="AM396" s="59">
        <v>0</v>
      </c>
      <c r="AN396" s="59">
        <v>4</v>
      </c>
      <c r="AO396" s="59"/>
      <c r="AP396" s="59"/>
      <c r="AQ396" s="59"/>
      <c r="AR396" s="59"/>
      <c r="AS396" s="72"/>
      <c r="AT396" s="72"/>
      <c r="AU396" s="72"/>
      <c r="AV396" s="72"/>
    </row>
    <row r="397" spans="1:48" s="82" customFormat="1" x14ac:dyDescent="0.2">
      <c r="A397" s="59" t="s">
        <v>4410</v>
      </c>
      <c r="B397" s="59" t="s">
        <v>4409</v>
      </c>
      <c r="C397" s="59">
        <v>1</v>
      </c>
      <c r="D397" s="59">
        <v>1</v>
      </c>
      <c r="E397" s="59" t="s">
        <v>395</v>
      </c>
      <c r="F397" s="60">
        <v>43694</v>
      </c>
      <c r="G397" s="59" t="s">
        <v>4031</v>
      </c>
      <c r="H397" s="61">
        <v>4.3055555555555562E-2</v>
      </c>
      <c r="I397" s="59" t="s">
        <v>398</v>
      </c>
      <c r="J397" s="59" t="s">
        <v>4411</v>
      </c>
      <c r="K397" s="59" t="s">
        <v>4412</v>
      </c>
      <c r="L397" s="59" t="s">
        <v>23</v>
      </c>
      <c r="M397" s="59">
        <v>1</v>
      </c>
      <c r="N397" s="59">
        <v>0</v>
      </c>
      <c r="O397" s="59">
        <v>1</v>
      </c>
      <c r="P397" s="59" t="s">
        <v>176</v>
      </c>
      <c r="Q397" s="59" t="s">
        <v>176</v>
      </c>
      <c r="R397" s="59" t="s">
        <v>176</v>
      </c>
      <c r="S397" s="59" t="s">
        <v>709</v>
      </c>
      <c r="T397" s="59" t="s">
        <v>23</v>
      </c>
      <c r="U397" s="59" t="s">
        <v>4004</v>
      </c>
      <c r="V397" s="59" t="s">
        <v>4022</v>
      </c>
      <c r="W397" s="59"/>
      <c r="X397" s="59">
        <v>79</v>
      </c>
      <c r="Y397" s="59" t="s">
        <v>176</v>
      </c>
      <c r="Z397" s="62">
        <v>63.719410000000003</v>
      </c>
      <c r="AA397" s="62">
        <v>148.98576</v>
      </c>
      <c r="AB397" s="62">
        <f t="shared" si="6"/>
        <v>212.70517000000001</v>
      </c>
      <c r="AC397" s="117"/>
      <c r="AD397" s="117"/>
      <c r="AE397" s="59" t="s">
        <v>115</v>
      </c>
      <c r="AF397" s="59" t="s">
        <v>115</v>
      </c>
      <c r="AG397" s="59" t="s">
        <v>115</v>
      </c>
      <c r="AH397" s="59">
        <v>0</v>
      </c>
      <c r="AI397" s="59">
        <v>0</v>
      </c>
      <c r="AJ397" s="59">
        <v>0</v>
      </c>
      <c r="AK397" s="59">
        <v>0</v>
      </c>
      <c r="AL397" s="59">
        <v>0</v>
      </c>
      <c r="AM397" s="59">
        <v>0</v>
      </c>
      <c r="AN397" s="59">
        <v>0</v>
      </c>
      <c r="AO397" s="59"/>
      <c r="AP397" s="59"/>
      <c r="AQ397" s="59"/>
      <c r="AR397" s="59"/>
    </row>
    <row r="398" spans="1:48" s="82" customFormat="1" x14ac:dyDescent="0.2">
      <c r="A398" s="59" t="s">
        <v>4405</v>
      </c>
      <c r="B398" s="59" t="s">
        <v>4406</v>
      </c>
      <c r="C398" s="59">
        <v>4</v>
      </c>
      <c r="D398" s="59">
        <v>1</v>
      </c>
      <c r="E398" s="59" t="s">
        <v>1716</v>
      </c>
      <c r="F398" s="60">
        <v>43694</v>
      </c>
      <c r="G398" s="59" t="s">
        <v>4031</v>
      </c>
      <c r="H398" s="61">
        <v>3.888888888888889E-2</v>
      </c>
      <c r="I398" s="59" t="s">
        <v>398</v>
      </c>
      <c r="J398" s="59" t="s">
        <v>4399</v>
      </c>
      <c r="K398" s="59" t="s">
        <v>568</v>
      </c>
      <c r="L398" s="59" t="s">
        <v>23</v>
      </c>
      <c r="M398" s="59">
        <v>1</v>
      </c>
      <c r="N398" s="59">
        <v>0</v>
      </c>
      <c r="O398" s="59">
        <v>1</v>
      </c>
      <c r="P398" s="59" t="s">
        <v>461</v>
      </c>
      <c r="Q398" s="59" t="s">
        <v>4398</v>
      </c>
      <c r="R398" s="59" t="s">
        <v>122</v>
      </c>
      <c r="S398" s="59" t="s">
        <v>2300</v>
      </c>
      <c r="T398" s="59" t="s">
        <v>23</v>
      </c>
      <c r="U398" s="59" t="s">
        <v>3997</v>
      </c>
      <c r="V398" s="59" t="s">
        <v>4006</v>
      </c>
      <c r="W398" s="59"/>
      <c r="X398" s="59">
        <v>147</v>
      </c>
      <c r="Y398" s="59">
        <v>17</v>
      </c>
      <c r="Z398" s="62">
        <v>63.719070000000002</v>
      </c>
      <c r="AA398" s="62">
        <v>148.98415</v>
      </c>
      <c r="AB398" s="62">
        <f t="shared" si="6"/>
        <v>212.70321999999999</v>
      </c>
      <c r="AC398" s="117"/>
      <c r="AD398" s="117"/>
      <c r="AE398" s="59" t="s">
        <v>115</v>
      </c>
      <c r="AF398" s="59" t="s">
        <v>115</v>
      </c>
      <c r="AG398" s="59" t="s">
        <v>115</v>
      </c>
      <c r="AH398" s="59">
        <v>0</v>
      </c>
      <c r="AI398" s="59">
        <v>0</v>
      </c>
      <c r="AJ398" s="59">
        <v>0</v>
      </c>
      <c r="AK398" s="59">
        <v>0</v>
      </c>
      <c r="AL398" s="59">
        <v>22</v>
      </c>
      <c r="AM398" s="59">
        <v>9</v>
      </c>
      <c r="AN398" s="59">
        <v>31</v>
      </c>
      <c r="AO398" s="59"/>
      <c r="AP398" s="59"/>
      <c r="AQ398" s="59"/>
      <c r="AR398" s="59"/>
      <c r="AS398" s="77"/>
      <c r="AT398" s="77"/>
      <c r="AU398" s="77"/>
      <c r="AV398" s="77"/>
    </row>
    <row r="399" spans="1:48" s="82" customFormat="1" x14ac:dyDescent="0.2">
      <c r="A399" s="59"/>
      <c r="B399" s="59" t="s">
        <v>4425</v>
      </c>
      <c r="C399" s="59"/>
      <c r="D399" s="59"/>
      <c r="E399" s="59" t="s">
        <v>395</v>
      </c>
      <c r="F399" s="60">
        <v>43694</v>
      </c>
      <c r="G399" s="59" t="s">
        <v>4031</v>
      </c>
      <c r="H399" s="59"/>
      <c r="I399" s="59"/>
      <c r="J399" s="59" t="s">
        <v>4250</v>
      </c>
      <c r="K399" s="59" t="s">
        <v>111</v>
      </c>
      <c r="L399" s="59" t="s">
        <v>23</v>
      </c>
      <c r="M399" s="59">
        <v>0</v>
      </c>
      <c r="N399" s="59">
        <v>0</v>
      </c>
      <c r="O399" s="59">
        <v>1</v>
      </c>
      <c r="P399" s="59" t="s">
        <v>112</v>
      </c>
      <c r="Q399" s="59" t="s">
        <v>4329</v>
      </c>
      <c r="R399" s="59" t="s">
        <v>122</v>
      </c>
      <c r="S399" s="59" t="s">
        <v>4385</v>
      </c>
      <c r="T399" s="59" t="s">
        <v>23</v>
      </c>
      <c r="U399" s="59" t="s">
        <v>3997</v>
      </c>
      <c r="V399" s="59" t="s">
        <v>4420</v>
      </c>
      <c r="W399" s="59"/>
      <c r="X399" s="59">
        <v>148</v>
      </c>
      <c r="Y399" s="59">
        <v>2</v>
      </c>
      <c r="Z399" s="62">
        <v>63.721739999999997</v>
      </c>
      <c r="AA399" s="62">
        <v>148.98727</v>
      </c>
      <c r="AB399" s="62">
        <f t="shared" si="6"/>
        <v>212.70900999999998</v>
      </c>
      <c r="AC399" s="117"/>
      <c r="AD399" s="117"/>
      <c r="AE399" s="59" t="s">
        <v>115</v>
      </c>
      <c r="AF399" s="59" t="s">
        <v>115</v>
      </c>
      <c r="AG399" s="59" t="s">
        <v>115</v>
      </c>
      <c r="AH399" s="59">
        <v>0</v>
      </c>
      <c r="AI399" s="59">
        <v>0</v>
      </c>
      <c r="AJ399" s="59">
        <v>0</v>
      </c>
      <c r="AK399" s="59">
        <v>0</v>
      </c>
      <c r="AL399" s="59">
        <v>0</v>
      </c>
      <c r="AM399" s="59">
        <v>0</v>
      </c>
      <c r="AN399" s="59">
        <v>0</v>
      </c>
      <c r="AO399" s="59"/>
      <c r="AP399" s="59" t="s">
        <v>4426</v>
      </c>
      <c r="AQ399" s="59"/>
      <c r="AR399" s="59"/>
    </row>
    <row r="400" spans="1:48" s="77" customFormat="1" x14ac:dyDescent="0.2">
      <c r="A400" s="59" t="s">
        <v>4428</v>
      </c>
      <c r="B400" s="59" t="s">
        <v>4429</v>
      </c>
      <c r="C400" s="59">
        <v>7</v>
      </c>
      <c r="D400" s="59">
        <v>1</v>
      </c>
      <c r="E400" s="59" t="s">
        <v>395</v>
      </c>
      <c r="F400" s="60">
        <v>43694</v>
      </c>
      <c r="G400" s="59" t="s">
        <v>4031</v>
      </c>
      <c r="H400" s="61">
        <v>2.8472222222222222E-2</v>
      </c>
      <c r="I400" s="59" t="s">
        <v>398</v>
      </c>
      <c r="J400" s="59" t="s">
        <v>4250</v>
      </c>
      <c r="K400" s="59" t="s">
        <v>568</v>
      </c>
      <c r="L400" s="59" t="s">
        <v>1196</v>
      </c>
      <c r="M400" s="59">
        <v>1</v>
      </c>
      <c r="N400" s="59">
        <v>0</v>
      </c>
      <c r="O400" s="59">
        <v>1</v>
      </c>
      <c r="P400" s="59" t="s">
        <v>112</v>
      </c>
      <c r="Q400" s="59" t="s">
        <v>4319</v>
      </c>
      <c r="R400" s="59" t="s">
        <v>122</v>
      </c>
      <c r="S400" s="59" t="s">
        <v>4427</v>
      </c>
      <c r="T400" s="59" t="s">
        <v>1196</v>
      </c>
      <c r="U400" s="59" t="s">
        <v>3997</v>
      </c>
      <c r="V400" s="59" t="s">
        <v>4420</v>
      </c>
      <c r="W400" s="59"/>
      <c r="X400" s="59">
        <v>156</v>
      </c>
      <c r="Y400" s="59">
        <v>4</v>
      </c>
      <c r="Z400" s="59"/>
      <c r="AA400" s="59"/>
      <c r="AB400" s="62">
        <f t="shared" si="6"/>
        <v>0</v>
      </c>
      <c r="AC400" s="117"/>
      <c r="AD400" s="117"/>
      <c r="AE400" s="59" t="s">
        <v>115</v>
      </c>
      <c r="AF400" s="59" t="s">
        <v>115</v>
      </c>
      <c r="AG400" s="59" t="s">
        <v>115</v>
      </c>
      <c r="AH400" s="59">
        <v>0</v>
      </c>
      <c r="AI400" s="59">
        <v>0</v>
      </c>
      <c r="AJ400" s="59">
        <v>0</v>
      </c>
      <c r="AK400" s="59">
        <v>0</v>
      </c>
      <c r="AL400" s="59">
        <v>15</v>
      </c>
      <c r="AM400" s="59">
        <v>0</v>
      </c>
      <c r="AN400" s="59">
        <v>15</v>
      </c>
      <c r="AO400" s="59"/>
      <c r="AP400" s="59"/>
      <c r="AQ400" s="59"/>
      <c r="AR400" s="59"/>
      <c r="AS400" s="59"/>
      <c r="AT400" s="59"/>
      <c r="AU400" s="59"/>
      <c r="AV400" s="59"/>
    </row>
    <row r="401" spans="1:48" s="77" customFormat="1" x14ac:dyDescent="0.2">
      <c r="A401" s="59" t="s">
        <v>4436</v>
      </c>
      <c r="B401" s="59" t="s">
        <v>4437</v>
      </c>
      <c r="C401" s="59">
        <v>2</v>
      </c>
      <c r="D401" s="59">
        <v>2</v>
      </c>
      <c r="E401" s="59" t="s">
        <v>2537</v>
      </c>
      <c r="F401" s="60">
        <v>43694</v>
      </c>
      <c r="G401" s="59" t="s">
        <v>4031</v>
      </c>
      <c r="H401" s="61">
        <v>2.8472222222222222E-2</v>
      </c>
      <c r="I401" s="59" t="s">
        <v>398</v>
      </c>
      <c r="J401" s="59" t="s">
        <v>241</v>
      </c>
      <c r="K401" s="59" t="s">
        <v>111</v>
      </c>
      <c r="L401" s="59" t="s">
        <v>23</v>
      </c>
      <c r="M401" s="59">
        <v>0</v>
      </c>
      <c r="N401" s="59">
        <v>0</v>
      </c>
      <c r="O401" s="59">
        <v>1</v>
      </c>
      <c r="P401" s="59" t="s">
        <v>176</v>
      </c>
      <c r="Q401" s="59" t="s">
        <v>176</v>
      </c>
      <c r="R401" s="59" t="s">
        <v>122</v>
      </c>
      <c r="S401" s="59" t="s">
        <v>4385</v>
      </c>
      <c r="T401" s="59" t="s">
        <v>23</v>
      </c>
      <c r="U401" s="59" t="s">
        <v>3997</v>
      </c>
      <c r="V401" s="59" t="s">
        <v>4022</v>
      </c>
      <c r="W401" s="59">
        <v>0</v>
      </c>
      <c r="X401" s="59">
        <v>232</v>
      </c>
      <c r="Y401" s="59"/>
      <c r="Z401" s="59"/>
      <c r="AA401" s="59"/>
      <c r="AB401" s="62">
        <f t="shared" si="6"/>
        <v>0</v>
      </c>
      <c r="AC401" s="117"/>
      <c r="AD401" s="117"/>
      <c r="AE401" s="59" t="s">
        <v>115</v>
      </c>
      <c r="AF401" s="59" t="s">
        <v>115</v>
      </c>
      <c r="AG401" s="59" t="s">
        <v>115</v>
      </c>
      <c r="AH401" s="59">
        <v>0</v>
      </c>
      <c r="AI401" s="59">
        <v>0</v>
      </c>
      <c r="AJ401" s="59">
        <v>0</v>
      </c>
      <c r="AK401" s="59">
        <v>0</v>
      </c>
      <c r="AL401" s="59">
        <v>0</v>
      </c>
      <c r="AM401" s="59">
        <v>0</v>
      </c>
      <c r="AN401" s="59">
        <v>0</v>
      </c>
      <c r="AO401" s="59"/>
      <c r="AP401" s="59"/>
      <c r="AQ401" s="59"/>
      <c r="AR401" s="59"/>
      <c r="AS401" s="59"/>
      <c r="AT401" s="59"/>
      <c r="AU401" s="59"/>
      <c r="AV401" s="59"/>
    </row>
    <row r="402" spans="1:48" s="77" customFormat="1" x14ac:dyDescent="0.2">
      <c r="A402" s="59" t="s">
        <v>4424</v>
      </c>
      <c r="B402" s="59" t="s">
        <v>4422</v>
      </c>
      <c r="C402" s="59">
        <v>6</v>
      </c>
      <c r="D402" s="59">
        <v>1</v>
      </c>
      <c r="E402" s="59" t="s">
        <v>395</v>
      </c>
      <c r="F402" s="60">
        <v>43694</v>
      </c>
      <c r="G402" s="59" t="s">
        <v>4031</v>
      </c>
      <c r="H402" s="61">
        <v>5.5555555555555558E-3</v>
      </c>
      <c r="I402" s="59" t="s">
        <v>398</v>
      </c>
      <c r="J402" s="59" t="s">
        <v>4250</v>
      </c>
      <c r="K402" s="59" t="s">
        <v>111</v>
      </c>
      <c r="L402" s="59" t="s">
        <v>23</v>
      </c>
      <c r="M402" s="59">
        <v>0</v>
      </c>
      <c r="N402" s="59">
        <v>0</v>
      </c>
      <c r="O402" s="59">
        <v>1</v>
      </c>
      <c r="P402" s="59" t="s">
        <v>112</v>
      </c>
      <c r="Q402" s="59" t="s">
        <v>4329</v>
      </c>
      <c r="R402" s="59" t="s">
        <v>115</v>
      </c>
      <c r="S402" s="59" t="s">
        <v>333</v>
      </c>
      <c r="T402" s="59" t="s">
        <v>23</v>
      </c>
      <c r="U402" s="59" t="s">
        <v>3999</v>
      </c>
      <c r="V402" s="59" t="s">
        <v>4006</v>
      </c>
      <c r="W402" s="59"/>
      <c r="X402" s="59">
        <v>281</v>
      </c>
      <c r="Y402" s="59">
        <v>2</v>
      </c>
      <c r="Z402" s="62">
        <v>63.721559999999997</v>
      </c>
      <c r="AA402" s="62">
        <v>148.98737</v>
      </c>
      <c r="AB402" s="62">
        <f t="shared" si="6"/>
        <v>212.70893000000001</v>
      </c>
      <c r="AC402" s="117">
        <v>1</v>
      </c>
      <c r="AD402" s="117" t="s">
        <v>4765</v>
      </c>
      <c r="AE402" s="59" t="s">
        <v>115</v>
      </c>
      <c r="AF402" s="59" t="s">
        <v>115</v>
      </c>
      <c r="AG402" s="59" t="s">
        <v>115</v>
      </c>
      <c r="AH402" s="59">
        <v>0</v>
      </c>
      <c r="AI402" s="59">
        <v>0</v>
      </c>
      <c r="AJ402" s="59">
        <v>0</v>
      </c>
      <c r="AK402" s="59">
        <v>0</v>
      </c>
      <c r="AL402" s="59">
        <v>0</v>
      </c>
      <c r="AM402" s="59">
        <v>0</v>
      </c>
      <c r="AN402" s="59">
        <v>0</v>
      </c>
      <c r="AO402" s="59"/>
      <c r="AP402" s="59"/>
      <c r="AQ402" s="59"/>
      <c r="AR402" s="59"/>
      <c r="AS402" s="59"/>
      <c r="AT402" s="59"/>
      <c r="AU402" s="59"/>
      <c r="AV402" s="59"/>
    </row>
    <row r="403" spans="1:48" s="77" customFormat="1" x14ac:dyDescent="0.2">
      <c r="A403" s="59" t="s">
        <v>4436</v>
      </c>
      <c r="B403" s="59" t="s">
        <v>4437</v>
      </c>
      <c r="C403" s="59">
        <v>2</v>
      </c>
      <c r="D403" s="59">
        <v>1</v>
      </c>
      <c r="E403" s="59" t="s">
        <v>2537</v>
      </c>
      <c r="F403" s="60">
        <v>43694</v>
      </c>
      <c r="G403" s="59" t="s">
        <v>4031</v>
      </c>
      <c r="H403" s="61">
        <v>2.8472222222222222E-2</v>
      </c>
      <c r="I403" s="59" t="s">
        <v>398</v>
      </c>
      <c r="J403" s="59" t="s">
        <v>241</v>
      </c>
      <c r="K403" s="59" t="s">
        <v>568</v>
      </c>
      <c r="L403" s="59" t="s">
        <v>23</v>
      </c>
      <c r="M403" s="59">
        <v>1</v>
      </c>
      <c r="N403" s="59">
        <v>0</v>
      </c>
      <c r="O403" s="59">
        <v>1</v>
      </c>
      <c r="P403" s="59" t="s">
        <v>176</v>
      </c>
      <c r="Q403" s="59" t="s">
        <v>176</v>
      </c>
      <c r="R403" s="59" t="s">
        <v>122</v>
      </c>
      <c r="S403" s="59" t="s">
        <v>4385</v>
      </c>
      <c r="T403" s="59" t="s">
        <v>23</v>
      </c>
      <c r="U403" s="59" t="s">
        <v>3997</v>
      </c>
      <c r="V403" s="59" t="s">
        <v>4022</v>
      </c>
      <c r="W403" s="59">
        <v>0</v>
      </c>
      <c r="X403" s="59">
        <v>305</v>
      </c>
      <c r="Y403" s="59">
        <v>18</v>
      </c>
      <c r="Z403" s="62">
        <v>63.731560000000002</v>
      </c>
      <c r="AA403" s="62">
        <v>148.9014</v>
      </c>
      <c r="AB403" s="62">
        <f t="shared" si="6"/>
        <v>212.63296</v>
      </c>
      <c r="AC403" s="117"/>
      <c r="AD403" s="117"/>
      <c r="AE403" s="59" t="s">
        <v>115</v>
      </c>
      <c r="AF403" s="59" t="s">
        <v>115</v>
      </c>
      <c r="AG403" s="59" t="s">
        <v>115</v>
      </c>
      <c r="AH403" s="59">
        <v>0</v>
      </c>
      <c r="AI403" s="59">
        <v>0</v>
      </c>
      <c r="AJ403" s="59">
        <v>0</v>
      </c>
      <c r="AK403" s="59">
        <v>0</v>
      </c>
      <c r="AL403" s="59">
        <v>0</v>
      </c>
      <c r="AM403" s="59">
        <v>0</v>
      </c>
      <c r="AN403" s="59">
        <v>0</v>
      </c>
      <c r="AO403" s="59"/>
      <c r="AP403" s="59"/>
      <c r="AQ403" s="59"/>
      <c r="AR403" s="59"/>
      <c r="AS403" s="72"/>
      <c r="AT403" s="72"/>
      <c r="AU403" s="72"/>
      <c r="AV403" s="72"/>
    </row>
    <row r="404" spans="1:48" s="77" customFormat="1" x14ac:dyDescent="0.2">
      <c r="A404" s="59" t="s">
        <v>4433</v>
      </c>
      <c r="B404" s="59" t="s">
        <v>4435</v>
      </c>
      <c r="C404" s="59">
        <v>1</v>
      </c>
      <c r="D404" s="59">
        <v>1</v>
      </c>
      <c r="E404" s="59" t="s">
        <v>2537</v>
      </c>
      <c r="F404" s="60">
        <v>43694</v>
      </c>
      <c r="G404" s="59" t="s">
        <v>4031</v>
      </c>
      <c r="H404" s="61">
        <v>3.1944444444444449E-2</v>
      </c>
      <c r="I404" s="59" t="s">
        <v>398</v>
      </c>
      <c r="J404" s="59" t="s">
        <v>241</v>
      </c>
      <c r="K404" s="59" t="s">
        <v>568</v>
      </c>
      <c r="L404" s="59" t="s">
        <v>23</v>
      </c>
      <c r="M404" s="59">
        <v>1</v>
      </c>
      <c r="N404" s="59">
        <v>0</v>
      </c>
      <c r="O404" s="59">
        <v>1</v>
      </c>
      <c r="P404" s="59" t="s">
        <v>176</v>
      </c>
      <c r="Q404" s="59" t="s">
        <v>176</v>
      </c>
      <c r="R404" s="59" t="s">
        <v>122</v>
      </c>
      <c r="S404" s="59" t="s">
        <v>939</v>
      </c>
      <c r="T404" s="59" t="s">
        <v>23</v>
      </c>
      <c r="U404" s="59" t="s">
        <v>3999</v>
      </c>
      <c r="V404" s="59" t="s">
        <v>4434</v>
      </c>
      <c r="W404" s="59"/>
      <c r="X404" s="59">
        <v>358</v>
      </c>
      <c r="Y404" s="59">
        <v>1</v>
      </c>
      <c r="Z404" s="62">
        <v>63.7318</v>
      </c>
      <c r="AA404" s="62">
        <v>148.90196</v>
      </c>
      <c r="AB404" s="62">
        <f t="shared" si="6"/>
        <v>212.63376</v>
      </c>
      <c r="AC404" s="117"/>
      <c r="AD404" s="117"/>
      <c r="AE404" s="59" t="s">
        <v>115</v>
      </c>
      <c r="AF404" s="59" t="s">
        <v>115</v>
      </c>
      <c r="AG404" s="59" t="s">
        <v>115</v>
      </c>
      <c r="AH404" s="59">
        <v>0</v>
      </c>
      <c r="AI404" s="59">
        <v>0</v>
      </c>
      <c r="AJ404" s="59">
        <v>0</v>
      </c>
      <c r="AK404" s="59">
        <v>0</v>
      </c>
      <c r="AL404" s="59">
        <v>4</v>
      </c>
      <c r="AM404" s="59">
        <v>0</v>
      </c>
      <c r="AN404" s="59">
        <v>4</v>
      </c>
      <c r="AO404" s="59"/>
      <c r="AP404" s="59"/>
      <c r="AQ404" s="59"/>
      <c r="AR404" s="59"/>
      <c r="AS404" s="72"/>
      <c r="AT404" s="72"/>
      <c r="AU404" s="72"/>
      <c r="AV404" s="72"/>
    </row>
    <row r="405" spans="1:48" s="77" customFormat="1" x14ac:dyDescent="0.2">
      <c r="A405" s="59" t="s">
        <v>4455</v>
      </c>
      <c r="B405" s="59" t="s">
        <v>4461</v>
      </c>
      <c r="C405" s="59">
        <v>9</v>
      </c>
      <c r="D405" s="59">
        <v>2</v>
      </c>
      <c r="E405" s="59" t="s">
        <v>213</v>
      </c>
      <c r="F405" s="60">
        <v>43697</v>
      </c>
      <c r="G405" s="59" t="s">
        <v>4031</v>
      </c>
      <c r="H405" s="61">
        <v>7.4305555555555555E-2</v>
      </c>
      <c r="I405" s="59" t="s">
        <v>640</v>
      </c>
      <c r="J405" s="59" t="s">
        <v>4280</v>
      </c>
      <c r="K405" s="59" t="s">
        <v>568</v>
      </c>
      <c r="L405" s="59" t="s">
        <v>23</v>
      </c>
      <c r="M405" s="59">
        <v>1</v>
      </c>
      <c r="N405" s="59">
        <v>0</v>
      </c>
      <c r="O405" s="59">
        <v>1</v>
      </c>
      <c r="P405" s="59" t="s">
        <v>176</v>
      </c>
      <c r="Q405" s="59" t="s">
        <v>176</v>
      </c>
      <c r="R405" s="59" t="s">
        <v>122</v>
      </c>
      <c r="S405" s="59" t="s">
        <v>4168</v>
      </c>
      <c r="T405" s="59" t="s">
        <v>23</v>
      </c>
      <c r="U405" s="59" t="s">
        <v>3997</v>
      </c>
      <c r="V405" s="59" t="s">
        <v>4420</v>
      </c>
      <c r="W405" s="59"/>
      <c r="X405" s="59">
        <v>15</v>
      </c>
      <c r="Y405" s="59">
        <v>4</v>
      </c>
      <c r="Z405" s="62">
        <v>63.71998</v>
      </c>
      <c r="AA405" s="62">
        <v>148.97801000000001</v>
      </c>
      <c r="AB405" s="62">
        <f t="shared" si="6"/>
        <v>212.69799</v>
      </c>
      <c r="AC405" s="117"/>
      <c r="AD405" s="117"/>
      <c r="AE405" s="59" t="s">
        <v>115</v>
      </c>
      <c r="AF405" s="59" t="s">
        <v>115</v>
      </c>
      <c r="AG405" s="59" t="s">
        <v>115</v>
      </c>
      <c r="AH405" s="59">
        <v>0</v>
      </c>
      <c r="AI405" s="59">
        <v>0</v>
      </c>
      <c r="AJ405" s="59">
        <v>0</v>
      </c>
      <c r="AK405" s="59">
        <v>0</v>
      </c>
      <c r="AL405" s="59">
        <v>28</v>
      </c>
      <c r="AM405" s="59">
        <v>0</v>
      </c>
      <c r="AN405" s="59">
        <v>28</v>
      </c>
      <c r="AO405" s="59"/>
      <c r="AP405" s="59"/>
      <c r="AQ405" s="59"/>
      <c r="AR405" s="59"/>
      <c r="AS405" s="82"/>
      <c r="AT405" s="82"/>
      <c r="AU405" s="82"/>
      <c r="AV405" s="82"/>
    </row>
    <row r="406" spans="1:48" s="82" customFormat="1" x14ac:dyDescent="0.2">
      <c r="A406" s="59" t="s">
        <v>4476</v>
      </c>
      <c r="B406" s="59" t="s">
        <v>4480</v>
      </c>
      <c r="C406" s="59">
        <v>17</v>
      </c>
      <c r="D406" s="59">
        <v>2</v>
      </c>
      <c r="E406" s="59" t="s">
        <v>213</v>
      </c>
      <c r="F406" s="60">
        <v>43697</v>
      </c>
      <c r="G406" s="59" t="s">
        <v>4031</v>
      </c>
      <c r="H406" s="61">
        <v>3.6111111111111115E-2</v>
      </c>
      <c r="I406" s="59" t="s">
        <v>640</v>
      </c>
      <c r="J406" s="59" t="s">
        <v>4478</v>
      </c>
      <c r="K406" s="59" t="s">
        <v>568</v>
      </c>
      <c r="L406" s="59" t="s">
        <v>23</v>
      </c>
      <c r="M406" s="59">
        <v>1</v>
      </c>
      <c r="N406" s="59">
        <v>0</v>
      </c>
      <c r="O406" s="59">
        <v>1</v>
      </c>
      <c r="P406" s="59" t="s">
        <v>112</v>
      </c>
      <c r="Q406" s="59" t="s">
        <v>4214</v>
      </c>
      <c r="R406" s="59" t="s">
        <v>122</v>
      </c>
      <c r="S406" s="59" t="s">
        <v>2301</v>
      </c>
      <c r="T406" s="59" t="s">
        <v>23</v>
      </c>
      <c r="U406" s="59" t="s">
        <v>3999</v>
      </c>
      <c r="V406" s="59" t="s">
        <v>4006</v>
      </c>
      <c r="W406" s="59"/>
      <c r="X406" s="59">
        <v>41</v>
      </c>
      <c r="Y406" s="59">
        <v>11</v>
      </c>
      <c r="Z406" s="62">
        <v>63.719990000000003</v>
      </c>
      <c r="AA406" s="62">
        <v>148.97823</v>
      </c>
      <c r="AB406" s="62">
        <f t="shared" si="6"/>
        <v>212.69821999999999</v>
      </c>
      <c r="AC406" s="117"/>
      <c r="AD406" s="117"/>
      <c r="AE406" s="59" t="s">
        <v>115</v>
      </c>
      <c r="AF406" s="59" t="s">
        <v>115</v>
      </c>
      <c r="AG406" s="59" t="s">
        <v>115</v>
      </c>
      <c r="AH406" s="59">
        <v>0</v>
      </c>
      <c r="AI406" s="59">
        <v>0</v>
      </c>
      <c r="AJ406" s="59">
        <v>0</v>
      </c>
      <c r="AK406" s="59">
        <v>0</v>
      </c>
      <c r="AL406" s="59">
        <v>8</v>
      </c>
      <c r="AM406" s="59">
        <v>0</v>
      </c>
      <c r="AN406" s="59">
        <v>8</v>
      </c>
      <c r="AO406" s="59"/>
      <c r="AP406" s="59"/>
      <c r="AQ406" s="59"/>
      <c r="AR406" s="59"/>
      <c r="AS406" s="77"/>
      <c r="AT406" s="77"/>
      <c r="AU406" s="77"/>
      <c r="AV406" s="77"/>
    </row>
    <row r="407" spans="1:48" s="77" customFormat="1" x14ac:dyDescent="0.2">
      <c r="A407" s="59" t="s">
        <v>4476</v>
      </c>
      <c r="B407" s="59" t="s">
        <v>4480</v>
      </c>
      <c r="C407" s="59">
        <v>17</v>
      </c>
      <c r="D407" s="59">
        <v>1</v>
      </c>
      <c r="E407" s="59" t="s">
        <v>213</v>
      </c>
      <c r="F407" s="60">
        <v>43697</v>
      </c>
      <c r="G407" s="59" t="s">
        <v>4031</v>
      </c>
      <c r="H407" s="61">
        <v>3.6111111111111115E-2</v>
      </c>
      <c r="I407" s="59" t="s">
        <v>640</v>
      </c>
      <c r="J407" s="59" t="s">
        <v>4478</v>
      </c>
      <c r="K407" s="59" t="s">
        <v>568</v>
      </c>
      <c r="L407" s="59" t="s">
        <v>23</v>
      </c>
      <c r="M407" s="59">
        <v>1</v>
      </c>
      <c r="N407" s="59">
        <v>0</v>
      </c>
      <c r="O407" s="59">
        <v>1</v>
      </c>
      <c r="P407" s="59" t="s">
        <v>112</v>
      </c>
      <c r="Q407" s="59" t="s">
        <v>4214</v>
      </c>
      <c r="R407" s="59" t="s">
        <v>122</v>
      </c>
      <c r="S407" s="59" t="s">
        <v>2300</v>
      </c>
      <c r="T407" s="59" t="s">
        <v>23</v>
      </c>
      <c r="U407" s="59" t="s">
        <v>3997</v>
      </c>
      <c r="V407" s="59" t="s">
        <v>4006</v>
      </c>
      <c r="W407" s="59"/>
      <c r="X407" s="59">
        <v>45</v>
      </c>
      <c r="Y407" s="59">
        <v>8</v>
      </c>
      <c r="Z407" s="62">
        <v>63.72</v>
      </c>
      <c r="AA407" s="62">
        <v>148.97820999999999</v>
      </c>
      <c r="AB407" s="62">
        <f t="shared" si="6"/>
        <v>212.69820999999999</v>
      </c>
      <c r="AC407" s="117"/>
      <c r="AD407" s="117"/>
      <c r="AE407" s="59" t="s">
        <v>115</v>
      </c>
      <c r="AF407" s="59" t="s">
        <v>115</v>
      </c>
      <c r="AG407" s="59" t="s">
        <v>115</v>
      </c>
      <c r="AH407" s="59">
        <v>0</v>
      </c>
      <c r="AI407" s="59">
        <v>0</v>
      </c>
      <c r="AJ407" s="59">
        <v>0</v>
      </c>
      <c r="AK407" s="59">
        <v>0</v>
      </c>
      <c r="AL407" s="59">
        <v>8</v>
      </c>
      <c r="AM407" s="59">
        <v>0</v>
      </c>
      <c r="AN407" s="59">
        <v>8</v>
      </c>
      <c r="AO407" s="59"/>
      <c r="AP407" s="59"/>
      <c r="AQ407" s="59"/>
      <c r="AR407" s="59"/>
      <c r="AS407" s="82"/>
      <c r="AT407" s="82"/>
      <c r="AU407" s="82"/>
      <c r="AV407" s="82"/>
    </row>
    <row r="408" spans="1:48" s="77" customFormat="1" x14ac:dyDescent="0.2">
      <c r="A408" s="59" t="s">
        <v>4488</v>
      </c>
      <c r="B408" s="59" t="s">
        <v>4489</v>
      </c>
      <c r="C408" s="59">
        <v>21</v>
      </c>
      <c r="D408" s="59">
        <v>2</v>
      </c>
      <c r="E408" s="59" t="s">
        <v>213</v>
      </c>
      <c r="F408" s="60">
        <v>43697</v>
      </c>
      <c r="G408" s="59" t="s">
        <v>4031</v>
      </c>
      <c r="H408" s="59"/>
      <c r="I408" s="59" t="s">
        <v>640</v>
      </c>
      <c r="J408" s="59" t="s">
        <v>4487</v>
      </c>
      <c r="K408" s="59" t="s">
        <v>102</v>
      </c>
      <c r="L408" s="59" t="s">
        <v>115</v>
      </c>
      <c r="M408" s="59">
        <v>1</v>
      </c>
      <c r="N408" s="59">
        <v>0</v>
      </c>
      <c r="O408" s="59">
        <v>1</v>
      </c>
      <c r="P408" s="59" t="s">
        <v>1342</v>
      </c>
      <c r="Q408" s="59" t="s">
        <v>14</v>
      </c>
      <c r="R408" s="59" t="s">
        <v>122</v>
      </c>
      <c r="S408" s="59" t="s">
        <v>4385</v>
      </c>
      <c r="T408" s="59" t="s">
        <v>23</v>
      </c>
      <c r="U408" s="59" t="s">
        <v>3997</v>
      </c>
      <c r="V408" s="59" t="s">
        <v>176</v>
      </c>
      <c r="W408" s="59" t="s">
        <v>115</v>
      </c>
      <c r="X408" s="59">
        <v>58</v>
      </c>
      <c r="Y408" s="59" t="s">
        <v>176</v>
      </c>
      <c r="Z408" s="62">
        <v>63.719900000000003</v>
      </c>
      <c r="AA408" s="62">
        <v>148.97597999999999</v>
      </c>
      <c r="AB408" s="62">
        <f t="shared" si="6"/>
        <v>212.69587999999999</v>
      </c>
      <c r="AC408" s="117"/>
      <c r="AD408" s="117"/>
      <c r="AE408" s="59" t="s">
        <v>115</v>
      </c>
      <c r="AF408" s="59" t="s">
        <v>115</v>
      </c>
      <c r="AG408" s="59" t="s">
        <v>115</v>
      </c>
      <c r="AH408" s="59">
        <v>0</v>
      </c>
      <c r="AI408" s="59">
        <v>0</v>
      </c>
      <c r="AJ408" s="59">
        <v>0</v>
      </c>
      <c r="AK408" s="59">
        <v>0</v>
      </c>
      <c r="AL408" s="59">
        <v>14</v>
      </c>
      <c r="AM408" s="59">
        <v>0</v>
      </c>
      <c r="AN408" s="59">
        <v>14</v>
      </c>
      <c r="AO408" s="59"/>
      <c r="AP408" s="59"/>
      <c r="AQ408" s="59"/>
      <c r="AR408" s="59"/>
    </row>
    <row r="409" spans="1:48" s="82" customFormat="1" x14ac:dyDescent="0.2">
      <c r="A409" s="59" t="s">
        <v>4481</v>
      </c>
      <c r="B409" s="59" t="s">
        <v>4484</v>
      </c>
      <c r="C409" s="59">
        <v>19</v>
      </c>
      <c r="D409" s="59">
        <v>1</v>
      </c>
      <c r="E409" s="59" t="s">
        <v>213</v>
      </c>
      <c r="F409" s="60">
        <v>43697</v>
      </c>
      <c r="G409" s="59" t="s">
        <v>4031</v>
      </c>
      <c r="H409" s="61">
        <v>1.2499999999999999E-2</v>
      </c>
      <c r="I409" s="59" t="s">
        <v>640</v>
      </c>
      <c r="J409" s="59" t="s">
        <v>4478</v>
      </c>
      <c r="K409" s="59" t="s">
        <v>568</v>
      </c>
      <c r="L409" s="59" t="s">
        <v>23</v>
      </c>
      <c r="M409" s="59">
        <v>1</v>
      </c>
      <c r="N409" s="59">
        <v>0</v>
      </c>
      <c r="O409" s="59">
        <v>1</v>
      </c>
      <c r="P409" s="59" t="s">
        <v>598</v>
      </c>
      <c r="Q409" s="59" t="s">
        <v>4463</v>
      </c>
      <c r="R409" s="59" t="s">
        <v>122</v>
      </c>
      <c r="S409" s="59" t="s">
        <v>333</v>
      </c>
      <c r="T409" s="59" t="s">
        <v>23</v>
      </c>
      <c r="U409" s="59" t="s">
        <v>3999</v>
      </c>
      <c r="V409" s="59" t="s">
        <v>4006</v>
      </c>
      <c r="W409" s="59"/>
      <c r="X409" s="59">
        <v>75</v>
      </c>
      <c r="Y409" s="59">
        <v>4</v>
      </c>
      <c r="Z409" s="62">
        <v>63.720140000000001</v>
      </c>
      <c r="AA409" s="62">
        <v>148.97776999999999</v>
      </c>
      <c r="AB409" s="62">
        <f t="shared" si="6"/>
        <v>212.69790999999998</v>
      </c>
      <c r="AC409" s="117"/>
      <c r="AD409" s="117"/>
      <c r="AE409" s="59" t="s">
        <v>115</v>
      </c>
      <c r="AF409" s="59" t="s">
        <v>115</v>
      </c>
      <c r="AG409" s="59" t="s">
        <v>115</v>
      </c>
      <c r="AH409" s="59">
        <v>0</v>
      </c>
      <c r="AI409" s="59">
        <v>0</v>
      </c>
      <c r="AJ409" s="59">
        <v>0</v>
      </c>
      <c r="AK409" s="59">
        <v>0</v>
      </c>
      <c r="AL409" s="59">
        <v>2</v>
      </c>
      <c r="AM409" s="59">
        <v>0</v>
      </c>
      <c r="AN409" s="59">
        <v>2</v>
      </c>
      <c r="AO409" s="59"/>
      <c r="AP409" s="59"/>
      <c r="AQ409" s="59"/>
      <c r="AR409" s="59"/>
      <c r="AS409" s="77"/>
      <c r="AT409" s="77"/>
      <c r="AU409" s="77"/>
      <c r="AV409" s="77"/>
    </row>
    <row r="410" spans="1:48" s="82" customFormat="1" x14ac:dyDescent="0.2">
      <c r="A410" s="59" t="s">
        <v>4446</v>
      </c>
      <c r="B410" s="59" t="s">
        <v>4447</v>
      </c>
      <c r="C410" s="59">
        <v>4</v>
      </c>
      <c r="D410" s="59">
        <v>1</v>
      </c>
      <c r="E410" s="59" t="s">
        <v>213</v>
      </c>
      <c r="F410" s="60">
        <v>43697</v>
      </c>
      <c r="G410" s="59" t="s">
        <v>4031</v>
      </c>
      <c r="H410" s="61">
        <v>3.3333333333333333E-2</v>
      </c>
      <c r="I410" s="59" t="s">
        <v>640</v>
      </c>
      <c r="J410" s="59" t="s">
        <v>1742</v>
      </c>
      <c r="K410" s="59" t="s">
        <v>568</v>
      </c>
      <c r="L410" s="59" t="s">
        <v>23</v>
      </c>
      <c r="M410" s="59">
        <v>1</v>
      </c>
      <c r="N410" s="59">
        <v>0</v>
      </c>
      <c r="O410" s="59">
        <v>1</v>
      </c>
      <c r="P410" s="59" t="s">
        <v>598</v>
      </c>
      <c r="Q410" s="59" t="s">
        <v>598</v>
      </c>
      <c r="R410" s="59" t="s">
        <v>122</v>
      </c>
      <c r="S410" s="59" t="s">
        <v>333</v>
      </c>
      <c r="T410" s="59" t="s">
        <v>23</v>
      </c>
      <c r="U410" s="59" t="s">
        <v>3999</v>
      </c>
      <c r="V410" s="59" t="s">
        <v>4006</v>
      </c>
      <c r="W410" s="59"/>
      <c r="X410" s="59">
        <v>103</v>
      </c>
      <c r="Y410" s="59"/>
      <c r="Z410" s="62">
        <v>63.720759999999999</v>
      </c>
      <c r="AA410" s="62">
        <v>148.97354000000001</v>
      </c>
      <c r="AB410" s="62">
        <f t="shared" si="6"/>
        <v>212.6943</v>
      </c>
      <c r="AC410" s="117"/>
      <c r="AD410" s="117"/>
      <c r="AE410" s="59" t="s">
        <v>115</v>
      </c>
      <c r="AF410" s="59" t="s">
        <v>115</v>
      </c>
      <c r="AG410" s="59" t="s">
        <v>115</v>
      </c>
      <c r="AH410" s="59">
        <v>0</v>
      </c>
      <c r="AI410" s="59">
        <v>0</v>
      </c>
      <c r="AJ410" s="59">
        <v>0</v>
      </c>
      <c r="AK410" s="59">
        <v>0</v>
      </c>
      <c r="AL410" s="59">
        <v>33</v>
      </c>
      <c r="AM410" s="59">
        <v>0</v>
      </c>
      <c r="AN410" s="59">
        <v>33</v>
      </c>
      <c r="AO410" s="59"/>
      <c r="AP410" s="59"/>
      <c r="AQ410" s="59"/>
      <c r="AR410" s="59"/>
    </row>
    <row r="411" spans="1:48" s="77" customFormat="1" x14ac:dyDescent="0.2">
      <c r="A411" s="59" t="s">
        <v>4455</v>
      </c>
      <c r="B411" s="59" t="s">
        <v>4461</v>
      </c>
      <c r="C411" s="59">
        <v>9</v>
      </c>
      <c r="D411" s="59">
        <v>1</v>
      </c>
      <c r="E411" s="59" t="s">
        <v>213</v>
      </c>
      <c r="F411" s="60">
        <v>43697</v>
      </c>
      <c r="G411" s="59" t="s">
        <v>4031</v>
      </c>
      <c r="H411" s="61">
        <v>7.4305555555555555E-2</v>
      </c>
      <c r="I411" s="59" t="s">
        <v>640</v>
      </c>
      <c r="J411" s="59" t="s">
        <v>4280</v>
      </c>
      <c r="K411" s="59" t="s">
        <v>4235</v>
      </c>
      <c r="L411" s="59" t="s">
        <v>23</v>
      </c>
      <c r="M411" s="59">
        <v>1</v>
      </c>
      <c r="N411" s="59">
        <v>0</v>
      </c>
      <c r="O411" s="59">
        <v>1</v>
      </c>
      <c r="P411" s="59" t="s">
        <v>24</v>
      </c>
      <c r="Q411" s="59" t="s">
        <v>176</v>
      </c>
      <c r="R411" s="59" t="s">
        <v>122</v>
      </c>
      <c r="S411" s="59" t="s">
        <v>333</v>
      </c>
      <c r="T411" s="59" t="s">
        <v>23</v>
      </c>
      <c r="U411" s="59" t="s">
        <v>3999</v>
      </c>
      <c r="V411" s="59" t="s">
        <v>4006</v>
      </c>
      <c r="W411" s="59"/>
      <c r="X411" s="59">
        <v>119</v>
      </c>
      <c r="Y411" s="59">
        <v>3</v>
      </c>
      <c r="Z411" s="62">
        <v>63.720059999999997</v>
      </c>
      <c r="AA411" s="62">
        <v>148.97708</v>
      </c>
      <c r="AB411" s="62">
        <f t="shared" si="6"/>
        <v>212.69713999999999</v>
      </c>
      <c r="AC411" s="117"/>
      <c r="AD411" s="117"/>
      <c r="AE411" s="59" t="s">
        <v>115</v>
      </c>
      <c r="AF411" s="59" t="s">
        <v>115</v>
      </c>
      <c r="AG411" s="59" t="s">
        <v>115</v>
      </c>
      <c r="AH411" s="59">
        <v>0</v>
      </c>
      <c r="AI411" s="59">
        <v>0</v>
      </c>
      <c r="AJ411" s="59">
        <v>0</v>
      </c>
      <c r="AK411" s="59">
        <v>0</v>
      </c>
      <c r="AL411" s="59">
        <v>0</v>
      </c>
      <c r="AM411" s="59">
        <v>0</v>
      </c>
      <c r="AN411" s="59">
        <v>0</v>
      </c>
      <c r="AO411" s="59"/>
      <c r="AP411" s="59" t="s">
        <v>4457</v>
      </c>
      <c r="AQ411" s="59"/>
      <c r="AR411" s="59"/>
    </row>
    <row r="412" spans="1:48" s="82" customFormat="1" x14ac:dyDescent="0.2">
      <c r="A412" s="59" t="s">
        <v>4492</v>
      </c>
      <c r="B412" s="59" t="s">
        <v>4493</v>
      </c>
      <c r="C412" s="59">
        <v>23</v>
      </c>
      <c r="D412" s="59">
        <v>1</v>
      </c>
      <c r="E412" s="59" t="s">
        <v>213</v>
      </c>
      <c r="F412" s="60">
        <v>43697</v>
      </c>
      <c r="G412" s="59" t="s">
        <v>4031</v>
      </c>
      <c r="H412" s="61">
        <v>2.013888888888889E-2</v>
      </c>
      <c r="I412" s="59" t="s">
        <v>640</v>
      </c>
      <c r="J412" s="59" t="s">
        <v>4258</v>
      </c>
      <c r="K412" s="59" t="s">
        <v>568</v>
      </c>
      <c r="L412" s="59" t="s">
        <v>23</v>
      </c>
      <c r="M412" s="59">
        <v>1</v>
      </c>
      <c r="N412" s="59">
        <v>0</v>
      </c>
      <c r="O412" s="59">
        <v>1</v>
      </c>
      <c r="P412" s="59" t="s">
        <v>598</v>
      </c>
      <c r="Q412" s="59" t="s">
        <v>4463</v>
      </c>
      <c r="R412" s="59" t="s">
        <v>122</v>
      </c>
      <c r="S412" s="59" t="s">
        <v>4385</v>
      </c>
      <c r="T412" s="59" t="s">
        <v>23</v>
      </c>
      <c r="U412" s="59" t="s">
        <v>3997</v>
      </c>
      <c r="V412" s="59" t="s">
        <v>3810</v>
      </c>
      <c r="W412" s="59"/>
      <c r="X412" s="59">
        <v>121</v>
      </c>
      <c r="Y412" s="59">
        <v>3</v>
      </c>
      <c r="Z412" s="62">
        <v>63.719799999999999</v>
      </c>
      <c r="AA412" s="62">
        <v>148.97701000000001</v>
      </c>
      <c r="AB412" s="62">
        <f t="shared" si="6"/>
        <v>212.69681</v>
      </c>
      <c r="AC412" s="117"/>
      <c r="AD412" s="117"/>
      <c r="AE412" s="59" t="s">
        <v>115</v>
      </c>
      <c r="AF412" s="59" t="s">
        <v>115</v>
      </c>
      <c r="AG412" s="59" t="s">
        <v>115</v>
      </c>
      <c r="AH412" s="59">
        <v>0</v>
      </c>
      <c r="AI412" s="59">
        <v>0</v>
      </c>
      <c r="AJ412" s="59">
        <v>0</v>
      </c>
      <c r="AK412" s="59">
        <v>0</v>
      </c>
      <c r="AL412" s="59">
        <v>0</v>
      </c>
      <c r="AM412" s="59">
        <v>0</v>
      </c>
      <c r="AN412" s="59">
        <v>0</v>
      </c>
      <c r="AO412" s="59"/>
      <c r="AP412" s="59" t="s">
        <v>4494</v>
      </c>
      <c r="AQ412" s="59"/>
      <c r="AR412" s="59"/>
      <c r="AS412" s="77"/>
      <c r="AT412" s="77"/>
      <c r="AU412" s="77"/>
      <c r="AV412" s="77"/>
    </row>
    <row r="413" spans="1:48" s="82" customFormat="1" x14ac:dyDescent="0.2">
      <c r="A413" s="59" t="s">
        <v>4490</v>
      </c>
      <c r="B413" s="59" t="s">
        <v>4491</v>
      </c>
      <c r="C413" s="59">
        <v>22</v>
      </c>
      <c r="D413" s="59">
        <v>1</v>
      </c>
      <c r="E413" s="59" t="s">
        <v>213</v>
      </c>
      <c r="F413" s="60">
        <v>43697</v>
      </c>
      <c r="G413" s="59" t="s">
        <v>4031</v>
      </c>
      <c r="H413" s="59"/>
      <c r="I413" s="59" t="s">
        <v>640</v>
      </c>
      <c r="J413" s="59" t="s">
        <v>4487</v>
      </c>
      <c r="K413" s="59" t="s">
        <v>102</v>
      </c>
      <c r="L413" s="59" t="s">
        <v>23</v>
      </c>
      <c r="M413" s="59">
        <v>1</v>
      </c>
      <c r="N413" s="59">
        <v>0</v>
      </c>
      <c r="O413" s="59">
        <v>1</v>
      </c>
      <c r="P413" s="59" t="s">
        <v>176</v>
      </c>
      <c r="Q413" s="59" t="s">
        <v>176</v>
      </c>
      <c r="R413" s="59" t="s">
        <v>122</v>
      </c>
      <c r="S413" s="59" t="s">
        <v>4168</v>
      </c>
      <c r="T413" s="59" t="s">
        <v>23</v>
      </c>
      <c r="U413" s="59" t="s">
        <v>3997</v>
      </c>
      <c r="V413" s="59" t="s">
        <v>176</v>
      </c>
      <c r="W413" s="59"/>
      <c r="X413" s="59">
        <v>167</v>
      </c>
      <c r="Y413" s="59">
        <v>4</v>
      </c>
      <c r="Z413" s="62">
        <v>63.719920000000002</v>
      </c>
      <c r="AA413" s="62">
        <v>148.97591</v>
      </c>
      <c r="AB413" s="62">
        <f t="shared" si="6"/>
        <v>212.69583</v>
      </c>
      <c r="AC413" s="117"/>
      <c r="AD413" s="117"/>
      <c r="AE413" s="59" t="s">
        <v>115</v>
      </c>
      <c r="AF413" s="59" t="s">
        <v>115</v>
      </c>
      <c r="AG413" s="59" t="s">
        <v>115</v>
      </c>
      <c r="AH413" s="59">
        <v>0</v>
      </c>
      <c r="AI413" s="59">
        <v>0</v>
      </c>
      <c r="AJ413" s="59">
        <v>0</v>
      </c>
      <c r="AK413" s="59">
        <v>0</v>
      </c>
      <c r="AL413" s="59">
        <v>19</v>
      </c>
      <c r="AM413" s="59">
        <v>0</v>
      </c>
      <c r="AN413" s="59">
        <v>19</v>
      </c>
      <c r="AO413" s="59"/>
      <c r="AP413" s="59"/>
      <c r="AQ413" s="59"/>
      <c r="AR413" s="59"/>
      <c r="AS413" s="77"/>
      <c r="AT413" s="77"/>
      <c r="AU413" s="77"/>
      <c r="AV413" s="77"/>
    </row>
    <row r="414" spans="1:48" s="82" customFormat="1" x14ac:dyDescent="0.2">
      <c r="A414" s="59" t="s">
        <v>4485</v>
      </c>
      <c r="B414" s="59" t="s">
        <v>4486</v>
      </c>
      <c r="C414" s="59">
        <v>20</v>
      </c>
      <c r="D414" s="59">
        <v>1</v>
      </c>
      <c r="E414" s="59" t="s">
        <v>213</v>
      </c>
      <c r="F414" s="60">
        <v>43697</v>
      </c>
      <c r="G414" s="59" t="s">
        <v>4031</v>
      </c>
      <c r="H414" s="61">
        <v>3.0555555555555555E-2</v>
      </c>
      <c r="I414" s="59" t="s">
        <v>640</v>
      </c>
      <c r="J414" s="59" t="s">
        <v>4487</v>
      </c>
      <c r="K414" s="59" t="s">
        <v>568</v>
      </c>
      <c r="L414" s="59" t="s">
        <v>23</v>
      </c>
      <c r="M414" s="59">
        <v>1</v>
      </c>
      <c r="N414" s="59">
        <v>0</v>
      </c>
      <c r="O414" s="59">
        <v>1</v>
      </c>
      <c r="P414" s="59" t="s">
        <v>598</v>
      </c>
      <c r="Q414" s="59" t="s">
        <v>4463</v>
      </c>
      <c r="R414" s="59" t="s">
        <v>122</v>
      </c>
      <c r="S414" s="59" t="s">
        <v>4385</v>
      </c>
      <c r="T414" s="59" t="s">
        <v>23</v>
      </c>
      <c r="U414" s="59" t="s">
        <v>3997</v>
      </c>
      <c r="V414" s="59" t="s">
        <v>3810</v>
      </c>
      <c r="W414" s="59"/>
      <c r="X414" s="59">
        <v>235</v>
      </c>
      <c r="Y414" s="59">
        <v>1</v>
      </c>
      <c r="Z414" s="62">
        <v>63.719729999999998</v>
      </c>
      <c r="AA414" s="62">
        <v>148.97708</v>
      </c>
      <c r="AB414" s="62">
        <f t="shared" si="6"/>
        <v>212.69681</v>
      </c>
      <c r="AC414" s="117"/>
      <c r="AD414" s="117"/>
      <c r="AE414" s="59" t="s">
        <v>115</v>
      </c>
      <c r="AF414" s="59" t="s">
        <v>115</v>
      </c>
      <c r="AG414" s="59" t="s">
        <v>115</v>
      </c>
      <c r="AH414" s="59">
        <v>0</v>
      </c>
      <c r="AI414" s="59">
        <v>0</v>
      </c>
      <c r="AJ414" s="59">
        <v>0</v>
      </c>
      <c r="AK414" s="59">
        <v>0</v>
      </c>
      <c r="AL414" s="59">
        <v>35</v>
      </c>
      <c r="AM414" s="59">
        <v>0</v>
      </c>
      <c r="AN414" s="59">
        <v>35</v>
      </c>
      <c r="AO414" s="59"/>
      <c r="AP414" s="59" t="s">
        <v>4495</v>
      </c>
      <c r="AQ414" s="59"/>
      <c r="AR414" s="59"/>
      <c r="AS414" s="77"/>
      <c r="AT414" s="77"/>
      <c r="AU414" s="77"/>
      <c r="AV414" s="77"/>
    </row>
    <row r="415" spans="1:48" s="77" customFormat="1" x14ac:dyDescent="0.2">
      <c r="A415" s="59" t="s">
        <v>4451</v>
      </c>
      <c r="B415" s="59" t="s">
        <v>4454</v>
      </c>
      <c r="C415" s="59">
        <v>7</v>
      </c>
      <c r="D415" s="59">
        <v>1</v>
      </c>
      <c r="E415" s="59" t="s">
        <v>213</v>
      </c>
      <c r="F415" s="60">
        <v>43697</v>
      </c>
      <c r="G415" s="59" t="s">
        <v>4031</v>
      </c>
      <c r="H415" s="61">
        <v>6.9444444444444441E-3</v>
      </c>
      <c r="I415" s="59" t="s">
        <v>640</v>
      </c>
      <c r="J415" s="59" t="s">
        <v>4280</v>
      </c>
      <c r="K415" s="59" t="s">
        <v>568</v>
      </c>
      <c r="L415" s="59" t="s">
        <v>23</v>
      </c>
      <c r="M415" s="59">
        <v>1</v>
      </c>
      <c r="N415" s="59">
        <v>0</v>
      </c>
      <c r="O415" s="59">
        <v>1</v>
      </c>
      <c r="P415" s="59" t="s">
        <v>176</v>
      </c>
      <c r="Q415" s="59" t="s">
        <v>176</v>
      </c>
      <c r="R415" s="59" t="s">
        <v>122</v>
      </c>
      <c r="S415" s="59" t="s">
        <v>176</v>
      </c>
      <c r="T415" s="59" t="s">
        <v>23</v>
      </c>
      <c r="U415" s="59" t="s">
        <v>176</v>
      </c>
      <c r="V415" s="59" t="s">
        <v>176</v>
      </c>
      <c r="W415" s="59" t="s">
        <v>115</v>
      </c>
      <c r="X415" s="59">
        <v>308</v>
      </c>
      <c r="Y415" s="59">
        <v>5</v>
      </c>
      <c r="Z415" s="62">
        <v>63.720039999999997</v>
      </c>
      <c r="AA415" s="62">
        <v>148.97745</v>
      </c>
      <c r="AB415" s="62">
        <f t="shared" si="6"/>
        <v>212.69749000000002</v>
      </c>
      <c r="AC415" s="117"/>
      <c r="AD415" s="117"/>
      <c r="AE415" s="59" t="s">
        <v>115</v>
      </c>
      <c r="AF415" s="59" t="s">
        <v>115</v>
      </c>
      <c r="AG415" s="59" t="s">
        <v>115</v>
      </c>
      <c r="AH415" s="59">
        <v>0</v>
      </c>
      <c r="AI415" s="59">
        <v>0</v>
      </c>
      <c r="AJ415" s="59">
        <v>0</v>
      </c>
      <c r="AK415" s="59">
        <v>0</v>
      </c>
      <c r="AL415" s="59">
        <v>2</v>
      </c>
      <c r="AM415" s="59"/>
      <c r="AN415" s="59">
        <v>2</v>
      </c>
      <c r="AO415" s="59"/>
      <c r="AP415" s="59"/>
      <c r="AQ415" s="59"/>
      <c r="AR415" s="59"/>
      <c r="AS415" s="82"/>
      <c r="AT415" s="82"/>
      <c r="AU415" s="82"/>
      <c r="AV415" s="82"/>
    </row>
    <row r="416" spans="1:48" s="77" customFormat="1" x14ac:dyDescent="0.2">
      <c r="A416" s="59" t="s">
        <v>4448</v>
      </c>
      <c r="B416" s="59" t="s">
        <v>4450</v>
      </c>
      <c r="C416" s="59">
        <v>5</v>
      </c>
      <c r="D416" s="59">
        <v>2</v>
      </c>
      <c r="E416" s="59" t="s">
        <v>213</v>
      </c>
      <c r="F416" s="60">
        <v>43697</v>
      </c>
      <c r="G416" s="59" t="s">
        <v>4031</v>
      </c>
      <c r="H416" s="61">
        <v>6.9444444444444434E-2</v>
      </c>
      <c r="I416" s="59" t="s">
        <v>640</v>
      </c>
      <c r="J416" s="59" t="s">
        <v>4280</v>
      </c>
      <c r="K416" s="59" t="s">
        <v>568</v>
      </c>
      <c r="L416" s="59" t="s">
        <v>23</v>
      </c>
      <c r="M416" s="59">
        <v>0</v>
      </c>
      <c r="N416" s="59">
        <v>0</v>
      </c>
      <c r="O416" s="59">
        <v>1</v>
      </c>
      <c r="P416" s="59" t="s">
        <v>176</v>
      </c>
      <c r="Q416" s="59" t="s">
        <v>176</v>
      </c>
      <c r="R416" s="59" t="s">
        <v>122</v>
      </c>
      <c r="S416" s="59" t="s">
        <v>4168</v>
      </c>
      <c r="T416" s="59" t="s">
        <v>23</v>
      </c>
      <c r="U416" s="59" t="s">
        <v>3997</v>
      </c>
      <c r="V416" s="59" t="s">
        <v>4022</v>
      </c>
      <c r="W416" s="59"/>
      <c r="X416" s="59">
        <v>311</v>
      </c>
      <c r="Y416" s="59">
        <v>3</v>
      </c>
      <c r="Z416" s="62">
        <v>63.719830000000002</v>
      </c>
      <c r="AA416" s="62">
        <v>148.97626</v>
      </c>
      <c r="AB416" s="62">
        <f t="shared" si="6"/>
        <v>212.69609</v>
      </c>
      <c r="AC416" s="117">
        <v>1</v>
      </c>
      <c r="AD416" s="117" t="s">
        <v>4765</v>
      </c>
      <c r="AE416" s="59" t="s">
        <v>115</v>
      </c>
      <c r="AF416" s="59" t="s">
        <v>115</v>
      </c>
      <c r="AG416" s="59" t="s">
        <v>115</v>
      </c>
      <c r="AH416" s="59">
        <v>0</v>
      </c>
      <c r="AI416" s="59">
        <v>0</v>
      </c>
      <c r="AJ416" s="59">
        <v>0</v>
      </c>
      <c r="AK416" s="59">
        <v>0</v>
      </c>
      <c r="AL416" s="59">
        <v>64</v>
      </c>
      <c r="AM416" s="59">
        <v>0</v>
      </c>
      <c r="AN416" s="59">
        <v>64</v>
      </c>
      <c r="AO416" s="59"/>
      <c r="AP416" s="59"/>
      <c r="AQ416" s="59"/>
      <c r="AR416" s="59"/>
      <c r="AS416" s="59"/>
      <c r="AT416" s="59"/>
      <c r="AU416" s="59"/>
      <c r="AV416" s="59"/>
    </row>
    <row r="417" spans="1:48" s="82" customFormat="1" x14ac:dyDescent="0.2">
      <c r="A417" s="59" t="s">
        <v>4448</v>
      </c>
      <c r="B417" s="59" t="s">
        <v>4450</v>
      </c>
      <c r="C417" s="59">
        <v>5</v>
      </c>
      <c r="D417" s="59">
        <v>1</v>
      </c>
      <c r="E417" s="59" t="s">
        <v>213</v>
      </c>
      <c r="F417" s="60">
        <v>43697</v>
      </c>
      <c r="G417" s="59" t="s">
        <v>4031</v>
      </c>
      <c r="H417" s="61">
        <v>6.9444444444444434E-2</v>
      </c>
      <c r="I417" s="59" t="s">
        <v>640</v>
      </c>
      <c r="J417" s="59" t="s">
        <v>4280</v>
      </c>
      <c r="K417" s="59" t="s">
        <v>568</v>
      </c>
      <c r="L417" s="59" t="s">
        <v>23</v>
      </c>
      <c r="M417" s="59">
        <v>1</v>
      </c>
      <c r="N417" s="59">
        <v>0</v>
      </c>
      <c r="O417" s="59">
        <v>1</v>
      </c>
      <c r="P417" s="59" t="s">
        <v>176</v>
      </c>
      <c r="Q417" s="59" t="s">
        <v>176</v>
      </c>
      <c r="R417" s="59" t="s">
        <v>122</v>
      </c>
      <c r="S417" s="59" t="s">
        <v>4168</v>
      </c>
      <c r="T417" s="59" t="s">
        <v>23</v>
      </c>
      <c r="U417" s="59" t="s">
        <v>3997</v>
      </c>
      <c r="V417" s="59" t="s">
        <v>4022</v>
      </c>
      <c r="W417" s="59"/>
      <c r="X417" s="59">
        <v>311</v>
      </c>
      <c r="Y417" s="59">
        <v>3</v>
      </c>
      <c r="Z417" s="62">
        <v>63.719830000000002</v>
      </c>
      <c r="AA417" s="62">
        <v>148.97626</v>
      </c>
      <c r="AB417" s="62">
        <f t="shared" si="6"/>
        <v>212.69609</v>
      </c>
      <c r="AC417" s="117">
        <v>1</v>
      </c>
      <c r="AD417" s="117"/>
      <c r="AE417" s="59" t="s">
        <v>115</v>
      </c>
      <c r="AF417" s="59" t="s">
        <v>115</v>
      </c>
      <c r="AG417" s="59" t="s">
        <v>115</v>
      </c>
      <c r="AH417" s="59">
        <v>0</v>
      </c>
      <c r="AI417" s="59">
        <v>0</v>
      </c>
      <c r="AJ417" s="59">
        <v>0</v>
      </c>
      <c r="AK417" s="59">
        <v>0</v>
      </c>
      <c r="AL417" s="59">
        <v>10</v>
      </c>
      <c r="AM417" s="59">
        <v>0</v>
      </c>
      <c r="AN417" s="59">
        <v>10</v>
      </c>
      <c r="AO417" s="59"/>
      <c r="AP417" s="59"/>
      <c r="AQ417" s="59"/>
      <c r="AR417" s="59"/>
      <c r="AS417" s="59"/>
      <c r="AT417" s="59"/>
      <c r="AU417" s="59"/>
      <c r="AV417" s="59"/>
    </row>
    <row r="418" spans="1:48" s="77" customFormat="1" x14ac:dyDescent="0.2">
      <c r="A418" s="59" t="s">
        <v>4468</v>
      </c>
      <c r="B418" s="59" t="s">
        <v>4470</v>
      </c>
      <c r="C418" s="59">
        <v>13</v>
      </c>
      <c r="D418" s="59">
        <v>1</v>
      </c>
      <c r="E418" s="59" t="s">
        <v>213</v>
      </c>
      <c r="F418" s="60">
        <v>43697</v>
      </c>
      <c r="G418" s="59" t="s">
        <v>4031</v>
      </c>
      <c r="H418" s="61">
        <v>6.5972222222222224E-2</v>
      </c>
      <c r="I418" s="59" t="s">
        <v>640</v>
      </c>
      <c r="J418" s="59" t="s">
        <v>4280</v>
      </c>
      <c r="K418" s="59" t="s">
        <v>111</v>
      </c>
      <c r="L418" s="59" t="s">
        <v>23</v>
      </c>
      <c r="M418" s="59">
        <v>1</v>
      </c>
      <c r="N418" s="59">
        <v>0</v>
      </c>
      <c r="O418" s="59">
        <v>1</v>
      </c>
      <c r="P418" s="59" t="s">
        <v>176</v>
      </c>
      <c r="Q418" s="59" t="s">
        <v>176</v>
      </c>
      <c r="R418" s="59" t="s">
        <v>122</v>
      </c>
      <c r="S418" s="59" t="s">
        <v>4386</v>
      </c>
      <c r="T418" s="59" t="s">
        <v>23</v>
      </c>
      <c r="U418" s="59" t="s">
        <v>3999</v>
      </c>
      <c r="V418" s="59" t="s">
        <v>176</v>
      </c>
      <c r="W418" s="59"/>
      <c r="X418" s="59">
        <v>323</v>
      </c>
      <c r="Y418" s="59">
        <v>8</v>
      </c>
      <c r="Z418" s="62">
        <v>63.719900000000003</v>
      </c>
      <c r="AA418" s="62">
        <v>148.97828999999999</v>
      </c>
      <c r="AB418" s="62">
        <f t="shared" si="6"/>
        <v>212.69818999999998</v>
      </c>
      <c r="AC418" s="117"/>
      <c r="AD418" s="117"/>
      <c r="AE418" s="59" t="s">
        <v>115</v>
      </c>
      <c r="AF418" s="59" t="s">
        <v>115</v>
      </c>
      <c r="AG418" s="59" t="s">
        <v>115</v>
      </c>
      <c r="AH418" s="59">
        <v>0</v>
      </c>
      <c r="AI418" s="59">
        <v>0</v>
      </c>
      <c r="AJ418" s="59">
        <v>0</v>
      </c>
      <c r="AK418" s="59">
        <v>0</v>
      </c>
      <c r="AL418" s="59">
        <v>0</v>
      </c>
      <c r="AM418" s="59">
        <v>0</v>
      </c>
      <c r="AN418" s="59">
        <v>0</v>
      </c>
      <c r="AO418" s="59"/>
      <c r="AP418" s="59" t="s">
        <v>4467</v>
      </c>
      <c r="AQ418" s="59"/>
      <c r="AR418" s="59"/>
    </row>
    <row r="419" spans="1:48" s="82" customFormat="1" x14ac:dyDescent="0.2">
      <c r="A419" s="59" t="s">
        <v>4455</v>
      </c>
      <c r="B419" s="59" t="s">
        <v>4461</v>
      </c>
      <c r="C419" s="59">
        <v>9</v>
      </c>
      <c r="D419" s="59">
        <v>2</v>
      </c>
      <c r="E419" s="59" t="s">
        <v>213</v>
      </c>
      <c r="F419" s="60">
        <v>43697</v>
      </c>
      <c r="G419" s="59" t="s">
        <v>4031</v>
      </c>
      <c r="H419" s="61">
        <v>7.4305555555555555E-2</v>
      </c>
      <c r="I419" s="59" t="s">
        <v>640</v>
      </c>
      <c r="J419" s="59" t="s">
        <v>4280</v>
      </c>
      <c r="K419" s="59" t="s">
        <v>568</v>
      </c>
      <c r="L419" s="59" t="s">
        <v>23</v>
      </c>
      <c r="M419" s="59">
        <v>1</v>
      </c>
      <c r="N419" s="59">
        <v>0</v>
      </c>
      <c r="O419" s="59">
        <v>1</v>
      </c>
      <c r="P419" s="59" t="s">
        <v>176</v>
      </c>
      <c r="Q419" s="59" t="s">
        <v>176</v>
      </c>
      <c r="R419" s="59" t="s">
        <v>122</v>
      </c>
      <c r="S419" s="59" t="s">
        <v>709</v>
      </c>
      <c r="T419" s="59" t="s">
        <v>23</v>
      </c>
      <c r="U419" s="59" t="s">
        <v>4004</v>
      </c>
      <c r="V419" s="59" t="s">
        <v>4022</v>
      </c>
      <c r="W419" s="59"/>
      <c r="X419" s="59" t="s">
        <v>176</v>
      </c>
      <c r="Y419" s="59" t="s">
        <v>176</v>
      </c>
      <c r="Z419" s="59" t="s">
        <v>176</v>
      </c>
      <c r="AA419" s="59" t="s">
        <v>176</v>
      </c>
      <c r="AB419" s="62" t="e">
        <f t="shared" si="6"/>
        <v>#VALUE!</v>
      </c>
      <c r="AC419" s="117"/>
      <c r="AD419" s="117"/>
      <c r="AE419" s="59" t="s">
        <v>115</v>
      </c>
      <c r="AF419" s="59" t="s">
        <v>115</v>
      </c>
      <c r="AG419" s="59" t="s">
        <v>115</v>
      </c>
      <c r="AH419" s="59">
        <v>0</v>
      </c>
      <c r="AI419" s="59">
        <v>0</v>
      </c>
      <c r="AJ419" s="59">
        <v>0</v>
      </c>
      <c r="AK419" s="59">
        <v>0</v>
      </c>
      <c r="AL419" s="59">
        <v>23</v>
      </c>
      <c r="AM419" s="59">
        <v>0</v>
      </c>
      <c r="AN419" s="59">
        <v>23</v>
      </c>
      <c r="AO419" s="59"/>
      <c r="AP419" s="59" t="s">
        <v>4459</v>
      </c>
      <c r="AQ419" s="59"/>
      <c r="AR419" s="59"/>
    </row>
    <row r="420" spans="1:48" s="82" customFormat="1" x14ac:dyDescent="0.2">
      <c r="A420" s="59" t="s">
        <v>4473</v>
      </c>
      <c r="B420" s="59" t="s">
        <v>4477</v>
      </c>
      <c r="C420" s="59">
        <v>16</v>
      </c>
      <c r="D420" s="59">
        <v>1</v>
      </c>
      <c r="E420" s="59" t="s">
        <v>213</v>
      </c>
      <c r="F420" s="60">
        <v>43697</v>
      </c>
      <c r="G420" s="59" t="s">
        <v>4031</v>
      </c>
      <c r="H420" s="61">
        <v>2.2916666666666669E-2</v>
      </c>
      <c r="I420" s="59"/>
      <c r="J420" s="59" t="s">
        <v>4163</v>
      </c>
      <c r="K420" s="59" t="s">
        <v>568</v>
      </c>
      <c r="L420" s="59" t="s">
        <v>23</v>
      </c>
      <c r="M420" s="59">
        <v>1</v>
      </c>
      <c r="N420" s="59">
        <v>0</v>
      </c>
      <c r="O420" s="59">
        <v>1</v>
      </c>
      <c r="P420" s="59" t="s">
        <v>176</v>
      </c>
      <c r="Q420" s="59" t="s">
        <v>176</v>
      </c>
      <c r="R420" s="59" t="s">
        <v>122</v>
      </c>
      <c r="S420" s="59" t="s">
        <v>176</v>
      </c>
      <c r="T420" s="59" t="s">
        <v>176</v>
      </c>
      <c r="U420" s="59" t="s">
        <v>176</v>
      </c>
      <c r="V420" s="59" t="s">
        <v>176</v>
      </c>
      <c r="W420" s="59" t="s">
        <v>176</v>
      </c>
      <c r="X420" s="59" t="s">
        <v>176</v>
      </c>
      <c r="Y420" s="59" t="s">
        <v>176</v>
      </c>
      <c r="Z420" s="59" t="s">
        <v>176</v>
      </c>
      <c r="AA420" s="59" t="s">
        <v>176</v>
      </c>
      <c r="AB420" s="62" t="e">
        <f t="shared" si="6"/>
        <v>#VALUE!</v>
      </c>
      <c r="AC420" s="117"/>
      <c r="AD420" s="117"/>
      <c r="AE420" s="59" t="s">
        <v>115</v>
      </c>
      <c r="AF420" s="59" t="s">
        <v>115</v>
      </c>
      <c r="AG420" s="59" t="s">
        <v>115</v>
      </c>
      <c r="AH420" s="59">
        <v>0</v>
      </c>
      <c r="AI420" s="59">
        <v>0</v>
      </c>
      <c r="AJ420" s="59">
        <v>0</v>
      </c>
      <c r="AK420" s="59">
        <v>0</v>
      </c>
      <c r="AL420" s="59">
        <v>14</v>
      </c>
      <c r="AM420" s="59">
        <v>0</v>
      </c>
      <c r="AN420" s="59">
        <v>14</v>
      </c>
      <c r="AO420" s="59"/>
      <c r="AP420" s="59" t="s">
        <v>4475</v>
      </c>
      <c r="AQ420" s="59"/>
      <c r="AR420" s="59"/>
      <c r="AS420" s="77"/>
      <c r="AT420" s="77"/>
      <c r="AU420" s="77"/>
      <c r="AV420" s="77"/>
    </row>
    <row r="421" spans="1:48" s="77" customFormat="1" x14ac:dyDescent="0.2">
      <c r="A421" s="59" t="s">
        <v>4501</v>
      </c>
      <c r="B421" s="59" t="s">
        <v>4502</v>
      </c>
      <c r="C421" s="59">
        <v>3</v>
      </c>
      <c r="D421" s="59">
        <v>1</v>
      </c>
      <c r="E421" s="59" t="s">
        <v>4191</v>
      </c>
      <c r="F421" s="60">
        <v>43698</v>
      </c>
      <c r="G421" s="59" t="s">
        <v>4031</v>
      </c>
      <c r="H421" s="61">
        <v>9.6527777777777768E-2</v>
      </c>
      <c r="I421" s="59" t="s">
        <v>884</v>
      </c>
      <c r="J421" s="59" t="s">
        <v>466</v>
      </c>
      <c r="K421" s="59" t="s">
        <v>568</v>
      </c>
      <c r="L421" s="59" t="s">
        <v>23</v>
      </c>
      <c r="M421" s="59">
        <v>1</v>
      </c>
      <c r="N421" s="59">
        <v>0</v>
      </c>
      <c r="O421" s="59">
        <v>1</v>
      </c>
      <c r="P421" s="59" t="s">
        <v>598</v>
      </c>
      <c r="Q421" s="59" t="s">
        <v>4432</v>
      </c>
      <c r="R421" s="59" t="s">
        <v>122</v>
      </c>
      <c r="S421" s="59" t="s">
        <v>4386</v>
      </c>
      <c r="T421" s="59" t="s">
        <v>23</v>
      </c>
      <c r="U421" s="59" t="s">
        <v>3999</v>
      </c>
      <c r="V421" s="59" t="s">
        <v>176</v>
      </c>
      <c r="W421" s="59"/>
      <c r="X421" s="59">
        <v>47</v>
      </c>
      <c r="Y421" s="59">
        <v>9</v>
      </c>
      <c r="Z421" s="62">
        <v>63.739420000000003</v>
      </c>
      <c r="AA421" s="62">
        <v>148.90110999999999</v>
      </c>
      <c r="AB421" s="62">
        <f t="shared" si="6"/>
        <v>212.64052999999998</v>
      </c>
      <c r="AC421" s="117"/>
      <c r="AD421" s="117"/>
      <c r="AE421" s="59" t="s">
        <v>115</v>
      </c>
      <c r="AF421" s="59" t="s">
        <v>115</v>
      </c>
      <c r="AG421" s="59" t="s">
        <v>115</v>
      </c>
      <c r="AH421" s="59">
        <v>0</v>
      </c>
      <c r="AI421" s="59">
        <v>0</v>
      </c>
      <c r="AJ421" s="59">
        <v>0</v>
      </c>
      <c r="AK421" s="59">
        <v>0</v>
      </c>
      <c r="AL421" s="59">
        <v>32</v>
      </c>
      <c r="AM421" s="59">
        <v>0</v>
      </c>
      <c r="AN421" s="59">
        <v>32</v>
      </c>
      <c r="AO421" s="59"/>
      <c r="AP421" s="59"/>
      <c r="AQ421" s="59"/>
      <c r="AR421" s="59"/>
    </row>
    <row r="422" spans="1:48" s="82" customFormat="1" x14ac:dyDescent="0.2">
      <c r="A422" s="59" t="s">
        <v>4525</v>
      </c>
      <c r="B422" s="59" t="s">
        <v>4526</v>
      </c>
      <c r="C422" s="59">
        <v>14</v>
      </c>
      <c r="D422" s="59">
        <v>1</v>
      </c>
      <c r="E422" s="59" t="s">
        <v>4191</v>
      </c>
      <c r="F422" s="60">
        <v>43698</v>
      </c>
      <c r="G422" s="59" t="s">
        <v>4031</v>
      </c>
      <c r="H422" s="61">
        <v>4.2361111111111106E-2</v>
      </c>
      <c r="I422" s="59" t="s">
        <v>398</v>
      </c>
      <c r="J422" s="59" t="s">
        <v>241</v>
      </c>
      <c r="K422" s="59" t="s">
        <v>568</v>
      </c>
      <c r="L422" s="59" t="s">
        <v>23</v>
      </c>
      <c r="M422" s="59">
        <v>1</v>
      </c>
      <c r="N422" s="59">
        <v>0</v>
      </c>
      <c r="O422" s="59">
        <v>1</v>
      </c>
      <c r="P422" s="59" t="s">
        <v>112</v>
      </c>
      <c r="Q422" s="59" t="s">
        <v>4319</v>
      </c>
      <c r="R422" s="59" t="s">
        <v>122</v>
      </c>
      <c r="S422" s="59" t="s">
        <v>1035</v>
      </c>
      <c r="T422" s="59" t="s">
        <v>23</v>
      </c>
      <c r="U422" s="59" t="s">
        <v>3997</v>
      </c>
      <c r="V422" s="59" t="s">
        <v>4006</v>
      </c>
      <c r="W422" s="59"/>
      <c r="X422" s="59">
        <v>112</v>
      </c>
      <c r="Y422" s="59">
        <v>2</v>
      </c>
      <c r="Z422" s="62">
        <v>63.740389999999998</v>
      </c>
      <c r="AA422" s="62">
        <v>148.89777000000001</v>
      </c>
      <c r="AB422" s="62">
        <f t="shared" si="6"/>
        <v>212.63816</v>
      </c>
      <c r="AC422" s="117"/>
      <c r="AD422" s="117"/>
      <c r="AE422" s="59" t="s">
        <v>115</v>
      </c>
      <c r="AF422" s="59" t="s">
        <v>115</v>
      </c>
      <c r="AG422" s="59" t="s">
        <v>115</v>
      </c>
      <c r="AH422" s="59">
        <v>0</v>
      </c>
      <c r="AI422" s="59">
        <v>0</v>
      </c>
      <c r="AJ422" s="59">
        <v>0</v>
      </c>
      <c r="AK422" s="59">
        <v>0</v>
      </c>
      <c r="AL422" s="59">
        <v>7</v>
      </c>
      <c r="AM422" s="59">
        <v>0</v>
      </c>
      <c r="AN422" s="59">
        <v>7</v>
      </c>
      <c r="AO422" s="59"/>
      <c r="AP422" s="59"/>
      <c r="AQ422" s="59"/>
      <c r="AR422" s="59"/>
      <c r="AS422" s="72"/>
      <c r="AT422" s="72"/>
      <c r="AU422" s="72"/>
      <c r="AV422" s="72"/>
    </row>
    <row r="423" spans="1:48" s="82" customFormat="1" x14ac:dyDescent="0.2">
      <c r="A423" s="59" t="s">
        <v>4518</v>
      </c>
      <c r="B423" s="59" t="s">
        <v>4519</v>
      </c>
      <c r="C423" s="59">
        <v>11</v>
      </c>
      <c r="D423" s="59">
        <v>1</v>
      </c>
      <c r="E423" s="59" t="s">
        <v>4191</v>
      </c>
      <c r="F423" s="60">
        <v>43698</v>
      </c>
      <c r="G423" s="59" t="s">
        <v>4031</v>
      </c>
      <c r="H423" s="61">
        <v>2.7777777777777776E-2</v>
      </c>
      <c r="I423" s="59" t="s">
        <v>398</v>
      </c>
      <c r="J423" s="59" t="s">
        <v>241</v>
      </c>
      <c r="K423" s="59" t="s">
        <v>4412</v>
      </c>
      <c r="L423" s="59" t="s">
        <v>23</v>
      </c>
      <c r="M423" s="59">
        <v>1</v>
      </c>
      <c r="N423" s="59">
        <v>0</v>
      </c>
      <c r="O423" s="59">
        <v>1</v>
      </c>
      <c r="P423" s="59" t="s">
        <v>176</v>
      </c>
      <c r="Q423" s="59" t="s">
        <v>176</v>
      </c>
      <c r="R423" s="59" t="s">
        <v>176</v>
      </c>
      <c r="S423" s="59" t="s">
        <v>1035</v>
      </c>
      <c r="T423" s="59" t="s">
        <v>23</v>
      </c>
      <c r="U423" s="59" t="s">
        <v>3997</v>
      </c>
      <c r="V423" s="59" t="s">
        <v>4006</v>
      </c>
      <c r="W423" s="59"/>
      <c r="X423" s="59">
        <v>130</v>
      </c>
      <c r="Y423" s="59" t="s">
        <v>176</v>
      </c>
      <c r="Z423" s="62">
        <v>63.740549999999999</v>
      </c>
      <c r="AA423" s="62">
        <v>148.89922000000001</v>
      </c>
      <c r="AB423" s="62">
        <f t="shared" si="6"/>
        <v>212.63977</v>
      </c>
      <c r="AC423" s="117"/>
      <c r="AD423" s="117"/>
      <c r="AE423" s="59" t="s">
        <v>115</v>
      </c>
      <c r="AF423" s="59" t="s">
        <v>115</v>
      </c>
      <c r="AG423" s="59" t="s">
        <v>115</v>
      </c>
      <c r="AH423" s="59">
        <v>0</v>
      </c>
      <c r="AI423" s="59">
        <v>0</v>
      </c>
      <c r="AJ423" s="59">
        <v>0</v>
      </c>
      <c r="AK423" s="59">
        <v>0</v>
      </c>
      <c r="AL423" s="59">
        <v>0</v>
      </c>
      <c r="AM423" s="59">
        <v>0</v>
      </c>
      <c r="AN423" s="59">
        <v>0</v>
      </c>
      <c r="AO423" s="59"/>
      <c r="AP423" s="59"/>
      <c r="AQ423" s="59"/>
      <c r="AR423" s="59"/>
      <c r="AS423" s="72"/>
      <c r="AT423" s="72"/>
      <c r="AU423" s="72"/>
      <c r="AV423" s="72"/>
    </row>
    <row r="424" spans="1:48" s="82" customFormat="1" x14ac:dyDescent="0.2">
      <c r="A424" s="59" t="s">
        <v>4503</v>
      </c>
      <c r="B424" s="59" t="s">
        <v>4504</v>
      </c>
      <c r="C424" s="59">
        <v>4</v>
      </c>
      <c r="D424" s="59">
        <v>1</v>
      </c>
      <c r="E424" s="59" t="s">
        <v>4191</v>
      </c>
      <c r="F424" s="60">
        <v>43698</v>
      </c>
      <c r="G424" s="59" t="s">
        <v>4031</v>
      </c>
      <c r="H424" s="59"/>
      <c r="I424" s="59" t="s">
        <v>884</v>
      </c>
      <c r="J424" s="59" t="s">
        <v>466</v>
      </c>
      <c r="K424" s="59" t="s">
        <v>568</v>
      </c>
      <c r="L424" s="59" t="s">
        <v>23</v>
      </c>
      <c r="M424" s="59">
        <v>1</v>
      </c>
      <c r="N424" s="59">
        <v>0</v>
      </c>
      <c r="O424" s="59">
        <v>1</v>
      </c>
      <c r="P424" s="59" t="s">
        <v>176</v>
      </c>
      <c r="Q424" s="59" t="s">
        <v>176</v>
      </c>
      <c r="R424" s="59" t="s">
        <v>122</v>
      </c>
      <c r="S424" s="59" t="s">
        <v>333</v>
      </c>
      <c r="T424" s="59" t="s">
        <v>23</v>
      </c>
      <c r="U424" s="59" t="s">
        <v>3999</v>
      </c>
      <c r="V424" s="59" t="s">
        <v>4006</v>
      </c>
      <c r="W424" s="59"/>
      <c r="X424" s="59">
        <v>142</v>
      </c>
      <c r="Y424" s="59">
        <v>3</v>
      </c>
      <c r="Z424" s="62">
        <v>63.738419999999998</v>
      </c>
      <c r="AA424" s="62">
        <v>148.90115</v>
      </c>
      <c r="AB424" s="62">
        <f t="shared" si="6"/>
        <v>212.63956999999999</v>
      </c>
      <c r="AC424" s="117"/>
      <c r="AD424" s="117"/>
      <c r="AE424" s="59" t="s">
        <v>115</v>
      </c>
      <c r="AF424" s="59" t="s">
        <v>115</v>
      </c>
      <c r="AG424" s="59" t="s">
        <v>115</v>
      </c>
      <c r="AH424" s="59">
        <v>0</v>
      </c>
      <c r="AI424" s="59">
        <v>0</v>
      </c>
      <c r="AJ424" s="59">
        <v>0</v>
      </c>
      <c r="AK424" s="59">
        <v>0</v>
      </c>
      <c r="AL424" s="59">
        <v>20</v>
      </c>
      <c r="AM424" s="59">
        <v>0</v>
      </c>
      <c r="AN424" s="59">
        <v>20</v>
      </c>
      <c r="AO424" s="59"/>
      <c r="AP424" s="59"/>
      <c r="AQ424" s="59"/>
      <c r="AR424" s="59"/>
      <c r="AS424" s="72"/>
      <c r="AT424" s="72"/>
      <c r="AU424" s="72"/>
      <c r="AV424" s="72"/>
    </row>
    <row r="425" spans="1:48" s="82" customFormat="1" x14ac:dyDescent="0.2">
      <c r="A425" s="59" t="s">
        <v>4516</v>
      </c>
      <c r="B425" s="59" t="s">
        <v>4517</v>
      </c>
      <c r="C425" s="59">
        <v>10</v>
      </c>
      <c r="D425" s="59">
        <v>1</v>
      </c>
      <c r="E425" s="59" t="s">
        <v>4191</v>
      </c>
      <c r="F425" s="60">
        <v>43698</v>
      </c>
      <c r="G425" s="59" t="s">
        <v>4031</v>
      </c>
      <c r="H425" s="61">
        <v>2.7777777777777776E-2</v>
      </c>
      <c r="I425" s="59" t="s">
        <v>398</v>
      </c>
      <c r="J425" s="59" t="s">
        <v>241</v>
      </c>
      <c r="K425" s="59" t="s">
        <v>111</v>
      </c>
      <c r="L425" s="59" t="s">
        <v>23</v>
      </c>
      <c r="M425" s="59">
        <v>0</v>
      </c>
      <c r="N425" s="59">
        <v>0</v>
      </c>
      <c r="O425" s="59">
        <v>1</v>
      </c>
      <c r="P425" s="59" t="s">
        <v>176</v>
      </c>
      <c r="Q425" s="59" t="s">
        <v>176</v>
      </c>
      <c r="R425" s="59" t="s">
        <v>176</v>
      </c>
      <c r="S425" s="59" t="s">
        <v>4385</v>
      </c>
      <c r="T425" s="59" t="s">
        <v>23</v>
      </c>
      <c r="U425" s="59" t="s">
        <v>3997</v>
      </c>
      <c r="V425" s="59" t="s">
        <v>176</v>
      </c>
      <c r="W425" s="59"/>
      <c r="X425" s="59">
        <v>145</v>
      </c>
      <c r="Y425" s="59" t="s">
        <v>176</v>
      </c>
      <c r="Z425" s="62">
        <v>63.738219999999998</v>
      </c>
      <c r="AA425" s="62">
        <v>148.90351999999999</v>
      </c>
      <c r="AB425" s="62">
        <f t="shared" si="6"/>
        <v>212.64173999999997</v>
      </c>
      <c r="AC425" s="117"/>
      <c r="AD425" s="117"/>
      <c r="AE425" s="59" t="s">
        <v>115</v>
      </c>
      <c r="AF425" s="59" t="s">
        <v>115</v>
      </c>
      <c r="AG425" s="59" t="s">
        <v>115</v>
      </c>
      <c r="AH425" s="59">
        <v>0</v>
      </c>
      <c r="AI425" s="59">
        <v>0</v>
      </c>
      <c r="AJ425" s="59">
        <v>0</v>
      </c>
      <c r="AK425" s="59">
        <v>0</v>
      </c>
      <c r="AL425" s="59">
        <v>0</v>
      </c>
      <c r="AM425" s="59">
        <v>0</v>
      </c>
      <c r="AN425" s="59">
        <v>0</v>
      </c>
      <c r="AO425" s="59"/>
      <c r="AP425" s="59"/>
      <c r="AQ425" s="59"/>
      <c r="AR425" s="59"/>
      <c r="AS425" s="77"/>
      <c r="AT425" s="77"/>
      <c r="AU425" s="77"/>
      <c r="AV425" s="77"/>
    </row>
    <row r="426" spans="1:48" s="82" customFormat="1" x14ac:dyDescent="0.2">
      <c r="A426" s="59" t="s">
        <v>4520</v>
      </c>
      <c r="B426" s="59" t="s">
        <v>4521</v>
      </c>
      <c r="C426" s="59">
        <v>12</v>
      </c>
      <c r="D426" s="59">
        <v>2</v>
      </c>
      <c r="E426" s="59" t="s">
        <v>4191</v>
      </c>
      <c r="F426" s="60">
        <v>43698</v>
      </c>
      <c r="G426" s="59" t="s">
        <v>4031</v>
      </c>
      <c r="H426" s="61">
        <v>2.2222222222222223E-2</v>
      </c>
      <c r="I426" s="59" t="s">
        <v>398</v>
      </c>
      <c r="J426" s="59" t="s">
        <v>241</v>
      </c>
      <c r="K426" s="59" t="s">
        <v>568</v>
      </c>
      <c r="L426" s="59" t="s">
        <v>23</v>
      </c>
      <c r="M426" s="59">
        <v>1</v>
      </c>
      <c r="N426" s="59">
        <v>0</v>
      </c>
      <c r="O426" s="59">
        <v>1</v>
      </c>
      <c r="P426" s="59" t="s">
        <v>112</v>
      </c>
      <c r="Q426" s="59" t="s">
        <v>4319</v>
      </c>
      <c r="R426" s="59" t="s">
        <v>122</v>
      </c>
      <c r="S426" s="59" t="s">
        <v>1035</v>
      </c>
      <c r="T426" s="59" t="s">
        <v>23</v>
      </c>
      <c r="U426" s="59" t="s">
        <v>3997</v>
      </c>
      <c r="V426" s="59" t="s">
        <v>4006</v>
      </c>
      <c r="W426" s="59"/>
      <c r="X426" s="59">
        <v>192</v>
      </c>
      <c r="Y426" s="59">
        <v>4</v>
      </c>
      <c r="Z426" s="62">
        <v>63.740279999999998</v>
      </c>
      <c r="AA426" s="62">
        <v>148.89796000000001</v>
      </c>
      <c r="AB426" s="62">
        <f t="shared" si="6"/>
        <v>212.63824</v>
      </c>
      <c r="AC426" s="117">
        <v>1</v>
      </c>
      <c r="AD426" s="117"/>
      <c r="AE426" s="59" t="s">
        <v>115</v>
      </c>
      <c r="AF426" s="59" t="s">
        <v>115</v>
      </c>
      <c r="AG426" s="59" t="s">
        <v>115</v>
      </c>
      <c r="AH426" s="59">
        <v>0</v>
      </c>
      <c r="AI426" s="59">
        <v>0</v>
      </c>
      <c r="AJ426" s="59">
        <v>0</v>
      </c>
      <c r="AK426" s="59">
        <v>0</v>
      </c>
      <c r="AL426" s="59">
        <v>8</v>
      </c>
      <c r="AM426" s="59">
        <v>0</v>
      </c>
      <c r="AN426" s="59">
        <v>8</v>
      </c>
      <c r="AO426" s="59"/>
      <c r="AP426" s="59" t="s">
        <v>4522</v>
      </c>
      <c r="AQ426" s="59"/>
      <c r="AR426" s="59"/>
      <c r="AS426" s="59"/>
      <c r="AT426" s="59"/>
      <c r="AU426" s="59"/>
      <c r="AV426" s="59"/>
    </row>
    <row r="427" spans="1:48" s="82" customFormat="1" x14ac:dyDescent="0.2">
      <c r="A427" s="59" t="s">
        <v>4512</v>
      </c>
      <c r="B427" s="59" t="s">
        <v>4513</v>
      </c>
      <c r="C427" s="59">
        <v>8</v>
      </c>
      <c r="D427" s="59">
        <v>1</v>
      </c>
      <c r="E427" s="59" t="s">
        <v>4191</v>
      </c>
      <c r="F427" s="60">
        <v>43698</v>
      </c>
      <c r="G427" s="59" t="s">
        <v>4031</v>
      </c>
      <c r="H427" s="61">
        <v>5.4166666666666669E-2</v>
      </c>
      <c r="I427" s="59" t="s">
        <v>398</v>
      </c>
      <c r="J427" s="59" t="s">
        <v>4509</v>
      </c>
      <c r="K427" s="59" t="s">
        <v>568</v>
      </c>
      <c r="L427" s="59" t="s">
        <v>23</v>
      </c>
      <c r="M427" s="59">
        <v>1</v>
      </c>
      <c r="N427" s="59">
        <v>0</v>
      </c>
      <c r="O427" s="59">
        <v>1</v>
      </c>
      <c r="P427" s="59" t="s">
        <v>176</v>
      </c>
      <c r="Q427" s="59" t="s">
        <v>176</v>
      </c>
      <c r="R427" s="59" t="s">
        <v>122</v>
      </c>
      <c r="S427" s="59" t="s">
        <v>4385</v>
      </c>
      <c r="T427" s="59" t="s">
        <v>23</v>
      </c>
      <c r="U427" s="59" t="s">
        <v>3997</v>
      </c>
      <c r="V427" s="59" t="s">
        <v>176</v>
      </c>
      <c r="W427" s="59"/>
      <c r="X427" s="59">
        <v>202</v>
      </c>
      <c r="Y427" s="59">
        <v>4</v>
      </c>
      <c r="Z427" s="62">
        <v>63.738610000000001</v>
      </c>
      <c r="AA427" s="62">
        <v>148.90358000000001</v>
      </c>
      <c r="AB427" s="62">
        <f t="shared" si="6"/>
        <v>212.64219</v>
      </c>
      <c r="AC427" s="117"/>
      <c r="AD427" s="117"/>
      <c r="AE427" s="59" t="s">
        <v>115</v>
      </c>
      <c r="AF427" s="59" t="s">
        <v>115</v>
      </c>
      <c r="AG427" s="59" t="s">
        <v>115</v>
      </c>
      <c r="AH427" s="59">
        <v>0</v>
      </c>
      <c r="AI427" s="59">
        <v>0</v>
      </c>
      <c r="AJ427" s="59">
        <v>0</v>
      </c>
      <c r="AK427" s="59">
        <v>0</v>
      </c>
      <c r="AL427" s="59">
        <v>70</v>
      </c>
      <c r="AM427" s="59">
        <v>0</v>
      </c>
      <c r="AN427" s="59">
        <v>70</v>
      </c>
      <c r="AO427" s="59"/>
      <c r="AP427" s="59"/>
      <c r="AQ427" s="59"/>
      <c r="AR427" s="59"/>
    </row>
    <row r="428" spans="1:48" s="82" customFormat="1" x14ac:dyDescent="0.2">
      <c r="A428" s="59" t="s">
        <v>4514</v>
      </c>
      <c r="B428" s="59" t="s">
        <v>4515</v>
      </c>
      <c r="C428" s="59">
        <v>9</v>
      </c>
      <c r="D428" s="59">
        <v>1</v>
      </c>
      <c r="E428" s="59" t="s">
        <v>4191</v>
      </c>
      <c r="F428" s="60">
        <v>43698</v>
      </c>
      <c r="G428" s="59" t="s">
        <v>4031</v>
      </c>
      <c r="H428" s="61">
        <v>2.2916666666666669E-2</v>
      </c>
      <c r="I428" s="59" t="s">
        <v>398</v>
      </c>
      <c r="J428" s="59" t="s">
        <v>4509</v>
      </c>
      <c r="K428" s="59" t="s">
        <v>4235</v>
      </c>
      <c r="L428" s="59" t="s">
        <v>23</v>
      </c>
      <c r="M428" s="59">
        <v>0</v>
      </c>
      <c r="N428" s="59">
        <v>0</v>
      </c>
      <c r="O428" s="59">
        <v>1</v>
      </c>
      <c r="P428" s="59" t="s">
        <v>176</v>
      </c>
      <c r="Q428" s="59" t="s">
        <v>176</v>
      </c>
      <c r="R428" s="59" t="s">
        <v>176</v>
      </c>
      <c r="S428" s="59" t="s">
        <v>4386</v>
      </c>
      <c r="T428" s="59" t="s">
        <v>23</v>
      </c>
      <c r="U428" s="59" t="s">
        <v>3999</v>
      </c>
      <c r="V428" s="59" t="s">
        <v>176</v>
      </c>
      <c r="W428" s="59"/>
      <c r="X428" s="59">
        <v>212</v>
      </c>
      <c r="Y428" s="59" t="s">
        <v>176</v>
      </c>
      <c r="Z428" s="62">
        <v>63.73854</v>
      </c>
      <c r="AA428" s="62">
        <v>148.90338</v>
      </c>
      <c r="AB428" s="62">
        <f t="shared" si="6"/>
        <v>212.64192</v>
      </c>
      <c r="AC428" s="117"/>
      <c r="AD428" s="117"/>
      <c r="AE428" s="59" t="s">
        <v>115</v>
      </c>
      <c r="AF428" s="59" t="s">
        <v>115</v>
      </c>
      <c r="AG428" s="59" t="s">
        <v>115</v>
      </c>
      <c r="AH428" s="59">
        <v>0</v>
      </c>
      <c r="AI428" s="59">
        <v>0</v>
      </c>
      <c r="AJ428" s="59">
        <v>0</v>
      </c>
      <c r="AK428" s="59">
        <v>0</v>
      </c>
      <c r="AL428" s="59">
        <v>13</v>
      </c>
      <c r="AM428" s="59">
        <v>0</v>
      </c>
      <c r="AN428" s="59">
        <v>13</v>
      </c>
      <c r="AO428" s="59"/>
      <c r="AP428" s="59"/>
      <c r="AQ428" s="59"/>
      <c r="AR428" s="59"/>
      <c r="AS428" s="77"/>
      <c r="AT428" s="77"/>
      <c r="AU428" s="77"/>
      <c r="AV428" s="77"/>
    </row>
    <row r="429" spans="1:48" s="77" customFormat="1" x14ac:dyDescent="0.2">
      <c r="A429" s="59" t="s">
        <v>4523</v>
      </c>
      <c r="B429" s="59" t="s">
        <v>4524</v>
      </c>
      <c r="C429" s="59">
        <v>13</v>
      </c>
      <c r="D429" s="59">
        <v>2</v>
      </c>
      <c r="E429" s="59" t="s">
        <v>4191</v>
      </c>
      <c r="F429" s="60">
        <v>43698</v>
      </c>
      <c r="G429" s="59" t="s">
        <v>4031</v>
      </c>
      <c r="H429" s="61">
        <v>2.7083333333333334E-2</v>
      </c>
      <c r="I429" s="59" t="s">
        <v>398</v>
      </c>
      <c r="J429" s="59" t="s">
        <v>241</v>
      </c>
      <c r="K429" s="59" t="s">
        <v>568</v>
      </c>
      <c r="L429" s="59" t="s">
        <v>23</v>
      </c>
      <c r="M429" s="59">
        <v>1</v>
      </c>
      <c r="N429" s="59">
        <v>0</v>
      </c>
      <c r="O429" s="59">
        <v>1</v>
      </c>
      <c r="P429" s="59" t="s">
        <v>112</v>
      </c>
      <c r="Q429" s="59" t="s">
        <v>4319</v>
      </c>
      <c r="R429" s="59" t="s">
        <v>122</v>
      </c>
      <c r="S429" s="59" t="s">
        <v>333</v>
      </c>
      <c r="T429" s="59" t="s">
        <v>23</v>
      </c>
      <c r="U429" s="59" t="s">
        <v>3999</v>
      </c>
      <c r="V429" s="59" t="s">
        <v>4006</v>
      </c>
      <c r="W429" s="59"/>
      <c r="X429" s="59">
        <v>221</v>
      </c>
      <c r="Y429" s="59">
        <v>8</v>
      </c>
      <c r="Z429" s="62">
        <v>63.740409999999997</v>
      </c>
      <c r="AA429" s="62">
        <v>148.89762999999999</v>
      </c>
      <c r="AB429" s="62">
        <f t="shared" si="6"/>
        <v>212.63803999999999</v>
      </c>
      <c r="AC429" s="117"/>
      <c r="AD429" s="117"/>
      <c r="AE429" s="59" t="s">
        <v>115</v>
      </c>
      <c r="AF429" s="59" t="s">
        <v>115</v>
      </c>
      <c r="AG429" s="59" t="s">
        <v>115</v>
      </c>
      <c r="AH429" s="59">
        <v>0</v>
      </c>
      <c r="AI429" s="59">
        <v>0</v>
      </c>
      <c r="AJ429" s="59">
        <v>0</v>
      </c>
      <c r="AK429" s="59">
        <v>0</v>
      </c>
      <c r="AL429" s="59">
        <v>5</v>
      </c>
      <c r="AM429" s="59">
        <v>0</v>
      </c>
      <c r="AN429" s="59">
        <v>5</v>
      </c>
      <c r="AO429" s="59"/>
      <c r="AP429" s="59"/>
      <c r="AQ429" s="59"/>
      <c r="AR429" s="59"/>
      <c r="AS429" s="72"/>
      <c r="AT429" s="72"/>
      <c r="AU429" s="72"/>
      <c r="AV429" s="72"/>
    </row>
    <row r="430" spans="1:48" s="82" customFormat="1" x14ac:dyDescent="0.2">
      <c r="A430" s="59" t="s">
        <v>4520</v>
      </c>
      <c r="B430" s="59" t="s">
        <v>4521</v>
      </c>
      <c r="C430" s="59">
        <v>12</v>
      </c>
      <c r="D430" s="59">
        <v>1</v>
      </c>
      <c r="E430" s="59" t="s">
        <v>4191</v>
      </c>
      <c r="F430" s="60">
        <v>43698</v>
      </c>
      <c r="G430" s="59" t="s">
        <v>4031</v>
      </c>
      <c r="H430" s="61">
        <v>2.2222222222222223E-2</v>
      </c>
      <c r="I430" s="59" t="s">
        <v>398</v>
      </c>
      <c r="J430" s="59" t="s">
        <v>241</v>
      </c>
      <c r="K430" s="59" t="s">
        <v>111</v>
      </c>
      <c r="L430" s="59" t="s">
        <v>23</v>
      </c>
      <c r="M430" s="59">
        <v>1</v>
      </c>
      <c r="N430" s="59">
        <v>0</v>
      </c>
      <c r="O430" s="59">
        <v>1</v>
      </c>
      <c r="P430" s="59" t="s">
        <v>112</v>
      </c>
      <c r="Q430" s="59" t="s">
        <v>4319</v>
      </c>
      <c r="R430" s="59" t="s">
        <v>122</v>
      </c>
      <c r="S430" s="59" t="s">
        <v>1035</v>
      </c>
      <c r="T430" s="59" t="s">
        <v>23</v>
      </c>
      <c r="U430" s="59" t="s">
        <v>3997</v>
      </c>
      <c r="V430" s="59" t="s">
        <v>4006</v>
      </c>
      <c r="W430" s="59"/>
      <c r="X430" s="59">
        <v>226</v>
      </c>
      <c r="Y430" s="59">
        <v>3</v>
      </c>
      <c r="Z430" s="62">
        <v>63.740259999999999</v>
      </c>
      <c r="AA430" s="62">
        <v>148.89783</v>
      </c>
      <c r="AB430" s="62">
        <f t="shared" si="6"/>
        <v>212.63809000000001</v>
      </c>
      <c r="AC430" s="117"/>
      <c r="AD430" s="117"/>
      <c r="AE430" s="59" t="s">
        <v>115</v>
      </c>
      <c r="AF430" s="59" t="s">
        <v>115</v>
      </c>
      <c r="AG430" s="59" t="s">
        <v>115</v>
      </c>
      <c r="AH430" s="59">
        <v>0</v>
      </c>
      <c r="AI430" s="59">
        <v>0</v>
      </c>
      <c r="AJ430" s="59">
        <v>0</v>
      </c>
      <c r="AK430" s="59">
        <v>0</v>
      </c>
      <c r="AL430" s="59">
        <v>0</v>
      </c>
      <c r="AM430" s="59">
        <v>0</v>
      </c>
      <c r="AN430" s="59">
        <v>0</v>
      </c>
      <c r="AO430" s="59"/>
      <c r="AP430" s="59" t="s">
        <v>4522</v>
      </c>
      <c r="AQ430" s="59"/>
      <c r="AR430" s="59"/>
      <c r="AS430" s="72"/>
      <c r="AT430" s="72"/>
      <c r="AU430" s="72"/>
      <c r="AV430" s="72"/>
    </row>
    <row r="431" spans="1:48" s="82" customFormat="1" x14ac:dyDescent="0.2">
      <c r="A431" s="59" t="s">
        <v>4530</v>
      </c>
      <c r="B431" s="59" t="s">
        <v>4531</v>
      </c>
      <c r="C431" s="59">
        <v>16</v>
      </c>
      <c r="D431" s="59">
        <v>1</v>
      </c>
      <c r="E431" s="59" t="s">
        <v>4191</v>
      </c>
      <c r="F431" s="60">
        <v>43698</v>
      </c>
      <c r="G431" s="59" t="s">
        <v>4031</v>
      </c>
      <c r="H431" s="61">
        <v>2.2916666666666669E-2</v>
      </c>
      <c r="I431" s="59" t="s">
        <v>398</v>
      </c>
      <c r="J431" s="59" t="s">
        <v>241</v>
      </c>
      <c r="K431" s="59" t="s">
        <v>568</v>
      </c>
      <c r="L431" s="59" t="s">
        <v>23</v>
      </c>
      <c r="M431" s="59">
        <v>1</v>
      </c>
      <c r="N431" s="59">
        <v>0</v>
      </c>
      <c r="O431" s="59">
        <v>1</v>
      </c>
      <c r="P431" s="59" t="s">
        <v>112</v>
      </c>
      <c r="Q431" s="59" t="s">
        <v>4319</v>
      </c>
      <c r="R431" s="59" t="s">
        <v>122</v>
      </c>
      <c r="S431" s="59" t="s">
        <v>4385</v>
      </c>
      <c r="T431" s="59" t="s">
        <v>23</v>
      </c>
      <c r="U431" s="59" t="s">
        <v>3997</v>
      </c>
      <c r="V431" s="59" t="s">
        <v>3810</v>
      </c>
      <c r="W431" s="59"/>
      <c r="X431" s="59">
        <v>232</v>
      </c>
      <c r="Y431" s="59">
        <v>9</v>
      </c>
      <c r="Z431" s="62">
        <v>63.740270000000002</v>
      </c>
      <c r="AA431" s="62">
        <v>148.89796000000001</v>
      </c>
      <c r="AB431" s="62">
        <f t="shared" si="6"/>
        <v>212.63823000000002</v>
      </c>
      <c r="AC431" s="117"/>
      <c r="AD431" s="117"/>
      <c r="AE431" s="59" t="s">
        <v>115</v>
      </c>
      <c r="AF431" s="59" t="s">
        <v>115</v>
      </c>
      <c r="AG431" s="59" t="s">
        <v>115</v>
      </c>
      <c r="AH431" s="59">
        <v>0</v>
      </c>
      <c r="AI431" s="59">
        <v>0</v>
      </c>
      <c r="AJ431" s="59">
        <v>0</v>
      </c>
      <c r="AK431" s="59">
        <v>0</v>
      </c>
      <c r="AL431" s="59">
        <v>4</v>
      </c>
      <c r="AM431" s="59">
        <v>0</v>
      </c>
      <c r="AN431" s="59">
        <v>4</v>
      </c>
      <c r="AO431" s="59"/>
      <c r="AP431" s="59"/>
      <c r="AQ431" s="59"/>
      <c r="AR431" s="59"/>
      <c r="AS431" s="72"/>
      <c r="AT431" s="72"/>
      <c r="AU431" s="72"/>
      <c r="AV431" s="72"/>
    </row>
    <row r="432" spans="1:48" s="82" customFormat="1" x14ac:dyDescent="0.2">
      <c r="A432" s="59" t="s">
        <v>4527</v>
      </c>
      <c r="B432" s="59" t="s">
        <v>4528</v>
      </c>
      <c r="C432" s="59">
        <v>15</v>
      </c>
      <c r="D432" s="59">
        <v>2</v>
      </c>
      <c r="E432" s="59" t="s">
        <v>4191</v>
      </c>
      <c r="F432" s="60">
        <v>43698</v>
      </c>
      <c r="G432" s="59" t="s">
        <v>4031</v>
      </c>
      <c r="H432" s="61">
        <v>3.125E-2</v>
      </c>
      <c r="I432" s="59" t="s">
        <v>398</v>
      </c>
      <c r="J432" s="59" t="s">
        <v>241</v>
      </c>
      <c r="K432" s="59" t="s">
        <v>111</v>
      </c>
      <c r="L432" s="59" t="s">
        <v>23</v>
      </c>
      <c r="M432" s="59">
        <v>1</v>
      </c>
      <c r="N432" s="59">
        <v>0</v>
      </c>
      <c r="O432" s="59">
        <v>1</v>
      </c>
      <c r="P432" s="59" t="s">
        <v>112</v>
      </c>
      <c r="Q432" s="59" t="s">
        <v>4319</v>
      </c>
      <c r="R432" s="59" t="s">
        <v>122</v>
      </c>
      <c r="S432" s="59" t="s">
        <v>1035</v>
      </c>
      <c r="T432" s="59" t="s">
        <v>23</v>
      </c>
      <c r="U432" s="59" t="s">
        <v>3997</v>
      </c>
      <c r="V432" s="59" t="s">
        <v>4006</v>
      </c>
      <c r="W432" s="59"/>
      <c r="X432" s="59">
        <v>250</v>
      </c>
      <c r="Y432" s="59">
        <v>4</v>
      </c>
      <c r="Z432" s="62">
        <v>63.740279999999998</v>
      </c>
      <c r="AA432" s="62">
        <v>148.89796000000001</v>
      </c>
      <c r="AB432" s="62">
        <f t="shared" si="6"/>
        <v>212.63824</v>
      </c>
      <c r="AC432" s="117">
        <v>1</v>
      </c>
      <c r="AD432" s="117" t="s">
        <v>4765</v>
      </c>
      <c r="AE432" s="59" t="s">
        <v>115</v>
      </c>
      <c r="AF432" s="59" t="s">
        <v>115</v>
      </c>
      <c r="AG432" s="59" t="s">
        <v>115</v>
      </c>
      <c r="AH432" s="59">
        <v>0</v>
      </c>
      <c r="AI432" s="59">
        <v>0</v>
      </c>
      <c r="AJ432" s="59">
        <v>0</v>
      </c>
      <c r="AK432" s="59">
        <v>0</v>
      </c>
      <c r="AL432" s="59">
        <v>4</v>
      </c>
      <c r="AM432" s="59">
        <v>0</v>
      </c>
      <c r="AN432" s="59">
        <v>4</v>
      </c>
      <c r="AO432" s="59"/>
      <c r="AP432" s="59" t="s">
        <v>4529</v>
      </c>
      <c r="AQ432" s="59"/>
      <c r="AR432" s="59"/>
      <c r="AS432" s="59"/>
      <c r="AT432" s="59"/>
      <c r="AU432" s="59"/>
      <c r="AV432" s="59"/>
    </row>
    <row r="433" spans="1:48" s="82" customFormat="1" x14ac:dyDescent="0.2">
      <c r="A433" s="59" t="s">
        <v>4523</v>
      </c>
      <c r="B433" s="59" t="s">
        <v>4524</v>
      </c>
      <c r="C433" s="59">
        <v>13</v>
      </c>
      <c r="D433" s="59">
        <v>1</v>
      </c>
      <c r="E433" s="59" t="s">
        <v>4191</v>
      </c>
      <c r="F433" s="60">
        <v>43698</v>
      </c>
      <c r="G433" s="59" t="s">
        <v>4031</v>
      </c>
      <c r="H433" s="61">
        <v>2.7083333333333334E-2</v>
      </c>
      <c r="I433" s="59" t="s">
        <v>398</v>
      </c>
      <c r="J433" s="59" t="s">
        <v>241</v>
      </c>
      <c r="K433" s="59" t="s">
        <v>568</v>
      </c>
      <c r="L433" s="59" t="s">
        <v>23</v>
      </c>
      <c r="M433" s="59">
        <v>1</v>
      </c>
      <c r="N433" s="59">
        <v>0</v>
      </c>
      <c r="O433" s="59">
        <v>1</v>
      </c>
      <c r="P433" s="59" t="s">
        <v>112</v>
      </c>
      <c r="Q433" s="59" t="s">
        <v>4319</v>
      </c>
      <c r="R433" s="59" t="s">
        <v>122</v>
      </c>
      <c r="S433" s="59" t="s">
        <v>1035</v>
      </c>
      <c r="T433" s="59" t="s">
        <v>23</v>
      </c>
      <c r="U433" s="59" t="s">
        <v>3997</v>
      </c>
      <c r="V433" s="59" t="s">
        <v>4006</v>
      </c>
      <c r="W433" s="59"/>
      <c r="X433" s="59">
        <v>254</v>
      </c>
      <c r="Y433" s="59">
        <v>9</v>
      </c>
      <c r="Z433" s="62">
        <v>63.740310000000001</v>
      </c>
      <c r="AA433" s="62">
        <v>148.89779999999999</v>
      </c>
      <c r="AB433" s="62">
        <f t="shared" si="6"/>
        <v>212.63810999999998</v>
      </c>
      <c r="AC433" s="117"/>
      <c r="AD433" s="117"/>
      <c r="AE433" s="59" t="s">
        <v>115</v>
      </c>
      <c r="AF433" s="59" t="s">
        <v>115</v>
      </c>
      <c r="AG433" s="59" t="s">
        <v>115</v>
      </c>
      <c r="AH433" s="59">
        <v>0</v>
      </c>
      <c r="AI433" s="59">
        <v>0</v>
      </c>
      <c r="AJ433" s="59">
        <v>0</v>
      </c>
      <c r="AK433" s="59">
        <v>0</v>
      </c>
      <c r="AL433" s="59">
        <v>9</v>
      </c>
      <c r="AM433" s="59">
        <v>0</v>
      </c>
      <c r="AN433" s="59">
        <v>9</v>
      </c>
      <c r="AO433" s="59"/>
      <c r="AP433" s="59"/>
      <c r="AQ433" s="59"/>
      <c r="AR433" s="59"/>
      <c r="AS433" s="72"/>
      <c r="AT433" s="72"/>
      <c r="AU433" s="72"/>
      <c r="AV433" s="72"/>
    </row>
    <row r="434" spans="1:48" s="77" customFormat="1" x14ac:dyDescent="0.2">
      <c r="A434" s="59" t="s">
        <v>4525</v>
      </c>
      <c r="B434" s="59" t="s">
        <v>4526</v>
      </c>
      <c r="C434" s="59">
        <v>14</v>
      </c>
      <c r="D434" s="59">
        <v>3</v>
      </c>
      <c r="E434" s="59" t="s">
        <v>4191</v>
      </c>
      <c r="F434" s="60">
        <v>43698</v>
      </c>
      <c r="G434" s="59" t="s">
        <v>4031</v>
      </c>
      <c r="H434" s="61">
        <v>4.2361111111111106E-2</v>
      </c>
      <c r="I434" s="59" t="s">
        <v>398</v>
      </c>
      <c r="J434" s="59" t="s">
        <v>241</v>
      </c>
      <c r="K434" s="59" t="s">
        <v>568</v>
      </c>
      <c r="L434" s="59" t="s">
        <v>23</v>
      </c>
      <c r="M434" s="59">
        <v>1</v>
      </c>
      <c r="N434" s="59">
        <v>0</v>
      </c>
      <c r="O434" s="59">
        <v>1</v>
      </c>
      <c r="P434" s="59" t="s">
        <v>112</v>
      </c>
      <c r="Q434" s="59" t="s">
        <v>4319</v>
      </c>
      <c r="R434" s="59" t="s">
        <v>122</v>
      </c>
      <c r="S434" s="59" t="s">
        <v>4386</v>
      </c>
      <c r="T434" s="59" t="s">
        <v>23</v>
      </c>
      <c r="U434" s="59" t="s">
        <v>3999</v>
      </c>
      <c r="V434" s="59" t="s">
        <v>3810</v>
      </c>
      <c r="W434" s="59"/>
      <c r="X434" s="59">
        <v>254</v>
      </c>
      <c r="Y434" s="59">
        <v>10</v>
      </c>
      <c r="Z434" s="62">
        <v>63.740360000000003</v>
      </c>
      <c r="AA434" s="62">
        <v>148.89764</v>
      </c>
      <c r="AB434" s="62">
        <f t="shared" si="6"/>
        <v>212.63800000000001</v>
      </c>
      <c r="AC434" s="117"/>
      <c r="AD434" s="117"/>
      <c r="AE434" s="59" t="s">
        <v>115</v>
      </c>
      <c r="AF434" s="59" t="s">
        <v>115</v>
      </c>
      <c r="AG434" s="59" t="s">
        <v>115</v>
      </c>
      <c r="AH434" s="59">
        <v>0</v>
      </c>
      <c r="AI434" s="59">
        <v>0</v>
      </c>
      <c r="AJ434" s="59">
        <v>0</v>
      </c>
      <c r="AK434" s="59">
        <v>0</v>
      </c>
      <c r="AL434" s="59">
        <v>4</v>
      </c>
      <c r="AM434" s="59">
        <v>0</v>
      </c>
      <c r="AN434" s="59">
        <v>4</v>
      </c>
      <c r="AO434" s="59"/>
      <c r="AP434" s="59"/>
      <c r="AQ434" s="59"/>
      <c r="AR434" s="59"/>
      <c r="AS434" s="72"/>
      <c r="AT434" s="72"/>
      <c r="AU434" s="72"/>
      <c r="AV434" s="72"/>
    </row>
    <row r="435" spans="1:48" s="77" customFormat="1" x14ac:dyDescent="0.2">
      <c r="A435" s="59" t="s">
        <v>4527</v>
      </c>
      <c r="B435" s="59" t="s">
        <v>4528</v>
      </c>
      <c r="C435" s="59">
        <v>15</v>
      </c>
      <c r="D435" s="59">
        <v>1</v>
      </c>
      <c r="E435" s="59" t="s">
        <v>4191</v>
      </c>
      <c r="F435" s="60">
        <v>43698</v>
      </c>
      <c r="G435" s="59" t="s">
        <v>4031</v>
      </c>
      <c r="H435" s="61">
        <v>3.125E-2</v>
      </c>
      <c r="I435" s="59" t="s">
        <v>398</v>
      </c>
      <c r="J435" s="59" t="s">
        <v>241</v>
      </c>
      <c r="K435" s="59" t="s">
        <v>111</v>
      </c>
      <c r="L435" s="59" t="s">
        <v>23</v>
      </c>
      <c r="M435" s="59">
        <v>1</v>
      </c>
      <c r="N435" s="59">
        <v>0</v>
      </c>
      <c r="O435" s="59">
        <v>1</v>
      </c>
      <c r="P435" s="59" t="s">
        <v>112</v>
      </c>
      <c r="Q435" s="59" t="s">
        <v>4319</v>
      </c>
      <c r="R435" s="59" t="s">
        <v>122</v>
      </c>
      <c r="S435" s="59" t="s">
        <v>333</v>
      </c>
      <c r="T435" s="59" t="s">
        <v>23</v>
      </c>
      <c r="U435" s="59" t="s">
        <v>3999</v>
      </c>
      <c r="V435" s="59" t="s">
        <v>4006</v>
      </c>
      <c r="W435" s="59"/>
      <c r="X435" s="59">
        <v>300</v>
      </c>
      <c r="Y435" s="59">
        <v>4</v>
      </c>
      <c r="Z435" s="62">
        <v>63.740340000000003</v>
      </c>
      <c r="AA435" s="62">
        <v>148.89777000000001</v>
      </c>
      <c r="AB435" s="62">
        <f t="shared" si="6"/>
        <v>212.63811000000001</v>
      </c>
      <c r="AC435" s="117"/>
      <c r="AD435" s="117"/>
      <c r="AE435" s="59" t="s">
        <v>115</v>
      </c>
      <c r="AF435" s="59" t="s">
        <v>115</v>
      </c>
      <c r="AG435" s="59" t="s">
        <v>115</v>
      </c>
      <c r="AH435" s="59">
        <v>0</v>
      </c>
      <c r="AI435" s="59">
        <v>0</v>
      </c>
      <c r="AJ435" s="59">
        <v>0</v>
      </c>
      <c r="AK435" s="59">
        <v>0</v>
      </c>
      <c r="AL435" s="59">
        <v>0</v>
      </c>
      <c r="AM435" s="59">
        <v>0</v>
      </c>
      <c r="AN435" s="59">
        <v>0</v>
      </c>
      <c r="AO435" s="59"/>
      <c r="AP435" s="59" t="s">
        <v>4529</v>
      </c>
      <c r="AQ435" s="59"/>
      <c r="AR435" s="59"/>
      <c r="AS435" s="72"/>
      <c r="AT435" s="72"/>
      <c r="AU435" s="72"/>
      <c r="AV435" s="72"/>
    </row>
    <row r="436" spans="1:48" s="77" customFormat="1" x14ac:dyDescent="0.2">
      <c r="A436" s="59" t="s">
        <v>4525</v>
      </c>
      <c r="B436" s="59" t="s">
        <v>4526</v>
      </c>
      <c r="C436" s="59">
        <v>14</v>
      </c>
      <c r="D436" s="59">
        <v>2</v>
      </c>
      <c r="E436" s="59" t="s">
        <v>4191</v>
      </c>
      <c r="F436" s="60">
        <v>43698</v>
      </c>
      <c r="G436" s="59" t="s">
        <v>4031</v>
      </c>
      <c r="H436" s="61">
        <v>4.2361111111111106E-2</v>
      </c>
      <c r="I436" s="59" t="s">
        <v>398</v>
      </c>
      <c r="J436" s="59" t="s">
        <v>241</v>
      </c>
      <c r="K436" s="59" t="s">
        <v>568</v>
      </c>
      <c r="L436" s="59" t="s">
        <v>23</v>
      </c>
      <c r="M436" s="59">
        <v>1</v>
      </c>
      <c r="N436" s="59">
        <v>0</v>
      </c>
      <c r="O436" s="59">
        <v>1</v>
      </c>
      <c r="P436" s="59" t="s">
        <v>112</v>
      </c>
      <c r="Q436" s="59" t="s">
        <v>4319</v>
      </c>
      <c r="R436" s="59" t="s">
        <v>122</v>
      </c>
      <c r="S436" s="59" t="s">
        <v>1035</v>
      </c>
      <c r="T436" s="59" t="s">
        <v>23</v>
      </c>
      <c r="U436" s="59" t="s">
        <v>3997</v>
      </c>
      <c r="V436" s="59" t="s">
        <v>4006</v>
      </c>
      <c r="W436" s="59"/>
      <c r="X436" s="59">
        <v>318</v>
      </c>
      <c r="Y436" s="59">
        <v>6</v>
      </c>
      <c r="Z436" s="62">
        <v>63.740319999999997</v>
      </c>
      <c r="AA436" s="62">
        <v>148.89780999999999</v>
      </c>
      <c r="AB436" s="62">
        <f t="shared" si="6"/>
        <v>212.63812999999999</v>
      </c>
      <c r="AC436" s="117"/>
      <c r="AD436" s="117"/>
      <c r="AE436" s="59" t="s">
        <v>115</v>
      </c>
      <c r="AF436" s="59" t="s">
        <v>115</v>
      </c>
      <c r="AG436" s="59" t="s">
        <v>115</v>
      </c>
      <c r="AH436" s="59">
        <v>0</v>
      </c>
      <c r="AI436" s="59">
        <v>0</v>
      </c>
      <c r="AJ436" s="59">
        <v>0</v>
      </c>
      <c r="AK436" s="59">
        <v>0</v>
      </c>
      <c r="AL436" s="59">
        <v>4</v>
      </c>
      <c r="AM436" s="59">
        <v>0</v>
      </c>
      <c r="AN436" s="59">
        <v>4</v>
      </c>
      <c r="AO436" s="59"/>
      <c r="AP436" s="59"/>
      <c r="AQ436" s="59"/>
      <c r="AR436" s="59"/>
      <c r="AS436" s="72"/>
      <c r="AT436" s="72"/>
      <c r="AU436" s="72"/>
      <c r="AV436" s="72"/>
    </row>
    <row r="437" spans="1:48" s="77" customFormat="1" x14ac:dyDescent="0.2">
      <c r="A437" s="59" t="s">
        <v>4544</v>
      </c>
      <c r="B437" s="59" t="s">
        <v>4545</v>
      </c>
      <c r="C437" s="59">
        <v>5</v>
      </c>
      <c r="D437" s="59">
        <v>1</v>
      </c>
      <c r="E437" s="59" t="s">
        <v>2586</v>
      </c>
      <c r="F437" s="60">
        <v>43699</v>
      </c>
      <c r="G437" s="59" t="s">
        <v>4031</v>
      </c>
      <c r="H437" s="61">
        <v>1.3194444444444444E-2</v>
      </c>
      <c r="I437" s="59" t="s">
        <v>398</v>
      </c>
      <c r="J437" s="59" t="s">
        <v>4339</v>
      </c>
      <c r="K437" s="59" t="s">
        <v>111</v>
      </c>
      <c r="L437" s="59" t="s">
        <v>23</v>
      </c>
      <c r="M437" s="59">
        <v>0</v>
      </c>
      <c r="N437" s="59">
        <v>0</v>
      </c>
      <c r="O437" s="59">
        <v>1</v>
      </c>
      <c r="P437" s="59" t="s">
        <v>176</v>
      </c>
      <c r="Q437" s="59" t="s">
        <v>176</v>
      </c>
      <c r="R437" s="59" t="s">
        <v>176</v>
      </c>
      <c r="S437" s="59" t="s">
        <v>333</v>
      </c>
      <c r="T437" s="59" t="s">
        <v>23</v>
      </c>
      <c r="U437" s="59" t="s">
        <v>3999</v>
      </c>
      <c r="V437" s="59" t="s">
        <v>4006</v>
      </c>
      <c r="W437" s="59"/>
      <c r="X437" s="59">
        <v>47</v>
      </c>
      <c r="Y437" s="59" t="s">
        <v>176</v>
      </c>
      <c r="Z437" s="62">
        <v>63.725569999999998</v>
      </c>
      <c r="AA437" s="62">
        <v>148.88607999999999</v>
      </c>
      <c r="AB437" s="62">
        <f t="shared" si="6"/>
        <v>212.61165</v>
      </c>
      <c r="AC437" s="117"/>
      <c r="AD437" s="117"/>
      <c r="AE437" s="59" t="s">
        <v>115</v>
      </c>
      <c r="AF437" s="59" t="s">
        <v>115</v>
      </c>
      <c r="AG437" s="59" t="s">
        <v>115</v>
      </c>
      <c r="AH437" s="59">
        <v>0</v>
      </c>
      <c r="AI437" s="59">
        <v>0</v>
      </c>
      <c r="AJ437" s="59">
        <v>0</v>
      </c>
      <c r="AK437" s="59">
        <v>0</v>
      </c>
      <c r="AL437" s="59">
        <v>0</v>
      </c>
      <c r="AM437" s="59">
        <v>0</v>
      </c>
      <c r="AN437" s="59">
        <v>0</v>
      </c>
      <c r="AO437" s="59"/>
      <c r="AP437" s="59"/>
      <c r="AQ437" s="59"/>
      <c r="AR437" s="59"/>
      <c r="AS437" s="59"/>
      <c r="AT437" s="59"/>
      <c r="AU437" s="59"/>
      <c r="AV437" s="59"/>
    </row>
    <row r="438" spans="1:48" s="77" customFormat="1" x14ac:dyDescent="0.2">
      <c r="A438" s="59" t="s">
        <v>4574</v>
      </c>
      <c r="B438" s="59" t="s">
        <v>4575</v>
      </c>
      <c r="C438" s="59">
        <v>9</v>
      </c>
      <c r="D438" s="59">
        <v>1</v>
      </c>
      <c r="E438" s="59" t="s">
        <v>791</v>
      </c>
      <c r="F438" s="60">
        <v>43699</v>
      </c>
      <c r="G438" s="59" t="s">
        <v>4031</v>
      </c>
      <c r="H438" s="61">
        <v>2.1527777777777781E-2</v>
      </c>
      <c r="I438" s="59" t="s">
        <v>398</v>
      </c>
      <c r="J438" s="59" t="s">
        <v>241</v>
      </c>
      <c r="K438" s="59" t="s">
        <v>568</v>
      </c>
      <c r="L438" s="59" t="s">
        <v>23</v>
      </c>
      <c r="M438" s="59">
        <v>1</v>
      </c>
      <c r="N438" s="59">
        <v>0</v>
      </c>
      <c r="O438" s="59">
        <v>1</v>
      </c>
      <c r="P438" s="59" t="s">
        <v>112</v>
      </c>
      <c r="Q438" s="59" t="s">
        <v>4319</v>
      </c>
      <c r="R438" s="59" t="s">
        <v>122</v>
      </c>
      <c r="S438" s="59" t="s">
        <v>333</v>
      </c>
      <c r="T438" s="59" t="s">
        <v>23</v>
      </c>
      <c r="U438" s="59" t="s">
        <v>3999</v>
      </c>
      <c r="V438" s="59" t="s">
        <v>4006</v>
      </c>
      <c r="W438" s="59"/>
      <c r="X438" s="59">
        <v>57</v>
      </c>
      <c r="Y438" s="59">
        <v>8</v>
      </c>
      <c r="Z438" s="62">
        <v>63.723329999999997</v>
      </c>
      <c r="AA438" s="62">
        <v>148.96884</v>
      </c>
      <c r="AB438" s="62">
        <f t="shared" si="6"/>
        <v>212.69217</v>
      </c>
      <c r="AC438" s="117"/>
      <c r="AD438" s="117"/>
      <c r="AE438" s="59" t="s">
        <v>115</v>
      </c>
      <c r="AF438" s="59" t="s">
        <v>115</v>
      </c>
      <c r="AG438" s="59" t="s">
        <v>115</v>
      </c>
      <c r="AH438" s="59">
        <v>0</v>
      </c>
      <c r="AI438" s="59">
        <v>0</v>
      </c>
      <c r="AJ438" s="59">
        <v>0</v>
      </c>
      <c r="AK438" s="59">
        <v>0</v>
      </c>
      <c r="AL438" s="59">
        <v>13</v>
      </c>
      <c r="AM438" s="59">
        <v>0</v>
      </c>
      <c r="AN438" s="59">
        <v>13</v>
      </c>
      <c r="AO438" s="59"/>
      <c r="AP438" s="59"/>
      <c r="AQ438" s="59"/>
      <c r="AR438" s="59"/>
    </row>
    <row r="439" spans="1:48" s="82" customFormat="1" x14ac:dyDescent="0.2">
      <c r="A439" s="59" t="s">
        <v>4571</v>
      </c>
      <c r="B439" s="59" t="s">
        <v>4572</v>
      </c>
      <c r="C439" s="59">
        <v>8</v>
      </c>
      <c r="D439" s="59">
        <v>2</v>
      </c>
      <c r="E439" s="59" t="s">
        <v>791</v>
      </c>
      <c r="F439" s="60">
        <v>43699</v>
      </c>
      <c r="G439" s="59" t="s">
        <v>4031</v>
      </c>
      <c r="H439" s="61">
        <v>2.2916666666666669E-2</v>
      </c>
      <c r="I439" s="59" t="s">
        <v>398</v>
      </c>
      <c r="J439" s="59" t="s">
        <v>241</v>
      </c>
      <c r="K439" s="59" t="s">
        <v>111</v>
      </c>
      <c r="L439" s="59" t="s">
        <v>23</v>
      </c>
      <c r="M439" s="59">
        <v>0</v>
      </c>
      <c r="N439" s="59">
        <v>0</v>
      </c>
      <c r="O439" s="59">
        <v>1</v>
      </c>
      <c r="P439" s="59" t="s">
        <v>176</v>
      </c>
      <c r="Q439" s="59" t="s">
        <v>176</v>
      </c>
      <c r="R439" s="59" t="s">
        <v>176</v>
      </c>
      <c r="S439" s="59" t="s">
        <v>1035</v>
      </c>
      <c r="T439" s="59" t="s">
        <v>23</v>
      </c>
      <c r="U439" s="59" t="s">
        <v>3997</v>
      </c>
      <c r="V439" s="59" t="s">
        <v>4006</v>
      </c>
      <c r="W439" s="59"/>
      <c r="X439" s="59">
        <v>58</v>
      </c>
      <c r="Y439" s="59">
        <v>4</v>
      </c>
      <c r="Z439" s="62">
        <v>63.723129999999998</v>
      </c>
      <c r="AA439" s="62">
        <v>148.96812</v>
      </c>
      <c r="AB439" s="62">
        <f t="shared" si="6"/>
        <v>212.69125</v>
      </c>
      <c r="AC439" s="117">
        <v>1</v>
      </c>
      <c r="AD439" s="117" t="s">
        <v>4765</v>
      </c>
      <c r="AE439" s="59" t="s">
        <v>115</v>
      </c>
      <c r="AF439" s="59" t="s">
        <v>115</v>
      </c>
      <c r="AG439" s="59" t="s">
        <v>115</v>
      </c>
      <c r="AH439" s="59">
        <v>0</v>
      </c>
      <c r="AI439" s="59">
        <v>0</v>
      </c>
      <c r="AJ439" s="59">
        <v>0</v>
      </c>
      <c r="AK439" s="59">
        <v>0</v>
      </c>
      <c r="AL439" s="59">
        <v>0</v>
      </c>
      <c r="AM439" s="59"/>
      <c r="AN439" s="59">
        <v>0</v>
      </c>
      <c r="AO439" s="59"/>
      <c r="AP439" s="59" t="s">
        <v>4573</v>
      </c>
      <c r="AQ439" s="59"/>
      <c r="AR439" s="59"/>
      <c r="AS439" s="59"/>
      <c r="AT439" s="59"/>
      <c r="AU439" s="59"/>
      <c r="AV439" s="59"/>
    </row>
    <row r="440" spans="1:48" s="77" customFormat="1" x14ac:dyDescent="0.2">
      <c r="A440" s="59" t="s">
        <v>4546</v>
      </c>
      <c r="B440" s="59" t="s">
        <v>4547</v>
      </c>
      <c r="C440" s="59">
        <v>6</v>
      </c>
      <c r="D440" s="59">
        <v>1</v>
      </c>
      <c r="E440" s="59" t="s">
        <v>2586</v>
      </c>
      <c r="F440" s="60">
        <v>43699</v>
      </c>
      <c r="G440" s="59" t="s">
        <v>4031</v>
      </c>
      <c r="H440" s="61">
        <v>4.6527777777777779E-2</v>
      </c>
      <c r="I440" s="59" t="s">
        <v>398</v>
      </c>
      <c r="J440" s="59" t="s">
        <v>4339</v>
      </c>
      <c r="K440" s="59" t="s">
        <v>4412</v>
      </c>
      <c r="L440" s="59" t="s">
        <v>23</v>
      </c>
      <c r="M440" s="59">
        <v>0</v>
      </c>
      <c r="N440" s="59">
        <v>0</v>
      </c>
      <c r="O440" s="59">
        <v>1</v>
      </c>
      <c r="P440" s="59" t="s">
        <v>176</v>
      </c>
      <c r="Q440" s="59" t="s">
        <v>176</v>
      </c>
      <c r="R440" s="59" t="s">
        <v>333</v>
      </c>
      <c r="S440" s="59" t="s">
        <v>1035</v>
      </c>
      <c r="T440" s="59" t="s">
        <v>23</v>
      </c>
      <c r="U440" s="59" t="s">
        <v>3997</v>
      </c>
      <c r="V440" s="59" t="s">
        <v>4006</v>
      </c>
      <c r="W440" s="59"/>
      <c r="X440" s="59">
        <v>88</v>
      </c>
      <c r="Y440" s="59">
        <v>4</v>
      </c>
      <c r="Z440" s="62">
        <v>63.723080000000003</v>
      </c>
      <c r="AA440" s="62">
        <v>148.88820000000001</v>
      </c>
      <c r="AB440" s="62">
        <f t="shared" si="6"/>
        <v>212.61128000000002</v>
      </c>
      <c r="AC440" s="117"/>
      <c r="AD440" s="117"/>
      <c r="AE440" s="59" t="s">
        <v>115</v>
      </c>
      <c r="AF440" s="59" t="s">
        <v>115</v>
      </c>
      <c r="AG440" s="59" t="s">
        <v>115</v>
      </c>
      <c r="AH440" s="59">
        <v>0</v>
      </c>
      <c r="AI440" s="59">
        <v>0</v>
      </c>
      <c r="AJ440" s="59">
        <v>0</v>
      </c>
      <c r="AK440" s="59">
        <v>0</v>
      </c>
      <c r="AL440" s="59">
        <v>0</v>
      </c>
      <c r="AM440" s="59">
        <v>0</v>
      </c>
      <c r="AN440" s="59">
        <v>0</v>
      </c>
      <c r="AO440" s="59"/>
      <c r="AP440" s="59"/>
      <c r="AQ440" s="59"/>
      <c r="AR440" s="59"/>
      <c r="AS440" s="59"/>
      <c r="AT440" s="59"/>
      <c r="AU440" s="59"/>
      <c r="AV440" s="59"/>
    </row>
    <row r="441" spans="1:48" s="77" customFormat="1" x14ac:dyDescent="0.2">
      <c r="A441" s="59" t="s">
        <v>4555</v>
      </c>
      <c r="B441" s="59" t="s">
        <v>4556</v>
      </c>
      <c r="C441" s="59">
        <v>2</v>
      </c>
      <c r="D441" s="59">
        <v>1</v>
      </c>
      <c r="E441" s="59" t="s">
        <v>791</v>
      </c>
      <c r="F441" s="60">
        <v>43699</v>
      </c>
      <c r="G441" s="59" t="s">
        <v>4031</v>
      </c>
      <c r="H441" s="61">
        <v>1.7361111111111112E-2</v>
      </c>
      <c r="I441" s="59" t="s">
        <v>398</v>
      </c>
      <c r="J441" s="59" t="s">
        <v>924</v>
      </c>
      <c r="K441" s="59" t="s">
        <v>568</v>
      </c>
      <c r="L441" s="59" t="s">
        <v>23</v>
      </c>
      <c r="M441" s="59">
        <v>1</v>
      </c>
      <c r="N441" s="59">
        <v>0</v>
      </c>
      <c r="O441" s="59">
        <v>1</v>
      </c>
      <c r="P441" s="59" t="s">
        <v>112</v>
      </c>
      <c r="Q441" s="59" t="s">
        <v>4557</v>
      </c>
      <c r="R441" s="59" t="s">
        <v>122</v>
      </c>
      <c r="S441" s="59" t="s">
        <v>1035</v>
      </c>
      <c r="T441" s="59" t="s">
        <v>23</v>
      </c>
      <c r="U441" s="59" t="s">
        <v>3997</v>
      </c>
      <c r="V441" s="59" t="s">
        <v>4006</v>
      </c>
      <c r="W441" s="59"/>
      <c r="X441" s="59">
        <v>96</v>
      </c>
      <c r="Y441" s="59">
        <v>2</v>
      </c>
      <c r="Z441" s="62">
        <v>63.72128</v>
      </c>
      <c r="AA441" s="62">
        <v>148.96617000000001</v>
      </c>
      <c r="AB441" s="62">
        <f t="shared" si="6"/>
        <v>212.68745000000001</v>
      </c>
      <c r="AC441" s="117"/>
      <c r="AD441" s="117"/>
      <c r="AE441" s="59" t="s">
        <v>115</v>
      </c>
      <c r="AF441" s="59" t="s">
        <v>115</v>
      </c>
      <c r="AG441" s="59" t="s">
        <v>115</v>
      </c>
      <c r="AH441" s="59">
        <v>0</v>
      </c>
      <c r="AI441" s="59">
        <v>0</v>
      </c>
      <c r="AJ441" s="59">
        <v>0</v>
      </c>
      <c r="AK441" s="59">
        <v>0</v>
      </c>
      <c r="AL441" s="59">
        <v>0</v>
      </c>
      <c r="AM441" s="59">
        <v>0</v>
      </c>
      <c r="AN441" s="59">
        <v>0</v>
      </c>
      <c r="AO441" s="59"/>
      <c r="AP441" s="59" t="s">
        <v>4558</v>
      </c>
      <c r="AQ441" s="59"/>
      <c r="AR441" s="59"/>
    </row>
    <row r="442" spans="1:48" s="82" customFormat="1" x14ac:dyDescent="0.2">
      <c r="A442" s="59" t="s">
        <v>4551</v>
      </c>
      <c r="B442" s="59" t="s">
        <v>4552</v>
      </c>
      <c r="C442" s="59">
        <v>8</v>
      </c>
      <c r="D442" s="59">
        <v>1</v>
      </c>
      <c r="E442" s="59" t="s">
        <v>2586</v>
      </c>
      <c r="F442" s="60">
        <v>43699</v>
      </c>
      <c r="G442" s="59" t="s">
        <v>4031</v>
      </c>
      <c r="H442" s="61">
        <v>2.6388888888888889E-2</v>
      </c>
      <c r="I442" s="59" t="s">
        <v>398</v>
      </c>
      <c r="J442" s="59" t="s">
        <v>176</v>
      </c>
      <c r="K442" s="59" t="s">
        <v>111</v>
      </c>
      <c r="L442" s="59" t="s">
        <v>23</v>
      </c>
      <c r="M442" s="59">
        <v>0</v>
      </c>
      <c r="N442" s="59">
        <v>0</v>
      </c>
      <c r="O442" s="59">
        <v>1</v>
      </c>
      <c r="P442" s="59" t="s">
        <v>112</v>
      </c>
      <c r="Q442" s="59" t="s">
        <v>4214</v>
      </c>
      <c r="R442" s="59" t="s">
        <v>176</v>
      </c>
      <c r="S442" s="59" t="s">
        <v>333</v>
      </c>
      <c r="T442" s="59" t="s">
        <v>23</v>
      </c>
      <c r="U442" s="59" t="s">
        <v>3999</v>
      </c>
      <c r="V442" s="59" t="s">
        <v>4006</v>
      </c>
      <c r="W442" s="59"/>
      <c r="X442" s="59">
        <v>96</v>
      </c>
      <c r="Y442" s="59" t="s">
        <v>176</v>
      </c>
      <c r="Z442" s="62">
        <v>63.722659999999998</v>
      </c>
      <c r="AA442" s="62">
        <v>148.88942</v>
      </c>
      <c r="AB442" s="62">
        <f t="shared" si="6"/>
        <v>212.61207999999999</v>
      </c>
      <c r="AC442" s="117"/>
      <c r="AD442" s="117"/>
      <c r="AE442" s="59" t="s">
        <v>115</v>
      </c>
      <c r="AF442" s="59" t="s">
        <v>115</v>
      </c>
      <c r="AG442" s="59" t="s">
        <v>115</v>
      </c>
      <c r="AH442" s="59">
        <v>0</v>
      </c>
      <c r="AI442" s="59">
        <v>0</v>
      </c>
      <c r="AJ442" s="59">
        <v>0</v>
      </c>
      <c r="AK442" s="59">
        <v>0</v>
      </c>
      <c r="AL442" s="59">
        <v>0</v>
      </c>
      <c r="AM442" s="59">
        <v>0</v>
      </c>
      <c r="AN442" s="59">
        <v>0</v>
      </c>
      <c r="AO442" s="59"/>
      <c r="AP442" s="59"/>
      <c r="AQ442" s="59"/>
      <c r="AR442" s="59"/>
      <c r="AS442" s="59"/>
      <c r="AT442" s="59"/>
      <c r="AU442" s="59"/>
      <c r="AV442" s="59"/>
    </row>
    <row r="443" spans="1:48" s="77" customFormat="1" x14ac:dyDescent="0.2">
      <c r="A443" s="59" t="s">
        <v>4551</v>
      </c>
      <c r="B443" s="59" t="s">
        <v>4552</v>
      </c>
      <c r="C443" s="59">
        <v>8</v>
      </c>
      <c r="D443" s="59">
        <v>2</v>
      </c>
      <c r="E443" s="59" t="s">
        <v>2586</v>
      </c>
      <c r="F443" s="60">
        <v>43699</v>
      </c>
      <c r="G443" s="59" t="s">
        <v>4031</v>
      </c>
      <c r="H443" s="61">
        <v>2.6388888888888889E-2</v>
      </c>
      <c r="I443" s="59" t="s">
        <v>398</v>
      </c>
      <c r="J443" s="59" t="s">
        <v>176</v>
      </c>
      <c r="K443" s="59" t="s">
        <v>111</v>
      </c>
      <c r="L443" s="59" t="s">
        <v>23</v>
      </c>
      <c r="M443" s="59">
        <v>1</v>
      </c>
      <c r="N443" s="59">
        <v>0</v>
      </c>
      <c r="O443" s="59">
        <v>1</v>
      </c>
      <c r="P443" s="59" t="s">
        <v>112</v>
      </c>
      <c r="Q443" s="59" t="s">
        <v>4214</v>
      </c>
      <c r="R443" s="59" t="s">
        <v>122</v>
      </c>
      <c r="S443" s="59" t="s">
        <v>333</v>
      </c>
      <c r="T443" s="59" t="s">
        <v>23</v>
      </c>
      <c r="U443" s="59" t="s">
        <v>3999</v>
      </c>
      <c r="V443" s="59" t="s">
        <v>4006</v>
      </c>
      <c r="W443" s="59"/>
      <c r="X443" s="59">
        <v>240</v>
      </c>
      <c r="Y443" s="59">
        <v>6</v>
      </c>
      <c r="Z443" s="62">
        <v>63.722819999999999</v>
      </c>
      <c r="AA443" s="62">
        <v>148.88938999999999</v>
      </c>
      <c r="AB443" s="62">
        <f t="shared" si="6"/>
        <v>212.61221</v>
      </c>
      <c r="AC443" s="117"/>
      <c r="AD443" s="117"/>
      <c r="AE443" s="59" t="s">
        <v>115</v>
      </c>
      <c r="AF443" s="59" t="s">
        <v>115</v>
      </c>
      <c r="AG443" s="59" t="s">
        <v>115</v>
      </c>
      <c r="AH443" s="59">
        <v>0</v>
      </c>
      <c r="AI443" s="59">
        <v>0</v>
      </c>
      <c r="AJ443" s="59">
        <v>0</v>
      </c>
      <c r="AK443" s="59">
        <v>0</v>
      </c>
      <c r="AL443" s="59">
        <v>6</v>
      </c>
      <c r="AM443" s="59">
        <v>0</v>
      </c>
      <c r="AN443" s="59">
        <v>6</v>
      </c>
      <c r="AO443" s="59"/>
      <c r="AP443" s="59"/>
      <c r="AQ443" s="59"/>
      <c r="AR443" s="59"/>
      <c r="AS443" s="59"/>
      <c r="AT443" s="59"/>
      <c r="AU443" s="59"/>
      <c r="AV443" s="59"/>
    </row>
    <row r="444" spans="1:48" s="82" customFormat="1" x14ac:dyDescent="0.2">
      <c r="A444" s="59" t="s">
        <v>4532</v>
      </c>
      <c r="B444" s="59" t="s">
        <v>4533</v>
      </c>
      <c r="C444" s="59">
        <v>1</v>
      </c>
      <c r="D444" s="59">
        <v>1</v>
      </c>
      <c r="E444" s="59" t="s">
        <v>2586</v>
      </c>
      <c r="F444" s="60">
        <v>43699</v>
      </c>
      <c r="G444" s="59" t="s">
        <v>4031</v>
      </c>
      <c r="H444" s="61">
        <v>3.0555555555555555E-2</v>
      </c>
      <c r="I444" s="59" t="s">
        <v>398</v>
      </c>
      <c r="J444" s="59" t="s">
        <v>4339</v>
      </c>
      <c r="K444" s="59" t="s">
        <v>4534</v>
      </c>
      <c r="L444" s="59" t="s">
        <v>23</v>
      </c>
      <c r="M444" s="59">
        <v>1</v>
      </c>
      <c r="N444" s="59">
        <v>0</v>
      </c>
      <c r="O444" s="59">
        <v>1</v>
      </c>
      <c r="P444" s="59" t="s">
        <v>112</v>
      </c>
      <c r="Q444" s="59" t="s">
        <v>4214</v>
      </c>
      <c r="R444" s="59" t="s">
        <v>176</v>
      </c>
      <c r="S444" s="59" t="s">
        <v>4386</v>
      </c>
      <c r="T444" s="59" t="s">
        <v>23</v>
      </c>
      <c r="U444" s="59" t="s">
        <v>3999</v>
      </c>
      <c r="V444" s="59" t="s">
        <v>176</v>
      </c>
      <c r="W444" s="59"/>
      <c r="X444" s="59">
        <v>249</v>
      </c>
      <c r="Y444" s="59" t="s">
        <v>176</v>
      </c>
      <c r="Z444" s="62">
        <v>63.724719999999998</v>
      </c>
      <c r="AA444" s="62">
        <v>148.88774000000001</v>
      </c>
      <c r="AB444" s="62">
        <f t="shared" si="6"/>
        <v>212.61246</v>
      </c>
      <c r="AC444" s="117"/>
      <c r="AD444" s="117"/>
      <c r="AE444" s="59" t="s">
        <v>115</v>
      </c>
      <c r="AF444" s="59" t="s">
        <v>115</v>
      </c>
      <c r="AG444" s="59" t="s">
        <v>115</v>
      </c>
      <c r="AH444" s="59">
        <v>0</v>
      </c>
      <c r="AI444" s="59">
        <v>0</v>
      </c>
      <c r="AJ444" s="59">
        <v>0</v>
      </c>
      <c r="AK444" s="59">
        <v>0</v>
      </c>
      <c r="AL444" s="59">
        <v>0</v>
      </c>
      <c r="AM444" s="59">
        <v>0</v>
      </c>
      <c r="AN444" s="59">
        <v>0</v>
      </c>
      <c r="AO444" s="59"/>
      <c r="AP444" s="59" t="s">
        <v>4535</v>
      </c>
      <c r="AQ444" s="59"/>
      <c r="AR444" s="59"/>
      <c r="AS444" s="59"/>
      <c r="AT444" s="59"/>
      <c r="AU444" s="59"/>
      <c r="AV444" s="59"/>
    </row>
    <row r="445" spans="1:48" s="82" customFormat="1" x14ac:dyDescent="0.2">
      <c r="A445" s="59" t="s">
        <v>4559</v>
      </c>
      <c r="B445" s="59" t="s">
        <v>4560</v>
      </c>
      <c r="C445" s="59">
        <v>3</v>
      </c>
      <c r="D445" s="59">
        <v>1</v>
      </c>
      <c r="E445" s="59" t="s">
        <v>791</v>
      </c>
      <c r="F445" s="60">
        <v>43699</v>
      </c>
      <c r="G445" s="59" t="s">
        <v>4031</v>
      </c>
      <c r="H445" s="61">
        <v>4.6527777777777779E-2</v>
      </c>
      <c r="I445" s="59" t="s">
        <v>398</v>
      </c>
      <c r="J445" s="59" t="s">
        <v>4280</v>
      </c>
      <c r="K445" s="59" t="s">
        <v>102</v>
      </c>
      <c r="L445" s="59" t="s">
        <v>23</v>
      </c>
      <c r="M445" s="59">
        <v>1</v>
      </c>
      <c r="N445" s="59">
        <v>0</v>
      </c>
      <c r="O445" s="59">
        <v>1</v>
      </c>
      <c r="P445" s="59" t="s">
        <v>112</v>
      </c>
      <c r="Q445" s="59" t="s">
        <v>4557</v>
      </c>
      <c r="R445" s="59" t="s">
        <v>122</v>
      </c>
      <c r="S445" s="59" t="s">
        <v>4385</v>
      </c>
      <c r="T445" s="59" t="s">
        <v>23</v>
      </c>
      <c r="U445" s="59" t="s">
        <v>3997</v>
      </c>
      <c r="V445" s="59" t="s">
        <v>3810</v>
      </c>
      <c r="W445" s="59"/>
      <c r="X445" s="59">
        <v>260</v>
      </c>
      <c r="Y445" s="59">
        <v>8</v>
      </c>
      <c r="Z445" s="62">
        <v>63.72137</v>
      </c>
      <c r="AA445" s="62">
        <v>148.96625</v>
      </c>
      <c r="AB445" s="62">
        <f t="shared" si="6"/>
        <v>212.68762000000001</v>
      </c>
      <c r="AC445" s="117"/>
      <c r="AD445" s="117"/>
      <c r="AE445" s="59" t="s">
        <v>115</v>
      </c>
      <c r="AF445" s="59" t="s">
        <v>115</v>
      </c>
      <c r="AG445" s="59" t="s">
        <v>115</v>
      </c>
      <c r="AH445" s="59">
        <v>0</v>
      </c>
      <c r="AI445" s="59">
        <v>0</v>
      </c>
      <c r="AJ445" s="59">
        <v>0</v>
      </c>
      <c r="AK445" s="59">
        <v>0</v>
      </c>
      <c r="AL445" s="59">
        <v>19</v>
      </c>
      <c r="AM445" s="59">
        <v>0</v>
      </c>
      <c r="AN445" s="59">
        <v>19</v>
      </c>
      <c r="AO445" s="59"/>
      <c r="AP445" s="59"/>
      <c r="AQ445" s="59"/>
      <c r="AR445" s="59"/>
      <c r="AS445" s="77"/>
      <c r="AT445" s="77"/>
      <c r="AU445" s="77"/>
      <c r="AV445" s="77"/>
    </row>
    <row r="446" spans="1:48" s="77" customFormat="1" x14ac:dyDescent="0.2">
      <c r="A446" s="59" t="s">
        <v>4546</v>
      </c>
      <c r="B446" s="59" t="s">
        <v>4547</v>
      </c>
      <c r="C446" s="59">
        <v>6</v>
      </c>
      <c r="D446" s="59">
        <v>1</v>
      </c>
      <c r="E446" s="59" t="s">
        <v>2586</v>
      </c>
      <c r="F446" s="60">
        <v>43699</v>
      </c>
      <c r="G446" s="59" t="s">
        <v>4031</v>
      </c>
      <c r="H446" s="61">
        <v>4.6527777777777779E-2</v>
      </c>
      <c r="I446" s="59" t="s">
        <v>398</v>
      </c>
      <c r="J446" s="59" t="s">
        <v>4339</v>
      </c>
      <c r="K446" s="59" t="s">
        <v>4412</v>
      </c>
      <c r="L446" s="59" t="s">
        <v>23</v>
      </c>
      <c r="M446" s="59">
        <v>1</v>
      </c>
      <c r="N446" s="59">
        <v>0</v>
      </c>
      <c r="O446" s="59">
        <v>1</v>
      </c>
      <c r="P446" s="59" t="s">
        <v>176</v>
      </c>
      <c r="Q446" s="59" t="s">
        <v>176</v>
      </c>
      <c r="R446" s="59" t="s">
        <v>333</v>
      </c>
      <c r="S446" s="59" t="s">
        <v>1035</v>
      </c>
      <c r="T446" s="59" t="s">
        <v>23</v>
      </c>
      <c r="U446" s="59" t="s">
        <v>3997</v>
      </c>
      <c r="V446" s="59" t="s">
        <v>4006</v>
      </c>
      <c r="W446" s="59"/>
      <c r="X446" s="59">
        <v>263</v>
      </c>
      <c r="Y446" s="59">
        <v>0</v>
      </c>
      <c r="Z446" s="62">
        <v>63.723080000000003</v>
      </c>
      <c r="AA446" s="62">
        <v>148.88818000000001</v>
      </c>
      <c r="AB446" s="62">
        <f t="shared" si="6"/>
        <v>212.61126000000002</v>
      </c>
      <c r="AC446" s="117"/>
      <c r="AD446" s="117"/>
      <c r="AE446" s="59" t="s">
        <v>115</v>
      </c>
      <c r="AF446" s="59" t="s">
        <v>115</v>
      </c>
      <c r="AG446" s="59" t="s">
        <v>115</v>
      </c>
      <c r="AH446" s="59">
        <v>0</v>
      </c>
      <c r="AI446" s="59">
        <v>0</v>
      </c>
      <c r="AJ446" s="59">
        <v>0</v>
      </c>
      <c r="AK446" s="59">
        <v>0</v>
      </c>
      <c r="AL446" s="59">
        <v>0</v>
      </c>
      <c r="AM446" s="59">
        <v>0</v>
      </c>
      <c r="AN446" s="59">
        <v>0</v>
      </c>
      <c r="AO446" s="59"/>
      <c r="AP446" s="59"/>
      <c r="AQ446" s="59"/>
      <c r="AR446" s="59"/>
      <c r="AS446" s="59"/>
      <c r="AT446" s="59"/>
      <c r="AU446" s="59"/>
      <c r="AV446" s="59"/>
    </row>
    <row r="447" spans="1:48" s="77" customFormat="1" x14ac:dyDescent="0.2">
      <c r="A447" s="59" t="s">
        <v>4571</v>
      </c>
      <c r="B447" s="59" t="s">
        <v>4572</v>
      </c>
      <c r="C447" s="59">
        <v>8</v>
      </c>
      <c r="D447" s="59">
        <v>1</v>
      </c>
      <c r="E447" s="59" t="s">
        <v>791</v>
      </c>
      <c r="F447" s="60">
        <v>43699</v>
      </c>
      <c r="G447" s="59" t="s">
        <v>4031</v>
      </c>
      <c r="H447" s="61">
        <v>2.2916666666666669E-2</v>
      </c>
      <c r="I447" s="59" t="s">
        <v>398</v>
      </c>
      <c r="J447" s="59" t="s">
        <v>241</v>
      </c>
      <c r="K447" s="59" t="s">
        <v>111</v>
      </c>
      <c r="L447" s="59" t="s">
        <v>23</v>
      </c>
      <c r="M447" s="59">
        <v>0</v>
      </c>
      <c r="N447" s="59">
        <v>0</v>
      </c>
      <c r="O447" s="59">
        <v>1</v>
      </c>
      <c r="P447" s="59" t="s">
        <v>176</v>
      </c>
      <c r="Q447" s="59" t="s">
        <v>176</v>
      </c>
      <c r="R447" s="59" t="s">
        <v>176</v>
      </c>
      <c r="S447" s="59" t="s">
        <v>1035</v>
      </c>
      <c r="T447" s="59" t="s">
        <v>23</v>
      </c>
      <c r="U447" s="59" t="s">
        <v>3997</v>
      </c>
      <c r="V447" s="59" t="s">
        <v>4006</v>
      </c>
      <c r="W447" s="59"/>
      <c r="X447" s="59">
        <v>302</v>
      </c>
      <c r="Y447" s="59">
        <v>4</v>
      </c>
      <c r="Z447" s="62">
        <v>63.723129999999998</v>
      </c>
      <c r="AA447" s="62">
        <v>148.96812</v>
      </c>
      <c r="AB447" s="62">
        <f t="shared" si="6"/>
        <v>212.69125</v>
      </c>
      <c r="AC447" s="117">
        <v>1</v>
      </c>
      <c r="AD447" s="117"/>
      <c r="AE447" s="59" t="s">
        <v>115</v>
      </c>
      <c r="AF447" s="59" t="s">
        <v>115</v>
      </c>
      <c r="AG447" s="59" t="s">
        <v>115</v>
      </c>
      <c r="AH447" s="59">
        <v>0</v>
      </c>
      <c r="AI447" s="59">
        <v>0</v>
      </c>
      <c r="AJ447" s="59">
        <v>0</v>
      </c>
      <c r="AK447" s="59">
        <v>0</v>
      </c>
      <c r="AL447" s="59">
        <v>0</v>
      </c>
      <c r="AM447" s="59"/>
      <c r="AN447" s="59">
        <v>0</v>
      </c>
      <c r="AO447" s="59"/>
      <c r="AP447" s="59"/>
      <c r="AQ447" s="59"/>
      <c r="AR447" s="59"/>
      <c r="AS447" s="59"/>
      <c r="AT447" s="59"/>
      <c r="AU447" s="59"/>
      <c r="AV447" s="59"/>
    </row>
    <row r="448" spans="1:48" s="77" customFormat="1" x14ac:dyDescent="0.2">
      <c r="A448" s="59" t="s">
        <v>4565</v>
      </c>
      <c r="B448" s="59" t="s">
        <v>4566</v>
      </c>
      <c r="C448" s="59">
        <v>5</v>
      </c>
      <c r="D448" s="59">
        <v>1</v>
      </c>
      <c r="E448" s="59" t="s">
        <v>791</v>
      </c>
      <c r="F448" s="60">
        <v>43699</v>
      </c>
      <c r="G448" s="59" t="s">
        <v>4031</v>
      </c>
      <c r="H448" s="61">
        <v>1.6666666666666666E-2</v>
      </c>
      <c r="I448" s="59" t="s">
        <v>398</v>
      </c>
      <c r="J448" s="59" t="s">
        <v>4280</v>
      </c>
      <c r="K448" s="59" t="s">
        <v>111</v>
      </c>
      <c r="L448" s="59" t="s">
        <v>23</v>
      </c>
      <c r="M448" s="59">
        <v>0</v>
      </c>
      <c r="N448" s="59">
        <v>0</v>
      </c>
      <c r="O448" s="59">
        <v>1</v>
      </c>
      <c r="P448" s="59" t="s">
        <v>1618</v>
      </c>
      <c r="Q448" s="59" t="s">
        <v>4564</v>
      </c>
      <c r="R448" s="59" t="s">
        <v>122</v>
      </c>
      <c r="S448" s="59" t="s">
        <v>709</v>
      </c>
      <c r="T448" s="59" t="s">
        <v>23</v>
      </c>
      <c r="U448" s="59" t="s">
        <v>4004</v>
      </c>
      <c r="V448" s="59" t="s">
        <v>4022</v>
      </c>
      <c r="W448" s="59"/>
      <c r="X448" s="59">
        <v>337</v>
      </c>
      <c r="Y448" s="59">
        <v>10</v>
      </c>
      <c r="Z448" s="62">
        <v>63.721580000000003</v>
      </c>
      <c r="AA448" s="62">
        <v>148.96747999999999</v>
      </c>
      <c r="AB448" s="62">
        <f t="shared" si="6"/>
        <v>212.68905999999998</v>
      </c>
      <c r="AC448" s="117"/>
      <c r="AD448" s="117"/>
      <c r="AE448" s="59" t="s">
        <v>115</v>
      </c>
      <c r="AF448" s="59" t="s">
        <v>115</v>
      </c>
      <c r="AG448" s="59" t="s">
        <v>115</v>
      </c>
      <c r="AH448" s="59">
        <v>0</v>
      </c>
      <c r="AI448" s="59">
        <v>0</v>
      </c>
      <c r="AJ448" s="59">
        <v>0</v>
      </c>
      <c r="AK448" s="59">
        <v>0</v>
      </c>
      <c r="AL448" s="59">
        <v>0</v>
      </c>
      <c r="AM448" s="59">
        <v>0</v>
      </c>
      <c r="AN448" s="59">
        <v>0</v>
      </c>
      <c r="AO448" s="59"/>
      <c r="AP448" s="59"/>
      <c r="AQ448" s="59"/>
      <c r="AR448" s="59"/>
    </row>
    <row r="449" spans="1:48" s="77" customFormat="1" x14ac:dyDescent="0.2">
      <c r="A449" s="59" t="s">
        <v>4576</v>
      </c>
      <c r="B449" s="59" t="s">
        <v>4577</v>
      </c>
      <c r="C449" s="59">
        <v>10</v>
      </c>
      <c r="D449" s="59">
        <v>1</v>
      </c>
      <c r="E449" s="59" t="s">
        <v>791</v>
      </c>
      <c r="F449" s="60">
        <v>43699</v>
      </c>
      <c r="G449" s="59" t="s">
        <v>4031</v>
      </c>
      <c r="H449" s="61">
        <v>3.125E-2</v>
      </c>
      <c r="I449" s="59" t="s">
        <v>398</v>
      </c>
      <c r="J449" s="59" t="s">
        <v>241</v>
      </c>
      <c r="K449" s="59" t="s">
        <v>568</v>
      </c>
      <c r="L449" s="59" t="s">
        <v>23</v>
      </c>
      <c r="M449" s="59">
        <v>1</v>
      </c>
      <c r="N449" s="59">
        <v>0</v>
      </c>
      <c r="O449" s="59">
        <v>1</v>
      </c>
      <c r="P449" s="59" t="s">
        <v>112</v>
      </c>
      <c r="Q449" s="59" t="s">
        <v>4319</v>
      </c>
      <c r="R449" s="59" t="s">
        <v>4578</v>
      </c>
      <c r="S449" s="59" t="s">
        <v>1035</v>
      </c>
      <c r="T449" s="59" t="s">
        <v>23</v>
      </c>
      <c r="U449" s="59" t="s">
        <v>3997</v>
      </c>
      <c r="V449" s="59" t="s">
        <v>4006</v>
      </c>
      <c r="W449" s="59"/>
      <c r="X449" s="59">
        <v>339</v>
      </c>
      <c r="Y449" s="59">
        <v>13</v>
      </c>
      <c r="Z449" s="62">
        <v>63.723280000000003</v>
      </c>
      <c r="AA449" s="62">
        <v>148.96852000000001</v>
      </c>
      <c r="AB449" s="62">
        <f t="shared" si="6"/>
        <v>212.6918</v>
      </c>
      <c r="AC449" s="117"/>
      <c r="AD449" s="117"/>
      <c r="AE449" s="59" t="s">
        <v>115</v>
      </c>
      <c r="AF449" s="59" t="s">
        <v>115</v>
      </c>
      <c r="AG449" s="59" t="s">
        <v>115</v>
      </c>
      <c r="AH449" s="59">
        <v>0</v>
      </c>
      <c r="AI449" s="59">
        <v>0</v>
      </c>
      <c r="AJ449" s="59">
        <v>0</v>
      </c>
      <c r="AK449" s="59">
        <v>0</v>
      </c>
      <c r="AL449" s="59">
        <v>5</v>
      </c>
      <c r="AM449" s="59">
        <v>0</v>
      </c>
      <c r="AN449" s="59">
        <v>5</v>
      </c>
      <c r="AO449" s="59"/>
      <c r="AP449" s="59" t="s">
        <v>4579</v>
      </c>
      <c r="AQ449" s="59"/>
      <c r="AR449" s="59"/>
      <c r="AS449" s="82"/>
      <c r="AT449" s="82"/>
      <c r="AU449" s="82"/>
      <c r="AV449" s="82"/>
    </row>
    <row r="450" spans="1:48" s="77" customFormat="1" x14ac:dyDescent="0.2">
      <c r="A450" s="59" t="s">
        <v>4588</v>
      </c>
      <c r="B450" s="59" t="s">
        <v>4589</v>
      </c>
      <c r="C450" s="59">
        <v>4</v>
      </c>
      <c r="D450" s="59">
        <v>1</v>
      </c>
      <c r="E450" s="59" t="s">
        <v>2537</v>
      </c>
      <c r="F450" s="60">
        <v>43700</v>
      </c>
      <c r="G450" s="59" t="s">
        <v>4031</v>
      </c>
      <c r="H450" s="61">
        <v>2.2222222222222223E-2</v>
      </c>
      <c r="I450" s="59" t="s">
        <v>398</v>
      </c>
      <c r="J450" s="59" t="s">
        <v>241</v>
      </c>
      <c r="K450" s="59" t="s">
        <v>568</v>
      </c>
      <c r="L450" s="59" t="s">
        <v>23</v>
      </c>
      <c r="M450" s="59">
        <v>1</v>
      </c>
      <c r="N450" s="59">
        <v>1</v>
      </c>
      <c r="O450" s="59">
        <v>1</v>
      </c>
      <c r="P450" s="59" t="s">
        <v>176</v>
      </c>
      <c r="Q450" s="59" t="s">
        <v>176</v>
      </c>
      <c r="R450" s="59" t="s">
        <v>263</v>
      </c>
      <c r="S450" s="59" t="s">
        <v>1035</v>
      </c>
      <c r="T450" s="59" t="s">
        <v>23</v>
      </c>
      <c r="U450" s="59" t="s">
        <v>3997</v>
      </c>
      <c r="V450" s="59" t="s">
        <v>4006</v>
      </c>
      <c r="W450" s="59"/>
      <c r="X450" s="59">
        <v>49</v>
      </c>
      <c r="Y450" s="59">
        <v>1</v>
      </c>
      <c r="Z450" s="62">
        <v>63.731850000000001</v>
      </c>
      <c r="AA450" s="62">
        <v>148.89995999999999</v>
      </c>
      <c r="AB450" s="62">
        <f t="shared" ref="AB450:AB479" si="7">Z450+AA450</f>
        <v>212.63181</v>
      </c>
      <c r="AC450" s="117"/>
      <c r="AD450" s="117"/>
      <c r="AE450" s="59" t="s">
        <v>115</v>
      </c>
      <c r="AF450" s="59" t="s">
        <v>115</v>
      </c>
      <c r="AG450" s="59" t="s">
        <v>115</v>
      </c>
      <c r="AH450" s="59">
        <v>4</v>
      </c>
      <c r="AI450" s="59">
        <v>0</v>
      </c>
      <c r="AJ450" s="59">
        <v>4</v>
      </c>
      <c r="AK450" s="59">
        <v>0</v>
      </c>
      <c r="AL450" s="59">
        <v>0</v>
      </c>
      <c r="AM450" s="59">
        <v>0</v>
      </c>
      <c r="AN450" s="59">
        <v>4</v>
      </c>
      <c r="AO450" s="59"/>
      <c r="AP450" s="59"/>
      <c r="AQ450" s="59"/>
      <c r="AR450" s="59"/>
      <c r="AS450" s="59"/>
      <c r="AT450" s="59"/>
      <c r="AU450" s="59"/>
      <c r="AV450" s="59"/>
    </row>
    <row r="451" spans="1:48" s="82" customFormat="1" x14ac:dyDescent="0.2">
      <c r="A451" s="59" t="s">
        <v>4585</v>
      </c>
      <c r="B451" s="59" t="s">
        <v>4582</v>
      </c>
      <c r="C451" s="59">
        <v>2</v>
      </c>
      <c r="D451" s="59">
        <v>1</v>
      </c>
      <c r="E451" s="59" t="s">
        <v>2537</v>
      </c>
      <c r="F451" s="60">
        <v>43700</v>
      </c>
      <c r="G451" s="59" t="s">
        <v>4031</v>
      </c>
      <c r="H451" s="61">
        <v>6.2499999999999995E-3</v>
      </c>
      <c r="I451" s="59" t="s">
        <v>398</v>
      </c>
      <c r="J451" s="59" t="s">
        <v>4583</v>
      </c>
      <c r="K451" s="59" t="s">
        <v>111</v>
      </c>
      <c r="L451" s="59" t="s">
        <v>23</v>
      </c>
      <c r="M451" s="59">
        <v>0</v>
      </c>
      <c r="N451" s="59">
        <v>0</v>
      </c>
      <c r="O451" s="59">
        <v>1</v>
      </c>
      <c r="P451" s="59" t="s">
        <v>176</v>
      </c>
      <c r="Q451" s="59" t="s">
        <v>176</v>
      </c>
      <c r="R451" s="59" t="s">
        <v>176</v>
      </c>
      <c r="S451" s="59" t="s">
        <v>4584</v>
      </c>
      <c r="T451" s="59" t="s">
        <v>12</v>
      </c>
      <c r="U451" s="59" t="s">
        <v>3997</v>
      </c>
      <c r="V451" s="59" t="s">
        <v>4022</v>
      </c>
      <c r="W451" s="59"/>
      <c r="X451" s="59">
        <v>125</v>
      </c>
      <c r="Y451" s="59" t="s">
        <v>176</v>
      </c>
      <c r="Z451" s="62">
        <v>63.732019999999999</v>
      </c>
      <c r="AA451" s="62">
        <v>148.90084999999999</v>
      </c>
      <c r="AB451" s="62">
        <f t="shared" si="7"/>
        <v>212.63287</v>
      </c>
      <c r="AC451" s="117"/>
      <c r="AD451" s="117"/>
      <c r="AE451" s="59" t="s">
        <v>115</v>
      </c>
      <c r="AF451" s="59" t="s">
        <v>115</v>
      </c>
      <c r="AG451" s="59" t="s">
        <v>115</v>
      </c>
      <c r="AH451" s="59">
        <v>0</v>
      </c>
      <c r="AI451" s="59">
        <v>0</v>
      </c>
      <c r="AJ451" s="59">
        <v>0</v>
      </c>
      <c r="AK451" s="59">
        <v>0</v>
      </c>
      <c r="AL451" s="59">
        <v>0</v>
      </c>
      <c r="AM451" s="59">
        <v>0</v>
      </c>
      <c r="AN451" s="59">
        <v>0</v>
      </c>
      <c r="AO451" s="59"/>
      <c r="AP451" s="59"/>
      <c r="AQ451" s="59"/>
      <c r="AR451" s="59"/>
      <c r="AS451" s="72"/>
      <c r="AT451" s="72"/>
      <c r="AU451" s="72"/>
      <c r="AV451" s="72"/>
    </row>
    <row r="452" spans="1:48" s="77" customFormat="1" x14ac:dyDescent="0.2">
      <c r="A452" s="59" t="s">
        <v>4580</v>
      </c>
      <c r="B452" s="59" t="s">
        <v>4581</v>
      </c>
      <c r="C452" s="59">
        <v>1</v>
      </c>
      <c r="D452" s="59">
        <v>1</v>
      </c>
      <c r="E452" s="59" t="s">
        <v>2537</v>
      </c>
      <c r="F452" s="60">
        <v>43700</v>
      </c>
      <c r="G452" s="59" t="s">
        <v>4031</v>
      </c>
      <c r="H452" s="61">
        <v>2.9861111111111113E-2</v>
      </c>
      <c r="I452" s="59" t="s">
        <v>398</v>
      </c>
      <c r="J452" s="59" t="s">
        <v>176</v>
      </c>
      <c r="K452" s="59" t="s">
        <v>111</v>
      </c>
      <c r="L452" s="59" t="s">
        <v>23</v>
      </c>
      <c r="M452" s="59">
        <v>0</v>
      </c>
      <c r="N452" s="59">
        <v>0</v>
      </c>
      <c r="O452" s="59">
        <v>1</v>
      </c>
      <c r="P452" s="59" t="s">
        <v>176</v>
      </c>
      <c r="Q452" s="59" t="s">
        <v>176</v>
      </c>
      <c r="R452" s="59" t="s">
        <v>176</v>
      </c>
      <c r="S452" s="59" t="s">
        <v>939</v>
      </c>
      <c r="T452" s="59" t="s">
        <v>23</v>
      </c>
      <c r="U452" s="59" t="s">
        <v>3999</v>
      </c>
      <c r="V452" s="59" t="s">
        <v>4022</v>
      </c>
      <c r="W452" s="59"/>
      <c r="X452" s="59">
        <v>194</v>
      </c>
      <c r="Y452" s="59" t="s">
        <v>176</v>
      </c>
      <c r="Z452" s="62">
        <v>63.732770000000002</v>
      </c>
      <c r="AA452" s="62">
        <v>148.89841000000001</v>
      </c>
      <c r="AB452" s="62">
        <f t="shared" si="7"/>
        <v>212.63118000000003</v>
      </c>
      <c r="AC452" s="117"/>
      <c r="AD452" s="117"/>
      <c r="AE452" s="59" t="s">
        <v>115</v>
      </c>
      <c r="AF452" s="59" t="s">
        <v>115</v>
      </c>
      <c r="AG452" s="59" t="s">
        <v>115</v>
      </c>
      <c r="AH452" s="59">
        <v>0</v>
      </c>
      <c r="AI452" s="59">
        <v>0</v>
      </c>
      <c r="AJ452" s="59">
        <v>0</v>
      </c>
      <c r="AK452" s="59">
        <v>0</v>
      </c>
      <c r="AL452" s="59">
        <v>0</v>
      </c>
      <c r="AM452" s="59">
        <v>0</v>
      </c>
      <c r="AN452" s="59">
        <v>0</v>
      </c>
      <c r="AO452" s="59"/>
      <c r="AP452" s="59"/>
      <c r="AQ452" s="59"/>
      <c r="AR452" s="59"/>
      <c r="AS452" s="59"/>
      <c r="AT452" s="59"/>
      <c r="AU452" s="59"/>
      <c r="AV452" s="59"/>
    </row>
    <row r="453" spans="1:48" s="77" customFormat="1" x14ac:dyDescent="0.2">
      <c r="A453" s="59" t="s">
        <v>4602</v>
      </c>
      <c r="B453" s="59" t="s">
        <v>4603</v>
      </c>
      <c r="C453" s="59">
        <v>2</v>
      </c>
      <c r="D453" s="59">
        <v>1</v>
      </c>
      <c r="E453" s="59" t="s">
        <v>138</v>
      </c>
      <c r="F453" s="60">
        <v>43701</v>
      </c>
      <c r="G453" s="59" t="s">
        <v>4031</v>
      </c>
      <c r="H453" s="61">
        <v>4.5138888888888888E-2</v>
      </c>
      <c r="I453" s="59" t="s">
        <v>101</v>
      </c>
      <c r="J453" s="59" t="s">
        <v>4232</v>
      </c>
      <c r="K453" s="59" t="s">
        <v>111</v>
      </c>
      <c r="L453" s="59" t="s">
        <v>23</v>
      </c>
      <c r="M453" s="59">
        <v>1</v>
      </c>
      <c r="N453" s="59">
        <v>0</v>
      </c>
      <c r="O453" s="59">
        <v>1</v>
      </c>
      <c r="P453" s="59" t="s">
        <v>176</v>
      </c>
      <c r="Q453" s="59" t="s">
        <v>176</v>
      </c>
      <c r="R453" s="59" t="s">
        <v>1922</v>
      </c>
      <c r="S453" s="59" t="s">
        <v>176</v>
      </c>
      <c r="T453" s="59" t="s">
        <v>23</v>
      </c>
      <c r="U453" s="59" t="s">
        <v>176</v>
      </c>
      <c r="V453" s="59" t="s">
        <v>176</v>
      </c>
      <c r="W453" s="59"/>
      <c r="X453" s="59">
        <v>27</v>
      </c>
      <c r="Y453" s="59" t="s">
        <v>176</v>
      </c>
      <c r="Z453" s="62">
        <v>63.722839999999998</v>
      </c>
      <c r="AA453" s="62">
        <v>148.95546999999999</v>
      </c>
      <c r="AB453" s="62">
        <f t="shared" si="7"/>
        <v>212.67830999999998</v>
      </c>
      <c r="AC453" s="117"/>
      <c r="AD453" s="117"/>
      <c r="AE453" s="59" t="s">
        <v>115</v>
      </c>
      <c r="AF453" s="59" t="s">
        <v>115</v>
      </c>
      <c r="AG453" s="59" t="s">
        <v>115</v>
      </c>
      <c r="AH453" s="59">
        <v>0</v>
      </c>
      <c r="AI453" s="59">
        <v>0</v>
      </c>
      <c r="AJ453" s="59">
        <v>0</v>
      </c>
      <c r="AK453" s="59">
        <v>0</v>
      </c>
      <c r="AL453" s="59">
        <v>0</v>
      </c>
      <c r="AM453" s="59">
        <v>0</v>
      </c>
      <c r="AN453" s="59">
        <v>0</v>
      </c>
      <c r="AO453" s="59"/>
      <c r="AP453" s="59" t="s">
        <v>2152</v>
      </c>
      <c r="AQ453" s="59"/>
      <c r="AR453" s="59"/>
      <c r="AS453" s="82"/>
      <c r="AT453" s="82"/>
      <c r="AU453" s="82"/>
      <c r="AV453" s="82"/>
    </row>
    <row r="454" spans="1:48" s="77" customFormat="1" x14ac:dyDescent="0.2">
      <c r="A454" s="59" t="s">
        <v>4597</v>
      </c>
      <c r="B454" s="59" t="s">
        <v>4599</v>
      </c>
      <c r="C454" s="59">
        <v>2</v>
      </c>
      <c r="D454" s="59">
        <v>1</v>
      </c>
      <c r="E454" s="59" t="s">
        <v>395</v>
      </c>
      <c r="F454" s="60">
        <v>43701</v>
      </c>
      <c r="G454" s="59" t="s">
        <v>4031</v>
      </c>
      <c r="H454" s="59"/>
      <c r="I454" s="59" t="s">
        <v>398</v>
      </c>
      <c r="J454" s="59" t="s">
        <v>4598</v>
      </c>
      <c r="K454" s="59" t="s">
        <v>568</v>
      </c>
      <c r="L454" s="59" t="s">
        <v>23</v>
      </c>
      <c r="M454" s="59">
        <v>1</v>
      </c>
      <c r="N454" s="59" t="s">
        <v>176</v>
      </c>
      <c r="O454" s="59">
        <v>1</v>
      </c>
      <c r="P454" s="59" t="s">
        <v>176</v>
      </c>
      <c r="Q454" s="59" t="s">
        <v>176</v>
      </c>
      <c r="R454" s="59" t="s">
        <v>4302</v>
      </c>
      <c r="S454" s="59" t="s">
        <v>4236</v>
      </c>
      <c r="T454" s="59" t="s">
        <v>23</v>
      </c>
      <c r="U454" s="59" t="s">
        <v>3997</v>
      </c>
      <c r="V454" s="59" t="s">
        <v>2179</v>
      </c>
      <c r="W454" s="59"/>
      <c r="X454" s="59">
        <v>54</v>
      </c>
      <c r="Y454" s="59">
        <v>1</v>
      </c>
      <c r="Z454" s="62">
        <v>63.725929999999998</v>
      </c>
      <c r="AA454" s="62">
        <v>148.98235</v>
      </c>
      <c r="AB454" s="62">
        <f t="shared" si="7"/>
        <v>212.70828</v>
      </c>
      <c r="AC454" s="117"/>
      <c r="AD454" s="117"/>
      <c r="AE454" s="59" t="s">
        <v>115</v>
      </c>
      <c r="AF454" s="59" t="s">
        <v>115</v>
      </c>
      <c r="AG454" s="59" t="s">
        <v>115</v>
      </c>
      <c r="AH454" s="59">
        <v>11</v>
      </c>
      <c r="AI454" s="59">
        <v>0</v>
      </c>
      <c r="AJ454" s="59">
        <v>9</v>
      </c>
      <c r="AK454" s="59">
        <v>11</v>
      </c>
      <c r="AL454" s="59">
        <v>0</v>
      </c>
      <c r="AM454" s="59">
        <v>0</v>
      </c>
      <c r="AN454" s="59">
        <v>11</v>
      </c>
      <c r="AO454" s="59"/>
      <c r="AP454" s="59"/>
      <c r="AQ454" s="59"/>
      <c r="AR454" s="59"/>
    </row>
    <row r="455" spans="1:48" s="77" customFormat="1" x14ac:dyDescent="0.2">
      <c r="A455" s="59" t="s">
        <v>4600</v>
      </c>
      <c r="B455" s="59" t="s">
        <v>4601</v>
      </c>
      <c r="C455" s="59">
        <v>1</v>
      </c>
      <c r="D455" s="59">
        <v>1</v>
      </c>
      <c r="E455" s="59" t="s">
        <v>138</v>
      </c>
      <c r="F455" s="60">
        <v>43701</v>
      </c>
      <c r="G455" s="59" t="s">
        <v>4031</v>
      </c>
      <c r="H455" s="61">
        <v>2.2222222222222223E-2</v>
      </c>
      <c r="I455" s="59" t="s">
        <v>101</v>
      </c>
      <c r="J455" s="59" t="s">
        <v>4232</v>
      </c>
      <c r="K455" s="59" t="s">
        <v>568</v>
      </c>
      <c r="L455" s="59" t="s">
        <v>23</v>
      </c>
      <c r="M455" s="59">
        <v>1</v>
      </c>
      <c r="N455" s="59">
        <v>0</v>
      </c>
      <c r="O455" s="59">
        <v>1</v>
      </c>
      <c r="P455" s="59" t="s">
        <v>176</v>
      </c>
      <c r="Q455" s="59" t="s">
        <v>176</v>
      </c>
      <c r="R455" s="59" t="s">
        <v>122</v>
      </c>
      <c r="S455" s="59" t="s">
        <v>4386</v>
      </c>
      <c r="T455" s="59" t="s">
        <v>23</v>
      </c>
      <c r="U455" s="59" t="s">
        <v>3999</v>
      </c>
      <c r="V455" s="59" t="s">
        <v>4022</v>
      </c>
      <c r="W455" s="59"/>
      <c r="X455" s="59">
        <v>61</v>
      </c>
      <c r="Y455" s="59" t="s">
        <v>176</v>
      </c>
      <c r="Z455" s="62">
        <v>63.722810000000003</v>
      </c>
      <c r="AA455" s="62">
        <v>148.95544000000001</v>
      </c>
      <c r="AB455" s="62">
        <f t="shared" si="7"/>
        <v>212.67825000000002</v>
      </c>
      <c r="AC455" s="117"/>
      <c r="AD455" s="117"/>
      <c r="AE455" s="59" t="s">
        <v>115</v>
      </c>
      <c r="AF455" s="59" t="s">
        <v>115</v>
      </c>
      <c r="AG455" s="59" t="s">
        <v>115</v>
      </c>
      <c r="AH455" s="59">
        <v>0</v>
      </c>
      <c r="AI455" s="59">
        <v>0</v>
      </c>
      <c r="AJ455" s="59">
        <v>0</v>
      </c>
      <c r="AK455" s="59">
        <v>0</v>
      </c>
      <c r="AL455" s="59">
        <v>10</v>
      </c>
      <c r="AM455" s="59">
        <v>0</v>
      </c>
      <c r="AN455" s="59">
        <v>10</v>
      </c>
      <c r="AO455" s="59"/>
      <c r="AP455" s="59"/>
      <c r="AQ455" s="59"/>
      <c r="AR455" s="59"/>
      <c r="AS455" s="82"/>
      <c r="AT455" s="82"/>
      <c r="AU455" s="82"/>
      <c r="AV455" s="82"/>
    </row>
    <row r="456" spans="1:48" s="77" customFormat="1" x14ac:dyDescent="0.2">
      <c r="A456" s="59" t="s">
        <v>4602</v>
      </c>
      <c r="B456" s="59" t="s">
        <v>4603</v>
      </c>
      <c r="C456" s="59">
        <v>2</v>
      </c>
      <c r="D456" s="59">
        <v>3</v>
      </c>
      <c r="E456" s="59" t="s">
        <v>138</v>
      </c>
      <c r="F456" s="60">
        <v>43701</v>
      </c>
      <c r="G456" s="59" t="s">
        <v>4031</v>
      </c>
      <c r="H456" s="61">
        <v>4.5138888888888888E-2</v>
      </c>
      <c r="I456" s="59" t="s">
        <v>101</v>
      </c>
      <c r="J456" s="59" t="s">
        <v>4232</v>
      </c>
      <c r="K456" s="59" t="s">
        <v>568</v>
      </c>
      <c r="L456" s="59" t="s">
        <v>23</v>
      </c>
      <c r="M456" s="59">
        <v>1</v>
      </c>
      <c r="N456" s="59">
        <v>0</v>
      </c>
      <c r="O456" s="59">
        <v>1</v>
      </c>
      <c r="P456" s="59" t="s">
        <v>598</v>
      </c>
      <c r="Q456" s="59" t="s">
        <v>598</v>
      </c>
      <c r="R456" s="59" t="s">
        <v>122</v>
      </c>
      <c r="S456" s="59" t="s">
        <v>4385</v>
      </c>
      <c r="T456" s="59" t="s">
        <v>23</v>
      </c>
      <c r="U456" s="59" t="s">
        <v>3997</v>
      </c>
      <c r="V456" s="59" t="s">
        <v>176</v>
      </c>
      <c r="W456" s="59"/>
      <c r="X456" s="59">
        <v>306</v>
      </c>
      <c r="Y456" s="59">
        <v>5</v>
      </c>
      <c r="Z456" s="62">
        <v>63.722999999999999</v>
      </c>
      <c r="AA456" s="62">
        <v>148.95535000000001</v>
      </c>
      <c r="AB456" s="62">
        <f t="shared" si="7"/>
        <v>212.67835000000002</v>
      </c>
      <c r="AC456" s="117"/>
      <c r="AD456" s="117"/>
      <c r="AE456" s="59" t="s">
        <v>115</v>
      </c>
      <c r="AF456" s="59" t="s">
        <v>115</v>
      </c>
      <c r="AG456" s="59" t="s">
        <v>115</v>
      </c>
      <c r="AH456" s="59">
        <v>0</v>
      </c>
      <c r="AI456" s="59">
        <v>0</v>
      </c>
      <c r="AJ456" s="59">
        <v>0</v>
      </c>
      <c r="AK456" s="59">
        <v>0</v>
      </c>
      <c r="AL456" s="59">
        <v>9</v>
      </c>
      <c r="AM456" s="59">
        <v>0</v>
      </c>
      <c r="AN456" s="59">
        <v>9</v>
      </c>
      <c r="AO456" s="59"/>
      <c r="AP456" s="59" t="s">
        <v>4495</v>
      </c>
      <c r="AQ456" s="59"/>
      <c r="AR456" s="59"/>
    </row>
    <row r="457" spans="1:48" s="77" customFormat="1" x14ac:dyDescent="0.2">
      <c r="A457" s="59" t="s">
        <v>4602</v>
      </c>
      <c r="B457" s="59" t="s">
        <v>4603</v>
      </c>
      <c r="C457" s="59">
        <v>2</v>
      </c>
      <c r="D457" s="59">
        <v>2</v>
      </c>
      <c r="E457" s="59" t="s">
        <v>138</v>
      </c>
      <c r="F457" s="60">
        <v>43701</v>
      </c>
      <c r="G457" s="59" t="s">
        <v>4031</v>
      </c>
      <c r="H457" s="61">
        <v>4.5138888888888888E-2</v>
      </c>
      <c r="I457" s="59" t="s">
        <v>101</v>
      </c>
      <c r="J457" s="59" t="s">
        <v>4232</v>
      </c>
      <c r="K457" s="59" t="s">
        <v>568</v>
      </c>
      <c r="L457" s="59" t="s">
        <v>23</v>
      </c>
      <c r="M457" s="59">
        <v>1</v>
      </c>
      <c r="N457" s="59">
        <v>0</v>
      </c>
      <c r="O457" s="59">
        <v>1</v>
      </c>
      <c r="P457" s="59" t="s">
        <v>598</v>
      </c>
      <c r="Q457" s="59" t="s">
        <v>598</v>
      </c>
      <c r="R457" s="59" t="s">
        <v>122</v>
      </c>
      <c r="S457" s="59" t="s">
        <v>4604</v>
      </c>
      <c r="T457" s="59" t="s">
        <v>23</v>
      </c>
      <c r="U457" s="59" t="s">
        <v>3999</v>
      </c>
      <c r="V457" s="59" t="s">
        <v>2179</v>
      </c>
      <c r="W457" s="59"/>
      <c r="X457" s="59">
        <v>343</v>
      </c>
      <c r="Y457" s="59">
        <v>3</v>
      </c>
      <c r="Z457" s="62">
        <v>63.722969999999997</v>
      </c>
      <c r="AA457" s="62">
        <v>148.95541</v>
      </c>
      <c r="AB457" s="62">
        <f t="shared" si="7"/>
        <v>212.67838</v>
      </c>
      <c r="AC457" s="117"/>
      <c r="AD457" s="117"/>
      <c r="AE457" s="59" t="s">
        <v>115</v>
      </c>
      <c r="AF457" s="59" t="s">
        <v>115</v>
      </c>
      <c r="AG457" s="59" t="s">
        <v>115</v>
      </c>
      <c r="AH457" s="59">
        <v>0</v>
      </c>
      <c r="AI457" s="59">
        <v>0</v>
      </c>
      <c r="AJ457" s="59">
        <v>0</v>
      </c>
      <c r="AK457" s="59">
        <v>0</v>
      </c>
      <c r="AL457" s="59">
        <v>13</v>
      </c>
      <c r="AM457" s="59">
        <v>0</v>
      </c>
      <c r="AN457" s="59">
        <v>13</v>
      </c>
      <c r="AO457" s="59"/>
      <c r="AP457" s="59"/>
      <c r="AQ457" s="59"/>
      <c r="AR457" s="59"/>
    </row>
    <row r="458" spans="1:48" s="77" customFormat="1" x14ac:dyDescent="0.2">
      <c r="A458" s="59" t="s">
        <v>4611</v>
      </c>
      <c r="B458" s="59" t="s">
        <v>4612</v>
      </c>
      <c r="C458" s="59">
        <v>1</v>
      </c>
      <c r="D458" s="59">
        <v>1</v>
      </c>
      <c r="E458" s="59" t="s">
        <v>2586</v>
      </c>
      <c r="F458" s="60">
        <v>43704</v>
      </c>
      <c r="G458" s="59" t="s">
        <v>4031</v>
      </c>
      <c r="H458" s="61">
        <v>3.0555555555555555E-2</v>
      </c>
      <c r="I458" s="59" t="s">
        <v>398</v>
      </c>
      <c r="J458" s="59" t="s">
        <v>4339</v>
      </c>
      <c r="K458" s="59" t="s">
        <v>4412</v>
      </c>
      <c r="L458" s="59" t="s">
        <v>23</v>
      </c>
      <c r="M458" s="59">
        <v>1</v>
      </c>
      <c r="N458" s="59">
        <v>0</v>
      </c>
      <c r="O458" s="59">
        <v>1</v>
      </c>
      <c r="P458" s="59" t="s">
        <v>176</v>
      </c>
      <c r="Q458" s="59" t="s">
        <v>176</v>
      </c>
      <c r="R458" s="59" t="s">
        <v>176</v>
      </c>
      <c r="S458" s="59" t="s">
        <v>4386</v>
      </c>
      <c r="T458" s="59" t="s">
        <v>23</v>
      </c>
      <c r="U458" s="59" t="s">
        <v>3999</v>
      </c>
      <c r="V458" s="59" t="s">
        <v>4022</v>
      </c>
      <c r="W458" s="59"/>
      <c r="X458" s="59">
        <v>19</v>
      </c>
      <c r="Y458" s="59" t="s">
        <v>176</v>
      </c>
      <c r="Z458" s="62">
        <v>63.723489999999998</v>
      </c>
      <c r="AA458" s="62">
        <v>148.88754</v>
      </c>
      <c r="AB458" s="62">
        <f t="shared" si="7"/>
        <v>212.61103</v>
      </c>
      <c r="AC458" s="117">
        <v>1</v>
      </c>
      <c r="AD458" s="117"/>
      <c r="AE458" s="59" t="s">
        <v>115</v>
      </c>
      <c r="AF458" s="59" t="s">
        <v>115</v>
      </c>
      <c r="AG458" s="59" t="s">
        <v>115</v>
      </c>
      <c r="AH458" s="59">
        <v>0</v>
      </c>
      <c r="AI458" s="59">
        <v>0</v>
      </c>
      <c r="AJ458" s="59">
        <v>0</v>
      </c>
      <c r="AK458" s="59">
        <v>0</v>
      </c>
      <c r="AL458" s="59">
        <v>0</v>
      </c>
      <c r="AM458" s="59">
        <v>0</v>
      </c>
      <c r="AN458" s="59">
        <v>0</v>
      </c>
      <c r="AO458" s="59"/>
      <c r="AP458" s="59" t="s">
        <v>4558</v>
      </c>
      <c r="AQ458" s="59"/>
      <c r="AR458" s="59"/>
      <c r="AS458" s="59"/>
      <c r="AT458" s="59"/>
      <c r="AU458" s="59"/>
      <c r="AV458" s="59"/>
    </row>
    <row r="459" spans="1:48" s="77" customFormat="1" x14ac:dyDescent="0.2">
      <c r="A459" s="59" t="s">
        <v>4617</v>
      </c>
      <c r="B459" s="59" t="s">
        <v>4618</v>
      </c>
      <c r="C459" s="59">
        <v>4</v>
      </c>
      <c r="D459" s="59">
        <v>1</v>
      </c>
      <c r="E459" s="59" t="s">
        <v>2586</v>
      </c>
      <c r="F459" s="60">
        <v>43704</v>
      </c>
      <c r="G459" s="59" t="s">
        <v>4031</v>
      </c>
      <c r="H459" s="61">
        <v>1.8749999999999999E-2</v>
      </c>
      <c r="I459" s="59" t="s">
        <v>398</v>
      </c>
      <c r="J459" s="59" t="s">
        <v>4339</v>
      </c>
      <c r="K459" s="59" t="s">
        <v>111</v>
      </c>
      <c r="L459" s="59" t="s">
        <v>23</v>
      </c>
      <c r="M459" s="59">
        <v>0</v>
      </c>
      <c r="N459" s="59">
        <v>0</v>
      </c>
      <c r="O459" s="59">
        <v>1</v>
      </c>
      <c r="P459" s="59" t="s">
        <v>176</v>
      </c>
      <c r="Q459" s="59" t="s">
        <v>176</v>
      </c>
      <c r="R459" s="59" t="s">
        <v>176</v>
      </c>
      <c r="S459" s="59" t="s">
        <v>263</v>
      </c>
      <c r="T459" s="59" t="s">
        <v>23</v>
      </c>
      <c r="U459" s="59" t="s">
        <v>4004</v>
      </c>
      <c r="V459" s="59" t="s">
        <v>176</v>
      </c>
      <c r="W459" s="59"/>
      <c r="X459" s="59">
        <v>70</v>
      </c>
      <c r="Y459" s="59" t="s">
        <v>176</v>
      </c>
      <c r="Z459" s="62">
        <v>63.723500000000001</v>
      </c>
      <c r="AA459" s="62">
        <v>148.88756000000001</v>
      </c>
      <c r="AB459" s="62">
        <f t="shared" si="7"/>
        <v>212.61106000000001</v>
      </c>
      <c r="AC459" s="117">
        <v>1</v>
      </c>
      <c r="AD459" s="117" t="s">
        <v>4765</v>
      </c>
      <c r="AE459" s="59" t="s">
        <v>115</v>
      </c>
      <c r="AF459" s="59" t="s">
        <v>115</v>
      </c>
      <c r="AG459" s="59" t="s">
        <v>115</v>
      </c>
      <c r="AH459" s="59">
        <v>0</v>
      </c>
      <c r="AI459" s="59">
        <v>0</v>
      </c>
      <c r="AJ459" s="59">
        <v>0</v>
      </c>
      <c r="AK459" s="59">
        <v>0</v>
      </c>
      <c r="AL459" s="59">
        <v>0</v>
      </c>
      <c r="AM459" s="59">
        <v>0</v>
      </c>
      <c r="AN459" s="59">
        <v>0</v>
      </c>
      <c r="AO459" s="59"/>
      <c r="AP459" s="59" t="s">
        <v>4619</v>
      </c>
      <c r="AQ459" s="59"/>
      <c r="AR459" s="59"/>
      <c r="AS459" s="59"/>
      <c r="AT459" s="59"/>
      <c r="AU459" s="59"/>
      <c r="AV459" s="59"/>
    </row>
    <row r="460" spans="1:48" s="77" customFormat="1" x14ac:dyDescent="0.2">
      <c r="A460" s="59" t="s">
        <v>4627</v>
      </c>
      <c r="B460" s="59" t="s">
        <v>4628</v>
      </c>
      <c r="C460" s="59">
        <v>7</v>
      </c>
      <c r="D460" s="59">
        <v>1</v>
      </c>
      <c r="E460" s="59" t="s">
        <v>2586</v>
      </c>
      <c r="F460" s="60">
        <v>43704</v>
      </c>
      <c r="G460" s="59" t="s">
        <v>4031</v>
      </c>
      <c r="H460" s="61">
        <v>1.8055555555555557E-2</v>
      </c>
      <c r="I460" s="59" t="s">
        <v>398</v>
      </c>
      <c r="J460" s="59" t="s">
        <v>4339</v>
      </c>
      <c r="K460" s="59" t="s">
        <v>111</v>
      </c>
      <c r="L460" s="59" t="s">
        <v>23</v>
      </c>
      <c r="M460" s="59">
        <v>0</v>
      </c>
      <c r="N460" s="59">
        <v>0</v>
      </c>
      <c r="O460" s="59">
        <v>1</v>
      </c>
      <c r="P460" s="59" t="s">
        <v>176</v>
      </c>
      <c r="Q460" s="59" t="s">
        <v>176</v>
      </c>
      <c r="R460" s="59" t="s">
        <v>176</v>
      </c>
      <c r="S460" s="59" t="s">
        <v>1035</v>
      </c>
      <c r="T460" s="59" t="s">
        <v>23</v>
      </c>
      <c r="U460" s="59" t="s">
        <v>3997</v>
      </c>
      <c r="V460" s="59" t="s">
        <v>4006</v>
      </c>
      <c r="W460" s="59"/>
      <c r="X460" s="59">
        <v>156</v>
      </c>
      <c r="Y460" s="59" t="s">
        <v>176</v>
      </c>
      <c r="Z460" s="62">
        <v>63.724739999999997</v>
      </c>
      <c r="AA460" s="62">
        <v>148.89146</v>
      </c>
      <c r="AB460" s="62">
        <f t="shared" si="7"/>
        <v>212.61619999999999</v>
      </c>
      <c r="AC460" s="117"/>
      <c r="AD460" s="117"/>
      <c r="AE460" s="59" t="s">
        <v>115</v>
      </c>
      <c r="AF460" s="59" t="s">
        <v>115</v>
      </c>
      <c r="AG460" s="59" t="s">
        <v>115</v>
      </c>
      <c r="AH460" s="59">
        <v>0</v>
      </c>
      <c r="AI460" s="59">
        <v>0</v>
      </c>
      <c r="AJ460" s="59">
        <v>0</v>
      </c>
      <c r="AK460" s="59">
        <v>0</v>
      </c>
      <c r="AL460" s="59">
        <v>0</v>
      </c>
      <c r="AM460" s="59">
        <v>0</v>
      </c>
      <c r="AN460" s="59">
        <v>0</v>
      </c>
      <c r="AO460" s="59"/>
      <c r="AP460" s="59"/>
      <c r="AQ460" s="59"/>
      <c r="AR460" s="59"/>
      <c r="AS460" s="59"/>
      <c r="AT460" s="59"/>
      <c r="AU460" s="59"/>
      <c r="AV460" s="59"/>
    </row>
    <row r="461" spans="1:48" s="77" customFormat="1" x14ac:dyDescent="0.2">
      <c r="A461" s="59" t="s">
        <v>4613</v>
      </c>
      <c r="B461" s="59" t="s">
        <v>4614</v>
      </c>
      <c r="C461" s="59">
        <v>2</v>
      </c>
      <c r="D461" s="59">
        <v>1</v>
      </c>
      <c r="E461" s="59" t="s">
        <v>2586</v>
      </c>
      <c r="F461" s="60">
        <v>43704</v>
      </c>
      <c r="G461" s="59" t="s">
        <v>4031</v>
      </c>
      <c r="H461" s="61">
        <v>1.7361111111111112E-2</v>
      </c>
      <c r="I461" s="59" t="s">
        <v>398</v>
      </c>
      <c r="J461" s="59" t="s">
        <v>4339</v>
      </c>
      <c r="K461" s="59" t="s">
        <v>111</v>
      </c>
      <c r="L461" s="59" t="s">
        <v>23</v>
      </c>
      <c r="M461" s="59">
        <v>0</v>
      </c>
      <c r="N461" s="59">
        <v>0</v>
      </c>
      <c r="O461" s="59">
        <v>1</v>
      </c>
      <c r="P461" s="59" t="s">
        <v>176</v>
      </c>
      <c r="Q461" s="59" t="s">
        <v>176</v>
      </c>
      <c r="R461" s="59" t="s">
        <v>176</v>
      </c>
      <c r="S461" s="59" t="s">
        <v>263</v>
      </c>
      <c r="T461" s="59" t="s">
        <v>23</v>
      </c>
      <c r="U461" s="59" t="s">
        <v>4004</v>
      </c>
      <c r="V461" s="59" t="s">
        <v>176</v>
      </c>
      <c r="W461" s="59"/>
      <c r="X461" s="59">
        <v>157</v>
      </c>
      <c r="Y461" s="59"/>
      <c r="Z461" s="62">
        <v>63.723489999999998</v>
      </c>
      <c r="AA461" s="62">
        <v>148.88754</v>
      </c>
      <c r="AB461" s="62">
        <f t="shared" si="7"/>
        <v>212.61103</v>
      </c>
      <c r="AC461" s="117">
        <v>1</v>
      </c>
      <c r="AD461" s="117" t="s">
        <v>4765</v>
      </c>
      <c r="AE461" s="59" t="s">
        <v>115</v>
      </c>
      <c r="AF461" s="59" t="s">
        <v>115</v>
      </c>
      <c r="AG461" s="59" t="s">
        <v>115</v>
      </c>
      <c r="AH461" s="59">
        <v>0</v>
      </c>
      <c r="AI461" s="59">
        <v>0</v>
      </c>
      <c r="AJ461" s="59">
        <v>0</v>
      </c>
      <c r="AK461" s="59">
        <v>0</v>
      </c>
      <c r="AL461" s="59">
        <v>0</v>
      </c>
      <c r="AM461" s="59">
        <v>0</v>
      </c>
      <c r="AN461" s="59">
        <v>0</v>
      </c>
      <c r="AO461" s="59"/>
      <c r="AP461" s="59"/>
      <c r="AQ461" s="59"/>
      <c r="AR461" s="59"/>
      <c r="AS461" s="59"/>
      <c r="AT461" s="59"/>
      <c r="AU461" s="59"/>
      <c r="AV461" s="59"/>
    </row>
    <row r="462" spans="1:48" s="77" customFormat="1" x14ac:dyDescent="0.2">
      <c r="A462" s="59" t="s">
        <v>4624</v>
      </c>
      <c r="B462" s="59" t="s">
        <v>4625</v>
      </c>
      <c r="C462" s="59">
        <v>6</v>
      </c>
      <c r="D462" s="59">
        <v>2</v>
      </c>
      <c r="E462" s="59" t="s">
        <v>2586</v>
      </c>
      <c r="F462" s="60">
        <v>43704</v>
      </c>
      <c r="G462" s="59" t="s">
        <v>4031</v>
      </c>
      <c r="H462" s="61">
        <v>4.9305555555555554E-2</v>
      </c>
      <c r="I462" s="59" t="s">
        <v>398</v>
      </c>
      <c r="J462" s="59" t="s">
        <v>176</v>
      </c>
      <c r="K462" s="59" t="s">
        <v>102</v>
      </c>
      <c r="L462" s="59" t="s">
        <v>23</v>
      </c>
      <c r="M462" s="59">
        <v>1</v>
      </c>
      <c r="N462" s="59">
        <v>0</v>
      </c>
      <c r="O462" s="59">
        <v>1</v>
      </c>
      <c r="P462" s="59" t="s">
        <v>1342</v>
      </c>
      <c r="Q462" s="59" t="s">
        <v>4626</v>
      </c>
      <c r="R462" s="59" t="s">
        <v>122</v>
      </c>
      <c r="S462" s="59" t="s">
        <v>939</v>
      </c>
      <c r="T462" s="59" t="s">
        <v>23</v>
      </c>
      <c r="U462" s="59" t="s">
        <v>3999</v>
      </c>
      <c r="V462" s="59" t="s">
        <v>4022</v>
      </c>
      <c r="W462" s="59"/>
      <c r="X462" s="59">
        <v>164</v>
      </c>
      <c r="Y462" s="59">
        <v>2</v>
      </c>
      <c r="Z462" s="62">
        <v>63.72401</v>
      </c>
      <c r="AA462" s="62">
        <v>148.88971000000001</v>
      </c>
      <c r="AB462" s="62">
        <f t="shared" si="7"/>
        <v>212.61372</v>
      </c>
      <c r="AC462" s="117">
        <v>1</v>
      </c>
      <c r="AD462" s="117"/>
      <c r="AE462" s="59" t="s">
        <v>115</v>
      </c>
      <c r="AF462" s="59" t="s">
        <v>115</v>
      </c>
      <c r="AG462" s="59" t="s">
        <v>115</v>
      </c>
      <c r="AH462" s="59">
        <v>0</v>
      </c>
      <c r="AI462" s="59">
        <v>0</v>
      </c>
      <c r="AJ462" s="59">
        <v>0</v>
      </c>
      <c r="AK462" s="59">
        <v>0</v>
      </c>
      <c r="AL462" s="59">
        <v>14</v>
      </c>
      <c r="AM462" s="59">
        <v>0</v>
      </c>
      <c r="AN462" s="59">
        <v>14</v>
      </c>
      <c r="AO462" s="59"/>
      <c r="AP462" s="59"/>
      <c r="AQ462" s="59"/>
      <c r="AR462" s="59"/>
      <c r="AS462" s="59"/>
      <c r="AT462" s="59"/>
      <c r="AU462" s="59"/>
      <c r="AV462" s="59"/>
    </row>
    <row r="463" spans="1:48" s="77" customFormat="1" x14ac:dyDescent="0.2">
      <c r="A463" s="59" t="s">
        <v>4621</v>
      </c>
      <c r="B463" s="59" t="s">
        <v>4622</v>
      </c>
      <c r="C463" s="59">
        <v>5</v>
      </c>
      <c r="D463" s="59">
        <v>1</v>
      </c>
      <c r="E463" s="59" t="s">
        <v>2586</v>
      </c>
      <c r="F463" s="60">
        <v>43704</v>
      </c>
      <c r="G463" s="59" t="s">
        <v>4031</v>
      </c>
      <c r="H463" s="61">
        <v>1.1805555555555555E-2</v>
      </c>
      <c r="I463" s="59" t="s">
        <v>398</v>
      </c>
      <c r="J463" s="59" t="s">
        <v>4339</v>
      </c>
      <c r="K463" s="59" t="s">
        <v>111</v>
      </c>
      <c r="L463" s="59" t="s">
        <v>23</v>
      </c>
      <c r="M463" s="59">
        <v>1</v>
      </c>
      <c r="N463" s="59">
        <v>1</v>
      </c>
      <c r="O463" s="59">
        <v>1</v>
      </c>
      <c r="P463" s="59" t="s">
        <v>461</v>
      </c>
      <c r="Q463" s="59" t="s">
        <v>461</v>
      </c>
      <c r="R463" s="59" t="s">
        <v>1035</v>
      </c>
      <c r="S463" s="59" t="s">
        <v>4385</v>
      </c>
      <c r="T463" s="59" t="s">
        <v>23</v>
      </c>
      <c r="U463" s="59" t="s">
        <v>3997</v>
      </c>
      <c r="V463" s="59" t="s">
        <v>176</v>
      </c>
      <c r="W463" s="59"/>
      <c r="X463" s="59">
        <v>165</v>
      </c>
      <c r="Y463" s="59">
        <v>1</v>
      </c>
      <c r="Z463" s="62">
        <v>63.723939999999999</v>
      </c>
      <c r="AA463" s="62">
        <v>148.88972000000001</v>
      </c>
      <c r="AB463" s="62">
        <f t="shared" si="7"/>
        <v>212.61366000000001</v>
      </c>
      <c r="AC463" s="117"/>
      <c r="AD463" s="117"/>
      <c r="AE463" s="59" t="s">
        <v>115</v>
      </c>
      <c r="AF463" s="59" t="s">
        <v>115</v>
      </c>
      <c r="AG463" s="59" t="s">
        <v>115</v>
      </c>
      <c r="AH463" s="59">
        <v>0</v>
      </c>
      <c r="AI463" s="59">
        <v>0</v>
      </c>
      <c r="AJ463" s="59">
        <v>0</v>
      </c>
      <c r="AK463" s="59">
        <v>0</v>
      </c>
      <c r="AL463" s="59">
        <v>0</v>
      </c>
      <c r="AM463" s="59">
        <v>0</v>
      </c>
      <c r="AN463" s="59">
        <v>0</v>
      </c>
      <c r="AO463" s="59"/>
      <c r="AP463" s="59" t="s">
        <v>4623</v>
      </c>
      <c r="AQ463" s="59"/>
      <c r="AR463" s="59"/>
      <c r="AS463" s="59"/>
      <c r="AT463" s="59"/>
      <c r="AU463" s="59"/>
      <c r="AV463" s="59"/>
    </row>
    <row r="464" spans="1:48" s="82" customFormat="1" x14ac:dyDescent="0.2">
      <c r="A464" s="59" t="s">
        <v>4631</v>
      </c>
      <c r="B464" s="59" t="s">
        <v>4632</v>
      </c>
      <c r="C464" s="59">
        <v>9</v>
      </c>
      <c r="D464" s="59">
        <v>1</v>
      </c>
      <c r="E464" s="59" t="s">
        <v>2586</v>
      </c>
      <c r="F464" s="60">
        <v>43704</v>
      </c>
      <c r="G464" s="59" t="s">
        <v>4031</v>
      </c>
      <c r="H464" s="61">
        <v>3.2638888888888891E-2</v>
      </c>
      <c r="I464" s="59" t="s">
        <v>398</v>
      </c>
      <c r="J464" s="59" t="s">
        <v>4339</v>
      </c>
      <c r="K464" s="59" t="s">
        <v>568</v>
      </c>
      <c r="L464" s="59" t="s">
        <v>23</v>
      </c>
      <c r="M464" s="59">
        <v>1</v>
      </c>
      <c r="N464" s="59">
        <v>0</v>
      </c>
      <c r="O464" s="59">
        <v>1</v>
      </c>
      <c r="P464" s="59" t="s">
        <v>112</v>
      </c>
      <c r="Q464" s="59" t="s">
        <v>4319</v>
      </c>
      <c r="R464" s="59" t="s">
        <v>122</v>
      </c>
      <c r="S464" s="59" t="s">
        <v>4385</v>
      </c>
      <c r="T464" s="59" t="s">
        <v>23</v>
      </c>
      <c r="U464" s="59" t="s">
        <v>3997</v>
      </c>
      <c r="V464" s="59" t="s">
        <v>3810</v>
      </c>
      <c r="W464" s="59"/>
      <c r="X464" s="59">
        <v>194</v>
      </c>
      <c r="Y464" s="59">
        <v>2</v>
      </c>
      <c r="Z464" s="62">
        <v>63.723239999999997</v>
      </c>
      <c r="AA464" s="62">
        <v>148.88898</v>
      </c>
      <c r="AB464" s="62">
        <f t="shared" si="7"/>
        <v>212.61222000000001</v>
      </c>
      <c r="AC464" s="117"/>
      <c r="AD464" s="117"/>
      <c r="AE464" s="59" t="s">
        <v>115</v>
      </c>
      <c r="AF464" s="59" t="s">
        <v>115</v>
      </c>
      <c r="AG464" s="59" t="s">
        <v>115</v>
      </c>
      <c r="AH464" s="59">
        <v>0</v>
      </c>
      <c r="AI464" s="59">
        <v>0</v>
      </c>
      <c r="AJ464" s="59">
        <v>0</v>
      </c>
      <c r="AK464" s="59">
        <v>0</v>
      </c>
      <c r="AL464" s="59">
        <v>20</v>
      </c>
      <c r="AM464" s="59">
        <v>0</v>
      </c>
      <c r="AN464" s="59">
        <v>20</v>
      </c>
      <c r="AO464" s="59"/>
      <c r="AP464" s="59"/>
      <c r="AQ464" s="59"/>
      <c r="AR464" s="59"/>
      <c r="AS464" s="59"/>
      <c r="AT464" s="59"/>
      <c r="AU464" s="59"/>
      <c r="AV464" s="59"/>
    </row>
    <row r="465" spans="1:48" s="82" customFormat="1" x14ac:dyDescent="0.2">
      <c r="A465" s="59" t="s">
        <v>4624</v>
      </c>
      <c r="B465" s="59" t="s">
        <v>4625</v>
      </c>
      <c r="C465" s="59">
        <v>6</v>
      </c>
      <c r="D465" s="59">
        <v>3</v>
      </c>
      <c r="E465" s="59" t="s">
        <v>2586</v>
      </c>
      <c r="F465" s="60">
        <v>43704</v>
      </c>
      <c r="G465" s="59" t="s">
        <v>4031</v>
      </c>
      <c r="H465" s="61">
        <v>4.9305555555555554E-2</v>
      </c>
      <c r="I465" s="59" t="s">
        <v>398</v>
      </c>
      <c r="J465" s="59" t="s">
        <v>176</v>
      </c>
      <c r="K465" s="59" t="s">
        <v>102</v>
      </c>
      <c r="L465" s="59" t="s">
        <v>23</v>
      </c>
      <c r="M465" s="59">
        <v>0</v>
      </c>
      <c r="N465" s="59">
        <v>0</v>
      </c>
      <c r="O465" s="59">
        <v>1</v>
      </c>
      <c r="P465" s="59" t="s">
        <v>1342</v>
      </c>
      <c r="Q465" s="59" t="s">
        <v>4626</v>
      </c>
      <c r="R465" s="59" t="s">
        <v>122</v>
      </c>
      <c r="S465" s="59" t="s">
        <v>939</v>
      </c>
      <c r="T465" s="59" t="s">
        <v>23</v>
      </c>
      <c r="U465" s="59" t="s">
        <v>3999</v>
      </c>
      <c r="V465" s="59" t="s">
        <v>4022</v>
      </c>
      <c r="W465" s="59"/>
      <c r="X465" s="59">
        <v>202</v>
      </c>
      <c r="Y465" s="59">
        <v>2</v>
      </c>
      <c r="Z465" s="62">
        <v>63.72401</v>
      </c>
      <c r="AA465" s="62">
        <v>148.88971000000001</v>
      </c>
      <c r="AB465" s="62">
        <f t="shared" si="7"/>
        <v>212.61372</v>
      </c>
      <c r="AC465" s="117">
        <v>1</v>
      </c>
      <c r="AD465" s="117" t="s">
        <v>4765</v>
      </c>
      <c r="AE465" s="59" t="s">
        <v>115</v>
      </c>
      <c r="AF465" s="59" t="s">
        <v>115</v>
      </c>
      <c r="AG465" s="59" t="s">
        <v>115</v>
      </c>
      <c r="AH465" s="59">
        <v>0</v>
      </c>
      <c r="AI465" s="59">
        <v>0</v>
      </c>
      <c r="AJ465" s="59">
        <v>0</v>
      </c>
      <c r="AK465" s="59">
        <v>0</v>
      </c>
      <c r="AL465" s="59">
        <v>0</v>
      </c>
      <c r="AM465" s="59">
        <v>0</v>
      </c>
      <c r="AN465" s="59">
        <v>0</v>
      </c>
      <c r="AO465" s="59"/>
      <c r="AP465" s="59"/>
      <c r="AQ465" s="59"/>
      <c r="AR465" s="59"/>
      <c r="AS465" s="59"/>
      <c r="AT465" s="59"/>
      <c r="AU465" s="59"/>
      <c r="AV465" s="59"/>
    </row>
    <row r="466" spans="1:48" s="77" customFormat="1" x14ac:dyDescent="0.2">
      <c r="A466" s="59" t="s">
        <v>4624</v>
      </c>
      <c r="B466" s="59" t="s">
        <v>4625</v>
      </c>
      <c r="C466" s="59">
        <v>6</v>
      </c>
      <c r="D466" s="59">
        <v>4</v>
      </c>
      <c r="E466" s="59" t="s">
        <v>2586</v>
      </c>
      <c r="F466" s="60">
        <v>43704</v>
      </c>
      <c r="G466" s="59" t="s">
        <v>4031</v>
      </c>
      <c r="H466" s="61">
        <v>4.9305555555555554E-2</v>
      </c>
      <c r="I466" s="59" t="s">
        <v>398</v>
      </c>
      <c r="J466" s="59" t="s">
        <v>176</v>
      </c>
      <c r="K466" s="59" t="s">
        <v>102</v>
      </c>
      <c r="L466" s="59" t="s">
        <v>23</v>
      </c>
      <c r="M466" s="59">
        <v>0</v>
      </c>
      <c r="N466" s="59">
        <v>0</v>
      </c>
      <c r="O466" s="59">
        <v>1</v>
      </c>
      <c r="P466" s="59" t="s">
        <v>1342</v>
      </c>
      <c r="Q466" s="59" t="s">
        <v>4626</v>
      </c>
      <c r="R466" s="59" t="s">
        <v>122</v>
      </c>
      <c r="S466" s="59" t="s">
        <v>939</v>
      </c>
      <c r="T466" s="59" t="s">
        <v>23</v>
      </c>
      <c r="U466" s="59" t="s">
        <v>3999</v>
      </c>
      <c r="V466" s="59" t="s">
        <v>4022</v>
      </c>
      <c r="W466" s="59"/>
      <c r="X466" s="59">
        <v>226</v>
      </c>
      <c r="Y466" s="59">
        <v>2</v>
      </c>
      <c r="Z466" s="62">
        <v>63.72401</v>
      </c>
      <c r="AA466" s="62">
        <v>148.88971000000001</v>
      </c>
      <c r="AB466" s="62">
        <f t="shared" si="7"/>
        <v>212.61372</v>
      </c>
      <c r="AC466" s="117">
        <v>1</v>
      </c>
      <c r="AD466" s="117" t="s">
        <v>4765</v>
      </c>
      <c r="AE466" s="59" t="s">
        <v>115</v>
      </c>
      <c r="AF466" s="59" t="s">
        <v>115</v>
      </c>
      <c r="AG466" s="59" t="s">
        <v>115</v>
      </c>
      <c r="AH466" s="59">
        <v>0</v>
      </c>
      <c r="AI466" s="59">
        <v>0</v>
      </c>
      <c r="AJ466" s="59">
        <v>0</v>
      </c>
      <c r="AK466" s="59">
        <v>0</v>
      </c>
      <c r="AL466" s="59">
        <v>0</v>
      </c>
      <c r="AM466" s="59">
        <v>0</v>
      </c>
      <c r="AN466" s="59">
        <v>0</v>
      </c>
      <c r="AO466" s="59"/>
      <c r="AP466" s="59"/>
      <c r="AQ466" s="59"/>
      <c r="AR466" s="59"/>
      <c r="AS466" s="59"/>
      <c r="AT466" s="59"/>
      <c r="AU466" s="59"/>
      <c r="AV466" s="59"/>
    </row>
    <row r="467" spans="1:48" s="77" customFormat="1" x14ac:dyDescent="0.2">
      <c r="A467" s="59" t="s">
        <v>4613</v>
      </c>
      <c r="B467" s="59" t="s">
        <v>4614</v>
      </c>
      <c r="C467" s="59">
        <v>2</v>
      </c>
      <c r="D467" s="59">
        <v>2</v>
      </c>
      <c r="E467" s="59" t="s">
        <v>2586</v>
      </c>
      <c r="F467" s="60">
        <v>43704</v>
      </c>
      <c r="G467" s="59" t="s">
        <v>4031</v>
      </c>
      <c r="H467" s="61">
        <v>1.7361111111111112E-2</v>
      </c>
      <c r="I467" s="59" t="s">
        <v>398</v>
      </c>
      <c r="J467" s="59" t="s">
        <v>4339</v>
      </c>
      <c r="K467" s="59" t="s">
        <v>111</v>
      </c>
      <c r="L467" s="59" t="s">
        <v>23</v>
      </c>
      <c r="M467" s="59">
        <v>0</v>
      </c>
      <c r="N467" s="59">
        <v>0</v>
      </c>
      <c r="O467" s="59">
        <v>1</v>
      </c>
      <c r="P467" s="59" t="s">
        <v>176</v>
      </c>
      <c r="Q467" s="59" t="s">
        <v>176</v>
      </c>
      <c r="R467" s="59" t="s">
        <v>176</v>
      </c>
      <c r="S467" s="59" t="s">
        <v>263</v>
      </c>
      <c r="T467" s="59" t="s">
        <v>23</v>
      </c>
      <c r="U467" s="59" t="s">
        <v>4004</v>
      </c>
      <c r="V467" s="59" t="s">
        <v>176</v>
      </c>
      <c r="W467" s="59"/>
      <c r="X467" s="59">
        <v>309</v>
      </c>
      <c r="Y467" s="59"/>
      <c r="Z467" s="62">
        <v>63.723489999999998</v>
      </c>
      <c r="AA467" s="62">
        <v>148.88757000000001</v>
      </c>
      <c r="AB467" s="62">
        <f t="shared" si="7"/>
        <v>212.61106000000001</v>
      </c>
      <c r="AC467" s="117">
        <v>1</v>
      </c>
      <c r="AD467" s="117"/>
      <c r="AE467" s="59" t="s">
        <v>115</v>
      </c>
      <c r="AF467" s="59" t="s">
        <v>115</v>
      </c>
      <c r="AG467" s="59" t="s">
        <v>115</v>
      </c>
      <c r="AH467" s="59">
        <v>0</v>
      </c>
      <c r="AI467" s="59">
        <v>0</v>
      </c>
      <c r="AJ467" s="59">
        <v>0</v>
      </c>
      <c r="AK467" s="59">
        <v>0</v>
      </c>
      <c r="AL467" s="59">
        <v>0</v>
      </c>
      <c r="AM467" s="59">
        <v>0</v>
      </c>
      <c r="AN467" s="59">
        <v>0</v>
      </c>
      <c r="AO467" s="59"/>
      <c r="AP467" s="59" t="s">
        <v>4620</v>
      </c>
      <c r="AQ467" s="59"/>
      <c r="AR467" s="59"/>
      <c r="AS467" s="59"/>
      <c r="AT467" s="59"/>
      <c r="AU467" s="59"/>
      <c r="AV467" s="59"/>
    </row>
    <row r="468" spans="1:48" s="77" customFormat="1" x14ac:dyDescent="0.2">
      <c r="A468" s="59" t="s">
        <v>4631</v>
      </c>
      <c r="B468" s="59" t="s">
        <v>4632</v>
      </c>
      <c r="C468" s="59">
        <v>9</v>
      </c>
      <c r="D468" s="59">
        <v>1</v>
      </c>
      <c r="E468" s="59" t="s">
        <v>2586</v>
      </c>
      <c r="F468" s="60">
        <v>43704</v>
      </c>
      <c r="G468" s="59" t="s">
        <v>4031</v>
      </c>
      <c r="H468" s="61">
        <v>3.2638888888888891E-2</v>
      </c>
      <c r="I468" s="59" t="s">
        <v>398</v>
      </c>
      <c r="J468" s="59" t="s">
        <v>4339</v>
      </c>
      <c r="K468" s="59" t="s">
        <v>568</v>
      </c>
      <c r="L468" s="59" t="s">
        <v>23</v>
      </c>
      <c r="M468" s="59">
        <v>1</v>
      </c>
      <c r="N468" s="59">
        <v>0</v>
      </c>
      <c r="O468" s="59">
        <v>1</v>
      </c>
      <c r="P468" s="59" t="s">
        <v>112</v>
      </c>
      <c r="Q468" s="59" t="s">
        <v>4214</v>
      </c>
      <c r="R468" s="59" t="s">
        <v>122</v>
      </c>
      <c r="S468" s="59" t="s">
        <v>4385</v>
      </c>
      <c r="T468" s="59" t="s">
        <v>23</v>
      </c>
      <c r="U468" s="59" t="s">
        <v>3997</v>
      </c>
      <c r="V468" s="59" t="s">
        <v>3810</v>
      </c>
      <c r="W468" s="59"/>
      <c r="X468" s="59">
        <v>341</v>
      </c>
      <c r="Y468" s="59">
        <v>4</v>
      </c>
      <c r="Z468" s="62">
        <v>63.723219999999998</v>
      </c>
      <c r="AA468" s="62">
        <v>148.88901999999999</v>
      </c>
      <c r="AB468" s="62">
        <f t="shared" si="7"/>
        <v>212.61223999999999</v>
      </c>
      <c r="AC468" s="117"/>
      <c r="AD468" s="117"/>
      <c r="AE468" s="59" t="s">
        <v>115</v>
      </c>
      <c r="AF468" s="59" t="s">
        <v>115</v>
      </c>
      <c r="AG468" s="59" t="s">
        <v>115</v>
      </c>
      <c r="AH468" s="59">
        <v>0</v>
      </c>
      <c r="AI468" s="59">
        <v>0</v>
      </c>
      <c r="AJ468" s="59">
        <v>0</v>
      </c>
      <c r="AK468" s="59">
        <v>0</v>
      </c>
      <c r="AL468" s="59">
        <v>5</v>
      </c>
      <c r="AM468" s="59">
        <v>0</v>
      </c>
      <c r="AN468" s="59">
        <v>5</v>
      </c>
      <c r="AO468" s="59"/>
      <c r="AP468" s="59"/>
      <c r="AQ468" s="59"/>
      <c r="AR468" s="59"/>
      <c r="AS468" s="59"/>
      <c r="AT468" s="59"/>
      <c r="AU468" s="59"/>
      <c r="AV468" s="59"/>
    </row>
    <row r="469" spans="1:48" s="77" customFormat="1" x14ac:dyDescent="0.2">
      <c r="A469" s="59" t="s">
        <v>4664</v>
      </c>
      <c r="B469" s="59" t="s">
        <v>4665</v>
      </c>
      <c r="C469" s="59">
        <v>13</v>
      </c>
      <c r="D469" s="59">
        <v>1</v>
      </c>
      <c r="E469" s="59" t="s">
        <v>395</v>
      </c>
      <c r="F469" s="60">
        <v>43705</v>
      </c>
      <c r="G469" s="59" t="s">
        <v>4031</v>
      </c>
      <c r="H469" s="61">
        <v>1.8749999999999999E-2</v>
      </c>
      <c r="I469" s="59" t="s">
        <v>398</v>
      </c>
      <c r="J469" s="59" t="s">
        <v>4675</v>
      </c>
      <c r="K469" s="59" t="s">
        <v>568</v>
      </c>
      <c r="L469" s="59" t="s">
        <v>23</v>
      </c>
      <c r="M469" s="59">
        <v>1</v>
      </c>
      <c r="N469" s="59">
        <v>0</v>
      </c>
      <c r="O469" s="59">
        <v>1</v>
      </c>
      <c r="P469" s="59" t="s">
        <v>598</v>
      </c>
      <c r="Q469" s="59" t="s">
        <v>4432</v>
      </c>
      <c r="R469" s="59" t="s">
        <v>122</v>
      </c>
      <c r="S469" s="59" t="s">
        <v>1035</v>
      </c>
      <c r="T469" s="59" t="s">
        <v>23</v>
      </c>
      <c r="U469" s="59" t="s">
        <v>3997</v>
      </c>
      <c r="V469" s="59" t="s">
        <v>4006</v>
      </c>
      <c r="W469" s="59"/>
      <c r="X469" s="59">
        <v>133</v>
      </c>
      <c r="Y469" s="59">
        <v>4</v>
      </c>
      <c r="Z469" s="62">
        <v>63.721130000000002</v>
      </c>
      <c r="AA469" s="62">
        <v>148.98087000000001</v>
      </c>
      <c r="AB469" s="62">
        <f t="shared" si="7"/>
        <v>212.702</v>
      </c>
      <c r="AC469" s="117"/>
      <c r="AD469" s="117"/>
      <c r="AE469" s="59" t="s">
        <v>115</v>
      </c>
      <c r="AF469" s="59" t="s">
        <v>115</v>
      </c>
      <c r="AG469" s="59" t="s">
        <v>115</v>
      </c>
      <c r="AH469" s="59">
        <v>0</v>
      </c>
      <c r="AI469" s="59">
        <v>0</v>
      </c>
      <c r="AJ469" s="59">
        <v>0</v>
      </c>
      <c r="AK469" s="59">
        <v>0</v>
      </c>
      <c r="AL469" s="59">
        <v>13</v>
      </c>
      <c r="AM469" s="59">
        <v>0</v>
      </c>
      <c r="AN469" s="59">
        <v>13</v>
      </c>
      <c r="AO469" s="59"/>
      <c r="AP469" s="59"/>
      <c r="AQ469" s="59"/>
      <c r="AR469" s="59"/>
    </row>
    <row r="470" spans="1:48" s="77" customFormat="1" x14ac:dyDescent="0.2">
      <c r="A470" s="59" t="s">
        <v>4670</v>
      </c>
      <c r="B470" s="59" t="s">
        <v>4671</v>
      </c>
      <c r="C470" s="59">
        <v>16</v>
      </c>
      <c r="D470" s="59">
        <v>1</v>
      </c>
      <c r="E470" s="59" t="s">
        <v>395</v>
      </c>
      <c r="F470" s="60">
        <v>43705</v>
      </c>
      <c r="G470" s="59" t="s">
        <v>4031</v>
      </c>
      <c r="H470" s="61">
        <v>5.6944444444444443E-2</v>
      </c>
      <c r="I470" s="59" t="s">
        <v>398</v>
      </c>
      <c r="J470" s="59" t="s">
        <v>4675</v>
      </c>
      <c r="K470" s="59" t="s">
        <v>568</v>
      </c>
      <c r="L470" s="59" t="s">
        <v>23</v>
      </c>
      <c r="M470" s="59">
        <v>1</v>
      </c>
      <c r="N470" s="59">
        <v>0</v>
      </c>
      <c r="O470" s="59">
        <v>1</v>
      </c>
      <c r="P470" s="59" t="s">
        <v>176</v>
      </c>
      <c r="Q470" s="59" t="s">
        <v>176</v>
      </c>
      <c r="R470" s="59" t="s">
        <v>122</v>
      </c>
      <c r="S470" s="59" t="s">
        <v>4385</v>
      </c>
      <c r="T470" s="59" t="s">
        <v>23</v>
      </c>
      <c r="U470" s="59" t="s">
        <v>3997</v>
      </c>
      <c r="V470" s="59" t="s">
        <v>3810</v>
      </c>
      <c r="W470" s="59"/>
      <c r="X470" s="59">
        <v>135</v>
      </c>
      <c r="Y470" s="59">
        <v>5</v>
      </c>
      <c r="Z470" s="62">
        <v>63.721499999999999</v>
      </c>
      <c r="AA470" s="62">
        <v>148.98240999999999</v>
      </c>
      <c r="AB470" s="62">
        <f t="shared" si="7"/>
        <v>212.70390999999998</v>
      </c>
      <c r="AC470" s="117">
        <v>3</v>
      </c>
      <c r="AD470" s="117"/>
      <c r="AE470" s="59" t="s">
        <v>115</v>
      </c>
      <c r="AF470" s="59" t="s">
        <v>115</v>
      </c>
      <c r="AG470" s="59" t="s">
        <v>115</v>
      </c>
      <c r="AH470" s="59">
        <v>0</v>
      </c>
      <c r="AI470" s="59">
        <v>0</v>
      </c>
      <c r="AJ470" s="59">
        <v>0</v>
      </c>
      <c r="AK470" s="59">
        <v>0</v>
      </c>
      <c r="AL470" s="59">
        <v>16</v>
      </c>
      <c r="AM470" s="59">
        <v>0</v>
      </c>
      <c r="AN470" s="59">
        <v>16</v>
      </c>
      <c r="AO470" s="59"/>
      <c r="AP470" s="59"/>
      <c r="AQ470" s="59"/>
      <c r="AR470" s="59"/>
      <c r="AS470" s="59"/>
      <c r="AT470" s="59"/>
      <c r="AU470" s="59"/>
      <c r="AV470" s="59"/>
    </row>
    <row r="471" spans="1:48" s="77" customFormat="1" x14ac:dyDescent="0.2">
      <c r="A471" s="59" t="s">
        <v>4681</v>
      </c>
      <c r="B471" s="59" t="s">
        <v>4682</v>
      </c>
      <c r="C471" s="59">
        <v>1</v>
      </c>
      <c r="D471" s="59">
        <v>1</v>
      </c>
      <c r="E471" s="59" t="s">
        <v>213</v>
      </c>
      <c r="F471" s="60">
        <v>43705</v>
      </c>
      <c r="G471" s="59" t="s">
        <v>4031</v>
      </c>
      <c r="H471" s="61">
        <v>2.0833333333333333E-3</v>
      </c>
      <c r="I471" s="59" t="s">
        <v>397</v>
      </c>
      <c r="J471" s="59" t="s">
        <v>4683</v>
      </c>
      <c r="K471" s="59" t="s">
        <v>111</v>
      </c>
      <c r="L471" s="59" t="s">
        <v>23</v>
      </c>
      <c r="M471" s="59">
        <v>1</v>
      </c>
      <c r="N471" s="59">
        <v>0</v>
      </c>
      <c r="O471" s="59">
        <v>1</v>
      </c>
      <c r="P471" s="59" t="s">
        <v>598</v>
      </c>
      <c r="Q471" s="59" t="s">
        <v>4643</v>
      </c>
      <c r="R471" s="59" t="s">
        <v>122</v>
      </c>
      <c r="S471" s="59" t="s">
        <v>4386</v>
      </c>
      <c r="T471" s="59" t="s">
        <v>23</v>
      </c>
      <c r="U471" s="59" t="s">
        <v>3999</v>
      </c>
      <c r="V471" s="59" t="s">
        <v>3810</v>
      </c>
      <c r="W471" s="59"/>
      <c r="X471" s="59">
        <v>162</v>
      </c>
      <c r="Y471" s="59">
        <v>3</v>
      </c>
      <c r="Z471" s="62">
        <v>63.720649999999999</v>
      </c>
      <c r="AA471" s="62">
        <v>148.96965</v>
      </c>
      <c r="AB471" s="62">
        <f t="shared" si="7"/>
        <v>212.69030000000001</v>
      </c>
      <c r="AC471" s="117"/>
      <c r="AD471" s="117"/>
      <c r="AE471" s="59" t="s">
        <v>115</v>
      </c>
      <c r="AF471" s="59" t="s">
        <v>115</v>
      </c>
      <c r="AG471" s="59" t="s">
        <v>115</v>
      </c>
      <c r="AH471" s="59">
        <v>0</v>
      </c>
      <c r="AI471" s="59">
        <v>0</v>
      </c>
      <c r="AJ471" s="59">
        <v>0</v>
      </c>
      <c r="AK471" s="59">
        <v>0</v>
      </c>
      <c r="AL471" s="59">
        <v>0</v>
      </c>
      <c r="AM471" s="59">
        <v>0</v>
      </c>
      <c r="AN471" s="59">
        <v>0</v>
      </c>
      <c r="AO471" s="59"/>
      <c r="AP471" s="59" t="s">
        <v>4684</v>
      </c>
      <c r="AQ471" s="59"/>
      <c r="AR471" s="59"/>
      <c r="AS471" s="82"/>
      <c r="AT471" s="82"/>
      <c r="AU471" s="82"/>
      <c r="AV471" s="82"/>
    </row>
    <row r="472" spans="1:48" s="77" customFormat="1" x14ac:dyDescent="0.2">
      <c r="A472" s="59" t="s">
        <v>4670</v>
      </c>
      <c r="B472" s="59" t="s">
        <v>4671</v>
      </c>
      <c r="C472" s="59">
        <v>16</v>
      </c>
      <c r="D472" s="59">
        <v>2</v>
      </c>
      <c r="E472" s="59" t="s">
        <v>395</v>
      </c>
      <c r="F472" s="60">
        <v>43705</v>
      </c>
      <c r="G472" s="59" t="s">
        <v>4031</v>
      </c>
      <c r="H472" s="61">
        <v>5.6944444444444443E-2</v>
      </c>
      <c r="I472" s="59" t="s">
        <v>398</v>
      </c>
      <c r="J472" s="59" t="s">
        <v>4243</v>
      </c>
      <c r="K472" s="59" t="s">
        <v>568</v>
      </c>
      <c r="L472" s="59" t="s">
        <v>23</v>
      </c>
      <c r="M472" s="59">
        <v>1</v>
      </c>
      <c r="N472" s="59">
        <v>0</v>
      </c>
      <c r="O472" s="59">
        <v>1</v>
      </c>
      <c r="P472" s="59" t="s">
        <v>176</v>
      </c>
      <c r="Q472" s="59" t="s">
        <v>176</v>
      </c>
      <c r="R472" s="59" t="s">
        <v>122</v>
      </c>
      <c r="S472" s="59" t="s">
        <v>4385</v>
      </c>
      <c r="T472" s="59" t="s">
        <v>23</v>
      </c>
      <c r="U472" s="59" t="s">
        <v>3997</v>
      </c>
      <c r="V472" s="59" t="s">
        <v>3810</v>
      </c>
      <c r="W472" s="59"/>
      <c r="X472" s="59">
        <v>182</v>
      </c>
      <c r="Y472" s="59">
        <v>5</v>
      </c>
      <c r="Z472" s="62">
        <v>63.721499999999999</v>
      </c>
      <c r="AA472" s="62">
        <v>148.98240999999999</v>
      </c>
      <c r="AB472" s="62">
        <f t="shared" si="7"/>
        <v>212.70390999999998</v>
      </c>
      <c r="AC472" s="117">
        <v>3</v>
      </c>
      <c r="AD472" s="117" t="s">
        <v>4765</v>
      </c>
      <c r="AE472" s="59" t="s">
        <v>115</v>
      </c>
      <c r="AF472" s="59" t="s">
        <v>115</v>
      </c>
      <c r="AG472" s="59" t="s">
        <v>115</v>
      </c>
      <c r="AH472" s="59">
        <v>0</v>
      </c>
      <c r="AI472" s="59">
        <v>0</v>
      </c>
      <c r="AJ472" s="59">
        <v>0</v>
      </c>
      <c r="AK472" s="59">
        <v>0</v>
      </c>
      <c r="AL472" s="59">
        <v>0</v>
      </c>
      <c r="AM472" s="59">
        <v>0</v>
      </c>
      <c r="AN472" s="59">
        <v>0</v>
      </c>
      <c r="AO472" s="59"/>
      <c r="AP472" s="59" t="s">
        <v>4672</v>
      </c>
      <c r="AQ472" s="59"/>
      <c r="AR472" s="59"/>
      <c r="AS472" s="59"/>
      <c r="AT472" s="59"/>
      <c r="AU472" s="59"/>
      <c r="AV472" s="59"/>
    </row>
    <row r="473" spans="1:48" s="77" customFormat="1" x14ac:dyDescent="0.2">
      <c r="A473" s="59" t="s">
        <v>4645</v>
      </c>
      <c r="B473" s="59" t="s">
        <v>4646</v>
      </c>
      <c r="C473" s="59">
        <v>5</v>
      </c>
      <c r="D473" s="59">
        <v>2</v>
      </c>
      <c r="E473" s="59" t="s">
        <v>395</v>
      </c>
      <c r="F473" s="60">
        <v>43705</v>
      </c>
      <c r="G473" s="59" t="s">
        <v>4031</v>
      </c>
      <c r="H473" s="61">
        <v>3.1944444444444449E-2</v>
      </c>
      <c r="I473" s="59" t="s">
        <v>398</v>
      </c>
      <c r="J473" s="59" t="s">
        <v>4250</v>
      </c>
      <c r="K473" s="59" t="s">
        <v>568</v>
      </c>
      <c r="L473" s="59" t="s">
        <v>23</v>
      </c>
      <c r="M473" s="59">
        <v>1</v>
      </c>
      <c r="N473" s="59">
        <v>0</v>
      </c>
      <c r="O473" s="59">
        <v>1</v>
      </c>
      <c r="P473" s="59" t="s">
        <v>598</v>
      </c>
      <c r="Q473" s="59" t="s">
        <v>4643</v>
      </c>
      <c r="R473" s="59" t="s">
        <v>122</v>
      </c>
      <c r="S473" s="59" t="s">
        <v>4604</v>
      </c>
      <c r="T473" s="59" t="s">
        <v>23</v>
      </c>
      <c r="U473" s="59" t="s">
        <v>3999</v>
      </c>
      <c r="V473" s="59" t="s">
        <v>2179</v>
      </c>
      <c r="W473" s="59"/>
      <c r="X473" s="59">
        <v>249</v>
      </c>
      <c r="Y473" s="59">
        <v>1</v>
      </c>
      <c r="Z473" s="62">
        <v>63.720410000000001</v>
      </c>
      <c r="AA473" s="62">
        <v>148.98446999999999</v>
      </c>
      <c r="AB473" s="62">
        <f t="shared" si="7"/>
        <v>212.70488</v>
      </c>
      <c r="AC473" s="117">
        <v>3</v>
      </c>
      <c r="AD473" s="117"/>
      <c r="AE473" s="59" t="s">
        <v>115</v>
      </c>
      <c r="AF473" s="59" t="s">
        <v>115</v>
      </c>
      <c r="AG473" s="59" t="s">
        <v>115</v>
      </c>
      <c r="AH473" s="59">
        <v>0</v>
      </c>
      <c r="AI473" s="59">
        <v>0</v>
      </c>
      <c r="AJ473" s="59">
        <v>0</v>
      </c>
      <c r="AK473" s="59">
        <v>0</v>
      </c>
      <c r="AL473" s="59">
        <v>8</v>
      </c>
      <c r="AM473" s="59">
        <v>0</v>
      </c>
      <c r="AN473" s="59">
        <v>8</v>
      </c>
      <c r="AO473" s="59"/>
      <c r="AP473" s="59" t="s">
        <v>4647</v>
      </c>
      <c r="AQ473" s="59"/>
      <c r="AR473" s="59"/>
      <c r="AS473" s="59"/>
      <c r="AT473" s="59"/>
      <c r="AU473" s="59"/>
      <c r="AV473" s="59"/>
    </row>
    <row r="474" spans="1:48" s="77" customFormat="1" x14ac:dyDescent="0.2">
      <c r="A474" s="59" t="s">
        <v>4656</v>
      </c>
      <c r="B474" s="59" t="s">
        <v>4657</v>
      </c>
      <c r="C474" s="59">
        <v>9</v>
      </c>
      <c r="D474" s="59">
        <v>1</v>
      </c>
      <c r="E474" s="59" t="s">
        <v>395</v>
      </c>
      <c r="F474" s="60">
        <v>43705</v>
      </c>
      <c r="G474" s="59" t="s">
        <v>4031</v>
      </c>
      <c r="H474" s="61">
        <v>1.7361111111111112E-2</v>
      </c>
      <c r="I474" s="59" t="s">
        <v>398</v>
      </c>
      <c r="J474" s="59" t="s">
        <v>4675</v>
      </c>
      <c r="K474" s="59" t="s">
        <v>111</v>
      </c>
      <c r="L474" s="59" t="s">
        <v>23</v>
      </c>
      <c r="M474" s="59">
        <v>1</v>
      </c>
      <c r="N474" s="59">
        <v>0</v>
      </c>
      <c r="O474" s="59">
        <v>1</v>
      </c>
      <c r="P474" s="59" t="s">
        <v>176</v>
      </c>
      <c r="Q474" s="59" t="s">
        <v>176</v>
      </c>
      <c r="R474" s="59" t="s">
        <v>122</v>
      </c>
      <c r="S474" s="59" t="s">
        <v>4385</v>
      </c>
      <c r="T474" s="59" t="s">
        <v>23</v>
      </c>
      <c r="U474" s="59" t="s">
        <v>3997</v>
      </c>
      <c r="V474" s="59" t="s">
        <v>176</v>
      </c>
      <c r="W474" s="59"/>
      <c r="X474" s="59">
        <v>259</v>
      </c>
      <c r="Y474" s="59">
        <v>7</v>
      </c>
      <c r="Z474" s="62">
        <v>63.721550000000001</v>
      </c>
      <c r="AA474" s="62">
        <v>148.98175000000001</v>
      </c>
      <c r="AB474" s="62">
        <f t="shared" si="7"/>
        <v>212.70330000000001</v>
      </c>
      <c r="AC474" s="117"/>
      <c r="AD474" s="117"/>
      <c r="AE474" s="59" t="s">
        <v>115</v>
      </c>
      <c r="AF474" s="59" t="s">
        <v>115</v>
      </c>
      <c r="AG474" s="59" t="s">
        <v>115</v>
      </c>
      <c r="AH474" s="59">
        <v>0</v>
      </c>
      <c r="AI474" s="59">
        <v>0</v>
      </c>
      <c r="AJ474" s="59">
        <v>0</v>
      </c>
      <c r="AK474" s="59">
        <v>0</v>
      </c>
      <c r="AL474" s="59">
        <v>0</v>
      </c>
      <c r="AM474" s="59">
        <v>0</v>
      </c>
      <c r="AN474" s="59">
        <v>0</v>
      </c>
      <c r="AO474" s="59"/>
      <c r="AP474" s="59" t="s">
        <v>4658</v>
      </c>
      <c r="AQ474" s="59"/>
      <c r="AR474" s="59"/>
      <c r="AS474" s="82"/>
      <c r="AT474" s="82"/>
      <c r="AU474" s="82"/>
      <c r="AV474" s="82"/>
    </row>
    <row r="475" spans="1:48" s="77" customFormat="1" x14ac:dyDescent="0.2">
      <c r="A475" s="59" t="s">
        <v>4645</v>
      </c>
      <c r="B475" s="59" t="s">
        <v>4646</v>
      </c>
      <c r="C475" s="59">
        <v>5</v>
      </c>
      <c r="D475" s="59">
        <v>1</v>
      </c>
      <c r="E475" s="59" t="s">
        <v>395</v>
      </c>
      <c r="F475" s="60">
        <v>43705</v>
      </c>
      <c r="G475" s="59" t="s">
        <v>4031</v>
      </c>
      <c r="H475" s="61">
        <v>3.1944444444444449E-2</v>
      </c>
      <c r="I475" s="59" t="s">
        <v>398</v>
      </c>
      <c r="J475" s="59" t="s">
        <v>2498</v>
      </c>
      <c r="K475" s="59" t="s">
        <v>568</v>
      </c>
      <c r="L475" s="59" t="s">
        <v>23</v>
      </c>
      <c r="M475" s="59">
        <v>1</v>
      </c>
      <c r="N475" s="59">
        <v>0</v>
      </c>
      <c r="O475" s="59">
        <v>1</v>
      </c>
      <c r="P475" s="59" t="s">
        <v>176</v>
      </c>
      <c r="Q475" s="59" t="s">
        <v>176</v>
      </c>
      <c r="R475" s="59" t="s">
        <v>122</v>
      </c>
      <c r="S475" s="59" t="s">
        <v>4604</v>
      </c>
      <c r="T475" s="59" t="s">
        <v>23</v>
      </c>
      <c r="U475" s="59" t="s">
        <v>3999</v>
      </c>
      <c r="V475" s="59" t="s">
        <v>2179</v>
      </c>
      <c r="W475" s="59"/>
      <c r="X475" s="59">
        <v>275</v>
      </c>
      <c r="Y475" s="59">
        <v>13</v>
      </c>
      <c r="Z475" s="62">
        <v>63.720410000000001</v>
      </c>
      <c r="AA475" s="62">
        <v>148.98446999999999</v>
      </c>
      <c r="AB475" s="62">
        <f t="shared" si="7"/>
        <v>212.70488</v>
      </c>
      <c r="AC475" s="117">
        <v>3</v>
      </c>
      <c r="AD475" s="117" t="s">
        <v>4765</v>
      </c>
      <c r="AE475" s="59" t="s">
        <v>115</v>
      </c>
      <c r="AF475" s="59" t="s">
        <v>115</v>
      </c>
      <c r="AG475" s="59" t="s">
        <v>115</v>
      </c>
      <c r="AH475" s="59">
        <v>0</v>
      </c>
      <c r="AI475" s="59">
        <v>0</v>
      </c>
      <c r="AJ475" s="59">
        <v>0</v>
      </c>
      <c r="AK475" s="59">
        <v>0</v>
      </c>
      <c r="AL475" s="59">
        <v>8</v>
      </c>
      <c r="AM475" s="59">
        <v>0</v>
      </c>
      <c r="AN475" s="59">
        <v>8</v>
      </c>
      <c r="AO475" s="59"/>
      <c r="AP475" s="59"/>
      <c r="AQ475" s="59"/>
      <c r="AR475" s="59"/>
      <c r="AS475" s="59"/>
      <c r="AT475" s="59"/>
      <c r="AU475" s="59"/>
      <c r="AV475" s="59"/>
    </row>
    <row r="476" spans="1:48" s="77" customFormat="1" x14ac:dyDescent="0.2">
      <c r="A476" s="59" t="s">
        <v>4673</v>
      </c>
      <c r="B476" s="59" t="s">
        <v>4674</v>
      </c>
      <c r="C476" s="59">
        <v>17</v>
      </c>
      <c r="D476" s="59">
        <v>1</v>
      </c>
      <c r="E476" s="59" t="s">
        <v>395</v>
      </c>
      <c r="F476" s="60">
        <v>43705</v>
      </c>
      <c r="G476" s="59" t="s">
        <v>4031</v>
      </c>
      <c r="H476" s="61">
        <v>1.1805555555555555E-2</v>
      </c>
      <c r="I476" s="59" t="s">
        <v>398</v>
      </c>
      <c r="J476" s="59" t="s">
        <v>4675</v>
      </c>
      <c r="K476" s="59" t="s">
        <v>4412</v>
      </c>
      <c r="L476" s="59" t="s">
        <v>23</v>
      </c>
      <c r="M476" s="59">
        <v>1</v>
      </c>
      <c r="N476" s="59">
        <v>0</v>
      </c>
      <c r="O476" s="59">
        <v>1</v>
      </c>
      <c r="P476" s="59" t="s">
        <v>598</v>
      </c>
      <c r="Q476" s="59" t="s">
        <v>4432</v>
      </c>
      <c r="R476" s="59" t="s">
        <v>122</v>
      </c>
      <c r="S476" s="59" t="s">
        <v>4385</v>
      </c>
      <c r="T476" s="59" t="s">
        <v>23</v>
      </c>
      <c r="U476" s="59" t="s">
        <v>3997</v>
      </c>
      <c r="V476" s="59" t="s">
        <v>176</v>
      </c>
      <c r="W476" s="59"/>
      <c r="X476" s="59">
        <v>290</v>
      </c>
      <c r="Y476" s="59">
        <v>11</v>
      </c>
      <c r="Z476" s="62">
        <v>63.721820000000001</v>
      </c>
      <c r="AA476" s="62">
        <v>148.98206999999999</v>
      </c>
      <c r="AB476" s="62">
        <f t="shared" si="7"/>
        <v>212.70389</v>
      </c>
      <c r="AC476" s="117"/>
      <c r="AD476" s="117"/>
      <c r="AE476" s="59" t="s">
        <v>115</v>
      </c>
      <c r="AF476" s="59" t="s">
        <v>115</v>
      </c>
      <c r="AG476" s="59" t="s">
        <v>115</v>
      </c>
      <c r="AH476" s="59">
        <v>0</v>
      </c>
      <c r="AI476" s="59">
        <v>0</v>
      </c>
      <c r="AJ476" s="59">
        <v>0</v>
      </c>
      <c r="AK476" s="59">
        <v>0</v>
      </c>
      <c r="AL476" s="59">
        <v>0</v>
      </c>
      <c r="AM476" s="59">
        <v>0</v>
      </c>
      <c r="AN476" s="59">
        <v>0</v>
      </c>
      <c r="AO476" s="59"/>
      <c r="AP476" s="59" t="s">
        <v>4676</v>
      </c>
      <c r="AQ476" s="59"/>
      <c r="AR476" s="59"/>
      <c r="AS476" s="82"/>
      <c r="AT476" s="82"/>
      <c r="AU476" s="82"/>
      <c r="AV476" s="82"/>
    </row>
    <row r="477" spans="1:48" s="96" customFormat="1" x14ac:dyDescent="0.2">
      <c r="A477" s="59" t="s">
        <v>4641</v>
      </c>
      <c r="B477" s="59" t="s">
        <v>4642</v>
      </c>
      <c r="C477" s="59">
        <v>4</v>
      </c>
      <c r="D477" s="59">
        <v>1</v>
      </c>
      <c r="E477" s="59" t="s">
        <v>395</v>
      </c>
      <c r="F477" s="60">
        <v>43705</v>
      </c>
      <c r="G477" s="59" t="s">
        <v>4031</v>
      </c>
      <c r="H477" s="61">
        <v>1.8055555555555557E-2</v>
      </c>
      <c r="I477" s="59" t="s">
        <v>398</v>
      </c>
      <c r="J477" s="59" t="s">
        <v>4250</v>
      </c>
      <c r="K477" s="59" t="s">
        <v>111</v>
      </c>
      <c r="L477" s="59" t="s">
        <v>115</v>
      </c>
      <c r="M477" s="59">
        <v>1</v>
      </c>
      <c r="N477" s="59">
        <v>0</v>
      </c>
      <c r="O477" s="59">
        <v>1</v>
      </c>
      <c r="P477" s="59" t="s">
        <v>598</v>
      </c>
      <c r="Q477" s="59" t="s">
        <v>4643</v>
      </c>
      <c r="R477" s="59" t="s">
        <v>122</v>
      </c>
      <c r="S477" s="59" t="s">
        <v>4604</v>
      </c>
      <c r="T477" s="59" t="s">
        <v>23</v>
      </c>
      <c r="U477" s="59" t="s">
        <v>3999</v>
      </c>
      <c r="V477" s="59" t="s">
        <v>2179</v>
      </c>
      <c r="W477" s="59"/>
      <c r="X477" s="59">
        <v>291</v>
      </c>
      <c r="Y477" s="59" t="s">
        <v>176</v>
      </c>
      <c r="Z477" s="62">
        <v>63.720359999999999</v>
      </c>
      <c r="AA477" s="62">
        <v>148.98394999999999</v>
      </c>
      <c r="AB477" s="62">
        <f t="shared" si="7"/>
        <v>212.70430999999999</v>
      </c>
      <c r="AC477" s="117"/>
      <c r="AD477" s="117"/>
      <c r="AE477" s="59" t="s">
        <v>115</v>
      </c>
      <c r="AF477" s="59" t="s">
        <v>115</v>
      </c>
      <c r="AG477" s="59" t="s">
        <v>115</v>
      </c>
      <c r="AH477" s="59">
        <v>0</v>
      </c>
      <c r="AI477" s="59">
        <v>0</v>
      </c>
      <c r="AJ477" s="59">
        <v>0</v>
      </c>
      <c r="AK477" s="59">
        <v>0</v>
      </c>
      <c r="AL477" s="59">
        <v>0</v>
      </c>
      <c r="AM477" s="59">
        <v>0</v>
      </c>
      <c r="AN477" s="59">
        <v>0</v>
      </c>
      <c r="AO477" s="59"/>
      <c r="AP477" s="59" t="s">
        <v>4644</v>
      </c>
      <c r="AQ477" s="59"/>
      <c r="AR477" s="59"/>
      <c r="AS477" s="82"/>
      <c r="AT477" s="82"/>
      <c r="AU477" s="82"/>
      <c r="AV477" s="82"/>
    </row>
    <row r="478" spans="1:48" s="96" customFormat="1" x14ac:dyDescent="0.2">
      <c r="A478" s="59" t="s">
        <v>4645</v>
      </c>
      <c r="B478" s="59" t="s">
        <v>4646</v>
      </c>
      <c r="C478" s="59">
        <v>5</v>
      </c>
      <c r="D478" s="59">
        <v>3</v>
      </c>
      <c r="E478" s="59" t="s">
        <v>395</v>
      </c>
      <c r="F478" s="60">
        <v>43705</v>
      </c>
      <c r="G478" s="59" t="s">
        <v>4031</v>
      </c>
      <c r="H478" s="61">
        <v>3.1944444444444449E-2</v>
      </c>
      <c r="I478" s="59" t="s">
        <v>398</v>
      </c>
      <c r="J478" s="59" t="s">
        <v>176</v>
      </c>
      <c r="K478" s="59" t="s">
        <v>568</v>
      </c>
      <c r="L478" s="59" t="s">
        <v>23</v>
      </c>
      <c r="M478" s="59">
        <v>0</v>
      </c>
      <c r="N478" s="59">
        <v>0</v>
      </c>
      <c r="O478" s="59">
        <v>1</v>
      </c>
      <c r="P478" s="59" t="s">
        <v>598</v>
      </c>
      <c r="Q478" s="59" t="s">
        <v>4643</v>
      </c>
      <c r="R478" s="59" t="s">
        <v>176</v>
      </c>
      <c r="S478" s="59" t="s">
        <v>4604</v>
      </c>
      <c r="T478" s="59" t="s">
        <v>23</v>
      </c>
      <c r="U478" s="59" t="s">
        <v>3999</v>
      </c>
      <c r="V478" s="59" t="s">
        <v>2179</v>
      </c>
      <c r="W478" s="59"/>
      <c r="X478" s="59">
        <v>307</v>
      </c>
      <c r="Y478" s="59" t="s">
        <v>176</v>
      </c>
      <c r="Z478" s="62">
        <v>63.720410000000001</v>
      </c>
      <c r="AA478" s="62">
        <v>148.98446999999999</v>
      </c>
      <c r="AB478" s="62">
        <f t="shared" si="7"/>
        <v>212.70488</v>
      </c>
      <c r="AC478" s="117">
        <v>3</v>
      </c>
      <c r="AD478" s="117" t="s">
        <v>4765</v>
      </c>
      <c r="AE478" s="59" t="s">
        <v>115</v>
      </c>
      <c r="AF478" s="59" t="s">
        <v>115</v>
      </c>
      <c r="AG478" s="59" t="s">
        <v>115</v>
      </c>
      <c r="AH478" s="59">
        <v>0</v>
      </c>
      <c r="AI478" s="59">
        <v>0</v>
      </c>
      <c r="AJ478" s="59">
        <v>0</v>
      </c>
      <c r="AK478" s="59">
        <v>0</v>
      </c>
      <c r="AL478" s="59">
        <v>0</v>
      </c>
      <c r="AM478" s="59">
        <v>0</v>
      </c>
      <c r="AN478" s="59">
        <v>0</v>
      </c>
      <c r="AO478" s="59"/>
      <c r="AP478" s="59" t="s">
        <v>4648</v>
      </c>
      <c r="AQ478" s="59"/>
      <c r="AR478" s="59"/>
      <c r="AS478" s="59"/>
      <c r="AT478" s="59"/>
      <c r="AU478" s="59"/>
      <c r="AV478" s="59"/>
    </row>
    <row r="479" spans="1:48" s="96" customFormat="1" x14ac:dyDescent="0.2">
      <c r="A479" s="59" t="s">
        <v>4666</v>
      </c>
      <c r="B479" s="59" t="s">
        <v>4667</v>
      </c>
      <c r="C479" s="59">
        <v>14</v>
      </c>
      <c r="D479" s="59">
        <v>1</v>
      </c>
      <c r="E479" s="59" t="s">
        <v>395</v>
      </c>
      <c r="F479" s="60">
        <v>43705</v>
      </c>
      <c r="G479" s="59" t="s">
        <v>4031</v>
      </c>
      <c r="H479" s="61">
        <v>4.6527777777777779E-2</v>
      </c>
      <c r="I479" s="59" t="s">
        <v>398</v>
      </c>
      <c r="J479" s="59" t="s">
        <v>4675</v>
      </c>
      <c r="K479" s="59" t="s">
        <v>568</v>
      </c>
      <c r="L479" s="59" t="s">
        <v>23</v>
      </c>
      <c r="M479" s="59">
        <v>1</v>
      </c>
      <c r="N479" s="59">
        <v>0</v>
      </c>
      <c r="O479" s="59">
        <v>1</v>
      </c>
      <c r="P479" s="59" t="s">
        <v>176</v>
      </c>
      <c r="Q479" s="59" t="s">
        <v>176</v>
      </c>
      <c r="R479" s="59" t="s">
        <v>122</v>
      </c>
      <c r="S479" s="59" t="s">
        <v>4604</v>
      </c>
      <c r="T479" s="59" t="s">
        <v>23</v>
      </c>
      <c r="U479" s="59" t="s">
        <v>3999</v>
      </c>
      <c r="V479" s="59" t="s">
        <v>2179</v>
      </c>
      <c r="W479" s="59"/>
      <c r="X479" s="59">
        <v>343</v>
      </c>
      <c r="Y479" s="59">
        <v>2</v>
      </c>
      <c r="Z479" s="62">
        <v>63.720950000000002</v>
      </c>
      <c r="AA479" s="62">
        <v>148.98137</v>
      </c>
      <c r="AB479" s="62">
        <f t="shared" si="7"/>
        <v>212.70231999999999</v>
      </c>
      <c r="AC479" s="117"/>
      <c r="AD479" s="117"/>
      <c r="AE479" s="59" t="s">
        <v>115</v>
      </c>
      <c r="AF479" s="59" t="s">
        <v>115</v>
      </c>
      <c r="AG479" s="59" t="s">
        <v>115</v>
      </c>
      <c r="AH479" s="59">
        <v>0</v>
      </c>
      <c r="AI479" s="59">
        <v>0</v>
      </c>
      <c r="AJ479" s="59">
        <v>0</v>
      </c>
      <c r="AK479" s="59">
        <v>0</v>
      </c>
      <c r="AL479" s="59">
        <v>45</v>
      </c>
      <c r="AM479" s="59">
        <v>0</v>
      </c>
      <c r="AN479" s="59">
        <v>45</v>
      </c>
      <c r="AO479" s="59"/>
      <c r="AP479" s="59"/>
      <c r="AQ479" s="59"/>
      <c r="AR479" s="59"/>
      <c r="AS479" s="77"/>
      <c r="AT479" s="77"/>
      <c r="AU479" s="77"/>
      <c r="AV479" s="77"/>
    </row>
  </sheetData>
  <autoFilter ref="A1:AV481" xr:uid="{005FB840-FE76-404A-9F6D-62FD75ED8259}">
    <sortState xmlns:xlrd2="http://schemas.microsoft.com/office/spreadsheetml/2017/richdata2" ref="A2:AV479">
      <sortCondition ref="F1:F481"/>
    </sortState>
  </autoFilter>
  <conditionalFormatting sqref="AB1:AB1048576">
    <cfRule type="duplicateValues" dxfId="0" priority="1"/>
  </conditionalFormatting>
  <pageMargins left="0.7" right="0.7" top="0.75" bottom="0.75" header="0.3" footer="0.3"/>
  <pageSetup orientation="portrait"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filterMode="1"/>
  <dimension ref="A1:AU869"/>
  <sheetViews>
    <sheetView topLeftCell="AA1" workbookViewId="0">
      <pane ySplit="1" topLeftCell="A74" activePane="bottomLeft" state="frozen"/>
      <selection activeCell="V1" sqref="V1"/>
      <selection pane="bottomLeft" activeCell="AD1" sqref="AD1:AJ1048576"/>
    </sheetView>
  </sheetViews>
  <sheetFormatPr baseColWidth="10" defaultRowHeight="16" x14ac:dyDescent="0.2"/>
  <cols>
    <col min="2" max="4" width="13.33203125" customWidth="1"/>
    <col min="5" max="9" width="10.83203125" customWidth="1"/>
    <col min="10" max="10" width="10.83203125" style="176" customWidth="1"/>
    <col min="11" max="11" width="10.83203125" style="6" customWidth="1"/>
    <col min="12" max="15" width="10.83203125" customWidth="1"/>
    <col min="16" max="17" width="18.6640625" customWidth="1"/>
    <col min="18" max="20" width="21.6640625" customWidth="1"/>
    <col min="21" max="21" width="15.33203125" customWidth="1"/>
    <col min="22" max="22" width="16.83203125" customWidth="1"/>
    <col min="23" max="23" width="46.1640625" customWidth="1"/>
    <col min="24" max="24" width="16.33203125" customWidth="1"/>
    <col min="25" max="25" width="35.1640625" customWidth="1"/>
    <col min="26" max="26" width="46.1640625" customWidth="1"/>
    <col min="27" max="27" width="29.83203125" customWidth="1"/>
    <col min="28" max="28" width="17" style="19" customWidth="1"/>
    <col min="29" max="29" width="12.6640625" style="19" customWidth="1"/>
    <col min="38" max="38" width="28.1640625" customWidth="1"/>
  </cols>
  <sheetData>
    <row r="1" spans="1:47" x14ac:dyDescent="0.2">
      <c r="A1" t="s">
        <v>25</v>
      </c>
      <c r="B1" t="s">
        <v>0</v>
      </c>
      <c r="C1" t="s">
        <v>2033</v>
      </c>
      <c r="D1" t="s">
        <v>2034</v>
      </c>
      <c r="E1" t="s">
        <v>1</v>
      </c>
      <c r="F1" t="s">
        <v>2</v>
      </c>
      <c r="G1" t="s">
        <v>4025</v>
      </c>
      <c r="H1" t="s">
        <v>5058</v>
      </c>
      <c r="I1" t="s">
        <v>4</v>
      </c>
      <c r="J1" s="176" t="s">
        <v>5095</v>
      </c>
      <c r="K1" s="6" t="s">
        <v>5101</v>
      </c>
      <c r="L1" t="s">
        <v>3</v>
      </c>
      <c r="M1" t="s">
        <v>9</v>
      </c>
      <c r="N1" t="s">
        <v>106</v>
      </c>
      <c r="O1" t="s">
        <v>5</v>
      </c>
      <c r="P1" t="s">
        <v>6</v>
      </c>
      <c r="Q1" t="s">
        <v>2281</v>
      </c>
      <c r="R1" t="s">
        <v>98</v>
      </c>
      <c r="S1" t="s">
        <v>1276</v>
      </c>
      <c r="T1" t="s">
        <v>4029</v>
      </c>
      <c r="U1" t="s">
        <v>551</v>
      </c>
      <c r="V1" t="s">
        <v>113</v>
      </c>
      <c r="W1" t="s">
        <v>114</v>
      </c>
      <c r="X1" t="s">
        <v>3995</v>
      </c>
      <c r="Y1" t="s">
        <v>3996</v>
      </c>
      <c r="Z1" t="s">
        <v>4000</v>
      </c>
      <c r="AA1" t="s">
        <v>912</v>
      </c>
      <c r="AB1" s="19" t="s">
        <v>2038</v>
      </c>
      <c r="AC1" s="19" t="s">
        <v>2039</v>
      </c>
      <c r="AD1" t="s">
        <v>3971</v>
      </c>
      <c r="AE1" t="s">
        <v>20</v>
      </c>
      <c r="AF1" t="s">
        <v>18</v>
      </c>
      <c r="AG1" t="s">
        <v>21</v>
      </c>
      <c r="AH1" t="s">
        <v>122</v>
      </c>
      <c r="AI1" t="s">
        <v>2052</v>
      </c>
      <c r="AJ1" t="s">
        <v>8</v>
      </c>
      <c r="AK1" t="s">
        <v>15</v>
      </c>
      <c r="AL1" t="s">
        <v>17</v>
      </c>
      <c r="AM1" t="s">
        <v>56</v>
      </c>
      <c r="AN1" t="s">
        <v>57</v>
      </c>
    </row>
    <row r="2" spans="1:47" x14ac:dyDescent="0.2">
      <c r="A2" s="33" t="s">
        <v>402</v>
      </c>
      <c r="B2" s="33" t="s">
        <v>403</v>
      </c>
      <c r="C2" s="33">
        <v>2</v>
      </c>
      <c r="D2" s="33">
        <v>1</v>
      </c>
      <c r="E2" s="33" t="s">
        <v>324</v>
      </c>
      <c r="F2" s="37">
        <v>43350</v>
      </c>
      <c r="G2" s="37" t="s">
        <v>4032</v>
      </c>
      <c r="H2" s="37" t="s">
        <v>4724</v>
      </c>
      <c r="I2" s="36">
        <v>2.1527777777777781E-2</v>
      </c>
      <c r="J2" s="177">
        <v>3.5879629629629635E-4</v>
      </c>
      <c r="K2" s="39">
        <v>31</v>
      </c>
      <c r="L2" s="33" t="s">
        <v>398</v>
      </c>
      <c r="M2" s="33" t="s">
        <v>325</v>
      </c>
      <c r="N2" s="33" t="s">
        <v>102</v>
      </c>
      <c r="O2" s="33" t="s">
        <v>115</v>
      </c>
      <c r="P2" s="33">
        <v>1</v>
      </c>
      <c r="Q2" s="33"/>
      <c r="R2" s="33">
        <v>0</v>
      </c>
      <c r="S2" s="33"/>
      <c r="T2" t="s">
        <v>112</v>
      </c>
      <c r="U2" s="33" t="s">
        <v>112</v>
      </c>
      <c r="V2" s="33" t="s">
        <v>122</v>
      </c>
      <c r="W2" s="33" t="s">
        <v>115</v>
      </c>
      <c r="X2" s="33" t="s">
        <v>115</v>
      </c>
      <c r="Y2" s="33" t="s">
        <v>115</v>
      </c>
      <c r="Z2" s="33" t="s">
        <v>115</v>
      </c>
      <c r="AA2" s="33" t="s">
        <v>115</v>
      </c>
      <c r="AB2" s="35" t="s">
        <v>115</v>
      </c>
      <c r="AC2" s="35"/>
      <c r="AD2" s="33">
        <v>0</v>
      </c>
      <c r="AE2" s="33">
        <v>0</v>
      </c>
      <c r="AF2" s="33">
        <v>0</v>
      </c>
      <c r="AG2" s="33">
        <v>0</v>
      </c>
      <c r="AH2" s="33">
        <v>7</v>
      </c>
      <c r="AI2" s="33">
        <v>0</v>
      </c>
      <c r="AJ2" s="33">
        <f t="shared" ref="AJ2:AJ65" si="0">SUM(AF2:AI2)</f>
        <v>7</v>
      </c>
      <c r="AK2" s="33"/>
      <c r="AL2" s="33"/>
      <c r="AM2" s="33"/>
      <c r="AN2" s="33"/>
    </row>
    <row r="3" spans="1:47" x14ac:dyDescent="0.2">
      <c r="A3" t="s">
        <v>1565</v>
      </c>
      <c r="B3" t="s">
        <v>1566</v>
      </c>
      <c r="C3">
        <v>5</v>
      </c>
      <c r="D3">
        <v>1</v>
      </c>
      <c r="E3" s="33" t="s">
        <v>3171</v>
      </c>
      <c r="F3" s="1">
        <v>43390</v>
      </c>
      <c r="G3" s="37" t="s">
        <v>4033</v>
      </c>
      <c r="H3" s="37" t="s">
        <v>4724</v>
      </c>
      <c r="I3" s="2">
        <v>1.1111111111111112E-2</v>
      </c>
      <c r="J3" s="176">
        <v>1.8518518518518518E-4</v>
      </c>
      <c r="K3" s="6">
        <v>16</v>
      </c>
      <c r="L3" t="s">
        <v>398</v>
      </c>
      <c r="M3" s="7" t="s">
        <v>149</v>
      </c>
      <c r="N3" t="s">
        <v>102</v>
      </c>
      <c r="O3" s="7" t="s">
        <v>23</v>
      </c>
      <c r="P3" s="7" t="s">
        <v>24</v>
      </c>
      <c r="Q3" s="7"/>
      <c r="R3" s="7">
        <v>0</v>
      </c>
      <c r="U3" s="7" t="s">
        <v>115</v>
      </c>
      <c r="V3" s="7" t="s">
        <v>115</v>
      </c>
      <c r="W3" s="7" t="s">
        <v>115</v>
      </c>
      <c r="X3" s="33" t="s">
        <v>115</v>
      </c>
      <c r="Y3" s="33" t="s">
        <v>115</v>
      </c>
      <c r="Z3" s="33" t="s">
        <v>115</v>
      </c>
      <c r="AA3" s="7" t="s">
        <v>115</v>
      </c>
      <c r="AB3" s="20" t="s">
        <v>115</v>
      </c>
      <c r="AC3" s="20"/>
      <c r="AD3" s="6">
        <v>0</v>
      </c>
      <c r="AE3" s="6">
        <v>16</v>
      </c>
      <c r="AF3" s="6">
        <v>0</v>
      </c>
      <c r="AG3" s="6">
        <v>16</v>
      </c>
      <c r="AH3" s="6">
        <v>0</v>
      </c>
      <c r="AI3">
        <v>0</v>
      </c>
      <c r="AJ3">
        <f t="shared" si="0"/>
        <v>16</v>
      </c>
    </row>
    <row r="4" spans="1:47" x14ac:dyDescent="0.2">
      <c r="A4" t="s">
        <v>99</v>
      </c>
      <c r="B4" t="s">
        <v>835</v>
      </c>
      <c r="C4">
        <v>1</v>
      </c>
      <c r="D4">
        <v>1</v>
      </c>
      <c r="E4" t="s">
        <v>834</v>
      </c>
      <c r="F4" s="1">
        <v>43340</v>
      </c>
      <c r="G4" s="1" t="s">
        <v>4031</v>
      </c>
      <c r="H4" s="37" t="s">
        <v>4724</v>
      </c>
      <c r="I4" s="2">
        <v>2.9166666666666664E-2</v>
      </c>
      <c r="J4" s="176">
        <v>4.8611111111111104E-4</v>
      </c>
      <c r="K4" s="6">
        <v>42</v>
      </c>
      <c r="L4" t="s">
        <v>101</v>
      </c>
      <c r="M4" t="s">
        <v>24</v>
      </c>
      <c r="N4" t="s">
        <v>102</v>
      </c>
      <c r="O4" t="s">
        <v>23</v>
      </c>
      <c r="P4" t="s">
        <v>24</v>
      </c>
      <c r="R4" t="s">
        <v>24</v>
      </c>
      <c r="T4" t="s">
        <v>176</v>
      </c>
      <c r="U4" t="s">
        <v>176</v>
      </c>
      <c r="V4" t="s">
        <v>24</v>
      </c>
      <c r="W4" t="s">
        <v>115</v>
      </c>
      <c r="AA4" t="s">
        <v>115</v>
      </c>
      <c r="AB4" s="19" t="s">
        <v>115</v>
      </c>
      <c r="AD4">
        <v>0</v>
      </c>
      <c r="AE4">
        <f>18+26</f>
        <v>44</v>
      </c>
      <c r="AF4">
        <v>26</v>
      </c>
      <c r="AG4">
        <v>18</v>
      </c>
      <c r="AH4">
        <v>0</v>
      </c>
      <c r="AI4">
        <v>0</v>
      </c>
      <c r="AJ4">
        <f t="shared" si="0"/>
        <v>44</v>
      </c>
      <c r="AK4" t="s">
        <v>103</v>
      </c>
      <c r="AM4">
        <v>0</v>
      </c>
      <c r="AN4">
        <v>0</v>
      </c>
    </row>
    <row r="5" spans="1:47" x14ac:dyDescent="0.2">
      <c r="A5" t="s">
        <v>104</v>
      </c>
      <c r="B5" t="s">
        <v>840</v>
      </c>
      <c r="C5">
        <v>2</v>
      </c>
      <c r="D5">
        <v>1</v>
      </c>
      <c r="E5" t="s">
        <v>834</v>
      </c>
      <c r="F5" s="1">
        <v>43340</v>
      </c>
      <c r="G5" s="1" t="s">
        <v>4031</v>
      </c>
      <c r="H5" s="37" t="s">
        <v>4724</v>
      </c>
      <c r="I5" s="2">
        <v>7.6388888888888886E-3</v>
      </c>
      <c r="J5" s="176">
        <v>1.273148148148148E-4</v>
      </c>
      <c r="K5" s="6">
        <v>11</v>
      </c>
      <c r="L5" t="s">
        <v>101</v>
      </c>
      <c r="M5" t="s">
        <v>24</v>
      </c>
      <c r="N5" t="s">
        <v>102</v>
      </c>
      <c r="O5" t="s">
        <v>23</v>
      </c>
      <c r="P5" t="s">
        <v>24</v>
      </c>
      <c r="R5">
        <v>0</v>
      </c>
      <c r="T5" t="s">
        <v>176</v>
      </c>
      <c r="U5" t="s">
        <v>176</v>
      </c>
      <c r="V5" t="s">
        <v>24</v>
      </c>
      <c r="W5" t="s">
        <v>115</v>
      </c>
      <c r="X5" s="33" t="s">
        <v>115</v>
      </c>
      <c r="Y5" s="33" t="s">
        <v>115</v>
      </c>
      <c r="Z5" s="33" t="s">
        <v>115</v>
      </c>
      <c r="AA5" t="s">
        <v>115</v>
      </c>
      <c r="AB5" s="19" t="s">
        <v>115</v>
      </c>
      <c r="AD5">
        <v>0</v>
      </c>
      <c r="AE5">
        <v>10</v>
      </c>
      <c r="AF5">
        <v>0</v>
      </c>
      <c r="AG5">
        <v>10</v>
      </c>
      <c r="AH5">
        <v>0</v>
      </c>
      <c r="AI5">
        <v>0</v>
      </c>
      <c r="AJ5">
        <f t="shared" si="0"/>
        <v>10</v>
      </c>
      <c r="AK5" t="s">
        <v>16</v>
      </c>
      <c r="AM5">
        <v>0</v>
      </c>
      <c r="AN5">
        <v>1</v>
      </c>
    </row>
    <row r="6" spans="1:47" x14ac:dyDescent="0.2">
      <c r="A6" t="s">
        <v>105</v>
      </c>
      <c r="B6" t="s">
        <v>841</v>
      </c>
      <c r="C6">
        <v>3</v>
      </c>
      <c r="D6">
        <v>1</v>
      </c>
      <c r="E6" t="s">
        <v>834</v>
      </c>
      <c r="F6" s="1">
        <v>43340</v>
      </c>
      <c r="G6" s="1" t="s">
        <v>4031</v>
      </c>
      <c r="H6" s="37" t="s">
        <v>4724</v>
      </c>
      <c r="I6" s="2">
        <v>1.9444444444444445E-2</v>
      </c>
      <c r="J6" s="176">
        <v>3.2407407407407406E-4</v>
      </c>
      <c r="K6" s="6">
        <v>28</v>
      </c>
      <c r="L6" t="s">
        <v>101</v>
      </c>
      <c r="M6" t="s">
        <v>24</v>
      </c>
      <c r="N6" t="s">
        <v>107</v>
      </c>
      <c r="O6" t="s">
        <v>23</v>
      </c>
      <c r="P6">
        <v>1</v>
      </c>
      <c r="R6">
        <v>0</v>
      </c>
      <c r="T6" t="s">
        <v>176</v>
      </c>
      <c r="U6" t="s">
        <v>176</v>
      </c>
      <c r="V6" t="s">
        <v>24</v>
      </c>
      <c r="W6" t="s">
        <v>115</v>
      </c>
      <c r="X6" s="33" t="s">
        <v>115</v>
      </c>
      <c r="Y6" s="33" t="s">
        <v>115</v>
      </c>
      <c r="Z6" s="33" t="s">
        <v>115</v>
      </c>
      <c r="AA6" t="s">
        <v>115</v>
      </c>
      <c r="AB6" s="19" t="s">
        <v>115</v>
      </c>
      <c r="AD6">
        <v>21</v>
      </c>
      <c r="AE6">
        <v>0</v>
      </c>
      <c r="AF6">
        <v>0</v>
      </c>
      <c r="AG6">
        <v>21</v>
      </c>
      <c r="AH6">
        <v>0</v>
      </c>
      <c r="AI6">
        <v>0</v>
      </c>
      <c r="AJ6">
        <f t="shared" si="0"/>
        <v>21</v>
      </c>
      <c r="AK6" t="s">
        <v>107</v>
      </c>
      <c r="AL6" t="s">
        <v>108</v>
      </c>
      <c r="AM6">
        <v>0</v>
      </c>
      <c r="AN6">
        <v>0</v>
      </c>
    </row>
    <row r="7" spans="1:47" x14ac:dyDescent="0.2">
      <c r="A7" t="s">
        <v>109</v>
      </c>
      <c r="B7" t="s">
        <v>842</v>
      </c>
      <c r="C7">
        <v>4</v>
      </c>
      <c r="D7">
        <v>1</v>
      </c>
      <c r="E7" t="s">
        <v>834</v>
      </c>
      <c r="F7" s="1">
        <v>43340</v>
      </c>
      <c r="G7" s="1" t="s">
        <v>4031</v>
      </c>
      <c r="H7" s="37" t="s">
        <v>4724</v>
      </c>
      <c r="I7" s="2">
        <v>2.2916666666666669E-2</v>
      </c>
      <c r="J7" s="176">
        <v>3.8194444444444446E-4</v>
      </c>
      <c r="K7" s="6">
        <v>33</v>
      </c>
      <c r="L7" t="s">
        <v>101</v>
      </c>
      <c r="M7" t="s">
        <v>24</v>
      </c>
      <c r="N7" t="s">
        <v>302</v>
      </c>
      <c r="O7" t="s">
        <v>23</v>
      </c>
      <c r="P7" t="s">
        <v>24</v>
      </c>
      <c r="R7">
        <v>1</v>
      </c>
      <c r="T7" t="s">
        <v>176</v>
      </c>
      <c r="U7" t="s">
        <v>176</v>
      </c>
      <c r="V7" t="s">
        <v>24</v>
      </c>
      <c r="W7" t="s">
        <v>709</v>
      </c>
      <c r="X7" s="44" t="s">
        <v>23</v>
      </c>
      <c r="Y7" s="44" t="s">
        <v>4004</v>
      </c>
      <c r="Z7" s="44" t="s">
        <v>4005</v>
      </c>
      <c r="AA7" t="s">
        <v>176</v>
      </c>
      <c r="AB7" s="19" t="s">
        <v>246</v>
      </c>
      <c r="AD7">
        <f>20+13</f>
        <v>33</v>
      </c>
      <c r="AE7">
        <v>0</v>
      </c>
      <c r="AF7">
        <v>33</v>
      </c>
      <c r="AG7">
        <v>0</v>
      </c>
      <c r="AH7">
        <v>0</v>
      </c>
      <c r="AI7">
        <v>0</v>
      </c>
      <c r="AJ7">
        <f t="shared" si="0"/>
        <v>33</v>
      </c>
      <c r="AK7" t="s">
        <v>16</v>
      </c>
      <c r="AL7" t="s">
        <v>2139</v>
      </c>
      <c r="AM7">
        <v>0</v>
      </c>
      <c r="AN7">
        <v>0</v>
      </c>
      <c r="AO7" s="33"/>
      <c r="AP7" s="33"/>
      <c r="AQ7" s="34"/>
      <c r="AR7" s="33"/>
      <c r="AS7" s="33"/>
      <c r="AT7" s="33"/>
      <c r="AU7" s="33"/>
    </row>
    <row r="8" spans="1:47" hidden="1" x14ac:dyDescent="0.2">
      <c r="A8" t="s">
        <v>109</v>
      </c>
      <c r="B8" t="s">
        <v>842</v>
      </c>
      <c r="C8">
        <v>4</v>
      </c>
      <c r="D8">
        <v>2</v>
      </c>
      <c r="E8" t="s">
        <v>834</v>
      </c>
      <c r="F8" s="1">
        <v>43340</v>
      </c>
      <c r="G8" s="1" t="s">
        <v>4031</v>
      </c>
      <c r="H8" s="37" t="s">
        <v>4724</v>
      </c>
      <c r="I8" s="2">
        <v>2.2916666666666669E-2</v>
      </c>
      <c r="J8" s="176">
        <v>3.8194444444444446E-4</v>
      </c>
      <c r="K8" s="6">
        <v>33</v>
      </c>
      <c r="L8" t="s">
        <v>101</v>
      </c>
      <c r="M8" t="s">
        <v>24</v>
      </c>
      <c r="N8" t="s">
        <v>102</v>
      </c>
      <c r="O8" t="s">
        <v>23</v>
      </c>
      <c r="P8" t="s">
        <v>24</v>
      </c>
      <c r="R8">
        <v>1</v>
      </c>
      <c r="T8" t="s">
        <v>176</v>
      </c>
      <c r="U8" t="s">
        <v>176</v>
      </c>
      <c r="V8" t="s">
        <v>24</v>
      </c>
      <c r="W8" t="s">
        <v>1940</v>
      </c>
      <c r="X8" s="44" t="s">
        <v>23</v>
      </c>
      <c r="Y8" s="44" t="s">
        <v>3999</v>
      </c>
      <c r="Z8" s="44" t="s">
        <v>4001</v>
      </c>
      <c r="AA8" t="s">
        <v>176</v>
      </c>
      <c r="AB8" s="19" t="s">
        <v>246</v>
      </c>
      <c r="AD8">
        <v>0</v>
      </c>
      <c r="AE8">
        <v>0</v>
      </c>
      <c r="AF8">
        <v>0</v>
      </c>
      <c r="AG8">
        <v>0</v>
      </c>
      <c r="AH8">
        <v>0</v>
      </c>
      <c r="AI8">
        <v>0</v>
      </c>
      <c r="AJ8">
        <f t="shared" si="0"/>
        <v>0</v>
      </c>
      <c r="AK8" t="s">
        <v>16</v>
      </c>
      <c r="AM8">
        <v>0</v>
      </c>
      <c r="AN8">
        <v>0</v>
      </c>
      <c r="AO8" s="33"/>
      <c r="AP8" s="33"/>
      <c r="AQ8" s="34"/>
      <c r="AR8" s="33"/>
      <c r="AS8" s="33"/>
      <c r="AT8" s="33"/>
      <c r="AU8" s="33"/>
    </row>
    <row r="9" spans="1:47" x14ac:dyDescent="0.2">
      <c r="A9" t="s">
        <v>119</v>
      </c>
      <c r="B9" t="s">
        <v>844</v>
      </c>
      <c r="C9">
        <v>6</v>
      </c>
      <c r="D9">
        <v>1</v>
      </c>
      <c r="E9" t="s">
        <v>834</v>
      </c>
      <c r="F9" s="1">
        <v>43340</v>
      </c>
      <c r="G9" s="1" t="s">
        <v>4031</v>
      </c>
      <c r="H9" s="37" t="s">
        <v>4724</v>
      </c>
      <c r="I9" s="2">
        <v>1.1111111111111112E-2</v>
      </c>
      <c r="J9" s="176">
        <v>1.8518518518518518E-4</v>
      </c>
      <c r="K9" s="6">
        <v>16</v>
      </c>
      <c r="L9" t="s">
        <v>101</v>
      </c>
      <c r="M9" t="s">
        <v>466</v>
      </c>
      <c r="N9" t="s">
        <v>102</v>
      </c>
      <c r="O9" t="s">
        <v>23</v>
      </c>
      <c r="P9">
        <v>1</v>
      </c>
      <c r="R9">
        <v>0</v>
      </c>
      <c r="T9" t="s">
        <v>112</v>
      </c>
      <c r="U9" t="s">
        <v>112</v>
      </c>
      <c r="V9" t="s">
        <v>343</v>
      </c>
      <c r="W9" t="s">
        <v>115</v>
      </c>
      <c r="X9" s="33" t="s">
        <v>115</v>
      </c>
      <c r="Y9" s="33" t="s">
        <v>115</v>
      </c>
      <c r="Z9" s="33" t="s">
        <v>115</v>
      </c>
      <c r="AA9" t="s">
        <v>115</v>
      </c>
      <c r="AB9" s="19" t="s">
        <v>115</v>
      </c>
      <c r="AD9">
        <v>0</v>
      </c>
      <c r="AE9">
        <v>13</v>
      </c>
      <c r="AF9">
        <v>0</v>
      </c>
      <c r="AG9">
        <v>13</v>
      </c>
      <c r="AH9">
        <v>0</v>
      </c>
      <c r="AI9">
        <v>0</v>
      </c>
      <c r="AJ9">
        <f t="shared" si="0"/>
        <v>13</v>
      </c>
      <c r="AK9" t="s">
        <v>117</v>
      </c>
      <c r="AL9" t="s">
        <v>120</v>
      </c>
      <c r="AM9">
        <v>0</v>
      </c>
      <c r="AN9">
        <v>0</v>
      </c>
      <c r="AO9" s="33"/>
      <c r="AP9" s="33"/>
      <c r="AQ9" s="34"/>
      <c r="AR9" s="33"/>
      <c r="AS9" s="33"/>
      <c r="AT9" s="33"/>
      <c r="AU9" s="33"/>
    </row>
    <row r="10" spans="1:47" x14ac:dyDescent="0.2">
      <c r="A10" t="s">
        <v>110</v>
      </c>
      <c r="B10" t="s">
        <v>843</v>
      </c>
      <c r="C10">
        <v>5</v>
      </c>
      <c r="D10">
        <v>1</v>
      </c>
      <c r="E10" t="s">
        <v>834</v>
      </c>
      <c r="F10" s="1">
        <v>43340</v>
      </c>
      <c r="G10" s="1" t="s">
        <v>4031</v>
      </c>
      <c r="H10" s="37" t="s">
        <v>4724</v>
      </c>
      <c r="I10" s="2">
        <v>4.6527777777777779E-2</v>
      </c>
      <c r="J10" s="176">
        <v>7.7546296296296304E-4</v>
      </c>
      <c r="K10" s="6">
        <v>67</v>
      </c>
      <c r="L10" t="s">
        <v>101</v>
      </c>
      <c r="M10" t="s">
        <v>466</v>
      </c>
      <c r="N10" t="s">
        <v>102</v>
      </c>
      <c r="O10" t="s">
        <v>23</v>
      </c>
      <c r="P10">
        <v>1</v>
      </c>
      <c r="R10">
        <v>0</v>
      </c>
      <c r="T10" t="s">
        <v>112</v>
      </c>
      <c r="U10" t="s">
        <v>112</v>
      </c>
      <c r="V10" t="s">
        <v>343</v>
      </c>
      <c r="W10" t="s">
        <v>115</v>
      </c>
      <c r="X10" s="33" t="s">
        <v>115</v>
      </c>
      <c r="Y10" s="33" t="s">
        <v>115</v>
      </c>
      <c r="Z10" s="33" t="s">
        <v>115</v>
      </c>
      <c r="AA10" t="s">
        <v>115</v>
      </c>
      <c r="AB10" s="19" t="s">
        <v>115</v>
      </c>
      <c r="AD10">
        <v>0</v>
      </c>
      <c r="AE10">
        <v>18</v>
      </c>
      <c r="AF10">
        <v>0</v>
      </c>
      <c r="AG10">
        <v>18</v>
      </c>
      <c r="AH10">
        <v>0</v>
      </c>
      <c r="AI10">
        <v>0</v>
      </c>
      <c r="AJ10">
        <f t="shared" si="0"/>
        <v>18</v>
      </c>
      <c r="AK10" t="s">
        <v>117</v>
      </c>
      <c r="AL10" t="s">
        <v>118</v>
      </c>
      <c r="AM10">
        <v>0</v>
      </c>
      <c r="AN10">
        <v>0</v>
      </c>
      <c r="AO10" s="33"/>
      <c r="AP10" s="33"/>
      <c r="AQ10" s="34"/>
      <c r="AR10" s="33"/>
      <c r="AS10" s="33"/>
      <c r="AT10" s="33"/>
      <c r="AU10" s="33"/>
    </row>
    <row r="11" spans="1:47" s="33" customFormat="1" x14ac:dyDescent="0.2">
      <c r="A11" s="33" t="s">
        <v>121</v>
      </c>
      <c r="B11" s="33" t="s">
        <v>845</v>
      </c>
      <c r="C11" s="33">
        <v>7</v>
      </c>
      <c r="D11" s="33">
        <v>1</v>
      </c>
      <c r="E11" s="33" t="s">
        <v>834</v>
      </c>
      <c r="F11" s="37">
        <v>43340</v>
      </c>
      <c r="G11" s="1" t="s">
        <v>4031</v>
      </c>
      <c r="H11" s="37" t="s">
        <v>4724</v>
      </c>
      <c r="I11" s="36">
        <v>1.4583333333333332E-2</v>
      </c>
      <c r="J11" s="177">
        <v>2.4305555555555552E-4</v>
      </c>
      <c r="K11" s="39">
        <v>21</v>
      </c>
      <c r="L11" s="33" t="s">
        <v>101</v>
      </c>
      <c r="M11" s="33" t="s">
        <v>24</v>
      </c>
      <c r="N11" s="33" t="s">
        <v>102</v>
      </c>
      <c r="O11" s="33" t="s">
        <v>115</v>
      </c>
      <c r="P11" s="33" t="s">
        <v>24</v>
      </c>
      <c r="R11" s="33">
        <v>0</v>
      </c>
      <c r="T11" t="s">
        <v>176</v>
      </c>
      <c r="U11" s="33" t="s">
        <v>176</v>
      </c>
      <c r="V11" s="33" t="s">
        <v>24</v>
      </c>
      <c r="W11" s="33" t="s">
        <v>115</v>
      </c>
      <c r="X11" s="33" t="s">
        <v>115</v>
      </c>
      <c r="Y11" s="33" t="s">
        <v>115</v>
      </c>
      <c r="Z11" s="33" t="s">
        <v>115</v>
      </c>
      <c r="AA11" s="33" t="s">
        <v>115</v>
      </c>
      <c r="AB11" s="35" t="s">
        <v>115</v>
      </c>
      <c r="AC11" s="35"/>
      <c r="AD11" s="33">
        <v>0</v>
      </c>
      <c r="AE11" s="33">
        <v>0</v>
      </c>
      <c r="AF11" s="33">
        <v>0</v>
      </c>
      <c r="AG11" s="33">
        <v>0</v>
      </c>
      <c r="AH11" s="33">
        <v>15</v>
      </c>
      <c r="AI11" s="33">
        <v>0</v>
      </c>
      <c r="AJ11" s="33">
        <f t="shared" si="0"/>
        <v>15</v>
      </c>
      <c r="AK11" s="33" t="s">
        <v>123</v>
      </c>
      <c r="AM11" s="33">
        <v>0</v>
      </c>
      <c r="AN11" s="33" t="s">
        <v>24</v>
      </c>
      <c r="AO11"/>
      <c r="AP11"/>
      <c r="AQ11"/>
      <c r="AR11"/>
      <c r="AS11"/>
      <c r="AT11"/>
      <c r="AU11"/>
    </row>
    <row r="12" spans="1:47" s="33" customFormat="1" x14ac:dyDescent="0.2">
      <c r="A12" s="33" t="s">
        <v>124</v>
      </c>
      <c r="B12" s="33" t="s">
        <v>846</v>
      </c>
      <c r="C12" s="33">
        <v>8</v>
      </c>
      <c r="D12" s="33">
        <v>1</v>
      </c>
      <c r="E12" s="33" t="s">
        <v>834</v>
      </c>
      <c r="F12" s="37">
        <v>43340</v>
      </c>
      <c r="G12" s="1" t="s">
        <v>4031</v>
      </c>
      <c r="H12" s="37" t="s">
        <v>4724</v>
      </c>
      <c r="I12" s="36">
        <v>1.6666666666666666E-2</v>
      </c>
      <c r="J12" s="177">
        <v>2.7777777777777778E-4</v>
      </c>
      <c r="K12" s="39">
        <v>24</v>
      </c>
      <c r="L12" s="33" t="s">
        <v>101</v>
      </c>
      <c r="M12" s="33" t="s">
        <v>166</v>
      </c>
      <c r="N12" s="33" t="s">
        <v>102</v>
      </c>
      <c r="O12" s="33" t="s">
        <v>115</v>
      </c>
      <c r="P12" s="33">
        <v>1</v>
      </c>
      <c r="Q12" s="33" t="s">
        <v>2288</v>
      </c>
      <c r="R12" s="33">
        <v>0</v>
      </c>
      <c r="T12" t="s">
        <v>112</v>
      </c>
      <c r="U12" s="33" t="s">
        <v>112</v>
      </c>
      <c r="V12" s="33" t="s">
        <v>122</v>
      </c>
      <c r="W12" s="33" t="s">
        <v>115</v>
      </c>
      <c r="X12" s="33" t="s">
        <v>115</v>
      </c>
      <c r="Y12" s="33" t="s">
        <v>115</v>
      </c>
      <c r="Z12" s="33" t="s">
        <v>115</v>
      </c>
      <c r="AA12" s="33" t="s">
        <v>115</v>
      </c>
      <c r="AB12" s="35" t="s">
        <v>115</v>
      </c>
      <c r="AC12" s="35"/>
      <c r="AD12" s="33">
        <v>0</v>
      </c>
      <c r="AE12" s="33">
        <v>0</v>
      </c>
      <c r="AF12" s="33">
        <v>0</v>
      </c>
      <c r="AG12" s="33">
        <v>0</v>
      </c>
      <c r="AH12" s="33">
        <v>10</v>
      </c>
      <c r="AI12" s="33">
        <v>0</v>
      </c>
      <c r="AJ12" s="33">
        <f t="shared" si="0"/>
        <v>10</v>
      </c>
      <c r="AK12" s="33" t="s">
        <v>16</v>
      </c>
      <c r="AL12" s="33" t="s">
        <v>127</v>
      </c>
      <c r="AN12" s="33">
        <v>8</v>
      </c>
      <c r="AO12"/>
      <c r="AP12"/>
      <c r="AQ12"/>
      <c r="AR12"/>
      <c r="AS12"/>
      <c r="AT12"/>
      <c r="AU12"/>
    </row>
    <row r="13" spans="1:47" x14ac:dyDescent="0.2">
      <c r="A13" t="s">
        <v>128</v>
      </c>
      <c r="B13" t="s">
        <v>847</v>
      </c>
      <c r="C13">
        <v>9</v>
      </c>
      <c r="D13">
        <v>1</v>
      </c>
      <c r="E13" t="s">
        <v>834</v>
      </c>
      <c r="F13" s="1">
        <v>43340</v>
      </c>
      <c r="G13" s="1" t="s">
        <v>4031</v>
      </c>
      <c r="H13" s="37" t="s">
        <v>4724</v>
      </c>
      <c r="I13" s="2">
        <v>9.0277777777777787E-3</v>
      </c>
      <c r="J13" s="176">
        <v>1.5046296296296297E-4</v>
      </c>
      <c r="K13" s="6">
        <v>13</v>
      </c>
      <c r="L13" t="s">
        <v>101</v>
      </c>
      <c r="M13" t="s">
        <v>166</v>
      </c>
      <c r="N13" t="s">
        <v>102</v>
      </c>
      <c r="O13" t="s">
        <v>23</v>
      </c>
      <c r="P13" t="s">
        <v>24</v>
      </c>
      <c r="R13">
        <v>0</v>
      </c>
      <c r="T13" t="s">
        <v>176</v>
      </c>
      <c r="U13" t="s">
        <v>176</v>
      </c>
      <c r="V13" t="s">
        <v>116</v>
      </c>
      <c r="W13" t="s">
        <v>126</v>
      </c>
      <c r="X13" s="33" t="s">
        <v>115</v>
      </c>
      <c r="Y13" s="33" t="s">
        <v>115</v>
      </c>
      <c r="Z13" s="33" t="s">
        <v>115</v>
      </c>
      <c r="AA13" t="s">
        <v>115</v>
      </c>
      <c r="AB13" s="19" t="s">
        <v>115</v>
      </c>
      <c r="AD13">
        <v>0</v>
      </c>
      <c r="AE13">
        <v>7</v>
      </c>
      <c r="AF13">
        <v>0</v>
      </c>
      <c r="AG13">
        <v>7</v>
      </c>
      <c r="AH13">
        <v>0</v>
      </c>
      <c r="AI13">
        <v>0</v>
      </c>
      <c r="AJ13">
        <f t="shared" si="0"/>
        <v>7</v>
      </c>
      <c r="AK13" t="s">
        <v>103</v>
      </c>
      <c r="AM13">
        <v>0</v>
      </c>
      <c r="AN13">
        <v>0</v>
      </c>
    </row>
    <row r="14" spans="1:47" x14ac:dyDescent="0.2">
      <c r="A14" t="s">
        <v>129</v>
      </c>
      <c r="B14" t="s">
        <v>836</v>
      </c>
      <c r="C14">
        <v>10</v>
      </c>
      <c r="D14">
        <v>1</v>
      </c>
      <c r="E14" t="s">
        <v>834</v>
      </c>
      <c r="F14" s="1">
        <v>43340</v>
      </c>
      <c r="G14" s="1" t="s">
        <v>4031</v>
      </c>
      <c r="H14" s="37" t="s">
        <v>4724</v>
      </c>
      <c r="I14" s="2">
        <v>2.8472222222222222E-2</v>
      </c>
      <c r="J14" s="176">
        <v>4.7453703703703704E-4</v>
      </c>
      <c r="K14" s="6">
        <v>41</v>
      </c>
      <c r="L14" t="s">
        <v>101</v>
      </c>
      <c r="M14" t="s">
        <v>24</v>
      </c>
      <c r="N14" t="s">
        <v>102</v>
      </c>
      <c r="O14" t="s">
        <v>23</v>
      </c>
      <c r="P14">
        <v>0</v>
      </c>
      <c r="R14">
        <v>0</v>
      </c>
      <c r="U14" t="s">
        <v>115</v>
      </c>
      <c r="V14" t="s">
        <v>115</v>
      </c>
      <c r="W14" t="s">
        <v>115</v>
      </c>
      <c r="X14" s="33" t="s">
        <v>115</v>
      </c>
      <c r="Y14" s="33" t="s">
        <v>115</v>
      </c>
      <c r="Z14" s="33" t="s">
        <v>115</v>
      </c>
      <c r="AA14" t="s">
        <v>115</v>
      </c>
      <c r="AB14" s="19" t="s">
        <v>115</v>
      </c>
      <c r="AD14">
        <v>0</v>
      </c>
      <c r="AE14">
        <v>0</v>
      </c>
      <c r="AF14">
        <v>0</v>
      </c>
      <c r="AG14">
        <v>0</v>
      </c>
      <c r="AH14">
        <v>0</v>
      </c>
      <c r="AI14">
        <v>0</v>
      </c>
      <c r="AJ14">
        <f t="shared" si="0"/>
        <v>0</v>
      </c>
      <c r="AK14" t="s">
        <v>103</v>
      </c>
      <c r="AL14" t="s">
        <v>3993</v>
      </c>
      <c r="AM14">
        <v>0</v>
      </c>
      <c r="AN14">
        <v>0</v>
      </c>
    </row>
    <row r="15" spans="1:47" x14ac:dyDescent="0.2">
      <c r="A15" t="s">
        <v>130</v>
      </c>
      <c r="B15" t="s">
        <v>837</v>
      </c>
      <c r="C15">
        <v>11</v>
      </c>
      <c r="D15">
        <v>1</v>
      </c>
      <c r="E15" t="s">
        <v>834</v>
      </c>
      <c r="F15" s="1">
        <v>43340</v>
      </c>
      <c r="G15" s="1" t="s">
        <v>4031</v>
      </c>
      <c r="H15" s="37" t="s">
        <v>4724</v>
      </c>
      <c r="I15" s="2">
        <v>2.2916666666666669E-2</v>
      </c>
      <c r="J15" s="176">
        <v>3.8194444444444446E-4</v>
      </c>
      <c r="K15" s="6">
        <v>33</v>
      </c>
      <c r="L15" t="s">
        <v>101</v>
      </c>
      <c r="M15" t="s">
        <v>466</v>
      </c>
      <c r="N15" t="s">
        <v>102</v>
      </c>
      <c r="O15" t="s">
        <v>23</v>
      </c>
      <c r="P15" t="s">
        <v>24</v>
      </c>
      <c r="R15">
        <v>1</v>
      </c>
      <c r="T15" t="s">
        <v>176</v>
      </c>
      <c r="U15" t="s">
        <v>176</v>
      </c>
      <c r="V15" t="s">
        <v>263</v>
      </c>
      <c r="W15" t="s">
        <v>2035</v>
      </c>
      <c r="X15" s="44" t="s">
        <v>23</v>
      </c>
      <c r="Y15" s="44" t="s">
        <v>4004</v>
      </c>
      <c r="Z15" s="44" t="s">
        <v>4005</v>
      </c>
      <c r="AA15">
        <v>0</v>
      </c>
      <c r="AB15" s="19" t="s">
        <v>246</v>
      </c>
      <c r="AD15">
        <v>11</v>
      </c>
      <c r="AE15">
        <v>0</v>
      </c>
      <c r="AF15">
        <v>11</v>
      </c>
      <c r="AG15">
        <v>0</v>
      </c>
      <c r="AH15">
        <v>0</v>
      </c>
      <c r="AI15">
        <v>0</v>
      </c>
      <c r="AJ15">
        <f t="shared" si="0"/>
        <v>11</v>
      </c>
      <c r="AL15" t="s">
        <v>4874</v>
      </c>
      <c r="AM15">
        <v>0</v>
      </c>
      <c r="AN15">
        <v>5</v>
      </c>
    </row>
    <row r="16" spans="1:47" x14ac:dyDescent="0.2">
      <c r="A16" t="s">
        <v>131</v>
      </c>
      <c r="B16" t="s">
        <v>838</v>
      </c>
      <c r="C16">
        <v>12</v>
      </c>
      <c r="D16">
        <v>1</v>
      </c>
      <c r="E16" t="s">
        <v>834</v>
      </c>
      <c r="F16" s="1">
        <v>43340</v>
      </c>
      <c r="G16" s="1" t="s">
        <v>4031</v>
      </c>
      <c r="H16" s="37" t="s">
        <v>4724</v>
      </c>
      <c r="I16" s="2">
        <v>4.0972222222222222E-2</v>
      </c>
      <c r="J16" s="176">
        <v>6.8287037037037025E-4</v>
      </c>
      <c r="K16" s="6">
        <v>59</v>
      </c>
      <c r="L16" t="s">
        <v>101</v>
      </c>
      <c r="M16" t="s">
        <v>466</v>
      </c>
      <c r="N16" t="s">
        <v>102</v>
      </c>
      <c r="O16" t="s">
        <v>23</v>
      </c>
      <c r="P16" t="s">
        <v>24</v>
      </c>
      <c r="R16">
        <v>0</v>
      </c>
      <c r="U16" t="s">
        <v>115</v>
      </c>
      <c r="V16" t="s">
        <v>115</v>
      </c>
      <c r="W16" t="s">
        <v>115</v>
      </c>
      <c r="X16" s="33" t="s">
        <v>115</v>
      </c>
      <c r="Y16" s="33" t="s">
        <v>115</v>
      </c>
      <c r="Z16" s="33" t="s">
        <v>115</v>
      </c>
      <c r="AA16" t="s">
        <v>115</v>
      </c>
      <c r="AB16" s="19" t="s">
        <v>115</v>
      </c>
      <c r="AD16">
        <f>SUM(19+17)</f>
        <v>36</v>
      </c>
      <c r="AE16">
        <v>0</v>
      </c>
      <c r="AF16">
        <v>19</v>
      </c>
      <c r="AG16">
        <v>17</v>
      </c>
      <c r="AH16">
        <v>0</v>
      </c>
      <c r="AI16">
        <v>0</v>
      </c>
      <c r="AJ16">
        <f t="shared" si="0"/>
        <v>36</v>
      </c>
      <c r="AK16" t="s">
        <v>16</v>
      </c>
      <c r="AL16" t="s">
        <v>132</v>
      </c>
      <c r="AM16">
        <v>0</v>
      </c>
      <c r="AN16">
        <v>2</v>
      </c>
    </row>
    <row r="17" spans="1:47" x14ac:dyDescent="0.2">
      <c r="A17" t="s">
        <v>133</v>
      </c>
      <c r="B17" t="s">
        <v>839</v>
      </c>
      <c r="C17">
        <v>13</v>
      </c>
      <c r="D17">
        <v>1</v>
      </c>
      <c r="E17" t="s">
        <v>834</v>
      </c>
      <c r="F17" s="1">
        <v>43340</v>
      </c>
      <c r="G17" s="1" t="s">
        <v>4031</v>
      </c>
      <c r="H17" s="37" t="s">
        <v>4724</v>
      </c>
      <c r="I17" s="2">
        <v>8.3333333333333332E-3</v>
      </c>
      <c r="J17" s="176">
        <v>1.3888888888888889E-4</v>
      </c>
      <c r="K17" s="6">
        <v>12</v>
      </c>
      <c r="L17" t="s">
        <v>101</v>
      </c>
      <c r="M17" t="s">
        <v>24</v>
      </c>
      <c r="N17" t="s">
        <v>102</v>
      </c>
      <c r="O17" t="s">
        <v>23</v>
      </c>
      <c r="P17">
        <v>1</v>
      </c>
      <c r="R17">
        <v>0</v>
      </c>
      <c r="T17" t="s">
        <v>176</v>
      </c>
      <c r="U17" t="s">
        <v>136</v>
      </c>
      <c r="V17" t="s">
        <v>333</v>
      </c>
      <c r="W17" t="s">
        <v>115</v>
      </c>
      <c r="X17" s="33" t="s">
        <v>115</v>
      </c>
      <c r="Y17" s="33" t="s">
        <v>115</v>
      </c>
      <c r="Z17" s="33" t="s">
        <v>115</v>
      </c>
      <c r="AA17" t="s">
        <v>115</v>
      </c>
      <c r="AB17" s="19" t="s">
        <v>115</v>
      </c>
      <c r="AD17">
        <v>0</v>
      </c>
      <c r="AE17">
        <v>5</v>
      </c>
      <c r="AF17">
        <v>0</v>
      </c>
      <c r="AG17">
        <v>5</v>
      </c>
      <c r="AH17">
        <v>0</v>
      </c>
      <c r="AI17">
        <v>0</v>
      </c>
      <c r="AJ17">
        <f t="shared" si="0"/>
        <v>5</v>
      </c>
      <c r="AK17" t="s">
        <v>16</v>
      </c>
      <c r="AL17" t="s">
        <v>135</v>
      </c>
      <c r="AM17">
        <v>0</v>
      </c>
      <c r="AN17">
        <v>1</v>
      </c>
      <c r="AO17" s="33"/>
      <c r="AP17" s="33"/>
      <c r="AQ17" s="34"/>
      <c r="AR17" s="33"/>
      <c r="AS17" s="33"/>
      <c r="AT17" s="33"/>
      <c r="AU17" s="33"/>
    </row>
    <row r="18" spans="1:47" x14ac:dyDescent="0.2">
      <c r="A18" t="s">
        <v>137</v>
      </c>
      <c r="B18" t="s">
        <v>4873</v>
      </c>
      <c r="C18">
        <v>1</v>
      </c>
      <c r="D18">
        <v>1</v>
      </c>
      <c r="E18" t="s">
        <v>2601</v>
      </c>
      <c r="F18" s="1">
        <v>43340</v>
      </c>
      <c r="G18" s="1" t="s">
        <v>4031</v>
      </c>
      <c r="H18" s="37" t="s">
        <v>4724</v>
      </c>
      <c r="I18" s="2">
        <v>9.7222222222222224E-3</v>
      </c>
      <c r="J18" s="176">
        <v>1.6203703703703703E-4</v>
      </c>
      <c r="K18" s="6">
        <v>14</v>
      </c>
      <c r="L18" t="s">
        <v>101</v>
      </c>
      <c r="M18" t="s">
        <v>24</v>
      </c>
      <c r="N18" t="s">
        <v>102</v>
      </c>
      <c r="O18" t="s">
        <v>23</v>
      </c>
      <c r="P18" t="s">
        <v>24</v>
      </c>
      <c r="R18">
        <v>0</v>
      </c>
      <c r="T18" t="s">
        <v>176</v>
      </c>
      <c r="U18" t="s">
        <v>176</v>
      </c>
      <c r="V18" t="s">
        <v>115</v>
      </c>
      <c r="W18" t="s">
        <v>115</v>
      </c>
      <c r="X18" s="33" t="s">
        <v>115</v>
      </c>
      <c r="Y18" s="33" t="s">
        <v>115</v>
      </c>
      <c r="Z18" s="33" t="s">
        <v>115</v>
      </c>
      <c r="AA18" t="s">
        <v>115</v>
      </c>
      <c r="AB18" s="19" t="s">
        <v>115</v>
      </c>
      <c r="AD18">
        <v>0</v>
      </c>
      <c r="AE18">
        <v>7</v>
      </c>
      <c r="AF18">
        <v>0</v>
      </c>
      <c r="AG18">
        <v>7</v>
      </c>
      <c r="AH18">
        <v>0</v>
      </c>
      <c r="AI18">
        <v>0</v>
      </c>
      <c r="AJ18">
        <f t="shared" si="0"/>
        <v>7</v>
      </c>
      <c r="AK18" t="s">
        <v>16</v>
      </c>
      <c r="AM18">
        <v>0</v>
      </c>
      <c r="AN18">
        <v>1</v>
      </c>
    </row>
    <row r="19" spans="1:47" x14ac:dyDescent="0.2">
      <c r="A19" t="s">
        <v>139</v>
      </c>
      <c r="B19" t="s">
        <v>141</v>
      </c>
      <c r="C19">
        <v>1</v>
      </c>
      <c r="D19">
        <v>1</v>
      </c>
      <c r="E19" t="s">
        <v>3171</v>
      </c>
      <c r="F19" s="1">
        <v>43341</v>
      </c>
      <c r="G19" s="1" t="s">
        <v>4031</v>
      </c>
      <c r="H19" s="37" t="s">
        <v>4724</v>
      </c>
      <c r="I19" s="2">
        <v>6.9444444444444441E-3</v>
      </c>
      <c r="J19" s="176">
        <v>1.1574074074074073E-4</v>
      </c>
      <c r="K19" s="6">
        <v>10</v>
      </c>
      <c r="L19" t="s">
        <v>101</v>
      </c>
      <c r="M19" t="s">
        <v>1261</v>
      </c>
      <c r="N19" t="s">
        <v>102</v>
      </c>
      <c r="O19" t="s">
        <v>23</v>
      </c>
      <c r="P19" t="s">
        <v>24</v>
      </c>
      <c r="R19">
        <v>0</v>
      </c>
      <c r="U19" t="s">
        <v>115</v>
      </c>
      <c r="V19" t="s">
        <v>115</v>
      </c>
      <c r="W19" t="s">
        <v>115</v>
      </c>
      <c r="X19" s="33" t="s">
        <v>115</v>
      </c>
      <c r="Y19" s="33" t="s">
        <v>115</v>
      </c>
      <c r="Z19" s="33" t="s">
        <v>115</v>
      </c>
      <c r="AA19" t="s">
        <v>115</v>
      </c>
      <c r="AB19" s="19" t="s">
        <v>115</v>
      </c>
      <c r="AD19">
        <v>10</v>
      </c>
      <c r="AE19">
        <v>0</v>
      </c>
      <c r="AF19">
        <v>10</v>
      </c>
      <c r="AG19">
        <v>0</v>
      </c>
      <c r="AH19">
        <v>0</v>
      </c>
      <c r="AI19">
        <v>0</v>
      </c>
      <c r="AJ19">
        <f t="shared" si="0"/>
        <v>10</v>
      </c>
      <c r="AK19" t="s">
        <v>303</v>
      </c>
      <c r="AM19">
        <v>0</v>
      </c>
      <c r="AN19">
        <v>0</v>
      </c>
    </row>
    <row r="20" spans="1:47" x14ac:dyDescent="0.2">
      <c r="A20" t="s">
        <v>142</v>
      </c>
      <c r="B20" t="s">
        <v>143</v>
      </c>
      <c r="C20">
        <v>2</v>
      </c>
      <c r="D20">
        <v>1</v>
      </c>
      <c r="E20" t="s">
        <v>3171</v>
      </c>
      <c r="F20" s="1">
        <v>43341</v>
      </c>
      <c r="G20" s="1" t="s">
        <v>4031</v>
      </c>
      <c r="H20" s="37" t="s">
        <v>4724</v>
      </c>
      <c r="I20" s="2">
        <v>2.8472222222222222E-2</v>
      </c>
      <c r="J20" s="176">
        <v>4.7453703703703704E-4</v>
      </c>
      <c r="K20" s="6">
        <v>41</v>
      </c>
      <c r="L20" t="s">
        <v>101</v>
      </c>
      <c r="M20" t="s">
        <v>24</v>
      </c>
      <c r="N20" t="s">
        <v>102</v>
      </c>
      <c r="O20" t="s">
        <v>23</v>
      </c>
      <c r="P20" t="s">
        <v>24</v>
      </c>
      <c r="R20" t="s">
        <v>24</v>
      </c>
      <c r="T20" t="s">
        <v>176</v>
      </c>
      <c r="U20" t="s">
        <v>176</v>
      </c>
      <c r="V20" t="s">
        <v>24</v>
      </c>
      <c r="W20" t="s">
        <v>24</v>
      </c>
      <c r="AA20" t="s">
        <v>115</v>
      </c>
      <c r="AB20" s="19" t="s">
        <v>115</v>
      </c>
      <c r="AD20">
        <v>0</v>
      </c>
      <c r="AE20">
        <v>8</v>
      </c>
      <c r="AF20">
        <v>0</v>
      </c>
      <c r="AG20">
        <v>8</v>
      </c>
      <c r="AH20">
        <v>0</v>
      </c>
      <c r="AI20">
        <v>0</v>
      </c>
      <c r="AJ20">
        <f t="shared" si="0"/>
        <v>8</v>
      </c>
      <c r="AK20" t="s">
        <v>16</v>
      </c>
      <c r="AM20">
        <v>0</v>
      </c>
      <c r="AN20">
        <v>2</v>
      </c>
    </row>
    <row r="21" spans="1:47" s="33" customFormat="1" x14ac:dyDescent="0.2">
      <c r="A21" t="s">
        <v>817</v>
      </c>
      <c r="B21" t="s">
        <v>144</v>
      </c>
      <c r="C21">
        <v>3</v>
      </c>
      <c r="D21">
        <v>1</v>
      </c>
      <c r="E21" t="s">
        <v>3171</v>
      </c>
      <c r="F21" s="1">
        <v>43341</v>
      </c>
      <c r="G21" s="1" t="s">
        <v>4031</v>
      </c>
      <c r="H21" s="37" t="s">
        <v>4724</v>
      </c>
      <c r="I21" s="2">
        <v>1.8749999999999999E-2</v>
      </c>
      <c r="J21" s="176">
        <v>3.1250000000000001E-4</v>
      </c>
      <c r="K21" s="6">
        <v>27</v>
      </c>
      <c r="L21" t="s">
        <v>101</v>
      </c>
      <c r="M21"/>
      <c r="N21" t="s">
        <v>102</v>
      </c>
      <c r="O21" t="s">
        <v>23</v>
      </c>
      <c r="P21" t="s">
        <v>24</v>
      </c>
      <c r="Q21"/>
      <c r="R21" t="s">
        <v>24</v>
      </c>
      <c r="S21"/>
      <c r="T21" t="s">
        <v>176</v>
      </c>
      <c r="U21" t="s">
        <v>176</v>
      </c>
      <c r="V21" t="s">
        <v>24</v>
      </c>
      <c r="W21" t="s">
        <v>24</v>
      </c>
      <c r="X21"/>
      <c r="Y21"/>
      <c r="Z21"/>
      <c r="AA21" t="s">
        <v>115</v>
      </c>
      <c r="AB21" s="19" t="s">
        <v>115</v>
      </c>
      <c r="AC21" s="19"/>
      <c r="AD21">
        <v>24</v>
      </c>
      <c r="AE21">
        <v>0</v>
      </c>
      <c r="AF21">
        <v>24</v>
      </c>
      <c r="AG21">
        <v>0</v>
      </c>
      <c r="AH21">
        <v>0</v>
      </c>
      <c r="AI21">
        <v>0</v>
      </c>
      <c r="AJ21">
        <f t="shared" si="0"/>
        <v>24</v>
      </c>
      <c r="AK21" t="s">
        <v>16</v>
      </c>
      <c r="AL21" t="s">
        <v>2040</v>
      </c>
      <c r="AM21">
        <v>0</v>
      </c>
      <c r="AN21" t="s">
        <v>24</v>
      </c>
      <c r="AO21"/>
      <c r="AP21"/>
      <c r="AQ21"/>
      <c r="AR21"/>
      <c r="AS21"/>
      <c r="AT21"/>
      <c r="AU21"/>
    </row>
    <row r="22" spans="1:47" x14ac:dyDescent="0.2">
      <c r="A22" s="33" t="s">
        <v>146</v>
      </c>
      <c r="B22" s="33" t="s">
        <v>145</v>
      </c>
      <c r="C22" s="33">
        <v>4</v>
      </c>
      <c r="D22" s="33">
        <v>1</v>
      </c>
      <c r="E22" s="33" t="s">
        <v>3171</v>
      </c>
      <c r="F22" s="37">
        <v>43341</v>
      </c>
      <c r="G22" s="1" t="s">
        <v>4031</v>
      </c>
      <c r="H22" s="37" t="s">
        <v>4724</v>
      </c>
      <c r="I22" s="36">
        <v>1.9444444444444445E-2</v>
      </c>
      <c r="J22" s="177">
        <v>3.2407407407407406E-4</v>
      </c>
      <c r="K22" s="39">
        <v>28</v>
      </c>
      <c r="L22" s="33" t="s">
        <v>101</v>
      </c>
      <c r="M22" s="33" t="s">
        <v>149</v>
      </c>
      <c r="N22" s="33" t="s">
        <v>102</v>
      </c>
      <c r="O22" s="33" t="s">
        <v>115</v>
      </c>
      <c r="P22" s="33" t="s">
        <v>24</v>
      </c>
      <c r="Q22" s="33"/>
      <c r="R22" s="33">
        <v>0</v>
      </c>
      <c r="S22" s="33"/>
      <c r="T22" s="33"/>
      <c r="U22" s="33" t="s">
        <v>115</v>
      </c>
      <c r="V22" s="33" t="s">
        <v>115</v>
      </c>
      <c r="W22" s="33" t="s">
        <v>115</v>
      </c>
      <c r="X22" s="33" t="s">
        <v>115</v>
      </c>
      <c r="Y22" s="33" t="s">
        <v>115</v>
      </c>
      <c r="Z22" s="33" t="s">
        <v>115</v>
      </c>
      <c r="AA22" s="33" t="s">
        <v>115</v>
      </c>
      <c r="AB22" s="35" t="s">
        <v>115</v>
      </c>
      <c r="AC22" s="35"/>
      <c r="AD22" s="33">
        <v>0</v>
      </c>
      <c r="AE22" s="33">
        <v>0</v>
      </c>
      <c r="AF22" s="33">
        <v>0</v>
      </c>
      <c r="AG22" s="33">
        <v>0</v>
      </c>
      <c r="AH22" s="33">
        <v>15</v>
      </c>
      <c r="AI22" s="33">
        <v>0</v>
      </c>
      <c r="AJ22" s="33">
        <f t="shared" si="0"/>
        <v>15</v>
      </c>
      <c r="AK22" s="33" t="s">
        <v>303</v>
      </c>
      <c r="AL22" s="33"/>
      <c r="AM22" s="33">
        <v>0</v>
      </c>
      <c r="AN22" s="33">
        <v>0</v>
      </c>
    </row>
    <row r="23" spans="1:47" s="33" customFormat="1" x14ac:dyDescent="0.2">
      <c r="A23" s="33" t="s">
        <v>147</v>
      </c>
      <c r="B23" s="33" t="s">
        <v>148</v>
      </c>
      <c r="C23" s="33">
        <v>5</v>
      </c>
      <c r="D23" s="33">
        <v>1</v>
      </c>
      <c r="E23" s="33" t="s">
        <v>3171</v>
      </c>
      <c r="F23" s="37">
        <v>43341</v>
      </c>
      <c r="G23" s="1" t="s">
        <v>4031</v>
      </c>
      <c r="H23" s="37" t="s">
        <v>4724</v>
      </c>
      <c r="I23" s="36">
        <v>8.819444444444445E-2</v>
      </c>
      <c r="J23" s="177">
        <v>1.4699074074074074E-3</v>
      </c>
      <c r="K23" s="39">
        <v>127</v>
      </c>
      <c r="L23" s="33" t="s">
        <v>101</v>
      </c>
      <c r="M23" s="33" t="s">
        <v>149</v>
      </c>
      <c r="N23" s="33" t="s">
        <v>102</v>
      </c>
      <c r="O23" s="33" t="s">
        <v>23</v>
      </c>
      <c r="P23" s="33">
        <v>1</v>
      </c>
      <c r="R23" s="33">
        <v>0</v>
      </c>
      <c r="T23" t="s">
        <v>176</v>
      </c>
      <c r="U23" s="33" t="s">
        <v>176</v>
      </c>
      <c r="V23" s="33" t="s">
        <v>263</v>
      </c>
      <c r="W23" s="33" t="s">
        <v>115</v>
      </c>
      <c r="X23" s="33" t="s">
        <v>115</v>
      </c>
      <c r="Y23" s="33" t="s">
        <v>115</v>
      </c>
      <c r="Z23" s="33" t="s">
        <v>115</v>
      </c>
      <c r="AA23" s="33" t="s">
        <v>115</v>
      </c>
      <c r="AB23" s="35" t="s">
        <v>115</v>
      </c>
      <c r="AC23" s="35"/>
      <c r="AD23" s="33">
        <v>30</v>
      </c>
      <c r="AE23" s="33">
        <v>0</v>
      </c>
      <c r="AF23" s="33">
        <v>20</v>
      </c>
      <c r="AG23" s="33">
        <v>10</v>
      </c>
      <c r="AH23" s="33">
        <v>71</v>
      </c>
      <c r="AI23" s="33">
        <v>0</v>
      </c>
      <c r="AJ23" s="33">
        <f t="shared" si="0"/>
        <v>101</v>
      </c>
      <c r="AK23" s="33" t="s">
        <v>150</v>
      </c>
      <c r="AM23" s="33">
        <v>0</v>
      </c>
      <c r="AN23" s="33">
        <v>9</v>
      </c>
      <c r="AO23"/>
      <c r="AP23"/>
      <c r="AQ23"/>
      <c r="AR23"/>
      <c r="AS23"/>
      <c r="AT23"/>
      <c r="AU23"/>
    </row>
    <row r="24" spans="1:47" s="33" customFormat="1" hidden="1" x14ac:dyDescent="0.2">
      <c r="A24" t="s">
        <v>147</v>
      </c>
      <c r="B24" t="s">
        <v>148</v>
      </c>
      <c r="C24">
        <v>5</v>
      </c>
      <c r="D24">
        <v>2</v>
      </c>
      <c r="E24" t="s">
        <v>3171</v>
      </c>
      <c r="F24" s="1">
        <v>43341</v>
      </c>
      <c r="G24" s="1" t="s">
        <v>4031</v>
      </c>
      <c r="H24" s="37" t="s">
        <v>4724</v>
      </c>
      <c r="I24" s="2">
        <v>8.819444444444445E-2</v>
      </c>
      <c r="J24" s="176">
        <v>1.4699074074074074E-3</v>
      </c>
      <c r="K24" s="6">
        <v>127</v>
      </c>
      <c r="L24" t="s">
        <v>101</v>
      </c>
      <c r="M24" t="s">
        <v>149</v>
      </c>
      <c r="N24" t="s">
        <v>102</v>
      </c>
      <c r="O24" t="s">
        <v>23</v>
      </c>
      <c r="P24">
        <v>1</v>
      </c>
      <c r="Q24"/>
      <c r="R24">
        <v>0</v>
      </c>
      <c r="S24"/>
      <c r="T24" t="s">
        <v>176</v>
      </c>
      <c r="U24" t="s">
        <v>176</v>
      </c>
      <c r="V24" t="s">
        <v>2041</v>
      </c>
      <c r="W24" t="s">
        <v>115</v>
      </c>
      <c r="X24" s="33" t="s">
        <v>115</v>
      </c>
      <c r="Y24" s="33" t="s">
        <v>115</v>
      </c>
      <c r="Z24" s="33" t="s">
        <v>115</v>
      </c>
      <c r="AA24" t="s">
        <v>115</v>
      </c>
      <c r="AB24" s="19" t="s">
        <v>115</v>
      </c>
      <c r="AC24" s="19"/>
      <c r="AD24">
        <v>0</v>
      </c>
      <c r="AE24">
        <v>0</v>
      </c>
      <c r="AF24">
        <v>0</v>
      </c>
      <c r="AG24">
        <v>0</v>
      </c>
      <c r="AH24">
        <v>0</v>
      </c>
      <c r="AI24">
        <v>0</v>
      </c>
      <c r="AJ24">
        <f t="shared" si="0"/>
        <v>0</v>
      </c>
      <c r="AK24" t="s">
        <v>150</v>
      </c>
      <c r="AL24"/>
      <c r="AM24">
        <v>0</v>
      </c>
      <c r="AN24">
        <v>9</v>
      </c>
      <c r="AO24"/>
      <c r="AP24"/>
      <c r="AQ24"/>
      <c r="AR24"/>
      <c r="AS24"/>
      <c r="AT24"/>
      <c r="AU24"/>
    </row>
    <row r="25" spans="1:47" x14ac:dyDescent="0.2">
      <c r="A25" s="33" t="s">
        <v>151</v>
      </c>
      <c r="B25" s="33" t="s">
        <v>152</v>
      </c>
      <c r="C25" s="33">
        <v>6</v>
      </c>
      <c r="D25" s="33">
        <v>1</v>
      </c>
      <c r="E25" s="33" t="s">
        <v>3171</v>
      </c>
      <c r="F25" s="37">
        <v>43341</v>
      </c>
      <c r="G25" s="1" t="s">
        <v>4031</v>
      </c>
      <c r="H25" s="37" t="s">
        <v>4724</v>
      </c>
      <c r="I25" s="36">
        <v>3.8194444444444441E-2</v>
      </c>
      <c r="J25" s="177">
        <v>6.3657407407407402E-4</v>
      </c>
      <c r="K25" s="39">
        <v>55</v>
      </c>
      <c r="L25" s="33" t="s">
        <v>101</v>
      </c>
      <c r="M25" s="33" t="s">
        <v>149</v>
      </c>
      <c r="N25" s="33" t="s">
        <v>187</v>
      </c>
      <c r="O25" s="33" t="s">
        <v>23</v>
      </c>
      <c r="P25" s="33">
        <v>3</v>
      </c>
      <c r="Q25" s="33" t="s">
        <v>2282</v>
      </c>
      <c r="R25" s="33">
        <v>1</v>
      </c>
      <c r="S25" s="33"/>
      <c r="T25" t="s">
        <v>14</v>
      </c>
      <c r="U25" s="33" t="s">
        <v>2128</v>
      </c>
      <c r="V25" s="33" t="s">
        <v>122</v>
      </c>
      <c r="W25" s="33" t="s">
        <v>3966</v>
      </c>
      <c r="X25" s="33" t="s">
        <v>23</v>
      </c>
      <c r="Y25" s="33" t="s">
        <v>3999</v>
      </c>
      <c r="Z25" s="33" t="s">
        <v>4002</v>
      </c>
      <c r="AA25" s="33" t="s">
        <v>176</v>
      </c>
      <c r="AB25" s="35" t="s">
        <v>2045</v>
      </c>
      <c r="AC25" s="35"/>
      <c r="AD25" s="33">
        <v>0</v>
      </c>
      <c r="AE25" s="33">
        <v>0</v>
      </c>
      <c r="AF25" s="33">
        <v>0</v>
      </c>
      <c r="AG25" s="33">
        <v>0</v>
      </c>
      <c r="AH25" s="33">
        <v>24</v>
      </c>
      <c r="AI25" s="33">
        <v>0</v>
      </c>
      <c r="AJ25" s="33">
        <f t="shared" si="0"/>
        <v>24</v>
      </c>
      <c r="AK25" s="33" t="s">
        <v>303</v>
      </c>
      <c r="AL25" s="33" t="s">
        <v>4875</v>
      </c>
      <c r="AM25" s="33"/>
      <c r="AN25" s="33"/>
    </row>
    <row r="26" spans="1:47" x14ac:dyDescent="0.2">
      <c r="A26" t="s">
        <v>154</v>
      </c>
      <c r="B26" t="s">
        <v>155</v>
      </c>
      <c r="C26">
        <v>7</v>
      </c>
      <c r="D26">
        <v>1</v>
      </c>
      <c r="E26" t="s">
        <v>3171</v>
      </c>
      <c r="F26" s="1">
        <v>43341</v>
      </c>
      <c r="G26" s="1" t="s">
        <v>4031</v>
      </c>
      <c r="H26" s="37" t="s">
        <v>4724</v>
      </c>
      <c r="I26" s="2">
        <v>1.3888888888888888E-2</v>
      </c>
      <c r="J26" s="176">
        <v>2.3148148148148146E-4</v>
      </c>
      <c r="K26" s="6">
        <v>20</v>
      </c>
      <c r="L26" t="s">
        <v>101</v>
      </c>
      <c r="M26" t="s">
        <v>149</v>
      </c>
      <c r="N26" t="s">
        <v>156</v>
      </c>
      <c r="O26" t="s">
        <v>23</v>
      </c>
      <c r="P26">
        <v>0</v>
      </c>
      <c r="R26">
        <v>1</v>
      </c>
      <c r="T26" t="s">
        <v>14</v>
      </c>
      <c r="U26" t="s">
        <v>2128</v>
      </c>
      <c r="V26" t="s">
        <v>122</v>
      </c>
      <c r="W26" t="s">
        <v>3965</v>
      </c>
      <c r="X26" s="33" t="s">
        <v>23</v>
      </c>
      <c r="Y26" s="33" t="s">
        <v>3997</v>
      </c>
      <c r="Z26" s="33" t="s">
        <v>4002</v>
      </c>
      <c r="AA26" t="s">
        <v>176</v>
      </c>
      <c r="AB26" s="19" t="s">
        <v>2045</v>
      </c>
      <c r="AD26">
        <v>0</v>
      </c>
      <c r="AE26">
        <v>0</v>
      </c>
      <c r="AF26">
        <v>0</v>
      </c>
      <c r="AG26">
        <v>0</v>
      </c>
      <c r="AH26">
        <v>0</v>
      </c>
      <c r="AI26">
        <v>0</v>
      </c>
      <c r="AJ26">
        <f t="shared" si="0"/>
        <v>0</v>
      </c>
      <c r="AK26" t="s">
        <v>115</v>
      </c>
    </row>
    <row r="27" spans="1:47" s="33" customFormat="1" x14ac:dyDescent="0.2">
      <c r="A27" t="s">
        <v>157</v>
      </c>
      <c r="B27" t="s">
        <v>848</v>
      </c>
      <c r="C27">
        <v>1</v>
      </c>
      <c r="D27">
        <v>1</v>
      </c>
      <c r="E27" t="s">
        <v>834</v>
      </c>
      <c r="F27" s="1">
        <v>43342</v>
      </c>
      <c r="G27" s="1" t="s">
        <v>4031</v>
      </c>
      <c r="H27" s="37" t="s">
        <v>4724</v>
      </c>
      <c r="I27" s="2">
        <v>1.3194444444444444E-2</v>
      </c>
      <c r="J27" s="176">
        <v>2.199074074074074E-4</v>
      </c>
      <c r="K27" s="6">
        <v>19</v>
      </c>
      <c r="L27" t="s">
        <v>158</v>
      </c>
      <c r="M27" t="s">
        <v>24</v>
      </c>
      <c r="N27" t="s">
        <v>1933</v>
      </c>
      <c r="O27" t="s">
        <v>115</v>
      </c>
      <c r="P27">
        <v>1</v>
      </c>
      <c r="Q27"/>
      <c r="R27">
        <v>0</v>
      </c>
      <c r="S27"/>
      <c r="T27" t="s">
        <v>598</v>
      </c>
      <c r="U27" t="s">
        <v>2124</v>
      </c>
      <c r="V27" t="s">
        <v>125</v>
      </c>
      <c r="W27" t="s">
        <v>126</v>
      </c>
      <c r="X27" s="33" t="s">
        <v>115</v>
      </c>
      <c r="Y27" s="33" t="s">
        <v>115</v>
      </c>
      <c r="Z27" s="33" t="s">
        <v>115</v>
      </c>
      <c r="AA27" t="s">
        <v>115</v>
      </c>
      <c r="AB27" s="19" t="s">
        <v>115</v>
      </c>
      <c r="AC27" s="19"/>
      <c r="AD27">
        <v>0</v>
      </c>
      <c r="AE27">
        <v>0</v>
      </c>
      <c r="AF27">
        <v>0</v>
      </c>
      <c r="AG27">
        <v>0</v>
      </c>
      <c r="AH27">
        <v>0</v>
      </c>
      <c r="AI27">
        <v>0</v>
      </c>
      <c r="AJ27">
        <f t="shared" si="0"/>
        <v>0</v>
      </c>
      <c r="AK27" t="s">
        <v>107</v>
      </c>
      <c r="AL27"/>
      <c r="AM27"/>
      <c r="AN27"/>
      <c r="AO27"/>
      <c r="AP27"/>
      <c r="AQ27"/>
      <c r="AR27"/>
      <c r="AS27"/>
      <c r="AT27"/>
      <c r="AU27"/>
    </row>
    <row r="28" spans="1:47" x14ac:dyDescent="0.2">
      <c r="A28" t="s">
        <v>161</v>
      </c>
      <c r="B28" t="s">
        <v>849</v>
      </c>
      <c r="C28">
        <v>2</v>
      </c>
      <c r="D28">
        <v>1</v>
      </c>
      <c r="E28" t="s">
        <v>834</v>
      </c>
      <c r="F28" s="1">
        <v>43342</v>
      </c>
      <c r="G28" s="1" t="s">
        <v>4031</v>
      </c>
      <c r="H28" s="37" t="s">
        <v>4724</v>
      </c>
      <c r="I28" s="2">
        <v>2.1527777777777781E-2</v>
      </c>
      <c r="J28" s="176">
        <v>3.5879629629629635E-4</v>
      </c>
      <c r="K28" s="6">
        <v>31</v>
      </c>
      <c r="L28" t="s">
        <v>158</v>
      </c>
      <c r="M28" t="s">
        <v>166</v>
      </c>
      <c r="N28" t="s">
        <v>102</v>
      </c>
      <c r="O28" t="s">
        <v>23</v>
      </c>
      <c r="P28">
        <v>1</v>
      </c>
      <c r="R28" t="s">
        <v>24</v>
      </c>
      <c r="T28" t="s">
        <v>112</v>
      </c>
      <c r="U28" t="s">
        <v>112</v>
      </c>
      <c r="V28" t="s">
        <v>160</v>
      </c>
      <c r="W28" t="s">
        <v>115</v>
      </c>
      <c r="AA28" t="s">
        <v>115</v>
      </c>
      <c r="AB28" s="19" t="s">
        <v>115</v>
      </c>
      <c r="AD28">
        <v>0</v>
      </c>
      <c r="AE28">
        <v>0</v>
      </c>
      <c r="AF28">
        <v>0</v>
      </c>
      <c r="AG28">
        <v>0</v>
      </c>
      <c r="AH28">
        <v>0</v>
      </c>
      <c r="AI28">
        <v>0</v>
      </c>
      <c r="AJ28">
        <f t="shared" si="0"/>
        <v>0</v>
      </c>
      <c r="AK28" t="s">
        <v>107</v>
      </c>
      <c r="AL28" t="s">
        <v>3990</v>
      </c>
      <c r="AM28">
        <v>0</v>
      </c>
      <c r="AN28">
        <v>0</v>
      </c>
    </row>
    <row r="29" spans="1:47" x14ac:dyDescent="0.2">
      <c r="A29" t="s">
        <v>162</v>
      </c>
      <c r="B29" t="s">
        <v>850</v>
      </c>
      <c r="C29">
        <v>3</v>
      </c>
      <c r="D29">
        <v>1</v>
      </c>
      <c r="E29" t="s">
        <v>834</v>
      </c>
      <c r="F29" s="1">
        <v>43342</v>
      </c>
      <c r="G29" s="1" t="s">
        <v>4031</v>
      </c>
      <c r="H29" s="37" t="s">
        <v>4724</v>
      </c>
      <c r="I29" s="2">
        <v>8.3333333333333332E-3</v>
      </c>
      <c r="J29" s="176">
        <v>0</v>
      </c>
      <c r="K29" s="6">
        <v>0</v>
      </c>
      <c r="L29" t="s">
        <v>158</v>
      </c>
      <c r="M29" t="s">
        <v>166</v>
      </c>
      <c r="N29" t="s">
        <v>107</v>
      </c>
      <c r="O29" t="s">
        <v>23</v>
      </c>
      <c r="P29">
        <v>0</v>
      </c>
      <c r="R29">
        <v>0</v>
      </c>
      <c r="T29" t="s">
        <v>112</v>
      </c>
      <c r="U29" t="s">
        <v>112</v>
      </c>
      <c r="V29" t="s">
        <v>160</v>
      </c>
      <c r="W29" t="s">
        <v>115</v>
      </c>
      <c r="X29" s="33" t="s">
        <v>115</v>
      </c>
      <c r="Y29" s="33" t="s">
        <v>115</v>
      </c>
      <c r="Z29" s="33" t="s">
        <v>115</v>
      </c>
      <c r="AA29" t="s">
        <v>115</v>
      </c>
      <c r="AB29" s="19" t="s">
        <v>115</v>
      </c>
      <c r="AD29">
        <v>0</v>
      </c>
      <c r="AE29">
        <v>0</v>
      </c>
      <c r="AF29">
        <v>0</v>
      </c>
      <c r="AG29">
        <v>0</v>
      </c>
      <c r="AH29">
        <v>0</v>
      </c>
      <c r="AI29">
        <v>0</v>
      </c>
      <c r="AJ29">
        <f t="shared" si="0"/>
        <v>0</v>
      </c>
      <c r="AK29" t="s">
        <v>107</v>
      </c>
      <c r="AL29" t="s">
        <v>3991</v>
      </c>
    </row>
    <row r="30" spans="1:47" x14ac:dyDescent="0.2">
      <c r="A30" t="s">
        <v>163</v>
      </c>
      <c r="B30" t="s">
        <v>851</v>
      </c>
      <c r="C30">
        <v>4</v>
      </c>
      <c r="D30">
        <v>1</v>
      </c>
      <c r="E30" t="s">
        <v>834</v>
      </c>
      <c r="F30" s="1">
        <v>43342</v>
      </c>
      <c r="G30" s="1" t="s">
        <v>4031</v>
      </c>
      <c r="H30" s="37" t="s">
        <v>4724</v>
      </c>
      <c r="I30" s="2">
        <v>2.361111111111111E-2</v>
      </c>
      <c r="J30" s="176">
        <v>1.3888888888888889E-4</v>
      </c>
      <c r="K30" s="6">
        <v>12</v>
      </c>
      <c r="L30" t="s">
        <v>158</v>
      </c>
      <c r="M30" t="s">
        <v>166</v>
      </c>
      <c r="N30" t="s">
        <v>107</v>
      </c>
      <c r="O30" t="s">
        <v>23</v>
      </c>
      <c r="P30">
        <v>0</v>
      </c>
      <c r="R30">
        <v>0</v>
      </c>
      <c r="T30" t="s">
        <v>112</v>
      </c>
      <c r="U30" t="s">
        <v>112</v>
      </c>
      <c r="V30" t="s">
        <v>160</v>
      </c>
      <c r="W30" t="s">
        <v>115</v>
      </c>
      <c r="X30" s="33" t="s">
        <v>115</v>
      </c>
      <c r="Y30" s="33" t="s">
        <v>115</v>
      </c>
      <c r="Z30" s="33" t="s">
        <v>115</v>
      </c>
      <c r="AA30" t="s">
        <v>115</v>
      </c>
      <c r="AB30" s="19" t="s">
        <v>115</v>
      </c>
      <c r="AD30">
        <v>0</v>
      </c>
      <c r="AE30">
        <v>0</v>
      </c>
      <c r="AF30">
        <v>0</v>
      </c>
      <c r="AG30">
        <v>0</v>
      </c>
      <c r="AH30">
        <v>0</v>
      </c>
      <c r="AI30">
        <v>0</v>
      </c>
      <c r="AJ30">
        <f t="shared" si="0"/>
        <v>0</v>
      </c>
      <c r="AK30" t="s">
        <v>107</v>
      </c>
      <c r="AL30" t="s">
        <v>3992</v>
      </c>
      <c r="AO30" s="33"/>
      <c r="AP30" s="33"/>
      <c r="AQ30" s="34"/>
      <c r="AR30" s="33"/>
      <c r="AS30" s="33"/>
      <c r="AT30" s="33"/>
      <c r="AU30" s="33"/>
    </row>
    <row r="31" spans="1:47" x14ac:dyDescent="0.2">
      <c r="A31" s="33" t="s">
        <v>164</v>
      </c>
      <c r="B31" s="33" t="s">
        <v>852</v>
      </c>
      <c r="C31" s="33">
        <v>5</v>
      </c>
      <c r="D31" s="33">
        <v>1</v>
      </c>
      <c r="E31" s="33" t="s">
        <v>834</v>
      </c>
      <c r="F31" s="37">
        <v>43342</v>
      </c>
      <c r="G31" s="1" t="s">
        <v>4031</v>
      </c>
      <c r="H31" s="37" t="s">
        <v>4724</v>
      </c>
      <c r="I31" s="36">
        <v>1.8749999999999999E-2</v>
      </c>
      <c r="J31" s="177">
        <v>3.1250000000000001E-4</v>
      </c>
      <c r="K31" s="39">
        <v>27</v>
      </c>
      <c r="L31" s="33" t="s">
        <v>158</v>
      </c>
      <c r="M31" s="33" t="s">
        <v>466</v>
      </c>
      <c r="N31" s="33" t="s">
        <v>102</v>
      </c>
      <c r="O31" s="33" t="s">
        <v>23</v>
      </c>
      <c r="P31" s="33">
        <v>1</v>
      </c>
      <c r="Q31" s="33"/>
      <c r="R31" s="33">
        <v>1</v>
      </c>
      <c r="S31" s="33"/>
      <c r="T31" t="s">
        <v>176</v>
      </c>
      <c r="U31" s="33" t="s">
        <v>176</v>
      </c>
      <c r="V31" s="33" t="s">
        <v>122</v>
      </c>
      <c r="W31" s="7" t="s">
        <v>2044</v>
      </c>
      <c r="X31" s="44" t="s">
        <v>23</v>
      </c>
      <c r="Y31" s="44" t="s">
        <v>3997</v>
      </c>
      <c r="Z31" s="44" t="s">
        <v>4005</v>
      </c>
      <c r="AA31" s="33">
        <v>1</v>
      </c>
      <c r="AB31" s="35" t="s">
        <v>246</v>
      </c>
      <c r="AC31" s="35"/>
      <c r="AD31" s="33">
        <v>6</v>
      </c>
      <c r="AE31" s="33">
        <v>0</v>
      </c>
      <c r="AF31" s="33">
        <v>0</v>
      </c>
      <c r="AG31" s="33">
        <v>6</v>
      </c>
      <c r="AH31" s="33">
        <v>11</v>
      </c>
      <c r="AI31" s="33">
        <v>0</v>
      </c>
      <c r="AJ31" s="33">
        <f t="shared" si="0"/>
        <v>17</v>
      </c>
      <c r="AK31" s="33" t="s">
        <v>24</v>
      </c>
      <c r="AL31" s="33" t="s">
        <v>2047</v>
      </c>
      <c r="AM31" s="33">
        <v>0</v>
      </c>
      <c r="AN31" s="33">
        <v>0</v>
      </c>
    </row>
    <row r="32" spans="1:47" x14ac:dyDescent="0.2">
      <c r="A32" s="33" t="s">
        <v>167</v>
      </c>
      <c r="B32" s="33" t="s">
        <v>853</v>
      </c>
      <c r="C32" s="33">
        <v>6</v>
      </c>
      <c r="D32" s="33">
        <v>1</v>
      </c>
      <c r="E32" s="33" t="s">
        <v>834</v>
      </c>
      <c r="F32" s="37">
        <v>43342</v>
      </c>
      <c r="G32" s="1" t="s">
        <v>4031</v>
      </c>
      <c r="H32" s="37" t="s">
        <v>4724</v>
      </c>
      <c r="I32" s="36">
        <v>5.2083333333333336E-2</v>
      </c>
      <c r="J32" s="177">
        <v>8.6805555555555551E-4</v>
      </c>
      <c r="K32" s="39">
        <v>75</v>
      </c>
      <c r="L32" s="33" t="s">
        <v>158</v>
      </c>
      <c r="M32" s="33" t="s">
        <v>166</v>
      </c>
      <c r="N32" s="33" t="s">
        <v>102</v>
      </c>
      <c r="O32" s="33" t="s">
        <v>23</v>
      </c>
      <c r="P32" s="33">
        <v>1</v>
      </c>
      <c r="Q32" s="33"/>
      <c r="R32" s="33">
        <v>0</v>
      </c>
      <c r="S32" s="33"/>
      <c r="T32" t="s">
        <v>176</v>
      </c>
      <c r="U32" s="33" t="s">
        <v>176</v>
      </c>
      <c r="V32" s="33" t="s">
        <v>487</v>
      </c>
      <c r="W32" s="33" t="s">
        <v>115</v>
      </c>
      <c r="X32" s="33" t="s">
        <v>115</v>
      </c>
      <c r="Y32" s="33" t="s">
        <v>115</v>
      </c>
      <c r="Z32" s="33" t="s">
        <v>115</v>
      </c>
      <c r="AA32" s="33" t="s">
        <v>115</v>
      </c>
      <c r="AB32" s="35" t="s">
        <v>115</v>
      </c>
      <c r="AC32" s="35"/>
      <c r="AD32" s="33">
        <v>4</v>
      </c>
      <c r="AE32" s="33">
        <v>0</v>
      </c>
      <c r="AF32" s="33">
        <v>0</v>
      </c>
      <c r="AG32" s="33">
        <v>4</v>
      </c>
      <c r="AH32" s="33">
        <v>26</v>
      </c>
      <c r="AI32" s="33">
        <v>0</v>
      </c>
      <c r="AJ32" s="33">
        <f t="shared" si="0"/>
        <v>30</v>
      </c>
      <c r="AK32" s="33" t="s">
        <v>168</v>
      </c>
      <c r="AL32" s="33" t="s">
        <v>169</v>
      </c>
      <c r="AM32" s="33">
        <v>1</v>
      </c>
      <c r="AN32" s="33">
        <v>0</v>
      </c>
    </row>
    <row r="33" spans="1:47" hidden="1" x14ac:dyDescent="0.2">
      <c r="A33" t="s">
        <v>167</v>
      </c>
      <c r="B33" t="s">
        <v>853</v>
      </c>
      <c r="C33">
        <v>6</v>
      </c>
      <c r="D33">
        <v>2</v>
      </c>
      <c r="E33" t="s">
        <v>834</v>
      </c>
      <c r="F33" s="1">
        <v>43342</v>
      </c>
      <c r="G33" s="1" t="s">
        <v>4031</v>
      </c>
      <c r="H33" s="37" t="s">
        <v>4724</v>
      </c>
      <c r="I33" s="2">
        <v>5.2083333333333336E-2</v>
      </c>
      <c r="J33" s="176">
        <v>8.6805555555555551E-4</v>
      </c>
      <c r="K33" s="6">
        <v>75</v>
      </c>
      <c r="L33" t="s">
        <v>158</v>
      </c>
      <c r="M33" t="s">
        <v>166</v>
      </c>
      <c r="N33" t="s">
        <v>102</v>
      </c>
      <c r="O33" t="s">
        <v>23</v>
      </c>
      <c r="P33">
        <v>1</v>
      </c>
      <c r="R33">
        <v>0</v>
      </c>
      <c r="T33" t="s">
        <v>3955</v>
      </c>
      <c r="U33" t="s">
        <v>2048</v>
      </c>
      <c r="V33" t="s">
        <v>122</v>
      </c>
      <c r="W33" t="s">
        <v>115</v>
      </c>
      <c r="X33" s="33" t="s">
        <v>115</v>
      </c>
      <c r="Y33" s="33" t="s">
        <v>115</v>
      </c>
      <c r="Z33" s="33" t="s">
        <v>115</v>
      </c>
      <c r="AA33" t="s">
        <v>115</v>
      </c>
      <c r="AB33" s="19" t="s">
        <v>115</v>
      </c>
      <c r="AD33">
        <v>0</v>
      </c>
      <c r="AE33">
        <v>0</v>
      </c>
      <c r="AF33">
        <v>0</v>
      </c>
      <c r="AG33">
        <v>0</v>
      </c>
      <c r="AH33">
        <v>0</v>
      </c>
      <c r="AI33">
        <v>0</v>
      </c>
      <c r="AJ33">
        <f t="shared" si="0"/>
        <v>0</v>
      </c>
      <c r="AK33" t="s">
        <v>168</v>
      </c>
      <c r="AL33" t="s">
        <v>169</v>
      </c>
      <c r="AM33">
        <v>1</v>
      </c>
      <c r="AN33">
        <v>0</v>
      </c>
      <c r="AO33" s="33"/>
      <c r="AP33" s="33"/>
      <c r="AQ33" s="34"/>
      <c r="AR33" s="33"/>
      <c r="AS33" s="33"/>
      <c r="AT33" s="33"/>
      <c r="AU33" s="33"/>
    </row>
    <row r="34" spans="1:47" s="33" customFormat="1" x14ac:dyDescent="0.2">
      <c r="A34" t="s">
        <v>170</v>
      </c>
      <c r="B34" t="s">
        <v>854</v>
      </c>
      <c r="C34">
        <v>7</v>
      </c>
      <c r="D34">
        <v>1</v>
      </c>
      <c r="E34" t="s">
        <v>834</v>
      </c>
      <c r="F34" s="1">
        <v>43342</v>
      </c>
      <c r="G34" s="1" t="s">
        <v>4031</v>
      </c>
      <c r="H34" s="37" t="s">
        <v>4724</v>
      </c>
      <c r="I34" s="2">
        <v>2.7777777777777776E-2</v>
      </c>
      <c r="J34" s="176">
        <v>4.6296296296296293E-4</v>
      </c>
      <c r="K34" s="6">
        <v>40</v>
      </c>
      <c r="L34" t="s">
        <v>158</v>
      </c>
      <c r="M34" t="s">
        <v>166</v>
      </c>
      <c r="N34" t="s">
        <v>102</v>
      </c>
      <c r="O34" t="s">
        <v>115</v>
      </c>
      <c r="P34">
        <v>1</v>
      </c>
      <c r="Q34"/>
      <c r="R34">
        <v>0</v>
      </c>
      <c r="S34"/>
      <c r="T34" t="s">
        <v>3955</v>
      </c>
      <c r="U34" t="s">
        <v>2049</v>
      </c>
      <c r="V34" t="s">
        <v>122</v>
      </c>
      <c r="W34" t="s">
        <v>126</v>
      </c>
      <c r="X34" s="33" t="s">
        <v>115</v>
      </c>
      <c r="Y34" s="33" t="s">
        <v>115</v>
      </c>
      <c r="Z34" s="33" t="s">
        <v>115</v>
      </c>
      <c r="AA34" t="s">
        <v>115</v>
      </c>
      <c r="AB34" s="19" t="s">
        <v>115</v>
      </c>
      <c r="AC34" s="19"/>
      <c r="AD34">
        <v>0</v>
      </c>
      <c r="AE34">
        <v>0</v>
      </c>
      <c r="AF34">
        <v>0</v>
      </c>
      <c r="AG34">
        <v>0</v>
      </c>
      <c r="AH34">
        <v>0</v>
      </c>
      <c r="AI34">
        <v>0</v>
      </c>
      <c r="AJ34">
        <f t="shared" si="0"/>
        <v>0</v>
      </c>
      <c r="AK34" t="s">
        <v>171</v>
      </c>
      <c r="AL34" t="s">
        <v>169</v>
      </c>
      <c r="AM34">
        <v>0</v>
      </c>
      <c r="AN34">
        <v>0</v>
      </c>
      <c r="AO34"/>
      <c r="AP34"/>
      <c r="AQ34"/>
      <c r="AR34"/>
      <c r="AS34"/>
      <c r="AT34"/>
      <c r="AU34"/>
    </row>
    <row r="35" spans="1:47" x14ac:dyDescent="0.2">
      <c r="A35" t="s">
        <v>172</v>
      </c>
      <c r="B35" t="s">
        <v>4876</v>
      </c>
      <c r="C35">
        <v>1</v>
      </c>
      <c r="D35">
        <v>1</v>
      </c>
      <c r="E35" t="s">
        <v>2601</v>
      </c>
      <c r="F35" s="1">
        <v>43342</v>
      </c>
      <c r="G35" s="1" t="s">
        <v>4031</v>
      </c>
      <c r="H35" s="37" t="s">
        <v>4724</v>
      </c>
      <c r="I35" s="2">
        <v>2.6388888888888889E-2</v>
      </c>
      <c r="J35" s="176">
        <v>4.3981481481481481E-4</v>
      </c>
      <c r="K35" s="6">
        <v>38</v>
      </c>
      <c r="L35" t="s">
        <v>158</v>
      </c>
      <c r="M35" t="s">
        <v>173</v>
      </c>
      <c r="N35" t="s">
        <v>102</v>
      </c>
      <c r="O35" t="s">
        <v>23</v>
      </c>
      <c r="P35" t="s">
        <v>24</v>
      </c>
      <c r="R35" t="s">
        <v>24</v>
      </c>
      <c r="T35" t="s">
        <v>176</v>
      </c>
      <c r="U35" t="s">
        <v>176</v>
      </c>
      <c r="V35" t="s">
        <v>24</v>
      </c>
      <c r="W35" t="s">
        <v>24</v>
      </c>
      <c r="AA35" t="s">
        <v>115</v>
      </c>
      <c r="AB35" s="19" t="s">
        <v>115</v>
      </c>
      <c r="AD35">
        <v>0</v>
      </c>
      <c r="AE35">
        <v>24</v>
      </c>
      <c r="AF35">
        <v>24</v>
      </c>
      <c r="AG35">
        <v>0</v>
      </c>
      <c r="AH35">
        <v>0</v>
      </c>
      <c r="AI35">
        <v>0</v>
      </c>
      <c r="AJ35">
        <f t="shared" si="0"/>
        <v>24</v>
      </c>
      <c r="AK35" t="s">
        <v>174</v>
      </c>
      <c r="AL35" t="s">
        <v>4877</v>
      </c>
      <c r="AM35">
        <v>0</v>
      </c>
      <c r="AN35">
        <v>0</v>
      </c>
      <c r="AO35" s="33"/>
      <c r="AP35" s="33"/>
      <c r="AQ35" s="34"/>
      <c r="AR35" s="33"/>
      <c r="AS35" s="33"/>
      <c r="AT35" s="33"/>
      <c r="AU35" s="33"/>
    </row>
    <row r="36" spans="1:47" s="33" customFormat="1" x14ac:dyDescent="0.2">
      <c r="A36" s="33" t="s">
        <v>175</v>
      </c>
      <c r="B36" s="33" t="s">
        <v>4878</v>
      </c>
      <c r="C36" s="33">
        <v>2</v>
      </c>
      <c r="D36" s="33">
        <v>1</v>
      </c>
      <c r="E36" s="33" t="s">
        <v>2601</v>
      </c>
      <c r="F36" s="37">
        <v>43342</v>
      </c>
      <c r="G36" s="1" t="s">
        <v>4031</v>
      </c>
      <c r="H36" s="37" t="s">
        <v>4724</v>
      </c>
      <c r="I36" s="36">
        <v>3.125E-2</v>
      </c>
      <c r="J36" s="177">
        <v>5.2083333333333333E-4</v>
      </c>
      <c r="K36" s="39">
        <v>45</v>
      </c>
      <c r="L36" s="33" t="s">
        <v>158</v>
      </c>
      <c r="M36" s="33" t="s">
        <v>177</v>
      </c>
      <c r="N36" s="33" t="s">
        <v>176</v>
      </c>
      <c r="O36" s="33" t="s">
        <v>23</v>
      </c>
      <c r="P36" s="33" t="s">
        <v>24</v>
      </c>
      <c r="R36" s="33" t="s">
        <v>24</v>
      </c>
      <c r="T36" t="s">
        <v>176</v>
      </c>
      <c r="U36" s="33" t="s">
        <v>176</v>
      </c>
      <c r="V36" s="33" t="s">
        <v>24</v>
      </c>
      <c r="W36" s="33" t="s">
        <v>24</v>
      </c>
      <c r="AA36" s="33" t="s">
        <v>115</v>
      </c>
      <c r="AB36" s="35" t="s">
        <v>115</v>
      </c>
      <c r="AC36" s="35"/>
      <c r="AD36" s="33" t="s">
        <v>24</v>
      </c>
      <c r="AE36" s="33" t="s">
        <v>24</v>
      </c>
      <c r="AF36" s="33" t="s">
        <v>24</v>
      </c>
      <c r="AG36" s="33" t="s">
        <v>24</v>
      </c>
      <c r="AH36" s="33">
        <v>0</v>
      </c>
      <c r="AI36" s="33">
        <v>0</v>
      </c>
      <c r="AJ36" s="33">
        <f t="shared" si="0"/>
        <v>0</v>
      </c>
      <c r="AK36" s="33" t="s">
        <v>24</v>
      </c>
      <c r="AL36" s="33" t="s">
        <v>4879</v>
      </c>
      <c r="AM36" s="33">
        <v>0</v>
      </c>
      <c r="AN36" s="33">
        <v>0</v>
      </c>
      <c r="AQ36" s="34"/>
    </row>
    <row r="37" spans="1:47" s="33" customFormat="1" x14ac:dyDescent="0.2">
      <c r="A37" t="s">
        <v>178</v>
      </c>
      <c r="B37" t="s">
        <v>4880</v>
      </c>
      <c r="C37">
        <v>3</v>
      </c>
      <c r="D37">
        <v>1</v>
      </c>
      <c r="E37" t="s">
        <v>2601</v>
      </c>
      <c r="F37" s="1">
        <v>43342</v>
      </c>
      <c r="G37" s="1" t="s">
        <v>4031</v>
      </c>
      <c r="H37" s="37" t="s">
        <v>4724</v>
      </c>
      <c r="I37" s="2">
        <v>3.5416666666666666E-2</v>
      </c>
      <c r="J37" s="176">
        <v>5.9027777777777778E-4</v>
      </c>
      <c r="K37" s="6">
        <v>51</v>
      </c>
      <c r="L37" t="s">
        <v>158</v>
      </c>
      <c r="M37" t="s">
        <v>177</v>
      </c>
      <c r="N37" t="s">
        <v>179</v>
      </c>
      <c r="O37" t="s">
        <v>23</v>
      </c>
      <c r="P37" t="s">
        <v>24</v>
      </c>
      <c r="Q37"/>
      <c r="R37" t="s">
        <v>24</v>
      </c>
      <c r="S37"/>
      <c r="T37" t="s">
        <v>176</v>
      </c>
      <c r="U37" t="s">
        <v>176</v>
      </c>
      <c r="V37" t="s">
        <v>115</v>
      </c>
      <c r="W37" t="s">
        <v>115</v>
      </c>
      <c r="X37"/>
      <c r="Y37"/>
      <c r="Z37"/>
      <c r="AA37" t="s">
        <v>115</v>
      </c>
      <c r="AB37" s="19" t="s">
        <v>115</v>
      </c>
      <c r="AC37" s="19"/>
      <c r="AD37">
        <v>23</v>
      </c>
      <c r="AE37">
        <v>0</v>
      </c>
      <c r="AF37">
        <v>0</v>
      </c>
      <c r="AG37">
        <v>23</v>
      </c>
      <c r="AH37">
        <v>0</v>
      </c>
      <c r="AI37">
        <v>0</v>
      </c>
      <c r="AJ37">
        <f t="shared" si="0"/>
        <v>23</v>
      </c>
      <c r="AK37" t="s">
        <v>174</v>
      </c>
      <c r="AL37" t="s">
        <v>180</v>
      </c>
      <c r="AM37">
        <v>0</v>
      </c>
      <c r="AN37">
        <v>0</v>
      </c>
      <c r="AO37"/>
      <c r="AP37"/>
      <c r="AQ37"/>
      <c r="AR37"/>
      <c r="AS37"/>
      <c r="AT37"/>
      <c r="AU37"/>
    </row>
    <row r="38" spans="1:47" x14ac:dyDescent="0.2">
      <c r="A38" t="s">
        <v>36</v>
      </c>
      <c r="B38" t="s">
        <v>4883</v>
      </c>
      <c r="C38">
        <v>4</v>
      </c>
      <c r="D38">
        <v>1</v>
      </c>
      <c r="E38" t="s">
        <v>2601</v>
      </c>
      <c r="F38" s="1">
        <v>43342</v>
      </c>
      <c r="G38" s="1" t="s">
        <v>4031</v>
      </c>
      <c r="H38" s="37" t="s">
        <v>4724</v>
      </c>
      <c r="I38" s="2">
        <v>2.2222222222222223E-2</v>
      </c>
      <c r="J38" s="176">
        <v>3.7037037037037035E-4</v>
      </c>
      <c r="K38" s="6">
        <v>32</v>
      </c>
      <c r="L38" t="s">
        <v>158</v>
      </c>
      <c r="M38" t="s">
        <v>177</v>
      </c>
      <c r="N38" t="s">
        <v>107</v>
      </c>
      <c r="O38" t="s">
        <v>23</v>
      </c>
      <c r="P38">
        <v>1</v>
      </c>
      <c r="R38" t="s">
        <v>24</v>
      </c>
      <c r="T38" t="s">
        <v>112</v>
      </c>
      <c r="U38" t="s">
        <v>112</v>
      </c>
      <c r="V38" t="s">
        <v>176</v>
      </c>
      <c r="W38" t="s">
        <v>115</v>
      </c>
      <c r="AA38" t="s">
        <v>115</v>
      </c>
      <c r="AB38" s="19" t="s">
        <v>115</v>
      </c>
      <c r="AD38">
        <v>0</v>
      </c>
      <c r="AE38">
        <v>0</v>
      </c>
      <c r="AF38">
        <v>0</v>
      </c>
      <c r="AG38">
        <v>0</v>
      </c>
      <c r="AH38">
        <v>0</v>
      </c>
      <c r="AI38">
        <v>0</v>
      </c>
      <c r="AJ38">
        <f t="shared" si="0"/>
        <v>0</v>
      </c>
      <c r="AK38" t="s">
        <v>107</v>
      </c>
      <c r="AL38" t="s">
        <v>181</v>
      </c>
      <c r="AM38">
        <v>0</v>
      </c>
      <c r="AN38">
        <v>0</v>
      </c>
      <c r="AO38" s="33"/>
      <c r="AP38" s="33"/>
      <c r="AQ38" s="34"/>
      <c r="AR38" s="33"/>
      <c r="AS38" s="33"/>
      <c r="AT38" s="33"/>
      <c r="AU38" s="33"/>
    </row>
    <row r="39" spans="1:47" x14ac:dyDescent="0.2">
      <c r="A39" t="s">
        <v>182</v>
      </c>
      <c r="B39" t="s">
        <v>4889</v>
      </c>
      <c r="C39">
        <v>5</v>
      </c>
      <c r="D39">
        <v>1</v>
      </c>
      <c r="E39" t="s">
        <v>2601</v>
      </c>
      <c r="F39" s="1">
        <v>43342</v>
      </c>
      <c r="G39" s="1" t="s">
        <v>4031</v>
      </c>
      <c r="H39" s="37" t="s">
        <v>4724</v>
      </c>
      <c r="I39" s="2">
        <v>2.1527777777777781E-2</v>
      </c>
      <c r="J39" s="176">
        <v>3.5879629629629635E-4</v>
      </c>
      <c r="K39" s="6">
        <v>31</v>
      </c>
      <c r="L39" t="s">
        <v>158</v>
      </c>
      <c r="M39" t="s">
        <v>173</v>
      </c>
      <c r="N39" t="s">
        <v>111</v>
      </c>
      <c r="O39" t="s">
        <v>23</v>
      </c>
      <c r="P39">
        <v>0</v>
      </c>
      <c r="R39">
        <v>1</v>
      </c>
      <c r="T39" t="s">
        <v>112</v>
      </c>
      <c r="U39" t="s">
        <v>112</v>
      </c>
      <c r="V39" t="s">
        <v>3976</v>
      </c>
      <c r="W39" t="s">
        <v>333</v>
      </c>
      <c r="X39" s="33" t="s">
        <v>23</v>
      </c>
      <c r="Y39" s="33" t="s">
        <v>3999</v>
      </c>
      <c r="Z39" s="33" t="s">
        <v>4006</v>
      </c>
      <c r="AA39" t="s">
        <v>176</v>
      </c>
      <c r="AB39" s="19" t="s">
        <v>2045</v>
      </c>
      <c r="AD39">
        <v>0</v>
      </c>
      <c r="AE39">
        <v>0</v>
      </c>
      <c r="AF39">
        <v>0</v>
      </c>
      <c r="AG39">
        <v>0</v>
      </c>
      <c r="AH39">
        <v>0</v>
      </c>
      <c r="AI39">
        <v>0</v>
      </c>
      <c r="AJ39">
        <f t="shared" si="0"/>
        <v>0</v>
      </c>
      <c r="AK39" t="s">
        <v>159</v>
      </c>
      <c r="AL39" t="s">
        <v>4890</v>
      </c>
      <c r="AM39">
        <v>0</v>
      </c>
      <c r="AN39">
        <v>0</v>
      </c>
    </row>
    <row r="40" spans="1:47" hidden="1" x14ac:dyDescent="0.2">
      <c r="A40" t="s">
        <v>185</v>
      </c>
      <c r="B40" t="s">
        <v>4884</v>
      </c>
      <c r="C40">
        <v>6</v>
      </c>
      <c r="D40">
        <v>2</v>
      </c>
      <c r="E40" t="s">
        <v>2601</v>
      </c>
      <c r="F40" s="1">
        <v>43342</v>
      </c>
      <c r="G40" s="1" t="s">
        <v>4031</v>
      </c>
      <c r="H40" s="37" t="s">
        <v>4724</v>
      </c>
      <c r="I40" s="2">
        <v>6.6666666666666666E-2</v>
      </c>
      <c r="J40" s="176">
        <v>1.1111111111111111E-3</v>
      </c>
      <c r="K40" s="6">
        <v>96</v>
      </c>
      <c r="L40" t="s">
        <v>158</v>
      </c>
      <c r="M40" t="s">
        <v>173</v>
      </c>
      <c r="N40" t="s">
        <v>111</v>
      </c>
      <c r="O40" t="s">
        <v>23</v>
      </c>
      <c r="P40">
        <v>1</v>
      </c>
      <c r="R40">
        <v>0</v>
      </c>
      <c r="T40" t="s">
        <v>176</v>
      </c>
      <c r="U40" t="s">
        <v>176</v>
      </c>
      <c r="V40" t="s">
        <v>501</v>
      </c>
      <c r="W40" t="s">
        <v>115</v>
      </c>
      <c r="X40" s="33" t="s">
        <v>115</v>
      </c>
      <c r="Y40" s="33" t="s">
        <v>115</v>
      </c>
      <c r="Z40" s="33" t="s">
        <v>115</v>
      </c>
      <c r="AA40" t="s">
        <v>115</v>
      </c>
      <c r="AB40" s="19" t="s">
        <v>115</v>
      </c>
      <c r="AD40">
        <v>0</v>
      </c>
      <c r="AE40">
        <v>0</v>
      </c>
      <c r="AF40">
        <v>0</v>
      </c>
      <c r="AG40">
        <v>0</v>
      </c>
      <c r="AH40">
        <v>0</v>
      </c>
      <c r="AI40">
        <v>0</v>
      </c>
      <c r="AJ40">
        <f t="shared" si="0"/>
        <v>0</v>
      </c>
      <c r="AK40" t="s">
        <v>188</v>
      </c>
      <c r="AL40" t="s">
        <v>2042</v>
      </c>
      <c r="AM40">
        <v>0</v>
      </c>
      <c r="AN40">
        <v>0</v>
      </c>
      <c r="AO40" s="33"/>
      <c r="AP40" s="33"/>
      <c r="AQ40" s="34"/>
      <c r="AR40" s="33"/>
      <c r="AS40" s="33"/>
      <c r="AT40" s="33"/>
      <c r="AU40" s="33"/>
    </row>
    <row r="41" spans="1:47" x14ac:dyDescent="0.2">
      <c r="A41" t="s">
        <v>185</v>
      </c>
      <c r="B41" t="s">
        <v>4884</v>
      </c>
      <c r="C41">
        <v>6</v>
      </c>
      <c r="D41">
        <v>1</v>
      </c>
      <c r="E41" t="s">
        <v>2601</v>
      </c>
      <c r="F41" s="1">
        <v>43342</v>
      </c>
      <c r="G41" s="1" t="s">
        <v>4031</v>
      </c>
      <c r="H41" s="37" t="s">
        <v>4724</v>
      </c>
      <c r="I41" s="2">
        <v>6.6666666666666666E-2</v>
      </c>
      <c r="J41" s="176">
        <v>1.1111111111111111E-3</v>
      </c>
      <c r="K41" s="6">
        <v>96</v>
      </c>
      <c r="L41" t="s">
        <v>158</v>
      </c>
      <c r="M41" t="s">
        <v>173</v>
      </c>
      <c r="N41" t="s">
        <v>111</v>
      </c>
      <c r="O41" t="s">
        <v>23</v>
      </c>
      <c r="P41">
        <v>0</v>
      </c>
      <c r="R41">
        <v>1</v>
      </c>
      <c r="T41" t="s">
        <v>176</v>
      </c>
      <c r="U41" t="s">
        <v>176</v>
      </c>
      <c r="V41" t="s">
        <v>24</v>
      </c>
      <c r="W41" t="s">
        <v>1265</v>
      </c>
      <c r="X41" s="33" t="s">
        <v>23</v>
      </c>
      <c r="Y41" s="33" t="s">
        <v>4004</v>
      </c>
      <c r="Z41" s="33" t="s">
        <v>4005</v>
      </c>
      <c r="AA41" t="s">
        <v>176</v>
      </c>
      <c r="AB41" s="19" t="s">
        <v>2045</v>
      </c>
      <c r="AD41">
        <v>6</v>
      </c>
      <c r="AE41">
        <f>15+10</f>
        <v>25</v>
      </c>
      <c r="AF41">
        <v>16</v>
      </c>
      <c r="AG41">
        <f>7+8</f>
        <v>15</v>
      </c>
      <c r="AH41">
        <v>0</v>
      </c>
      <c r="AI41">
        <v>0</v>
      </c>
      <c r="AJ41">
        <f t="shared" si="0"/>
        <v>31</v>
      </c>
      <c r="AK41" t="s">
        <v>188</v>
      </c>
      <c r="AL41" t="s">
        <v>4891</v>
      </c>
      <c r="AM41">
        <v>0</v>
      </c>
      <c r="AN41">
        <v>0</v>
      </c>
    </row>
    <row r="42" spans="1:47" hidden="1" x14ac:dyDescent="0.2">
      <c r="A42" t="s">
        <v>185</v>
      </c>
      <c r="B42" t="s">
        <v>4884</v>
      </c>
      <c r="C42">
        <v>6</v>
      </c>
      <c r="D42">
        <v>3</v>
      </c>
      <c r="E42" t="s">
        <v>2601</v>
      </c>
      <c r="F42" s="1">
        <v>43342</v>
      </c>
      <c r="G42" s="1" t="s">
        <v>4031</v>
      </c>
      <c r="H42" s="37" t="s">
        <v>4724</v>
      </c>
      <c r="I42" s="2">
        <v>6.6666666666666666E-2</v>
      </c>
      <c r="J42" s="176">
        <v>1.1111111111111111E-3</v>
      </c>
      <c r="K42" s="6">
        <v>96</v>
      </c>
      <c r="L42" t="s">
        <v>158</v>
      </c>
      <c r="M42" t="s">
        <v>173</v>
      </c>
      <c r="N42" t="s">
        <v>111</v>
      </c>
      <c r="O42" t="s">
        <v>23</v>
      </c>
      <c r="P42">
        <v>0</v>
      </c>
      <c r="R42">
        <v>1</v>
      </c>
      <c r="T42" t="s">
        <v>176</v>
      </c>
      <c r="U42" t="s">
        <v>176</v>
      </c>
      <c r="V42" t="s">
        <v>501</v>
      </c>
      <c r="W42" t="s">
        <v>3963</v>
      </c>
      <c r="X42" s="33" t="s">
        <v>23</v>
      </c>
      <c r="Y42" s="33" t="s">
        <v>3997</v>
      </c>
      <c r="Z42" s="33" t="s">
        <v>4002</v>
      </c>
      <c r="AA42" t="s">
        <v>176</v>
      </c>
      <c r="AB42" s="19" t="s">
        <v>2045</v>
      </c>
      <c r="AD42">
        <v>0</v>
      </c>
      <c r="AE42">
        <v>0</v>
      </c>
      <c r="AF42">
        <v>0</v>
      </c>
      <c r="AG42">
        <v>0</v>
      </c>
      <c r="AH42">
        <v>0</v>
      </c>
      <c r="AI42">
        <v>0</v>
      </c>
      <c r="AJ42">
        <f t="shared" si="0"/>
        <v>0</v>
      </c>
      <c r="AK42" t="s">
        <v>188</v>
      </c>
      <c r="AL42" t="s">
        <v>2043</v>
      </c>
      <c r="AM42">
        <v>0</v>
      </c>
      <c r="AN42">
        <v>0</v>
      </c>
    </row>
    <row r="43" spans="1:47" x14ac:dyDescent="0.2">
      <c r="A43" s="33" t="s">
        <v>189</v>
      </c>
      <c r="B43" s="33" t="s">
        <v>4881</v>
      </c>
      <c r="C43" s="33">
        <v>7</v>
      </c>
      <c r="D43" s="33">
        <v>1</v>
      </c>
      <c r="E43" s="33" t="s">
        <v>2601</v>
      </c>
      <c r="F43" s="37">
        <v>43342</v>
      </c>
      <c r="G43" s="1" t="s">
        <v>4031</v>
      </c>
      <c r="H43" s="37" t="s">
        <v>4724</v>
      </c>
      <c r="I43" s="36">
        <v>1.9444444444444445E-2</v>
      </c>
      <c r="J43" s="177">
        <v>3.2407407407407406E-4</v>
      </c>
      <c r="K43" s="39">
        <v>28</v>
      </c>
      <c r="L43" s="33" t="s">
        <v>158</v>
      </c>
      <c r="M43" s="33" t="s">
        <v>177</v>
      </c>
      <c r="N43" s="33" t="s">
        <v>176</v>
      </c>
      <c r="O43" s="33" t="s">
        <v>23</v>
      </c>
      <c r="P43" s="33" t="s">
        <v>24</v>
      </c>
      <c r="Q43" s="33"/>
      <c r="R43" s="33" t="s">
        <v>24</v>
      </c>
      <c r="S43" s="33"/>
      <c r="T43" t="s">
        <v>176</v>
      </c>
      <c r="U43" s="33" t="s">
        <v>176</v>
      </c>
      <c r="V43" s="33" t="s">
        <v>24</v>
      </c>
      <c r="W43" s="33" t="s">
        <v>24</v>
      </c>
      <c r="X43" s="33"/>
      <c r="Y43" s="33"/>
      <c r="Z43" s="33"/>
      <c r="AA43" s="33" t="s">
        <v>115</v>
      </c>
      <c r="AB43" s="35" t="s">
        <v>115</v>
      </c>
      <c r="AC43" s="35"/>
      <c r="AD43" s="33" t="s">
        <v>24</v>
      </c>
      <c r="AE43" s="33" t="s">
        <v>24</v>
      </c>
      <c r="AF43" s="33" t="s">
        <v>24</v>
      </c>
      <c r="AG43" s="33" t="s">
        <v>24</v>
      </c>
      <c r="AH43" s="33">
        <v>0</v>
      </c>
      <c r="AI43" s="33">
        <v>0</v>
      </c>
      <c r="AJ43" s="33">
        <f t="shared" si="0"/>
        <v>0</v>
      </c>
      <c r="AK43" s="33" t="s">
        <v>24</v>
      </c>
      <c r="AL43" s="33" t="s">
        <v>190</v>
      </c>
      <c r="AM43" s="33">
        <v>0</v>
      </c>
      <c r="AN43" s="33">
        <v>0</v>
      </c>
      <c r="AO43" s="33"/>
      <c r="AP43" s="33"/>
      <c r="AQ43" s="34"/>
      <c r="AR43" s="33"/>
      <c r="AS43" s="33"/>
      <c r="AT43" s="33"/>
      <c r="AU43" s="33"/>
    </row>
    <row r="44" spans="1:47" s="33" customFormat="1" x14ac:dyDescent="0.2">
      <c r="A44" t="s">
        <v>35</v>
      </c>
      <c r="B44" t="s">
        <v>4885</v>
      </c>
      <c r="C44">
        <v>8</v>
      </c>
      <c r="D44">
        <v>1</v>
      </c>
      <c r="E44" t="s">
        <v>2601</v>
      </c>
      <c r="F44" s="1">
        <v>43342</v>
      </c>
      <c r="G44" s="1" t="s">
        <v>4031</v>
      </c>
      <c r="H44" s="37" t="s">
        <v>4724</v>
      </c>
      <c r="I44" s="2">
        <v>5.5555555555555558E-3</v>
      </c>
      <c r="J44" s="176">
        <v>9.2592592592592588E-5</v>
      </c>
      <c r="K44" s="6">
        <v>8</v>
      </c>
      <c r="L44" t="s">
        <v>158</v>
      </c>
      <c r="M44" t="s">
        <v>177</v>
      </c>
      <c r="N44" t="s">
        <v>102</v>
      </c>
      <c r="O44" t="s">
        <v>23</v>
      </c>
      <c r="P44">
        <v>1</v>
      </c>
      <c r="Q44"/>
      <c r="R44">
        <v>0</v>
      </c>
      <c r="S44"/>
      <c r="T44" t="s">
        <v>461</v>
      </c>
      <c r="U44" t="s">
        <v>191</v>
      </c>
      <c r="V44" t="s">
        <v>192</v>
      </c>
      <c r="W44" t="s">
        <v>115</v>
      </c>
      <c r="X44" s="33" t="s">
        <v>115</v>
      </c>
      <c r="Y44" s="33" t="s">
        <v>115</v>
      </c>
      <c r="Z44" s="33" t="s">
        <v>115</v>
      </c>
      <c r="AA44" t="s">
        <v>115</v>
      </c>
      <c r="AB44" s="19" t="s">
        <v>115</v>
      </c>
      <c r="AC44" s="19"/>
      <c r="AD44">
        <v>0</v>
      </c>
      <c r="AE44">
        <v>0</v>
      </c>
      <c r="AF44">
        <v>0</v>
      </c>
      <c r="AG44">
        <v>0</v>
      </c>
      <c r="AH44">
        <v>0</v>
      </c>
      <c r="AI44">
        <v>0</v>
      </c>
      <c r="AJ44">
        <f t="shared" si="0"/>
        <v>0</v>
      </c>
      <c r="AK44">
        <v>0</v>
      </c>
      <c r="AL44" t="s">
        <v>193</v>
      </c>
      <c r="AM44">
        <v>0</v>
      </c>
      <c r="AN44">
        <v>0</v>
      </c>
      <c r="AQ44" s="34"/>
    </row>
    <row r="45" spans="1:47" x14ac:dyDescent="0.2">
      <c r="A45" s="33" t="s">
        <v>194</v>
      </c>
      <c r="B45" s="33" t="s">
        <v>4886</v>
      </c>
      <c r="C45" s="33">
        <v>9</v>
      </c>
      <c r="D45" s="33">
        <v>1</v>
      </c>
      <c r="E45" s="33" t="s">
        <v>2601</v>
      </c>
      <c r="F45" s="37">
        <v>43342</v>
      </c>
      <c r="G45" s="1" t="s">
        <v>4031</v>
      </c>
      <c r="H45" s="37" t="s">
        <v>4724</v>
      </c>
      <c r="I45" s="36">
        <v>3.5416666666666666E-2</v>
      </c>
      <c r="J45" s="177">
        <v>5.9027777777777778E-4</v>
      </c>
      <c r="K45" s="39">
        <v>51</v>
      </c>
      <c r="L45" s="33" t="s">
        <v>158</v>
      </c>
      <c r="M45" s="33" t="s">
        <v>173</v>
      </c>
      <c r="N45" s="33" t="s">
        <v>156</v>
      </c>
      <c r="O45" s="33" t="s">
        <v>23</v>
      </c>
      <c r="P45" s="33">
        <v>1</v>
      </c>
      <c r="Q45" s="33"/>
      <c r="R45" s="33">
        <v>1</v>
      </c>
      <c r="S45" s="33"/>
      <c r="T45" t="s">
        <v>112</v>
      </c>
      <c r="U45" s="33" t="s">
        <v>112</v>
      </c>
      <c r="V45" s="33" t="s">
        <v>1958</v>
      </c>
      <c r="W45" s="33" t="s">
        <v>333</v>
      </c>
      <c r="X45" s="33" t="s">
        <v>23</v>
      </c>
      <c r="Y45" s="33" t="s">
        <v>3999</v>
      </c>
      <c r="Z45" s="33" t="s">
        <v>4006</v>
      </c>
      <c r="AA45" s="33" t="s">
        <v>176</v>
      </c>
      <c r="AB45" s="35" t="s">
        <v>2045</v>
      </c>
      <c r="AC45" s="35"/>
      <c r="AD45" s="33" t="s">
        <v>24</v>
      </c>
      <c r="AE45" s="33" t="s">
        <v>24</v>
      </c>
      <c r="AF45" s="33" t="s">
        <v>24</v>
      </c>
      <c r="AG45" s="33" t="s">
        <v>24</v>
      </c>
      <c r="AH45" s="33">
        <v>8</v>
      </c>
      <c r="AI45" s="33">
        <v>0</v>
      </c>
      <c r="AJ45" s="33">
        <f t="shared" si="0"/>
        <v>8</v>
      </c>
      <c r="AK45" s="33" t="s">
        <v>24</v>
      </c>
      <c r="AL45" s="33" t="s">
        <v>196</v>
      </c>
      <c r="AM45" s="33"/>
      <c r="AN45" s="33"/>
    </row>
    <row r="46" spans="1:47" s="33" customFormat="1" x14ac:dyDescent="0.2">
      <c r="A46" s="33" t="s">
        <v>33</v>
      </c>
      <c r="B46" s="33" t="s">
        <v>4887</v>
      </c>
      <c r="C46" s="33">
        <v>10</v>
      </c>
      <c r="D46" s="33">
        <v>1</v>
      </c>
      <c r="E46" s="33" t="s">
        <v>2601</v>
      </c>
      <c r="F46" s="37">
        <v>43342</v>
      </c>
      <c r="G46" s="1" t="s">
        <v>4031</v>
      </c>
      <c r="H46" s="37" t="s">
        <v>4724</v>
      </c>
      <c r="I46" s="36">
        <v>2.0833333333333332E-2</v>
      </c>
      <c r="J46" s="177">
        <v>3.4722222222222224E-4</v>
      </c>
      <c r="K46" s="39">
        <v>30</v>
      </c>
      <c r="L46" s="33" t="s">
        <v>158</v>
      </c>
      <c r="M46" s="33" t="s">
        <v>177</v>
      </c>
      <c r="N46" s="33" t="s">
        <v>102</v>
      </c>
      <c r="O46" s="33" t="s">
        <v>115</v>
      </c>
      <c r="P46" s="33">
        <v>1</v>
      </c>
      <c r="R46" s="33">
        <v>0</v>
      </c>
      <c r="T46" t="s">
        <v>14</v>
      </c>
      <c r="U46" s="33" t="s">
        <v>2128</v>
      </c>
      <c r="V46" s="33" t="s">
        <v>122</v>
      </c>
      <c r="W46" s="33" t="s">
        <v>115</v>
      </c>
      <c r="X46" s="33" t="s">
        <v>115</v>
      </c>
      <c r="Y46" s="33" t="s">
        <v>115</v>
      </c>
      <c r="Z46" s="33" t="s">
        <v>115</v>
      </c>
      <c r="AA46" s="33" t="s">
        <v>115</v>
      </c>
      <c r="AB46" s="35" t="s">
        <v>115</v>
      </c>
      <c r="AC46" s="35"/>
      <c r="AD46" s="33">
        <v>0</v>
      </c>
      <c r="AE46" s="33">
        <v>0</v>
      </c>
      <c r="AF46" s="33">
        <v>0</v>
      </c>
      <c r="AG46" s="33">
        <v>0</v>
      </c>
      <c r="AH46" s="33">
        <v>20</v>
      </c>
      <c r="AI46" s="33">
        <v>0</v>
      </c>
      <c r="AJ46" s="33">
        <f t="shared" si="0"/>
        <v>20</v>
      </c>
      <c r="AK46" s="33" t="s">
        <v>303</v>
      </c>
      <c r="AM46" s="33">
        <v>0</v>
      </c>
      <c r="AN46" s="33">
        <v>0</v>
      </c>
      <c r="AO46"/>
      <c r="AP46"/>
      <c r="AQ46"/>
      <c r="AR46"/>
      <c r="AS46"/>
      <c r="AT46"/>
      <c r="AU46"/>
    </row>
    <row r="47" spans="1:47" x14ac:dyDescent="0.2">
      <c r="A47" t="s">
        <v>197</v>
      </c>
      <c r="B47" t="s">
        <v>4888</v>
      </c>
      <c r="C47">
        <v>11</v>
      </c>
      <c r="D47">
        <v>1</v>
      </c>
      <c r="E47" t="s">
        <v>2601</v>
      </c>
      <c r="F47" s="1">
        <v>43342</v>
      </c>
      <c r="G47" s="1" t="s">
        <v>4031</v>
      </c>
      <c r="H47" s="37" t="s">
        <v>4724</v>
      </c>
      <c r="I47" s="2">
        <v>7.9166666666666663E-2</v>
      </c>
      <c r="J47" s="176">
        <v>1.3194444444444443E-3</v>
      </c>
      <c r="K47" s="6">
        <v>114</v>
      </c>
      <c r="L47" t="s">
        <v>158</v>
      </c>
      <c r="M47" t="s">
        <v>177</v>
      </c>
      <c r="N47" t="s">
        <v>102</v>
      </c>
      <c r="O47" t="s">
        <v>23</v>
      </c>
      <c r="P47">
        <v>1</v>
      </c>
      <c r="R47">
        <v>0</v>
      </c>
      <c r="T47" t="s">
        <v>176</v>
      </c>
      <c r="U47" t="s">
        <v>176</v>
      </c>
      <c r="V47" t="s">
        <v>3976</v>
      </c>
      <c r="W47" t="s">
        <v>115</v>
      </c>
      <c r="X47" s="33" t="s">
        <v>115</v>
      </c>
      <c r="Y47" s="33" t="s">
        <v>115</v>
      </c>
      <c r="Z47" s="33" t="s">
        <v>115</v>
      </c>
      <c r="AA47" t="s">
        <v>115</v>
      </c>
      <c r="AB47" s="19" t="s">
        <v>115</v>
      </c>
      <c r="AD47">
        <v>18</v>
      </c>
      <c r="AE47">
        <v>0</v>
      </c>
      <c r="AF47">
        <v>0</v>
      </c>
      <c r="AG47">
        <v>18</v>
      </c>
      <c r="AH47">
        <v>0</v>
      </c>
      <c r="AI47">
        <v>0</v>
      </c>
      <c r="AJ47">
        <f t="shared" si="0"/>
        <v>18</v>
      </c>
      <c r="AK47" t="s">
        <v>303</v>
      </c>
      <c r="AM47">
        <v>0</v>
      </c>
      <c r="AN47">
        <v>0</v>
      </c>
    </row>
    <row r="48" spans="1:47" x14ac:dyDescent="0.2">
      <c r="A48" t="s">
        <v>200</v>
      </c>
      <c r="B48" t="s">
        <v>4882</v>
      </c>
      <c r="C48">
        <v>12</v>
      </c>
      <c r="D48">
        <v>1</v>
      </c>
      <c r="E48" t="s">
        <v>2601</v>
      </c>
      <c r="F48" s="1">
        <v>43342</v>
      </c>
      <c r="G48" s="1" t="s">
        <v>4031</v>
      </c>
      <c r="H48" s="37" t="s">
        <v>4724</v>
      </c>
      <c r="I48" s="2">
        <v>2.4305555555555556E-2</v>
      </c>
      <c r="J48" s="176">
        <v>4.0509259259259258E-4</v>
      </c>
      <c r="K48" s="6">
        <v>35</v>
      </c>
      <c r="L48" t="s">
        <v>158</v>
      </c>
      <c r="M48" t="s">
        <v>177</v>
      </c>
      <c r="N48" t="s">
        <v>102</v>
      </c>
      <c r="O48" t="s">
        <v>23</v>
      </c>
      <c r="P48" t="s">
        <v>24</v>
      </c>
      <c r="R48">
        <v>0</v>
      </c>
      <c r="T48" t="s">
        <v>176</v>
      </c>
      <c r="U48" t="s">
        <v>176</v>
      </c>
      <c r="V48" t="s">
        <v>115</v>
      </c>
      <c r="W48" t="s">
        <v>115</v>
      </c>
      <c r="X48" s="33" t="s">
        <v>115</v>
      </c>
      <c r="Y48" s="33" t="s">
        <v>115</v>
      </c>
      <c r="Z48" s="33" t="s">
        <v>115</v>
      </c>
      <c r="AA48" t="s">
        <v>115</v>
      </c>
      <c r="AB48" s="19" t="s">
        <v>115</v>
      </c>
      <c r="AD48">
        <v>18</v>
      </c>
      <c r="AE48">
        <v>0</v>
      </c>
      <c r="AF48">
        <v>18</v>
      </c>
      <c r="AG48">
        <v>0</v>
      </c>
      <c r="AH48">
        <v>0</v>
      </c>
      <c r="AI48">
        <v>0</v>
      </c>
      <c r="AJ48">
        <f t="shared" si="0"/>
        <v>18</v>
      </c>
      <c r="AK48" t="s">
        <v>303</v>
      </c>
      <c r="AM48">
        <v>0</v>
      </c>
      <c r="AN48">
        <v>1</v>
      </c>
      <c r="AO48" s="33"/>
      <c r="AP48" s="33"/>
      <c r="AQ48" s="34" t="s">
        <v>3942</v>
      </c>
      <c r="AR48" s="33"/>
      <c r="AS48" s="33"/>
      <c r="AT48" s="33"/>
      <c r="AU48" s="33"/>
    </row>
    <row r="49" spans="1:47" x14ac:dyDescent="0.2">
      <c r="A49" s="33" t="s">
        <v>199</v>
      </c>
      <c r="B49" s="33" t="s">
        <v>204</v>
      </c>
      <c r="C49" s="33">
        <v>1</v>
      </c>
      <c r="D49" s="33">
        <v>1</v>
      </c>
      <c r="E49" s="33" t="s">
        <v>201</v>
      </c>
      <c r="F49" s="37">
        <v>43343</v>
      </c>
      <c r="G49" s="1" t="s">
        <v>4031</v>
      </c>
      <c r="H49" s="37" t="s">
        <v>4724</v>
      </c>
      <c r="I49" s="36">
        <v>1.8055555555555557E-2</v>
      </c>
      <c r="J49" s="177">
        <v>3.0092592592592595E-4</v>
      </c>
      <c r="K49" s="39">
        <v>26</v>
      </c>
      <c r="L49" s="33"/>
      <c r="M49" s="33" t="s">
        <v>202</v>
      </c>
      <c r="N49" s="33" t="s">
        <v>102</v>
      </c>
      <c r="O49" s="33" t="s">
        <v>115</v>
      </c>
      <c r="P49" s="33">
        <v>0</v>
      </c>
      <c r="Q49" s="33"/>
      <c r="R49" s="33">
        <v>0</v>
      </c>
      <c r="S49" s="33"/>
      <c r="T49" s="33"/>
      <c r="U49" s="33" t="s">
        <v>115</v>
      </c>
      <c r="V49" s="33" t="s">
        <v>115</v>
      </c>
      <c r="W49" s="33" t="s">
        <v>115</v>
      </c>
      <c r="X49" s="33" t="s">
        <v>115</v>
      </c>
      <c r="Y49" s="33" t="s">
        <v>115</v>
      </c>
      <c r="Z49" s="33" t="s">
        <v>115</v>
      </c>
      <c r="AA49" s="33" t="s">
        <v>115</v>
      </c>
      <c r="AB49" s="35" t="s">
        <v>115</v>
      </c>
      <c r="AC49" s="35"/>
      <c r="AD49" s="33">
        <v>0</v>
      </c>
      <c r="AE49" s="33">
        <v>0</v>
      </c>
      <c r="AF49" s="33">
        <v>0</v>
      </c>
      <c r="AG49" s="33">
        <v>0</v>
      </c>
      <c r="AH49" s="33">
        <v>26</v>
      </c>
      <c r="AI49" s="33">
        <v>0</v>
      </c>
      <c r="AJ49" s="33">
        <f t="shared" si="0"/>
        <v>26</v>
      </c>
      <c r="AK49" s="33" t="s">
        <v>103</v>
      </c>
      <c r="AL49" s="33" t="s">
        <v>203</v>
      </c>
      <c r="AM49" s="33">
        <v>0</v>
      </c>
      <c r="AN49" s="33">
        <v>0</v>
      </c>
    </row>
    <row r="50" spans="1:47" x14ac:dyDescent="0.2">
      <c r="A50" s="33" t="s">
        <v>205</v>
      </c>
      <c r="B50" s="33" t="s">
        <v>206</v>
      </c>
      <c r="C50" s="33">
        <v>2</v>
      </c>
      <c r="D50" s="33">
        <v>1</v>
      </c>
      <c r="E50" s="33" t="s">
        <v>201</v>
      </c>
      <c r="F50" s="37">
        <v>43343</v>
      </c>
      <c r="G50" s="1" t="s">
        <v>4031</v>
      </c>
      <c r="H50" s="37" t="s">
        <v>4724</v>
      </c>
      <c r="I50" s="36">
        <v>2.5694444444444447E-2</v>
      </c>
      <c r="J50" s="177">
        <v>4.2824074074074075E-4</v>
      </c>
      <c r="K50" s="39">
        <v>37</v>
      </c>
      <c r="L50" s="33"/>
      <c r="M50" s="33" t="s">
        <v>24</v>
      </c>
      <c r="N50" s="33" t="s">
        <v>102</v>
      </c>
      <c r="O50" s="33" t="s">
        <v>115</v>
      </c>
      <c r="P50" s="33">
        <v>1</v>
      </c>
      <c r="Q50" s="33">
        <v>2</v>
      </c>
      <c r="R50" s="33">
        <v>0</v>
      </c>
      <c r="S50" s="33"/>
      <c r="T50" t="s">
        <v>14</v>
      </c>
      <c r="U50" s="33" t="s">
        <v>2128</v>
      </c>
      <c r="V50" s="33" t="s">
        <v>122</v>
      </c>
      <c r="W50" s="33" t="s">
        <v>115</v>
      </c>
      <c r="X50" s="33" t="s">
        <v>115</v>
      </c>
      <c r="Y50" s="33" t="s">
        <v>115</v>
      </c>
      <c r="Z50" s="33" t="s">
        <v>115</v>
      </c>
      <c r="AA50" s="33" t="s">
        <v>115</v>
      </c>
      <c r="AB50" s="35" t="s">
        <v>115</v>
      </c>
      <c r="AC50" s="35"/>
      <c r="AD50" s="33">
        <v>0</v>
      </c>
      <c r="AE50" s="33">
        <v>0</v>
      </c>
      <c r="AF50" s="33">
        <v>0</v>
      </c>
      <c r="AG50" s="33">
        <v>0</v>
      </c>
      <c r="AH50" s="33">
        <v>6</v>
      </c>
      <c r="AI50" s="33">
        <v>0</v>
      </c>
      <c r="AJ50" s="33">
        <f t="shared" si="0"/>
        <v>6</v>
      </c>
      <c r="AK50" s="33" t="s">
        <v>207</v>
      </c>
      <c r="AL50" s="33"/>
      <c r="AM50" s="33"/>
      <c r="AN50" s="33"/>
    </row>
    <row r="51" spans="1:47" s="33" customFormat="1" x14ac:dyDescent="0.2">
      <c r="A51" s="33" t="s">
        <v>208</v>
      </c>
      <c r="B51" s="33" t="s">
        <v>209</v>
      </c>
      <c r="C51" s="33">
        <v>3</v>
      </c>
      <c r="D51" s="33">
        <v>1</v>
      </c>
      <c r="E51" s="33" t="s">
        <v>201</v>
      </c>
      <c r="F51" s="37">
        <v>43343</v>
      </c>
      <c r="G51" s="1" t="s">
        <v>4031</v>
      </c>
      <c r="H51" s="37" t="s">
        <v>4724</v>
      </c>
      <c r="I51" s="36">
        <v>3.8194444444444441E-2</v>
      </c>
      <c r="J51" s="177">
        <v>6.3657407407407402E-4</v>
      </c>
      <c r="K51" s="39">
        <v>55</v>
      </c>
      <c r="M51" s="33" t="s">
        <v>24</v>
      </c>
      <c r="N51" s="33" t="s">
        <v>102</v>
      </c>
      <c r="O51" s="33" t="s">
        <v>23</v>
      </c>
      <c r="P51" s="33">
        <v>1</v>
      </c>
      <c r="R51" s="33">
        <v>0</v>
      </c>
      <c r="T51" t="s">
        <v>176</v>
      </c>
      <c r="U51" s="33" t="s">
        <v>176</v>
      </c>
      <c r="V51" s="33" t="s">
        <v>122</v>
      </c>
      <c r="W51" s="33" t="s">
        <v>115</v>
      </c>
      <c r="X51" s="33" t="s">
        <v>115</v>
      </c>
      <c r="Y51" s="33" t="s">
        <v>115</v>
      </c>
      <c r="Z51" s="33" t="s">
        <v>115</v>
      </c>
      <c r="AA51" s="33" t="s">
        <v>115</v>
      </c>
      <c r="AB51" s="35" t="s">
        <v>115</v>
      </c>
      <c r="AC51" s="35"/>
      <c r="AD51" s="33">
        <v>0</v>
      </c>
      <c r="AE51" s="33">
        <v>0</v>
      </c>
      <c r="AF51" s="33">
        <v>0</v>
      </c>
      <c r="AG51" s="33">
        <v>0</v>
      </c>
      <c r="AH51" s="33">
        <v>19</v>
      </c>
      <c r="AI51" s="33">
        <v>0</v>
      </c>
      <c r="AJ51" s="33">
        <f t="shared" si="0"/>
        <v>19</v>
      </c>
      <c r="AK51" s="33" t="s">
        <v>24</v>
      </c>
      <c r="AL51" s="33" t="s">
        <v>4892</v>
      </c>
      <c r="AO51"/>
      <c r="AP51"/>
      <c r="AQ51"/>
      <c r="AR51"/>
      <c r="AS51"/>
      <c r="AT51"/>
      <c r="AU51"/>
    </row>
    <row r="52" spans="1:47" s="33" customFormat="1" hidden="1" x14ac:dyDescent="0.2">
      <c r="A52" t="s">
        <v>208</v>
      </c>
      <c r="B52" t="s">
        <v>209</v>
      </c>
      <c r="C52">
        <v>3</v>
      </c>
      <c r="D52">
        <v>2</v>
      </c>
      <c r="E52" t="s">
        <v>201</v>
      </c>
      <c r="F52" s="1">
        <v>43343</v>
      </c>
      <c r="G52" s="1" t="s">
        <v>4031</v>
      </c>
      <c r="H52" s="37" t="s">
        <v>4724</v>
      </c>
      <c r="I52" s="2">
        <v>3.8194444444444441E-2</v>
      </c>
      <c r="J52" s="176">
        <v>6.3657407407407402E-4</v>
      </c>
      <c r="K52" s="6">
        <v>55</v>
      </c>
      <c r="L52"/>
      <c r="M52" t="s">
        <v>24</v>
      </c>
      <c r="N52" t="s">
        <v>102</v>
      </c>
      <c r="O52" t="s">
        <v>23</v>
      </c>
      <c r="P52">
        <v>1</v>
      </c>
      <c r="Q52"/>
      <c r="R52">
        <v>0</v>
      </c>
      <c r="S52"/>
      <c r="T52" t="s">
        <v>176</v>
      </c>
      <c r="U52" t="s">
        <v>176</v>
      </c>
      <c r="V52" t="s">
        <v>122</v>
      </c>
      <c r="W52" t="s">
        <v>115</v>
      </c>
      <c r="X52" s="33" t="s">
        <v>115</v>
      </c>
      <c r="Y52" s="33" t="s">
        <v>115</v>
      </c>
      <c r="Z52" s="33" t="s">
        <v>115</v>
      </c>
      <c r="AA52" t="s">
        <v>115</v>
      </c>
      <c r="AB52" s="19" t="s">
        <v>115</v>
      </c>
      <c r="AC52" s="19"/>
      <c r="AD52">
        <v>0</v>
      </c>
      <c r="AE52">
        <v>0</v>
      </c>
      <c r="AF52">
        <v>0</v>
      </c>
      <c r="AG52">
        <v>0</v>
      </c>
      <c r="AH52">
        <v>0</v>
      </c>
      <c r="AI52">
        <v>0</v>
      </c>
      <c r="AJ52">
        <f t="shared" si="0"/>
        <v>0</v>
      </c>
      <c r="AK52" t="s">
        <v>24</v>
      </c>
      <c r="AL52" t="s">
        <v>210</v>
      </c>
      <c r="AM52"/>
      <c r="AN52"/>
      <c r="AQ52" s="34"/>
    </row>
    <row r="53" spans="1:47" x14ac:dyDescent="0.2">
      <c r="A53" t="s">
        <v>211</v>
      </c>
      <c r="B53" t="s">
        <v>214</v>
      </c>
      <c r="C53">
        <v>1</v>
      </c>
      <c r="D53">
        <v>1</v>
      </c>
      <c r="E53" t="s">
        <v>213</v>
      </c>
      <c r="F53" s="1">
        <v>43343</v>
      </c>
      <c r="G53" s="1" t="s">
        <v>4031</v>
      </c>
      <c r="H53" s="37" t="s">
        <v>4724</v>
      </c>
      <c r="I53" s="2">
        <v>2.2916666666666669E-2</v>
      </c>
      <c r="J53" s="176">
        <v>3.8194444444444446E-4</v>
      </c>
      <c r="K53" s="6">
        <v>33</v>
      </c>
      <c r="M53" t="s">
        <v>24</v>
      </c>
      <c r="N53" t="s">
        <v>102</v>
      </c>
      <c r="O53" t="s">
        <v>23</v>
      </c>
      <c r="P53" t="s">
        <v>24</v>
      </c>
      <c r="R53" t="s">
        <v>24</v>
      </c>
      <c r="T53" t="s">
        <v>176</v>
      </c>
      <c r="U53" t="s">
        <v>176</v>
      </c>
      <c r="V53" t="s">
        <v>115</v>
      </c>
      <c r="W53" t="s">
        <v>115</v>
      </c>
      <c r="AA53" t="s">
        <v>115</v>
      </c>
      <c r="AB53" s="19" t="s">
        <v>115</v>
      </c>
      <c r="AD53">
        <v>33</v>
      </c>
      <c r="AE53">
        <v>0</v>
      </c>
      <c r="AF53">
        <v>33</v>
      </c>
      <c r="AG53">
        <v>0</v>
      </c>
      <c r="AH53">
        <v>0</v>
      </c>
      <c r="AI53">
        <v>0</v>
      </c>
      <c r="AJ53">
        <f t="shared" si="0"/>
        <v>33</v>
      </c>
      <c r="AK53" t="s">
        <v>24</v>
      </c>
      <c r="AO53" s="7"/>
      <c r="AP53" s="7"/>
      <c r="AQ53" s="7"/>
      <c r="AR53" s="7"/>
      <c r="AS53" s="7"/>
      <c r="AT53" s="7"/>
      <c r="AU53" s="7"/>
    </row>
    <row r="54" spans="1:47" x14ac:dyDescent="0.2">
      <c r="A54" t="s">
        <v>215</v>
      </c>
      <c r="B54" t="s">
        <v>216</v>
      </c>
      <c r="C54">
        <v>2</v>
      </c>
      <c r="D54">
        <v>1</v>
      </c>
      <c r="E54" t="s">
        <v>213</v>
      </c>
      <c r="F54" s="1">
        <v>43343</v>
      </c>
      <c r="G54" s="1" t="s">
        <v>4031</v>
      </c>
      <c r="H54" s="37" t="s">
        <v>4724</v>
      </c>
      <c r="I54" s="2">
        <v>4.8611111111111112E-3</v>
      </c>
      <c r="J54" s="176">
        <v>8.1018518518518516E-5</v>
      </c>
      <c r="K54" s="6">
        <v>7</v>
      </c>
      <c r="M54" t="s">
        <v>217</v>
      </c>
      <c r="N54" t="s">
        <v>102</v>
      </c>
      <c r="O54" t="s">
        <v>23</v>
      </c>
      <c r="P54" t="s">
        <v>24</v>
      </c>
      <c r="R54" t="s">
        <v>24</v>
      </c>
      <c r="T54" t="s">
        <v>176</v>
      </c>
      <c r="U54" t="s">
        <v>176</v>
      </c>
      <c r="V54" t="s">
        <v>115</v>
      </c>
      <c r="W54" t="s">
        <v>115</v>
      </c>
      <c r="AA54" t="s">
        <v>115</v>
      </c>
      <c r="AB54" s="19" t="s">
        <v>115</v>
      </c>
      <c r="AD54">
        <v>0</v>
      </c>
      <c r="AE54">
        <v>7</v>
      </c>
      <c r="AF54">
        <v>0</v>
      </c>
      <c r="AG54">
        <v>7</v>
      </c>
      <c r="AH54">
        <v>0</v>
      </c>
      <c r="AI54">
        <v>0</v>
      </c>
      <c r="AJ54">
        <f t="shared" si="0"/>
        <v>7</v>
      </c>
      <c r="AK54" t="s">
        <v>16</v>
      </c>
      <c r="AL54">
        <v>0</v>
      </c>
      <c r="AM54">
        <v>0</v>
      </c>
      <c r="AN54">
        <v>5</v>
      </c>
      <c r="AO54" s="40"/>
      <c r="AP54" s="40"/>
      <c r="AQ54" s="34"/>
      <c r="AR54" s="40"/>
      <c r="AS54" s="40"/>
      <c r="AT54" s="40"/>
      <c r="AU54" s="40"/>
    </row>
    <row r="55" spans="1:47" x14ac:dyDescent="0.2">
      <c r="A55" t="s">
        <v>218</v>
      </c>
      <c r="B55" t="s">
        <v>219</v>
      </c>
      <c r="C55">
        <v>3</v>
      </c>
      <c r="D55">
        <v>1</v>
      </c>
      <c r="E55" t="s">
        <v>213</v>
      </c>
      <c r="F55" s="1">
        <v>43343</v>
      </c>
      <c r="G55" s="1" t="s">
        <v>4031</v>
      </c>
      <c r="H55" s="37" t="s">
        <v>4724</v>
      </c>
      <c r="I55" s="2">
        <v>2.7083333333333334E-2</v>
      </c>
      <c r="J55" s="176">
        <v>4.5138888888888892E-4</v>
      </c>
      <c r="K55" s="6">
        <v>39</v>
      </c>
      <c r="M55" t="s">
        <v>220</v>
      </c>
      <c r="N55" t="s">
        <v>221</v>
      </c>
      <c r="O55" t="s">
        <v>23</v>
      </c>
      <c r="P55" t="s">
        <v>24</v>
      </c>
      <c r="R55" t="s">
        <v>24</v>
      </c>
      <c r="T55" t="s">
        <v>176</v>
      </c>
      <c r="U55" t="s">
        <v>176</v>
      </c>
      <c r="V55" t="s">
        <v>115</v>
      </c>
      <c r="W55" t="s">
        <v>115</v>
      </c>
      <c r="AA55" t="s">
        <v>115</v>
      </c>
      <c r="AB55" s="19" t="s">
        <v>115</v>
      </c>
      <c r="AD55">
        <v>34</v>
      </c>
      <c r="AE55">
        <v>0</v>
      </c>
      <c r="AF55">
        <v>0</v>
      </c>
      <c r="AG55">
        <v>34</v>
      </c>
      <c r="AH55">
        <v>0</v>
      </c>
      <c r="AI55">
        <v>0</v>
      </c>
      <c r="AJ55">
        <f t="shared" si="0"/>
        <v>34</v>
      </c>
      <c r="AK55" t="s">
        <v>16</v>
      </c>
      <c r="AL55">
        <v>0</v>
      </c>
      <c r="AM55">
        <v>0</v>
      </c>
      <c r="AN55">
        <v>5</v>
      </c>
      <c r="AO55" s="33"/>
      <c r="AP55" s="33"/>
      <c r="AQ55" s="34"/>
      <c r="AR55" s="33"/>
      <c r="AS55" s="33"/>
      <c r="AT55" s="33"/>
      <c r="AU55" s="33"/>
    </row>
    <row r="56" spans="1:47" x14ac:dyDescent="0.2">
      <c r="A56" t="s">
        <v>222</v>
      </c>
      <c r="B56" t="s">
        <v>212</v>
      </c>
      <c r="C56">
        <v>4</v>
      </c>
      <c r="D56">
        <v>1</v>
      </c>
      <c r="E56" t="s">
        <v>213</v>
      </c>
      <c r="F56" s="1">
        <v>43343</v>
      </c>
      <c r="G56" s="1" t="s">
        <v>4031</v>
      </c>
      <c r="H56" s="37" t="s">
        <v>4724</v>
      </c>
      <c r="I56" s="2">
        <v>1.8749999999999999E-2</v>
      </c>
      <c r="J56" s="176">
        <v>3.1250000000000001E-4</v>
      </c>
      <c r="K56" s="6">
        <v>27</v>
      </c>
      <c r="M56" t="s">
        <v>220</v>
      </c>
      <c r="N56" t="s">
        <v>102</v>
      </c>
      <c r="O56" t="s">
        <v>23</v>
      </c>
      <c r="P56">
        <v>1</v>
      </c>
      <c r="R56">
        <v>0</v>
      </c>
      <c r="T56" t="s">
        <v>176</v>
      </c>
      <c r="U56" t="s">
        <v>176</v>
      </c>
      <c r="V56" t="s">
        <v>134</v>
      </c>
      <c r="W56" t="s">
        <v>115</v>
      </c>
      <c r="X56" s="33" t="s">
        <v>115</v>
      </c>
      <c r="Y56" s="33" t="s">
        <v>115</v>
      </c>
      <c r="Z56" s="33" t="s">
        <v>115</v>
      </c>
      <c r="AA56" t="s">
        <v>115</v>
      </c>
      <c r="AB56" s="19" t="s">
        <v>115</v>
      </c>
      <c r="AD56">
        <v>0</v>
      </c>
      <c r="AE56">
        <v>21</v>
      </c>
      <c r="AF56">
        <v>0</v>
      </c>
      <c r="AG56">
        <v>21</v>
      </c>
      <c r="AH56">
        <v>0</v>
      </c>
      <c r="AI56">
        <v>0</v>
      </c>
      <c r="AJ56">
        <f t="shared" si="0"/>
        <v>21</v>
      </c>
      <c r="AK56" t="s">
        <v>16</v>
      </c>
      <c r="AL56">
        <v>0</v>
      </c>
      <c r="AM56">
        <v>3</v>
      </c>
    </row>
    <row r="57" spans="1:47" x14ac:dyDescent="0.2">
      <c r="A57" t="s">
        <v>223</v>
      </c>
      <c r="B57" t="s">
        <v>224</v>
      </c>
      <c r="C57">
        <v>5</v>
      </c>
      <c r="D57">
        <v>1</v>
      </c>
      <c r="E57" t="s">
        <v>213</v>
      </c>
      <c r="F57" s="1">
        <v>43343</v>
      </c>
      <c r="G57" s="1" t="s">
        <v>4031</v>
      </c>
      <c r="H57" s="37" t="s">
        <v>4724</v>
      </c>
      <c r="I57" s="2">
        <v>4.1666666666666666E-3</v>
      </c>
      <c r="J57" s="176">
        <v>6.9444444444444444E-5</v>
      </c>
      <c r="K57" s="6">
        <v>6</v>
      </c>
      <c r="M57" t="s">
        <v>220</v>
      </c>
      <c r="N57" t="s">
        <v>107</v>
      </c>
      <c r="O57" t="s">
        <v>23</v>
      </c>
      <c r="P57">
        <v>1</v>
      </c>
      <c r="R57">
        <v>0</v>
      </c>
      <c r="T57" t="s">
        <v>598</v>
      </c>
      <c r="U57" t="s">
        <v>2114</v>
      </c>
      <c r="V57" t="s">
        <v>24</v>
      </c>
      <c r="W57" t="s">
        <v>115</v>
      </c>
      <c r="X57" s="33" t="s">
        <v>115</v>
      </c>
      <c r="Y57" s="33" t="s">
        <v>115</v>
      </c>
      <c r="Z57" s="33" t="s">
        <v>115</v>
      </c>
      <c r="AA57" t="s">
        <v>115</v>
      </c>
      <c r="AB57" s="19" t="s">
        <v>115</v>
      </c>
      <c r="AD57">
        <v>0</v>
      </c>
      <c r="AE57">
        <v>0</v>
      </c>
      <c r="AF57">
        <v>0</v>
      </c>
      <c r="AG57">
        <v>0</v>
      </c>
      <c r="AH57">
        <v>0</v>
      </c>
      <c r="AI57">
        <v>0</v>
      </c>
      <c r="AJ57">
        <f t="shared" si="0"/>
        <v>0</v>
      </c>
      <c r="AK57" t="s">
        <v>115</v>
      </c>
      <c r="AL57" t="s">
        <v>115</v>
      </c>
    </row>
    <row r="58" spans="1:47" x14ac:dyDescent="0.2">
      <c r="A58" t="s">
        <v>225</v>
      </c>
      <c r="B58" t="s">
        <v>226</v>
      </c>
      <c r="C58">
        <v>6</v>
      </c>
      <c r="D58">
        <v>1</v>
      </c>
      <c r="E58" t="s">
        <v>213</v>
      </c>
      <c r="F58" s="1">
        <v>43343</v>
      </c>
      <c r="G58" s="1" t="s">
        <v>4031</v>
      </c>
      <c r="H58" s="37" t="s">
        <v>4724</v>
      </c>
      <c r="I58" s="2">
        <v>1.2499999999999999E-2</v>
      </c>
      <c r="J58" s="176">
        <v>2.0833333333333335E-4</v>
      </c>
      <c r="K58" s="6">
        <v>18</v>
      </c>
      <c r="M58" t="s">
        <v>24</v>
      </c>
      <c r="N58" t="s">
        <v>102</v>
      </c>
      <c r="O58" t="s">
        <v>23</v>
      </c>
      <c r="P58">
        <v>1</v>
      </c>
      <c r="R58">
        <v>0</v>
      </c>
      <c r="T58" t="s">
        <v>176</v>
      </c>
      <c r="U58" t="s">
        <v>176</v>
      </c>
      <c r="V58" t="s">
        <v>333</v>
      </c>
      <c r="W58" t="s">
        <v>115</v>
      </c>
      <c r="X58" s="33" t="s">
        <v>115</v>
      </c>
      <c r="Y58" s="33" t="s">
        <v>115</v>
      </c>
      <c r="Z58" s="33" t="s">
        <v>115</v>
      </c>
      <c r="AA58" t="s">
        <v>115</v>
      </c>
      <c r="AB58" s="19" t="s">
        <v>115</v>
      </c>
      <c r="AD58">
        <v>0</v>
      </c>
      <c r="AE58">
        <v>0</v>
      </c>
      <c r="AF58">
        <v>0</v>
      </c>
      <c r="AG58">
        <v>0</v>
      </c>
      <c r="AH58">
        <v>0</v>
      </c>
      <c r="AI58">
        <v>0</v>
      </c>
      <c r="AJ58">
        <f t="shared" si="0"/>
        <v>0</v>
      </c>
      <c r="AL58" t="s">
        <v>1266</v>
      </c>
    </row>
    <row r="59" spans="1:47" s="33" customFormat="1" x14ac:dyDescent="0.2">
      <c r="A59" t="s">
        <v>45</v>
      </c>
      <c r="B59" t="s">
        <v>231</v>
      </c>
      <c r="C59">
        <v>1</v>
      </c>
      <c r="D59">
        <v>1</v>
      </c>
      <c r="E59" t="s">
        <v>3171</v>
      </c>
      <c r="F59" s="1">
        <v>43343</v>
      </c>
      <c r="G59" s="1" t="s">
        <v>4031</v>
      </c>
      <c r="H59" s="37" t="s">
        <v>4724</v>
      </c>
      <c r="I59" s="2">
        <v>1.6666666666666666E-2</v>
      </c>
      <c r="J59" s="176">
        <v>2.7777777777777778E-4</v>
      </c>
      <c r="K59" s="6">
        <v>24</v>
      </c>
      <c r="L59"/>
      <c r="M59" t="s">
        <v>230</v>
      </c>
      <c r="N59" t="s">
        <v>102</v>
      </c>
      <c r="O59" t="s">
        <v>23</v>
      </c>
      <c r="P59" t="s">
        <v>24</v>
      </c>
      <c r="Q59"/>
      <c r="R59">
        <v>0</v>
      </c>
      <c r="S59"/>
      <c r="T59"/>
      <c r="U59" t="s">
        <v>115</v>
      </c>
      <c r="V59" t="s">
        <v>115</v>
      </c>
      <c r="W59" t="s">
        <v>115</v>
      </c>
      <c r="X59" s="33" t="s">
        <v>115</v>
      </c>
      <c r="Y59" s="33" t="s">
        <v>115</v>
      </c>
      <c r="Z59" s="33" t="s">
        <v>115</v>
      </c>
      <c r="AA59" t="s">
        <v>115</v>
      </c>
      <c r="AB59" s="19" t="s">
        <v>115</v>
      </c>
      <c r="AC59" s="19"/>
      <c r="AD59">
        <v>5</v>
      </c>
      <c r="AE59">
        <v>12</v>
      </c>
      <c r="AF59">
        <v>12</v>
      </c>
      <c r="AG59">
        <v>5</v>
      </c>
      <c r="AH59">
        <v>0</v>
      </c>
      <c r="AI59">
        <v>0</v>
      </c>
      <c r="AJ59">
        <f t="shared" si="0"/>
        <v>17</v>
      </c>
      <c r="AK59" t="s">
        <v>188</v>
      </c>
      <c r="AL59">
        <v>0</v>
      </c>
      <c r="AM59">
        <v>0</v>
      </c>
      <c r="AN59"/>
      <c r="AO59"/>
      <c r="AP59"/>
      <c r="AQ59"/>
      <c r="AR59"/>
      <c r="AS59"/>
      <c r="AT59"/>
      <c r="AU59"/>
    </row>
    <row r="60" spans="1:47" s="33" customFormat="1" x14ac:dyDescent="0.2">
      <c r="A60" t="s">
        <v>48</v>
      </c>
      <c r="B60" t="s">
        <v>232</v>
      </c>
      <c r="C60">
        <v>2</v>
      </c>
      <c r="D60">
        <v>1</v>
      </c>
      <c r="E60" t="s">
        <v>3171</v>
      </c>
      <c r="F60" s="1">
        <v>43343</v>
      </c>
      <c r="G60" s="1" t="s">
        <v>4031</v>
      </c>
      <c r="H60" s="37" t="s">
        <v>4724</v>
      </c>
      <c r="I60" s="2">
        <v>1.3888888888888888E-2</v>
      </c>
      <c r="J60" s="176">
        <v>2.3148148148148146E-4</v>
      </c>
      <c r="K60" s="6">
        <v>20</v>
      </c>
      <c r="L60"/>
      <c r="M60" t="s">
        <v>230</v>
      </c>
      <c r="N60" t="s">
        <v>228</v>
      </c>
      <c r="O60" t="s">
        <v>23</v>
      </c>
      <c r="P60">
        <v>1</v>
      </c>
      <c r="Q60"/>
      <c r="R60">
        <v>0</v>
      </c>
      <c r="S60"/>
      <c r="T60" t="s">
        <v>176</v>
      </c>
      <c r="U60" t="s">
        <v>176</v>
      </c>
      <c r="V60" t="s">
        <v>134</v>
      </c>
      <c r="W60" t="s">
        <v>115</v>
      </c>
      <c r="X60" s="33" t="s">
        <v>115</v>
      </c>
      <c r="Y60" s="33" t="s">
        <v>115</v>
      </c>
      <c r="Z60" s="33" t="s">
        <v>115</v>
      </c>
      <c r="AA60" t="s">
        <v>115</v>
      </c>
      <c r="AB60" s="19" t="s">
        <v>115</v>
      </c>
      <c r="AC60" s="19"/>
      <c r="AD60">
        <v>0</v>
      </c>
      <c r="AE60">
        <v>2</v>
      </c>
      <c r="AF60">
        <v>0</v>
      </c>
      <c r="AG60">
        <v>2</v>
      </c>
      <c r="AH60">
        <v>0</v>
      </c>
      <c r="AI60">
        <v>0</v>
      </c>
      <c r="AJ60">
        <f t="shared" si="0"/>
        <v>2</v>
      </c>
      <c r="AK60"/>
      <c r="AL60" t="s">
        <v>229</v>
      </c>
      <c r="AM60"/>
      <c r="AN60"/>
      <c r="AQ60" s="34"/>
    </row>
    <row r="61" spans="1:47" x14ac:dyDescent="0.2">
      <c r="A61" t="s">
        <v>53</v>
      </c>
      <c r="B61" t="s">
        <v>233</v>
      </c>
      <c r="C61">
        <v>3</v>
      </c>
      <c r="D61">
        <v>1</v>
      </c>
      <c r="E61" t="s">
        <v>3171</v>
      </c>
      <c r="F61" s="1">
        <v>43343</v>
      </c>
      <c r="G61" s="1" t="s">
        <v>4031</v>
      </c>
      <c r="H61" s="37" t="s">
        <v>4724</v>
      </c>
      <c r="I61" s="2">
        <v>3.7499999999999999E-2</v>
      </c>
      <c r="J61" s="176">
        <v>6.2500000000000001E-4</v>
      </c>
      <c r="K61" s="6">
        <v>54</v>
      </c>
      <c r="M61" t="s">
        <v>230</v>
      </c>
      <c r="N61" t="s">
        <v>102</v>
      </c>
      <c r="O61" t="s">
        <v>23</v>
      </c>
      <c r="P61">
        <v>1</v>
      </c>
      <c r="R61">
        <v>0</v>
      </c>
      <c r="T61" t="s">
        <v>598</v>
      </c>
      <c r="U61" t="s">
        <v>2117</v>
      </c>
      <c r="V61" t="s">
        <v>116</v>
      </c>
      <c r="W61" t="s">
        <v>115</v>
      </c>
      <c r="X61" s="33" t="s">
        <v>115</v>
      </c>
      <c r="Y61" s="33" t="s">
        <v>115</v>
      </c>
      <c r="Z61" s="33" t="s">
        <v>115</v>
      </c>
      <c r="AA61" t="s">
        <v>115</v>
      </c>
      <c r="AB61" s="19" t="s">
        <v>115</v>
      </c>
      <c r="AD61">
        <v>4</v>
      </c>
      <c r="AE61">
        <v>28</v>
      </c>
      <c r="AF61">
        <v>0</v>
      </c>
      <c r="AG61">
        <f>28+4</f>
        <v>32</v>
      </c>
      <c r="AH61">
        <v>0</v>
      </c>
      <c r="AI61">
        <v>0</v>
      </c>
      <c r="AJ61">
        <f t="shared" si="0"/>
        <v>32</v>
      </c>
      <c r="AK61" t="s">
        <v>16</v>
      </c>
      <c r="AM61">
        <v>0</v>
      </c>
      <c r="AN61">
        <v>1</v>
      </c>
    </row>
    <row r="62" spans="1:47" s="33" customFormat="1" x14ac:dyDescent="0.2">
      <c r="A62" s="33" t="s">
        <v>65</v>
      </c>
      <c r="B62" s="33" t="s">
        <v>234</v>
      </c>
      <c r="C62" s="33">
        <v>4</v>
      </c>
      <c r="D62" s="33">
        <v>1</v>
      </c>
      <c r="E62" s="33" t="s">
        <v>3171</v>
      </c>
      <c r="F62" s="37">
        <v>43343</v>
      </c>
      <c r="G62" s="1" t="s">
        <v>4031</v>
      </c>
      <c r="H62" s="37" t="s">
        <v>4724</v>
      </c>
      <c r="I62" s="36">
        <v>9.0277777777777787E-3</v>
      </c>
      <c r="J62" s="177">
        <v>1.5046296296296297E-4</v>
      </c>
      <c r="K62" s="39">
        <v>13</v>
      </c>
      <c r="M62" s="38" t="s">
        <v>230</v>
      </c>
      <c r="N62" s="33" t="s">
        <v>102</v>
      </c>
      <c r="O62" s="33" t="s">
        <v>115</v>
      </c>
      <c r="P62" s="33" t="s">
        <v>24</v>
      </c>
      <c r="R62" s="33">
        <v>0</v>
      </c>
      <c r="T62" t="s">
        <v>176</v>
      </c>
      <c r="U62" s="33" t="s">
        <v>176</v>
      </c>
      <c r="V62" s="33" t="s">
        <v>115</v>
      </c>
      <c r="W62" s="33" t="s">
        <v>115</v>
      </c>
      <c r="X62" s="33" t="s">
        <v>115</v>
      </c>
      <c r="Y62" s="33" t="s">
        <v>115</v>
      </c>
      <c r="Z62" s="33" t="s">
        <v>115</v>
      </c>
      <c r="AA62" s="33" t="s">
        <v>115</v>
      </c>
      <c r="AB62" s="35" t="s">
        <v>115</v>
      </c>
      <c r="AC62" s="35"/>
      <c r="AD62" s="33">
        <v>0</v>
      </c>
      <c r="AE62" s="33">
        <v>0</v>
      </c>
      <c r="AF62" s="33">
        <v>0</v>
      </c>
      <c r="AG62" s="33">
        <v>0</v>
      </c>
      <c r="AH62" s="33">
        <v>10</v>
      </c>
      <c r="AI62" s="33">
        <v>0</v>
      </c>
      <c r="AJ62" s="33">
        <f t="shared" si="0"/>
        <v>10</v>
      </c>
      <c r="AK62" s="33" t="s">
        <v>24</v>
      </c>
      <c r="AM62" s="33">
        <v>0</v>
      </c>
      <c r="AN62" s="33">
        <v>0</v>
      </c>
      <c r="AO62"/>
      <c r="AP62"/>
      <c r="AQ62"/>
      <c r="AR62"/>
      <c r="AS62"/>
      <c r="AT62"/>
      <c r="AU62"/>
    </row>
    <row r="63" spans="1:47" s="33" customFormat="1" x14ac:dyDescent="0.2">
      <c r="A63" s="33" t="s">
        <v>236</v>
      </c>
      <c r="B63" s="33" t="s">
        <v>237</v>
      </c>
      <c r="C63" s="33">
        <v>5</v>
      </c>
      <c r="D63" s="33">
        <v>1</v>
      </c>
      <c r="E63" s="33" t="s">
        <v>3171</v>
      </c>
      <c r="F63" s="37">
        <v>43343</v>
      </c>
      <c r="G63" s="1" t="s">
        <v>4031</v>
      </c>
      <c r="H63" s="37" t="s">
        <v>4724</v>
      </c>
      <c r="I63" s="36">
        <v>6.3888888888888884E-2</v>
      </c>
      <c r="J63" s="177">
        <v>1.0648148148148147E-3</v>
      </c>
      <c r="K63" s="39">
        <v>92</v>
      </c>
      <c r="M63" s="38" t="s">
        <v>230</v>
      </c>
      <c r="N63" s="33" t="s">
        <v>102</v>
      </c>
      <c r="O63" s="33" t="s">
        <v>115</v>
      </c>
      <c r="P63" s="33">
        <v>1</v>
      </c>
      <c r="R63" s="33">
        <v>0</v>
      </c>
      <c r="T63" t="s">
        <v>176</v>
      </c>
      <c r="U63" s="33" t="s">
        <v>2121</v>
      </c>
      <c r="V63" s="33" t="s">
        <v>122</v>
      </c>
      <c r="W63" s="33" t="s">
        <v>115</v>
      </c>
      <c r="X63" s="33" t="s">
        <v>115</v>
      </c>
      <c r="Y63" s="33" t="s">
        <v>115</v>
      </c>
      <c r="Z63" s="33" t="s">
        <v>115</v>
      </c>
      <c r="AA63" s="33" t="s">
        <v>115</v>
      </c>
      <c r="AB63" s="35" t="s">
        <v>115</v>
      </c>
      <c r="AC63" s="35"/>
      <c r="AD63" s="33">
        <v>0</v>
      </c>
      <c r="AE63" s="33">
        <v>0</v>
      </c>
      <c r="AF63" s="33">
        <v>0</v>
      </c>
      <c r="AG63" s="33">
        <v>0</v>
      </c>
      <c r="AH63" s="33">
        <v>10</v>
      </c>
      <c r="AI63" s="33">
        <v>0</v>
      </c>
      <c r="AJ63" s="33">
        <f t="shared" si="0"/>
        <v>10</v>
      </c>
      <c r="AK63" s="33" t="s">
        <v>24</v>
      </c>
      <c r="AL63" s="33" t="s">
        <v>235</v>
      </c>
      <c r="AM63" s="33">
        <v>0</v>
      </c>
      <c r="AN63" s="33">
        <v>0</v>
      </c>
      <c r="AQ63" s="34"/>
    </row>
    <row r="64" spans="1:47" x14ac:dyDescent="0.2">
      <c r="A64" s="33" t="s">
        <v>238</v>
      </c>
      <c r="B64" s="33" t="s">
        <v>855</v>
      </c>
      <c r="C64" s="33">
        <v>1</v>
      </c>
      <c r="D64" s="33">
        <v>1</v>
      </c>
      <c r="E64" s="33" t="s">
        <v>834</v>
      </c>
      <c r="F64" s="37">
        <v>43346</v>
      </c>
      <c r="G64" s="37" t="s">
        <v>4032</v>
      </c>
      <c r="H64" s="37" t="s">
        <v>4724</v>
      </c>
      <c r="I64" s="36">
        <v>1.5972222222222224E-2</v>
      </c>
      <c r="J64" s="177">
        <v>2.6620370370370372E-4</v>
      </c>
      <c r="K64" s="39">
        <v>23</v>
      </c>
      <c r="L64" s="33"/>
      <c r="M64" s="33" t="s">
        <v>24</v>
      </c>
      <c r="N64" s="33" t="s">
        <v>102</v>
      </c>
      <c r="O64" s="33" t="s">
        <v>115</v>
      </c>
      <c r="P64" s="33">
        <v>1</v>
      </c>
      <c r="Q64" s="33"/>
      <c r="R64" s="33">
        <v>0</v>
      </c>
      <c r="S64" s="33"/>
      <c r="T64" t="s">
        <v>14</v>
      </c>
      <c r="U64" s="33" t="s">
        <v>14</v>
      </c>
      <c r="V64" s="33" t="s">
        <v>122</v>
      </c>
      <c r="W64" s="33" t="s">
        <v>115</v>
      </c>
      <c r="X64" s="33" t="s">
        <v>115</v>
      </c>
      <c r="Y64" s="33" t="s">
        <v>115</v>
      </c>
      <c r="Z64" s="33" t="s">
        <v>115</v>
      </c>
      <c r="AA64" s="33" t="s">
        <v>115</v>
      </c>
      <c r="AB64" s="35"/>
      <c r="AC64" s="35"/>
      <c r="AD64" s="33">
        <v>0</v>
      </c>
      <c r="AE64" s="33">
        <v>0</v>
      </c>
      <c r="AF64" s="33">
        <v>0</v>
      </c>
      <c r="AG64" s="33">
        <v>0</v>
      </c>
      <c r="AH64" s="33">
        <v>10</v>
      </c>
      <c r="AI64" s="33">
        <v>0</v>
      </c>
      <c r="AJ64" s="33">
        <f t="shared" si="0"/>
        <v>10</v>
      </c>
      <c r="AK64" s="33" t="s">
        <v>103</v>
      </c>
      <c r="AL64" s="33" t="s">
        <v>239</v>
      </c>
      <c r="AM64" s="33">
        <v>0</v>
      </c>
      <c r="AN64" s="33">
        <v>0</v>
      </c>
    </row>
    <row r="65" spans="1:47" x14ac:dyDescent="0.2">
      <c r="A65" t="s">
        <v>240</v>
      </c>
      <c r="B65" t="s">
        <v>856</v>
      </c>
      <c r="C65">
        <v>2</v>
      </c>
      <c r="D65">
        <v>1</v>
      </c>
      <c r="E65" t="s">
        <v>834</v>
      </c>
      <c r="F65" s="1">
        <v>43346</v>
      </c>
      <c r="G65" s="37" t="s">
        <v>4032</v>
      </c>
      <c r="H65" s="37" t="s">
        <v>4724</v>
      </c>
      <c r="I65" s="2">
        <v>0.29236111111111113</v>
      </c>
      <c r="J65" s="176">
        <v>4.8726851851851856E-3</v>
      </c>
      <c r="K65" s="6">
        <v>421</v>
      </c>
      <c r="M65" t="s">
        <v>241</v>
      </c>
      <c r="N65" t="s">
        <v>102</v>
      </c>
      <c r="O65" t="s">
        <v>1071</v>
      </c>
      <c r="P65">
        <v>3</v>
      </c>
      <c r="R65">
        <v>1</v>
      </c>
      <c r="T65" t="s">
        <v>461</v>
      </c>
      <c r="U65" t="s">
        <v>2125</v>
      </c>
      <c r="V65" t="s">
        <v>244</v>
      </c>
      <c r="W65" s="7" t="s">
        <v>2068</v>
      </c>
      <c r="X65" s="44" t="s">
        <v>23</v>
      </c>
      <c r="Y65" s="44" t="s">
        <v>3997</v>
      </c>
      <c r="Z65" s="44" t="s">
        <v>4005</v>
      </c>
      <c r="AA65" s="18">
        <v>19</v>
      </c>
      <c r="AB65" s="19">
        <v>63.74004</v>
      </c>
      <c r="AC65" s="19">
        <v>148.90179000000001</v>
      </c>
      <c r="AD65">
        <v>0</v>
      </c>
      <c r="AE65">
        <v>0</v>
      </c>
      <c r="AF65">
        <v>0</v>
      </c>
      <c r="AG65">
        <v>0</v>
      </c>
      <c r="AH65">
        <v>0</v>
      </c>
      <c r="AI65">
        <v>0</v>
      </c>
      <c r="AJ65">
        <f t="shared" si="0"/>
        <v>0</v>
      </c>
      <c r="AK65" t="s">
        <v>117</v>
      </c>
      <c r="AL65" t="s">
        <v>4893</v>
      </c>
      <c r="AM65">
        <v>0</v>
      </c>
      <c r="AN65">
        <v>0</v>
      </c>
    </row>
    <row r="66" spans="1:47" hidden="1" x14ac:dyDescent="0.2">
      <c r="A66" t="s">
        <v>240</v>
      </c>
      <c r="B66" t="s">
        <v>856</v>
      </c>
      <c r="C66">
        <v>2</v>
      </c>
      <c r="D66">
        <v>2</v>
      </c>
      <c r="E66" t="s">
        <v>834</v>
      </c>
      <c r="F66" s="1">
        <v>43346</v>
      </c>
      <c r="G66" s="37" t="s">
        <v>4032</v>
      </c>
      <c r="H66" s="37" t="s">
        <v>4724</v>
      </c>
      <c r="I66" s="2">
        <v>0.29236111111111113</v>
      </c>
      <c r="J66" s="176">
        <v>4.8726851851851856E-3</v>
      </c>
      <c r="K66" s="6">
        <v>421</v>
      </c>
      <c r="M66" t="s">
        <v>241</v>
      </c>
      <c r="N66" t="s">
        <v>242</v>
      </c>
      <c r="O66" t="s">
        <v>1071</v>
      </c>
      <c r="P66">
        <v>0</v>
      </c>
      <c r="R66">
        <v>1</v>
      </c>
      <c r="T66" t="s">
        <v>461</v>
      </c>
      <c r="U66" t="s">
        <v>2125</v>
      </c>
      <c r="V66" t="s">
        <v>244</v>
      </c>
      <c r="W66" t="s">
        <v>2054</v>
      </c>
      <c r="X66" s="44" t="s">
        <v>12</v>
      </c>
      <c r="Y66" s="44" t="s">
        <v>3997</v>
      </c>
      <c r="Z66" s="44" t="s">
        <v>4005</v>
      </c>
      <c r="AA66" s="18">
        <v>12</v>
      </c>
      <c r="AB66" s="19">
        <v>63.740020000000001</v>
      </c>
      <c r="AC66" s="19">
        <v>148.90156999999999</v>
      </c>
      <c r="AD66">
        <v>0</v>
      </c>
      <c r="AE66">
        <v>0</v>
      </c>
      <c r="AF66">
        <v>0</v>
      </c>
      <c r="AG66">
        <v>0</v>
      </c>
      <c r="AH66">
        <v>0</v>
      </c>
      <c r="AI66">
        <v>0</v>
      </c>
      <c r="AJ66">
        <f t="shared" ref="AJ66:AJ129" si="1">SUM(AF66:AI66)</f>
        <v>0</v>
      </c>
      <c r="AL66" t="s">
        <v>4893</v>
      </c>
    </row>
    <row r="67" spans="1:47" hidden="1" x14ac:dyDescent="0.2">
      <c r="A67" t="s">
        <v>240</v>
      </c>
      <c r="B67" t="s">
        <v>856</v>
      </c>
      <c r="C67">
        <v>2</v>
      </c>
      <c r="D67">
        <v>3</v>
      </c>
      <c r="E67" t="s">
        <v>834</v>
      </c>
      <c r="F67" s="1">
        <v>43346</v>
      </c>
      <c r="G67" s="37" t="s">
        <v>4032</v>
      </c>
      <c r="H67" s="37" t="s">
        <v>4724</v>
      </c>
      <c r="I67" s="2">
        <v>0.29236111111111113</v>
      </c>
      <c r="J67" s="176">
        <v>4.8726851851851856E-3</v>
      </c>
      <c r="K67" s="6">
        <v>421</v>
      </c>
      <c r="M67" t="s">
        <v>241</v>
      </c>
      <c r="N67" t="s">
        <v>242</v>
      </c>
      <c r="O67" t="s">
        <v>1071</v>
      </c>
      <c r="P67">
        <v>0</v>
      </c>
      <c r="R67">
        <v>1</v>
      </c>
      <c r="T67" t="s">
        <v>461</v>
      </c>
      <c r="U67" t="s">
        <v>2125</v>
      </c>
      <c r="V67" t="s">
        <v>244</v>
      </c>
      <c r="W67" t="s">
        <v>2055</v>
      </c>
      <c r="X67" s="44" t="s">
        <v>1196</v>
      </c>
      <c r="Y67" s="44" t="s">
        <v>3997</v>
      </c>
      <c r="Z67" s="44" t="s">
        <v>4005</v>
      </c>
      <c r="AA67" s="18">
        <v>2</v>
      </c>
      <c r="AB67" s="19">
        <v>63.739890000000003</v>
      </c>
      <c r="AC67" s="19">
        <v>148.9016</v>
      </c>
      <c r="AD67">
        <v>0</v>
      </c>
      <c r="AE67">
        <v>0</v>
      </c>
      <c r="AF67">
        <v>0</v>
      </c>
      <c r="AG67">
        <v>0</v>
      </c>
      <c r="AH67">
        <v>0</v>
      </c>
      <c r="AI67">
        <v>0</v>
      </c>
      <c r="AJ67">
        <f t="shared" si="1"/>
        <v>0</v>
      </c>
      <c r="AL67" t="s">
        <v>4893</v>
      </c>
    </row>
    <row r="68" spans="1:47" s="33" customFormat="1" hidden="1" x14ac:dyDescent="0.2">
      <c r="A68" t="s">
        <v>240</v>
      </c>
      <c r="B68" t="s">
        <v>856</v>
      </c>
      <c r="C68">
        <v>2</v>
      </c>
      <c r="D68">
        <v>4</v>
      </c>
      <c r="E68" t="s">
        <v>834</v>
      </c>
      <c r="F68" s="1">
        <v>43346</v>
      </c>
      <c r="G68" s="37" t="s">
        <v>4032</v>
      </c>
      <c r="H68" s="37" t="s">
        <v>4724</v>
      </c>
      <c r="I68" s="2">
        <v>0.29236111111111113</v>
      </c>
      <c r="J68" s="176">
        <v>4.8726851851851856E-3</v>
      </c>
      <c r="K68" s="6">
        <v>421</v>
      </c>
      <c r="L68"/>
      <c r="M68" t="s">
        <v>241</v>
      </c>
      <c r="N68" t="s">
        <v>242</v>
      </c>
      <c r="O68" t="s">
        <v>1071</v>
      </c>
      <c r="P68">
        <v>0</v>
      </c>
      <c r="Q68"/>
      <c r="R68">
        <v>1</v>
      </c>
      <c r="S68"/>
      <c r="T68" t="s">
        <v>461</v>
      </c>
      <c r="U68" t="s">
        <v>2125</v>
      </c>
      <c r="V68" t="s">
        <v>244</v>
      </c>
      <c r="W68" s="7" t="s">
        <v>2068</v>
      </c>
      <c r="X68" s="44" t="s">
        <v>23</v>
      </c>
      <c r="Y68" s="44" t="s">
        <v>3997</v>
      </c>
      <c r="Z68" s="44" t="s">
        <v>4005</v>
      </c>
      <c r="AA68" s="18">
        <v>29</v>
      </c>
      <c r="AB68" s="19">
        <v>63.740119999999997</v>
      </c>
      <c r="AC68" s="19">
        <v>148.90125</v>
      </c>
      <c r="AD68">
        <v>0</v>
      </c>
      <c r="AE68">
        <v>0</v>
      </c>
      <c r="AF68">
        <v>0</v>
      </c>
      <c r="AG68">
        <v>0</v>
      </c>
      <c r="AH68">
        <v>0</v>
      </c>
      <c r="AI68">
        <v>0</v>
      </c>
      <c r="AJ68">
        <f t="shared" si="1"/>
        <v>0</v>
      </c>
      <c r="AK68"/>
      <c r="AL68" t="s">
        <v>4893</v>
      </c>
      <c r="AM68"/>
      <c r="AN68"/>
      <c r="AO68"/>
      <c r="AP68"/>
      <c r="AQ68"/>
      <c r="AR68"/>
      <c r="AS68"/>
      <c r="AT68"/>
      <c r="AU68"/>
    </row>
    <row r="69" spans="1:47" x14ac:dyDescent="0.2">
      <c r="A69" s="33" t="s">
        <v>245</v>
      </c>
      <c r="B69" s="33" t="s">
        <v>857</v>
      </c>
      <c r="C69" s="33">
        <v>3</v>
      </c>
      <c r="D69" s="33">
        <v>1</v>
      </c>
      <c r="E69" s="33" t="s">
        <v>834</v>
      </c>
      <c r="F69" s="37">
        <v>43346</v>
      </c>
      <c r="G69" s="37" t="s">
        <v>4032</v>
      </c>
      <c r="H69" s="37" t="s">
        <v>4724</v>
      </c>
      <c r="I69" s="36">
        <v>2.8472222222222222E-2</v>
      </c>
      <c r="J69" s="177">
        <v>4.7453703703703704E-4</v>
      </c>
      <c r="K69" s="39">
        <v>41</v>
      </c>
      <c r="L69" s="33"/>
      <c r="M69" s="33" t="s">
        <v>241</v>
      </c>
      <c r="N69" s="33" t="s">
        <v>102</v>
      </c>
      <c r="O69" s="33" t="s">
        <v>115</v>
      </c>
      <c r="P69" s="33">
        <v>1</v>
      </c>
      <c r="Q69" s="33"/>
      <c r="R69" s="33">
        <v>1</v>
      </c>
      <c r="S69" s="33"/>
      <c r="T69" t="s">
        <v>14</v>
      </c>
      <c r="U69" s="33" t="s">
        <v>2128</v>
      </c>
      <c r="V69" s="33" t="s">
        <v>122</v>
      </c>
      <c r="W69" s="33" t="s">
        <v>3963</v>
      </c>
      <c r="X69" s="33" t="s">
        <v>23</v>
      </c>
      <c r="Y69" s="33" t="s">
        <v>3997</v>
      </c>
      <c r="Z69" s="33" t="s">
        <v>4007</v>
      </c>
      <c r="AA69" s="33" t="s">
        <v>176</v>
      </c>
      <c r="AB69" s="35" t="s">
        <v>246</v>
      </c>
      <c r="AC69" s="35"/>
      <c r="AD69" s="33">
        <v>0</v>
      </c>
      <c r="AE69" s="33">
        <v>0</v>
      </c>
      <c r="AF69" s="33">
        <v>0</v>
      </c>
      <c r="AG69" s="33">
        <v>0</v>
      </c>
      <c r="AH69" s="33">
        <v>10</v>
      </c>
      <c r="AI69" s="33">
        <v>0</v>
      </c>
      <c r="AJ69" s="33">
        <f t="shared" si="1"/>
        <v>10</v>
      </c>
      <c r="AK69" s="33" t="s">
        <v>247</v>
      </c>
      <c r="AL69" s="33" t="s">
        <v>1267</v>
      </c>
      <c r="AM69" s="33">
        <v>0</v>
      </c>
      <c r="AN69" s="33">
        <v>0</v>
      </c>
      <c r="AO69" s="33"/>
      <c r="AP69" s="33"/>
      <c r="AQ69" s="34"/>
      <c r="AR69" s="33"/>
      <c r="AS69" s="33"/>
      <c r="AT69" s="33"/>
      <c r="AU69" s="33"/>
    </row>
    <row r="70" spans="1:47" hidden="1" x14ac:dyDescent="0.2">
      <c r="A70" t="s">
        <v>245</v>
      </c>
      <c r="B70" t="s">
        <v>857</v>
      </c>
      <c r="C70">
        <v>3</v>
      </c>
      <c r="D70">
        <v>2</v>
      </c>
      <c r="E70" t="s">
        <v>834</v>
      </c>
      <c r="F70" s="1">
        <v>43346</v>
      </c>
      <c r="G70" s="37" t="s">
        <v>4032</v>
      </c>
      <c r="H70" s="37" t="s">
        <v>4724</v>
      </c>
      <c r="I70" s="2">
        <v>2.8472222222222222E-2</v>
      </c>
      <c r="J70" s="176">
        <v>4.7453703703703704E-4</v>
      </c>
      <c r="K70" s="6">
        <v>41</v>
      </c>
      <c r="N70" t="s">
        <v>102</v>
      </c>
      <c r="O70" t="s">
        <v>23</v>
      </c>
      <c r="P70">
        <v>1</v>
      </c>
      <c r="R70">
        <v>0</v>
      </c>
      <c r="T70" t="s">
        <v>461</v>
      </c>
      <c r="U70" t="s">
        <v>2125</v>
      </c>
      <c r="V70" t="s">
        <v>244</v>
      </c>
      <c r="W70" t="s">
        <v>115</v>
      </c>
      <c r="X70" s="33" t="s">
        <v>115</v>
      </c>
      <c r="Y70" s="33" t="s">
        <v>115</v>
      </c>
      <c r="Z70" s="33" t="s">
        <v>115</v>
      </c>
      <c r="AA70" t="s">
        <v>115</v>
      </c>
      <c r="AB70" s="19" t="s">
        <v>115</v>
      </c>
      <c r="AC70" s="19" t="s">
        <v>115</v>
      </c>
      <c r="AD70">
        <v>0</v>
      </c>
      <c r="AE70">
        <v>0</v>
      </c>
      <c r="AF70">
        <v>0</v>
      </c>
      <c r="AG70">
        <v>0</v>
      </c>
      <c r="AH70">
        <v>0</v>
      </c>
      <c r="AI70">
        <v>0</v>
      </c>
      <c r="AJ70">
        <f t="shared" si="1"/>
        <v>0</v>
      </c>
      <c r="AO70" s="7"/>
      <c r="AP70" s="7"/>
      <c r="AQ70" s="7"/>
      <c r="AR70" s="7"/>
      <c r="AS70" s="7"/>
      <c r="AT70" s="7"/>
      <c r="AU70" s="7"/>
    </row>
    <row r="71" spans="1:47" x14ac:dyDescent="0.2">
      <c r="A71" t="s">
        <v>248</v>
      </c>
      <c r="B71" t="s">
        <v>858</v>
      </c>
      <c r="C71">
        <v>4</v>
      </c>
      <c r="D71">
        <v>1</v>
      </c>
      <c r="E71" t="s">
        <v>834</v>
      </c>
      <c r="F71" s="1">
        <v>43346</v>
      </c>
      <c r="G71" s="37" t="s">
        <v>4032</v>
      </c>
      <c r="H71" s="37" t="s">
        <v>4724</v>
      </c>
      <c r="I71" s="2">
        <v>3.5416666666666666E-2</v>
      </c>
      <c r="J71" s="176">
        <v>5.9027777777777778E-4</v>
      </c>
      <c r="K71" s="6">
        <v>51</v>
      </c>
      <c r="M71" t="s">
        <v>241</v>
      </c>
      <c r="N71" t="s">
        <v>102</v>
      </c>
      <c r="O71" t="s">
        <v>23</v>
      </c>
      <c r="P71">
        <v>1</v>
      </c>
      <c r="R71">
        <v>0</v>
      </c>
      <c r="T71" t="s">
        <v>461</v>
      </c>
      <c r="U71" t="s">
        <v>2125</v>
      </c>
      <c r="V71" t="s">
        <v>244</v>
      </c>
      <c r="W71" t="s">
        <v>115</v>
      </c>
      <c r="X71" s="33" t="s">
        <v>115</v>
      </c>
      <c r="Y71" s="33" t="s">
        <v>115</v>
      </c>
      <c r="Z71" s="33" t="s">
        <v>115</v>
      </c>
      <c r="AA71" t="s">
        <v>176</v>
      </c>
      <c r="AB71" s="19">
        <v>63.739890000000003</v>
      </c>
      <c r="AC71" s="19">
        <v>148.90158</v>
      </c>
      <c r="AD71">
        <v>0</v>
      </c>
      <c r="AE71">
        <v>0</v>
      </c>
      <c r="AF71">
        <v>0</v>
      </c>
      <c r="AG71">
        <v>0</v>
      </c>
      <c r="AH71">
        <v>0</v>
      </c>
      <c r="AI71">
        <v>0</v>
      </c>
      <c r="AJ71">
        <f t="shared" si="1"/>
        <v>0</v>
      </c>
      <c r="AK71" t="s">
        <v>117</v>
      </c>
      <c r="AL71" t="s">
        <v>2062</v>
      </c>
      <c r="AM71">
        <v>0</v>
      </c>
      <c r="AN71">
        <v>0</v>
      </c>
    </row>
    <row r="72" spans="1:47" s="33" customFormat="1" x14ac:dyDescent="0.2">
      <c r="A72" t="s">
        <v>249</v>
      </c>
      <c r="B72" t="s">
        <v>859</v>
      </c>
      <c r="C72">
        <v>5</v>
      </c>
      <c r="D72">
        <v>1</v>
      </c>
      <c r="E72" t="s">
        <v>834</v>
      </c>
      <c r="F72" s="1">
        <v>43346</v>
      </c>
      <c r="G72" s="37" t="s">
        <v>4032</v>
      </c>
      <c r="H72" s="37" t="s">
        <v>4724</v>
      </c>
      <c r="I72" s="2">
        <v>2.8472222222222222E-2</v>
      </c>
      <c r="J72" s="176">
        <v>4.7453703703703704E-4</v>
      </c>
      <c r="K72" s="6">
        <v>41</v>
      </c>
      <c r="L72"/>
      <c r="M72" t="s">
        <v>241</v>
      </c>
      <c r="N72" t="s">
        <v>102</v>
      </c>
      <c r="O72" t="s">
        <v>23</v>
      </c>
      <c r="P72">
        <v>1</v>
      </c>
      <c r="Q72"/>
      <c r="R72">
        <v>0</v>
      </c>
      <c r="S72"/>
      <c r="T72" t="s">
        <v>461</v>
      </c>
      <c r="U72" t="s">
        <v>2125</v>
      </c>
      <c r="V72" t="s">
        <v>244</v>
      </c>
      <c r="W72" t="s">
        <v>115</v>
      </c>
      <c r="X72" s="33" t="s">
        <v>115</v>
      </c>
      <c r="Y72" s="33" t="s">
        <v>115</v>
      </c>
      <c r="Z72" s="33" t="s">
        <v>115</v>
      </c>
      <c r="AA72" t="s">
        <v>115</v>
      </c>
      <c r="AB72" s="19" t="s">
        <v>115</v>
      </c>
      <c r="AC72" s="19"/>
      <c r="AD72">
        <v>0</v>
      </c>
      <c r="AE72">
        <v>0</v>
      </c>
      <c r="AF72">
        <v>0</v>
      </c>
      <c r="AG72">
        <v>0</v>
      </c>
      <c r="AH72">
        <v>0</v>
      </c>
      <c r="AI72">
        <v>0</v>
      </c>
      <c r="AJ72">
        <f t="shared" si="1"/>
        <v>0</v>
      </c>
      <c r="AK72" t="s">
        <v>117</v>
      </c>
      <c r="AL72" t="s">
        <v>250</v>
      </c>
      <c r="AM72">
        <v>0</v>
      </c>
      <c r="AN72">
        <v>0</v>
      </c>
      <c r="AO72"/>
      <c r="AP72"/>
      <c r="AQ72"/>
      <c r="AR72"/>
      <c r="AS72"/>
      <c r="AT72"/>
      <c r="AU72"/>
    </row>
    <row r="73" spans="1:47" x14ac:dyDescent="0.2">
      <c r="A73" t="s">
        <v>251</v>
      </c>
      <c r="B73" t="s">
        <v>860</v>
      </c>
      <c r="C73">
        <v>6</v>
      </c>
      <c r="D73">
        <v>1</v>
      </c>
      <c r="E73" t="s">
        <v>834</v>
      </c>
      <c r="F73" s="1">
        <v>43346</v>
      </c>
      <c r="G73" s="37" t="s">
        <v>4032</v>
      </c>
      <c r="H73" s="37" t="s">
        <v>4724</v>
      </c>
      <c r="I73" s="2">
        <v>2.4999999999999998E-2</v>
      </c>
      <c r="J73" s="176">
        <v>4.1666666666666669E-4</v>
      </c>
      <c r="K73" s="6">
        <v>36</v>
      </c>
      <c r="M73" t="s">
        <v>241</v>
      </c>
      <c r="N73" t="s">
        <v>102</v>
      </c>
      <c r="O73" t="s">
        <v>23</v>
      </c>
      <c r="P73">
        <v>1</v>
      </c>
      <c r="R73">
        <v>0</v>
      </c>
      <c r="T73" t="s">
        <v>461</v>
      </c>
      <c r="U73" t="s">
        <v>2125</v>
      </c>
      <c r="V73" t="s">
        <v>244</v>
      </c>
      <c r="W73" t="s">
        <v>115</v>
      </c>
      <c r="X73" s="33" t="s">
        <v>115</v>
      </c>
      <c r="Y73" s="33" t="s">
        <v>115</v>
      </c>
      <c r="Z73" s="33" t="s">
        <v>115</v>
      </c>
      <c r="AA73" t="s">
        <v>115</v>
      </c>
      <c r="AB73" s="19" t="s">
        <v>115</v>
      </c>
      <c r="AD73">
        <v>0</v>
      </c>
      <c r="AE73">
        <v>0</v>
      </c>
      <c r="AF73">
        <v>0</v>
      </c>
      <c r="AG73">
        <v>0</v>
      </c>
      <c r="AH73">
        <v>0</v>
      </c>
      <c r="AI73">
        <v>0</v>
      </c>
      <c r="AJ73">
        <f t="shared" si="1"/>
        <v>0</v>
      </c>
      <c r="AK73" t="s">
        <v>117</v>
      </c>
      <c r="AL73" t="s">
        <v>252</v>
      </c>
      <c r="AM73">
        <v>0</v>
      </c>
      <c r="AN73">
        <v>0</v>
      </c>
    </row>
    <row r="74" spans="1:47" s="33" customFormat="1" x14ac:dyDescent="0.2">
      <c r="A74" t="s">
        <v>253</v>
      </c>
      <c r="B74" t="s">
        <v>861</v>
      </c>
      <c r="C74">
        <v>7</v>
      </c>
      <c r="D74">
        <v>1</v>
      </c>
      <c r="E74" t="s">
        <v>834</v>
      </c>
      <c r="F74" s="1">
        <v>43346</v>
      </c>
      <c r="G74" s="37" t="s">
        <v>4032</v>
      </c>
      <c r="H74" s="37" t="s">
        <v>4724</v>
      </c>
      <c r="I74" s="2">
        <v>8.3333333333333332E-3</v>
      </c>
      <c r="J74" s="176">
        <v>1.3888888888888889E-4</v>
      </c>
      <c r="K74" s="6">
        <v>12</v>
      </c>
      <c r="L74"/>
      <c r="M74" t="s">
        <v>166</v>
      </c>
      <c r="N74" t="s">
        <v>102</v>
      </c>
      <c r="O74" t="s">
        <v>23</v>
      </c>
      <c r="P74" t="s">
        <v>24</v>
      </c>
      <c r="Q74"/>
      <c r="R74" t="s">
        <v>24</v>
      </c>
      <c r="S74"/>
      <c r="T74" t="s">
        <v>176</v>
      </c>
      <c r="U74" t="s">
        <v>176</v>
      </c>
      <c r="V74" t="s">
        <v>115</v>
      </c>
      <c r="W74" t="s">
        <v>115</v>
      </c>
      <c r="X74"/>
      <c r="Y74"/>
      <c r="Z74"/>
      <c r="AA74" t="s">
        <v>115</v>
      </c>
      <c r="AB74" s="19" t="s">
        <v>115</v>
      </c>
      <c r="AC74" s="19"/>
      <c r="AD74">
        <v>12</v>
      </c>
      <c r="AE74">
        <v>0</v>
      </c>
      <c r="AF74">
        <v>0</v>
      </c>
      <c r="AG74">
        <v>12</v>
      </c>
      <c r="AH74">
        <v>0</v>
      </c>
      <c r="AI74">
        <v>0</v>
      </c>
      <c r="AJ74">
        <f t="shared" si="1"/>
        <v>12</v>
      </c>
      <c r="AK74" t="s">
        <v>150</v>
      </c>
      <c r="AL74"/>
      <c r="AM74">
        <v>0</v>
      </c>
      <c r="AN74">
        <v>0</v>
      </c>
      <c r="AO74" s="7"/>
      <c r="AP74" s="7"/>
      <c r="AQ74" s="7"/>
      <c r="AR74" s="7"/>
      <c r="AS74" s="7"/>
      <c r="AT74" s="7"/>
      <c r="AU74" s="7"/>
    </row>
    <row r="75" spans="1:47" x14ac:dyDescent="0.2">
      <c r="A75" t="s">
        <v>254</v>
      </c>
      <c r="B75" t="s">
        <v>273</v>
      </c>
      <c r="C75">
        <v>1</v>
      </c>
      <c r="D75">
        <v>1</v>
      </c>
      <c r="E75" t="s">
        <v>272</v>
      </c>
      <c r="F75" s="1">
        <v>43346</v>
      </c>
      <c r="G75" s="37" t="s">
        <v>4032</v>
      </c>
      <c r="H75" s="37" t="s">
        <v>4724</v>
      </c>
      <c r="I75" s="2">
        <v>2.361111111111111E-2</v>
      </c>
      <c r="J75" s="176">
        <v>3.9351851851851852E-4</v>
      </c>
      <c r="K75" s="6">
        <v>34</v>
      </c>
      <c r="M75" t="s">
        <v>255</v>
      </c>
      <c r="N75" t="s">
        <v>102</v>
      </c>
      <c r="O75" t="s">
        <v>115</v>
      </c>
      <c r="P75">
        <v>1</v>
      </c>
      <c r="R75">
        <v>0</v>
      </c>
      <c r="T75" t="s">
        <v>1618</v>
      </c>
      <c r="U75" t="s">
        <v>1618</v>
      </c>
      <c r="V75" t="s">
        <v>122</v>
      </c>
      <c r="W75" t="s">
        <v>115</v>
      </c>
      <c r="X75" s="33" t="s">
        <v>115</v>
      </c>
      <c r="Y75" s="33" t="s">
        <v>115</v>
      </c>
      <c r="Z75" s="33" t="s">
        <v>115</v>
      </c>
      <c r="AA75" t="s">
        <v>115</v>
      </c>
      <c r="AB75" s="19" t="s">
        <v>115</v>
      </c>
      <c r="AD75">
        <v>0</v>
      </c>
      <c r="AE75">
        <v>0</v>
      </c>
      <c r="AF75">
        <v>0</v>
      </c>
      <c r="AG75">
        <v>0</v>
      </c>
      <c r="AH75">
        <v>0</v>
      </c>
      <c r="AI75">
        <v>0</v>
      </c>
      <c r="AJ75">
        <f t="shared" si="1"/>
        <v>0</v>
      </c>
      <c r="AK75" t="s">
        <v>117</v>
      </c>
      <c r="AL75" t="s">
        <v>256</v>
      </c>
      <c r="AM75">
        <v>0</v>
      </c>
      <c r="AN75">
        <v>0</v>
      </c>
    </row>
    <row r="76" spans="1:47" x14ac:dyDescent="0.2">
      <c r="A76" t="s">
        <v>257</v>
      </c>
      <c r="B76" t="s">
        <v>274</v>
      </c>
      <c r="C76">
        <v>2</v>
      </c>
      <c r="D76">
        <v>1</v>
      </c>
      <c r="E76" t="s">
        <v>272</v>
      </c>
      <c r="F76" s="1">
        <v>43346</v>
      </c>
      <c r="G76" s="37" t="s">
        <v>4032</v>
      </c>
      <c r="H76" s="37" t="s">
        <v>4724</v>
      </c>
      <c r="I76" s="2">
        <v>4.1666666666666664E-2</v>
      </c>
      <c r="J76" s="176">
        <v>6.9444444444444447E-4</v>
      </c>
      <c r="K76" s="6">
        <v>60</v>
      </c>
      <c r="M76" t="s">
        <v>241</v>
      </c>
      <c r="N76" t="s">
        <v>102</v>
      </c>
      <c r="O76" t="s">
        <v>115</v>
      </c>
      <c r="P76">
        <v>1</v>
      </c>
      <c r="R76">
        <v>0</v>
      </c>
      <c r="T76" t="s">
        <v>1618</v>
      </c>
      <c r="U76" t="s">
        <v>1618</v>
      </c>
      <c r="V76" t="s">
        <v>122</v>
      </c>
      <c r="W76" t="s">
        <v>115</v>
      </c>
      <c r="X76" s="33" t="s">
        <v>115</v>
      </c>
      <c r="Y76" s="33" t="s">
        <v>115</v>
      </c>
      <c r="Z76" s="33" t="s">
        <v>115</v>
      </c>
      <c r="AA76" t="s">
        <v>115</v>
      </c>
      <c r="AB76" s="19" t="s">
        <v>115</v>
      </c>
      <c r="AD76">
        <v>2</v>
      </c>
      <c r="AE76">
        <v>0</v>
      </c>
      <c r="AF76">
        <v>0</v>
      </c>
      <c r="AG76">
        <v>2</v>
      </c>
      <c r="AH76">
        <v>0</v>
      </c>
      <c r="AI76">
        <v>0</v>
      </c>
      <c r="AJ76">
        <f t="shared" si="1"/>
        <v>2</v>
      </c>
      <c r="AK76" t="s">
        <v>117</v>
      </c>
      <c r="AL76" t="s">
        <v>258</v>
      </c>
      <c r="AM76">
        <v>0</v>
      </c>
      <c r="AN76">
        <v>0</v>
      </c>
      <c r="AO76" s="33"/>
      <c r="AP76" s="33"/>
      <c r="AQ76" s="34"/>
      <c r="AR76" s="33"/>
      <c r="AS76" s="33"/>
      <c r="AT76" s="33"/>
      <c r="AU76" s="33"/>
    </row>
    <row r="77" spans="1:47" x14ac:dyDescent="0.2">
      <c r="A77" s="33" t="s">
        <v>259</v>
      </c>
      <c r="B77" s="33" t="s">
        <v>275</v>
      </c>
      <c r="C77" s="33">
        <v>3</v>
      </c>
      <c r="D77" s="33">
        <v>1</v>
      </c>
      <c r="E77" s="33" t="s">
        <v>272</v>
      </c>
      <c r="F77" s="37">
        <v>43346</v>
      </c>
      <c r="G77" s="37" t="s">
        <v>4032</v>
      </c>
      <c r="H77" s="37" t="s">
        <v>4724</v>
      </c>
      <c r="I77" s="36">
        <v>2.4999999999999998E-2</v>
      </c>
      <c r="J77" s="177">
        <v>4.1666666666666669E-4</v>
      </c>
      <c r="K77" s="39">
        <v>36</v>
      </c>
      <c r="L77" s="33"/>
      <c r="M77" s="33" t="s">
        <v>2050</v>
      </c>
      <c r="N77" s="33" t="s">
        <v>102</v>
      </c>
      <c r="O77" s="33" t="s">
        <v>115</v>
      </c>
      <c r="P77" s="33">
        <v>1</v>
      </c>
      <c r="Q77" s="33"/>
      <c r="R77" s="33">
        <v>0</v>
      </c>
      <c r="S77" s="33"/>
      <c r="T77" t="s">
        <v>1618</v>
      </c>
      <c r="U77" s="33" t="s">
        <v>1618</v>
      </c>
      <c r="V77" s="33" t="s">
        <v>122</v>
      </c>
      <c r="W77" s="33" t="s">
        <v>115</v>
      </c>
      <c r="X77" s="33" t="s">
        <v>115</v>
      </c>
      <c r="Y77" s="33" t="s">
        <v>115</v>
      </c>
      <c r="Z77" s="33" t="s">
        <v>115</v>
      </c>
      <c r="AA77" s="33" t="s">
        <v>115</v>
      </c>
      <c r="AB77" s="35" t="s">
        <v>115</v>
      </c>
      <c r="AC77" s="35"/>
      <c r="AD77" s="33">
        <v>0</v>
      </c>
      <c r="AE77" s="33">
        <v>0</v>
      </c>
      <c r="AF77" s="33">
        <v>0</v>
      </c>
      <c r="AG77" s="33">
        <v>0</v>
      </c>
      <c r="AH77" s="33">
        <v>14</v>
      </c>
      <c r="AI77" s="33">
        <v>0</v>
      </c>
      <c r="AJ77" s="33">
        <f t="shared" si="1"/>
        <v>14</v>
      </c>
      <c r="AK77" s="33" t="s">
        <v>103</v>
      </c>
      <c r="AL77" s="33" t="s">
        <v>1275</v>
      </c>
      <c r="AM77" s="33">
        <v>0</v>
      </c>
      <c r="AN77" s="33">
        <v>0</v>
      </c>
      <c r="AO77" s="33"/>
      <c r="AP77" s="33"/>
      <c r="AQ77" s="34"/>
      <c r="AR77" s="33"/>
      <c r="AS77" s="33"/>
      <c r="AT77" s="33"/>
      <c r="AU77" s="33"/>
    </row>
    <row r="78" spans="1:47" hidden="1" x14ac:dyDescent="0.2">
      <c r="A78" t="s">
        <v>259</v>
      </c>
      <c r="B78" t="s">
        <v>275</v>
      </c>
      <c r="C78">
        <v>3</v>
      </c>
      <c r="D78">
        <v>2</v>
      </c>
      <c r="E78" t="s">
        <v>272</v>
      </c>
      <c r="F78" s="1">
        <v>43346</v>
      </c>
      <c r="G78" s="37" t="s">
        <v>4032</v>
      </c>
      <c r="H78" s="37" t="s">
        <v>4724</v>
      </c>
      <c r="I78" s="2">
        <v>2.4999999999999998E-2</v>
      </c>
      <c r="J78" s="176">
        <v>4.1666666666666669E-4</v>
      </c>
      <c r="K78" s="6">
        <v>36</v>
      </c>
      <c r="M78" t="s">
        <v>241</v>
      </c>
      <c r="N78" t="s">
        <v>102</v>
      </c>
      <c r="O78" t="s">
        <v>115</v>
      </c>
      <c r="P78">
        <v>1</v>
      </c>
      <c r="R78">
        <v>0</v>
      </c>
      <c r="T78" t="s">
        <v>1618</v>
      </c>
      <c r="U78" t="s">
        <v>1618</v>
      </c>
      <c r="V78" t="s">
        <v>2051</v>
      </c>
      <c r="W78" t="s">
        <v>115</v>
      </c>
      <c r="X78" s="33" t="s">
        <v>115</v>
      </c>
      <c r="Y78" s="33" t="s">
        <v>115</v>
      </c>
      <c r="Z78" s="33" t="s">
        <v>115</v>
      </c>
      <c r="AA78" t="s">
        <v>115</v>
      </c>
      <c r="AB78" s="19" t="s">
        <v>115</v>
      </c>
      <c r="AD78">
        <v>0</v>
      </c>
      <c r="AE78">
        <v>0</v>
      </c>
      <c r="AF78">
        <v>0</v>
      </c>
      <c r="AG78">
        <v>0</v>
      </c>
      <c r="AH78">
        <v>0</v>
      </c>
      <c r="AI78">
        <v>10</v>
      </c>
      <c r="AJ78">
        <f t="shared" si="1"/>
        <v>10</v>
      </c>
      <c r="AK78" t="s">
        <v>103</v>
      </c>
      <c r="AL78" t="s">
        <v>1275</v>
      </c>
      <c r="AM78">
        <v>0</v>
      </c>
      <c r="AN78">
        <v>0</v>
      </c>
      <c r="AO78" s="33"/>
      <c r="AP78" s="33"/>
      <c r="AQ78" s="34"/>
      <c r="AR78" s="33"/>
      <c r="AS78" s="33"/>
      <c r="AT78" s="33"/>
      <c r="AU78" s="33"/>
    </row>
    <row r="79" spans="1:47" x14ac:dyDescent="0.2">
      <c r="A79" s="33" t="s">
        <v>259</v>
      </c>
      <c r="B79" s="33" t="s">
        <v>945</v>
      </c>
      <c r="C79" s="33">
        <v>2</v>
      </c>
      <c r="D79" s="33">
        <v>1</v>
      </c>
      <c r="E79" s="33" t="s">
        <v>2462</v>
      </c>
      <c r="F79" s="37">
        <v>43368</v>
      </c>
      <c r="G79" s="37" t="s">
        <v>4032</v>
      </c>
      <c r="H79" s="37" t="s">
        <v>4724</v>
      </c>
      <c r="I79" s="36">
        <v>1.6666666666666666E-2</v>
      </c>
      <c r="J79" s="177">
        <v>2.7777777777777778E-4</v>
      </c>
      <c r="K79" s="39">
        <v>24</v>
      </c>
      <c r="L79" s="33" t="s">
        <v>398</v>
      </c>
      <c r="M79" s="33" t="s">
        <v>363</v>
      </c>
      <c r="N79" s="33" t="s">
        <v>102</v>
      </c>
      <c r="O79" s="33" t="s">
        <v>115</v>
      </c>
      <c r="P79" s="33">
        <v>1</v>
      </c>
      <c r="Q79" s="33"/>
      <c r="R79" s="33">
        <v>0</v>
      </c>
      <c r="S79" s="33"/>
      <c r="T79" t="s">
        <v>176</v>
      </c>
      <c r="U79" s="33" t="s">
        <v>176</v>
      </c>
      <c r="V79" s="33" t="s">
        <v>122</v>
      </c>
      <c r="W79" s="33" t="s">
        <v>115</v>
      </c>
      <c r="X79" s="33" t="s">
        <v>115</v>
      </c>
      <c r="Y79" s="33" t="s">
        <v>115</v>
      </c>
      <c r="Z79" s="33" t="s">
        <v>115</v>
      </c>
      <c r="AA79" s="33" t="s">
        <v>115</v>
      </c>
      <c r="AB79" s="35" t="s">
        <v>115</v>
      </c>
      <c r="AC79" s="35"/>
      <c r="AD79" s="39">
        <v>0</v>
      </c>
      <c r="AE79" s="39">
        <v>0</v>
      </c>
      <c r="AF79" s="39">
        <v>0</v>
      </c>
      <c r="AG79" s="39">
        <v>0</v>
      </c>
      <c r="AH79" s="39">
        <v>18</v>
      </c>
      <c r="AI79" s="33">
        <v>0</v>
      </c>
      <c r="AJ79" s="33">
        <f t="shared" si="1"/>
        <v>18</v>
      </c>
      <c r="AK79" s="33"/>
      <c r="AL79" s="33"/>
      <c r="AM79" s="33"/>
      <c r="AN79" s="33"/>
    </row>
    <row r="80" spans="1:47" s="33" customFormat="1" x14ac:dyDescent="0.2">
      <c r="A80" t="s">
        <v>262</v>
      </c>
      <c r="B80" t="s">
        <v>276</v>
      </c>
      <c r="C80">
        <v>4</v>
      </c>
      <c r="D80">
        <v>1</v>
      </c>
      <c r="E80" t="s">
        <v>272</v>
      </c>
      <c r="F80" s="1">
        <v>43346</v>
      </c>
      <c r="G80" s="37" t="s">
        <v>4032</v>
      </c>
      <c r="H80" s="37" t="s">
        <v>4724</v>
      </c>
      <c r="I80" s="2">
        <v>1.1111111111111112E-2</v>
      </c>
      <c r="J80" s="176">
        <v>1.8518518518518518E-4</v>
      </c>
      <c r="K80" s="6">
        <v>16</v>
      </c>
      <c r="L80"/>
      <c r="M80" t="s">
        <v>241</v>
      </c>
      <c r="N80" t="s">
        <v>111</v>
      </c>
      <c r="O80" t="s">
        <v>23</v>
      </c>
      <c r="P80">
        <v>0</v>
      </c>
      <c r="Q80"/>
      <c r="R80">
        <v>1</v>
      </c>
      <c r="S80"/>
      <c r="T80" t="s">
        <v>176</v>
      </c>
      <c r="U80" t="s">
        <v>176</v>
      </c>
      <c r="V80" t="s">
        <v>24</v>
      </c>
      <c r="W80" t="s">
        <v>263</v>
      </c>
      <c r="X80" s="44" t="s">
        <v>23</v>
      </c>
      <c r="Y80" s="44" t="s">
        <v>4004</v>
      </c>
      <c r="Z80" s="44" t="s">
        <v>4005</v>
      </c>
      <c r="AA80" t="s">
        <v>176</v>
      </c>
      <c r="AB80" s="19">
        <v>63.730879999999999</v>
      </c>
      <c r="AC80" s="19">
        <v>148.89989</v>
      </c>
      <c r="AD80">
        <v>0</v>
      </c>
      <c r="AE80">
        <v>0</v>
      </c>
      <c r="AF80">
        <v>0</v>
      </c>
      <c r="AG80">
        <v>0</v>
      </c>
      <c r="AH80">
        <v>0</v>
      </c>
      <c r="AI80">
        <v>0</v>
      </c>
      <c r="AJ80">
        <f t="shared" si="1"/>
        <v>0</v>
      </c>
      <c r="AK80" t="s">
        <v>159</v>
      </c>
      <c r="AL80" t="s">
        <v>2053</v>
      </c>
      <c r="AM80">
        <v>0</v>
      </c>
      <c r="AN80">
        <v>0</v>
      </c>
      <c r="AO80"/>
      <c r="AP80"/>
      <c r="AQ80"/>
      <c r="AR80"/>
      <c r="AS80"/>
      <c r="AT80"/>
      <c r="AU80"/>
    </row>
    <row r="81" spans="1:47" x14ac:dyDescent="0.2">
      <c r="A81" t="s">
        <v>264</v>
      </c>
      <c r="B81" t="s">
        <v>277</v>
      </c>
      <c r="C81">
        <v>5</v>
      </c>
      <c r="D81">
        <v>1</v>
      </c>
      <c r="E81" t="s">
        <v>272</v>
      </c>
      <c r="F81" s="1">
        <v>43346</v>
      </c>
      <c r="G81" s="37" t="s">
        <v>4032</v>
      </c>
      <c r="H81" s="37" t="s">
        <v>4724</v>
      </c>
      <c r="I81" s="2">
        <v>4.1666666666666666E-3</v>
      </c>
      <c r="J81" s="176">
        <v>6.9444444444444444E-5</v>
      </c>
      <c r="K81" s="6">
        <v>6</v>
      </c>
      <c r="M81" t="s">
        <v>241</v>
      </c>
      <c r="N81" t="s">
        <v>111</v>
      </c>
      <c r="O81" t="s">
        <v>23</v>
      </c>
      <c r="P81">
        <v>0</v>
      </c>
      <c r="R81">
        <v>1</v>
      </c>
      <c r="T81" t="s">
        <v>176</v>
      </c>
      <c r="U81" t="s">
        <v>176</v>
      </c>
      <c r="V81" t="s">
        <v>24</v>
      </c>
      <c r="W81" t="s">
        <v>263</v>
      </c>
      <c r="X81" s="44" t="s">
        <v>23</v>
      </c>
      <c r="Y81" s="44" t="s">
        <v>4004</v>
      </c>
      <c r="Z81" s="44" t="s">
        <v>4005</v>
      </c>
      <c r="AA81" t="s">
        <v>176</v>
      </c>
      <c r="AB81" s="19">
        <v>63.730220000000003</v>
      </c>
      <c r="AC81" s="19">
        <v>148.90285</v>
      </c>
      <c r="AD81">
        <v>0</v>
      </c>
      <c r="AE81">
        <v>0</v>
      </c>
      <c r="AF81">
        <v>0</v>
      </c>
      <c r="AG81">
        <v>0</v>
      </c>
      <c r="AH81">
        <v>0</v>
      </c>
      <c r="AI81">
        <v>0</v>
      </c>
      <c r="AJ81">
        <f t="shared" si="1"/>
        <v>0</v>
      </c>
      <c r="AK81" t="s">
        <v>159</v>
      </c>
      <c r="AM81">
        <v>0</v>
      </c>
      <c r="AN81">
        <v>0</v>
      </c>
    </row>
    <row r="82" spans="1:47" x14ac:dyDescent="0.2">
      <c r="A82" t="s">
        <v>265</v>
      </c>
      <c r="B82" t="s">
        <v>278</v>
      </c>
      <c r="C82">
        <v>6</v>
      </c>
      <c r="D82">
        <v>1</v>
      </c>
      <c r="E82" t="s">
        <v>272</v>
      </c>
      <c r="F82" s="1">
        <v>43346</v>
      </c>
      <c r="G82" s="37" t="s">
        <v>4032</v>
      </c>
      <c r="H82" s="37" t="s">
        <v>4724</v>
      </c>
      <c r="I82" s="2">
        <v>8.4722222222222213E-2</v>
      </c>
      <c r="J82" s="176">
        <v>1.4120370370370369E-3</v>
      </c>
      <c r="K82" s="6">
        <v>122</v>
      </c>
      <c r="M82" t="s">
        <v>241</v>
      </c>
      <c r="N82" t="s">
        <v>107</v>
      </c>
      <c r="O82" t="s">
        <v>23</v>
      </c>
      <c r="P82">
        <v>1</v>
      </c>
      <c r="R82">
        <v>0</v>
      </c>
      <c r="T82" t="s">
        <v>176</v>
      </c>
      <c r="U82" t="s">
        <v>176</v>
      </c>
      <c r="V82" t="s">
        <v>24</v>
      </c>
      <c r="W82" t="s">
        <v>115</v>
      </c>
      <c r="X82" s="33" t="s">
        <v>115</v>
      </c>
      <c r="Y82" s="33" t="s">
        <v>115</v>
      </c>
      <c r="Z82" s="33" t="s">
        <v>115</v>
      </c>
      <c r="AA82" t="s">
        <v>115</v>
      </c>
      <c r="AB82" s="19" t="s">
        <v>115</v>
      </c>
      <c r="AD82">
        <v>0</v>
      </c>
      <c r="AE82">
        <v>0</v>
      </c>
      <c r="AF82">
        <v>0</v>
      </c>
      <c r="AG82">
        <v>0</v>
      </c>
      <c r="AH82">
        <v>0</v>
      </c>
      <c r="AI82">
        <v>0</v>
      </c>
      <c r="AJ82">
        <f t="shared" si="1"/>
        <v>0</v>
      </c>
      <c r="AL82" t="s">
        <v>4895</v>
      </c>
      <c r="AM82">
        <v>0</v>
      </c>
      <c r="AN82">
        <v>0</v>
      </c>
      <c r="AO82" s="33"/>
      <c r="AP82" s="33"/>
      <c r="AQ82" s="34"/>
      <c r="AR82" s="33"/>
      <c r="AS82" s="33"/>
      <c r="AT82" s="33"/>
      <c r="AU82" s="33"/>
    </row>
    <row r="83" spans="1:47" hidden="1" x14ac:dyDescent="0.2">
      <c r="A83" s="33" t="s">
        <v>265</v>
      </c>
      <c r="B83" s="33" t="s">
        <v>278</v>
      </c>
      <c r="C83" s="33">
        <v>6</v>
      </c>
      <c r="D83" s="33">
        <v>2</v>
      </c>
      <c r="E83" s="33" t="s">
        <v>272</v>
      </c>
      <c r="F83" s="37">
        <v>43346</v>
      </c>
      <c r="G83" s="37" t="s">
        <v>4032</v>
      </c>
      <c r="H83" s="37" t="s">
        <v>4724</v>
      </c>
      <c r="I83" s="36">
        <v>8.4722222222222213E-2</v>
      </c>
      <c r="J83" s="177">
        <v>1.4120370370370369E-3</v>
      </c>
      <c r="K83" s="39">
        <v>122</v>
      </c>
      <c r="L83" s="33"/>
      <c r="M83" s="33" t="s">
        <v>255</v>
      </c>
      <c r="N83" s="33" t="s">
        <v>111</v>
      </c>
      <c r="O83" s="33" t="s">
        <v>23</v>
      </c>
      <c r="P83" s="33">
        <v>1</v>
      </c>
      <c r="Q83" s="33"/>
      <c r="R83" s="33">
        <v>1</v>
      </c>
      <c r="S83" s="33"/>
      <c r="T83" t="s">
        <v>176</v>
      </c>
      <c r="U83" s="33" t="s">
        <v>2140</v>
      </c>
      <c r="V83" s="33" t="s">
        <v>122</v>
      </c>
      <c r="W83" s="33" t="s">
        <v>1940</v>
      </c>
      <c r="X83" s="33" t="s">
        <v>23</v>
      </c>
      <c r="Y83" s="33" t="s">
        <v>3999</v>
      </c>
      <c r="Z83" s="33" t="s">
        <v>4005</v>
      </c>
      <c r="AA83" s="33" t="s">
        <v>176</v>
      </c>
      <c r="AB83" s="35">
        <v>63.730229999999999</v>
      </c>
      <c r="AC83" s="35">
        <v>148.90411</v>
      </c>
      <c r="AD83" s="33">
        <v>0</v>
      </c>
      <c r="AE83" s="33">
        <v>0</v>
      </c>
      <c r="AF83" s="33">
        <v>0</v>
      </c>
      <c r="AG83" s="33">
        <v>0</v>
      </c>
      <c r="AH83" s="33">
        <v>23</v>
      </c>
      <c r="AI83" s="33">
        <v>0</v>
      </c>
      <c r="AJ83" s="33">
        <f t="shared" si="1"/>
        <v>23</v>
      </c>
      <c r="AK83" s="33"/>
      <c r="AL83" s="33" t="s">
        <v>1274</v>
      </c>
      <c r="AM83" s="33">
        <v>0</v>
      </c>
      <c r="AN83" s="33">
        <v>0</v>
      </c>
      <c r="AO83" s="33"/>
      <c r="AP83" s="33"/>
      <c r="AQ83" s="34"/>
      <c r="AR83" s="33"/>
      <c r="AS83" s="33"/>
      <c r="AT83" s="33"/>
      <c r="AU83" s="33"/>
    </row>
    <row r="84" spans="1:47" x14ac:dyDescent="0.2">
      <c r="A84" t="s">
        <v>266</v>
      </c>
      <c r="B84" t="s">
        <v>279</v>
      </c>
      <c r="C84">
        <v>7</v>
      </c>
      <c r="D84">
        <v>1</v>
      </c>
      <c r="E84" t="s">
        <v>272</v>
      </c>
      <c r="F84" s="1">
        <v>43346</v>
      </c>
      <c r="G84" s="37" t="s">
        <v>4032</v>
      </c>
      <c r="H84" s="37" t="s">
        <v>4724</v>
      </c>
      <c r="I84" s="2">
        <v>1.6666666666666666E-2</v>
      </c>
      <c r="J84" s="176">
        <v>2.7777777777777778E-4</v>
      </c>
      <c r="K84" s="6">
        <v>24</v>
      </c>
      <c r="M84" t="s">
        <v>260</v>
      </c>
      <c r="N84" t="s">
        <v>102</v>
      </c>
      <c r="O84" t="s">
        <v>115</v>
      </c>
      <c r="P84">
        <v>1</v>
      </c>
      <c r="R84">
        <v>0</v>
      </c>
      <c r="T84" t="s">
        <v>112</v>
      </c>
      <c r="U84" t="s">
        <v>2138</v>
      </c>
      <c r="V84" t="s">
        <v>122</v>
      </c>
      <c r="W84" t="s">
        <v>115</v>
      </c>
      <c r="X84" s="33" t="s">
        <v>115</v>
      </c>
      <c r="Y84" s="33" t="s">
        <v>115</v>
      </c>
      <c r="Z84" s="33" t="s">
        <v>115</v>
      </c>
      <c r="AA84" t="s">
        <v>115</v>
      </c>
      <c r="AB84" s="19" t="s">
        <v>115</v>
      </c>
      <c r="AD84">
        <v>0</v>
      </c>
      <c r="AE84">
        <v>0</v>
      </c>
      <c r="AF84">
        <v>0</v>
      </c>
      <c r="AG84">
        <v>0</v>
      </c>
      <c r="AH84">
        <v>0</v>
      </c>
      <c r="AI84">
        <v>0</v>
      </c>
      <c r="AJ84">
        <f t="shared" si="1"/>
        <v>0</v>
      </c>
      <c r="AL84" t="s">
        <v>4896</v>
      </c>
      <c r="AM84">
        <v>0</v>
      </c>
      <c r="AN84">
        <v>0</v>
      </c>
      <c r="AO84" s="33"/>
      <c r="AP84" s="33"/>
      <c r="AQ84" s="34"/>
      <c r="AR84" s="33"/>
      <c r="AS84" s="33"/>
      <c r="AT84" s="33"/>
      <c r="AU84" s="33"/>
    </row>
    <row r="85" spans="1:47" x14ac:dyDescent="0.2">
      <c r="A85" s="33" t="s">
        <v>267</v>
      </c>
      <c r="B85" s="33" t="s">
        <v>268</v>
      </c>
      <c r="C85" s="33">
        <v>1</v>
      </c>
      <c r="D85" s="33">
        <v>1</v>
      </c>
      <c r="E85" s="33" t="s">
        <v>213</v>
      </c>
      <c r="F85" s="37">
        <v>43346</v>
      </c>
      <c r="G85" s="37" t="s">
        <v>4032</v>
      </c>
      <c r="H85" s="37" t="s">
        <v>4724</v>
      </c>
      <c r="I85" s="36">
        <v>4.3055555555555562E-2</v>
      </c>
      <c r="J85" s="177">
        <v>7.175925925925927E-4</v>
      </c>
      <c r="K85" s="39">
        <v>62</v>
      </c>
      <c r="L85" s="33"/>
      <c r="M85" s="33" t="s">
        <v>2498</v>
      </c>
      <c r="N85" s="33" t="s">
        <v>187</v>
      </c>
      <c r="O85" s="33" t="s">
        <v>23</v>
      </c>
      <c r="P85" s="33">
        <v>1</v>
      </c>
      <c r="Q85" s="33"/>
      <c r="R85" s="33">
        <v>1</v>
      </c>
      <c r="S85" s="33"/>
      <c r="T85" t="s">
        <v>14</v>
      </c>
      <c r="U85" s="33" t="s">
        <v>14</v>
      </c>
      <c r="V85" s="33" t="s">
        <v>122</v>
      </c>
      <c r="W85" s="33" t="s">
        <v>3984</v>
      </c>
      <c r="X85" s="33" t="s">
        <v>23</v>
      </c>
      <c r="Y85" s="33" t="s">
        <v>3999</v>
      </c>
      <c r="Z85" s="33" t="s">
        <v>4007</v>
      </c>
      <c r="AA85" s="33" t="s">
        <v>176</v>
      </c>
      <c r="AB85" s="35">
        <v>63.722920000000002</v>
      </c>
      <c r="AC85" s="35">
        <v>148.98212000000001</v>
      </c>
      <c r="AD85" s="33">
        <v>0</v>
      </c>
      <c r="AE85" s="33">
        <v>0</v>
      </c>
      <c r="AF85" s="33">
        <v>0</v>
      </c>
      <c r="AG85" s="33">
        <v>0</v>
      </c>
      <c r="AH85" s="33">
        <v>7</v>
      </c>
      <c r="AI85" s="33">
        <v>0</v>
      </c>
      <c r="AJ85" s="33">
        <f t="shared" si="1"/>
        <v>7</v>
      </c>
      <c r="AK85" s="33"/>
      <c r="AL85" s="33" t="s">
        <v>4894</v>
      </c>
      <c r="AM85" s="33">
        <v>0</v>
      </c>
      <c r="AN85" s="33">
        <v>0</v>
      </c>
      <c r="AO85" s="33"/>
      <c r="AP85" s="33"/>
      <c r="AQ85" s="34"/>
      <c r="AR85" s="33"/>
      <c r="AS85" s="33"/>
      <c r="AT85" s="33"/>
      <c r="AU85" s="33"/>
    </row>
    <row r="86" spans="1:47" s="33" customFormat="1" x14ac:dyDescent="0.2">
      <c r="A86" t="s">
        <v>280</v>
      </c>
      <c r="B86" t="s">
        <v>281</v>
      </c>
      <c r="C86">
        <v>1</v>
      </c>
      <c r="D86">
        <v>1</v>
      </c>
      <c r="E86" t="s">
        <v>282</v>
      </c>
      <c r="F86" s="1">
        <v>43347</v>
      </c>
      <c r="G86" s="37" t="s">
        <v>4032</v>
      </c>
      <c r="H86" s="37" t="s">
        <v>4724</v>
      </c>
      <c r="I86" s="2">
        <v>5.6944444444444443E-2</v>
      </c>
      <c r="J86" s="176">
        <v>9.4907407407407408E-4</v>
      </c>
      <c r="K86" s="6">
        <v>82</v>
      </c>
      <c r="L86"/>
      <c r="M86" t="s">
        <v>283</v>
      </c>
      <c r="N86" t="s">
        <v>107</v>
      </c>
      <c r="O86" t="s">
        <v>23</v>
      </c>
      <c r="P86">
        <v>1</v>
      </c>
      <c r="Q86"/>
      <c r="R86">
        <v>0</v>
      </c>
      <c r="S86"/>
      <c r="T86" t="s">
        <v>461</v>
      </c>
      <c r="U86" t="s">
        <v>461</v>
      </c>
      <c r="V86" t="s">
        <v>24</v>
      </c>
      <c r="W86" t="s">
        <v>115</v>
      </c>
      <c r="X86" s="33" t="s">
        <v>115</v>
      </c>
      <c r="Y86" s="33" t="s">
        <v>115</v>
      </c>
      <c r="Z86" s="33" t="s">
        <v>115</v>
      </c>
      <c r="AA86" t="s">
        <v>115</v>
      </c>
      <c r="AB86" s="19" t="s">
        <v>115</v>
      </c>
      <c r="AC86" s="19"/>
      <c r="AD86">
        <v>19</v>
      </c>
      <c r="AE86">
        <v>0</v>
      </c>
      <c r="AF86">
        <v>19</v>
      </c>
      <c r="AG86">
        <v>0</v>
      </c>
      <c r="AH86">
        <v>0</v>
      </c>
      <c r="AI86">
        <v>0</v>
      </c>
      <c r="AJ86">
        <f t="shared" si="1"/>
        <v>19</v>
      </c>
      <c r="AK86" t="s">
        <v>16</v>
      </c>
      <c r="AL86"/>
      <c r="AM86">
        <v>0</v>
      </c>
      <c r="AN86">
        <v>3</v>
      </c>
      <c r="AQ86" s="34"/>
    </row>
    <row r="87" spans="1:47" hidden="1" x14ac:dyDescent="0.2">
      <c r="A87" t="s">
        <v>280</v>
      </c>
      <c r="B87" t="s">
        <v>281</v>
      </c>
      <c r="C87">
        <v>1</v>
      </c>
      <c r="D87">
        <v>2</v>
      </c>
      <c r="E87" t="s">
        <v>282</v>
      </c>
      <c r="F87" s="1">
        <v>43347</v>
      </c>
      <c r="G87" s="37" t="s">
        <v>4032</v>
      </c>
      <c r="H87" s="37" t="s">
        <v>4724</v>
      </c>
      <c r="I87" s="2">
        <v>5.6944444444444443E-2</v>
      </c>
      <c r="J87" s="176">
        <v>9.4907407407407408E-4</v>
      </c>
      <c r="K87" s="6">
        <v>82</v>
      </c>
      <c r="M87" t="s">
        <v>283</v>
      </c>
      <c r="N87" t="s">
        <v>102</v>
      </c>
      <c r="O87" t="s">
        <v>12</v>
      </c>
      <c r="P87">
        <v>1</v>
      </c>
      <c r="R87">
        <v>0</v>
      </c>
      <c r="T87" t="s">
        <v>176</v>
      </c>
      <c r="U87" t="s">
        <v>176</v>
      </c>
      <c r="V87" t="s">
        <v>2060</v>
      </c>
      <c r="W87" t="s">
        <v>115</v>
      </c>
      <c r="X87" s="33" t="s">
        <v>115</v>
      </c>
      <c r="Y87" s="33" t="s">
        <v>115</v>
      </c>
      <c r="Z87" s="33" t="s">
        <v>115</v>
      </c>
      <c r="AA87" t="s">
        <v>115</v>
      </c>
      <c r="AB87" s="19" t="s">
        <v>115</v>
      </c>
      <c r="AD87">
        <v>0</v>
      </c>
      <c r="AE87">
        <v>0</v>
      </c>
      <c r="AF87">
        <v>0</v>
      </c>
      <c r="AG87">
        <v>0</v>
      </c>
      <c r="AH87">
        <v>0</v>
      </c>
      <c r="AI87">
        <v>0</v>
      </c>
      <c r="AJ87">
        <f t="shared" si="1"/>
        <v>0</v>
      </c>
      <c r="AK87" t="s">
        <v>16</v>
      </c>
      <c r="AM87">
        <v>0</v>
      </c>
      <c r="AN87">
        <v>3</v>
      </c>
      <c r="AO87" s="33"/>
      <c r="AP87" s="33"/>
      <c r="AQ87" s="34"/>
      <c r="AR87" s="33"/>
      <c r="AS87" s="33"/>
      <c r="AT87" s="33"/>
      <c r="AU87" s="33"/>
    </row>
    <row r="88" spans="1:47" s="33" customFormat="1" x14ac:dyDescent="0.2">
      <c r="A88" t="s">
        <v>284</v>
      </c>
      <c r="B88" t="s">
        <v>285</v>
      </c>
      <c r="C88">
        <v>2</v>
      </c>
      <c r="D88">
        <v>1</v>
      </c>
      <c r="E88" t="s">
        <v>282</v>
      </c>
      <c r="F88" s="1">
        <v>43347</v>
      </c>
      <c r="G88" s="37" t="s">
        <v>4032</v>
      </c>
      <c r="H88" s="37" t="s">
        <v>4724</v>
      </c>
      <c r="I88" s="2">
        <v>1.4583333333333332E-2</v>
      </c>
      <c r="J88" s="176">
        <v>2.4305555555555552E-4</v>
      </c>
      <c r="K88" s="6">
        <v>21</v>
      </c>
      <c r="L88"/>
      <c r="M88" t="s">
        <v>283</v>
      </c>
      <c r="N88" t="s">
        <v>228</v>
      </c>
      <c r="O88" t="s">
        <v>23</v>
      </c>
      <c r="P88">
        <v>1</v>
      </c>
      <c r="Q88"/>
      <c r="R88">
        <v>0</v>
      </c>
      <c r="S88"/>
      <c r="T88" t="s">
        <v>176</v>
      </c>
      <c r="U88" t="s">
        <v>176</v>
      </c>
      <c r="V88" t="s">
        <v>134</v>
      </c>
      <c r="W88" t="s">
        <v>115</v>
      </c>
      <c r="X88" s="33" t="s">
        <v>115</v>
      </c>
      <c r="Y88" s="33" t="s">
        <v>115</v>
      </c>
      <c r="Z88" s="33" t="s">
        <v>115</v>
      </c>
      <c r="AA88" t="s">
        <v>115</v>
      </c>
      <c r="AB88" s="19" t="s">
        <v>115</v>
      </c>
      <c r="AC88" s="19"/>
      <c r="AD88">
        <v>0</v>
      </c>
      <c r="AE88">
        <v>16</v>
      </c>
      <c r="AF88">
        <v>16</v>
      </c>
      <c r="AG88">
        <v>0</v>
      </c>
      <c r="AH88">
        <v>0</v>
      </c>
      <c r="AI88">
        <v>0</v>
      </c>
      <c r="AJ88">
        <f t="shared" si="1"/>
        <v>16</v>
      </c>
      <c r="AK88" t="s">
        <v>286</v>
      </c>
      <c r="AL88"/>
      <c r="AM88">
        <v>0</v>
      </c>
      <c r="AN88">
        <v>0</v>
      </c>
      <c r="AQ88" s="34"/>
    </row>
    <row r="89" spans="1:47" s="33" customFormat="1" x14ac:dyDescent="0.2">
      <c r="A89" t="s">
        <v>287</v>
      </c>
      <c r="B89" t="s">
        <v>288</v>
      </c>
      <c r="C89">
        <v>1</v>
      </c>
      <c r="D89">
        <v>1</v>
      </c>
      <c r="E89" t="s">
        <v>272</v>
      </c>
      <c r="F89" s="1">
        <v>43347</v>
      </c>
      <c r="G89" s="37" t="s">
        <v>4032</v>
      </c>
      <c r="H89" s="37" t="s">
        <v>4724</v>
      </c>
      <c r="I89" s="2">
        <v>3.6805555555555557E-2</v>
      </c>
      <c r="J89" s="176">
        <v>6.134259259259259E-4</v>
      </c>
      <c r="K89" s="6">
        <v>53</v>
      </c>
      <c r="L89"/>
      <c r="M89" t="s">
        <v>241</v>
      </c>
      <c r="N89" t="s">
        <v>111</v>
      </c>
      <c r="O89" t="s">
        <v>23</v>
      </c>
      <c r="P89">
        <v>0</v>
      </c>
      <c r="Q89"/>
      <c r="R89">
        <v>1</v>
      </c>
      <c r="S89"/>
      <c r="T89" t="s">
        <v>176</v>
      </c>
      <c r="U89" t="s">
        <v>176</v>
      </c>
      <c r="V89" t="s">
        <v>2154</v>
      </c>
      <c r="W89" t="s">
        <v>263</v>
      </c>
      <c r="X89" s="44" t="s">
        <v>23</v>
      </c>
      <c r="Y89" s="44" t="s">
        <v>4004</v>
      </c>
      <c r="Z89" s="44" t="s">
        <v>4005</v>
      </c>
      <c r="AA89" t="s">
        <v>176</v>
      </c>
      <c r="AB89" s="19">
        <v>63.731529999999999</v>
      </c>
      <c r="AC89" s="19">
        <v>148.90401</v>
      </c>
      <c r="AD89">
        <v>0</v>
      </c>
      <c r="AE89">
        <v>0</v>
      </c>
      <c r="AF89">
        <v>0</v>
      </c>
      <c r="AG89">
        <v>0</v>
      </c>
      <c r="AH89">
        <v>0</v>
      </c>
      <c r="AI89">
        <v>0</v>
      </c>
      <c r="AJ89">
        <f t="shared" si="1"/>
        <v>0</v>
      </c>
      <c r="AK89" t="s">
        <v>115</v>
      </c>
      <c r="AL89" t="s">
        <v>289</v>
      </c>
      <c r="AM89">
        <v>0</v>
      </c>
      <c r="AN89">
        <v>0</v>
      </c>
      <c r="AO89"/>
      <c r="AP89"/>
      <c r="AQ89"/>
      <c r="AR89"/>
      <c r="AS89"/>
      <c r="AT89"/>
      <c r="AU89"/>
    </row>
    <row r="90" spans="1:47" s="33" customFormat="1" x14ac:dyDescent="0.2">
      <c r="A90" t="s">
        <v>290</v>
      </c>
      <c r="B90" t="s">
        <v>291</v>
      </c>
      <c r="C90">
        <v>1</v>
      </c>
      <c r="D90">
        <v>1</v>
      </c>
      <c r="E90" t="s">
        <v>292</v>
      </c>
      <c r="F90" s="1">
        <v>43347</v>
      </c>
      <c r="G90" s="37" t="s">
        <v>4032</v>
      </c>
      <c r="H90" s="37" t="s">
        <v>4724</v>
      </c>
      <c r="I90" s="2">
        <v>4.027777777777778E-2</v>
      </c>
      <c r="J90" s="176">
        <v>6.7129629629629625E-4</v>
      </c>
      <c r="K90" s="6">
        <v>58</v>
      </c>
      <c r="L90"/>
      <c r="M90" t="s">
        <v>24</v>
      </c>
      <c r="N90" t="s">
        <v>102</v>
      </c>
      <c r="O90" t="s">
        <v>23</v>
      </c>
      <c r="P90">
        <v>1</v>
      </c>
      <c r="Q90"/>
      <c r="R90">
        <v>0</v>
      </c>
      <c r="S90"/>
      <c r="T90" t="s">
        <v>176</v>
      </c>
      <c r="U90" t="s">
        <v>176</v>
      </c>
      <c r="V90" t="s">
        <v>134</v>
      </c>
      <c r="W90" t="s">
        <v>115</v>
      </c>
      <c r="X90" s="33" t="s">
        <v>115</v>
      </c>
      <c r="Y90" s="33" t="s">
        <v>115</v>
      </c>
      <c r="Z90" s="33" t="s">
        <v>115</v>
      </c>
      <c r="AA90" t="s">
        <v>115</v>
      </c>
      <c r="AB90" s="19" t="s">
        <v>115</v>
      </c>
      <c r="AC90" s="19"/>
      <c r="AD90">
        <v>0</v>
      </c>
      <c r="AE90">
        <v>30</v>
      </c>
      <c r="AF90">
        <v>0</v>
      </c>
      <c r="AG90">
        <v>30</v>
      </c>
      <c r="AH90">
        <v>0</v>
      </c>
      <c r="AI90">
        <v>0</v>
      </c>
      <c r="AJ90">
        <f t="shared" si="1"/>
        <v>30</v>
      </c>
      <c r="AK90" t="s">
        <v>16</v>
      </c>
      <c r="AL90"/>
      <c r="AM90">
        <v>0</v>
      </c>
      <c r="AN90">
        <v>3</v>
      </c>
      <c r="AQ90" s="34"/>
    </row>
    <row r="91" spans="1:47" x14ac:dyDescent="0.2">
      <c r="A91" t="s">
        <v>293</v>
      </c>
      <c r="B91" t="s">
        <v>294</v>
      </c>
      <c r="C91">
        <v>1</v>
      </c>
      <c r="D91">
        <v>1</v>
      </c>
      <c r="E91" t="s">
        <v>5052</v>
      </c>
      <c r="F91" s="1">
        <v>43347</v>
      </c>
      <c r="G91" s="37" t="s">
        <v>4032</v>
      </c>
      <c r="H91" s="37" t="s">
        <v>4724</v>
      </c>
      <c r="I91" s="2">
        <v>4.3055555555555562E-2</v>
      </c>
      <c r="J91" s="176">
        <v>7.175925925925927E-4</v>
      </c>
      <c r="K91" s="6">
        <v>62</v>
      </c>
      <c r="M91" t="s">
        <v>241</v>
      </c>
      <c r="N91" t="s">
        <v>102</v>
      </c>
      <c r="O91" t="s">
        <v>23</v>
      </c>
      <c r="P91">
        <v>1</v>
      </c>
      <c r="R91">
        <v>0</v>
      </c>
      <c r="T91" t="s">
        <v>176</v>
      </c>
      <c r="U91" t="s">
        <v>176</v>
      </c>
      <c r="V91" t="s">
        <v>3976</v>
      </c>
      <c r="W91" t="s">
        <v>115</v>
      </c>
      <c r="X91" s="33" t="s">
        <v>115</v>
      </c>
      <c r="Y91" s="33" t="s">
        <v>115</v>
      </c>
      <c r="Z91" s="33" t="s">
        <v>115</v>
      </c>
      <c r="AA91" t="s">
        <v>115</v>
      </c>
      <c r="AB91" s="19" t="s">
        <v>115</v>
      </c>
      <c r="AD91">
        <v>19</v>
      </c>
      <c r="AE91">
        <v>0</v>
      </c>
      <c r="AF91">
        <v>0</v>
      </c>
      <c r="AG91">
        <v>19</v>
      </c>
      <c r="AH91">
        <v>0</v>
      </c>
      <c r="AI91">
        <v>0</v>
      </c>
      <c r="AJ91">
        <f t="shared" si="1"/>
        <v>19</v>
      </c>
      <c r="AK91" t="s">
        <v>16</v>
      </c>
      <c r="AM91">
        <v>0</v>
      </c>
      <c r="AN91">
        <v>5</v>
      </c>
      <c r="AO91" s="7"/>
      <c r="AP91" s="7"/>
      <c r="AQ91" s="7"/>
      <c r="AR91" s="7"/>
      <c r="AS91" s="7"/>
      <c r="AT91" s="7"/>
      <c r="AU91" s="7"/>
    </row>
    <row r="92" spans="1:47" s="33" customFormat="1" x14ac:dyDescent="0.2">
      <c r="A92" s="33" t="s">
        <v>296</v>
      </c>
      <c r="B92" s="33" t="s">
        <v>297</v>
      </c>
      <c r="C92" s="33">
        <v>2</v>
      </c>
      <c r="D92" s="33">
        <v>1</v>
      </c>
      <c r="E92" s="33" t="s">
        <v>5052</v>
      </c>
      <c r="F92" s="37">
        <v>43347</v>
      </c>
      <c r="G92" s="37" t="s">
        <v>4032</v>
      </c>
      <c r="H92" s="37" t="s">
        <v>4724</v>
      </c>
      <c r="I92" s="36">
        <v>1.3888888888888888E-2</v>
      </c>
      <c r="J92" s="177">
        <v>2.3148148148148146E-4</v>
      </c>
      <c r="K92" s="39">
        <v>20</v>
      </c>
      <c r="M92" s="33" t="s">
        <v>241</v>
      </c>
      <c r="N92" s="33" t="s">
        <v>102</v>
      </c>
      <c r="O92" s="33" t="s">
        <v>115</v>
      </c>
      <c r="P92" s="33">
        <v>1</v>
      </c>
      <c r="R92" s="33">
        <v>0</v>
      </c>
      <c r="T92" t="s">
        <v>112</v>
      </c>
      <c r="U92" s="33" t="s">
        <v>112</v>
      </c>
      <c r="V92" s="33" t="s">
        <v>122</v>
      </c>
      <c r="W92" s="33" t="s">
        <v>115</v>
      </c>
      <c r="X92" s="33" t="s">
        <v>115</v>
      </c>
      <c r="Y92" s="33" t="s">
        <v>115</v>
      </c>
      <c r="Z92" s="33" t="s">
        <v>115</v>
      </c>
      <c r="AA92" s="33" t="s">
        <v>115</v>
      </c>
      <c r="AB92" s="35" t="s">
        <v>115</v>
      </c>
      <c r="AC92" s="35"/>
      <c r="AD92" s="33">
        <v>0</v>
      </c>
      <c r="AE92" s="33">
        <v>0</v>
      </c>
      <c r="AF92" s="33">
        <v>0</v>
      </c>
      <c r="AG92" s="33">
        <v>0</v>
      </c>
      <c r="AH92" s="33">
        <v>14</v>
      </c>
      <c r="AI92" s="33">
        <v>0</v>
      </c>
      <c r="AJ92" s="33">
        <f t="shared" si="1"/>
        <v>14</v>
      </c>
      <c r="AK92" s="33" t="s">
        <v>103</v>
      </c>
      <c r="AQ92" s="34" t="s">
        <v>3946</v>
      </c>
    </row>
    <row r="93" spans="1:47" s="33" customFormat="1" hidden="1" x14ac:dyDescent="0.2">
      <c r="A93" t="s">
        <v>298</v>
      </c>
      <c r="B93" t="s">
        <v>299</v>
      </c>
      <c r="C93">
        <v>3</v>
      </c>
      <c r="D93">
        <v>2</v>
      </c>
      <c r="E93" t="s">
        <v>5052</v>
      </c>
      <c r="F93" s="1">
        <v>43347</v>
      </c>
      <c r="G93" s="37" t="s">
        <v>4032</v>
      </c>
      <c r="H93" s="37" t="s">
        <v>4724</v>
      </c>
      <c r="I93" s="2">
        <v>4.5833333333333337E-2</v>
      </c>
      <c r="J93" s="176">
        <v>7.6388888888888893E-4</v>
      </c>
      <c r="K93" s="6">
        <v>66</v>
      </c>
      <c r="L93"/>
      <c r="M93" t="s">
        <v>241</v>
      </c>
      <c r="N93" t="s">
        <v>187</v>
      </c>
      <c r="O93" t="s">
        <v>23</v>
      </c>
      <c r="P93" t="s">
        <v>24</v>
      </c>
      <c r="Q93"/>
      <c r="R93">
        <v>1</v>
      </c>
      <c r="S93"/>
      <c r="T93" t="s">
        <v>176</v>
      </c>
      <c r="U93" t="s">
        <v>176</v>
      </c>
      <c r="V93" t="s">
        <v>122</v>
      </c>
      <c r="W93" t="s">
        <v>2068</v>
      </c>
      <c r="X93" s="33" t="s">
        <v>23</v>
      </c>
      <c r="Y93" s="33" t="s">
        <v>3997</v>
      </c>
      <c r="Z93" s="33" t="s">
        <v>4005</v>
      </c>
      <c r="AA93" t="s">
        <v>176</v>
      </c>
      <c r="AB93" s="20" t="s">
        <v>246</v>
      </c>
      <c r="AC93" s="20"/>
      <c r="AD93">
        <v>0</v>
      </c>
      <c r="AE93">
        <v>0</v>
      </c>
      <c r="AF93">
        <v>0</v>
      </c>
      <c r="AG93">
        <v>0</v>
      </c>
      <c r="AH93">
        <v>0</v>
      </c>
      <c r="AI93">
        <v>0</v>
      </c>
      <c r="AJ93">
        <f t="shared" si="1"/>
        <v>0</v>
      </c>
      <c r="AK93"/>
      <c r="AL93" t="s">
        <v>2058</v>
      </c>
      <c r="AM93"/>
      <c r="AN93"/>
      <c r="AQ93" s="34"/>
    </row>
    <row r="94" spans="1:47" x14ac:dyDescent="0.2">
      <c r="A94" s="33" t="s">
        <v>298</v>
      </c>
      <c r="B94" s="33" t="s">
        <v>299</v>
      </c>
      <c r="C94" s="33">
        <v>3</v>
      </c>
      <c r="D94" s="33">
        <v>1</v>
      </c>
      <c r="E94" s="33" t="s">
        <v>5052</v>
      </c>
      <c r="F94" s="37">
        <v>43347</v>
      </c>
      <c r="G94" s="37" t="s">
        <v>4032</v>
      </c>
      <c r="H94" s="37" t="s">
        <v>4724</v>
      </c>
      <c r="I94" s="36">
        <v>4.5833333333333337E-2</v>
      </c>
      <c r="J94" s="177">
        <v>7.6388888888888893E-4</v>
      </c>
      <c r="K94" s="39">
        <v>66</v>
      </c>
      <c r="L94" s="33"/>
      <c r="M94" s="33" t="s">
        <v>241</v>
      </c>
      <c r="N94" s="33" t="s">
        <v>187</v>
      </c>
      <c r="O94" s="33" t="s">
        <v>23</v>
      </c>
      <c r="P94" s="33">
        <v>1</v>
      </c>
      <c r="Q94" s="33"/>
      <c r="R94" s="33">
        <v>1</v>
      </c>
      <c r="S94" s="33"/>
      <c r="T94" t="s">
        <v>176</v>
      </c>
      <c r="U94" s="33" t="s">
        <v>176</v>
      </c>
      <c r="V94" s="33" t="s">
        <v>122</v>
      </c>
      <c r="W94" s="33" t="s">
        <v>3963</v>
      </c>
      <c r="X94" s="33" t="s">
        <v>23</v>
      </c>
      <c r="Y94" s="33" t="s">
        <v>3997</v>
      </c>
      <c r="Z94" s="33" t="s">
        <v>4007</v>
      </c>
      <c r="AA94" s="33" t="s">
        <v>176</v>
      </c>
      <c r="AB94" s="35" t="s">
        <v>246</v>
      </c>
      <c r="AC94" s="35"/>
      <c r="AD94" s="33">
        <v>0</v>
      </c>
      <c r="AE94" s="33">
        <v>0</v>
      </c>
      <c r="AF94" s="33">
        <v>0</v>
      </c>
      <c r="AG94" s="33">
        <v>0</v>
      </c>
      <c r="AH94" s="33">
        <v>6</v>
      </c>
      <c r="AI94" s="33">
        <v>0</v>
      </c>
      <c r="AJ94" s="33">
        <f t="shared" si="1"/>
        <v>6</v>
      </c>
      <c r="AK94" s="33"/>
      <c r="AL94" s="33" t="s">
        <v>2057</v>
      </c>
      <c r="AM94" s="33"/>
      <c r="AN94" s="33"/>
    </row>
    <row r="95" spans="1:47" x14ac:dyDescent="0.2">
      <c r="A95" s="33" t="s">
        <v>300</v>
      </c>
      <c r="B95" s="33" t="s">
        <v>301</v>
      </c>
      <c r="C95" s="33">
        <v>4</v>
      </c>
      <c r="D95" s="33">
        <v>1</v>
      </c>
      <c r="E95" s="33" t="s">
        <v>5052</v>
      </c>
      <c r="F95" s="37">
        <v>43347</v>
      </c>
      <c r="G95" s="37" t="s">
        <v>4032</v>
      </c>
      <c r="H95" s="37" t="s">
        <v>4724</v>
      </c>
      <c r="I95" s="36">
        <v>0.1013888888888889</v>
      </c>
      <c r="J95" s="177">
        <v>1.689814814814815E-3</v>
      </c>
      <c r="K95" s="39">
        <v>146</v>
      </c>
      <c r="L95" s="33"/>
      <c r="M95" s="33" t="s">
        <v>241</v>
      </c>
      <c r="N95" s="33" t="s">
        <v>302</v>
      </c>
      <c r="O95" s="33" t="s">
        <v>23</v>
      </c>
      <c r="P95" s="33">
        <v>1</v>
      </c>
      <c r="Q95" s="33"/>
      <c r="R95" s="33">
        <v>1</v>
      </c>
      <c r="S95" s="33"/>
      <c r="T95" t="s">
        <v>176</v>
      </c>
      <c r="U95" s="33" t="s">
        <v>176</v>
      </c>
      <c r="V95" s="33" t="s">
        <v>122</v>
      </c>
      <c r="W95" s="33" t="s">
        <v>4009</v>
      </c>
      <c r="X95" s="33" t="s">
        <v>23</v>
      </c>
      <c r="Y95" s="33" t="s">
        <v>3999</v>
      </c>
      <c r="Z95" s="33" t="s">
        <v>4006</v>
      </c>
      <c r="AA95" s="33" t="s">
        <v>176</v>
      </c>
      <c r="AB95" s="35">
        <v>63.721440000000001</v>
      </c>
      <c r="AC95" s="35">
        <v>148.95258000000001</v>
      </c>
      <c r="AD95" s="33">
        <v>0</v>
      </c>
      <c r="AE95" s="33">
        <v>0</v>
      </c>
      <c r="AF95" s="33">
        <v>0</v>
      </c>
      <c r="AG95" s="33">
        <v>0</v>
      </c>
      <c r="AH95" s="33">
        <v>91</v>
      </c>
      <c r="AI95" s="33">
        <v>0</v>
      </c>
      <c r="AJ95" s="33">
        <f t="shared" si="1"/>
        <v>91</v>
      </c>
      <c r="AK95" s="33" t="s">
        <v>303</v>
      </c>
      <c r="AL95" s="33" t="s">
        <v>304</v>
      </c>
      <c r="AM95" s="33"/>
      <c r="AN95" s="33"/>
      <c r="AO95" s="33"/>
      <c r="AP95" s="33"/>
      <c r="AQ95" s="34"/>
      <c r="AR95" s="33"/>
      <c r="AS95" s="33"/>
      <c r="AT95" s="33"/>
      <c r="AU95" s="33"/>
    </row>
    <row r="96" spans="1:47" s="33" customFormat="1" x14ac:dyDescent="0.2">
      <c r="A96" s="33" t="s">
        <v>305</v>
      </c>
      <c r="B96" s="33" t="s">
        <v>306</v>
      </c>
      <c r="C96" s="33">
        <v>5</v>
      </c>
      <c r="D96" s="33">
        <v>1</v>
      </c>
      <c r="E96" s="33" t="s">
        <v>5052</v>
      </c>
      <c r="F96" s="37">
        <v>43347</v>
      </c>
      <c r="G96" s="37" t="s">
        <v>4032</v>
      </c>
      <c r="H96" s="37" t="s">
        <v>4724</v>
      </c>
      <c r="I96" s="36">
        <v>9.0972222222222218E-2</v>
      </c>
      <c r="J96" s="177">
        <v>1.5162037037037036E-3</v>
      </c>
      <c r="K96" s="39">
        <v>131</v>
      </c>
      <c r="M96" s="33" t="s">
        <v>241</v>
      </c>
      <c r="N96" s="33" t="s">
        <v>187</v>
      </c>
      <c r="O96" s="33" t="s">
        <v>23</v>
      </c>
      <c r="P96" s="33">
        <v>1</v>
      </c>
      <c r="R96" s="33">
        <v>1</v>
      </c>
      <c r="T96" t="s">
        <v>112</v>
      </c>
      <c r="U96" s="33" t="s">
        <v>112</v>
      </c>
      <c r="V96" s="33" t="s">
        <v>122</v>
      </c>
      <c r="W96" s="33" t="s">
        <v>3978</v>
      </c>
      <c r="X96" s="33" t="s">
        <v>23</v>
      </c>
      <c r="Y96" s="33" t="s">
        <v>3997</v>
      </c>
      <c r="Z96" s="33" t="s">
        <v>4007</v>
      </c>
      <c r="AA96" s="33" t="s">
        <v>176</v>
      </c>
      <c r="AB96" s="35">
        <v>63.721400000000003</v>
      </c>
      <c r="AC96" s="35">
        <v>148.95255</v>
      </c>
      <c r="AD96" s="33">
        <v>0</v>
      </c>
      <c r="AE96" s="33">
        <v>0</v>
      </c>
      <c r="AF96" s="33">
        <v>0</v>
      </c>
      <c r="AG96" s="33">
        <v>0</v>
      </c>
      <c r="AH96" s="33">
        <v>30</v>
      </c>
      <c r="AI96" s="33">
        <v>0</v>
      </c>
      <c r="AJ96" s="33">
        <f t="shared" si="1"/>
        <v>30</v>
      </c>
      <c r="AK96" s="33" t="s">
        <v>103</v>
      </c>
      <c r="AO96"/>
      <c r="AP96"/>
      <c r="AQ96"/>
      <c r="AR96"/>
      <c r="AS96"/>
      <c r="AT96"/>
      <c r="AU96"/>
    </row>
    <row r="97" spans="1:47" x14ac:dyDescent="0.2">
      <c r="A97" s="33" t="s">
        <v>307</v>
      </c>
      <c r="B97" s="33" t="s">
        <v>308</v>
      </c>
      <c r="C97" s="33">
        <v>6</v>
      </c>
      <c r="D97" s="33">
        <v>1</v>
      </c>
      <c r="E97" s="33" t="s">
        <v>5052</v>
      </c>
      <c r="F97" s="37">
        <v>43347</v>
      </c>
      <c r="G97" s="37" t="s">
        <v>4032</v>
      </c>
      <c r="H97" s="37" t="s">
        <v>4724</v>
      </c>
      <c r="I97" s="36">
        <v>0.10555555555555556</v>
      </c>
      <c r="J97" s="177">
        <v>1.7592592592592592E-3</v>
      </c>
      <c r="K97" s="39">
        <v>152</v>
      </c>
      <c r="L97" s="33"/>
      <c r="M97" s="33" t="s">
        <v>241</v>
      </c>
      <c r="N97" s="33" t="s">
        <v>102</v>
      </c>
      <c r="O97" s="33" t="s">
        <v>23</v>
      </c>
      <c r="P97" s="33">
        <v>1</v>
      </c>
      <c r="Q97" s="33" t="s">
        <v>2290</v>
      </c>
      <c r="R97" s="33">
        <v>0</v>
      </c>
      <c r="S97" s="33"/>
      <c r="T97" t="s">
        <v>176</v>
      </c>
      <c r="U97" s="33" t="s">
        <v>176</v>
      </c>
      <c r="V97" s="33" t="s">
        <v>122</v>
      </c>
      <c r="W97" s="33" t="s">
        <v>115</v>
      </c>
      <c r="X97" s="33" t="s">
        <v>115</v>
      </c>
      <c r="Y97" s="33" t="s">
        <v>115</v>
      </c>
      <c r="Z97" s="33" t="s">
        <v>115</v>
      </c>
      <c r="AA97" s="33" t="s">
        <v>115</v>
      </c>
      <c r="AB97" s="35" t="s">
        <v>115</v>
      </c>
      <c r="AC97" s="35"/>
      <c r="AD97" s="33">
        <v>0</v>
      </c>
      <c r="AE97" s="33">
        <v>2</v>
      </c>
      <c r="AF97" s="33">
        <v>0</v>
      </c>
      <c r="AG97" s="33">
        <v>2</v>
      </c>
      <c r="AH97" s="39">
        <v>125</v>
      </c>
      <c r="AI97" s="33">
        <v>0</v>
      </c>
      <c r="AJ97" s="33">
        <f t="shared" si="1"/>
        <v>127</v>
      </c>
      <c r="AK97" s="33"/>
      <c r="AL97" s="33"/>
      <c r="AM97" s="33"/>
      <c r="AN97" s="33">
        <v>6</v>
      </c>
      <c r="AO97" s="33"/>
      <c r="AP97" s="33"/>
      <c r="AQ97" s="34"/>
      <c r="AR97" s="33"/>
      <c r="AS97" s="33"/>
      <c r="AT97" s="33"/>
      <c r="AU97" s="33"/>
    </row>
    <row r="98" spans="1:47" s="33" customFormat="1" hidden="1" x14ac:dyDescent="0.2">
      <c r="A98" t="s">
        <v>307</v>
      </c>
      <c r="B98" t="s">
        <v>308</v>
      </c>
      <c r="C98">
        <v>6</v>
      </c>
      <c r="D98">
        <v>2</v>
      </c>
      <c r="E98" t="s">
        <v>5052</v>
      </c>
      <c r="F98" s="1">
        <v>43347</v>
      </c>
      <c r="G98" s="37" t="s">
        <v>4032</v>
      </c>
      <c r="H98" s="37" t="s">
        <v>4724</v>
      </c>
      <c r="I98" s="2">
        <v>0.10555555555555556</v>
      </c>
      <c r="J98" s="176">
        <v>1.7592592592592592E-3</v>
      </c>
      <c r="K98" s="6">
        <v>152</v>
      </c>
      <c r="L98"/>
      <c r="M98" t="s">
        <v>241</v>
      </c>
      <c r="N98" t="s">
        <v>102</v>
      </c>
      <c r="O98" t="s">
        <v>23</v>
      </c>
      <c r="P98">
        <v>1</v>
      </c>
      <c r="Q98"/>
      <c r="R98">
        <v>0</v>
      </c>
      <c r="S98"/>
      <c r="T98" t="s">
        <v>176</v>
      </c>
      <c r="U98" t="s">
        <v>176</v>
      </c>
      <c r="V98" t="s">
        <v>2059</v>
      </c>
      <c r="W98" t="s">
        <v>115</v>
      </c>
      <c r="X98" s="33" t="s">
        <v>115</v>
      </c>
      <c r="Y98" s="33" t="s">
        <v>115</v>
      </c>
      <c r="Z98" s="33" t="s">
        <v>115</v>
      </c>
      <c r="AA98" t="s">
        <v>115</v>
      </c>
      <c r="AB98" s="19" t="s">
        <v>115</v>
      </c>
      <c r="AC98" s="19"/>
      <c r="AD98">
        <v>0</v>
      </c>
      <c r="AE98">
        <v>0</v>
      </c>
      <c r="AF98">
        <v>0</v>
      </c>
      <c r="AG98">
        <v>0</v>
      </c>
      <c r="AH98" s="6">
        <v>0</v>
      </c>
      <c r="AI98">
        <v>0</v>
      </c>
      <c r="AJ98">
        <f t="shared" si="1"/>
        <v>0</v>
      </c>
      <c r="AK98"/>
      <c r="AL98" t="s">
        <v>4898</v>
      </c>
      <c r="AM98"/>
      <c r="AN98">
        <v>6</v>
      </c>
      <c r="AQ98" s="34"/>
    </row>
    <row r="99" spans="1:47" s="33" customFormat="1" x14ac:dyDescent="0.2">
      <c r="A99" s="33" t="s">
        <v>309</v>
      </c>
      <c r="B99" s="33" t="s">
        <v>313</v>
      </c>
      <c r="C99" s="33">
        <v>7</v>
      </c>
      <c r="D99" s="33">
        <v>1</v>
      </c>
      <c r="E99" s="33" t="s">
        <v>5052</v>
      </c>
      <c r="F99" s="37">
        <v>43347</v>
      </c>
      <c r="G99" s="37" t="s">
        <v>4032</v>
      </c>
      <c r="H99" s="37" t="s">
        <v>4724</v>
      </c>
      <c r="J99" s="177"/>
      <c r="K99" s="39">
        <v>0</v>
      </c>
      <c r="M99" s="33" t="s">
        <v>241</v>
      </c>
      <c r="N99" s="33" t="s">
        <v>187</v>
      </c>
      <c r="O99" s="33" t="s">
        <v>23</v>
      </c>
      <c r="P99" s="33">
        <v>1</v>
      </c>
      <c r="R99" s="33">
        <v>1</v>
      </c>
      <c r="T99" t="s">
        <v>14</v>
      </c>
      <c r="U99" s="33" t="s">
        <v>2128</v>
      </c>
      <c r="V99" s="33" t="s">
        <v>122</v>
      </c>
      <c r="W99" s="33" t="s">
        <v>1271</v>
      </c>
      <c r="X99" s="33" t="s">
        <v>23</v>
      </c>
      <c r="Y99" s="33" t="s">
        <v>3997</v>
      </c>
      <c r="Z99" s="33" t="s">
        <v>4006</v>
      </c>
      <c r="AA99" s="33" t="s">
        <v>24</v>
      </c>
      <c r="AB99" s="35" t="s">
        <v>246</v>
      </c>
      <c r="AC99" s="35"/>
      <c r="AD99" s="33">
        <v>0</v>
      </c>
      <c r="AE99" s="33">
        <v>0</v>
      </c>
      <c r="AF99" s="33">
        <v>0</v>
      </c>
      <c r="AG99" s="33">
        <v>0</v>
      </c>
      <c r="AH99" s="33">
        <v>24</v>
      </c>
      <c r="AI99" s="33">
        <v>0</v>
      </c>
      <c r="AJ99" s="33">
        <f t="shared" si="1"/>
        <v>24</v>
      </c>
      <c r="AL99" s="33" t="s">
        <v>310</v>
      </c>
      <c r="AQ99" s="34"/>
    </row>
    <row r="100" spans="1:47" x14ac:dyDescent="0.2">
      <c r="A100" t="s">
        <v>311</v>
      </c>
      <c r="B100" t="s">
        <v>312</v>
      </c>
      <c r="C100">
        <v>8</v>
      </c>
      <c r="D100">
        <v>1</v>
      </c>
      <c r="E100" t="s">
        <v>5052</v>
      </c>
      <c r="F100" s="1">
        <v>43347</v>
      </c>
      <c r="G100" s="37" t="s">
        <v>4032</v>
      </c>
      <c r="H100" s="37" t="s">
        <v>4724</v>
      </c>
      <c r="I100" s="2">
        <v>4.6527777777777779E-2</v>
      </c>
      <c r="J100" s="176" t="s">
        <v>5100</v>
      </c>
      <c r="K100" s="6">
        <v>67</v>
      </c>
      <c r="M100" t="s">
        <v>241</v>
      </c>
      <c r="N100" t="s">
        <v>159</v>
      </c>
      <c r="O100" t="s">
        <v>23</v>
      </c>
      <c r="P100">
        <v>0</v>
      </c>
      <c r="R100">
        <v>1</v>
      </c>
      <c r="T100" t="s">
        <v>176</v>
      </c>
      <c r="U100" t="s">
        <v>176</v>
      </c>
      <c r="V100" t="s">
        <v>24</v>
      </c>
      <c r="W100" t="s">
        <v>263</v>
      </c>
      <c r="X100" s="33" t="s">
        <v>23</v>
      </c>
      <c r="Y100" s="33" t="s">
        <v>4004</v>
      </c>
      <c r="Z100" s="33" t="s">
        <v>4005</v>
      </c>
      <c r="AA100" t="s">
        <v>24</v>
      </c>
      <c r="AB100" s="19">
        <v>63.721640000000001</v>
      </c>
      <c r="AC100" s="19">
        <v>148.95113000000001</v>
      </c>
      <c r="AD100">
        <v>0</v>
      </c>
      <c r="AE100">
        <v>0</v>
      </c>
      <c r="AF100">
        <v>0</v>
      </c>
      <c r="AG100">
        <v>0</v>
      </c>
      <c r="AH100">
        <v>0</v>
      </c>
      <c r="AI100">
        <v>0</v>
      </c>
      <c r="AJ100">
        <f t="shared" si="1"/>
        <v>0</v>
      </c>
      <c r="AL100" t="s">
        <v>314</v>
      </c>
      <c r="AO100" s="33"/>
      <c r="AP100" s="33"/>
      <c r="AQ100" s="34"/>
      <c r="AR100" s="33"/>
      <c r="AS100" s="33"/>
      <c r="AT100" s="33"/>
      <c r="AU100" s="33"/>
    </row>
    <row r="101" spans="1:47" x14ac:dyDescent="0.2">
      <c r="A101" s="33" t="s">
        <v>315</v>
      </c>
      <c r="B101" s="33" t="s">
        <v>316</v>
      </c>
      <c r="C101" s="33">
        <v>9</v>
      </c>
      <c r="D101" s="33">
        <v>1</v>
      </c>
      <c r="E101" s="33" t="s">
        <v>5052</v>
      </c>
      <c r="F101" s="37">
        <v>43347</v>
      </c>
      <c r="G101" s="37" t="s">
        <v>4032</v>
      </c>
      <c r="H101" s="37" t="s">
        <v>4724</v>
      </c>
      <c r="I101" s="36">
        <v>6.0416666666666667E-2</v>
      </c>
      <c r="J101" s="177">
        <v>1.0069444444444444E-3</v>
      </c>
      <c r="K101" s="39">
        <v>87</v>
      </c>
      <c r="L101" s="33"/>
      <c r="M101" s="33" t="s">
        <v>241</v>
      </c>
      <c r="N101" s="33" t="s">
        <v>187</v>
      </c>
      <c r="O101" s="33" t="s">
        <v>23</v>
      </c>
      <c r="P101" s="33">
        <v>1</v>
      </c>
      <c r="Q101" s="33"/>
      <c r="R101" s="33">
        <v>0</v>
      </c>
      <c r="S101" s="33"/>
      <c r="T101" t="s">
        <v>176</v>
      </c>
      <c r="U101" s="33" t="s">
        <v>176</v>
      </c>
      <c r="V101" s="33" t="s">
        <v>122</v>
      </c>
      <c r="W101" s="33" t="s">
        <v>115</v>
      </c>
      <c r="X101" s="33" t="s">
        <v>115</v>
      </c>
      <c r="Y101" s="33" t="s">
        <v>115</v>
      </c>
      <c r="Z101" s="33" t="s">
        <v>115</v>
      </c>
      <c r="AA101" s="33" t="s">
        <v>115</v>
      </c>
      <c r="AB101" s="35" t="s">
        <v>115</v>
      </c>
      <c r="AC101" s="35"/>
      <c r="AD101" s="33">
        <v>0</v>
      </c>
      <c r="AE101" s="33">
        <v>0</v>
      </c>
      <c r="AF101" s="33">
        <v>0</v>
      </c>
      <c r="AG101" s="33">
        <v>0</v>
      </c>
      <c r="AH101" s="33">
        <v>22</v>
      </c>
      <c r="AI101" s="33">
        <v>0</v>
      </c>
      <c r="AJ101" s="33">
        <f t="shared" si="1"/>
        <v>22</v>
      </c>
      <c r="AK101" s="33"/>
      <c r="AL101" s="33"/>
      <c r="AM101" s="33"/>
      <c r="AN101" s="33"/>
    </row>
    <row r="102" spans="1:47" hidden="1" x14ac:dyDescent="0.2">
      <c r="A102" t="s">
        <v>315</v>
      </c>
      <c r="B102" t="s">
        <v>316</v>
      </c>
      <c r="C102">
        <v>9</v>
      </c>
      <c r="D102">
        <v>2</v>
      </c>
      <c r="E102" t="s">
        <v>5052</v>
      </c>
      <c r="F102" s="1">
        <v>43347</v>
      </c>
      <c r="G102" s="37" t="s">
        <v>4032</v>
      </c>
      <c r="H102" s="37" t="s">
        <v>4724</v>
      </c>
      <c r="I102" s="2">
        <v>6.0416666666666667E-2</v>
      </c>
      <c r="J102" s="176">
        <v>1.0069444444444444E-3</v>
      </c>
      <c r="K102" s="6">
        <v>87</v>
      </c>
      <c r="M102" t="s">
        <v>241</v>
      </c>
      <c r="N102" t="s">
        <v>187</v>
      </c>
      <c r="O102" t="s">
        <v>23</v>
      </c>
      <c r="P102">
        <v>1</v>
      </c>
      <c r="R102">
        <v>1</v>
      </c>
      <c r="T102" t="s">
        <v>14</v>
      </c>
      <c r="U102" t="s">
        <v>2128</v>
      </c>
      <c r="V102" t="s">
        <v>122</v>
      </c>
      <c r="W102" t="s">
        <v>3963</v>
      </c>
      <c r="X102" s="33" t="s">
        <v>23</v>
      </c>
      <c r="Y102" s="33" t="s">
        <v>3997</v>
      </c>
      <c r="Z102" s="33" t="s">
        <v>4007</v>
      </c>
      <c r="AA102" t="s">
        <v>176</v>
      </c>
      <c r="AB102" s="19">
        <v>63.721629999999998</v>
      </c>
      <c r="AC102" s="19">
        <v>148.95177000000001</v>
      </c>
      <c r="AD102">
        <v>0</v>
      </c>
      <c r="AE102">
        <v>0</v>
      </c>
      <c r="AF102">
        <v>0</v>
      </c>
      <c r="AG102">
        <v>0</v>
      </c>
      <c r="AH102">
        <v>0</v>
      </c>
      <c r="AI102">
        <v>0</v>
      </c>
      <c r="AJ102">
        <f t="shared" si="1"/>
        <v>0</v>
      </c>
      <c r="AO102" s="33"/>
      <c r="AP102" s="33"/>
      <c r="AQ102" s="34"/>
      <c r="AR102" s="33"/>
      <c r="AS102" s="33"/>
      <c r="AT102" s="33"/>
      <c r="AU102" s="33"/>
    </row>
    <row r="103" spans="1:47" hidden="1" x14ac:dyDescent="0.2">
      <c r="A103" t="s">
        <v>321</v>
      </c>
      <c r="B103" t="s">
        <v>317</v>
      </c>
      <c r="C103">
        <v>10</v>
      </c>
      <c r="D103">
        <v>2</v>
      </c>
      <c r="E103" t="s">
        <v>5052</v>
      </c>
      <c r="F103" s="1">
        <v>43347</v>
      </c>
      <c r="G103" s="37" t="s">
        <v>4032</v>
      </c>
      <c r="H103" s="37" t="s">
        <v>4724</v>
      </c>
      <c r="I103" s="2">
        <v>6.25E-2</v>
      </c>
      <c r="J103" s="176">
        <v>1.0416666666666667E-3</v>
      </c>
      <c r="K103" s="6">
        <v>90</v>
      </c>
      <c r="M103" t="s">
        <v>241</v>
      </c>
      <c r="N103" t="s">
        <v>102</v>
      </c>
      <c r="O103" t="s">
        <v>23</v>
      </c>
      <c r="P103">
        <v>1</v>
      </c>
      <c r="R103">
        <v>0</v>
      </c>
      <c r="T103" t="s">
        <v>598</v>
      </c>
      <c r="U103" t="s">
        <v>2108</v>
      </c>
      <c r="V103" t="s">
        <v>122</v>
      </c>
      <c r="W103" t="s">
        <v>115</v>
      </c>
      <c r="X103" s="33" t="s">
        <v>115</v>
      </c>
      <c r="Y103" s="33" t="s">
        <v>115</v>
      </c>
      <c r="Z103" s="33" t="s">
        <v>115</v>
      </c>
      <c r="AA103" t="s">
        <v>115</v>
      </c>
      <c r="AB103" s="19" t="s">
        <v>115</v>
      </c>
      <c r="AD103">
        <v>0</v>
      </c>
      <c r="AE103">
        <v>0</v>
      </c>
      <c r="AF103">
        <v>0</v>
      </c>
      <c r="AG103">
        <v>0</v>
      </c>
      <c r="AH103">
        <v>0</v>
      </c>
      <c r="AI103">
        <v>0</v>
      </c>
      <c r="AJ103">
        <f t="shared" si="1"/>
        <v>0</v>
      </c>
      <c r="AK103" t="s">
        <v>103</v>
      </c>
    </row>
    <row r="104" spans="1:47" x14ac:dyDescent="0.2">
      <c r="A104" s="33" t="s">
        <v>321</v>
      </c>
      <c r="B104" s="33" t="s">
        <v>317</v>
      </c>
      <c r="C104" s="33">
        <v>10</v>
      </c>
      <c r="D104" s="33">
        <v>1</v>
      </c>
      <c r="E104" s="33" t="s">
        <v>5052</v>
      </c>
      <c r="F104" s="37">
        <v>43347</v>
      </c>
      <c r="G104" s="37" t="s">
        <v>4032</v>
      </c>
      <c r="H104" s="37" t="s">
        <v>4724</v>
      </c>
      <c r="I104" s="36">
        <v>6.25E-2</v>
      </c>
      <c r="J104" s="177">
        <v>1.0416666666666667E-3</v>
      </c>
      <c r="K104" s="39">
        <v>90</v>
      </c>
      <c r="L104" s="33"/>
      <c r="M104" s="33" t="s">
        <v>241</v>
      </c>
      <c r="N104" s="33" t="s">
        <v>111</v>
      </c>
      <c r="O104" s="33" t="s">
        <v>23</v>
      </c>
      <c r="P104" s="33">
        <v>0</v>
      </c>
      <c r="Q104" s="33"/>
      <c r="R104" s="33">
        <v>1</v>
      </c>
      <c r="S104" s="33"/>
      <c r="T104" t="s">
        <v>176</v>
      </c>
      <c r="U104" s="33" t="s">
        <v>176</v>
      </c>
      <c r="V104" s="33" t="s">
        <v>24</v>
      </c>
      <c r="W104" s="7" t="s">
        <v>2068</v>
      </c>
      <c r="X104" s="33" t="s">
        <v>23</v>
      </c>
      <c r="Y104" s="33" t="s">
        <v>3997</v>
      </c>
      <c r="Z104" s="33" t="s">
        <v>4005</v>
      </c>
      <c r="AA104" s="33" t="s">
        <v>176</v>
      </c>
      <c r="AB104" s="35" t="s">
        <v>246</v>
      </c>
      <c r="AC104" s="35"/>
      <c r="AD104" s="33">
        <v>24</v>
      </c>
      <c r="AE104" s="33">
        <v>0</v>
      </c>
      <c r="AF104" s="33">
        <v>0</v>
      </c>
      <c r="AG104" s="33">
        <v>24</v>
      </c>
      <c r="AH104" s="33">
        <v>32</v>
      </c>
      <c r="AI104" s="33">
        <v>0</v>
      </c>
      <c r="AJ104" s="33">
        <f t="shared" si="1"/>
        <v>56</v>
      </c>
      <c r="AK104" s="33" t="s">
        <v>103</v>
      </c>
      <c r="AL104" s="33"/>
      <c r="AM104" s="33"/>
      <c r="AN104" s="33"/>
    </row>
    <row r="105" spans="1:47" x14ac:dyDescent="0.2">
      <c r="A105" s="33" t="s">
        <v>322</v>
      </c>
      <c r="B105" s="33" t="s">
        <v>318</v>
      </c>
      <c r="C105" s="33">
        <v>11</v>
      </c>
      <c r="D105" s="33">
        <v>1</v>
      </c>
      <c r="E105" s="33" t="s">
        <v>5052</v>
      </c>
      <c r="F105" s="37">
        <v>43347</v>
      </c>
      <c r="G105" s="37" t="s">
        <v>4032</v>
      </c>
      <c r="H105" s="37" t="s">
        <v>4724</v>
      </c>
      <c r="I105" s="36">
        <v>2.1527777777777781E-2</v>
      </c>
      <c r="J105" s="177">
        <v>3.5879629629629635E-4</v>
      </c>
      <c r="K105" s="39">
        <v>31</v>
      </c>
      <c r="L105" s="33"/>
      <c r="M105" s="33" t="s">
        <v>241</v>
      </c>
      <c r="N105" s="33" t="s">
        <v>187</v>
      </c>
      <c r="O105" s="33" t="s">
        <v>23</v>
      </c>
      <c r="P105" s="33">
        <v>1</v>
      </c>
      <c r="Q105" s="33"/>
      <c r="R105" s="33">
        <v>1</v>
      </c>
      <c r="S105" s="33"/>
      <c r="T105" t="s">
        <v>14</v>
      </c>
      <c r="U105" s="33" t="s">
        <v>2128</v>
      </c>
      <c r="V105" s="33" t="s">
        <v>122</v>
      </c>
      <c r="W105" s="33" t="s">
        <v>134</v>
      </c>
      <c r="X105" s="33" t="s">
        <v>23</v>
      </c>
      <c r="Y105" s="33" t="s">
        <v>24</v>
      </c>
      <c r="Z105" s="33" t="s">
        <v>4006</v>
      </c>
      <c r="AA105" s="33" t="s">
        <v>24</v>
      </c>
      <c r="AB105" s="35">
        <v>63.721429999999998</v>
      </c>
      <c r="AC105" s="35">
        <v>148.95343</v>
      </c>
      <c r="AD105" s="33">
        <v>0</v>
      </c>
      <c r="AE105" s="33">
        <v>0</v>
      </c>
      <c r="AF105" s="33">
        <v>0</v>
      </c>
      <c r="AG105" s="33">
        <v>0</v>
      </c>
      <c r="AH105" s="33">
        <v>13</v>
      </c>
      <c r="AI105" s="33">
        <v>0</v>
      </c>
      <c r="AJ105" s="33">
        <f t="shared" si="1"/>
        <v>13</v>
      </c>
      <c r="AK105" s="33" t="s">
        <v>103</v>
      </c>
      <c r="AL105" s="33" t="s">
        <v>4899</v>
      </c>
      <c r="AM105" s="33"/>
      <c r="AN105" s="33"/>
      <c r="AO105" s="33"/>
      <c r="AP105" s="33"/>
      <c r="AQ105" s="34"/>
      <c r="AR105" s="33"/>
      <c r="AS105" s="33"/>
      <c r="AT105" s="33"/>
      <c r="AU105" s="33"/>
    </row>
    <row r="106" spans="1:47" s="33" customFormat="1" x14ac:dyDescent="0.2">
      <c r="A106" t="s">
        <v>320</v>
      </c>
      <c r="B106" t="s">
        <v>323</v>
      </c>
      <c r="C106">
        <v>1</v>
      </c>
      <c r="D106">
        <v>1</v>
      </c>
      <c r="E106" t="s">
        <v>324</v>
      </c>
      <c r="F106" s="1">
        <v>43348</v>
      </c>
      <c r="G106" s="37" t="s">
        <v>4032</v>
      </c>
      <c r="H106" s="37" t="s">
        <v>4724</v>
      </c>
      <c r="I106"/>
      <c r="J106" s="176"/>
      <c r="K106" s="6">
        <v>0</v>
      </c>
      <c r="L106" t="s">
        <v>396</v>
      </c>
      <c r="M106" t="s">
        <v>325</v>
      </c>
      <c r="N106" t="s">
        <v>102</v>
      </c>
      <c r="O106" t="s">
        <v>12</v>
      </c>
      <c r="P106">
        <v>1</v>
      </c>
      <c r="Q106"/>
      <c r="R106">
        <v>0</v>
      </c>
      <c r="S106"/>
      <c r="T106" t="s">
        <v>598</v>
      </c>
      <c r="U106" t="s">
        <v>2113</v>
      </c>
      <c r="V106" t="s">
        <v>329</v>
      </c>
      <c r="W106" t="s">
        <v>115</v>
      </c>
      <c r="X106" s="33" t="s">
        <v>115</v>
      </c>
      <c r="Y106" s="33" t="s">
        <v>115</v>
      </c>
      <c r="Z106" s="33" t="s">
        <v>115</v>
      </c>
      <c r="AA106" t="s">
        <v>115</v>
      </c>
      <c r="AB106" s="19" t="s">
        <v>115</v>
      </c>
      <c r="AC106" s="19"/>
      <c r="AD106">
        <v>10</v>
      </c>
      <c r="AE106">
        <v>0</v>
      </c>
      <c r="AF106">
        <v>0</v>
      </c>
      <c r="AG106">
        <v>10</v>
      </c>
      <c r="AH106">
        <v>0</v>
      </c>
      <c r="AI106">
        <v>0</v>
      </c>
      <c r="AJ106">
        <f t="shared" si="1"/>
        <v>10</v>
      </c>
      <c r="AK106" t="s">
        <v>103</v>
      </c>
      <c r="AL106"/>
      <c r="AM106"/>
      <c r="AN106"/>
      <c r="AO106"/>
      <c r="AP106"/>
      <c r="AQ106"/>
      <c r="AR106"/>
      <c r="AS106"/>
      <c r="AT106"/>
      <c r="AU106"/>
    </row>
    <row r="107" spans="1:47" x14ac:dyDescent="0.2">
      <c r="A107" t="s">
        <v>326</v>
      </c>
      <c r="B107" t="s">
        <v>327</v>
      </c>
      <c r="C107">
        <v>2</v>
      </c>
      <c r="D107">
        <v>1</v>
      </c>
      <c r="E107" t="s">
        <v>324</v>
      </c>
      <c r="F107" s="1">
        <v>43348</v>
      </c>
      <c r="G107" s="37" t="s">
        <v>4032</v>
      </c>
      <c r="H107" s="37" t="s">
        <v>4724</v>
      </c>
      <c r="K107" s="6">
        <v>0</v>
      </c>
      <c r="L107" t="s">
        <v>396</v>
      </c>
      <c r="M107" t="s">
        <v>325</v>
      </c>
      <c r="N107" t="s">
        <v>102</v>
      </c>
      <c r="O107" t="s">
        <v>23</v>
      </c>
      <c r="P107">
        <v>1</v>
      </c>
      <c r="R107">
        <v>0</v>
      </c>
      <c r="T107" t="s">
        <v>176</v>
      </c>
      <c r="U107" t="s">
        <v>176</v>
      </c>
      <c r="V107" t="s">
        <v>2059</v>
      </c>
      <c r="W107" t="s">
        <v>115</v>
      </c>
      <c r="X107" s="33" t="s">
        <v>115</v>
      </c>
      <c r="Y107" s="33" t="s">
        <v>115</v>
      </c>
      <c r="Z107" s="33" t="s">
        <v>115</v>
      </c>
      <c r="AA107" t="s">
        <v>115</v>
      </c>
      <c r="AB107" s="19" t="s">
        <v>115</v>
      </c>
      <c r="AD107">
        <v>0</v>
      </c>
      <c r="AE107">
        <v>11</v>
      </c>
      <c r="AF107">
        <v>0</v>
      </c>
      <c r="AG107">
        <v>11</v>
      </c>
      <c r="AH107">
        <v>0</v>
      </c>
      <c r="AI107">
        <v>0</v>
      </c>
      <c r="AJ107">
        <f t="shared" si="1"/>
        <v>11</v>
      </c>
      <c r="AK107" t="s">
        <v>103</v>
      </c>
      <c r="AO107" s="33"/>
      <c r="AP107" s="33"/>
      <c r="AQ107" s="34"/>
      <c r="AR107" s="33"/>
      <c r="AS107" s="33"/>
      <c r="AT107" s="33"/>
      <c r="AU107" s="33"/>
    </row>
    <row r="108" spans="1:47" x14ac:dyDescent="0.2">
      <c r="A108" t="s">
        <v>326</v>
      </c>
      <c r="B108" t="s">
        <v>327</v>
      </c>
      <c r="C108">
        <v>2</v>
      </c>
      <c r="D108">
        <v>1</v>
      </c>
      <c r="E108" t="s">
        <v>324</v>
      </c>
      <c r="F108" s="1">
        <v>43348</v>
      </c>
      <c r="G108" s="37" t="s">
        <v>4032</v>
      </c>
      <c r="H108" s="37" t="s">
        <v>4724</v>
      </c>
      <c r="K108" s="6">
        <v>0</v>
      </c>
      <c r="L108" t="s">
        <v>396</v>
      </c>
      <c r="M108" t="s">
        <v>325</v>
      </c>
      <c r="N108" t="s">
        <v>102</v>
      </c>
      <c r="O108" t="s">
        <v>23</v>
      </c>
      <c r="P108">
        <v>1</v>
      </c>
      <c r="R108">
        <v>0</v>
      </c>
      <c r="T108" t="s">
        <v>176</v>
      </c>
      <c r="U108" t="s">
        <v>4901</v>
      </c>
      <c r="V108" t="s">
        <v>2061</v>
      </c>
      <c r="W108" t="s">
        <v>115</v>
      </c>
      <c r="X108" s="33" t="s">
        <v>115</v>
      </c>
      <c r="Y108" s="33" t="s">
        <v>115</v>
      </c>
      <c r="Z108" s="33" t="s">
        <v>115</v>
      </c>
      <c r="AA108" t="s">
        <v>115</v>
      </c>
      <c r="AB108" s="19" t="s">
        <v>115</v>
      </c>
      <c r="AD108">
        <v>0</v>
      </c>
      <c r="AE108">
        <v>11</v>
      </c>
      <c r="AF108">
        <v>0</v>
      </c>
      <c r="AG108">
        <v>11</v>
      </c>
      <c r="AH108">
        <v>0</v>
      </c>
      <c r="AI108">
        <v>0</v>
      </c>
      <c r="AJ108">
        <f t="shared" si="1"/>
        <v>11</v>
      </c>
      <c r="AK108" t="s">
        <v>103</v>
      </c>
      <c r="AO108" s="7"/>
      <c r="AP108" s="7"/>
      <c r="AQ108" s="7"/>
      <c r="AR108" s="7"/>
      <c r="AS108" s="7"/>
      <c r="AT108" s="7"/>
      <c r="AU108" s="7"/>
    </row>
    <row r="109" spans="1:47" x14ac:dyDescent="0.2">
      <c r="A109" t="s">
        <v>330</v>
      </c>
      <c r="B109" t="s">
        <v>331</v>
      </c>
      <c r="C109">
        <v>3</v>
      </c>
      <c r="D109">
        <v>1</v>
      </c>
      <c r="E109" t="s">
        <v>324</v>
      </c>
      <c r="F109" s="1">
        <v>43348</v>
      </c>
      <c r="G109" s="37" t="s">
        <v>4032</v>
      </c>
      <c r="H109" s="37" t="s">
        <v>4724</v>
      </c>
      <c r="I109" s="2">
        <v>2.4305555555555556E-2</v>
      </c>
      <c r="J109" s="176">
        <v>4.0509259259259258E-4</v>
      </c>
      <c r="K109" s="6">
        <v>35</v>
      </c>
      <c r="L109" t="s">
        <v>396</v>
      </c>
      <c r="M109" t="s">
        <v>325</v>
      </c>
      <c r="N109" t="s">
        <v>2148</v>
      </c>
      <c r="O109" t="s">
        <v>23</v>
      </c>
      <c r="P109">
        <v>1</v>
      </c>
      <c r="R109">
        <v>0</v>
      </c>
      <c r="T109" t="s">
        <v>176</v>
      </c>
      <c r="U109" t="s">
        <v>332</v>
      </c>
      <c r="V109" t="s">
        <v>333</v>
      </c>
      <c r="W109" t="s">
        <v>115</v>
      </c>
      <c r="X109" s="33" t="s">
        <v>115</v>
      </c>
      <c r="Y109" s="33" t="s">
        <v>115</v>
      </c>
      <c r="Z109" s="33" t="s">
        <v>115</v>
      </c>
      <c r="AA109" t="s">
        <v>115</v>
      </c>
      <c r="AB109" s="19" t="s">
        <v>115</v>
      </c>
      <c r="AD109">
        <v>0</v>
      </c>
      <c r="AE109">
        <v>0</v>
      </c>
      <c r="AF109">
        <v>0</v>
      </c>
      <c r="AG109">
        <v>0</v>
      </c>
      <c r="AH109">
        <v>0</v>
      </c>
      <c r="AI109">
        <v>0</v>
      </c>
      <c r="AJ109">
        <f t="shared" si="1"/>
        <v>0</v>
      </c>
      <c r="AL109" t="s">
        <v>334</v>
      </c>
      <c r="AO109" s="7"/>
      <c r="AP109" s="7"/>
      <c r="AQ109" s="7"/>
      <c r="AR109" s="7"/>
      <c r="AS109" s="7"/>
      <c r="AT109" s="7"/>
      <c r="AU109" s="7"/>
    </row>
    <row r="110" spans="1:47" x14ac:dyDescent="0.2">
      <c r="A110" t="s">
        <v>335</v>
      </c>
      <c r="B110" t="s">
        <v>336</v>
      </c>
      <c r="C110">
        <v>4</v>
      </c>
      <c r="D110">
        <v>1</v>
      </c>
      <c r="E110" t="s">
        <v>324</v>
      </c>
      <c r="F110" s="1">
        <v>43348</v>
      </c>
      <c r="G110" s="37" t="s">
        <v>4032</v>
      </c>
      <c r="H110" s="37" t="s">
        <v>4724</v>
      </c>
      <c r="I110" s="2">
        <v>3.5416666666666666E-2</v>
      </c>
      <c r="J110" s="176">
        <v>5.9027777777777778E-4</v>
      </c>
      <c r="K110" s="6">
        <v>51</v>
      </c>
      <c r="L110" t="s">
        <v>396</v>
      </c>
      <c r="M110" t="s">
        <v>337</v>
      </c>
      <c r="N110" t="s">
        <v>102</v>
      </c>
      <c r="O110" t="s">
        <v>23</v>
      </c>
      <c r="P110">
        <v>1</v>
      </c>
      <c r="R110">
        <v>0</v>
      </c>
      <c r="T110" t="s">
        <v>176</v>
      </c>
      <c r="U110" t="s">
        <v>176</v>
      </c>
      <c r="V110" t="s">
        <v>3970</v>
      </c>
      <c r="W110" t="s">
        <v>115</v>
      </c>
      <c r="X110" s="33" t="s">
        <v>115</v>
      </c>
      <c r="Y110" s="33" t="s">
        <v>115</v>
      </c>
      <c r="Z110" s="33" t="s">
        <v>115</v>
      </c>
      <c r="AA110" t="s">
        <v>115</v>
      </c>
      <c r="AB110" s="19" t="s">
        <v>115</v>
      </c>
      <c r="AD110">
        <v>12</v>
      </c>
      <c r="AE110">
        <v>0</v>
      </c>
      <c r="AF110">
        <v>0</v>
      </c>
      <c r="AG110">
        <v>12</v>
      </c>
      <c r="AH110">
        <v>0</v>
      </c>
      <c r="AI110">
        <v>0</v>
      </c>
      <c r="AJ110">
        <f t="shared" si="1"/>
        <v>12</v>
      </c>
      <c r="AL110" t="s">
        <v>4902</v>
      </c>
    </row>
    <row r="111" spans="1:47" x14ac:dyDescent="0.2">
      <c r="A111" t="s">
        <v>90</v>
      </c>
      <c r="B111" t="s">
        <v>338</v>
      </c>
      <c r="C111">
        <v>5</v>
      </c>
      <c r="D111">
        <v>1</v>
      </c>
      <c r="E111" t="s">
        <v>324</v>
      </c>
      <c r="F111" s="1">
        <v>43348</v>
      </c>
      <c r="G111" s="37" t="s">
        <v>4032</v>
      </c>
      <c r="H111" s="37" t="s">
        <v>4724</v>
      </c>
      <c r="I111" s="2">
        <v>2.9166666666666664E-2</v>
      </c>
      <c r="J111" s="176">
        <v>4.8611111111111104E-4</v>
      </c>
      <c r="K111" s="6">
        <v>42</v>
      </c>
      <c r="L111" t="s">
        <v>396</v>
      </c>
      <c r="M111" t="s">
        <v>325</v>
      </c>
      <c r="N111" t="s">
        <v>102</v>
      </c>
      <c r="O111" t="s">
        <v>23</v>
      </c>
      <c r="P111">
        <v>1</v>
      </c>
      <c r="R111">
        <v>0</v>
      </c>
      <c r="T111" t="s">
        <v>598</v>
      </c>
      <c r="U111" t="s">
        <v>2108</v>
      </c>
      <c r="V111" t="s">
        <v>134</v>
      </c>
      <c r="W111" t="s">
        <v>115</v>
      </c>
      <c r="X111" s="33" t="s">
        <v>115</v>
      </c>
      <c r="Y111" s="33" t="s">
        <v>115</v>
      </c>
      <c r="Z111" s="33" t="s">
        <v>115</v>
      </c>
      <c r="AA111" t="s">
        <v>115</v>
      </c>
      <c r="AB111" s="19" t="s">
        <v>115</v>
      </c>
      <c r="AD111">
        <v>0</v>
      </c>
      <c r="AE111">
        <v>26</v>
      </c>
      <c r="AF111">
        <v>26</v>
      </c>
      <c r="AG111">
        <v>0</v>
      </c>
      <c r="AH111">
        <v>0</v>
      </c>
      <c r="AI111">
        <v>0</v>
      </c>
      <c r="AJ111">
        <f t="shared" si="1"/>
        <v>26</v>
      </c>
      <c r="AK111" t="s">
        <v>176</v>
      </c>
    </row>
    <row r="112" spans="1:47" x14ac:dyDescent="0.2">
      <c r="A112" s="33" t="s">
        <v>339</v>
      </c>
      <c r="B112" s="33" t="s">
        <v>340</v>
      </c>
      <c r="C112" s="33">
        <v>1</v>
      </c>
      <c r="D112" s="33">
        <v>1</v>
      </c>
      <c r="E112" s="33" t="s">
        <v>2487</v>
      </c>
      <c r="F112" s="37">
        <v>43348</v>
      </c>
      <c r="G112" s="37" t="s">
        <v>4032</v>
      </c>
      <c r="H112" s="37" t="s">
        <v>4724</v>
      </c>
      <c r="I112" s="36">
        <v>3.8194444444444441E-2</v>
      </c>
      <c r="J112" s="177">
        <v>6.3657407407407402E-4</v>
      </c>
      <c r="K112" s="39">
        <v>55</v>
      </c>
      <c r="L112" s="33" t="s">
        <v>397</v>
      </c>
      <c r="M112" s="33" t="s">
        <v>2498</v>
      </c>
      <c r="N112" s="33" t="s">
        <v>102</v>
      </c>
      <c r="O112" s="33" t="s">
        <v>115</v>
      </c>
      <c r="P112" s="33">
        <v>1</v>
      </c>
      <c r="Q112" s="33"/>
      <c r="R112" s="33">
        <v>0</v>
      </c>
      <c r="S112" s="33"/>
      <c r="T112" t="s">
        <v>14</v>
      </c>
      <c r="U112" s="33" t="s">
        <v>2128</v>
      </c>
      <c r="V112" s="33" t="s">
        <v>122</v>
      </c>
      <c r="W112" s="33" t="s">
        <v>115</v>
      </c>
      <c r="X112" s="33" t="s">
        <v>115</v>
      </c>
      <c r="Y112" s="33" t="s">
        <v>115</v>
      </c>
      <c r="Z112" s="33" t="s">
        <v>115</v>
      </c>
      <c r="AA112" s="33" t="s">
        <v>115</v>
      </c>
      <c r="AB112" s="35" t="s">
        <v>115</v>
      </c>
      <c r="AC112" s="35"/>
      <c r="AD112" s="33">
        <v>0</v>
      </c>
      <c r="AE112" s="33">
        <v>0</v>
      </c>
      <c r="AF112" s="33">
        <v>0</v>
      </c>
      <c r="AG112" s="33">
        <v>0</v>
      </c>
      <c r="AH112" s="33">
        <v>63</v>
      </c>
      <c r="AI112" s="33">
        <v>0</v>
      </c>
      <c r="AJ112" s="33">
        <f t="shared" si="1"/>
        <v>63</v>
      </c>
      <c r="AK112" s="33" t="s">
        <v>341</v>
      </c>
      <c r="AL112" s="33"/>
      <c r="AM112" s="33"/>
      <c r="AN112" s="33"/>
    </row>
    <row r="113" spans="1:47" hidden="1" x14ac:dyDescent="0.2">
      <c r="A113" t="s">
        <v>339</v>
      </c>
      <c r="B113" t="s">
        <v>340</v>
      </c>
      <c r="C113">
        <v>1</v>
      </c>
      <c r="D113">
        <v>2</v>
      </c>
      <c r="E113" t="s">
        <v>2487</v>
      </c>
      <c r="F113" s="1">
        <v>43348</v>
      </c>
      <c r="G113" s="37" t="s">
        <v>4032</v>
      </c>
      <c r="H113" s="37" t="s">
        <v>4724</v>
      </c>
      <c r="I113" s="2">
        <v>3.8194444444444441E-2</v>
      </c>
      <c r="J113" s="176">
        <v>5.7870370370370366E-5</v>
      </c>
      <c r="K113" s="6">
        <v>5</v>
      </c>
      <c r="L113" t="s">
        <v>397</v>
      </c>
      <c r="M113" t="s">
        <v>2498</v>
      </c>
      <c r="N113" t="s">
        <v>102</v>
      </c>
      <c r="O113" t="s">
        <v>115</v>
      </c>
      <c r="P113">
        <v>1</v>
      </c>
      <c r="R113">
        <v>0</v>
      </c>
      <c r="T113" t="s">
        <v>598</v>
      </c>
      <c r="U113" t="s">
        <v>2108</v>
      </c>
      <c r="V113" t="s">
        <v>122</v>
      </c>
      <c r="W113" t="s">
        <v>115</v>
      </c>
      <c r="X113" s="33" t="s">
        <v>115</v>
      </c>
      <c r="Y113" s="33" t="s">
        <v>115</v>
      </c>
      <c r="Z113" s="33" t="s">
        <v>115</v>
      </c>
      <c r="AA113" t="s">
        <v>115</v>
      </c>
      <c r="AB113" s="19" t="s">
        <v>115</v>
      </c>
      <c r="AD113">
        <v>0</v>
      </c>
      <c r="AE113">
        <v>0</v>
      </c>
      <c r="AF113">
        <v>0</v>
      </c>
      <c r="AG113">
        <v>0</v>
      </c>
      <c r="AH113">
        <v>0</v>
      </c>
      <c r="AI113">
        <v>0</v>
      </c>
      <c r="AJ113">
        <f t="shared" si="1"/>
        <v>0</v>
      </c>
      <c r="AK113" t="s">
        <v>341</v>
      </c>
    </row>
    <row r="114" spans="1:47" s="33" customFormat="1" x14ac:dyDescent="0.2">
      <c r="A114" t="s">
        <v>342</v>
      </c>
      <c r="B114" t="s">
        <v>345</v>
      </c>
      <c r="C114">
        <v>2</v>
      </c>
      <c r="D114">
        <v>1</v>
      </c>
      <c r="E114" t="s">
        <v>2487</v>
      </c>
      <c r="F114" s="1">
        <v>43348</v>
      </c>
      <c r="G114" s="37" t="s">
        <v>4032</v>
      </c>
      <c r="H114" s="37" t="s">
        <v>4724</v>
      </c>
      <c r="I114" s="2">
        <v>7.3611111111111113E-2</v>
      </c>
      <c r="J114" s="176">
        <v>1.2268518518518518E-3</v>
      </c>
      <c r="K114" s="6">
        <v>106</v>
      </c>
      <c r="L114" t="s">
        <v>397</v>
      </c>
      <c r="M114" t="s">
        <v>344</v>
      </c>
      <c r="N114" t="s">
        <v>111</v>
      </c>
      <c r="O114" t="s">
        <v>23</v>
      </c>
      <c r="P114">
        <v>1</v>
      </c>
      <c r="Q114"/>
      <c r="R114">
        <v>1</v>
      </c>
      <c r="S114"/>
      <c r="T114" t="s">
        <v>176</v>
      </c>
      <c r="U114" t="s">
        <v>176</v>
      </c>
      <c r="V114" t="s">
        <v>122</v>
      </c>
      <c r="W114" t="s">
        <v>3978</v>
      </c>
      <c r="X114" s="33" t="s">
        <v>23</v>
      </c>
      <c r="Y114" s="33" t="s">
        <v>3997</v>
      </c>
      <c r="Z114" s="33" t="s">
        <v>4007</v>
      </c>
      <c r="AA114" t="s">
        <v>176</v>
      </c>
      <c r="AB114" s="19" t="s">
        <v>246</v>
      </c>
      <c r="AC114" s="19"/>
      <c r="AD114">
        <v>0</v>
      </c>
      <c r="AE114">
        <v>0</v>
      </c>
      <c r="AF114">
        <v>0</v>
      </c>
      <c r="AG114">
        <v>0</v>
      </c>
      <c r="AH114">
        <v>10</v>
      </c>
      <c r="AI114">
        <v>0</v>
      </c>
      <c r="AJ114">
        <f t="shared" si="1"/>
        <v>10</v>
      </c>
      <c r="AK114"/>
      <c r="AL114" t="s">
        <v>1273</v>
      </c>
      <c r="AM114"/>
      <c r="AN114"/>
      <c r="AO114"/>
      <c r="AP114"/>
      <c r="AQ114"/>
      <c r="AR114"/>
      <c r="AS114"/>
      <c r="AT114"/>
      <c r="AU114"/>
    </row>
    <row r="115" spans="1:47" x14ac:dyDescent="0.2">
      <c r="A115" t="s">
        <v>342</v>
      </c>
      <c r="B115" t="s">
        <v>345</v>
      </c>
      <c r="C115">
        <v>2</v>
      </c>
      <c r="D115">
        <v>1</v>
      </c>
      <c r="E115" t="s">
        <v>2487</v>
      </c>
      <c r="F115" s="1">
        <v>43348</v>
      </c>
      <c r="G115" s="37" t="s">
        <v>4032</v>
      </c>
      <c r="H115" s="37" t="s">
        <v>4724</v>
      </c>
      <c r="I115" s="2">
        <v>7.3611111111111113E-2</v>
      </c>
      <c r="J115" s="176">
        <v>1.2268518518518518E-3</v>
      </c>
      <c r="K115" s="6">
        <v>106</v>
      </c>
      <c r="L115" t="s">
        <v>397</v>
      </c>
      <c r="M115" t="s">
        <v>2498</v>
      </c>
      <c r="N115" t="s">
        <v>102</v>
      </c>
      <c r="O115" t="s">
        <v>23</v>
      </c>
      <c r="P115">
        <v>1</v>
      </c>
      <c r="R115">
        <v>0</v>
      </c>
      <c r="T115" t="s">
        <v>176</v>
      </c>
      <c r="U115" t="s">
        <v>176</v>
      </c>
      <c r="V115" t="s">
        <v>343</v>
      </c>
      <c r="W115" t="s">
        <v>115</v>
      </c>
      <c r="X115" s="33" t="s">
        <v>115</v>
      </c>
      <c r="Y115" s="33" t="s">
        <v>115</v>
      </c>
      <c r="Z115" s="33" t="s">
        <v>115</v>
      </c>
      <c r="AA115" t="s">
        <v>176</v>
      </c>
      <c r="AB115" s="19" t="s">
        <v>115</v>
      </c>
      <c r="AD115">
        <v>0</v>
      </c>
      <c r="AE115">
        <v>6</v>
      </c>
      <c r="AF115">
        <v>0</v>
      </c>
      <c r="AG115">
        <v>6</v>
      </c>
      <c r="AH115">
        <v>0</v>
      </c>
      <c r="AI115">
        <v>0</v>
      </c>
      <c r="AJ115">
        <f t="shared" si="1"/>
        <v>6</v>
      </c>
      <c r="AL115" t="s">
        <v>1273</v>
      </c>
      <c r="AO115" s="7"/>
      <c r="AP115" s="7"/>
      <c r="AQ115" s="7"/>
      <c r="AR115" s="7"/>
      <c r="AS115" s="7"/>
      <c r="AT115" s="7"/>
      <c r="AU115" s="7"/>
    </row>
    <row r="116" spans="1:47" x14ac:dyDescent="0.2">
      <c r="A116" t="s">
        <v>346</v>
      </c>
      <c r="B116" t="s">
        <v>347</v>
      </c>
      <c r="C116">
        <v>3</v>
      </c>
      <c r="D116">
        <v>1</v>
      </c>
      <c r="E116" t="s">
        <v>2487</v>
      </c>
      <c r="F116" s="1">
        <v>43348</v>
      </c>
      <c r="G116" s="37" t="s">
        <v>4032</v>
      </c>
      <c r="H116" s="37" t="s">
        <v>4724</v>
      </c>
      <c r="I116" s="2">
        <v>9.7222222222222224E-3</v>
      </c>
      <c r="J116" s="176">
        <v>1.6203703703703703E-4</v>
      </c>
      <c r="K116" s="6">
        <v>14</v>
      </c>
      <c r="L116" t="s">
        <v>397</v>
      </c>
      <c r="M116" t="s">
        <v>2498</v>
      </c>
      <c r="N116" t="s">
        <v>102</v>
      </c>
      <c r="O116" t="s">
        <v>115</v>
      </c>
      <c r="P116">
        <v>1</v>
      </c>
      <c r="R116">
        <v>0</v>
      </c>
      <c r="T116" t="s">
        <v>598</v>
      </c>
      <c r="U116" t="s">
        <v>2108</v>
      </c>
      <c r="V116" t="s">
        <v>122</v>
      </c>
      <c r="W116" t="s">
        <v>115</v>
      </c>
      <c r="X116" s="33" t="s">
        <v>115</v>
      </c>
      <c r="Y116" s="33" t="s">
        <v>115</v>
      </c>
      <c r="Z116" s="33" t="s">
        <v>115</v>
      </c>
      <c r="AA116" s="5" t="s">
        <v>115</v>
      </c>
      <c r="AB116" s="19" t="s">
        <v>115</v>
      </c>
      <c r="AD116">
        <v>0</v>
      </c>
      <c r="AE116">
        <v>0</v>
      </c>
      <c r="AF116">
        <v>0</v>
      </c>
      <c r="AG116">
        <v>0</v>
      </c>
      <c r="AH116">
        <v>0</v>
      </c>
      <c r="AI116">
        <v>0</v>
      </c>
      <c r="AJ116">
        <f t="shared" si="1"/>
        <v>0</v>
      </c>
      <c r="AL116" t="s">
        <v>2149</v>
      </c>
      <c r="AO116" s="33"/>
      <c r="AP116" s="33"/>
      <c r="AQ116" s="34"/>
      <c r="AR116" s="33"/>
      <c r="AS116" s="33"/>
      <c r="AT116" s="33"/>
      <c r="AU116" s="33"/>
    </row>
    <row r="117" spans="1:47" s="33" customFormat="1" x14ac:dyDescent="0.2">
      <c r="A117" s="33" t="s">
        <v>816</v>
      </c>
      <c r="B117" s="33" t="s">
        <v>350</v>
      </c>
      <c r="C117" s="33">
        <v>4</v>
      </c>
      <c r="D117" s="33">
        <v>1</v>
      </c>
      <c r="E117" s="33" t="s">
        <v>2487</v>
      </c>
      <c r="F117" s="37">
        <v>43348</v>
      </c>
      <c r="G117" s="37" t="s">
        <v>4032</v>
      </c>
      <c r="H117" s="37" t="s">
        <v>4724</v>
      </c>
      <c r="I117" s="36">
        <v>2.6388888888888889E-2</v>
      </c>
      <c r="J117" s="177">
        <v>4.3981481481481481E-4</v>
      </c>
      <c r="K117" s="39">
        <v>38</v>
      </c>
      <c r="L117" s="33" t="s">
        <v>397</v>
      </c>
      <c r="M117" s="33" t="s">
        <v>24</v>
      </c>
      <c r="N117" s="33" t="s">
        <v>102</v>
      </c>
      <c r="O117" s="33" t="s">
        <v>115</v>
      </c>
      <c r="P117" s="33">
        <v>1</v>
      </c>
      <c r="Q117" s="33">
        <v>6</v>
      </c>
      <c r="R117" s="33">
        <v>0</v>
      </c>
      <c r="T117" t="s">
        <v>14</v>
      </c>
      <c r="U117" s="33" t="s">
        <v>2128</v>
      </c>
      <c r="V117" s="33" t="s">
        <v>122</v>
      </c>
      <c r="W117" s="33" t="s">
        <v>115</v>
      </c>
      <c r="X117" s="33" t="s">
        <v>115</v>
      </c>
      <c r="Y117" s="33" t="s">
        <v>115</v>
      </c>
      <c r="Z117" s="33" t="s">
        <v>115</v>
      </c>
      <c r="AA117" s="38" t="s">
        <v>115</v>
      </c>
      <c r="AB117" s="35" t="s">
        <v>115</v>
      </c>
      <c r="AC117" s="35"/>
      <c r="AD117" s="33">
        <v>0</v>
      </c>
      <c r="AE117" s="33">
        <v>0</v>
      </c>
      <c r="AF117" s="33">
        <v>0</v>
      </c>
      <c r="AG117" s="33">
        <v>0</v>
      </c>
      <c r="AH117" s="33">
        <v>13</v>
      </c>
      <c r="AI117" s="33">
        <v>0</v>
      </c>
      <c r="AJ117" s="33">
        <f t="shared" si="1"/>
        <v>13</v>
      </c>
      <c r="AO117"/>
      <c r="AP117"/>
      <c r="AQ117"/>
      <c r="AR117"/>
      <c r="AS117"/>
      <c r="AT117"/>
      <c r="AU117"/>
    </row>
    <row r="118" spans="1:47" x14ac:dyDescent="0.2">
      <c r="A118" s="33" t="s">
        <v>352</v>
      </c>
      <c r="B118" s="33" t="s">
        <v>4900</v>
      </c>
      <c r="C118" s="33">
        <v>1</v>
      </c>
      <c r="D118" s="33">
        <v>1</v>
      </c>
      <c r="E118" s="33" t="s">
        <v>2601</v>
      </c>
      <c r="F118" s="37">
        <v>43348</v>
      </c>
      <c r="G118" s="37" t="s">
        <v>4032</v>
      </c>
      <c r="H118" s="37" t="s">
        <v>4724</v>
      </c>
      <c r="I118" s="36">
        <v>0.13194444444444445</v>
      </c>
      <c r="J118" s="177">
        <v>2.1990740740740742E-3</v>
      </c>
      <c r="K118" s="39">
        <v>190</v>
      </c>
      <c r="L118" s="33" t="s">
        <v>397</v>
      </c>
      <c r="M118" s="33" t="s">
        <v>173</v>
      </c>
      <c r="N118" s="33" t="s">
        <v>102</v>
      </c>
      <c r="O118" s="33" t="s">
        <v>115</v>
      </c>
      <c r="P118" s="33">
        <v>1</v>
      </c>
      <c r="Q118" s="33"/>
      <c r="R118" s="33">
        <v>0</v>
      </c>
      <c r="S118" s="33"/>
      <c r="T118" t="s">
        <v>112</v>
      </c>
      <c r="U118" s="33" t="s">
        <v>2122</v>
      </c>
      <c r="V118" s="33" t="s">
        <v>122</v>
      </c>
      <c r="W118" s="33" t="s">
        <v>115</v>
      </c>
      <c r="X118" s="33" t="s">
        <v>115</v>
      </c>
      <c r="Y118" s="33" t="s">
        <v>115</v>
      </c>
      <c r="Z118" s="33" t="s">
        <v>115</v>
      </c>
      <c r="AA118" s="33" t="s">
        <v>115</v>
      </c>
      <c r="AB118" s="35" t="s">
        <v>115</v>
      </c>
      <c r="AC118" s="35"/>
      <c r="AD118" s="33">
        <v>0</v>
      </c>
      <c r="AE118" s="33">
        <v>0</v>
      </c>
      <c r="AF118" s="33">
        <v>0</v>
      </c>
      <c r="AG118" s="33">
        <v>0</v>
      </c>
      <c r="AH118" s="33">
        <v>39</v>
      </c>
      <c r="AI118" s="33">
        <v>0</v>
      </c>
      <c r="AJ118" s="33">
        <f t="shared" si="1"/>
        <v>39</v>
      </c>
      <c r="AK118" s="33"/>
      <c r="AL118" s="33"/>
      <c r="AM118" s="33"/>
      <c r="AN118" s="33"/>
    </row>
    <row r="119" spans="1:47" hidden="1" x14ac:dyDescent="0.2">
      <c r="A119" t="s">
        <v>352</v>
      </c>
      <c r="B119" t="s">
        <v>4900</v>
      </c>
      <c r="C119">
        <v>1</v>
      </c>
      <c r="D119">
        <v>2</v>
      </c>
      <c r="E119" t="s">
        <v>2601</v>
      </c>
      <c r="F119" s="1">
        <v>43348</v>
      </c>
      <c r="G119" s="37" t="s">
        <v>4032</v>
      </c>
      <c r="H119" s="37" t="s">
        <v>4724</v>
      </c>
      <c r="I119" s="2">
        <v>0.13194444444444445</v>
      </c>
      <c r="J119" s="176">
        <v>2.1990740740740742E-3</v>
      </c>
      <c r="K119" s="6">
        <v>190</v>
      </c>
      <c r="L119" t="s">
        <v>397</v>
      </c>
      <c r="M119" t="s">
        <v>177</v>
      </c>
      <c r="N119" t="s">
        <v>102</v>
      </c>
      <c r="O119" t="s">
        <v>115</v>
      </c>
      <c r="P119">
        <v>1</v>
      </c>
      <c r="R119">
        <v>0</v>
      </c>
      <c r="T119" t="s">
        <v>598</v>
      </c>
      <c r="U119" t="s">
        <v>2108</v>
      </c>
      <c r="V119" t="s">
        <v>122</v>
      </c>
      <c r="W119" t="s">
        <v>115</v>
      </c>
      <c r="X119" s="33" t="s">
        <v>115</v>
      </c>
      <c r="Y119" s="33" t="s">
        <v>115</v>
      </c>
      <c r="Z119" s="33" t="s">
        <v>115</v>
      </c>
      <c r="AA119" t="s">
        <v>115</v>
      </c>
      <c r="AB119" s="19" t="s">
        <v>115</v>
      </c>
      <c r="AD119">
        <v>0</v>
      </c>
      <c r="AE119">
        <v>0</v>
      </c>
      <c r="AF119">
        <v>0</v>
      </c>
      <c r="AG119">
        <v>0</v>
      </c>
      <c r="AH119">
        <v>0</v>
      </c>
      <c r="AI119">
        <v>0</v>
      </c>
      <c r="AJ119">
        <f t="shared" si="1"/>
        <v>0</v>
      </c>
      <c r="AO119" s="33"/>
      <c r="AP119" s="33"/>
      <c r="AQ119" s="34"/>
      <c r="AR119" s="33"/>
      <c r="AS119" s="33"/>
      <c r="AT119" s="33"/>
      <c r="AU119" s="33"/>
    </row>
    <row r="120" spans="1:47" s="33" customFormat="1" x14ac:dyDescent="0.2">
      <c r="A120" s="33" t="s">
        <v>353</v>
      </c>
      <c r="B120" s="33" t="s">
        <v>354</v>
      </c>
      <c r="C120" s="33">
        <v>1</v>
      </c>
      <c r="D120" s="33">
        <v>1</v>
      </c>
      <c r="E120" s="33" t="s">
        <v>3171</v>
      </c>
      <c r="F120" s="37">
        <v>43349</v>
      </c>
      <c r="G120" s="37" t="s">
        <v>4032</v>
      </c>
      <c r="H120" s="37" t="s">
        <v>4724</v>
      </c>
      <c r="I120" s="36">
        <v>2.7777777777777776E-2</v>
      </c>
      <c r="J120" s="177">
        <v>4.6296296296296293E-4</v>
      </c>
      <c r="K120" s="39">
        <v>40</v>
      </c>
      <c r="L120" s="33" t="s">
        <v>398</v>
      </c>
      <c r="M120" s="33" t="s">
        <v>230</v>
      </c>
      <c r="N120" s="33" t="s">
        <v>102</v>
      </c>
      <c r="O120" s="33" t="s">
        <v>115</v>
      </c>
      <c r="P120" s="33">
        <v>1</v>
      </c>
      <c r="R120" s="33">
        <v>0</v>
      </c>
      <c r="T120" t="s">
        <v>598</v>
      </c>
      <c r="U120" s="33" t="s">
        <v>2108</v>
      </c>
      <c r="V120" s="33" t="s">
        <v>122</v>
      </c>
      <c r="W120" s="33" t="s">
        <v>115</v>
      </c>
      <c r="X120" s="33" t="s">
        <v>115</v>
      </c>
      <c r="Y120" s="33" t="s">
        <v>115</v>
      </c>
      <c r="Z120" s="33" t="s">
        <v>115</v>
      </c>
      <c r="AA120" s="33" t="s">
        <v>115</v>
      </c>
      <c r="AB120" s="35" t="s">
        <v>115</v>
      </c>
      <c r="AC120" s="35"/>
      <c r="AD120" s="33">
        <v>0</v>
      </c>
      <c r="AE120" s="33">
        <v>0</v>
      </c>
      <c r="AF120" s="33">
        <v>0</v>
      </c>
      <c r="AG120" s="33">
        <v>0</v>
      </c>
      <c r="AH120" s="33">
        <v>28</v>
      </c>
      <c r="AI120" s="33">
        <v>0</v>
      </c>
      <c r="AJ120" s="33">
        <f t="shared" si="1"/>
        <v>28</v>
      </c>
      <c r="AK120" s="33" t="s">
        <v>103</v>
      </c>
      <c r="AO120"/>
      <c r="AP120"/>
      <c r="AQ120"/>
      <c r="AR120"/>
      <c r="AS120"/>
      <c r="AT120"/>
      <c r="AU120"/>
    </row>
    <row r="121" spans="1:47" x14ac:dyDescent="0.2">
      <c r="A121" t="s">
        <v>355</v>
      </c>
      <c r="B121" t="s">
        <v>356</v>
      </c>
      <c r="C121">
        <v>2</v>
      </c>
      <c r="D121">
        <v>1</v>
      </c>
      <c r="E121" t="s">
        <v>3171</v>
      </c>
      <c r="F121" s="1">
        <v>43349</v>
      </c>
      <c r="G121" s="37" t="s">
        <v>4032</v>
      </c>
      <c r="H121" s="37" t="s">
        <v>4724</v>
      </c>
      <c r="I121" s="2">
        <v>9.0277777777777787E-3</v>
      </c>
      <c r="J121" s="176">
        <v>1.5046296296296297E-4</v>
      </c>
      <c r="K121" s="6">
        <v>13</v>
      </c>
      <c r="L121" t="s">
        <v>398</v>
      </c>
      <c r="M121" t="s">
        <v>230</v>
      </c>
      <c r="N121" t="s">
        <v>107</v>
      </c>
      <c r="O121" t="s">
        <v>23</v>
      </c>
      <c r="P121">
        <v>1</v>
      </c>
      <c r="R121">
        <v>0</v>
      </c>
      <c r="T121" t="s">
        <v>598</v>
      </c>
      <c r="U121" t="s">
        <v>598</v>
      </c>
      <c r="V121" t="s">
        <v>24</v>
      </c>
      <c r="W121" t="s">
        <v>115</v>
      </c>
      <c r="X121" s="33" t="s">
        <v>115</v>
      </c>
      <c r="Y121" s="33" t="s">
        <v>115</v>
      </c>
      <c r="Z121" s="33" t="s">
        <v>115</v>
      </c>
      <c r="AA121" t="s">
        <v>115</v>
      </c>
      <c r="AB121" s="19" t="s">
        <v>115</v>
      </c>
      <c r="AD121">
        <v>0</v>
      </c>
      <c r="AE121">
        <v>0</v>
      </c>
      <c r="AF121">
        <v>0</v>
      </c>
      <c r="AG121">
        <v>0</v>
      </c>
      <c r="AH121">
        <v>0</v>
      </c>
      <c r="AI121">
        <v>0</v>
      </c>
      <c r="AJ121">
        <f t="shared" si="1"/>
        <v>0</v>
      </c>
      <c r="AL121" t="s">
        <v>357</v>
      </c>
    </row>
    <row r="122" spans="1:47" x14ac:dyDescent="0.2">
      <c r="A122" t="s">
        <v>358</v>
      </c>
      <c r="B122" t="s">
        <v>359</v>
      </c>
      <c r="C122">
        <v>3</v>
      </c>
      <c r="D122">
        <v>1</v>
      </c>
      <c r="E122" t="s">
        <v>3171</v>
      </c>
      <c r="F122" s="1">
        <v>43349</v>
      </c>
      <c r="G122" s="37" t="s">
        <v>4032</v>
      </c>
      <c r="H122" s="37" t="s">
        <v>4724</v>
      </c>
      <c r="I122" s="2">
        <v>3.472222222222222E-3</v>
      </c>
      <c r="J122" s="176">
        <v>5.7870370370370366E-5</v>
      </c>
      <c r="K122" s="6">
        <v>5</v>
      </c>
      <c r="L122" t="s">
        <v>398</v>
      </c>
      <c r="M122" t="s">
        <v>230</v>
      </c>
      <c r="N122" t="s">
        <v>107</v>
      </c>
      <c r="O122" t="s">
        <v>23</v>
      </c>
      <c r="P122">
        <v>1</v>
      </c>
      <c r="R122">
        <v>0</v>
      </c>
      <c r="T122" t="s">
        <v>176</v>
      </c>
      <c r="U122" t="s">
        <v>176</v>
      </c>
      <c r="V122" t="s">
        <v>24</v>
      </c>
      <c r="W122" t="s">
        <v>115</v>
      </c>
      <c r="X122" s="33" t="s">
        <v>115</v>
      </c>
      <c r="Y122" s="33" t="s">
        <v>115</v>
      </c>
      <c r="Z122" s="33" t="s">
        <v>115</v>
      </c>
      <c r="AA122" t="s">
        <v>115</v>
      </c>
      <c r="AB122" s="19" t="s">
        <v>115</v>
      </c>
      <c r="AD122">
        <v>0</v>
      </c>
      <c r="AE122">
        <v>0</v>
      </c>
      <c r="AF122">
        <v>0</v>
      </c>
      <c r="AG122">
        <v>0</v>
      </c>
      <c r="AH122">
        <v>0</v>
      </c>
      <c r="AI122">
        <v>0</v>
      </c>
      <c r="AJ122">
        <f t="shared" si="1"/>
        <v>0</v>
      </c>
      <c r="AL122" t="s">
        <v>357</v>
      </c>
    </row>
    <row r="123" spans="1:47" x14ac:dyDescent="0.2">
      <c r="A123" t="s">
        <v>361</v>
      </c>
      <c r="B123" t="s">
        <v>362</v>
      </c>
      <c r="C123">
        <v>1</v>
      </c>
      <c r="D123">
        <v>1</v>
      </c>
      <c r="E123" t="s">
        <v>2462</v>
      </c>
      <c r="F123" s="1">
        <v>43349</v>
      </c>
      <c r="G123" s="37" t="s">
        <v>4032</v>
      </c>
      <c r="H123" s="37" t="s">
        <v>4724</v>
      </c>
      <c r="I123" s="2">
        <v>1.6666666666666666E-2</v>
      </c>
      <c r="J123" s="176">
        <v>2.7777777777777778E-4</v>
      </c>
      <c r="K123" s="6">
        <v>24</v>
      </c>
      <c r="L123" t="s">
        <v>398</v>
      </c>
      <c r="M123" t="s">
        <v>363</v>
      </c>
      <c r="N123" t="s">
        <v>107</v>
      </c>
      <c r="O123" t="s">
        <v>23</v>
      </c>
      <c r="P123">
        <v>1</v>
      </c>
      <c r="R123">
        <v>0</v>
      </c>
      <c r="T123" t="s">
        <v>3955</v>
      </c>
      <c r="U123" t="s">
        <v>360</v>
      </c>
      <c r="V123" t="s">
        <v>160</v>
      </c>
      <c r="W123" t="s">
        <v>134</v>
      </c>
      <c r="X123" s="33" t="s">
        <v>115</v>
      </c>
      <c r="Y123" s="33" t="s">
        <v>115</v>
      </c>
      <c r="Z123" s="33" t="s">
        <v>115</v>
      </c>
      <c r="AA123" s="5" t="s">
        <v>176</v>
      </c>
      <c r="AB123" s="20" t="s">
        <v>246</v>
      </c>
      <c r="AC123" s="20"/>
      <c r="AD123">
        <v>0</v>
      </c>
      <c r="AE123">
        <v>0</v>
      </c>
      <c r="AF123">
        <v>0</v>
      </c>
      <c r="AG123">
        <v>0</v>
      </c>
      <c r="AH123">
        <v>0</v>
      </c>
      <c r="AI123">
        <v>0</v>
      </c>
      <c r="AJ123">
        <f t="shared" si="1"/>
        <v>0</v>
      </c>
      <c r="AL123" t="s">
        <v>4903</v>
      </c>
      <c r="AO123" s="33"/>
      <c r="AP123" s="33"/>
      <c r="AQ123" s="34"/>
      <c r="AR123" s="33"/>
      <c r="AS123" s="33"/>
      <c r="AT123" s="33"/>
      <c r="AU123" s="33"/>
    </row>
    <row r="124" spans="1:47" x14ac:dyDescent="0.2">
      <c r="A124" t="s">
        <v>364</v>
      </c>
      <c r="B124" t="s">
        <v>365</v>
      </c>
      <c r="C124">
        <v>2</v>
      </c>
      <c r="D124">
        <v>1</v>
      </c>
      <c r="E124" t="s">
        <v>2462</v>
      </c>
      <c r="F124" s="1">
        <v>43349</v>
      </c>
      <c r="G124" s="37" t="s">
        <v>4032</v>
      </c>
      <c r="H124" s="37" t="s">
        <v>4724</v>
      </c>
      <c r="I124" s="2">
        <v>1.2499999999999999E-2</v>
      </c>
      <c r="J124" s="176">
        <v>2.0833333333333335E-4</v>
      </c>
      <c r="K124" s="6">
        <v>18</v>
      </c>
      <c r="L124" t="s">
        <v>398</v>
      </c>
      <c r="M124" t="s">
        <v>64</v>
      </c>
      <c r="N124" t="s">
        <v>102</v>
      </c>
      <c r="O124" t="s">
        <v>12</v>
      </c>
      <c r="P124" t="s">
        <v>24</v>
      </c>
      <c r="R124">
        <v>0</v>
      </c>
      <c r="U124" t="s">
        <v>115</v>
      </c>
      <c r="V124" t="s">
        <v>115</v>
      </c>
      <c r="W124" t="s">
        <v>115</v>
      </c>
      <c r="X124" s="33" t="s">
        <v>115</v>
      </c>
      <c r="Y124" s="33" t="s">
        <v>115</v>
      </c>
      <c r="Z124" s="33" t="s">
        <v>115</v>
      </c>
      <c r="AA124" t="s">
        <v>115</v>
      </c>
      <c r="AB124" s="19" t="s">
        <v>115</v>
      </c>
      <c r="AD124">
        <v>15</v>
      </c>
      <c r="AE124">
        <v>0</v>
      </c>
      <c r="AF124">
        <v>15</v>
      </c>
      <c r="AG124">
        <v>0</v>
      </c>
      <c r="AH124">
        <v>0</v>
      </c>
      <c r="AI124">
        <v>0</v>
      </c>
      <c r="AJ124">
        <f t="shared" si="1"/>
        <v>15</v>
      </c>
      <c r="AK124" t="s">
        <v>366</v>
      </c>
      <c r="AO124" s="33"/>
      <c r="AP124" s="33"/>
      <c r="AQ124" s="34"/>
      <c r="AR124" s="33"/>
      <c r="AS124" s="33"/>
      <c r="AT124" s="33"/>
      <c r="AU124" s="33"/>
    </row>
    <row r="125" spans="1:47" x14ac:dyDescent="0.2">
      <c r="A125" t="s">
        <v>367</v>
      </c>
      <c r="B125" t="s">
        <v>368</v>
      </c>
      <c r="C125">
        <v>3</v>
      </c>
      <c r="D125">
        <v>1</v>
      </c>
      <c r="E125" t="s">
        <v>2462</v>
      </c>
      <c r="F125" s="1">
        <v>43349</v>
      </c>
      <c r="G125" s="37" t="s">
        <v>4032</v>
      </c>
      <c r="H125" s="37" t="s">
        <v>4724</v>
      </c>
      <c r="I125" s="2">
        <v>8.3333333333333332E-3</v>
      </c>
      <c r="J125" s="176">
        <v>1.3888888888888889E-4</v>
      </c>
      <c r="K125" s="6">
        <v>12</v>
      </c>
      <c r="L125" t="s">
        <v>398</v>
      </c>
      <c r="M125" t="s">
        <v>24</v>
      </c>
      <c r="N125" t="s">
        <v>102</v>
      </c>
      <c r="O125" t="s">
        <v>23</v>
      </c>
      <c r="P125">
        <v>1</v>
      </c>
      <c r="R125">
        <v>0</v>
      </c>
      <c r="T125" t="s">
        <v>176</v>
      </c>
      <c r="U125" t="s">
        <v>176</v>
      </c>
      <c r="V125" t="s">
        <v>333</v>
      </c>
      <c r="W125" t="s">
        <v>115</v>
      </c>
      <c r="X125" s="33" t="s">
        <v>115</v>
      </c>
      <c r="Y125" s="33" t="s">
        <v>115</v>
      </c>
      <c r="Z125" s="33" t="s">
        <v>115</v>
      </c>
      <c r="AA125" t="s">
        <v>115</v>
      </c>
      <c r="AB125" s="19" t="s">
        <v>115</v>
      </c>
      <c r="AD125">
        <v>0</v>
      </c>
      <c r="AE125">
        <v>12</v>
      </c>
      <c r="AF125">
        <v>0</v>
      </c>
      <c r="AG125">
        <v>12</v>
      </c>
      <c r="AH125">
        <v>0</v>
      </c>
      <c r="AI125">
        <v>0</v>
      </c>
      <c r="AJ125">
        <f t="shared" si="1"/>
        <v>12</v>
      </c>
      <c r="AK125" t="s">
        <v>24</v>
      </c>
    </row>
    <row r="126" spans="1:47" x14ac:dyDescent="0.2">
      <c r="A126" t="s">
        <v>369</v>
      </c>
      <c r="B126" t="s">
        <v>879</v>
      </c>
      <c r="C126">
        <v>4</v>
      </c>
      <c r="D126">
        <v>1</v>
      </c>
      <c r="E126" t="s">
        <v>2462</v>
      </c>
      <c r="F126" s="1">
        <v>43349</v>
      </c>
      <c r="G126" s="37" t="s">
        <v>4032</v>
      </c>
      <c r="H126" s="37" t="s">
        <v>4724</v>
      </c>
      <c r="I126" s="2">
        <v>1.6666666666666666E-2</v>
      </c>
      <c r="J126" s="176">
        <v>2.7777777777777778E-4</v>
      </c>
      <c r="K126" s="6">
        <v>24</v>
      </c>
      <c r="L126" t="s">
        <v>398</v>
      </c>
      <c r="M126" t="s">
        <v>363</v>
      </c>
      <c r="N126" t="s">
        <v>102</v>
      </c>
      <c r="O126" t="s">
        <v>12</v>
      </c>
      <c r="P126" t="s">
        <v>24</v>
      </c>
      <c r="R126">
        <v>0</v>
      </c>
      <c r="U126" t="s">
        <v>115</v>
      </c>
      <c r="V126" t="s">
        <v>115</v>
      </c>
      <c r="W126" t="s">
        <v>115</v>
      </c>
      <c r="X126" s="33" t="s">
        <v>115</v>
      </c>
      <c r="Y126" s="33" t="s">
        <v>115</v>
      </c>
      <c r="Z126" s="33" t="s">
        <v>115</v>
      </c>
      <c r="AA126" t="s">
        <v>115</v>
      </c>
      <c r="AB126" s="19" t="s">
        <v>115</v>
      </c>
      <c r="AD126">
        <v>17</v>
      </c>
      <c r="AE126">
        <v>0</v>
      </c>
      <c r="AF126">
        <v>0</v>
      </c>
      <c r="AG126">
        <v>17</v>
      </c>
      <c r="AH126">
        <v>0</v>
      </c>
      <c r="AI126">
        <v>0</v>
      </c>
      <c r="AJ126">
        <f t="shared" si="1"/>
        <v>17</v>
      </c>
      <c r="AK126" t="s">
        <v>165</v>
      </c>
      <c r="AM126">
        <v>1</v>
      </c>
      <c r="AN126">
        <v>0</v>
      </c>
    </row>
    <row r="127" spans="1:47" x14ac:dyDescent="0.2">
      <c r="A127" t="s">
        <v>370</v>
      </c>
      <c r="B127" t="s">
        <v>371</v>
      </c>
      <c r="C127">
        <v>5</v>
      </c>
      <c r="D127">
        <v>1</v>
      </c>
      <c r="E127" t="s">
        <v>2462</v>
      </c>
      <c r="F127" s="1">
        <v>43349</v>
      </c>
      <c r="G127" s="37" t="s">
        <v>4032</v>
      </c>
      <c r="H127" s="37" t="s">
        <v>4724</v>
      </c>
      <c r="I127" s="2">
        <v>2.1527777777777781E-2</v>
      </c>
      <c r="J127" s="176">
        <v>3.5879629629629635E-4</v>
      </c>
      <c r="K127" s="6">
        <v>31</v>
      </c>
      <c r="L127" t="s">
        <v>398</v>
      </c>
      <c r="M127" t="s">
        <v>64</v>
      </c>
      <c r="N127" t="s">
        <v>102</v>
      </c>
      <c r="O127" t="s">
        <v>243</v>
      </c>
      <c r="P127" t="s">
        <v>24</v>
      </c>
      <c r="R127">
        <v>0</v>
      </c>
      <c r="U127" t="s">
        <v>115</v>
      </c>
      <c r="V127" t="s">
        <v>115</v>
      </c>
      <c r="W127" t="s">
        <v>115</v>
      </c>
      <c r="X127" s="33" t="s">
        <v>115</v>
      </c>
      <c r="Y127" s="33" t="s">
        <v>115</v>
      </c>
      <c r="Z127" s="33" t="s">
        <v>115</v>
      </c>
      <c r="AA127" t="s">
        <v>115</v>
      </c>
      <c r="AB127" s="19" t="s">
        <v>115</v>
      </c>
      <c r="AD127">
        <v>11</v>
      </c>
      <c r="AE127">
        <v>16</v>
      </c>
      <c r="AF127">
        <v>11</v>
      </c>
      <c r="AG127">
        <v>16</v>
      </c>
      <c r="AH127">
        <v>0</v>
      </c>
      <c r="AI127">
        <v>0</v>
      </c>
      <c r="AJ127">
        <f t="shared" si="1"/>
        <v>27</v>
      </c>
      <c r="AK127" t="s">
        <v>303</v>
      </c>
    </row>
    <row r="128" spans="1:47" x14ac:dyDescent="0.2">
      <c r="A128" t="s">
        <v>372</v>
      </c>
      <c r="B128" t="s">
        <v>373</v>
      </c>
      <c r="C128">
        <v>6</v>
      </c>
      <c r="D128">
        <v>1</v>
      </c>
      <c r="E128" t="s">
        <v>2462</v>
      </c>
      <c r="F128" s="1">
        <v>43349</v>
      </c>
      <c r="G128" s="37" t="s">
        <v>4032</v>
      </c>
      <c r="H128" s="37" t="s">
        <v>4724</v>
      </c>
      <c r="I128" s="2">
        <v>4.8611111111111112E-3</v>
      </c>
      <c r="J128" s="176">
        <v>8.1018518518518516E-5</v>
      </c>
      <c r="K128" s="6">
        <v>7</v>
      </c>
      <c r="L128" t="s">
        <v>398</v>
      </c>
      <c r="M128" t="s">
        <v>64</v>
      </c>
      <c r="N128" t="s">
        <v>102</v>
      </c>
      <c r="O128" t="s">
        <v>12</v>
      </c>
      <c r="P128">
        <v>1</v>
      </c>
      <c r="R128">
        <v>0</v>
      </c>
      <c r="T128" t="s">
        <v>176</v>
      </c>
      <c r="U128" t="s">
        <v>176</v>
      </c>
      <c r="V128" t="s">
        <v>374</v>
      </c>
      <c r="W128" t="s">
        <v>115</v>
      </c>
      <c r="X128" s="33" t="s">
        <v>115</v>
      </c>
      <c r="Y128" s="33" t="s">
        <v>115</v>
      </c>
      <c r="Z128" s="33" t="s">
        <v>115</v>
      </c>
      <c r="AA128" t="s">
        <v>115</v>
      </c>
      <c r="AB128" s="19" t="s">
        <v>115</v>
      </c>
      <c r="AD128">
        <v>7</v>
      </c>
      <c r="AE128">
        <v>0</v>
      </c>
      <c r="AF128">
        <v>0</v>
      </c>
      <c r="AG128">
        <v>7</v>
      </c>
      <c r="AH128">
        <v>0</v>
      </c>
      <c r="AI128">
        <v>0</v>
      </c>
      <c r="AJ128">
        <f t="shared" si="1"/>
        <v>7</v>
      </c>
      <c r="AK128" t="s">
        <v>375</v>
      </c>
      <c r="AM128">
        <v>1</v>
      </c>
      <c r="AN128">
        <v>0</v>
      </c>
    </row>
    <row r="129" spans="1:47" s="33" customFormat="1" x14ac:dyDescent="0.2">
      <c r="A129" s="33" t="s">
        <v>376</v>
      </c>
      <c r="B129" s="33" t="s">
        <v>377</v>
      </c>
      <c r="C129" s="33">
        <v>7</v>
      </c>
      <c r="D129" s="33">
        <v>1</v>
      </c>
      <c r="E129" s="33" t="s">
        <v>2462</v>
      </c>
      <c r="F129" s="37">
        <v>43349</v>
      </c>
      <c r="G129" s="37" t="s">
        <v>4032</v>
      </c>
      <c r="H129" s="37" t="s">
        <v>4724</v>
      </c>
      <c r="I129" s="36">
        <v>3.2638888888888891E-2</v>
      </c>
      <c r="J129" s="177">
        <v>5.4398148148148144E-4</v>
      </c>
      <c r="K129" s="39">
        <v>47</v>
      </c>
      <c r="L129" s="33" t="s">
        <v>398</v>
      </c>
      <c r="M129" s="33" t="s">
        <v>64</v>
      </c>
      <c r="N129" s="33" t="s">
        <v>102</v>
      </c>
      <c r="O129" s="33" t="s">
        <v>115</v>
      </c>
      <c r="P129" s="33">
        <v>1</v>
      </c>
      <c r="R129" s="33">
        <v>1</v>
      </c>
      <c r="T129" t="s">
        <v>112</v>
      </c>
      <c r="U129" s="33" t="s">
        <v>112</v>
      </c>
      <c r="V129" s="33" t="s">
        <v>122</v>
      </c>
      <c r="W129" s="7" t="s">
        <v>1035</v>
      </c>
      <c r="X129" s="33" t="s">
        <v>23</v>
      </c>
      <c r="Y129" s="33" t="s">
        <v>3997</v>
      </c>
      <c r="Z129" s="33" t="s">
        <v>4006</v>
      </c>
      <c r="AA129" s="33" t="s">
        <v>115</v>
      </c>
      <c r="AB129" s="35" t="s">
        <v>378</v>
      </c>
      <c r="AC129" s="35"/>
      <c r="AD129" s="33">
        <v>0</v>
      </c>
      <c r="AE129" s="33">
        <v>0</v>
      </c>
      <c r="AF129" s="33">
        <v>0</v>
      </c>
      <c r="AG129" s="33">
        <v>0</v>
      </c>
      <c r="AH129" s="33">
        <v>25</v>
      </c>
      <c r="AI129" s="33">
        <v>0</v>
      </c>
      <c r="AJ129" s="33">
        <f t="shared" si="1"/>
        <v>25</v>
      </c>
      <c r="AO129"/>
      <c r="AP129"/>
      <c r="AQ129"/>
      <c r="AR129"/>
      <c r="AS129"/>
      <c r="AT129"/>
      <c r="AU129"/>
    </row>
    <row r="130" spans="1:47" x14ac:dyDescent="0.2">
      <c r="A130" t="s">
        <v>379</v>
      </c>
      <c r="B130" t="s">
        <v>380</v>
      </c>
      <c r="C130">
        <v>8</v>
      </c>
      <c r="D130">
        <v>1</v>
      </c>
      <c r="E130" t="s">
        <v>2462</v>
      </c>
      <c r="F130" s="1">
        <v>43349</v>
      </c>
      <c r="G130" s="37" t="s">
        <v>4032</v>
      </c>
      <c r="H130" s="37" t="s">
        <v>4724</v>
      </c>
      <c r="I130" s="2">
        <v>1.8749999999999999E-2</v>
      </c>
      <c r="J130" s="176">
        <v>3.1250000000000001E-4</v>
      </c>
      <c r="K130" s="6">
        <v>27</v>
      </c>
      <c r="L130" t="s">
        <v>398</v>
      </c>
      <c r="M130" t="s">
        <v>363</v>
      </c>
      <c r="N130" t="s">
        <v>111</v>
      </c>
      <c r="O130" t="s">
        <v>23</v>
      </c>
      <c r="P130">
        <v>1</v>
      </c>
      <c r="R130">
        <v>1</v>
      </c>
      <c r="T130" t="s">
        <v>112</v>
      </c>
      <c r="U130" t="s">
        <v>112</v>
      </c>
      <c r="V130" t="s">
        <v>381</v>
      </c>
      <c r="W130" s="7" t="s">
        <v>1035</v>
      </c>
      <c r="X130" s="33" t="s">
        <v>23</v>
      </c>
      <c r="Y130" s="33" t="s">
        <v>3997</v>
      </c>
      <c r="Z130" s="33" t="s">
        <v>4006</v>
      </c>
      <c r="AA130" t="s">
        <v>176</v>
      </c>
      <c r="AB130" s="19">
        <v>63.731670000000001</v>
      </c>
      <c r="AC130" s="19">
        <v>148.89604</v>
      </c>
      <c r="AD130">
        <v>0</v>
      </c>
      <c r="AE130">
        <v>0</v>
      </c>
      <c r="AF130">
        <v>0</v>
      </c>
      <c r="AG130">
        <v>0</v>
      </c>
      <c r="AH130">
        <v>0</v>
      </c>
      <c r="AI130">
        <v>0</v>
      </c>
      <c r="AJ130">
        <f t="shared" ref="AJ130:AJ193" si="2">SUM(AF130:AI130)</f>
        <v>0</v>
      </c>
      <c r="AL130" t="s">
        <v>382</v>
      </c>
    </row>
    <row r="131" spans="1:47" x14ac:dyDescent="0.2">
      <c r="A131" t="s">
        <v>383</v>
      </c>
      <c r="B131" t="s">
        <v>384</v>
      </c>
      <c r="C131">
        <v>9</v>
      </c>
      <c r="D131">
        <v>1</v>
      </c>
      <c r="E131" t="s">
        <v>2462</v>
      </c>
      <c r="F131" s="1">
        <v>43349</v>
      </c>
      <c r="G131" s="37" t="s">
        <v>4032</v>
      </c>
      <c r="H131" s="37" t="s">
        <v>4724</v>
      </c>
      <c r="I131" s="2">
        <v>7.6388888888888886E-3</v>
      </c>
      <c r="J131" s="176">
        <v>1.273148148148148E-4</v>
      </c>
      <c r="K131" s="6">
        <v>11</v>
      </c>
      <c r="L131" t="s">
        <v>398</v>
      </c>
      <c r="M131" t="s">
        <v>363</v>
      </c>
      <c r="N131" t="s">
        <v>102</v>
      </c>
      <c r="O131" t="s">
        <v>115</v>
      </c>
      <c r="P131">
        <v>1</v>
      </c>
      <c r="R131">
        <v>0</v>
      </c>
      <c r="T131" t="s">
        <v>112</v>
      </c>
      <c r="U131" t="s">
        <v>112</v>
      </c>
      <c r="V131" t="s">
        <v>122</v>
      </c>
      <c r="W131" t="s">
        <v>115</v>
      </c>
      <c r="X131" s="33" t="s">
        <v>115</v>
      </c>
      <c r="Y131" s="33" t="s">
        <v>115</v>
      </c>
      <c r="Z131" s="33" t="s">
        <v>115</v>
      </c>
      <c r="AA131" t="s">
        <v>115</v>
      </c>
      <c r="AB131" s="19" t="s">
        <v>115</v>
      </c>
      <c r="AD131">
        <v>0</v>
      </c>
      <c r="AE131">
        <v>0</v>
      </c>
      <c r="AF131">
        <v>0</v>
      </c>
      <c r="AG131">
        <v>0</v>
      </c>
      <c r="AH131">
        <v>0</v>
      </c>
      <c r="AI131">
        <v>0</v>
      </c>
      <c r="AJ131">
        <f t="shared" si="2"/>
        <v>0</v>
      </c>
      <c r="AL131" t="s">
        <v>385</v>
      </c>
    </row>
    <row r="132" spans="1:47" s="33" customFormat="1" x14ac:dyDescent="0.2">
      <c r="A132" s="33" t="s">
        <v>386</v>
      </c>
      <c r="B132" s="33" t="s">
        <v>387</v>
      </c>
      <c r="C132" s="33">
        <v>10</v>
      </c>
      <c r="D132" s="33">
        <v>1</v>
      </c>
      <c r="E132" s="33" t="s">
        <v>2462</v>
      </c>
      <c r="F132" s="37">
        <v>43349</v>
      </c>
      <c r="G132" s="37" t="s">
        <v>4032</v>
      </c>
      <c r="H132" s="37" t="s">
        <v>4724</v>
      </c>
      <c r="I132" s="36">
        <v>3.8194444444444441E-2</v>
      </c>
      <c r="J132" s="177">
        <v>6.3657407407407402E-4</v>
      </c>
      <c r="K132" s="39">
        <v>55</v>
      </c>
      <c r="L132" s="33" t="s">
        <v>398</v>
      </c>
      <c r="M132" s="33" t="s">
        <v>363</v>
      </c>
      <c r="N132" s="33" t="s">
        <v>102</v>
      </c>
      <c r="O132" s="33" t="s">
        <v>115</v>
      </c>
      <c r="P132" s="33">
        <v>2</v>
      </c>
      <c r="R132" s="33">
        <v>0</v>
      </c>
      <c r="T132" t="s">
        <v>112</v>
      </c>
      <c r="U132" s="33" t="s">
        <v>112</v>
      </c>
      <c r="V132" s="33" t="s">
        <v>122</v>
      </c>
      <c r="W132" s="33" t="s">
        <v>115</v>
      </c>
      <c r="X132" s="33" t="s">
        <v>115</v>
      </c>
      <c r="Y132" s="33" t="s">
        <v>115</v>
      </c>
      <c r="Z132" s="33" t="s">
        <v>115</v>
      </c>
      <c r="AA132" s="33" t="s">
        <v>115</v>
      </c>
      <c r="AB132" s="35" t="s">
        <v>115</v>
      </c>
      <c r="AC132" s="35"/>
      <c r="AD132" s="33">
        <v>0</v>
      </c>
      <c r="AE132" s="33">
        <v>0</v>
      </c>
      <c r="AF132" s="33">
        <v>0</v>
      </c>
      <c r="AG132" s="33">
        <v>0</v>
      </c>
      <c r="AH132" s="33">
        <v>27</v>
      </c>
      <c r="AI132" s="33">
        <v>0</v>
      </c>
      <c r="AJ132" s="33">
        <f t="shared" si="2"/>
        <v>27</v>
      </c>
      <c r="AL132" s="33" t="s">
        <v>388</v>
      </c>
      <c r="AO132" s="7"/>
      <c r="AP132" s="7"/>
      <c r="AQ132" s="7"/>
      <c r="AR132" s="7"/>
      <c r="AS132" s="7"/>
      <c r="AT132" s="7"/>
      <c r="AU132" s="7"/>
    </row>
    <row r="133" spans="1:47" x14ac:dyDescent="0.2">
      <c r="A133" t="s">
        <v>389</v>
      </c>
      <c r="B133" t="s">
        <v>390</v>
      </c>
      <c r="C133">
        <v>11</v>
      </c>
      <c r="D133">
        <v>1</v>
      </c>
      <c r="E133" t="s">
        <v>2462</v>
      </c>
      <c r="F133" s="1">
        <v>43349</v>
      </c>
      <c r="G133" s="37" t="s">
        <v>4032</v>
      </c>
      <c r="H133" s="37" t="s">
        <v>4724</v>
      </c>
      <c r="I133" s="2">
        <v>1.7361111111111112E-2</v>
      </c>
      <c r="J133" s="176">
        <v>2.8935185185185189E-4</v>
      </c>
      <c r="K133" s="6">
        <v>25</v>
      </c>
      <c r="L133" t="s">
        <v>398</v>
      </c>
      <c r="M133" t="s">
        <v>363</v>
      </c>
      <c r="N133" t="s">
        <v>111</v>
      </c>
      <c r="O133" t="s">
        <v>23</v>
      </c>
      <c r="P133">
        <v>0</v>
      </c>
      <c r="R133">
        <v>1</v>
      </c>
      <c r="T133" t="s">
        <v>112</v>
      </c>
      <c r="U133" t="s">
        <v>112</v>
      </c>
      <c r="V133" t="s">
        <v>115</v>
      </c>
      <c r="W133" t="s">
        <v>333</v>
      </c>
      <c r="X133" s="33" t="s">
        <v>23</v>
      </c>
      <c r="Y133" s="33" t="s">
        <v>3999</v>
      </c>
      <c r="Z133" s="33" t="s">
        <v>4006</v>
      </c>
      <c r="AA133" t="s">
        <v>176</v>
      </c>
      <c r="AB133" s="19">
        <v>63.731639999999999</v>
      </c>
      <c r="AC133" s="19">
        <v>148.89586</v>
      </c>
      <c r="AD133">
        <v>0</v>
      </c>
      <c r="AE133">
        <v>0</v>
      </c>
      <c r="AF133">
        <v>0</v>
      </c>
      <c r="AG133">
        <v>0</v>
      </c>
      <c r="AH133">
        <v>0</v>
      </c>
      <c r="AI133">
        <v>0</v>
      </c>
      <c r="AJ133">
        <f t="shared" si="2"/>
        <v>0</v>
      </c>
      <c r="AL133" t="s">
        <v>391</v>
      </c>
      <c r="AO133" s="33"/>
      <c r="AP133" s="33"/>
      <c r="AQ133" s="34" t="s">
        <v>3943</v>
      </c>
      <c r="AR133" s="33"/>
      <c r="AS133" s="33"/>
      <c r="AT133" s="33"/>
      <c r="AU133" s="33"/>
    </row>
    <row r="134" spans="1:47" s="33" customFormat="1" x14ac:dyDescent="0.2">
      <c r="A134" s="33" t="s">
        <v>392</v>
      </c>
      <c r="B134" s="33" t="s">
        <v>393</v>
      </c>
      <c r="C134" s="33">
        <v>12</v>
      </c>
      <c r="D134" s="33">
        <v>1</v>
      </c>
      <c r="E134" s="33" t="s">
        <v>2462</v>
      </c>
      <c r="F134" s="37">
        <v>43349</v>
      </c>
      <c r="G134" s="37" t="s">
        <v>4032</v>
      </c>
      <c r="H134" s="37" t="s">
        <v>4724</v>
      </c>
      <c r="I134" s="36">
        <v>8.9583333333333334E-2</v>
      </c>
      <c r="J134" s="177">
        <v>1.4930555555555556E-3</v>
      </c>
      <c r="K134" s="39">
        <v>129</v>
      </c>
      <c r="L134" s="33" t="s">
        <v>398</v>
      </c>
      <c r="M134" s="33" t="s">
        <v>64</v>
      </c>
      <c r="N134" s="33" t="s">
        <v>111</v>
      </c>
      <c r="O134" s="33" t="s">
        <v>23</v>
      </c>
      <c r="P134" s="33">
        <v>1</v>
      </c>
      <c r="R134" s="33">
        <v>1</v>
      </c>
      <c r="T134" t="s">
        <v>176</v>
      </c>
      <c r="U134" s="33" t="s">
        <v>176</v>
      </c>
      <c r="V134" s="33" t="s">
        <v>2059</v>
      </c>
      <c r="W134" s="33" t="s">
        <v>333</v>
      </c>
      <c r="X134" s="33" t="s">
        <v>23</v>
      </c>
      <c r="Y134" s="33" t="s">
        <v>3999</v>
      </c>
      <c r="Z134" s="33" t="s">
        <v>4006</v>
      </c>
      <c r="AA134" s="33" t="s">
        <v>176</v>
      </c>
      <c r="AB134" s="35">
        <v>63.731960000000001</v>
      </c>
      <c r="AC134" s="35">
        <v>148.89534</v>
      </c>
      <c r="AD134" s="33">
        <v>6</v>
      </c>
      <c r="AE134" s="33">
        <v>6</v>
      </c>
      <c r="AF134" s="33">
        <v>0</v>
      </c>
      <c r="AG134" s="33">
        <v>12</v>
      </c>
      <c r="AH134" s="33">
        <v>21</v>
      </c>
      <c r="AI134" s="33">
        <v>0</v>
      </c>
      <c r="AJ134" s="33">
        <f t="shared" si="2"/>
        <v>33</v>
      </c>
      <c r="AL134" s="33" t="s">
        <v>394</v>
      </c>
      <c r="AO134"/>
      <c r="AP134"/>
      <c r="AQ134"/>
      <c r="AR134"/>
      <c r="AS134"/>
      <c r="AT134"/>
      <c r="AU134"/>
    </row>
    <row r="135" spans="1:47" s="33" customFormat="1" x14ac:dyDescent="0.2">
      <c r="A135" t="s">
        <v>399</v>
      </c>
      <c r="B135" t="s">
        <v>400</v>
      </c>
      <c r="C135">
        <v>1</v>
      </c>
      <c r="D135">
        <v>1</v>
      </c>
      <c r="E135" t="s">
        <v>324</v>
      </c>
      <c r="F135" s="1">
        <v>43350</v>
      </c>
      <c r="G135" s="37" t="s">
        <v>4032</v>
      </c>
      <c r="H135" s="37" t="s">
        <v>4724</v>
      </c>
      <c r="I135" s="2">
        <v>2.0833333333333332E-2</v>
      </c>
      <c r="J135" s="176">
        <v>3.4722222222222224E-4</v>
      </c>
      <c r="K135" s="6">
        <v>30</v>
      </c>
      <c r="L135" t="s">
        <v>398</v>
      </c>
      <c r="M135" t="s">
        <v>337</v>
      </c>
      <c r="N135" t="s">
        <v>227</v>
      </c>
      <c r="O135" t="s">
        <v>23</v>
      </c>
      <c r="P135">
        <v>1</v>
      </c>
      <c r="Q135"/>
      <c r="R135">
        <v>0</v>
      </c>
      <c r="S135"/>
      <c r="T135" t="s">
        <v>461</v>
      </c>
      <c r="U135" t="s">
        <v>461</v>
      </c>
      <c r="V135" t="s">
        <v>134</v>
      </c>
      <c r="W135" t="s">
        <v>115</v>
      </c>
      <c r="X135" s="33" t="s">
        <v>115</v>
      </c>
      <c r="Y135" s="33" t="s">
        <v>115</v>
      </c>
      <c r="Z135" s="33" t="s">
        <v>115</v>
      </c>
      <c r="AA135" t="s">
        <v>115</v>
      </c>
      <c r="AB135" s="19" t="s">
        <v>115</v>
      </c>
      <c r="AC135" s="19"/>
      <c r="AD135">
        <v>0</v>
      </c>
      <c r="AE135">
        <v>0</v>
      </c>
      <c r="AF135">
        <v>0</v>
      </c>
      <c r="AG135">
        <v>0</v>
      </c>
      <c r="AH135">
        <v>0</v>
      </c>
      <c r="AI135">
        <v>0</v>
      </c>
      <c r="AJ135">
        <f t="shared" si="2"/>
        <v>0</v>
      </c>
      <c r="AK135"/>
      <c r="AL135" t="s">
        <v>401</v>
      </c>
      <c r="AM135"/>
      <c r="AN135"/>
      <c r="AO135"/>
      <c r="AP135"/>
      <c r="AQ135"/>
      <c r="AR135"/>
      <c r="AS135"/>
      <c r="AT135"/>
      <c r="AU135"/>
    </row>
    <row r="136" spans="1:47" x14ac:dyDescent="0.2">
      <c r="A136" t="s">
        <v>404</v>
      </c>
      <c r="B136" t="s">
        <v>405</v>
      </c>
      <c r="C136">
        <v>3</v>
      </c>
      <c r="D136">
        <v>1</v>
      </c>
      <c r="E136" t="s">
        <v>324</v>
      </c>
      <c r="F136" s="1">
        <v>43350</v>
      </c>
      <c r="G136" s="37" t="s">
        <v>4032</v>
      </c>
      <c r="H136" s="37" t="s">
        <v>4724</v>
      </c>
      <c r="I136" s="2">
        <v>4.3750000000000004E-2</v>
      </c>
      <c r="J136" s="176">
        <v>7.291666666666667E-4</v>
      </c>
      <c r="K136" s="6">
        <v>63</v>
      </c>
      <c r="L136" t="s">
        <v>398</v>
      </c>
      <c r="M136" t="s">
        <v>337</v>
      </c>
      <c r="N136" t="s">
        <v>102</v>
      </c>
      <c r="O136" t="s">
        <v>12</v>
      </c>
      <c r="P136">
        <v>1</v>
      </c>
      <c r="Q136" s="7" t="s">
        <v>2296</v>
      </c>
      <c r="R136">
        <v>0</v>
      </c>
      <c r="T136" t="s">
        <v>176</v>
      </c>
      <c r="U136" t="s">
        <v>2115</v>
      </c>
      <c r="V136" t="s">
        <v>406</v>
      </c>
      <c r="W136" t="s">
        <v>115</v>
      </c>
      <c r="X136" s="33" t="s">
        <v>115</v>
      </c>
      <c r="Y136" s="33" t="s">
        <v>115</v>
      </c>
      <c r="Z136" s="33" t="s">
        <v>115</v>
      </c>
      <c r="AA136" t="s">
        <v>115</v>
      </c>
      <c r="AB136" s="19" t="s">
        <v>115</v>
      </c>
      <c r="AD136" s="6">
        <v>0</v>
      </c>
      <c r="AE136" s="6">
        <v>63</v>
      </c>
      <c r="AF136" s="6">
        <v>0</v>
      </c>
      <c r="AG136" s="6">
        <v>63</v>
      </c>
      <c r="AH136" s="6">
        <v>0</v>
      </c>
      <c r="AI136">
        <v>0</v>
      </c>
      <c r="AJ136">
        <f t="shared" si="2"/>
        <v>63</v>
      </c>
      <c r="AK136" t="s">
        <v>16</v>
      </c>
      <c r="AL136" t="s">
        <v>407</v>
      </c>
      <c r="AM136">
        <v>0</v>
      </c>
      <c r="AN136">
        <v>18</v>
      </c>
      <c r="AO136" s="7"/>
      <c r="AP136" s="7"/>
      <c r="AQ136" s="7"/>
      <c r="AR136" s="7"/>
      <c r="AS136" s="7"/>
      <c r="AT136" s="7"/>
      <c r="AU136" s="7"/>
    </row>
    <row r="137" spans="1:47" x14ac:dyDescent="0.2">
      <c r="A137" t="s">
        <v>411</v>
      </c>
      <c r="B137" t="s">
        <v>412</v>
      </c>
      <c r="C137">
        <v>5</v>
      </c>
      <c r="D137">
        <v>1</v>
      </c>
      <c r="E137" t="s">
        <v>324</v>
      </c>
      <c r="F137" s="1">
        <v>43350</v>
      </c>
      <c r="G137" s="37" t="s">
        <v>4032</v>
      </c>
      <c r="H137" s="37" t="s">
        <v>4724</v>
      </c>
      <c r="I137" s="2">
        <v>7.3611111111111113E-2</v>
      </c>
      <c r="J137" s="176">
        <v>1.2268518518518518E-3</v>
      </c>
      <c r="K137" s="6">
        <v>106</v>
      </c>
      <c r="L137" t="s">
        <v>398</v>
      </c>
      <c r="M137" t="s">
        <v>325</v>
      </c>
      <c r="N137" t="s">
        <v>102</v>
      </c>
      <c r="O137" t="s">
        <v>12</v>
      </c>
      <c r="P137">
        <v>1</v>
      </c>
      <c r="R137">
        <v>0</v>
      </c>
      <c r="T137" t="s">
        <v>176</v>
      </c>
      <c r="U137" t="s">
        <v>176</v>
      </c>
      <c r="V137" t="s">
        <v>406</v>
      </c>
      <c r="W137" t="s">
        <v>115</v>
      </c>
      <c r="X137" s="33" t="s">
        <v>115</v>
      </c>
      <c r="Y137" s="33" t="s">
        <v>115</v>
      </c>
      <c r="Z137" s="33" t="s">
        <v>115</v>
      </c>
      <c r="AA137" t="s">
        <v>115</v>
      </c>
      <c r="AB137" s="19" t="s">
        <v>115</v>
      </c>
      <c r="AD137" s="6">
        <v>81</v>
      </c>
      <c r="AE137" s="6">
        <v>0</v>
      </c>
      <c r="AF137" s="6">
        <v>0</v>
      </c>
      <c r="AG137" s="6">
        <v>81</v>
      </c>
      <c r="AH137" s="6">
        <v>0</v>
      </c>
      <c r="AI137">
        <v>0</v>
      </c>
      <c r="AJ137">
        <f t="shared" si="2"/>
        <v>81</v>
      </c>
      <c r="AK137" t="s">
        <v>16</v>
      </c>
      <c r="AM137">
        <v>0</v>
      </c>
      <c r="AN137">
        <v>19</v>
      </c>
      <c r="AO137" s="7"/>
      <c r="AP137" s="7"/>
      <c r="AQ137" s="7"/>
      <c r="AR137" s="7"/>
      <c r="AS137" s="7"/>
      <c r="AT137" s="7"/>
      <c r="AU137" s="7"/>
    </row>
    <row r="138" spans="1:47" s="33" customFormat="1" x14ac:dyDescent="0.2">
      <c r="A138" s="33" t="s">
        <v>413</v>
      </c>
      <c r="B138" s="33" t="s">
        <v>414</v>
      </c>
      <c r="C138" s="33">
        <v>6</v>
      </c>
      <c r="D138" s="33">
        <v>1</v>
      </c>
      <c r="E138" s="33" t="s">
        <v>324</v>
      </c>
      <c r="F138" s="37">
        <v>43350</v>
      </c>
      <c r="G138" s="37" t="s">
        <v>4032</v>
      </c>
      <c r="H138" s="37" t="s">
        <v>4724</v>
      </c>
      <c r="I138" s="36">
        <v>1.1111111111111112E-2</v>
      </c>
      <c r="J138" s="177">
        <v>1.8518518518518518E-4</v>
      </c>
      <c r="K138" s="39">
        <v>16</v>
      </c>
      <c r="L138" s="33" t="s">
        <v>398</v>
      </c>
      <c r="M138" s="33" t="s">
        <v>24</v>
      </c>
      <c r="N138" s="33" t="s">
        <v>102</v>
      </c>
      <c r="O138" s="33" t="s">
        <v>115</v>
      </c>
      <c r="P138" s="33">
        <v>1</v>
      </c>
      <c r="R138" s="33">
        <v>0</v>
      </c>
      <c r="T138" t="s">
        <v>112</v>
      </c>
      <c r="U138" s="33" t="s">
        <v>112</v>
      </c>
      <c r="V138" s="33" t="s">
        <v>122</v>
      </c>
      <c r="W138" s="33" t="s">
        <v>115</v>
      </c>
      <c r="X138" s="33" t="s">
        <v>115</v>
      </c>
      <c r="Y138" s="33" t="s">
        <v>115</v>
      </c>
      <c r="Z138" s="33" t="s">
        <v>115</v>
      </c>
      <c r="AA138" s="33" t="s">
        <v>115</v>
      </c>
      <c r="AB138" s="35" t="s">
        <v>115</v>
      </c>
      <c r="AC138" s="35"/>
      <c r="AD138" s="39">
        <v>0</v>
      </c>
      <c r="AE138" s="39">
        <v>0</v>
      </c>
      <c r="AF138" s="39">
        <v>0</v>
      </c>
      <c r="AG138" s="39">
        <v>0</v>
      </c>
      <c r="AH138" s="39">
        <v>10</v>
      </c>
      <c r="AI138" s="33">
        <v>0</v>
      </c>
      <c r="AJ138" s="33">
        <f t="shared" si="2"/>
        <v>10</v>
      </c>
      <c r="AO138"/>
      <c r="AP138"/>
      <c r="AQ138"/>
      <c r="AR138"/>
      <c r="AS138"/>
      <c r="AT138"/>
      <c r="AU138"/>
    </row>
    <row r="139" spans="1:47" x14ac:dyDescent="0.2">
      <c r="A139" s="33" t="s">
        <v>415</v>
      </c>
      <c r="B139" s="33" t="s">
        <v>416</v>
      </c>
      <c r="C139" s="33">
        <v>7</v>
      </c>
      <c r="D139" s="33">
        <v>1</v>
      </c>
      <c r="E139" s="33" t="s">
        <v>324</v>
      </c>
      <c r="F139" s="37">
        <v>43350</v>
      </c>
      <c r="G139" s="37" t="s">
        <v>4032</v>
      </c>
      <c r="H139" s="37" t="s">
        <v>4724</v>
      </c>
      <c r="I139" s="36">
        <v>1.4583333333333332E-2</v>
      </c>
      <c r="J139" s="177">
        <v>2.4305555555555552E-4</v>
      </c>
      <c r="K139" s="39">
        <v>21</v>
      </c>
      <c r="L139" s="33" t="s">
        <v>398</v>
      </c>
      <c r="M139" s="33" t="s">
        <v>24</v>
      </c>
      <c r="N139" s="33" t="s">
        <v>102</v>
      </c>
      <c r="O139" s="33" t="s">
        <v>115</v>
      </c>
      <c r="P139" s="33">
        <v>1</v>
      </c>
      <c r="Q139" s="33"/>
      <c r="R139" s="33">
        <v>0</v>
      </c>
      <c r="S139" s="33"/>
      <c r="T139" t="s">
        <v>112</v>
      </c>
      <c r="U139" s="33" t="s">
        <v>112</v>
      </c>
      <c r="V139" s="33" t="s">
        <v>122</v>
      </c>
      <c r="W139" s="33" t="s">
        <v>115</v>
      </c>
      <c r="X139" s="33" t="s">
        <v>115</v>
      </c>
      <c r="Y139" s="33" t="s">
        <v>115</v>
      </c>
      <c r="Z139" s="33" t="s">
        <v>115</v>
      </c>
      <c r="AA139" s="33" t="s">
        <v>115</v>
      </c>
      <c r="AB139" s="35" t="s">
        <v>115</v>
      </c>
      <c r="AC139" s="35"/>
      <c r="AD139" s="39">
        <v>0</v>
      </c>
      <c r="AE139" s="39">
        <v>0</v>
      </c>
      <c r="AF139" s="39">
        <v>0</v>
      </c>
      <c r="AG139" s="39">
        <v>0</v>
      </c>
      <c r="AH139" s="39">
        <v>4</v>
      </c>
      <c r="AI139" s="33">
        <v>0</v>
      </c>
      <c r="AJ139" s="33">
        <f t="shared" si="2"/>
        <v>4</v>
      </c>
      <c r="AK139" s="33"/>
      <c r="AL139" s="33"/>
      <c r="AM139" s="33"/>
      <c r="AN139" s="33"/>
    </row>
    <row r="140" spans="1:47" s="33" customFormat="1" x14ac:dyDescent="0.2">
      <c r="A140" t="s">
        <v>421</v>
      </c>
      <c r="B140" t="s">
        <v>417</v>
      </c>
      <c r="C140">
        <v>8</v>
      </c>
      <c r="D140">
        <v>1</v>
      </c>
      <c r="E140" t="s">
        <v>324</v>
      </c>
      <c r="F140" s="1">
        <v>43350</v>
      </c>
      <c r="G140" s="37" t="s">
        <v>4032</v>
      </c>
      <c r="H140" s="37" t="s">
        <v>4724</v>
      </c>
      <c r="I140" s="2">
        <v>2.361111111111111E-2</v>
      </c>
      <c r="J140" s="176">
        <v>3.9351851851851852E-4</v>
      </c>
      <c r="K140" s="6">
        <v>34</v>
      </c>
      <c r="L140" t="s">
        <v>398</v>
      </c>
      <c r="M140" t="s">
        <v>325</v>
      </c>
      <c r="N140" t="s">
        <v>102</v>
      </c>
      <c r="O140" t="s">
        <v>12</v>
      </c>
      <c r="P140">
        <v>2</v>
      </c>
      <c r="Q140"/>
      <c r="R140">
        <v>0</v>
      </c>
      <c r="S140"/>
      <c r="T140" t="s">
        <v>176</v>
      </c>
      <c r="U140" t="s">
        <v>176</v>
      </c>
      <c r="V140" t="s">
        <v>374</v>
      </c>
      <c r="W140" t="s">
        <v>115</v>
      </c>
      <c r="X140" s="33" t="s">
        <v>115</v>
      </c>
      <c r="Y140" s="33" t="s">
        <v>115</v>
      </c>
      <c r="Z140" s="33" t="s">
        <v>115</v>
      </c>
      <c r="AA140" t="s">
        <v>115</v>
      </c>
      <c r="AB140" s="19" t="s">
        <v>115</v>
      </c>
      <c r="AC140" s="19"/>
      <c r="AD140" s="6">
        <v>34</v>
      </c>
      <c r="AE140" s="6">
        <v>0</v>
      </c>
      <c r="AF140" s="6">
        <v>0</v>
      </c>
      <c r="AG140" s="6">
        <v>34</v>
      </c>
      <c r="AH140" s="6">
        <v>0</v>
      </c>
      <c r="AI140">
        <v>0</v>
      </c>
      <c r="AJ140">
        <f t="shared" si="2"/>
        <v>34</v>
      </c>
      <c r="AK140" t="s">
        <v>165</v>
      </c>
      <c r="AL140" t="s">
        <v>3982</v>
      </c>
      <c r="AM140">
        <v>2</v>
      </c>
      <c r="AN140">
        <v>0</v>
      </c>
      <c r="AO140"/>
      <c r="AP140"/>
      <c r="AQ140"/>
      <c r="AR140"/>
      <c r="AS140"/>
      <c r="AT140"/>
      <c r="AU140"/>
    </row>
    <row r="141" spans="1:47" x14ac:dyDescent="0.2">
      <c r="A141" s="33" t="s">
        <v>422</v>
      </c>
      <c r="B141" s="33" t="s">
        <v>881</v>
      </c>
      <c r="C141" s="33">
        <v>9</v>
      </c>
      <c r="D141" s="33">
        <v>1</v>
      </c>
      <c r="E141" s="33" t="s">
        <v>324</v>
      </c>
      <c r="F141" s="37">
        <v>43350</v>
      </c>
      <c r="G141" s="37" t="s">
        <v>4032</v>
      </c>
      <c r="H141" s="37" t="s">
        <v>4724</v>
      </c>
      <c r="I141" s="36">
        <v>3.3333333333333333E-2</v>
      </c>
      <c r="J141" s="177">
        <v>5.5555555555555556E-4</v>
      </c>
      <c r="K141" s="39">
        <v>48</v>
      </c>
      <c r="L141" s="33" t="s">
        <v>398</v>
      </c>
      <c r="M141" s="33" t="s">
        <v>325</v>
      </c>
      <c r="N141" s="33" t="s">
        <v>102</v>
      </c>
      <c r="O141" s="33" t="s">
        <v>115</v>
      </c>
      <c r="P141" s="33">
        <v>1</v>
      </c>
      <c r="Q141" s="33">
        <v>5</v>
      </c>
      <c r="R141" s="33">
        <v>0</v>
      </c>
      <c r="S141" s="33"/>
      <c r="T141" t="s">
        <v>14</v>
      </c>
      <c r="U141" s="33" t="s">
        <v>2130</v>
      </c>
      <c r="V141" s="33" t="s">
        <v>122</v>
      </c>
      <c r="W141" s="33" t="s">
        <v>115</v>
      </c>
      <c r="X141" s="33" t="s">
        <v>115</v>
      </c>
      <c r="Y141" s="33" t="s">
        <v>115</v>
      </c>
      <c r="Z141" s="33" t="s">
        <v>115</v>
      </c>
      <c r="AA141" s="33" t="s">
        <v>115</v>
      </c>
      <c r="AB141" s="35" t="s">
        <v>115</v>
      </c>
      <c r="AC141" s="35"/>
      <c r="AD141" s="39">
        <v>0</v>
      </c>
      <c r="AE141" s="39">
        <v>0</v>
      </c>
      <c r="AF141" s="39">
        <v>0</v>
      </c>
      <c r="AG141" s="39">
        <v>0</v>
      </c>
      <c r="AH141" s="39">
        <v>24</v>
      </c>
      <c r="AI141" s="33">
        <v>0</v>
      </c>
      <c r="AJ141" s="33">
        <f t="shared" si="2"/>
        <v>24</v>
      </c>
      <c r="AK141" s="33"/>
      <c r="AL141" s="33"/>
      <c r="AM141" s="33"/>
      <c r="AN141" s="33"/>
      <c r="AO141" s="33"/>
      <c r="AP141" s="33"/>
      <c r="AQ141" s="34"/>
      <c r="AR141" s="33"/>
      <c r="AS141" s="33"/>
      <c r="AT141" s="33"/>
      <c r="AU141" s="33"/>
    </row>
    <row r="142" spans="1:47" s="33" customFormat="1" hidden="1" x14ac:dyDescent="0.2">
      <c r="A142" t="s">
        <v>422</v>
      </c>
      <c r="B142" t="s">
        <v>881</v>
      </c>
      <c r="C142">
        <v>9</v>
      </c>
      <c r="D142">
        <v>2</v>
      </c>
      <c r="E142" t="s">
        <v>324</v>
      </c>
      <c r="F142" s="1">
        <v>43350</v>
      </c>
      <c r="G142" s="37" t="s">
        <v>4032</v>
      </c>
      <c r="H142" s="37" t="s">
        <v>4724</v>
      </c>
      <c r="I142" s="2">
        <v>3.3333333333333333E-2</v>
      </c>
      <c r="J142" s="176">
        <v>5.5555555555555556E-4</v>
      </c>
      <c r="K142" s="6">
        <v>48</v>
      </c>
      <c r="L142" t="s">
        <v>398</v>
      </c>
      <c r="M142" t="s">
        <v>24</v>
      </c>
      <c r="N142" t="s">
        <v>102</v>
      </c>
      <c r="O142" t="s">
        <v>115</v>
      </c>
      <c r="P142">
        <v>1</v>
      </c>
      <c r="Q142"/>
      <c r="R142">
        <v>1</v>
      </c>
      <c r="S142"/>
      <c r="T142" t="s">
        <v>176</v>
      </c>
      <c r="U142" t="s">
        <v>176</v>
      </c>
      <c r="V142" t="s">
        <v>24</v>
      </c>
      <c r="W142" t="s">
        <v>2061</v>
      </c>
      <c r="X142" s="33" t="s">
        <v>23</v>
      </c>
      <c r="Y142" s="33" t="s">
        <v>3999</v>
      </c>
      <c r="Z142" s="33" t="s">
        <v>4006</v>
      </c>
      <c r="AA142" t="s">
        <v>176</v>
      </c>
      <c r="AB142" s="19" t="s">
        <v>246</v>
      </c>
      <c r="AC142" s="19"/>
      <c r="AD142" s="6">
        <v>0</v>
      </c>
      <c r="AE142" s="6">
        <v>0</v>
      </c>
      <c r="AF142" s="6">
        <v>0</v>
      </c>
      <c r="AG142" s="6">
        <v>0</v>
      </c>
      <c r="AH142" s="6">
        <v>0</v>
      </c>
      <c r="AI142">
        <v>0</v>
      </c>
      <c r="AJ142">
        <f t="shared" si="2"/>
        <v>0</v>
      </c>
      <c r="AK142"/>
      <c r="AL142"/>
      <c r="AM142"/>
      <c r="AN142"/>
      <c r="AO142"/>
      <c r="AP142"/>
      <c r="AQ142"/>
      <c r="AR142"/>
      <c r="AS142"/>
      <c r="AT142"/>
      <c r="AU142"/>
    </row>
    <row r="143" spans="1:47" s="33" customFormat="1" x14ac:dyDescent="0.2">
      <c r="A143" t="s">
        <v>418</v>
      </c>
      <c r="B143" t="s">
        <v>419</v>
      </c>
      <c r="C143">
        <v>10</v>
      </c>
      <c r="D143">
        <v>1</v>
      </c>
      <c r="E143" t="s">
        <v>324</v>
      </c>
      <c r="F143" s="1">
        <v>43350</v>
      </c>
      <c r="G143" s="37" t="s">
        <v>4032</v>
      </c>
      <c r="H143" s="37" t="s">
        <v>4724</v>
      </c>
      <c r="I143" s="2">
        <v>1.5277777777777777E-2</v>
      </c>
      <c r="J143" s="176">
        <v>2.5462962962962961E-4</v>
      </c>
      <c r="K143" s="6">
        <v>22</v>
      </c>
      <c r="L143" t="s">
        <v>398</v>
      </c>
      <c r="M143" t="s">
        <v>325</v>
      </c>
      <c r="N143" t="s">
        <v>227</v>
      </c>
      <c r="O143" t="s">
        <v>12</v>
      </c>
      <c r="P143">
        <v>1</v>
      </c>
      <c r="Q143"/>
      <c r="R143">
        <v>0</v>
      </c>
      <c r="S143"/>
      <c r="T143" t="s">
        <v>461</v>
      </c>
      <c r="U143" t="s">
        <v>461</v>
      </c>
      <c r="V143" t="s">
        <v>420</v>
      </c>
      <c r="W143" t="s">
        <v>115</v>
      </c>
      <c r="X143" s="33" t="s">
        <v>115</v>
      </c>
      <c r="Y143" s="33" t="s">
        <v>115</v>
      </c>
      <c r="Z143" s="33" t="s">
        <v>115</v>
      </c>
      <c r="AA143" t="s">
        <v>115</v>
      </c>
      <c r="AB143" s="19" t="s">
        <v>115</v>
      </c>
      <c r="AC143" s="19"/>
      <c r="AD143" s="6">
        <v>0</v>
      </c>
      <c r="AE143" s="6">
        <v>0</v>
      </c>
      <c r="AF143" s="6">
        <v>0</v>
      </c>
      <c r="AG143" s="6">
        <v>0</v>
      </c>
      <c r="AH143" s="6">
        <v>0</v>
      </c>
      <c r="AI143">
        <v>0</v>
      </c>
      <c r="AJ143">
        <f t="shared" si="2"/>
        <v>0</v>
      </c>
      <c r="AK143"/>
      <c r="AL143"/>
      <c r="AM143"/>
      <c r="AN143"/>
      <c r="AO143"/>
      <c r="AP143"/>
      <c r="AQ143"/>
      <c r="AR143"/>
      <c r="AS143"/>
      <c r="AT143"/>
      <c r="AU143"/>
    </row>
    <row r="144" spans="1:47" x14ac:dyDescent="0.2">
      <c r="A144" s="33" t="s">
        <v>423</v>
      </c>
      <c r="B144" s="33" t="s">
        <v>424</v>
      </c>
      <c r="C144" s="33">
        <v>1</v>
      </c>
      <c r="D144" s="33">
        <v>1</v>
      </c>
      <c r="E144" s="33" t="s">
        <v>2462</v>
      </c>
      <c r="F144" s="37">
        <v>43350</v>
      </c>
      <c r="G144" s="37" t="s">
        <v>4032</v>
      </c>
      <c r="H144" s="37" t="s">
        <v>4724</v>
      </c>
      <c r="I144" s="36">
        <v>1.1805555555555555E-2</v>
      </c>
      <c r="J144" s="177">
        <v>1.9675925925925926E-4</v>
      </c>
      <c r="K144" s="39">
        <v>17</v>
      </c>
      <c r="L144" s="33" t="s">
        <v>398</v>
      </c>
      <c r="M144" s="33" t="s">
        <v>64</v>
      </c>
      <c r="N144" s="33" t="s">
        <v>102</v>
      </c>
      <c r="O144" s="33" t="s">
        <v>115</v>
      </c>
      <c r="P144" s="33">
        <v>1</v>
      </c>
      <c r="Q144" s="33"/>
      <c r="R144" s="33">
        <v>0</v>
      </c>
      <c r="S144" s="33"/>
      <c r="T144" t="s">
        <v>112</v>
      </c>
      <c r="U144" s="33" t="s">
        <v>425</v>
      </c>
      <c r="V144" s="33" t="s">
        <v>122</v>
      </c>
      <c r="W144" s="33" t="s">
        <v>115</v>
      </c>
      <c r="X144" s="33" t="s">
        <v>115</v>
      </c>
      <c r="Y144" s="33" t="s">
        <v>115</v>
      </c>
      <c r="Z144" s="33" t="s">
        <v>115</v>
      </c>
      <c r="AA144" s="33" t="s">
        <v>115</v>
      </c>
      <c r="AB144" s="35" t="s">
        <v>115</v>
      </c>
      <c r="AC144" s="35"/>
      <c r="AD144" s="39">
        <v>0</v>
      </c>
      <c r="AE144" s="39">
        <v>0</v>
      </c>
      <c r="AF144" s="39">
        <v>0</v>
      </c>
      <c r="AG144" s="39">
        <v>0</v>
      </c>
      <c r="AH144" s="39">
        <v>8</v>
      </c>
      <c r="AI144" s="33">
        <v>0</v>
      </c>
      <c r="AJ144" s="33">
        <f t="shared" si="2"/>
        <v>8</v>
      </c>
      <c r="AK144" s="33"/>
      <c r="AL144" s="33"/>
      <c r="AM144" s="33"/>
      <c r="AN144" s="33"/>
    </row>
    <row r="145" spans="1:47" ht="17" customHeight="1" x14ac:dyDescent="0.2">
      <c r="A145" t="s">
        <v>426</v>
      </c>
      <c r="B145" t="s">
        <v>427</v>
      </c>
      <c r="C145">
        <v>2</v>
      </c>
      <c r="D145">
        <v>1</v>
      </c>
      <c r="E145" t="s">
        <v>2462</v>
      </c>
      <c r="F145" s="1">
        <v>43350</v>
      </c>
      <c r="G145" s="37" t="s">
        <v>4032</v>
      </c>
      <c r="H145" s="37" t="s">
        <v>4724</v>
      </c>
      <c r="I145" s="2">
        <v>6.458333333333334E-2</v>
      </c>
      <c r="J145" s="176">
        <v>1.0763888888888889E-3</v>
      </c>
      <c r="K145" s="6">
        <v>93</v>
      </c>
      <c r="L145" t="s">
        <v>398</v>
      </c>
      <c r="M145" t="s">
        <v>64</v>
      </c>
      <c r="N145" t="s">
        <v>242</v>
      </c>
      <c r="O145" t="s">
        <v>23</v>
      </c>
      <c r="P145">
        <v>0</v>
      </c>
      <c r="R145">
        <v>1</v>
      </c>
      <c r="T145" t="s">
        <v>112</v>
      </c>
      <c r="U145" t="s">
        <v>425</v>
      </c>
      <c r="V145" t="s">
        <v>122</v>
      </c>
      <c r="W145" s="7" t="s">
        <v>1035</v>
      </c>
      <c r="X145" s="44" t="s">
        <v>23</v>
      </c>
      <c r="Y145" s="44" t="s">
        <v>3997</v>
      </c>
      <c r="Z145" s="44" t="s">
        <v>4006</v>
      </c>
      <c r="AA145" t="s">
        <v>24</v>
      </c>
      <c r="AB145" s="19">
        <v>63.731299999999997</v>
      </c>
      <c r="AC145" s="19">
        <v>148.89637999999999</v>
      </c>
      <c r="AD145" s="6">
        <v>0</v>
      </c>
      <c r="AE145" s="6">
        <v>0</v>
      </c>
      <c r="AF145" s="6">
        <v>0</v>
      </c>
      <c r="AG145" s="6">
        <v>0</v>
      </c>
      <c r="AH145" s="6">
        <v>0</v>
      </c>
      <c r="AI145">
        <v>0</v>
      </c>
      <c r="AJ145">
        <f t="shared" si="2"/>
        <v>0</v>
      </c>
      <c r="AL145" t="s">
        <v>428</v>
      </c>
      <c r="AO145" s="33"/>
      <c r="AP145" s="33"/>
      <c r="AQ145" s="34"/>
      <c r="AR145" s="33"/>
      <c r="AS145" s="33"/>
      <c r="AT145" s="33"/>
      <c r="AU145" s="33"/>
    </row>
    <row r="146" spans="1:47" x14ac:dyDescent="0.2">
      <c r="A146" t="s">
        <v>429</v>
      </c>
      <c r="B146" t="s">
        <v>430</v>
      </c>
      <c r="C146">
        <v>3</v>
      </c>
      <c r="D146">
        <v>1</v>
      </c>
      <c r="E146" t="s">
        <v>2462</v>
      </c>
      <c r="F146" s="1">
        <v>43350</v>
      </c>
      <c r="G146" s="37" t="s">
        <v>4032</v>
      </c>
      <c r="H146" s="37" t="s">
        <v>4724</v>
      </c>
      <c r="I146" s="2">
        <v>5.8333333333333327E-2</v>
      </c>
      <c r="J146" s="176">
        <v>9.7222222222222209E-4</v>
      </c>
      <c r="K146" s="6">
        <v>84</v>
      </c>
      <c r="L146" t="s">
        <v>398</v>
      </c>
      <c r="M146" t="s">
        <v>64</v>
      </c>
      <c r="N146" t="s">
        <v>102</v>
      </c>
      <c r="O146" t="s">
        <v>23</v>
      </c>
      <c r="P146">
        <v>1</v>
      </c>
      <c r="R146">
        <v>0</v>
      </c>
      <c r="T146" t="s">
        <v>112</v>
      </c>
      <c r="U146" t="s">
        <v>425</v>
      </c>
      <c r="V146" t="s">
        <v>115</v>
      </c>
      <c r="W146" t="s">
        <v>115</v>
      </c>
      <c r="X146" s="33" t="s">
        <v>115</v>
      </c>
      <c r="Y146" s="33" t="s">
        <v>115</v>
      </c>
      <c r="Z146" s="33" t="s">
        <v>115</v>
      </c>
      <c r="AA146" t="s">
        <v>115</v>
      </c>
      <c r="AB146" s="19" t="s">
        <v>115</v>
      </c>
      <c r="AD146" s="6">
        <v>0</v>
      </c>
      <c r="AE146" s="6">
        <v>0</v>
      </c>
      <c r="AF146" s="6">
        <v>0</v>
      </c>
      <c r="AG146" s="6">
        <v>0</v>
      </c>
      <c r="AH146" s="6">
        <v>0</v>
      </c>
      <c r="AI146">
        <v>0</v>
      </c>
      <c r="AJ146">
        <f t="shared" si="2"/>
        <v>0</v>
      </c>
      <c r="AL146" t="s">
        <v>431</v>
      </c>
    </row>
    <row r="147" spans="1:47" x14ac:dyDescent="0.2">
      <c r="A147" s="33" t="s">
        <v>432</v>
      </c>
      <c r="B147" s="33" t="s">
        <v>433</v>
      </c>
      <c r="C147" s="33">
        <v>4</v>
      </c>
      <c r="D147" s="33">
        <v>1</v>
      </c>
      <c r="E147" s="33" t="s">
        <v>2462</v>
      </c>
      <c r="F147" s="37">
        <v>43350</v>
      </c>
      <c r="G147" s="37" t="s">
        <v>4032</v>
      </c>
      <c r="H147" s="37" t="s">
        <v>4724</v>
      </c>
      <c r="I147" s="36">
        <v>1.0416666666666666E-2</v>
      </c>
      <c r="J147" s="177">
        <v>1.7361111111111112E-4</v>
      </c>
      <c r="K147" s="39">
        <v>15</v>
      </c>
      <c r="L147" s="33" t="s">
        <v>398</v>
      </c>
      <c r="M147" s="33" t="s">
        <v>363</v>
      </c>
      <c r="N147" s="33" t="s">
        <v>102</v>
      </c>
      <c r="O147" s="33" t="s">
        <v>115</v>
      </c>
      <c r="P147" s="33">
        <v>1</v>
      </c>
      <c r="Q147" s="33"/>
      <c r="R147" s="33">
        <v>0</v>
      </c>
      <c r="S147" s="33"/>
      <c r="T147" t="s">
        <v>112</v>
      </c>
      <c r="U147" s="33" t="s">
        <v>425</v>
      </c>
      <c r="V147" s="33" t="s">
        <v>122</v>
      </c>
      <c r="W147" s="33" t="s">
        <v>115</v>
      </c>
      <c r="X147" s="33" t="s">
        <v>115</v>
      </c>
      <c r="Y147" s="33" t="s">
        <v>115</v>
      </c>
      <c r="Z147" s="33" t="s">
        <v>115</v>
      </c>
      <c r="AA147" s="33" t="s">
        <v>115</v>
      </c>
      <c r="AB147" s="35" t="s">
        <v>115</v>
      </c>
      <c r="AC147" s="35"/>
      <c r="AD147" s="39">
        <v>0</v>
      </c>
      <c r="AE147" s="39">
        <v>0</v>
      </c>
      <c r="AF147" s="39">
        <v>0</v>
      </c>
      <c r="AG147" s="39">
        <v>0</v>
      </c>
      <c r="AH147" s="39">
        <v>15</v>
      </c>
      <c r="AI147" s="33">
        <v>0</v>
      </c>
      <c r="AJ147" s="33">
        <f t="shared" si="2"/>
        <v>15</v>
      </c>
      <c r="AK147" s="33"/>
      <c r="AL147" s="33"/>
      <c r="AM147" s="33"/>
      <c r="AN147" s="33"/>
    </row>
    <row r="148" spans="1:47" s="33" customFormat="1" x14ac:dyDescent="0.2">
      <c r="A148" t="s">
        <v>434</v>
      </c>
      <c r="B148" t="s">
        <v>435</v>
      </c>
      <c r="C148">
        <v>5</v>
      </c>
      <c r="D148">
        <v>1</v>
      </c>
      <c r="E148" t="s">
        <v>2462</v>
      </c>
      <c r="F148" s="1">
        <v>43350</v>
      </c>
      <c r="G148" s="37" t="s">
        <v>4032</v>
      </c>
      <c r="H148" s="37" t="s">
        <v>4724</v>
      </c>
      <c r="I148" s="2">
        <v>6.458333333333334E-2</v>
      </c>
      <c r="J148" s="176">
        <v>1.0763888888888889E-3</v>
      </c>
      <c r="K148" s="6">
        <v>93</v>
      </c>
      <c r="L148" t="s">
        <v>398</v>
      </c>
      <c r="M148" t="s">
        <v>363</v>
      </c>
      <c r="N148" t="s">
        <v>102</v>
      </c>
      <c r="O148" t="s">
        <v>23</v>
      </c>
      <c r="P148">
        <v>1</v>
      </c>
      <c r="Q148"/>
      <c r="R148">
        <v>0</v>
      </c>
      <c r="S148"/>
      <c r="T148" t="s">
        <v>112</v>
      </c>
      <c r="U148" t="s">
        <v>425</v>
      </c>
      <c r="V148" t="s">
        <v>115</v>
      </c>
      <c r="W148" t="s">
        <v>115</v>
      </c>
      <c r="X148" s="33" t="s">
        <v>115</v>
      </c>
      <c r="Y148" s="33" t="s">
        <v>115</v>
      </c>
      <c r="Z148" s="33" t="s">
        <v>115</v>
      </c>
      <c r="AA148" t="s">
        <v>115</v>
      </c>
      <c r="AB148" s="19" t="s">
        <v>115</v>
      </c>
      <c r="AC148" s="19"/>
      <c r="AD148" s="6">
        <v>0</v>
      </c>
      <c r="AE148" s="6">
        <v>0</v>
      </c>
      <c r="AF148" s="6">
        <v>0</v>
      </c>
      <c r="AG148" s="6">
        <v>0</v>
      </c>
      <c r="AH148" s="6">
        <v>0</v>
      </c>
      <c r="AI148">
        <v>0</v>
      </c>
      <c r="AJ148">
        <f t="shared" si="2"/>
        <v>0</v>
      </c>
      <c r="AK148"/>
      <c r="AL148" t="s">
        <v>431</v>
      </c>
      <c r="AM148"/>
      <c r="AN148"/>
      <c r="AO148"/>
      <c r="AP148"/>
      <c r="AQ148"/>
      <c r="AR148"/>
      <c r="AS148"/>
      <c r="AT148"/>
      <c r="AU148"/>
    </row>
    <row r="149" spans="1:47" x14ac:dyDescent="0.2">
      <c r="A149" s="33" t="s">
        <v>436</v>
      </c>
      <c r="B149" s="33" t="s">
        <v>437</v>
      </c>
      <c r="C149" s="33">
        <v>6</v>
      </c>
      <c r="D149" s="33">
        <v>1</v>
      </c>
      <c r="E149" s="33" t="s">
        <v>2462</v>
      </c>
      <c r="F149" s="37">
        <v>43350</v>
      </c>
      <c r="G149" s="37" t="s">
        <v>4032</v>
      </c>
      <c r="H149" s="37" t="s">
        <v>4724</v>
      </c>
      <c r="I149" s="36">
        <v>5.5555555555555558E-3</v>
      </c>
      <c r="J149" s="177">
        <v>9.2592592592592588E-5</v>
      </c>
      <c r="K149" s="39">
        <v>8</v>
      </c>
      <c r="L149" s="33" t="s">
        <v>398</v>
      </c>
      <c r="M149" s="33" t="s">
        <v>363</v>
      </c>
      <c r="N149" s="33" t="s">
        <v>102</v>
      </c>
      <c r="O149" s="33" t="s">
        <v>115</v>
      </c>
      <c r="P149" s="33">
        <v>1</v>
      </c>
      <c r="Q149" s="33"/>
      <c r="R149" s="33">
        <v>0</v>
      </c>
      <c r="S149" s="33"/>
      <c r="T149" t="s">
        <v>112</v>
      </c>
      <c r="U149" s="33" t="s">
        <v>425</v>
      </c>
      <c r="V149" s="33" t="s">
        <v>122</v>
      </c>
      <c r="W149" s="33" t="s">
        <v>115</v>
      </c>
      <c r="X149" s="33" t="s">
        <v>115</v>
      </c>
      <c r="Y149" s="33" t="s">
        <v>115</v>
      </c>
      <c r="Z149" s="33" t="s">
        <v>115</v>
      </c>
      <c r="AA149" s="33" t="s">
        <v>115</v>
      </c>
      <c r="AB149" s="35" t="s">
        <v>115</v>
      </c>
      <c r="AC149" s="35"/>
      <c r="AD149" s="39">
        <v>0</v>
      </c>
      <c r="AE149" s="39">
        <v>0</v>
      </c>
      <c r="AF149" s="39">
        <v>0</v>
      </c>
      <c r="AG149" s="39">
        <v>0</v>
      </c>
      <c r="AH149" s="39">
        <v>9</v>
      </c>
      <c r="AI149" s="33">
        <v>0</v>
      </c>
      <c r="AJ149" s="33">
        <f t="shared" si="2"/>
        <v>9</v>
      </c>
      <c r="AK149" s="33"/>
      <c r="AL149" s="33"/>
      <c r="AM149" s="33"/>
      <c r="AN149" s="33"/>
      <c r="AO149" s="33"/>
      <c r="AP149" s="33"/>
      <c r="AQ149" s="34"/>
      <c r="AR149" s="33"/>
      <c r="AS149" s="33"/>
      <c r="AT149" s="33"/>
      <c r="AU149" s="33"/>
    </row>
    <row r="150" spans="1:47" s="33" customFormat="1" x14ac:dyDescent="0.2">
      <c r="A150" t="s">
        <v>438</v>
      </c>
      <c r="B150" t="s">
        <v>439</v>
      </c>
      <c r="C150">
        <v>7</v>
      </c>
      <c r="D150">
        <v>1</v>
      </c>
      <c r="E150" t="s">
        <v>2462</v>
      </c>
      <c r="F150" s="1">
        <v>43350</v>
      </c>
      <c r="G150" s="37" t="s">
        <v>4032</v>
      </c>
      <c r="H150" s="37" t="s">
        <v>4724</v>
      </c>
      <c r="I150" s="2">
        <v>5.1388888888888894E-2</v>
      </c>
      <c r="J150" s="176">
        <v>8.564814814814815E-4</v>
      </c>
      <c r="K150" s="6">
        <v>74</v>
      </c>
      <c r="L150" t="s">
        <v>398</v>
      </c>
      <c r="M150" t="s">
        <v>363</v>
      </c>
      <c r="N150" t="s">
        <v>102</v>
      </c>
      <c r="O150" t="s">
        <v>115</v>
      </c>
      <c r="P150">
        <v>1</v>
      </c>
      <c r="Q150"/>
      <c r="R150">
        <v>0</v>
      </c>
      <c r="S150"/>
      <c r="T150" t="s">
        <v>598</v>
      </c>
      <c r="U150" t="s">
        <v>2108</v>
      </c>
      <c r="V150" t="s">
        <v>122</v>
      </c>
      <c r="W150" t="s">
        <v>115</v>
      </c>
      <c r="X150" s="33" t="s">
        <v>115</v>
      </c>
      <c r="Y150" s="33" t="s">
        <v>115</v>
      </c>
      <c r="Z150" s="33" t="s">
        <v>115</v>
      </c>
      <c r="AA150" t="s">
        <v>115</v>
      </c>
      <c r="AB150" s="19" t="s">
        <v>115</v>
      </c>
      <c r="AC150" s="19"/>
      <c r="AD150" s="6">
        <v>0</v>
      </c>
      <c r="AE150" s="6">
        <v>0</v>
      </c>
      <c r="AF150" s="6">
        <v>0</v>
      </c>
      <c r="AG150" s="6">
        <v>0</v>
      </c>
      <c r="AH150" s="6">
        <v>5</v>
      </c>
      <c r="AI150">
        <v>0</v>
      </c>
      <c r="AJ150">
        <f t="shared" si="2"/>
        <v>5</v>
      </c>
      <c r="AK150"/>
      <c r="AL150"/>
      <c r="AM150"/>
      <c r="AN150"/>
      <c r="AO150"/>
      <c r="AP150"/>
      <c r="AQ150"/>
      <c r="AR150"/>
      <c r="AS150"/>
      <c r="AT150"/>
      <c r="AU150"/>
    </row>
    <row r="151" spans="1:47" x14ac:dyDescent="0.2">
      <c r="A151" s="33" t="s">
        <v>438</v>
      </c>
      <c r="B151" s="33" t="s">
        <v>439</v>
      </c>
      <c r="C151" s="33">
        <v>7</v>
      </c>
      <c r="D151" s="33">
        <v>1</v>
      </c>
      <c r="E151" s="33" t="s">
        <v>2462</v>
      </c>
      <c r="F151" s="37">
        <v>43350</v>
      </c>
      <c r="G151" s="37" t="s">
        <v>4032</v>
      </c>
      <c r="H151" s="37" t="s">
        <v>4724</v>
      </c>
      <c r="I151" s="36">
        <v>5.1388888888888894E-2</v>
      </c>
      <c r="J151" s="177">
        <v>8.564814814814815E-4</v>
      </c>
      <c r="K151" s="39">
        <v>74</v>
      </c>
      <c r="L151" s="33" t="s">
        <v>398</v>
      </c>
      <c r="M151" s="33" t="s">
        <v>363</v>
      </c>
      <c r="N151" s="33" t="s">
        <v>102</v>
      </c>
      <c r="O151" s="33" t="s">
        <v>115</v>
      </c>
      <c r="P151" s="33">
        <v>1</v>
      </c>
      <c r="Q151" s="33"/>
      <c r="R151" s="33">
        <v>0</v>
      </c>
      <c r="S151" s="33"/>
      <c r="T151" t="s">
        <v>598</v>
      </c>
      <c r="U151" s="33" t="s">
        <v>2108</v>
      </c>
      <c r="V151" s="33" t="s">
        <v>122</v>
      </c>
      <c r="W151" s="33" t="s">
        <v>115</v>
      </c>
      <c r="X151" s="33" t="s">
        <v>115</v>
      </c>
      <c r="Y151" s="33" t="s">
        <v>115</v>
      </c>
      <c r="Z151" s="33" t="s">
        <v>115</v>
      </c>
      <c r="AA151" s="33" t="s">
        <v>115</v>
      </c>
      <c r="AB151" s="35" t="s">
        <v>115</v>
      </c>
      <c r="AC151" s="35"/>
      <c r="AD151" s="39">
        <v>0</v>
      </c>
      <c r="AE151" s="39">
        <v>0</v>
      </c>
      <c r="AF151" s="39">
        <v>0</v>
      </c>
      <c r="AG151" s="39">
        <v>0</v>
      </c>
      <c r="AH151" s="39">
        <v>6</v>
      </c>
      <c r="AI151" s="33">
        <v>0</v>
      </c>
      <c r="AJ151" s="33">
        <f t="shared" si="2"/>
        <v>6</v>
      </c>
      <c r="AK151" s="33"/>
      <c r="AL151" s="33"/>
      <c r="AM151" s="33"/>
      <c r="AN151" s="33"/>
    </row>
    <row r="152" spans="1:47" s="33" customFormat="1" x14ac:dyDescent="0.2">
      <c r="A152" s="33" t="s">
        <v>440</v>
      </c>
      <c r="B152" s="33" t="s">
        <v>441</v>
      </c>
      <c r="C152" s="33">
        <v>8</v>
      </c>
      <c r="D152" s="33">
        <v>1</v>
      </c>
      <c r="E152" s="33" t="s">
        <v>2462</v>
      </c>
      <c r="F152" s="37">
        <v>43350</v>
      </c>
      <c r="G152" s="37" t="s">
        <v>4032</v>
      </c>
      <c r="H152" s="37" t="s">
        <v>4724</v>
      </c>
      <c r="I152" s="36">
        <v>5.5555555555555558E-3</v>
      </c>
      <c r="J152" s="177">
        <v>9.2592592592592588E-5</v>
      </c>
      <c r="K152" s="39">
        <v>8</v>
      </c>
      <c r="L152" s="33" t="s">
        <v>398</v>
      </c>
      <c r="M152" s="33" t="s">
        <v>363</v>
      </c>
      <c r="N152" s="33" t="s">
        <v>102</v>
      </c>
      <c r="O152" s="33" t="s">
        <v>115</v>
      </c>
      <c r="P152" s="33">
        <v>1</v>
      </c>
      <c r="R152" s="33">
        <v>0</v>
      </c>
      <c r="T152" t="s">
        <v>112</v>
      </c>
      <c r="U152" s="33" t="s">
        <v>112</v>
      </c>
      <c r="V152" s="33" t="s">
        <v>122</v>
      </c>
      <c r="W152" s="33" t="s">
        <v>115</v>
      </c>
      <c r="X152" s="33" t="s">
        <v>115</v>
      </c>
      <c r="Y152" s="33" t="s">
        <v>115</v>
      </c>
      <c r="Z152" s="33" t="s">
        <v>115</v>
      </c>
      <c r="AA152" s="33" t="s">
        <v>115</v>
      </c>
      <c r="AB152" s="35" t="s">
        <v>115</v>
      </c>
      <c r="AC152" s="35"/>
      <c r="AD152" s="39">
        <v>0</v>
      </c>
      <c r="AE152" s="39">
        <v>0</v>
      </c>
      <c r="AF152" s="39">
        <v>0</v>
      </c>
      <c r="AG152" s="39">
        <v>0</v>
      </c>
      <c r="AH152" s="39">
        <v>2</v>
      </c>
      <c r="AI152" s="33">
        <v>0</v>
      </c>
      <c r="AJ152" s="33">
        <f t="shared" si="2"/>
        <v>2</v>
      </c>
      <c r="AQ152" s="34"/>
    </row>
    <row r="153" spans="1:47" x14ac:dyDescent="0.2">
      <c r="A153" t="s">
        <v>445</v>
      </c>
      <c r="B153" t="s">
        <v>446</v>
      </c>
      <c r="C153">
        <v>10</v>
      </c>
      <c r="D153">
        <v>1</v>
      </c>
      <c r="E153" t="s">
        <v>2462</v>
      </c>
      <c r="F153" s="1">
        <v>43350</v>
      </c>
      <c r="G153" s="37" t="s">
        <v>4032</v>
      </c>
      <c r="H153" s="37" t="s">
        <v>4724</v>
      </c>
      <c r="I153" s="2">
        <v>5.1388888888888894E-2</v>
      </c>
      <c r="J153" s="176">
        <v>8.564814814814815E-4</v>
      </c>
      <c r="K153" s="6">
        <v>74</v>
      </c>
      <c r="L153" t="s">
        <v>398</v>
      </c>
      <c r="M153" t="s">
        <v>64</v>
      </c>
      <c r="N153" t="s">
        <v>102</v>
      </c>
      <c r="O153" t="s">
        <v>23</v>
      </c>
      <c r="P153" t="s">
        <v>24</v>
      </c>
      <c r="R153">
        <v>0</v>
      </c>
      <c r="U153" t="s">
        <v>115</v>
      </c>
      <c r="V153" t="s">
        <v>115</v>
      </c>
      <c r="W153" t="s">
        <v>115</v>
      </c>
      <c r="X153" s="33" t="s">
        <v>115</v>
      </c>
      <c r="Y153" s="33" t="s">
        <v>115</v>
      </c>
      <c r="Z153" s="33" t="s">
        <v>115</v>
      </c>
      <c r="AA153" t="s">
        <v>115</v>
      </c>
      <c r="AB153" s="19" t="s">
        <v>115</v>
      </c>
      <c r="AD153" s="6">
        <v>9</v>
      </c>
      <c r="AE153" s="6">
        <v>0</v>
      </c>
      <c r="AF153" s="6">
        <v>9</v>
      </c>
      <c r="AG153" s="6">
        <v>0</v>
      </c>
      <c r="AH153" s="6">
        <v>0</v>
      </c>
      <c r="AI153">
        <v>0</v>
      </c>
      <c r="AJ153">
        <f t="shared" si="2"/>
        <v>9</v>
      </c>
      <c r="AK153" t="s">
        <v>375</v>
      </c>
      <c r="AM153">
        <v>3</v>
      </c>
      <c r="AN153">
        <v>0</v>
      </c>
      <c r="AO153" s="33"/>
      <c r="AP153" s="33"/>
      <c r="AQ153" s="34"/>
      <c r="AR153" s="33"/>
      <c r="AS153" s="33"/>
      <c r="AT153" s="33"/>
      <c r="AU153" s="33"/>
    </row>
    <row r="154" spans="1:47" x14ac:dyDescent="0.2">
      <c r="A154" t="s">
        <v>447</v>
      </c>
      <c r="B154" t="s">
        <v>448</v>
      </c>
      <c r="C154">
        <v>11</v>
      </c>
      <c r="D154">
        <v>1</v>
      </c>
      <c r="E154" t="s">
        <v>2462</v>
      </c>
      <c r="F154" s="1">
        <v>43350</v>
      </c>
      <c r="G154" s="37" t="s">
        <v>4032</v>
      </c>
      <c r="H154" s="37" t="s">
        <v>4724</v>
      </c>
      <c r="I154" s="2">
        <v>3.4722222222222224E-2</v>
      </c>
      <c r="J154" s="176">
        <v>5.7870370370370378E-4</v>
      </c>
      <c r="K154" s="6">
        <v>50</v>
      </c>
      <c r="L154" t="s">
        <v>398</v>
      </c>
      <c r="M154" t="s">
        <v>64</v>
      </c>
      <c r="N154" t="s">
        <v>102</v>
      </c>
      <c r="O154" t="s">
        <v>23</v>
      </c>
      <c r="P154">
        <v>1</v>
      </c>
      <c r="R154">
        <v>0</v>
      </c>
      <c r="T154" t="s">
        <v>176</v>
      </c>
      <c r="U154" t="s">
        <v>176</v>
      </c>
      <c r="V154" t="s">
        <v>3970</v>
      </c>
      <c r="W154" t="s">
        <v>115</v>
      </c>
      <c r="X154" s="33" t="s">
        <v>115</v>
      </c>
      <c r="Y154" s="33" t="s">
        <v>115</v>
      </c>
      <c r="Z154" s="33" t="s">
        <v>115</v>
      </c>
      <c r="AA154" t="s">
        <v>115</v>
      </c>
      <c r="AB154" s="19" t="s">
        <v>115</v>
      </c>
      <c r="AD154" s="6">
        <v>25</v>
      </c>
      <c r="AE154" s="6">
        <v>0</v>
      </c>
      <c r="AF154" s="6">
        <v>0</v>
      </c>
      <c r="AG154" s="6">
        <v>25</v>
      </c>
      <c r="AH154" s="6">
        <v>0</v>
      </c>
      <c r="AI154">
        <v>0</v>
      </c>
      <c r="AJ154">
        <f t="shared" si="2"/>
        <v>25</v>
      </c>
      <c r="AK154" t="s">
        <v>16</v>
      </c>
      <c r="AM154">
        <v>0</v>
      </c>
      <c r="AN154">
        <v>5</v>
      </c>
      <c r="AO154" s="33"/>
      <c r="AP154" s="33"/>
      <c r="AQ154" s="34"/>
      <c r="AR154" s="33"/>
      <c r="AS154" s="33"/>
      <c r="AT154" s="33"/>
      <c r="AU154" s="33"/>
    </row>
    <row r="155" spans="1:47" s="33" customFormat="1" x14ac:dyDescent="0.2">
      <c r="A155" s="33" t="s">
        <v>449</v>
      </c>
      <c r="B155" s="33" t="s">
        <v>450</v>
      </c>
      <c r="C155" s="33">
        <v>12</v>
      </c>
      <c r="D155" s="33">
        <v>1</v>
      </c>
      <c r="E155" s="33" t="s">
        <v>2462</v>
      </c>
      <c r="F155" s="37">
        <v>43350</v>
      </c>
      <c r="G155" s="37" t="s">
        <v>4032</v>
      </c>
      <c r="H155" s="37" t="s">
        <v>4724</v>
      </c>
      <c r="I155" s="36">
        <v>6.1111111111111116E-2</v>
      </c>
      <c r="J155" s="177">
        <v>1.0185185185185186E-3</v>
      </c>
      <c r="K155" s="39">
        <v>88</v>
      </c>
      <c r="L155" s="33" t="s">
        <v>398</v>
      </c>
      <c r="M155" s="33" t="s">
        <v>363</v>
      </c>
      <c r="N155" s="33" t="s">
        <v>227</v>
      </c>
      <c r="O155" s="33" t="s">
        <v>23</v>
      </c>
      <c r="P155" s="33">
        <v>1</v>
      </c>
      <c r="R155" s="33">
        <v>0</v>
      </c>
      <c r="T155" t="s">
        <v>176</v>
      </c>
      <c r="U155" s="33" t="s">
        <v>176</v>
      </c>
      <c r="V155" s="33" t="s">
        <v>2141</v>
      </c>
      <c r="W155" s="33" t="s">
        <v>115</v>
      </c>
      <c r="X155" s="33" t="s">
        <v>115</v>
      </c>
      <c r="Y155" s="33" t="s">
        <v>115</v>
      </c>
      <c r="Z155" s="33" t="s">
        <v>115</v>
      </c>
      <c r="AA155" s="33" t="s">
        <v>115</v>
      </c>
      <c r="AB155" s="35" t="s">
        <v>115</v>
      </c>
      <c r="AC155" s="35" t="s">
        <v>115</v>
      </c>
      <c r="AD155" s="39">
        <v>9</v>
      </c>
      <c r="AE155" s="39">
        <v>0</v>
      </c>
      <c r="AF155" s="39">
        <v>9</v>
      </c>
      <c r="AG155" s="39">
        <v>0</v>
      </c>
      <c r="AH155" s="39">
        <v>2</v>
      </c>
      <c r="AI155" s="33">
        <v>0</v>
      </c>
      <c r="AJ155" s="33">
        <f t="shared" si="2"/>
        <v>11</v>
      </c>
      <c r="AK155" s="33" t="s">
        <v>150</v>
      </c>
      <c r="AL155" s="33" t="s">
        <v>2142</v>
      </c>
      <c r="AQ155" s="34"/>
    </row>
    <row r="156" spans="1:47" s="33" customFormat="1" hidden="1" x14ac:dyDescent="0.2">
      <c r="A156" t="s">
        <v>449</v>
      </c>
      <c r="B156" t="s">
        <v>450</v>
      </c>
      <c r="C156">
        <v>12</v>
      </c>
      <c r="D156">
        <v>3</v>
      </c>
      <c r="E156" t="s">
        <v>2462</v>
      </c>
      <c r="F156" s="1">
        <v>43350</v>
      </c>
      <c r="G156" s="37" t="s">
        <v>4032</v>
      </c>
      <c r="H156" s="37" t="s">
        <v>4724</v>
      </c>
      <c r="I156" s="2">
        <v>6.1111111111111116E-2</v>
      </c>
      <c r="J156" s="176">
        <v>1.0185185185185186E-3</v>
      </c>
      <c r="K156" s="6">
        <v>88</v>
      </c>
      <c r="L156" t="s">
        <v>398</v>
      </c>
      <c r="M156" t="s">
        <v>64</v>
      </c>
      <c r="N156" t="s">
        <v>102</v>
      </c>
      <c r="O156" t="s">
        <v>23</v>
      </c>
      <c r="P156">
        <v>1</v>
      </c>
      <c r="Q156"/>
      <c r="R156">
        <v>0</v>
      </c>
      <c r="S156"/>
      <c r="T156" t="s">
        <v>176</v>
      </c>
      <c r="U156" t="s">
        <v>176</v>
      </c>
      <c r="V156" t="s">
        <v>122</v>
      </c>
      <c r="W156" t="s">
        <v>115</v>
      </c>
      <c r="X156" s="33" t="s">
        <v>115</v>
      </c>
      <c r="Y156" s="33" t="s">
        <v>115</v>
      </c>
      <c r="Z156" s="33" t="s">
        <v>115</v>
      </c>
      <c r="AA156" t="s">
        <v>115</v>
      </c>
      <c r="AB156" s="19" t="s">
        <v>115</v>
      </c>
      <c r="AC156" s="19"/>
      <c r="AD156" s="6">
        <v>0</v>
      </c>
      <c r="AE156" s="6">
        <v>0</v>
      </c>
      <c r="AF156" s="6">
        <v>0</v>
      </c>
      <c r="AG156" s="6">
        <v>0</v>
      </c>
      <c r="AH156" s="6">
        <v>0</v>
      </c>
      <c r="AI156">
        <v>0</v>
      </c>
      <c r="AJ156">
        <f t="shared" si="2"/>
        <v>0</v>
      </c>
      <c r="AK156" t="s">
        <v>303</v>
      </c>
      <c r="AL156"/>
      <c r="AM156"/>
      <c r="AN156"/>
      <c r="AO156"/>
      <c r="AP156"/>
      <c r="AQ156"/>
      <c r="AR156"/>
      <c r="AS156"/>
      <c r="AT156"/>
      <c r="AU156"/>
    </row>
    <row r="157" spans="1:47" hidden="1" x14ac:dyDescent="0.2">
      <c r="A157" t="s">
        <v>449</v>
      </c>
      <c r="B157" t="s">
        <v>450</v>
      </c>
      <c r="C157">
        <v>12</v>
      </c>
      <c r="D157">
        <v>2</v>
      </c>
      <c r="E157" t="s">
        <v>2462</v>
      </c>
      <c r="F157" s="1">
        <v>43350</v>
      </c>
      <c r="G157" s="37" t="s">
        <v>4032</v>
      </c>
      <c r="H157" s="37" t="s">
        <v>4724</v>
      </c>
      <c r="I157" s="2">
        <v>6.1111111111111116E-2</v>
      </c>
      <c r="J157" s="176">
        <v>1.0185185185185186E-3</v>
      </c>
      <c r="K157" s="6">
        <v>88</v>
      </c>
      <c r="L157" t="s">
        <v>398</v>
      </c>
      <c r="M157" t="s">
        <v>64</v>
      </c>
      <c r="N157" t="s">
        <v>111</v>
      </c>
      <c r="O157" t="s">
        <v>23</v>
      </c>
      <c r="P157">
        <v>0</v>
      </c>
      <c r="R157">
        <v>1</v>
      </c>
      <c r="T157" t="s">
        <v>176</v>
      </c>
      <c r="U157" t="s">
        <v>176</v>
      </c>
      <c r="V157" t="s">
        <v>24</v>
      </c>
      <c r="W157" t="s">
        <v>709</v>
      </c>
      <c r="X157" s="33" t="s">
        <v>23</v>
      </c>
      <c r="Y157" s="33" t="s">
        <v>4004</v>
      </c>
      <c r="Z157" s="33" t="s">
        <v>4005</v>
      </c>
      <c r="AA157" t="s">
        <v>176</v>
      </c>
      <c r="AB157" s="19" t="s">
        <v>246</v>
      </c>
      <c r="AD157" s="6">
        <v>0</v>
      </c>
      <c r="AE157" s="6">
        <v>0</v>
      </c>
      <c r="AF157" s="6">
        <v>0</v>
      </c>
      <c r="AG157" s="6">
        <v>0</v>
      </c>
      <c r="AH157" s="6">
        <v>0</v>
      </c>
      <c r="AI157">
        <v>0</v>
      </c>
      <c r="AJ157">
        <f t="shared" si="2"/>
        <v>0</v>
      </c>
      <c r="AK157" t="s">
        <v>303</v>
      </c>
      <c r="AO157" s="33"/>
      <c r="AP157" s="33"/>
      <c r="AQ157" s="34"/>
      <c r="AR157" s="33"/>
      <c r="AS157" s="33"/>
      <c r="AT157" s="33"/>
      <c r="AU157" s="33"/>
    </row>
    <row r="158" spans="1:47" x14ac:dyDescent="0.2">
      <c r="A158" s="33" t="s">
        <v>452</v>
      </c>
      <c r="B158" s="33" t="s">
        <v>453</v>
      </c>
      <c r="C158" s="33">
        <v>1</v>
      </c>
      <c r="D158" s="33">
        <v>1</v>
      </c>
      <c r="E158" s="33" t="s">
        <v>2487</v>
      </c>
      <c r="F158" s="37">
        <v>43350</v>
      </c>
      <c r="G158" s="37" t="s">
        <v>4032</v>
      </c>
      <c r="H158" s="37" t="s">
        <v>4724</v>
      </c>
      <c r="I158" s="36">
        <v>1.3194444444444444E-2</v>
      </c>
      <c r="J158" s="177">
        <v>2.199074074074074E-4</v>
      </c>
      <c r="K158" s="39">
        <v>19</v>
      </c>
      <c r="L158" s="33" t="s">
        <v>398</v>
      </c>
      <c r="M158" s="33" t="s">
        <v>454</v>
      </c>
      <c r="N158" s="33" t="s">
        <v>102</v>
      </c>
      <c r="O158" s="33" t="s">
        <v>115</v>
      </c>
      <c r="P158" s="33">
        <v>1</v>
      </c>
      <c r="Q158" s="33"/>
      <c r="R158" s="33">
        <v>0</v>
      </c>
      <c r="S158" s="33"/>
      <c r="T158" t="s">
        <v>176</v>
      </c>
      <c r="U158" s="33" t="s">
        <v>2126</v>
      </c>
      <c r="V158" s="33" t="s">
        <v>122</v>
      </c>
      <c r="W158" s="33" t="s">
        <v>115</v>
      </c>
      <c r="X158" s="33" t="s">
        <v>115</v>
      </c>
      <c r="Y158" s="33" t="s">
        <v>115</v>
      </c>
      <c r="Z158" s="33" t="s">
        <v>115</v>
      </c>
      <c r="AA158" s="33" t="s">
        <v>115</v>
      </c>
      <c r="AB158" s="35" t="s">
        <v>115</v>
      </c>
      <c r="AC158" s="35"/>
      <c r="AD158" s="39">
        <v>0</v>
      </c>
      <c r="AE158" s="39">
        <v>0</v>
      </c>
      <c r="AF158" s="39">
        <v>0</v>
      </c>
      <c r="AG158" s="39">
        <v>0</v>
      </c>
      <c r="AH158" s="39">
        <v>13</v>
      </c>
      <c r="AI158" s="33">
        <v>0</v>
      </c>
      <c r="AJ158" s="33">
        <f t="shared" si="2"/>
        <v>13</v>
      </c>
      <c r="AK158" s="33"/>
      <c r="AL158" s="33"/>
      <c r="AM158" s="33"/>
      <c r="AN158" s="33"/>
      <c r="AO158" s="33"/>
      <c r="AP158" s="33"/>
      <c r="AQ158" s="34"/>
      <c r="AR158" s="33"/>
      <c r="AS158" s="33"/>
      <c r="AT158" s="33"/>
      <c r="AU158" s="33"/>
    </row>
    <row r="159" spans="1:47" s="33" customFormat="1" x14ac:dyDescent="0.2">
      <c r="A159" t="s">
        <v>457</v>
      </c>
      <c r="B159" t="s">
        <v>862</v>
      </c>
      <c r="C159">
        <v>1</v>
      </c>
      <c r="D159">
        <v>1</v>
      </c>
      <c r="E159" t="s">
        <v>834</v>
      </c>
      <c r="F159" s="1">
        <v>43351</v>
      </c>
      <c r="G159" s="37" t="s">
        <v>4032</v>
      </c>
      <c r="H159" s="37" t="s">
        <v>4724</v>
      </c>
      <c r="I159" s="2">
        <v>1.5277777777777777E-2</v>
      </c>
      <c r="J159" s="176">
        <v>2.5462962962962961E-4</v>
      </c>
      <c r="K159" s="6">
        <v>22</v>
      </c>
      <c r="L159"/>
      <c r="M159" t="s">
        <v>466</v>
      </c>
      <c r="N159" t="s">
        <v>102</v>
      </c>
      <c r="O159" t="s">
        <v>23</v>
      </c>
      <c r="P159">
        <v>1</v>
      </c>
      <c r="Q159"/>
      <c r="R159">
        <v>0</v>
      </c>
      <c r="S159"/>
      <c r="T159" t="s">
        <v>176</v>
      </c>
      <c r="U159" t="s">
        <v>176</v>
      </c>
      <c r="V159" t="s">
        <v>333</v>
      </c>
      <c r="W159" t="s">
        <v>115</v>
      </c>
      <c r="X159" s="33" t="s">
        <v>115</v>
      </c>
      <c r="Y159" s="33" t="s">
        <v>115</v>
      </c>
      <c r="Z159" s="33" t="s">
        <v>115</v>
      </c>
      <c r="AA159" t="s">
        <v>115</v>
      </c>
      <c r="AB159" s="19" t="s">
        <v>115</v>
      </c>
      <c r="AC159" s="19"/>
      <c r="AD159" s="6">
        <v>0</v>
      </c>
      <c r="AE159" s="6">
        <v>20</v>
      </c>
      <c r="AF159" s="6">
        <v>0</v>
      </c>
      <c r="AG159" s="6">
        <v>20</v>
      </c>
      <c r="AH159" s="6">
        <v>0</v>
      </c>
      <c r="AI159">
        <v>0</v>
      </c>
      <c r="AJ159">
        <f t="shared" si="2"/>
        <v>20</v>
      </c>
      <c r="AK159" t="s">
        <v>16</v>
      </c>
      <c r="AL159"/>
      <c r="AM159">
        <v>0</v>
      </c>
      <c r="AN159">
        <v>1</v>
      </c>
      <c r="AQ159" s="34"/>
    </row>
    <row r="160" spans="1:47" x14ac:dyDescent="0.2">
      <c r="A160" t="s">
        <v>458</v>
      </c>
      <c r="B160" t="s">
        <v>863</v>
      </c>
      <c r="C160">
        <v>2</v>
      </c>
      <c r="D160">
        <v>1</v>
      </c>
      <c r="E160" t="s">
        <v>834</v>
      </c>
      <c r="F160" s="1">
        <v>43351</v>
      </c>
      <c r="G160" s="37" t="s">
        <v>4032</v>
      </c>
      <c r="H160" s="37" t="s">
        <v>4724</v>
      </c>
      <c r="I160" s="3">
        <v>1.0416666666666667E-4</v>
      </c>
      <c r="J160" s="176">
        <v>1.0416666666666667E-4</v>
      </c>
      <c r="K160" s="6">
        <v>9</v>
      </c>
      <c r="M160" t="s">
        <v>466</v>
      </c>
      <c r="N160" t="s">
        <v>102</v>
      </c>
      <c r="O160" t="s">
        <v>23</v>
      </c>
      <c r="P160" t="s">
        <v>24</v>
      </c>
      <c r="R160">
        <v>0</v>
      </c>
      <c r="U160" t="s">
        <v>115</v>
      </c>
      <c r="V160" t="s">
        <v>115</v>
      </c>
      <c r="W160" t="s">
        <v>115</v>
      </c>
      <c r="X160" s="33" t="s">
        <v>115</v>
      </c>
      <c r="Y160" s="33" t="s">
        <v>115</v>
      </c>
      <c r="Z160" s="33" t="s">
        <v>115</v>
      </c>
      <c r="AA160" t="s">
        <v>115</v>
      </c>
      <c r="AB160" s="19" t="s">
        <v>115</v>
      </c>
      <c r="AD160" s="6">
        <v>9</v>
      </c>
      <c r="AE160" s="6">
        <v>0</v>
      </c>
      <c r="AF160" s="6">
        <v>9</v>
      </c>
      <c r="AG160" s="6">
        <v>0</v>
      </c>
      <c r="AH160" s="6">
        <v>0</v>
      </c>
      <c r="AI160">
        <v>0</v>
      </c>
      <c r="AJ160">
        <f t="shared" si="2"/>
        <v>9</v>
      </c>
      <c r="AK160" t="s">
        <v>459</v>
      </c>
    </row>
    <row r="161" spans="1:47" s="33" customFormat="1" x14ac:dyDescent="0.2">
      <c r="A161" t="s">
        <v>460</v>
      </c>
      <c r="B161" t="s">
        <v>864</v>
      </c>
      <c r="C161">
        <v>3</v>
      </c>
      <c r="D161">
        <v>1</v>
      </c>
      <c r="E161" t="s">
        <v>834</v>
      </c>
      <c r="F161" s="1">
        <v>43351</v>
      </c>
      <c r="G161" s="37" t="s">
        <v>4032</v>
      </c>
      <c r="H161" s="37" t="s">
        <v>4724</v>
      </c>
      <c r="I161" s="2">
        <v>3.4027777777777775E-2</v>
      </c>
      <c r="J161" s="176">
        <v>5.6712962962962956E-4</v>
      </c>
      <c r="K161" s="6">
        <v>49</v>
      </c>
      <c r="L161"/>
      <c r="M161" t="s">
        <v>466</v>
      </c>
      <c r="N161" t="s">
        <v>107</v>
      </c>
      <c r="O161" t="s">
        <v>23</v>
      </c>
      <c r="P161">
        <v>1</v>
      </c>
      <c r="Q161"/>
      <c r="R161">
        <v>0</v>
      </c>
      <c r="S161"/>
      <c r="T161" t="s">
        <v>461</v>
      </c>
      <c r="U161" t="s">
        <v>461</v>
      </c>
      <c r="V161" t="s">
        <v>24</v>
      </c>
      <c r="W161" t="s">
        <v>115</v>
      </c>
      <c r="X161" s="33" t="s">
        <v>115</v>
      </c>
      <c r="Y161" s="33" t="s">
        <v>115</v>
      </c>
      <c r="Z161" s="33" t="s">
        <v>115</v>
      </c>
      <c r="AA161" t="s">
        <v>115</v>
      </c>
      <c r="AB161" s="19" t="s">
        <v>115</v>
      </c>
      <c r="AC161" s="19"/>
      <c r="AD161" s="6">
        <v>0</v>
      </c>
      <c r="AE161" s="6">
        <v>0</v>
      </c>
      <c r="AF161" s="6">
        <v>0</v>
      </c>
      <c r="AG161" s="6">
        <v>0</v>
      </c>
      <c r="AH161" s="6">
        <v>0</v>
      </c>
      <c r="AI161">
        <v>0</v>
      </c>
      <c r="AJ161">
        <f t="shared" si="2"/>
        <v>0</v>
      </c>
      <c r="AK161"/>
      <c r="AL161" t="s">
        <v>462</v>
      </c>
      <c r="AM161"/>
      <c r="AN161"/>
      <c r="AQ161" s="34"/>
    </row>
    <row r="162" spans="1:47" x14ac:dyDescent="0.2">
      <c r="A162" t="s">
        <v>463</v>
      </c>
      <c r="B162" t="s">
        <v>865</v>
      </c>
      <c r="C162">
        <v>4</v>
      </c>
      <c r="D162">
        <v>1</v>
      </c>
      <c r="E162" t="s">
        <v>834</v>
      </c>
      <c r="F162" s="1">
        <v>43351</v>
      </c>
      <c r="G162" s="37" t="s">
        <v>4032</v>
      </c>
      <c r="H162" s="37" t="s">
        <v>4724</v>
      </c>
      <c r="I162" s="2">
        <v>2.5694444444444447E-2</v>
      </c>
      <c r="J162" s="176">
        <v>4.2824074074074075E-4</v>
      </c>
      <c r="K162" s="6">
        <v>37</v>
      </c>
      <c r="M162" t="s">
        <v>466</v>
      </c>
      <c r="N162" t="s">
        <v>107</v>
      </c>
      <c r="O162" t="s">
        <v>23</v>
      </c>
      <c r="P162">
        <v>0</v>
      </c>
      <c r="R162">
        <v>0</v>
      </c>
      <c r="T162" t="s">
        <v>461</v>
      </c>
      <c r="U162" t="s">
        <v>461</v>
      </c>
      <c r="V162" t="s">
        <v>115</v>
      </c>
      <c r="W162" t="s">
        <v>115</v>
      </c>
      <c r="X162" s="33" t="s">
        <v>115</v>
      </c>
      <c r="Y162" s="33" t="s">
        <v>115</v>
      </c>
      <c r="Z162" s="33" t="s">
        <v>115</v>
      </c>
      <c r="AA162" t="s">
        <v>115</v>
      </c>
      <c r="AB162" s="19" t="s">
        <v>115</v>
      </c>
      <c r="AD162" s="6">
        <v>0</v>
      </c>
      <c r="AE162" s="6">
        <v>0</v>
      </c>
      <c r="AF162" s="6">
        <v>0</v>
      </c>
      <c r="AG162" s="6">
        <v>0</v>
      </c>
      <c r="AH162" s="6">
        <v>0</v>
      </c>
      <c r="AI162">
        <v>0</v>
      </c>
      <c r="AJ162">
        <f t="shared" si="2"/>
        <v>0</v>
      </c>
      <c r="AL162" t="s">
        <v>464</v>
      </c>
      <c r="AO162" s="33"/>
      <c r="AP162" s="33"/>
      <c r="AQ162" s="34"/>
      <c r="AR162" s="33"/>
      <c r="AS162" s="33"/>
      <c r="AT162" s="33"/>
      <c r="AU162" s="33"/>
    </row>
    <row r="163" spans="1:47" s="33" customFormat="1" x14ac:dyDescent="0.2">
      <c r="A163" t="s">
        <v>465</v>
      </c>
      <c r="B163" t="s">
        <v>866</v>
      </c>
      <c r="C163">
        <v>5</v>
      </c>
      <c r="D163">
        <v>1</v>
      </c>
      <c r="E163" t="s">
        <v>834</v>
      </c>
      <c r="F163" s="1">
        <v>43351</v>
      </c>
      <c r="G163" s="37" t="s">
        <v>4032</v>
      </c>
      <c r="H163" s="37" t="s">
        <v>4724</v>
      </c>
      <c r="I163" s="2">
        <v>1.8749999999999999E-2</v>
      </c>
      <c r="J163" s="176">
        <v>3.1250000000000001E-4</v>
      </c>
      <c r="K163" s="6">
        <v>27</v>
      </c>
      <c r="L163"/>
      <c r="M163" t="s">
        <v>466</v>
      </c>
      <c r="N163" t="s">
        <v>102</v>
      </c>
      <c r="O163" t="s">
        <v>23</v>
      </c>
      <c r="P163">
        <v>1</v>
      </c>
      <c r="Q163"/>
      <c r="R163">
        <v>0</v>
      </c>
      <c r="S163"/>
      <c r="T163" t="s">
        <v>176</v>
      </c>
      <c r="U163" t="s">
        <v>176</v>
      </c>
      <c r="V163" t="s">
        <v>333</v>
      </c>
      <c r="W163" t="s">
        <v>115</v>
      </c>
      <c r="X163" s="33" t="s">
        <v>115</v>
      </c>
      <c r="Y163" s="33" t="s">
        <v>115</v>
      </c>
      <c r="Z163" s="33" t="s">
        <v>115</v>
      </c>
      <c r="AA163" t="s">
        <v>115</v>
      </c>
      <c r="AB163" s="19" t="s">
        <v>115</v>
      </c>
      <c r="AC163" s="19"/>
      <c r="AD163" s="6">
        <v>0</v>
      </c>
      <c r="AE163" s="6">
        <v>14</v>
      </c>
      <c r="AF163" s="6">
        <v>14</v>
      </c>
      <c r="AG163" s="6">
        <v>0</v>
      </c>
      <c r="AH163" s="6">
        <v>0</v>
      </c>
      <c r="AI163">
        <v>0</v>
      </c>
      <c r="AJ163">
        <f t="shared" si="2"/>
        <v>14</v>
      </c>
      <c r="AK163" t="s">
        <v>103</v>
      </c>
      <c r="AL163"/>
      <c r="AM163"/>
      <c r="AN163"/>
      <c r="AO163"/>
      <c r="AP163"/>
      <c r="AQ163"/>
      <c r="AR163"/>
      <c r="AS163"/>
      <c r="AT163"/>
      <c r="AU163"/>
    </row>
    <row r="164" spans="1:47" s="33" customFormat="1" x14ac:dyDescent="0.2">
      <c r="A164" s="33" t="s">
        <v>467</v>
      </c>
      <c r="B164" s="33" t="s">
        <v>4904</v>
      </c>
      <c r="C164" s="33">
        <v>1</v>
      </c>
      <c r="D164" s="33">
        <v>1</v>
      </c>
      <c r="E164" s="33" t="s">
        <v>2601</v>
      </c>
      <c r="F164" s="37">
        <v>43351</v>
      </c>
      <c r="G164" s="37" t="s">
        <v>4032</v>
      </c>
      <c r="H164" s="37" t="s">
        <v>4724</v>
      </c>
      <c r="I164" s="36">
        <v>1.6666666666666666E-2</v>
      </c>
      <c r="J164" s="177">
        <v>2.7777777777777778E-4</v>
      </c>
      <c r="K164" s="39">
        <v>24</v>
      </c>
      <c r="M164" s="33" t="s">
        <v>173</v>
      </c>
      <c r="N164" s="33" t="s">
        <v>102</v>
      </c>
      <c r="O164" s="33" t="s">
        <v>115</v>
      </c>
      <c r="P164" s="33" t="s">
        <v>24</v>
      </c>
      <c r="R164" s="33">
        <v>0</v>
      </c>
      <c r="T164" t="s">
        <v>176</v>
      </c>
      <c r="U164" s="33" t="s">
        <v>176</v>
      </c>
      <c r="V164" s="33" t="s">
        <v>115</v>
      </c>
      <c r="W164" s="33" t="s">
        <v>115</v>
      </c>
      <c r="X164" s="33" t="s">
        <v>115</v>
      </c>
      <c r="Y164" s="33" t="s">
        <v>115</v>
      </c>
      <c r="Z164" s="33" t="s">
        <v>115</v>
      </c>
      <c r="AA164" s="33" t="s">
        <v>115</v>
      </c>
      <c r="AB164" s="35" t="s">
        <v>115</v>
      </c>
      <c r="AC164" s="35"/>
      <c r="AD164" s="39">
        <v>0</v>
      </c>
      <c r="AE164" s="39">
        <v>0</v>
      </c>
      <c r="AF164" s="39">
        <v>0</v>
      </c>
      <c r="AG164" s="39">
        <v>0</v>
      </c>
      <c r="AH164" s="39">
        <v>19</v>
      </c>
      <c r="AI164" s="33">
        <v>0</v>
      </c>
      <c r="AJ164" s="33">
        <f t="shared" si="2"/>
        <v>19</v>
      </c>
      <c r="AK164" s="33" t="s">
        <v>103</v>
      </c>
      <c r="AQ164" s="34"/>
    </row>
    <row r="165" spans="1:47" s="33" customFormat="1" x14ac:dyDescent="0.2">
      <c r="A165" s="33" t="s">
        <v>468</v>
      </c>
      <c r="B165" s="33" t="s">
        <v>4905</v>
      </c>
      <c r="C165" s="33">
        <v>2</v>
      </c>
      <c r="D165" s="33">
        <v>1</v>
      </c>
      <c r="E165" s="33" t="s">
        <v>2601</v>
      </c>
      <c r="F165" s="37">
        <v>43351</v>
      </c>
      <c r="G165" s="37" t="s">
        <v>4032</v>
      </c>
      <c r="H165" s="37" t="s">
        <v>4724</v>
      </c>
      <c r="I165" s="36">
        <v>3.2638888888888891E-2</v>
      </c>
      <c r="J165" s="177">
        <v>5.4398148148148144E-4</v>
      </c>
      <c r="K165" s="39">
        <v>47</v>
      </c>
      <c r="M165" s="33" t="s">
        <v>173</v>
      </c>
      <c r="N165" s="33" t="s">
        <v>102</v>
      </c>
      <c r="O165" s="33" t="s">
        <v>115</v>
      </c>
      <c r="P165" s="33" t="s">
        <v>24</v>
      </c>
      <c r="R165" s="33">
        <v>0</v>
      </c>
      <c r="T165" t="s">
        <v>176</v>
      </c>
      <c r="U165" s="33" t="s">
        <v>176</v>
      </c>
      <c r="V165" s="33" t="s">
        <v>115</v>
      </c>
      <c r="W165" s="33" t="s">
        <v>115</v>
      </c>
      <c r="X165" s="33" t="s">
        <v>115</v>
      </c>
      <c r="Y165" s="33" t="s">
        <v>115</v>
      </c>
      <c r="Z165" s="33" t="s">
        <v>115</v>
      </c>
      <c r="AA165" s="33" t="s">
        <v>115</v>
      </c>
      <c r="AB165" s="35" t="s">
        <v>115</v>
      </c>
      <c r="AC165" s="35"/>
      <c r="AD165" s="39">
        <v>0</v>
      </c>
      <c r="AE165" s="39">
        <v>0</v>
      </c>
      <c r="AF165" s="39">
        <v>0</v>
      </c>
      <c r="AG165" s="39">
        <v>0</v>
      </c>
      <c r="AH165" s="39">
        <v>5</v>
      </c>
      <c r="AI165" s="33">
        <v>0</v>
      </c>
      <c r="AJ165" s="33">
        <f t="shared" si="2"/>
        <v>5</v>
      </c>
      <c r="AK165" s="33" t="s">
        <v>103</v>
      </c>
      <c r="AO165"/>
      <c r="AP165"/>
      <c r="AQ165"/>
      <c r="AR165"/>
      <c r="AS165"/>
      <c r="AT165"/>
      <c r="AU165"/>
    </row>
    <row r="166" spans="1:47" s="33" customFormat="1" x14ac:dyDescent="0.2">
      <c r="A166" s="33" t="s">
        <v>469</v>
      </c>
      <c r="B166" s="33" t="s">
        <v>4906</v>
      </c>
      <c r="C166" s="33">
        <v>3</v>
      </c>
      <c r="D166" s="33">
        <v>1</v>
      </c>
      <c r="E166" s="33" t="s">
        <v>2601</v>
      </c>
      <c r="F166" s="37">
        <v>43351</v>
      </c>
      <c r="G166" s="37" t="s">
        <v>4032</v>
      </c>
      <c r="H166" s="37" t="s">
        <v>4724</v>
      </c>
      <c r="I166" s="36">
        <v>2.361111111111111E-2</v>
      </c>
      <c r="J166" s="177">
        <v>3.9351851851851852E-4</v>
      </c>
      <c r="K166" s="39">
        <v>34</v>
      </c>
      <c r="M166" s="33" t="s">
        <v>173</v>
      </c>
      <c r="N166" s="33" t="s">
        <v>102</v>
      </c>
      <c r="O166" s="33" t="s">
        <v>115</v>
      </c>
      <c r="P166" s="33" t="s">
        <v>24</v>
      </c>
      <c r="R166" s="33">
        <v>0</v>
      </c>
      <c r="U166" s="33" t="s">
        <v>115</v>
      </c>
      <c r="V166" s="33" t="s">
        <v>115</v>
      </c>
      <c r="W166" s="33" t="s">
        <v>115</v>
      </c>
      <c r="X166" s="33" t="s">
        <v>115</v>
      </c>
      <c r="Y166" s="33" t="s">
        <v>115</v>
      </c>
      <c r="Z166" s="33" t="s">
        <v>115</v>
      </c>
      <c r="AA166" s="33" t="s">
        <v>115</v>
      </c>
      <c r="AB166" s="35" t="s">
        <v>115</v>
      </c>
      <c r="AC166" s="35"/>
      <c r="AD166" s="39">
        <v>0</v>
      </c>
      <c r="AE166" s="39">
        <v>0</v>
      </c>
      <c r="AF166" s="39">
        <v>0</v>
      </c>
      <c r="AG166" s="39">
        <v>0</v>
      </c>
      <c r="AH166" s="39">
        <v>16</v>
      </c>
      <c r="AI166" s="33">
        <v>0</v>
      </c>
      <c r="AJ166" s="33">
        <f t="shared" si="2"/>
        <v>16</v>
      </c>
      <c r="AK166" s="33" t="s">
        <v>103</v>
      </c>
      <c r="AO166"/>
      <c r="AP166"/>
      <c r="AQ166"/>
      <c r="AR166"/>
      <c r="AS166"/>
      <c r="AT166"/>
      <c r="AU166"/>
    </row>
    <row r="167" spans="1:47" s="4" customFormat="1" x14ac:dyDescent="0.2">
      <c r="A167" s="33" t="s">
        <v>470</v>
      </c>
      <c r="B167" s="33" t="s">
        <v>4907</v>
      </c>
      <c r="C167" s="33">
        <v>4</v>
      </c>
      <c r="D167" s="33">
        <v>1</v>
      </c>
      <c r="E167" s="33" t="s">
        <v>2601</v>
      </c>
      <c r="F167" s="37">
        <v>43351</v>
      </c>
      <c r="G167" s="37" t="s">
        <v>4032</v>
      </c>
      <c r="H167" s="37" t="s">
        <v>4724</v>
      </c>
      <c r="I167" s="36">
        <v>2.8472222222222222E-2</v>
      </c>
      <c r="J167" s="177">
        <v>4.7453703703703704E-4</v>
      </c>
      <c r="K167" s="39">
        <v>41</v>
      </c>
      <c r="L167" s="33"/>
      <c r="M167" s="33" t="s">
        <v>173</v>
      </c>
      <c r="N167" s="33" t="s">
        <v>102</v>
      </c>
      <c r="O167" s="33" t="s">
        <v>23</v>
      </c>
      <c r="P167" s="33" t="s">
        <v>24</v>
      </c>
      <c r="Q167" s="33"/>
      <c r="R167" s="33">
        <v>0</v>
      </c>
      <c r="S167" s="33"/>
      <c r="T167" s="33"/>
      <c r="U167" s="33" t="s">
        <v>115</v>
      </c>
      <c r="V167" s="33" t="s">
        <v>115</v>
      </c>
      <c r="W167" s="33" t="s">
        <v>115</v>
      </c>
      <c r="X167" s="33" t="s">
        <v>115</v>
      </c>
      <c r="Y167" s="33" t="s">
        <v>115</v>
      </c>
      <c r="Z167" s="33" t="s">
        <v>115</v>
      </c>
      <c r="AA167" s="33" t="s">
        <v>115</v>
      </c>
      <c r="AB167" s="35" t="s">
        <v>115</v>
      </c>
      <c r="AC167" s="35"/>
      <c r="AD167" s="39">
        <v>15</v>
      </c>
      <c r="AE167" s="39">
        <v>27</v>
      </c>
      <c r="AF167" s="39">
        <v>15</v>
      </c>
      <c r="AG167" s="39">
        <v>27</v>
      </c>
      <c r="AH167" s="39">
        <v>0</v>
      </c>
      <c r="AI167" s="33">
        <v>0</v>
      </c>
      <c r="AJ167" s="33">
        <f t="shared" si="2"/>
        <v>42</v>
      </c>
      <c r="AK167" s="33"/>
      <c r="AL167" s="33"/>
      <c r="AM167" s="33"/>
      <c r="AN167" s="33"/>
      <c r="AO167"/>
      <c r="AP167"/>
      <c r="AQ167"/>
      <c r="AR167"/>
      <c r="AS167"/>
      <c r="AT167"/>
      <c r="AU167"/>
    </row>
    <row r="168" spans="1:47" s="4" customFormat="1" x14ac:dyDescent="0.2">
      <c r="A168" t="s">
        <v>471</v>
      </c>
      <c r="B168" t="s">
        <v>4911</v>
      </c>
      <c r="C168">
        <v>5</v>
      </c>
      <c r="D168">
        <v>1</v>
      </c>
      <c r="E168" t="s">
        <v>2601</v>
      </c>
      <c r="F168" s="1">
        <v>43351</v>
      </c>
      <c r="G168" s="37" t="s">
        <v>4032</v>
      </c>
      <c r="H168" s="37" t="s">
        <v>4724</v>
      </c>
      <c r="I168" s="2">
        <v>1.3194444444444444E-2</v>
      </c>
      <c r="J168" s="176">
        <v>2.199074074074074E-4</v>
      </c>
      <c r="K168" s="6">
        <v>19</v>
      </c>
      <c r="L168"/>
      <c r="M168" t="s">
        <v>173</v>
      </c>
      <c r="N168" t="s">
        <v>111</v>
      </c>
      <c r="O168" t="s">
        <v>23</v>
      </c>
      <c r="P168">
        <v>0</v>
      </c>
      <c r="Q168"/>
      <c r="R168">
        <v>1</v>
      </c>
      <c r="S168"/>
      <c r="T168" t="s">
        <v>112</v>
      </c>
      <c r="U168" t="s">
        <v>112</v>
      </c>
      <c r="V168" t="s">
        <v>122</v>
      </c>
      <c r="W168" t="s">
        <v>333</v>
      </c>
      <c r="X168" s="33" t="s">
        <v>23</v>
      </c>
      <c r="Y168" s="33" t="s">
        <v>3999</v>
      </c>
      <c r="Z168" s="33" t="s">
        <v>4006</v>
      </c>
      <c r="AA168" t="s">
        <v>176</v>
      </c>
      <c r="AB168" s="19">
        <v>63.724820000000001</v>
      </c>
      <c r="AC168" s="19">
        <v>148.95699999999999</v>
      </c>
      <c r="AD168" s="6">
        <v>0</v>
      </c>
      <c r="AE168" s="6">
        <v>0</v>
      </c>
      <c r="AF168" s="6">
        <v>0</v>
      </c>
      <c r="AG168" s="6">
        <v>0</v>
      </c>
      <c r="AH168" s="6">
        <v>0</v>
      </c>
      <c r="AI168">
        <v>0</v>
      </c>
      <c r="AJ168">
        <f t="shared" si="2"/>
        <v>0</v>
      </c>
      <c r="AK168"/>
      <c r="AL168"/>
      <c r="AM168"/>
      <c r="AN168"/>
      <c r="AO168"/>
      <c r="AP168"/>
      <c r="AQ168"/>
      <c r="AR168"/>
      <c r="AS168"/>
      <c r="AT168"/>
      <c r="AU168"/>
    </row>
    <row r="169" spans="1:47" s="33" customFormat="1" x14ac:dyDescent="0.2">
      <c r="A169" t="s">
        <v>473</v>
      </c>
      <c r="B169" t="s">
        <v>4908</v>
      </c>
      <c r="C169">
        <v>6</v>
      </c>
      <c r="D169">
        <v>1</v>
      </c>
      <c r="E169" t="s">
        <v>2601</v>
      </c>
      <c r="F169" s="1">
        <v>43351</v>
      </c>
      <c r="G169" s="37" t="s">
        <v>4032</v>
      </c>
      <c r="H169" s="37" t="s">
        <v>4724</v>
      </c>
      <c r="I169" s="3">
        <v>4.6296296296296294E-5</v>
      </c>
      <c r="J169" s="176">
        <v>4.6296296296296294E-5</v>
      </c>
      <c r="K169" s="6">
        <v>4</v>
      </c>
      <c r="L169"/>
      <c r="M169" t="s">
        <v>173</v>
      </c>
      <c r="N169" t="s">
        <v>107</v>
      </c>
      <c r="O169" t="s">
        <v>23</v>
      </c>
      <c r="P169" t="s">
        <v>24</v>
      </c>
      <c r="Q169"/>
      <c r="R169">
        <v>0</v>
      </c>
      <c r="S169"/>
      <c r="T169" t="s">
        <v>112</v>
      </c>
      <c r="U169" t="s">
        <v>112</v>
      </c>
      <c r="V169" t="s">
        <v>24</v>
      </c>
      <c r="W169" t="s">
        <v>115</v>
      </c>
      <c r="X169" s="33" t="s">
        <v>115</v>
      </c>
      <c r="Y169" s="33" t="s">
        <v>115</v>
      </c>
      <c r="Z169" s="33" t="s">
        <v>115</v>
      </c>
      <c r="AA169" t="s">
        <v>115</v>
      </c>
      <c r="AB169" s="19" t="s">
        <v>115</v>
      </c>
      <c r="AC169" s="19"/>
      <c r="AD169" s="6">
        <v>0</v>
      </c>
      <c r="AE169" s="6">
        <v>0</v>
      </c>
      <c r="AF169" s="6">
        <v>0</v>
      </c>
      <c r="AG169" s="6">
        <v>0</v>
      </c>
      <c r="AH169" s="6">
        <v>0</v>
      </c>
      <c r="AI169">
        <v>0</v>
      </c>
      <c r="AJ169">
        <f t="shared" si="2"/>
        <v>0</v>
      </c>
      <c r="AK169"/>
      <c r="AL169" t="s">
        <v>474</v>
      </c>
      <c r="AM169"/>
      <c r="AN169"/>
      <c r="AO169"/>
      <c r="AP169"/>
      <c r="AQ169"/>
      <c r="AR169"/>
      <c r="AS169"/>
      <c r="AT169"/>
      <c r="AU169"/>
    </row>
    <row r="170" spans="1:47" s="4" customFormat="1" x14ac:dyDescent="0.2">
      <c r="A170" s="33" t="s">
        <v>475</v>
      </c>
      <c r="B170" s="33" t="s">
        <v>4909</v>
      </c>
      <c r="C170" s="33">
        <v>7</v>
      </c>
      <c r="D170" s="33">
        <v>1</v>
      </c>
      <c r="E170" s="33" t="s">
        <v>2601</v>
      </c>
      <c r="F170" s="37">
        <v>43351</v>
      </c>
      <c r="G170" s="37" t="s">
        <v>4032</v>
      </c>
      <c r="H170" s="37" t="s">
        <v>4724</v>
      </c>
      <c r="I170" s="36">
        <v>2.2222222222222223E-2</v>
      </c>
      <c r="J170" s="177">
        <v>3.7037037037037035E-4</v>
      </c>
      <c r="K170" s="39">
        <v>32</v>
      </c>
      <c r="L170" s="33"/>
      <c r="M170" s="33" t="s">
        <v>173</v>
      </c>
      <c r="N170" s="33" t="s">
        <v>187</v>
      </c>
      <c r="O170" s="33" t="s">
        <v>23</v>
      </c>
      <c r="P170" s="33">
        <v>1</v>
      </c>
      <c r="Q170" s="33"/>
      <c r="R170" s="33">
        <v>1</v>
      </c>
      <c r="S170" s="33"/>
      <c r="T170" t="s">
        <v>112</v>
      </c>
      <c r="U170" s="33" t="s">
        <v>112</v>
      </c>
      <c r="V170" s="33" t="s">
        <v>122</v>
      </c>
      <c r="W170" s="33" t="s">
        <v>333</v>
      </c>
      <c r="X170" s="33" t="s">
        <v>23</v>
      </c>
      <c r="Y170" s="33" t="s">
        <v>3999</v>
      </c>
      <c r="Z170" s="33" t="s">
        <v>4006</v>
      </c>
      <c r="AA170" s="33" t="s">
        <v>176</v>
      </c>
      <c r="AB170" s="35">
        <v>63.724640000000001</v>
      </c>
      <c r="AC170" s="35">
        <v>148.95958999999999</v>
      </c>
      <c r="AD170" s="39">
        <v>0</v>
      </c>
      <c r="AE170" s="39">
        <v>0</v>
      </c>
      <c r="AF170" s="39">
        <v>0</v>
      </c>
      <c r="AG170" s="39">
        <v>0</v>
      </c>
      <c r="AH170" s="39">
        <v>19</v>
      </c>
      <c r="AI170" s="33">
        <v>0</v>
      </c>
      <c r="AJ170" s="33">
        <f t="shared" si="2"/>
        <v>19</v>
      </c>
      <c r="AK170" s="33" t="s">
        <v>303</v>
      </c>
      <c r="AL170" s="33"/>
      <c r="AM170" s="33"/>
      <c r="AN170" s="33"/>
      <c r="AO170" s="33"/>
      <c r="AP170" s="33"/>
      <c r="AQ170" s="34"/>
      <c r="AR170" s="33"/>
      <c r="AS170" s="33"/>
      <c r="AT170" s="33"/>
      <c r="AU170" s="33"/>
    </row>
    <row r="171" spans="1:47" s="4" customFormat="1" x14ac:dyDescent="0.2">
      <c r="A171" t="s">
        <v>477</v>
      </c>
      <c r="B171" t="s">
        <v>4912</v>
      </c>
      <c r="C171">
        <v>8</v>
      </c>
      <c r="D171">
        <v>1</v>
      </c>
      <c r="E171" t="s">
        <v>2601</v>
      </c>
      <c r="F171" s="1">
        <v>43351</v>
      </c>
      <c r="G171" s="37" t="s">
        <v>4032</v>
      </c>
      <c r="H171" s="37" t="s">
        <v>4724</v>
      </c>
      <c r="I171" s="2">
        <v>1.4583333333333332E-2</v>
      </c>
      <c r="J171" s="176">
        <v>2.4305555555555552E-4</v>
      </c>
      <c r="K171" s="6">
        <v>21</v>
      </c>
      <c r="L171"/>
      <c r="M171" t="s">
        <v>173</v>
      </c>
      <c r="N171" t="s">
        <v>111</v>
      </c>
      <c r="O171" t="s">
        <v>23</v>
      </c>
      <c r="P171">
        <v>0</v>
      </c>
      <c r="Q171"/>
      <c r="R171">
        <v>1</v>
      </c>
      <c r="S171"/>
      <c r="T171" t="s">
        <v>176</v>
      </c>
      <c r="U171" t="s">
        <v>176</v>
      </c>
      <c r="V171" t="s">
        <v>24</v>
      </c>
      <c r="W171" t="s">
        <v>333</v>
      </c>
      <c r="X171" s="33" t="s">
        <v>23</v>
      </c>
      <c r="Y171" s="33" t="s">
        <v>3999</v>
      </c>
      <c r="Z171" s="33" t="s">
        <v>4006</v>
      </c>
      <c r="AA171" t="s">
        <v>176</v>
      </c>
      <c r="AB171" s="19">
        <v>63.724600000000002</v>
      </c>
      <c r="AC171" s="19">
        <v>148.95944</v>
      </c>
      <c r="AD171" s="6">
        <v>0</v>
      </c>
      <c r="AE171" s="6">
        <v>0</v>
      </c>
      <c r="AF171" s="6">
        <v>0</v>
      </c>
      <c r="AG171" s="6">
        <v>0</v>
      </c>
      <c r="AH171" s="6">
        <v>0</v>
      </c>
      <c r="AI171">
        <v>0</v>
      </c>
      <c r="AJ171">
        <f t="shared" si="2"/>
        <v>0</v>
      </c>
      <c r="AK171"/>
      <c r="AL171" t="s">
        <v>4913</v>
      </c>
      <c r="AM171"/>
      <c r="AN171"/>
      <c r="AO171"/>
      <c r="AP171"/>
      <c r="AQ171"/>
      <c r="AR171"/>
      <c r="AS171"/>
      <c r="AT171"/>
      <c r="AU171"/>
    </row>
    <row r="172" spans="1:47" s="4" customFormat="1" x14ac:dyDescent="0.2">
      <c r="A172" t="s">
        <v>480</v>
      </c>
      <c r="B172" t="s">
        <v>4910</v>
      </c>
      <c r="C172">
        <v>9</v>
      </c>
      <c r="D172">
        <v>1</v>
      </c>
      <c r="E172" t="s">
        <v>2601</v>
      </c>
      <c r="F172" s="1">
        <v>43351</v>
      </c>
      <c r="G172" s="37" t="s">
        <v>4032</v>
      </c>
      <c r="H172" s="37" t="s">
        <v>4724</v>
      </c>
      <c r="I172" s="2">
        <v>2.5694444444444447E-2</v>
      </c>
      <c r="J172" s="176">
        <v>4.2824074074074075E-4</v>
      </c>
      <c r="K172" s="6">
        <v>37</v>
      </c>
      <c r="L172"/>
      <c r="M172" t="s">
        <v>173</v>
      </c>
      <c r="N172" t="s">
        <v>102</v>
      </c>
      <c r="O172" t="s">
        <v>23</v>
      </c>
      <c r="P172">
        <v>1</v>
      </c>
      <c r="Q172"/>
      <c r="R172">
        <v>1</v>
      </c>
      <c r="S172"/>
      <c r="T172" t="s">
        <v>176</v>
      </c>
      <c r="U172" t="s">
        <v>2120</v>
      </c>
      <c r="V172" t="s">
        <v>122</v>
      </c>
      <c r="W172" t="s">
        <v>333</v>
      </c>
      <c r="X172" s="33" t="s">
        <v>23</v>
      </c>
      <c r="Y172" s="33" t="s">
        <v>3999</v>
      </c>
      <c r="Z172" s="33" t="s">
        <v>4006</v>
      </c>
      <c r="AA172" t="s">
        <v>176</v>
      </c>
      <c r="AB172" s="19">
        <v>63.724620000000002</v>
      </c>
      <c r="AC172" s="19">
        <v>148.95992000000001</v>
      </c>
      <c r="AD172" s="6">
        <v>0</v>
      </c>
      <c r="AE172" s="6">
        <v>0</v>
      </c>
      <c r="AF172" s="6">
        <v>0</v>
      </c>
      <c r="AG172" s="6">
        <v>0</v>
      </c>
      <c r="AH172" s="6">
        <v>0</v>
      </c>
      <c r="AI172">
        <v>0</v>
      </c>
      <c r="AJ172">
        <f t="shared" si="2"/>
        <v>0</v>
      </c>
      <c r="AK172"/>
      <c r="AL172" t="s">
        <v>2152</v>
      </c>
      <c r="AM172"/>
      <c r="AN172"/>
      <c r="AO172" s="33"/>
      <c r="AP172" s="33"/>
      <c r="AQ172" s="34"/>
      <c r="AR172" s="33"/>
      <c r="AS172" s="33"/>
      <c r="AT172" s="33"/>
      <c r="AU172" s="33"/>
    </row>
    <row r="173" spans="1:47" x14ac:dyDescent="0.2">
      <c r="A173" s="7" t="s">
        <v>482</v>
      </c>
      <c r="B173" s="7" t="s">
        <v>867</v>
      </c>
      <c r="C173" s="7">
        <v>1</v>
      </c>
      <c r="D173" s="7">
        <v>1</v>
      </c>
      <c r="E173" s="7" t="s">
        <v>834</v>
      </c>
      <c r="F173" s="10">
        <v>43352</v>
      </c>
      <c r="G173" s="37" t="s">
        <v>4032</v>
      </c>
      <c r="H173" s="37" t="s">
        <v>4724</v>
      </c>
      <c r="I173" s="8">
        <v>5.5555555555555552E-2</v>
      </c>
      <c r="J173" s="178">
        <v>9.2592592592592585E-4</v>
      </c>
      <c r="K173" s="9">
        <v>80</v>
      </c>
      <c r="L173" s="7" t="s">
        <v>483</v>
      </c>
      <c r="M173" s="7" t="s">
        <v>466</v>
      </c>
      <c r="N173" s="7" t="s">
        <v>102</v>
      </c>
      <c r="O173" s="7" t="s">
        <v>23</v>
      </c>
      <c r="P173" s="7" t="s">
        <v>24</v>
      </c>
      <c r="Q173" s="7"/>
      <c r="R173" s="7" t="s">
        <v>24</v>
      </c>
      <c r="S173" s="7"/>
      <c r="T173" s="7"/>
      <c r="U173" s="7" t="s">
        <v>115</v>
      </c>
      <c r="V173" s="7" t="s">
        <v>115</v>
      </c>
      <c r="W173" s="7" t="s">
        <v>115</v>
      </c>
      <c r="X173" s="7"/>
      <c r="Y173" s="7"/>
      <c r="Z173" s="7"/>
      <c r="AA173" s="7" t="s">
        <v>115</v>
      </c>
      <c r="AB173" s="20" t="s">
        <v>115</v>
      </c>
      <c r="AC173" s="20"/>
      <c r="AD173" s="9">
        <v>0</v>
      </c>
      <c r="AE173" s="9">
        <v>10</v>
      </c>
      <c r="AF173" s="9">
        <v>10</v>
      </c>
      <c r="AG173" s="9">
        <v>0</v>
      </c>
      <c r="AH173" s="9">
        <v>0</v>
      </c>
      <c r="AI173">
        <v>0</v>
      </c>
      <c r="AJ173">
        <f t="shared" si="2"/>
        <v>10</v>
      </c>
      <c r="AK173" s="7"/>
      <c r="AL173" s="7"/>
      <c r="AM173" s="7"/>
      <c r="AN173" s="7"/>
    </row>
    <row r="174" spans="1:47" x14ac:dyDescent="0.2">
      <c r="A174" s="33" t="s">
        <v>484</v>
      </c>
      <c r="B174" s="33" t="s">
        <v>868</v>
      </c>
      <c r="C174" s="33">
        <v>2</v>
      </c>
      <c r="D174" s="33">
        <v>1</v>
      </c>
      <c r="E174" s="33" t="s">
        <v>834</v>
      </c>
      <c r="F174" s="37">
        <v>43352</v>
      </c>
      <c r="G174" s="37" t="s">
        <v>4032</v>
      </c>
      <c r="H174" s="37" t="s">
        <v>4724</v>
      </c>
      <c r="I174" s="36">
        <v>3.125E-2</v>
      </c>
      <c r="J174" s="177">
        <v>5.2083333333333333E-4</v>
      </c>
      <c r="K174" s="39">
        <v>45</v>
      </c>
      <c r="L174" s="33" t="s">
        <v>483</v>
      </c>
      <c r="M174" s="33" t="s">
        <v>466</v>
      </c>
      <c r="N174" s="33" t="s">
        <v>102</v>
      </c>
      <c r="O174" s="33" t="s">
        <v>115</v>
      </c>
      <c r="P174" s="33">
        <v>1</v>
      </c>
      <c r="Q174" s="33"/>
      <c r="R174" s="33" t="s">
        <v>24</v>
      </c>
      <c r="S174" s="33"/>
      <c r="T174" t="s">
        <v>112</v>
      </c>
      <c r="U174" s="33" t="s">
        <v>112</v>
      </c>
      <c r="V174" s="33" t="s">
        <v>122</v>
      </c>
      <c r="W174" s="33" t="s">
        <v>115</v>
      </c>
      <c r="X174" s="33"/>
      <c r="Y174" s="33"/>
      <c r="Z174" s="33"/>
      <c r="AA174" s="33" t="s">
        <v>115</v>
      </c>
      <c r="AB174" s="35" t="s">
        <v>115</v>
      </c>
      <c r="AC174" s="35"/>
      <c r="AD174" s="39">
        <v>0</v>
      </c>
      <c r="AE174" s="39">
        <v>0</v>
      </c>
      <c r="AF174" s="39">
        <v>0</v>
      </c>
      <c r="AG174" s="39">
        <v>0</v>
      </c>
      <c r="AH174" s="39">
        <v>6</v>
      </c>
      <c r="AI174" s="33">
        <v>0</v>
      </c>
      <c r="AJ174" s="33">
        <f t="shared" si="2"/>
        <v>6</v>
      </c>
      <c r="AK174" s="33"/>
      <c r="AL174" s="33" t="s">
        <v>485</v>
      </c>
      <c r="AM174" s="33"/>
      <c r="AN174" s="33"/>
    </row>
    <row r="175" spans="1:47" x14ac:dyDescent="0.2">
      <c r="A175" s="7" t="s">
        <v>486</v>
      </c>
      <c r="B175" s="7" t="s">
        <v>869</v>
      </c>
      <c r="C175" s="7">
        <v>3</v>
      </c>
      <c r="D175" s="7">
        <v>1</v>
      </c>
      <c r="E175" s="7" t="s">
        <v>834</v>
      </c>
      <c r="F175" s="10">
        <v>43352</v>
      </c>
      <c r="G175" s="37" t="s">
        <v>4032</v>
      </c>
      <c r="H175" s="37" t="s">
        <v>4724</v>
      </c>
      <c r="I175" s="8">
        <v>5.4166666666666669E-2</v>
      </c>
      <c r="J175" s="178">
        <v>9.0277777777777784E-4</v>
      </c>
      <c r="K175" s="9">
        <v>78</v>
      </c>
      <c r="L175" s="7" t="s">
        <v>483</v>
      </c>
      <c r="M175" s="7" t="s">
        <v>466</v>
      </c>
      <c r="N175" s="7" t="s">
        <v>111</v>
      </c>
      <c r="O175" s="7" t="s">
        <v>23</v>
      </c>
      <c r="P175" s="7">
        <v>0</v>
      </c>
      <c r="Q175" s="7"/>
      <c r="R175" s="7">
        <v>3</v>
      </c>
      <c r="S175" s="7" t="s">
        <v>2066</v>
      </c>
      <c r="T175" t="s">
        <v>1618</v>
      </c>
      <c r="U175" s="7" t="s">
        <v>2137</v>
      </c>
      <c r="V175" s="7" t="s">
        <v>3987</v>
      </c>
      <c r="W175" s="7" t="s">
        <v>3962</v>
      </c>
      <c r="X175" s="44" t="s">
        <v>23</v>
      </c>
      <c r="Y175" s="44" t="s">
        <v>3997</v>
      </c>
      <c r="Z175" s="44" t="s">
        <v>4005</v>
      </c>
      <c r="AA175" s="7">
        <v>0</v>
      </c>
      <c r="AB175" s="20">
        <v>63.739269999999998</v>
      </c>
      <c r="AC175" s="20">
        <v>148.90099000000001</v>
      </c>
      <c r="AD175" s="9">
        <v>0</v>
      </c>
      <c r="AE175" s="9">
        <v>0</v>
      </c>
      <c r="AF175" s="9">
        <v>0</v>
      </c>
      <c r="AG175" s="9">
        <v>0</v>
      </c>
      <c r="AH175" s="9">
        <v>0</v>
      </c>
      <c r="AI175">
        <v>0</v>
      </c>
      <c r="AJ175">
        <f t="shared" si="2"/>
        <v>0</v>
      </c>
      <c r="AK175" s="7"/>
      <c r="AL175" s="7" t="s">
        <v>1069</v>
      </c>
      <c r="AM175" s="7"/>
      <c r="AN175" s="7"/>
    </row>
    <row r="176" spans="1:47" hidden="1" x14ac:dyDescent="0.2">
      <c r="A176" s="7" t="s">
        <v>486</v>
      </c>
      <c r="B176" s="7" t="s">
        <v>869</v>
      </c>
      <c r="C176" s="7">
        <v>3</v>
      </c>
      <c r="D176" s="7">
        <v>2</v>
      </c>
      <c r="E176" s="7" t="s">
        <v>834</v>
      </c>
      <c r="F176" s="10">
        <v>43352</v>
      </c>
      <c r="G176" s="37" t="s">
        <v>4032</v>
      </c>
      <c r="H176" s="37" t="s">
        <v>4724</v>
      </c>
      <c r="I176" s="8">
        <v>5.4166666666666669E-2</v>
      </c>
      <c r="J176" s="178">
        <v>9.0277777777777784E-4</v>
      </c>
      <c r="K176" s="9">
        <v>78</v>
      </c>
      <c r="L176" s="7" t="s">
        <v>483</v>
      </c>
      <c r="M176" s="7" t="s">
        <v>466</v>
      </c>
      <c r="N176" s="7" t="s">
        <v>111</v>
      </c>
      <c r="O176" s="7" t="s">
        <v>23</v>
      </c>
      <c r="P176" s="7">
        <v>0</v>
      </c>
      <c r="Q176" s="7"/>
      <c r="R176" s="7">
        <v>1</v>
      </c>
      <c r="S176" s="7">
        <v>1</v>
      </c>
      <c r="T176" t="s">
        <v>1618</v>
      </c>
      <c r="U176" s="7" t="s">
        <v>2137</v>
      </c>
      <c r="V176" s="7" t="s">
        <v>3987</v>
      </c>
      <c r="W176" s="7" t="s">
        <v>3988</v>
      </c>
      <c r="X176" s="44" t="s">
        <v>4013</v>
      </c>
      <c r="Y176" s="44" t="s">
        <v>3997</v>
      </c>
      <c r="Z176" s="44" t="s">
        <v>4001</v>
      </c>
      <c r="AA176" s="7">
        <v>3</v>
      </c>
      <c r="AB176" s="20">
        <v>63.739319999999999</v>
      </c>
      <c r="AC176" s="20">
        <v>148.90099000000001</v>
      </c>
      <c r="AD176" s="9">
        <v>0</v>
      </c>
      <c r="AE176" s="9">
        <v>0</v>
      </c>
      <c r="AF176" s="9">
        <v>0</v>
      </c>
      <c r="AG176" s="9">
        <v>0</v>
      </c>
      <c r="AH176" s="9">
        <v>0</v>
      </c>
      <c r="AI176">
        <v>0</v>
      </c>
      <c r="AJ176">
        <f t="shared" si="2"/>
        <v>0</v>
      </c>
      <c r="AK176" s="7"/>
      <c r="AL176" s="7"/>
      <c r="AM176" s="7"/>
      <c r="AN176" s="7"/>
    </row>
    <row r="177" spans="1:47" s="7" customFormat="1" x14ac:dyDescent="0.2">
      <c r="A177" s="7" t="s">
        <v>488</v>
      </c>
      <c r="B177" s="7" t="s">
        <v>870</v>
      </c>
      <c r="C177" s="7">
        <v>4</v>
      </c>
      <c r="D177" s="7">
        <v>1</v>
      </c>
      <c r="E177" s="7" t="s">
        <v>834</v>
      </c>
      <c r="F177" s="10">
        <v>43352</v>
      </c>
      <c r="G177" s="37" t="s">
        <v>4032</v>
      </c>
      <c r="H177" s="37" t="s">
        <v>4724</v>
      </c>
      <c r="I177" s="8">
        <v>6.25E-2</v>
      </c>
      <c r="J177" s="178">
        <v>1.0416666666666667E-3</v>
      </c>
      <c r="K177" s="9">
        <v>90</v>
      </c>
      <c r="L177" s="7" t="s">
        <v>483</v>
      </c>
      <c r="M177" s="7" t="s">
        <v>466</v>
      </c>
      <c r="N177" s="7" t="s">
        <v>111</v>
      </c>
      <c r="O177" s="7" t="s">
        <v>23</v>
      </c>
      <c r="P177" s="7">
        <v>0</v>
      </c>
      <c r="R177" s="7">
        <v>2</v>
      </c>
      <c r="S177" s="7" t="s">
        <v>2066</v>
      </c>
      <c r="T177" t="s">
        <v>1618</v>
      </c>
      <c r="U177" s="7" t="s">
        <v>2137</v>
      </c>
      <c r="V177" s="7" t="s">
        <v>3987</v>
      </c>
      <c r="W177" s="7" t="s">
        <v>1057</v>
      </c>
      <c r="X177" s="44" t="s">
        <v>23</v>
      </c>
      <c r="Y177" s="44" t="s">
        <v>3999</v>
      </c>
      <c r="Z177" s="44" t="s">
        <v>4005</v>
      </c>
      <c r="AA177" s="7">
        <v>0</v>
      </c>
      <c r="AB177" s="20">
        <v>63.739249999999998</v>
      </c>
      <c r="AC177" s="20">
        <v>148.90089</v>
      </c>
      <c r="AD177" s="9">
        <v>0</v>
      </c>
      <c r="AE177" s="9">
        <v>0</v>
      </c>
      <c r="AF177" s="9">
        <v>0</v>
      </c>
      <c r="AG177" s="9">
        <v>0</v>
      </c>
      <c r="AH177" s="9">
        <v>0</v>
      </c>
      <c r="AI177">
        <v>0</v>
      </c>
      <c r="AJ177">
        <f t="shared" si="2"/>
        <v>0</v>
      </c>
      <c r="AL177" s="7" t="s">
        <v>1070</v>
      </c>
      <c r="AO177" s="33"/>
      <c r="AP177" s="33"/>
      <c r="AQ177" s="34"/>
      <c r="AR177" s="33"/>
      <c r="AS177" s="33"/>
      <c r="AT177" s="33"/>
      <c r="AU177" s="33"/>
    </row>
    <row r="178" spans="1:47" s="33" customFormat="1" x14ac:dyDescent="0.2">
      <c r="A178" s="7" t="s">
        <v>491</v>
      </c>
      <c r="B178" s="7" t="s">
        <v>871</v>
      </c>
      <c r="C178" s="7">
        <v>5</v>
      </c>
      <c r="D178" s="7">
        <v>1</v>
      </c>
      <c r="E178" s="7" t="s">
        <v>834</v>
      </c>
      <c r="F178" s="10">
        <v>43352</v>
      </c>
      <c r="G178" s="37" t="s">
        <v>4032</v>
      </c>
      <c r="H178" s="37" t="s">
        <v>4724</v>
      </c>
      <c r="I178" s="8">
        <v>2.6388888888888889E-2</v>
      </c>
      <c r="J178" s="178">
        <v>4.3981481481481481E-4</v>
      </c>
      <c r="K178" s="9">
        <v>38</v>
      </c>
      <c r="L178" s="7" t="s">
        <v>483</v>
      </c>
      <c r="M178" s="7" t="s">
        <v>466</v>
      </c>
      <c r="N178" s="7" t="s">
        <v>111</v>
      </c>
      <c r="O178" s="7" t="s">
        <v>23</v>
      </c>
      <c r="P178" s="7">
        <v>0</v>
      </c>
      <c r="Q178" s="7"/>
      <c r="R178" s="7">
        <v>1</v>
      </c>
      <c r="S178" s="7"/>
      <c r="T178" t="s">
        <v>1618</v>
      </c>
      <c r="U178" s="7" t="s">
        <v>2137</v>
      </c>
      <c r="V178" s="7" t="s">
        <v>3987</v>
      </c>
      <c r="W178" s="7" t="s">
        <v>3989</v>
      </c>
      <c r="X178" s="44" t="s">
        <v>23</v>
      </c>
      <c r="Y178" s="44" t="s">
        <v>3997</v>
      </c>
      <c r="Z178" s="44" t="s">
        <v>4005</v>
      </c>
      <c r="AA178" s="7">
        <v>6</v>
      </c>
      <c r="AB178" s="20">
        <v>63.739339999999999</v>
      </c>
      <c r="AC178" s="20">
        <v>148.90071</v>
      </c>
      <c r="AD178" s="9">
        <v>0</v>
      </c>
      <c r="AE178" s="9">
        <v>0</v>
      </c>
      <c r="AF178" s="9">
        <v>0</v>
      </c>
      <c r="AG178" s="9">
        <v>0</v>
      </c>
      <c r="AH178" s="9">
        <v>0</v>
      </c>
      <c r="AI178">
        <v>0</v>
      </c>
      <c r="AJ178">
        <f t="shared" si="2"/>
        <v>0</v>
      </c>
      <c r="AK178" s="7"/>
      <c r="AL178" s="7"/>
      <c r="AM178" s="7"/>
      <c r="AN178" s="7"/>
      <c r="AO178"/>
      <c r="AP178"/>
      <c r="AQ178"/>
      <c r="AR178"/>
      <c r="AS178"/>
      <c r="AT178"/>
      <c r="AU178"/>
    </row>
    <row r="179" spans="1:47" s="7" customFormat="1" x14ac:dyDescent="0.2">
      <c r="A179" s="7" t="s">
        <v>493</v>
      </c>
      <c r="B179" s="7" t="s">
        <v>872</v>
      </c>
      <c r="C179" s="7">
        <v>6</v>
      </c>
      <c r="D179" s="7">
        <v>1</v>
      </c>
      <c r="E179" s="7" t="s">
        <v>834</v>
      </c>
      <c r="F179" s="10">
        <v>43352</v>
      </c>
      <c r="G179" s="37" t="s">
        <v>4032</v>
      </c>
      <c r="H179" s="37" t="s">
        <v>4724</v>
      </c>
      <c r="I179" s="8">
        <v>0.13055555555555556</v>
      </c>
      <c r="J179" s="178">
        <v>2.1759259259259258E-3</v>
      </c>
      <c r="K179" s="9">
        <v>188</v>
      </c>
      <c r="L179" s="7" t="s">
        <v>483</v>
      </c>
      <c r="M179" s="7" t="s">
        <v>466</v>
      </c>
      <c r="N179" s="7" t="s">
        <v>111</v>
      </c>
      <c r="O179" s="7" t="s">
        <v>23</v>
      </c>
      <c r="P179" s="7">
        <v>0</v>
      </c>
      <c r="R179" s="7">
        <v>1</v>
      </c>
      <c r="S179" s="7">
        <v>1</v>
      </c>
      <c r="T179" t="s">
        <v>1618</v>
      </c>
      <c r="U179" s="7" t="s">
        <v>2137</v>
      </c>
      <c r="V179" s="7" t="s">
        <v>3987</v>
      </c>
      <c r="W179" s="7" t="s">
        <v>2069</v>
      </c>
      <c r="X179" s="44" t="s">
        <v>23</v>
      </c>
      <c r="Y179" s="44" t="s">
        <v>3999</v>
      </c>
      <c r="Z179" s="44" t="s">
        <v>4005</v>
      </c>
      <c r="AA179" s="23">
        <v>14</v>
      </c>
      <c r="AB179" s="20">
        <v>63.73912</v>
      </c>
      <c r="AC179" s="20">
        <v>148.90092000000001</v>
      </c>
      <c r="AD179" s="9">
        <v>0</v>
      </c>
      <c r="AE179" s="9">
        <v>0</v>
      </c>
      <c r="AF179" s="9">
        <v>0</v>
      </c>
      <c r="AG179" s="9">
        <v>0</v>
      </c>
      <c r="AH179" s="9">
        <v>0</v>
      </c>
      <c r="AI179">
        <v>0</v>
      </c>
      <c r="AJ179">
        <f t="shared" si="2"/>
        <v>0</v>
      </c>
      <c r="AO179" s="33"/>
      <c r="AP179" s="33"/>
      <c r="AQ179" s="34"/>
      <c r="AR179" s="33"/>
      <c r="AS179" s="33"/>
      <c r="AT179" s="33"/>
      <c r="AU179" s="33"/>
    </row>
    <row r="180" spans="1:47" s="33" customFormat="1" hidden="1" x14ac:dyDescent="0.2">
      <c r="A180" s="7" t="s">
        <v>493</v>
      </c>
      <c r="B180" s="7" t="s">
        <v>872</v>
      </c>
      <c r="C180" s="7">
        <v>6</v>
      </c>
      <c r="D180" s="7">
        <v>2</v>
      </c>
      <c r="E180" s="7" t="s">
        <v>834</v>
      </c>
      <c r="F180" s="10">
        <v>43352</v>
      </c>
      <c r="G180" s="37" t="s">
        <v>4032</v>
      </c>
      <c r="H180" s="37" t="s">
        <v>4724</v>
      </c>
      <c r="I180" s="8">
        <v>0.13055555555555556</v>
      </c>
      <c r="J180" s="178">
        <v>2.1759259259259258E-3</v>
      </c>
      <c r="K180" s="9">
        <v>188</v>
      </c>
      <c r="L180" s="7" t="s">
        <v>483</v>
      </c>
      <c r="M180" s="7" t="s">
        <v>466</v>
      </c>
      <c r="N180" s="7" t="s">
        <v>111</v>
      </c>
      <c r="O180" s="7" t="s">
        <v>23</v>
      </c>
      <c r="P180" s="7">
        <v>0</v>
      </c>
      <c r="Q180" s="7"/>
      <c r="R180" s="7">
        <v>1</v>
      </c>
      <c r="S180" s="7">
        <v>1</v>
      </c>
      <c r="T180" t="s">
        <v>1618</v>
      </c>
      <c r="U180" s="7" t="s">
        <v>2137</v>
      </c>
      <c r="V180" s="7" t="s">
        <v>3987</v>
      </c>
      <c r="W180" s="7" t="s">
        <v>2068</v>
      </c>
      <c r="X180" s="44" t="s">
        <v>23</v>
      </c>
      <c r="Y180" s="44" t="s">
        <v>3997</v>
      </c>
      <c r="Z180" s="44" t="s">
        <v>4005</v>
      </c>
      <c r="AA180" s="23">
        <v>14</v>
      </c>
      <c r="AB180" s="20">
        <v>63.73912</v>
      </c>
      <c r="AC180" s="20">
        <v>148.90092000000001</v>
      </c>
      <c r="AD180" s="9">
        <v>0</v>
      </c>
      <c r="AE180" s="9">
        <v>0</v>
      </c>
      <c r="AF180" s="9">
        <v>0</v>
      </c>
      <c r="AG180" s="9">
        <v>0</v>
      </c>
      <c r="AH180" s="9">
        <v>0</v>
      </c>
      <c r="AI180">
        <v>0</v>
      </c>
      <c r="AJ180">
        <f t="shared" si="2"/>
        <v>0</v>
      </c>
      <c r="AK180" s="7"/>
      <c r="AL180" s="7"/>
      <c r="AM180" s="7"/>
      <c r="AN180" s="7"/>
      <c r="AQ180" s="34"/>
    </row>
    <row r="181" spans="1:47" s="33" customFormat="1" hidden="1" x14ac:dyDescent="0.2">
      <c r="A181" s="7" t="s">
        <v>493</v>
      </c>
      <c r="B181" s="7" t="s">
        <v>872</v>
      </c>
      <c r="C181" s="7">
        <v>6</v>
      </c>
      <c r="D181" s="7">
        <v>3</v>
      </c>
      <c r="E181" s="7" t="s">
        <v>834</v>
      </c>
      <c r="F181" s="10">
        <v>43352</v>
      </c>
      <c r="G181" s="37" t="s">
        <v>4032</v>
      </c>
      <c r="H181" s="37" t="s">
        <v>4724</v>
      </c>
      <c r="I181" s="8">
        <v>0.13055555555555556</v>
      </c>
      <c r="J181" s="178">
        <v>2.1759259259259258E-3</v>
      </c>
      <c r="K181" s="9">
        <v>188</v>
      </c>
      <c r="L181" s="7" t="s">
        <v>483</v>
      </c>
      <c r="M181" s="7" t="s">
        <v>466</v>
      </c>
      <c r="N181" s="7" t="s">
        <v>111</v>
      </c>
      <c r="O181" s="7" t="s">
        <v>23</v>
      </c>
      <c r="P181" s="7">
        <v>0</v>
      </c>
      <c r="Q181" s="7"/>
      <c r="R181" s="7">
        <v>1</v>
      </c>
      <c r="S181" s="7">
        <v>1</v>
      </c>
      <c r="T181" t="s">
        <v>1618</v>
      </c>
      <c r="U181" s="7" t="s">
        <v>2137</v>
      </c>
      <c r="V181" s="7" t="s">
        <v>3987</v>
      </c>
      <c r="W181" s="7" t="s">
        <v>2069</v>
      </c>
      <c r="X181" s="44" t="s">
        <v>23</v>
      </c>
      <c r="Y181" s="44" t="s">
        <v>3999</v>
      </c>
      <c r="Z181" s="44" t="s">
        <v>4005</v>
      </c>
      <c r="AA181" s="23">
        <v>14</v>
      </c>
      <c r="AB181" s="20">
        <v>63.73912</v>
      </c>
      <c r="AC181" s="20">
        <v>148.90092000000001</v>
      </c>
      <c r="AD181" s="9">
        <v>0</v>
      </c>
      <c r="AE181" s="9">
        <v>0</v>
      </c>
      <c r="AF181" s="9">
        <v>0</v>
      </c>
      <c r="AG181" s="9">
        <v>0</v>
      </c>
      <c r="AH181" s="9">
        <v>0</v>
      </c>
      <c r="AI181">
        <v>0</v>
      </c>
      <c r="AJ181">
        <f t="shared" si="2"/>
        <v>0</v>
      </c>
      <c r="AK181" s="7"/>
      <c r="AL181" s="7"/>
      <c r="AM181" s="7"/>
      <c r="AN181" s="7"/>
      <c r="AQ181" s="34"/>
    </row>
    <row r="182" spans="1:47" s="33" customFormat="1" hidden="1" x14ac:dyDescent="0.2">
      <c r="A182" s="7" t="s">
        <v>493</v>
      </c>
      <c r="B182" s="7" t="s">
        <v>872</v>
      </c>
      <c r="C182" s="7">
        <v>6</v>
      </c>
      <c r="D182" s="7">
        <v>4</v>
      </c>
      <c r="E182" s="7" t="s">
        <v>834</v>
      </c>
      <c r="F182" s="10">
        <v>43352</v>
      </c>
      <c r="G182" s="37" t="s">
        <v>4032</v>
      </c>
      <c r="H182" s="37" t="s">
        <v>4724</v>
      </c>
      <c r="I182" s="8">
        <v>0.13055555555555556</v>
      </c>
      <c r="J182" s="178">
        <v>2.1759259259259258E-3</v>
      </c>
      <c r="K182" s="9">
        <v>188</v>
      </c>
      <c r="L182" s="7" t="s">
        <v>483</v>
      </c>
      <c r="M182" s="7" t="s">
        <v>466</v>
      </c>
      <c r="N182" s="7" t="s">
        <v>111</v>
      </c>
      <c r="O182" s="7" t="s">
        <v>23</v>
      </c>
      <c r="P182" s="7">
        <v>0</v>
      </c>
      <c r="Q182" s="7"/>
      <c r="R182" s="7">
        <v>1</v>
      </c>
      <c r="S182" s="7">
        <v>1</v>
      </c>
      <c r="T182" t="s">
        <v>1618</v>
      </c>
      <c r="U182" s="7" t="s">
        <v>2137</v>
      </c>
      <c r="V182" s="7" t="s">
        <v>3987</v>
      </c>
      <c r="W182" s="7" t="s">
        <v>2070</v>
      </c>
      <c r="X182" s="44" t="s">
        <v>23</v>
      </c>
      <c r="Y182" s="44" t="s">
        <v>3999</v>
      </c>
      <c r="Z182" s="44" t="s">
        <v>4007</v>
      </c>
      <c r="AA182" s="23">
        <v>14</v>
      </c>
      <c r="AB182" s="20">
        <v>63.73912</v>
      </c>
      <c r="AC182" s="20">
        <v>148.90092000000001</v>
      </c>
      <c r="AD182" s="9">
        <v>0</v>
      </c>
      <c r="AE182" s="9">
        <v>0</v>
      </c>
      <c r="AF182" s="9">
        <v>0</v>
      </c>
      <c r="AG182" s="9">
        <v>0</v>
      </c>
      <c r="AH182" s="9">
        <v>0</v>
      </c>
      <c r="AI182">
        <v>0</v>
      </c>
      <c r="AJ182">
        <f t="shared" si="2"/>
        <v>0</v>
      </c>
      <c r="AK182" s="7"/>
      <c r="AL182" s="7"/>
      <c r="AM182" s="7"/>
      <c r="AN182" s="7"/>
      <c r="AQ182" s="34"/>
    </row>
    <row r="183" spans="1:47" s="7" customFormat="1" hidden="1" x14ac:dyDescent="0.2">
      <c r="A183" s="7" t="s">
        <v>493</v>
      </c>
      <c r="B183" s="7" t="s">
        <v>872</v>
      </c>
      <c r="C183" s="7">
        <v>6</v>
      </c>
      <c r="D183" s="7">
        <v>5</v>
      </c>
      <c r="E183" s="7" t="s">
        <v>834</v>
      </c>
      <c r="F183" s="10">
        <v>43352</v>
      </c>
      <c r="G183" s="37" t="s">
        <v>4032</v>
      </c>
      <c r="H183" s="37" t="s">
        <v>4724</v>
      </c>
      <c r="I183" s="8">
        <v>0.13055555555555556</v>
      </c>
      <c r="J183" s="178">
        <v>2.1759259259259258E-3</v>
      </c>
      <c r="K183" s="9">
        <v>188</v>
      </c>
      <c r="L183" s="7" t="s">
        <v>483</v>
      </c>
      <c r="M183" s="7" t="s">
        <v>466</v>
      </c>
      <c r="N183" s="7" t="s">
        <v>111</v>
      </c>
      <c r="O183" s="7" t="s">
        <v>23</v>
      </c>
      <c r="P183" s="7">
        <v>0</v>
      </c>
      <c r="R183" s="7">
        <v>1</v>
      </c>
      <c r="S183" s="7">
        <v>1</v>
      </c>
      <c r="T183" t="s">
        <v>1618</v>
      </c>
      <c r="U183" s="7" t="s">
        <v>2137</v>
      </c>
      <c r="V183" s="7" t="s">
        <v>3987</v>
      </c>
      <c r="W183" s="7" t="s">
        <v>2068</v>
      </c>
      <c r="X183" s="44" t="s">
        <v>23</v>
      </c>
      <c r="Y183" s="44" t="s">
        <v>3997</v>
      </c>
      <c r="Z183" s="44" t="s">
        <v>4005</v>
      </c>
      <c r="AA183" s="23">
        <v>14</v>
      </c>
      <c r="AB183" s="20">
        <v>63.739150000000002</v>
      </c>
      <c r="AC183" s="20">
        <v>148.9008</v>
      </c>
      <c r="AD183" s="9">
        <v>0</v>
      </c>
      <c r="AE183" s="9">
        <v>0</v>
      </c>
      <c r="AF183" s="9">
        <v>0</v>
      </c>
      <c r="AG183" s="9">
        <v>0</v>
      </c>
      <c r="AH183" s="9">
        <v>0</v>
      </c>
      <c r="AI183">
        <v>0</v>
      </c>
      <c r="AJ183">
        <f t="shared" si="2"/>
        <v>0</v>
      </c>
      <c r="AO183" s="33"/>
      <c r="AP183" s="33"/>
      <c r="AQ183" s="34"/>
      <c r="AR183" s="33"/>
      <c r="AS183" s="33"/>
      <c r="AT183" s="33"/>
      <c r="AU183" s="33"/>
    </row>
    <row r="184" spans="1:47" s="33" customFormat="1" hidden="1" x14ac:dyDescent="0.2">
      <c r="A184" s="7" t="s">
        <v>493</v>
      </c>
      <c r="B184" s="7" t="s">
        <v>872</v>
      </c>
      <c r="C184" s="7">
        <v>6</v>
      </c>
      <c r="D184" s="7">
        <v>6</v>
      </c>
      <c r="E184" s="7" t="s">
        <v>834</v>
      </c>
      <c r="F184" s="10">
        <v>43352</v>
      </c>
      <c r="G184" s="37" t="s">
        <v>4032</v>
      </c>
      <c r="H184" s="37" t="s">
        <v>4724</v>
      </c>
      <c r="I184" s="8">
        <v>0.13055555555555556</v>
      </c>
      <c r="J184" s="178">
        <v>2.1759259259259258E-3</v>
      </c>
      <c r="K184" s="9">
        <v>188</v>
      </c>
      <c r="L184" s="7" t="s">
        <v>483</v>
      </c>
      <c r="M184" s="7" t="s">
        <v>466</v>
      </c>
      <c r="N184" s="7" t="s">
        <v>111</v>
      </c>
      <c r="O184" s="7" t="s">
        <v>23</v>
      </c>
      <c r="P184" s="7">
        <v>0</v>
      </c>
      <c r="Q184" s="7"/>
      <c r="R184" s="7">
        <v>1</v>
      </c>
      <c r="S184" s="7">
        <v>1</v>
      </c>
      <c r="T184" t="s">
        <v>1618</v>
      </c>
      <c r="U184" s="7" t="s">
        <v>2137</v>
      </c>
      <c r="V184" s="7" t="s">
        <v>3987</v>
      </c>
      <c r="W184" s="7" t="s">
        <v>2069</v>
      </c>
      <c r="X184" s="44" t="s">
        <v>23</v>
      </c>
      <c r="Y184" s="44" t="s">
        <v>3999</v>
      </c>
      <c r="Z184" s="44" t="s">
        <v>4005</v>
      </c>
      <c r="AA184" s="23">
        <v>14</v>
      </c>
      <c r="AB184" s="20">
        <v>63.73912</v>
      </c>
      <c r="AC184" s="20">
        <v>148.90092000000001</v>
      </c>
      <c r="AD184" s="9">
        <v>0</v>
      </c>
      <c r="AE184" s="9">
        <v>0</v>
      </c>
      <c r="AF184" s="9">
        <v>0</v>
      </c>
      <c r="AG184" s="9">
        <v>0</v>
      </c>
      <c r="AH184" s="9">
        <v>0</v>
      </c>
      <c r="AI184">
        <v>0</v>
      </c>
      <c r="AJ184">
        <f t="shared" si="2"/>
        <v>0</v>
      </c>
      <c r="AK184" s="7"/>
      <c r="AL184" s="7"/>
      <c r="AM184" s="7"/>
      <c r="AN184" s="7"/>
      <c r="AO184"/>
      <c r="AP184"/>
      <c r="AQ184"/>
      <c r="AR184"/>
      <c r="AS184"/>
      <c r="AT184"/>
      <c r="AU184"/>
    </row>
    <row r="185" spans="1:47" s="33" customFormat="1" hidden="1" x14ac:dyDescent="0.2">
      <c r="A185" s="7" t="s">
        <v>493</v>
      </c>
      <c r="B185" s="7" t="s">
        <v>872</v>
      </c>
      <c r="C185" s="7">
        <v>6</v>
      </c>
      <c r="D185" s="7">
        <v>7</v>
      </c>
      <c r="E185" s="7" t="s">
        <v>834</v>
      </c>
      <c r="F185" s="10">
        <v>43352</v>
      </c>
      <c r="G185" s="37" t="s">
        <v>4032</v>
      </c>
      <c r="H185" s="37" t="s">
        <v>4724</v>
      </c>
      <c r="I185" s="8">
        <v>0.13055555555555556</v>
      </c>
      <c r="J185" s="178">
        <v>2.1759259259259258E-3</v>
      </c>
      <c r="K185" s="9">
        <v>188</v>
      </c>
      <c r="L185" s="7" t="s">
        <v>483</v>
      </c>
      <c r="M185" s="7" t="s">
        <v>466</v>
      </c>
      <c r="N185" s="7" t="s">
        <v>111</v>
      </c>
      <c r="O185" s="7" t="s">
        <v>23</v>
      </c>
      <c r="P185" s="7">
        <v>0</v>
      </c>
      <c r="Q185" s="7"/>
      <c r="R185" s="7">
        <v>1</v>
      </c>
      <c r="S185" s="7">
        <v>1</v>
      </c>
      <c r="T185" t="s">
        <v>1618</v>
      </c>
      <c r="U185" s="7" t="s">
        <v>2137</v>
      </c>
      <c r="V185" s="7" t="s">
        <v>3987</v>
      </c>
      <c r="W185" s="7" t="s">
        <v>2069</v>
      </c>
      <c r="X185" s="44" t="s">
        <v>23</v>
      </c>
      <c r="Y185" s="44" t="s">
        <v>3999</v>
      </c>
      <c r="Z185" s="44" t="s">
        <v>4005</v>
      </c>
      <c r="AA185" s="23">
        <v>14</v>
      </c>
      <c r="AB185" s="20">
        <v>63.739150000000002</v>
      </c>
      <c r="AC185" s="20">
        <v>148.9008</v>
      </c>
      <c r="AD185" s="9">
        <v>0</v>
      </c>
      <c r="AE185" s="9">
        <v>0</v>
      </c>
      <c r="AF185" s="9">
        <v>0</v>
      </c>
      <c r="AG185" s="9">
        <v>0</v>
      </c>
      <c r="AH185" s="9">
        <v>0</v>
      </c>
      <c r="AI185">
        <v>0</v>
      </c>
      <c r="AJ185">
        <f t="shared" si="2"/>
        <v>0</v>
      </c>
      <c r="AK185" s="7"/>
      <c r="AL185" s="7"/>
      <c r="AM185" s="7"/>
      <c r="AN185" s="7"/>
      <c r="AO185"/>
      <c r="AP185"/>
      <c r="AQ185"/>
      <c r="AR185"/>
      <c r="AS185"/>
      <c r="AT185"/>
      <c r="AU185"/>
    </row>
    <row r="186" spans="1:47" s="33" customFormat="1" hidden="1" x14ac:dyDescent="0.2">
      <c r="A186" s="7" t="s">
        <v>493</v>
      </c>
      <c r="B186" s="7" t="s">
        <v>872</v>
      </c>
      <c r="C186" s="7">
        <v>6</v>
      </c>
      <c r="D186" s="7">
        <v>8</v>
      </c>
      <c r="E186" s="7" t="s">
        <v>834</v>
      </c>
      <c r="F186" s="10">
        <v>43352</v>
      </c>
      <c r="G186" s="37" t="s">
        <v>4032</v>
      </c>
      <c r="H186" s="37" t="s">
        <v>4724</v>
      </c>
      <c r="I186" s="8">
        <v>0.13055555555555556</v>
      </c>
      <c r="J186" s="178">
        <v>2.1759259259259258E-3</v>
      </c>
      <c r="K186" s="9">
        <v>188</v>
      </c>
      <c r="L186" s="7" t="s">
        <v>483</v>
      </c>
      <c r="M186" s="7" t="s">
        <v>466</v>
      </c>
      <c r="N186" s="7" t="s">
        <v>111</v>
      </c>
      <c r="O186" s="7" t="s">
        <v>23</v>
      </c>
      <c r="P186" s="7">
        <v>0</v>
      </c>
      <c r="Q186" s="7"/>
      <c r="R186" s="7">
        <v>1</v>
      </c>
      <c r="S186" s="7">
        <v>1</v>
      </c>
      <c r="T186" t="s">
        <v>1618</v>
      </c>
      <c r="U186" s="7" t="s">
        <v>2137</v>
      </c>
      <c r="V186" s="7" t="s">
        <v>3987</v>
      </c>
      <c r="W186" s="7" t="s">
        <v>2069</v>
      </c>
      <c r="X186" s="44" t="s">
        <v>23</v>
      </c>
      <c r="Y186" s="44" t="s">
        <v>3999</v>
      </c>
      <c r="Z186" s="44" t="s">
        <v>4005</v>
      </c>
      <c r="AA186" s="23">
        <v>15</v>
      </c>
      <c r="AB186" s="20">
        <v>63.73912</v>
      </c>
      <c r="AC186" s="20">
        <v>148.90076999999999</v>
      </c>
      <c r="AD186" s="9">
        <v>0</v>
      </c>
      <c r="AE186" s="9">
        <v>0</v>
      </c>
      <c r="AF186" s="9">
        <v>0</v>
      </c>
      <c r="AG186" s="9">
        <v>0</v>
      </c>
      <c r="AH186" s="9">
        <v>0</v>
      </c>
      <c r="AI186">
        <v>0</v>
      </c>
      <c r="AJ186">
        <f t="shared" si="2"/>
        <v>0</v>
      </c>
      <c r="AK186" s="7"/>
      <c r="AL186" s="7"/>
      <c r="AM186" s="7"/>
      <c r="AN186" s="7"/>
      <c r="AO186" s="7"/>
      <c r="AP186" s="7"/>
      <c r="AQ186" s="7"/>
      <c r="AR186" s="7"/>
      <c r="AS186" s="7"/>
      <c r="AT186" s="7"/>
      <c r="AU186" s="7"/>
    </row>
    <row r="187" spans="1:47" s="7" customFormat="1" x14ac:dyDescent="0.2">
      <c r="A187" s="7" t="s">
        <v>494</v>
      </c>
      <c r="B187" s="7" t="s">
        <v>873</v>
      </c>
      <c r="C187" s="7">
        <v>7</v>
      </c>
      <c r="D187" s="7">
        <v>1</v>
      </c>
      <c r="E187" s="7" t="s">
        <v>834</v>
      </c>
      <c r="F187" s="10">
        <v>43352</v>
      </c>
      <c r="G187" s="37" t="s">
        <v>4032</v>
      </c>
      <c r="H187" s="37" t="s">
        <v>4724</v>
      </c>
      <c r="I187" s="8">
        <v>9.7222222222222224E-3</v>
      </c>
      <c r="J187" s="178">
        <v>1.6203703703703703E-4</v>
      </c>
      <c r="K187" s="9">
        <v>14</v>
      </c>
      <c r="L187" s="7" t="s">
        <v>483</v>
      </c>
      <c r="M187" s="7" t="s">
        <v>466</v>
      </c>
      <c r="N187" s="7" t="s">
        <v>111</v>
      </c>
      <c r="O187" s="7" t="s">
        <v>23</v>
      </c>
      <c r="P187" s="7">
        <v>0</v>
      </c>
      <c r="R187" s="7">
        <v>1</v>
      </c>
      <c r="S187" s="7">
        <v>1</v>
      </c>
      <c r="T187" t="s">
        <v>1618</v>
      </c>
      <c r="U187" s="7" t="s">
        <v>2137</v>
      </c>
      <c r="V187" s="7" t="s">
        <v>3987</v>
      </c>
      <c r="W187" s="7" t="s">
        <v>3963</v>
      </c>
      <c r="X187" s="44" t="s">
        <v>23</v>
      </c>
      <c r="Y187" s="44" t="s">
        <v>3997</v>
      </c>
      <c r="Z187" s="44" t="s">
        <v>4007</v>
      </c>
      <c r="AA187" s="7">
        <v>14</v>
      </c>
      <c r="AB187" s="20">
        <v>63.73912</v>
      </c>
      <c r="AC187" s="20">
        <v>148.90092000000001</v>
      </c>
      <c r="AD187" s="9">
        <v>0</v>
      </c>
      <c r="AE187" s="9">
        <v>0</v>
      </c>
      <c r="AF187" s="9">
        <v>0</v>
      </c>
      <c r="AG187" s="9">
        <v>0</v>
      </c>
      <c r="AH187" s="9">
        <v>0</v>
      </c>
      <c r="AI187">
        <v>0</v>
      </c>
      <c r="AJ187">
        <f t="shared" si="2"/>
        <v>0</v>
      </c>
      <c r="AL187" s="7" t="s">
        <v>880</v>
      </c>
    </row>
    <row r="188" spans="1:47" s="33" customFormat="1" x14ac:dyDescent="0.2">
      <c r="A188" s="7" t="s">
        <v>496</v>
      </c>
      <c r="B188" s="7" t="s">
        <v>874</v>
      </c>
      <c r="C188" s="7">
        <v>8</v>
      </c>
      <c r="D188" s="7">
        <v>1</v>
      </c>
      <c r="E188" s="7" t="s">
        <v>834</v>
      </c>
      <c r="F188" s="10">
        <v>43352</v>
      </c>
      <c r="G188" s="37" t="s">
        <v>4032</v>
      </c>
      <c r="H188" s="37" t="s">
        <v>4724</v>
      </c>
      <c r="I188" s="8">
        <v>0.10069444444444443</v>
      </c>
      <c r="J188" s="178">
        <v>1.6782407407407406E-3</v>
      </c>
      <c r="K188" s="9">
        <v>145</v>
      </c>
      <c r="L188" s="7" t="s">
        <v>483</v>
      </c>
      <c r="M188" s="7" t="s">
        <v>466</v>
      </c>
      <c r="N188" s="7" t="s">
        <v>111</v>
      </c>
      <c r="O188" s="7" t="s">
        <v>23</v>
      </c>
      <c r="P188" s="7">
        <v>0</v>
      </c>
      <c r="Q188" s="7"/>
      <c r="R188" s="7">
        <v>2</v>
      </c>
      <c r="S188" s="7" t="s">
        <v>2066</v>
      </c>
      <c r="T188" t="s">
        <v>1618</v>
      </c>
      <c r="U188" s="7" t="s">
        <v>2137</v>
      </c>
      <c r="V188" s="7" t="s">
        <v>3987</v>
      </c>
      <c r="W188" s="7" t="s">
        <v>1057</v>
      </c>
      <c r="X188" s="44" t="s">
        <v>23</v>
      </c>
      <c r="Y188" s="44" t="s">
        <v>3999</v>
      </c>
      <c r="Z188" s="44" t="s">
        <v>4005</v>
      </c>
      <c r="AA188" s="23">
        <v>20</v>
      </c>
      <c r="AB188" s="20">
        <v>63.739170000000001</v>
      </c>
      <c r="AC188" s="20">
        <v>148.90096</v>
      </c>
      <c r="AD188" s="9">
        <v>0</v>
      </c>
      <c r="AE188" s="9">
        <v>0</v>
      </c>
      <c r="AF188" s="9">
        <v>0</v>
      </c>
      <c r="AG188" s="9">
        <v>0</v>
      </c>
      <c r="AH188" s="9">
        <v>0</v>
      </c>
      <c r="AI188">
        <v>0</v>
      </c>
      <c r="AJ188">
        <f t="shared" si="2"/>
        <v>0</v>
      </c>
      <c r="AK188" s="7"/>
      <c r="AL188" s="7"/>
      <c r="AM188" s="7"/>
      <c r="AN188" s="7"/>
      <c r="AQ188" s="34"/>
    </row>
    <row r="189" spans="1:47" s="33" customFormat="1" hidden="1" x14ac:dyDescent="0.2">
      <c r="A189" s="7" t="s">
        <v>496</v>
      </c>
      <c r="B189" s="7" t="s">
        <v>874</v>
      </c>
      <c r="C189" s="7">
        <v>8</v>
      </c>
      <c r="D189" s="7">
        <v>2</v>
      </c>
      <c r="E189" s="7" t="s">
        <v>834</v>
      </c>
      <c r="F189" s="10">
        <v>43352</v>
      </c>
      <c r="G189" s="37" t="s">
        <v>4032</v>
      </c>
      <c r="H189" s="37" t="s">
        <v>4724</v>
      </c>
      <c r="I189" s="8">
        <v>0.10069444444444443</v>
      </c>
      <c r="J189" s="178">
        <v>1.6782407407407406E-3</v>
      </c>
      <c r="K189" s="9">
        <v>145</v>
      </c>
      <c r="L189" s="7" t="s">
        <v>483</v>
      </c>
      <c r="M189" s="7" t="s">
        <v>466</v>
      </c>
      <c r="N189" s="7" t="s">
        <v>111</v>
      </c>
      <c r="O189" s="7" t="s">
        <v>23</v>
      </c>
      <c r="P189" s="7">
        <v>0</v>
      </c>
      <c r="Q189" s="7"/>
      <c r="R189" s="7">
        <v>2</v>
      </c>
      <c r="S189" s="7" t="s">
        <v>2066</v>
      </c>
      <c r="T189" t="s">
        <v>1618</v>
      </c>
      <c r="U189" s="7" t="s">
        <v>2137</v>
      </c>
      <c r="V189" s="7" t="s">
        <v>3987</v>
      </c>
      <c r="W189" s="7" t="s">
        <v>1057</v>
      </c>
      <c r="X189" s="44" t="s">
        <v>23</v>
      </c>
      <c r="Y189" s="44" t="s">
        <v>3999</v>
      </c>
      <c r="Z189" s="44" t="s">
        <v>4005</v>
      </c>
      <c r="AA189" s="23">
        <v>20</v>
      </c>
      <c r="AB189" s="20">
        <v>63.739159999999998</v>
      </c>
      <c r="AC189" s="20">
        <v>148.90085999999999</v>
      </c>
      <c r="AD189" s="9">
        <v>0</v>
      </c>
      <c r="AE189" s="9">
        <v>0</v>
      </c>
      <c r="AF189" s="9">
        <v>0</v>
      </c>
      <c r="AG189" s="9">
        <v>0</v>
      </c>
      <c r="AH189" s="9">
        <v>0</v>
      </c>
      <c r="AI189">
        <v>0</v>
      </c>
      <c r="AJ189">
        <f t="shared" si="2"/>
        <v>0</v>
      </c>
      <c r="AK189" s="7"/>
      <c r="AL189" s="7"/>
      <c r="AM189" s="7"/>
      <c r="AN189" s="7"/>
      <c r="AO189"/>
      <c r="AP189"/>
      <c r="AQ189"/>
      <c r="AR189"/>
      <c r="AS189"/>
      <c r="AT189"/>
      <c r="AU189"/>
    </row>
    <row r="190" spans="1:47" s="7" customFormat="1" hidden="1" x14ac:dyDescent="0.2">
      <c r="A190" s="7" t="s">
        <v>496</v>
      </c>
      <c r="B190" s="7" t="s">
        <v>874</v>
      </c>
      <c r="C190" s="7">
        <v>8</v>
      </c>
      <c r="D190" s="7">
        <v>3</v>
      </c>
      <c r="E190" s="7" t="s">
        <v>834</v>
      </c>
      <c r="F190" s="10">
        <v>43352</v>
      </c>
      <c r="G190" s="37" t="s">
        <v>4032</v>
      </c>
      <c r="H190" s="37" t="s">
        <v>4724</v>
      </c>
      <c r="I190" s="8">
        <v>0.10069444444444443</v>
      </c>
      <c r="J190" s="178">
        <v>1.6782407407407406E-3</v>
      </c>
      <c r="K190" s="9">
        <v>145</v>
      </c>
      <c r="L190" s="7" t="s">
        <v>483</v>
      </c>
      <c r="M190" s="7" t="s">
        <v>466</v>
      </c>
      <c r="N190" s="7" t="s">
        <v>111</v>
      </c>
      <c r="O190" s="7" t="s">
        <v>23</v>
      </c>
      <c r="P190" s="7">
        <v>0</v>
      </c>
      <c r="R190" s="7">
        <v>1</v>
      </c>
      <c r="S190" s="7">
        <v>1</v>
      </c>
      <c r="T190" t="s">
        <v>1618</v>
      </c>
      <c r="U190" s="7" t="s">
        <v>2137</v>
      </c>
      <c r="V190" s="7" t="s">
        <v>3987</v>
      </c>
      <c r="W190" s="7" t="s">
        <v>1057</v>
      </c>
      <c r="X190" s="44" t="s">
        <v>23</v>
      </c>
      <c r="Y190" s="44" t="s">
        <v>3999</v>
      </c>
      <c r="Z190" s="44" t="s">
        <v>4005</v>
      </c>
      <c r="AA190" s="23">
        <v>20</v>
      </c>
      <c r="AB190" s="20">
        <v>63.73921</v>
      </c>
      <c r="AC190" s="20">
        <v>148.90101999999999</v>
      </c>
      <c r="AD190" s="9">
        <v>0</v>
      </c>
      <c r="AE190" s="9">
        <v>0</v>
      </c>
      <c r="AF190" s="9">
        <v>0</v>
      </c>
      <c r="AG190" s="9">
        <v>0</v>
      </c>
      <c r="AH190" s="9">
        <v>0</v>
      </c>
      <c r="AI190">
        <v>0</v>
      </c>
      <c r="AJ190">
        <f t="shared" si="2"/>
        <v>0</v>
      </c>
      <c r="AO190" s="33"/>
      <c r="AP190" s="33"/>
      <c r="AQ190" s="34"/>
      <c r="AR190" s="33"/>
      <c r="AS190" s="33"/>
      <c r="AT190" s="33"/>
      <c r="AU190" s="33"/>
    </row>
    <row r="191" spans="1:47" s="7" customFormat="1" x14ac:dyDescent="0.2">
      <c r="A191" s="7" t="s">
        <v>497</v>
      </c>
      <c r="B191" s="7" t="s">
        <v>498</v>
      </c>
      <c r="C191" s="7">
        <v>1</v>
      </c>
      <c r="D191" s="7">
        <v>1</v>
      </c>
      <c r="E191" s="7" t="s">
        <v>324</v>
      </c>
      <c r="F191" s="10">
        <v>43352</v>
      </c>
      <c r="G191" s="37" t="s">
        <v>4032</v>
      </c>
      <c r="H191" s="37" t="s">
        <v>4724</v>
      </c>
      <c r="I191" s="8">
        <v>7.6388888888888886E-3</v>
      </c>
      <c r="J191" s="178">
        <v>1.273148148148148E-4</v>
      </c>
      <c r="K191" s="9">
        <v>11</v>
      </c>
      <c r="L191" s="7" t="s">
        <v>483</v>
      </c>
      <c r="M191" s="7" t="s">
        <v>325</v>
      </c>
      <c r="N191" s="7" t="s">
        <v>102</v>
      </c>
      <c r="O191" s="7" t="s">
        <v>23</v>
      </c>
      <c r="P191" s="7">
        <v>1</v>
      </c>
      <c r="R191" s="7">
        <v>0</v>
      </c>
      <c r="T191" t="s">
        <v>176</v>
      </c>
      <c r="U191" t="s">
        <v>2120</v>
      </c>
      <c r="V191" s="7" t="s">
        <v>1035</v>
      </c>
      <c r="W191" s="7" t="s">
        <v>115</v>
      </c>
      <c r="X191" s="33" t="s">
        <v>115</v>
      </c>
      <c r="Y191" s="33" t="s">
        <v>115</v>
      </c>
      <c r="Z191" s="33" t="s">
        <v>115</v>
      </c>
      <c r="AA191" s="7" t="s">
        <v>115</v>
      </c>
      <c r="AB191" s="20" t="s">
        <v>115</v>
      </c>
      <c r="AC191" s="20"/>
      <c r="AD191" s="9">
        <v>0</v>
      </c>
      <c r="AE191" s="9">
        <v>2</v>
      </c>
      <c r="AF191" s="9">
        <v>0</v>
      </c>
      <c r="AG191" s="9">
        <v>2</v>
      </c>
      <c r="AH191" s="9">
        <v>0</v>
      </c>
      <c r="AI191">
        <v>0</v>
      </c>
      <c r="AJ191">
        <f t="shared" si="2"/>
        <v>2</v>
      </c>
      <c r="AO191"/>
      <c r="AP191"/>
      <c r="AQ191"/>
      <c r="AR191"/>
      <c r="AS191"/>
      <c r="AT191"/>
      <c r="AU191"/>
    </row>
    <row r="192" spans="1:47" s="33" customFormat="1" x14ac:dyDescent="0.2">
      <c r="A192" s="33" t="s">
        <v>499</v>
      </c>
      <c r="B192" s="33" t="s">
        <v>500</v>
      </c>
      <c r="C192" s="33">
        <v>2</v>
      </c>
      <c r="D192" s="33">
        <v>1</v>
      </c>
      <c r="E192" s="33" t="s">
        <v>324</v>
      </c>
      <c r="F192" s="37">
        <v>43352</v>
      </c>
      <c r="G192" s="37" t="s">
        <v>4032</v>
      </c>
      <c r="H192" s="37" t="s">
        <v>4724</v>
      </c>
      <c r="I192" s="36">
        <v>5.5555555555555558E-3</v>
      </c>
      <c r="J192" s="177">
        <v>9.2592592592592588E-5</v>
      </c>
      <c r="K192" s="39">
        <v>8</v>
      </c>
      <c r="L192" s="33" t="s">
        <v>483</v>
      </c>
      <c r="M192" s="33" t="s">
        <v>24</v>
      </c>
      <c r="N192" s="33" t="s">
        <v>102</v>
      </c>
      <c r="O192" s="33" t="s">
        <v>23</v>
      </c>
      <c r="P192" s="33">
        <v>1</v>
      </c>
      <c r="R192" s="33">
        <v>0</v>
      </c>
      <c r="T192" t="s">
        <v>176</v>
      </c>
      <c r="U192" s="33" t="s">
        <v>176</v>
      </c>
      <c r="V192" s="33" t="s">
        <v>501</v>
      </c>
      <c r="W192" s="33" t="s">
        <v>115</v>
      </c>
      <c r="X192" s="33" t="s">
        <v>115</v>
      </c>
      <c r="Y192" s="33" t="s">
        <v>115</v>
      </c>
      <c r="Z192" s="33" t="s">
        <v>115</v>
      </c>
      <c r="AA192" s="33" t="s">
        <v>115</v>
      </c>
      <c r="AB192" s="35" t="s">
        <v>115</v>
      </c>
      <c r="AC192" s="35"/>
      <c r="AD192" s="39">
        <v>0</v>
      </c>
      <c r="AE192" s="39">
        <v>2</v>
      </c>
      <c r="AF192" s="39">
        <v>0</v>
      </c>
      <c r="AG192" s="39">
        <v>2</v>
      </c>
      <c r="AH192" s="39">
        <v>0</v>
      </c>
      <c r="AI192" s="33">
        <v>0</v>
      </c>
      <c r="AJ192" s="33">
        <f t="shared" si="2"/>
        <v>2</v>
      </c>
      <c r="AK192" s="33" t="s">
        <v>176</v>
      </c>
      <c r="AO192"/>
      <c r="AP192"/>
      <c r="AQ192"/>
      <c r="AR192"/>
      <c r="AS192"/>
      <c r="AT192"/>
      <c r="AU192"/>
    </row>
    <row r="193" spans="1:47" s="7" customFormat="1" x14ac:dyDescent="0.2">
      <c r="A193" s="7" t="s">
        <v>502</v>
      </c>
      <c r="B193" s="7" t="s">
        <v>503</v>
      </c>
      <c r="C193" s="7">
        <v>3</v>
      </c>
      <c r="D193" s="7">
        <v>1</v>
      </c>
      <c r="E193" s="7" t="s">
        <v>324</v>
      </c>
      <c r="F193" s="10">
        <v>43352</v>
      </c>
      <c r="G193" s="37" t="s">
        <v>4032</v>
      </c>
      <c r="H193" s="37" t="s">
        <v>4724</v>
      </c>
      <c r="I193" s="8">
        <v>1.3888888888888889E-3</v>
      </c>
      <c r="J193" s="178">
        <v>2.3148148148148147E-5</v>
      </c>
      <c r="K193" s="9">
        <v>2</v>
      </c>
      <c r="L193" s="7" t="s">
        <v>483</v>
      </c>
      <c r="M193" s="7" t="s">
        <v>337</v>
      </c>
      <c r="N193" s="7" t="s">
        <v>102</v>
      </c>
      <c r="O193" s="7" t="s">
        <v>23</v>
      </c>
      <c r="P193" s="7">
        <v>1</v>
      </c>
      <c r="R193" s="7">
        <v>0</v>
      </c>
      <c r="T193" t="s">
        <v>176</v>
      </c>
      <c r="U193" t="s">
        <v>176</v>
      </c>
      <c r="V193" s="7" t="s">
        <v>333</v>
      </c>
      <c r="W193" s="7" t="s">
        <v>115</v>
      </c>
      <c r="X193" s="33" t="s">
        <v>115</v>
      </c>
      <c r="Y193" s="33" t="s">
        <v>115</v>
      </c>
      <c r="Z193" s="33" t="s">
        <v>115</v>
      </c>
      <c r="AA193" s="7" t="s">
        <v>115</v>
      </c>
      <c r="AB193" s="20" t="s">
        <v>115</v>
      </c>
      <c r="AC193" s="20"/>
      <c r="AD193" s="9">
        <v>0</v>
      </c>
      <c r="AE193" s="7" t="s">
        <v>24</v>
      </c>
      <c r="AF193" s="7" t="s">
        <v>24</v>
      </c>
      <c r="AG193" s="9">
        <v>0</v>
      </c>
      <c r="AH193" s="9">
        <v>0</v>
      </c>
      <c r="AI193">
        <v>0</v>
      </c>
      <c r="AJ193">
        <f t="shared" si="2"/>
        <v>0</v>
      </c>
      <c r="AO193"/>
      <c r="AP193"/>
      <c r="AQ193"/>
      <c r="AR193"/>
      <c r="AS193"/>
      <c r="AT193"/>
      <c r="AU193"/>
    </row>
    <row r="194" spans="1:47" s="7" customFormat="1" x14ac:dyDescent="0.2">
      <c r="A194" s="33" t="s">
        <v>504</v>
      </c>
      <c r="B194" s="33" t="s">
        <v>505</v>
      </c>
      <c r="C194" s="33">
        <v>4</v>
      </c>
      <c r="D194" s="33">
        <v>1</v>
      </c>
      <c r="E194" s="33" t="s">
        <v>324</v>
      </c>
      <c r="F194" s="37">
        <v>43352</v>
      </c>
      <c r="G194" s="37" t="s">
        <v>4032</v>
      </c>
      <c r="H194" s="37" t="s">
        <v>4724</v>
      </c>
      <c r="I194" s="36">
        <v>2.7777777777777779E-3</v>
      </c>
      <c r="J194" s="177">
        <v>4.6296296296296294E-5</v>
      </c>
      <c r="K194" s="39">
        <v>4</v>
      </c>
      <c r="L194" s="33" t="s">
        <v>483</v>
      </c>
      <c r="M194" s="33" t="s">
        <v>337</v>
      </c>
      <c r="N194" s="33" t="s">
        <v>102</v>
      </c>
      <c r="O194" s="33" t="s">
        <v>115</v>
      </c>
      <c r="P194" s="33">
        <v>1</v>
      </c>
      <c r="Q194" s="33"/>
      <c r="R194" s="33">
        <v>0</v>
      </c>
      <c r="S194" s="33"/>
      <c r="T194" t="s">
        <v>176</v>
      </c>
      <c r="U194" s="33" t="s">
        <v>176</v>
      </c>
      <c r="V194" s="33" t="s">
        <v>122</v>
      </c>
      <c r="W194" s="33" t="s">
        <v>115</v>
      </c>
      <c r="X194" s="33" t="s">
        <v>115</v>
      </c>
      <c r="Y194" s="33" t="s">
        <v>115</v>
      </c>
      <c r="Z194" s="33" t="s">
        <v>115</v>
      </c>
      <c r="AA194" s="33" t="s">
        <v>115</v>
      </c>
      <c r="AB194" s="35" t="s">
        <v>115</v>
      </c>
      <c r="AC194" s="35"/>
      <c r="AD194" s="39">
        <v>0</v>
      </c>
      <c r="AE194" s="39">
        <v>0</v>
      </c>
      <c r="AF194" s="39">
        <v>0</v>
      </c>
      <c r="AG194" s="39">
        <v>0</v>
      </c>
      <c r="AH194" s="38" t="s">
        <v>24</v>
      </c>
      <c r="AI194" s="33">
        <v>0</v>
      </c>
      <c r="AJ194" s="33">
        <f t="shared" ref="AJ194:AJ257" si="3">SUM(AF194:AI194)</f>
        <v>0</v>
      </c>
      <c r="AK194" s="33"/>
      <c r="AL194" s="33"/>
      <c r="AM194" s="33"/>
      <c r="AN194" s="33"/>
      <c r="AO194"/>
      <c r="AP194"/>
      <c r="AQ194"/>
      <c r="AR194"/>
      <c r="AS194"/>
      <c r="AT194"/>
      <c r="AU194"/>
    </row>
    <row r="195" spans="1:47" s="7" customFormat="1" x14ac:dyDescent="0.2">
      <c r="A195" s="33" t="s">
        <v>506</v>
      </c>
      <c r="B195" s="33" t="s">
        <v>507</v>
      </c>
      <c r="C195" s="33">
        <v>5</v>
      </c>
      <c r="D195" s="33">
        <v>1</v>
      </c>
      <c r="E195" s="33" t="s">
        <v>324</v>
      </c>
      <c r="F195" s="37">
        <v>43352</v>
      </c>
      <c r="G195" s="37" t="s">
        <v>4032</v>
      </c>
      <c r="H195" s="37" t="s">
        <v>4724</v>
      </c>
      <c r="I195" s="36">
        <v>4.8611111111111112E-3</v>
      </c>
      <c r="J195" s="177">
        <v>8.1018518518518516E-5</v>
      </c>
      <c r="K195" s="39">
        <v>7</v>
      </c>
      <c r="L195" s="33" t="s">
        <v>483</v>
      </c>
      <c r="M195" s="33" t="s">
        <v>337</v>
      </c>
      <c r="N195" s="33" t="s">
        <v>102</v>
      </c>
      <c r="O195" s="33" t="s">
        <v>115</v>
      </c>
      <c r="P195" s="33" t="s">
        <v>24</v>
      </c>
      <c r="Q195" s="33"/>
      <c r="R195" s="33">
        <v>0</v>
      </c>
      <c r="S195" s="33"/>
      <c r="T195" t="s">
        <v>176</v>
      </c>
      <c r="U195" s="33" t="s">
        <v>176</v>
      </c>
      <c r="V195" s="33" t="s">
        <v>115</v>
      </c>
      <c r="W195" s="33" t="s">
        <v>115</v>
      </c>
      <c r="X195" s="33" t="s">
        <v>115</v>
      </c>
      <c r="Y195" s="33" t="s">
        <v>115</v>
      </c>
      <c r="Z195" s="33" t="s">
        <v>115</v>
      </c>
      <c r="AA195" s="33" t="s">
        <v>115</v>
      </c>
      <c r="AB195" s="35" t="s">
        <v>115</v>
      </c>
      <c r="AC195" s="35"/>
      <c r="AD195" s="39">
        <v>0</v>
      </c>
      <c r="AE195" s="39">
        <v>0</v>
      </c>
      <c r="AF195" s="39">
        <v>0</v>
      </c>
      <c r="AG195" s="39">
        <v>0</v>
      </c>
      <c r="AH195" s="39">
        <v>7</v>
      </c>
      <c r="AI195" s="33">
        <v>0</v>
      </c>
      <c r="AJ195" s="33">
        <f t="shared" si="3"/>
        <v>7</v>
      </c>
      <c r="AK195" s="33"/>
      <c r="AL195" s="33"/>
      <c r="AM195" s="33"/>
      <c r="AN195" s="33"/>
      <c r="AO195"/>
      <c r="AP195"/>
      <c r="AQ195"/>
      <c r="AR195"/>
      <c r="AS195"/>
      <c r="AT195"/>
      <c r="AU195"/>
    </row>
    <row r="196" spans="1:47" s="7" customFormat="1" x14ac:dyDescent="0.2">
      <c r="A196" s="33" t="s">
        <v>508</v>
      </c>
      <c r="B196" s="33" t="s">
        <v>509</v>
      </c>
      <c r="C196" s="33">
        <v>6</v>
      </c>
      <c r="D196" s="33">
        <v>1</v>
      </c>
      <c r="E196" s="33" t="s">
        <v>324</v>
      </c>
      <c r="F196" s="37">
        <v>43352</v>
      </c>
      <c r="G196" s="37" t="s">
        <v>4032</v>
      </c>
      <c r="H196" s="37" t="s">
        <v>4724</v>
      </c>
      <c r="I196" s="36">
        <v>2.4999999999999998E-2</v>
      </c>
      <c r="J196" s="177">
        <v>4.1666666666666669E-4</v>
      </c>
      <c r="K196" s="39">
        <v>36</v>
      </c>
      <c r="L196" s="33" t="s">
        <v>483</v>
      </c>
      <c r="M196" s="33" t="s">
        <v>337</v>
      </c>
      <c r="N196" s="33" t="s">
        <v>102</v>
      </c>
      <c r="O196" s="33" t="s">
        <v>115</v>
      </c>
      <c r="P196" s="33" t="s">
        <v>24</v>
      </c>
      <c r="Q196" s="33"/>
      <c r="R196" s="33">
        <v>0</v>
      </c>
      <c r="S196" s="33"/>
      <c r="T196" t="s">
        <v>176</v>
      </c>
      <c r="U196" s="33" t="s">
        <v>176</v>
      </c>
      <c r="V196" s="33" t="s">
        <v>115</v>
      </c>
      <c r="W196" s="33" t="s">
        <v>115</v>
      </c>
      <c r="X196" s="33" t="s">
        <v>115</v>
      </c>
      <c r="Y196" s="33" t="s">
        <v>115</v>
      </c>
      <c r="Z196" s="33" t="s">
        <v>115</v>
      </c>
      <c r="AA196" s="33" t="s">
        <v>115</v>
      </c>
      <c r="AB196" s="35" t="s">
        <v>115</v>
      </c>
      <c r="AC196" s="35"/>
      <c r="AD196" s="39">
        <v>0</v>
      </c>
      <c r="AE196" s="39">
        <v>0</v>
      </c>
      <c r="AF196" s="39">
        <v>0</v>
      </c>
      <c r="AG196" s="39">
        <v>0</v>
      </c>
      <c r="AH196" s="39">
        <v>21</v>
      </c>
      <c r="AI196" s="33">
        <v>0</v>
      </c>
      <c r="AJ196" s="33">
        <f t="shared" si="3"/>
        <v>21</v>
      </c>
      <c r="AK196" s="33"/>
      <c r="AL196" s="33"/>
      <c r="AM196" s="33"/>
      <c r="AN196" s="33"/>
      <c r="AO196"/>
      <c r="AP196"/>
      <c r="AQ196"/>
      <c r="AR196"/>
      <c r="AS196"/>
      <c r="AT196"/>
      <c r="AU196"/>
    </row>
    <row r="197" spans="1:47" s="7" customFormat="1" x14ac:dyDescent="0.2">
      <c r="A197" s="7" t="s">
        <v>510</v>
      </c>
      <c r="B197" s="7" t="s">
        <v>511</v>
      </c>
      <c r="C197" s="7">
        <v>7</v>
      </c>
      <c r="D197" s="7">
        <v>1</v>
      </c>
      <c r="E197" s="7" t="s">
        <v>324</v>
      </c>
      <c r="F197" s="10">
        <v>43352</v>
      </c>
      <c r="G197" s="37" t="s">
        <v>4032</v>
      </c>
      <c r="H197" s="37" t="s">
        <v>4724</v>
      </c>
      <c r="I197" s="8">
        <v>6.2499999999999995E-3</v>
      </c>
      <c r="J197" s="178">
        <v>1.0416666666666667E-4</v>
      </c>
      <c r="K197" s="9">
        <v>9</v>
      </c>
      <c r="L197" s="7" t="s">
        <v>483</v>
      </c>
      <c r="M197" s="7" t="s">
        <v>325</v>
      </c>
      <c r="N197" s="7" t="s">
        <v>102</v>
      </c>
      <c r="O197" s="7" t="s">
        <v>23</v>
      </c>
      <c r="P197" s="7" t="s">
        <v>24</v>
      </c>
      <c r="R197" s="7">
        <v>0</v>
      </c>
      <c r="T197" t="s">
        <v>176</v>
      </c>
      <c r="U197" t="s">
        <v>176</v>
      </c>
      <c r="V197" s="7" t="s">
        <v>115</v>
      </c>
      <c r="W197" s="7" t="s">
        <v>115</v>
      </c>
      <c r="X197" s="33" t="s">
        <v>115</v>
      </c>
      <c r="Y197" s="33" t="s">
        <v>115</v>
      </c>
      <c r="Z197" s="33" t="s">
        <v>115</v>
      </c>
      <c r="AA197" s="7" t="s">
        <v>115</v>
      </c>
      <c r="AB197" s="20" t="s">
        <v>115</v>
      </c>
      <c r="AC197" s="20"/>
      <c r="AD197" s="9">
        <v>0</v>
      </c>
      <c r="AE197" s="9">
        <v>6</v>
      </c>
      <c r="AF197" s="9">
        <v>6</v>
      </c>
      <c r="AG197" s="9">
        <v>0</v>
      </c>
      <c r="AH197" s="9">
        <v>0</v>
      </c>
      <c r="AI197">
        <v>0</v>
      </c>
      <c r="AJ197">
        <f t="shared" si="3"/>
        <v>6</v>
      </c>
      <c r="AO197"/>
      <c r="AP197"/>
      <c r="AQ197"/>
      <c r="AR197"/>
      <c r="AS197"/>
      <c r="AT197"/>
      <c r="AU197"/>
    </row>
    <row r="198" spans="1:47" s="7" customFormat="1" x14ac:dyDescent="0.2">
      <c r="A198" s="33" t="s">
        <v>512</v>
      </c>
      <c r="B198" s="33" t="s">
        <v>513</v>
      </c>
      <c r="C198" s="33">
        <v>8</v>
      </c>
      <c r="D198" s="33">
        <v>1</v>
      </c>
      <c r="E198" s="33" t="s">
        <v>324</v>
      </c>
      <c r="F198" s="37">
        <v>43352</v>
      </c>
      <c r="G198" s="37" t="s">
        <v>4032</v>
      </c>
      <c r="H198" s="37" t="s">
        <v>4724</v>
      </c>
      <c r="I198" s="36">
        <v>2.7777777777777779E-3</v>
      </c>
      <c r="J198" s="177">
        <v>4.6296296296296294E-5</v>
      </c>
      <c r="K198" s="39">
        <v>4</v>
      </c>
      <c r="L198" s="33" t="s">
        <v>483</v>
      </c>
      <c r="M198" s="33" t="s">
        <v>24</v>
      </c>
      <c r="N198" s="33" t="s">
        <v>102</v>
      </c>
      <c r="O198" s="33" t="s">
        <v>126</v>
      </c>
      <c r="P198" s="33">
        <v>1</v>
      </c>
      <c r="Q198" s="33"/>
      <c r="R198" s="33">
        <v>0</v>
      </c>
      <c r="S198" s="33"/>
      <c r="T198" t="s">
        <v>14</v>
      </c>
      <c r="U198" s="33" t="s">
        <v>2130</v>
      </c>
      <c r="V198" s="33" t="s">
        <v>122</v>
      </c>
      <c r="W198" s="33" t="s">
        <v>115</v>
      </c>
      <c r="X198" s="33" t="s">
        <v>115</v>
      </c>
      <c r="Y198" s="33" t="s">
        <v>115</v>
      </c>
      <c r="Z198" s="33" t="s">
        <v>115</v>
      </c>
      <c r="AA198" s="33" t="s">
        <v>115</v>
      </c>
      <c r="AB198" s="35" t="s">
        <v>115</v>
      </c>
      <c r="AC198" s="35"/>
      <c r="AD198" s="39">
        <v>0</v>
      </c>
      <c r="AE198" s="39">
        <v>0</v>
      </c>
      <c r="AF198" s="39">
        <v>0</v>
      </c>
      <c r="AG198" s="39">
        <v>0</v>
      </c>
      <c r="AH198" s="39" t="s">
        <v>24</v>
      </c>
      <c r="AI198" s="33">
        <v>0</v>
      </c>
      <c r="AJ198" s="33">
        <f t="shared" si="3"/>
        <v>0</v>
      </c>
      <c r="AK198" s="33"/>
      <c r="AL198" s="33"/>
      <c r="AM198" s="33"/>
      <c r="AN198" s="33"/>
      <c r="AO198"/>
      <c r="AP198"/>
      <c r="AQ198"/>
      <c r="AR198"/>
      <c r="AS198"/>
      <c r="AT198"/>
      <c r="AU198"/>
    </row>
    <row r="199" spans="1:47" s="7" customFormat="1" x14ac:dyDescent="0.2">
      <c r="A199" s="7" t="s">
        <v>514</v>
      </c>
      <c r="B199" s="7" t="s">
        <v>515</v>
      </c>
      <c r="C199" s="7">
        <v>1</v>
      </c>
      <c r="D199" s="7">
        <v>1</v>
      </c>
      <c r="E199" s="7" t="s">
        <v>2487</v>
      </c>
      <c r="F199" s="10">
        <v>43352</v>
      </c>
      <c r="G199" s="37" t="s">
        <v>4032</v>
      </c>
      <c r="H199" s="37" t="s">
        <v>4724</v>
      </c>
      <c r="I199" s="8">
        <v>9.7222222222222224E-3</v>
      </c>
      <c r="J199" s="178">
        <v>1.6203703703703703E-4</v>
      </c>
      <c r="K199" s="9">
        <v>14</v>
      </c>
      <c r="L199" s="7" t="s">
        <v>483</v>
      </c>
      <c r="M199" s="7" t="s">
        <v>2498</v>
      </c>
      <c r="N199" s="7" t="s">
        <v>102</v>
      </c>
      <c r="O199" s="7" t="s">
        <v>516</v>
      </c>
      <c r="P199" s="7">
        <v>2</v>
      </c>
      <c r="R199" s="7">
        <v>0</v>
      </c>
      <c r="T199" t="s">
        <v>176</v>
      </c>
      <c r="U199" t="s">
        <v>176</v>
      </c>
      <c r="V199" s="7" t="s">
        <v>517</v>
      </c>
      <c r="W199" s="7" t="s">
        <v>115</v>
      </c>
      <c r="X199" s="33" t="s">
        <v>115</v>
      </c>
      <c r="Y199" s="33" t="s">
        <v>115</v>
      </c>
      <c r="Z199" s="33" t="s">
        <v>115</v>
      </c>
      <c r="AA199" s="7" t="s">
        <v>115</v>
      </c>
      <c r="AB199" s="20" t="s">
        <v>115</v>
      </c>
      <c r="AC199" s="20"/>
      <c r="AD199" s="9">
        <v>11</v>
      </c>
      <c r="AE199" s="9">
        <v>0</v>
      </c>
      <c r="AF199" s="9">
        <v>0</v>
      </c>
      <c r="AG199" s="9">
        <v>11</v>
      </c>
      <c r="AH199" s="9">
        <v>0</v>
      </c>
      <c r="AI199">
        <v>0</v>
      </c>
      <c r="AJ199">
        <f t="shared" si="3"/>
        <v>11</v>
      </c>
      <c r="AL199" s="7" t="s">
        <v>518</v>
      </c>
      <c r="AO199"/>
      <c r="AP199"/>
      <c r="AQ199"/>
      <c r="AR199"/>
      <c r="AS199"/>
      <c r="AT199"/>
      <c r="AU199"/>
    </row>
    <row r="200" spans="1:47" s="7" customFormat="1" x14ac:dyDescent="0.2">
      <c r="A200" s="33" t="s">
        <v>519</v>
      </c>
      <c r="B200" s="33" t="s">
        <v>520</v>
      </c>
      <c r="C200" s="33">
        <v>1</v>
      </c>
      <c r="D200" s="33">
        <v>1</v>
      </c>
      <c r="E200" s="33" t="s">
        <v>521</v>
      </c>
      <c r="F200" s="37">
        <v>43352</v>
      </c>
      <c r="G200" s="37" t="s">
        <v>4032</v>
      </c>
      <c r="H200" s="37" t="s">
        <v>4724</v>
      </c>
      <c r="I200" s="36">
        <v>2.013888888888889E-2</v>
      </c>
      <c r="J200" s="177">
        <v>3.3564814814814812E-4</v>
      </c>
      <c r="K200" s="39">
        <v>29</v>
      </c>
      <c r="L200" s="33" t="s">
        <v>483</v>
      </c>
      <c r="M200" s="33" t="s">
        <v>217</v>
      </c>
      <c r="N200" s="33" t="s">
        <v>102</v>
      </c>
      <c r="O200" s="33" t="s">
        <v>115</v>
      </c>
      <c r="P200" s="33">
        <v>2</v>
      </c>
      <c r="Q200" s="33"/>
      <c r="R200" s="33">
        <v>0</v>
      </c>
      <c r="S200" s="33"/>
      <c r="T200" t="s">
        <v>176</v>
      </c>
      <c r="U200" s="33" t="s">
        <v>176</v>
      </c>
      <c r="V200" s="33" t="s">
        <v>122</v>
      </c>
      <c r="W200" s="33" t="s">
        <v>115</v>
      </c>
      <c r="X200" s="33" t="s">
        <v>115</v>
      </c>
      <c r="Y200" s="33" t="s">
        <v>115</v>
      </c>
      <c r="Z200" s="33" t="s">
        <v>115</v>
      </c>
      <c r="AA200" s="33" t="s">
        <v>115</v>
      </c>
      <c r="AB200" s="35" t="s">
        <v>115</v>
      </c>
      <c r="AC200" s="35"/>
      <c r="AD200" s="39">
        <v>0</v>
      </c>
      <c r="AE200" s="39">
        <v>0</v>
      </c>
      <c r="AF200" s="39">
        <v>0</v>
      </c>
      <c r="AG200" s="39">
        <v>0</v>
      </c>
      <c r="AH200" s="39">
        <v>15</v>
      </c>
      <c r="AI200" s="33">
        <v>0</v>
      </c>
      <c r="AJ200" s="33">
        <f t="shared" si="3"/>
        <v>15</v>
      </c>
      <c r="AK200" s="33"/>
      <c r="AL200" s="33"/>
      <c r="AM200" s="33"/>
      <c r="AN200" s="33"/>
      <c r="AO200"/>
      <c r="AP200"/>
      <c r="AQ200"/>
      <c r="AR200"/>
      <c r="AS200"/>
      <c r="AT200"/>
      <c r="AU200"/>
    </row>
    <row r="201" spans="1:47" s="7" customFormat="1" x14ac:dyDescent="0.2">
      <c r="A201" s="33" t="s">
        <v>522</v>
      </c>
      <c r="B201" s="33" t="s">
        <v>523</v>
      </c>
      <c r="C201" s="33">
        <v>2</v>
      </c>
      <c r="D201" s="33">
        <v>1</v>
      </c>
      <c r="E201" s="33" t="s">
        <v>521</v>
      </c>
      <c r="F201" s="37">
        <v>43352</v>
      </c>
      <c r="G201" s="37" t="s">
        <v>4032</v>
      </c>
      <c r="H201" s="37" t="s">
        <v>4724</v>
      </c>
      <c r="I201" s="36">
        <v>7.0833333333333331E-2</v>
      </c>
      <c r="J201" s="177">
        <v>1.1805555555555556E-3</v>
      </c>
      <c r="K201" s="39">
        <v>102</v>
      </c>
      <c r="L201" s="33" t="s">
        <v>483</v>
      </c>
      <c r="M201" s="33" t="s">
        <v>217</v>
      </c>
      <c r="N201" s="33" t="s">
        <v>102</v>
      </c>
      <c r="O201" s="33" t="s">
        <v>115</v>
      </c>
      <c r="P201" s="33">
        <v>1</v>
      </c>
      <c r="Q201" s="33"/>
      <c r="R201" s="33">
        <v>0</v>
      </c>
      <c r="S201" s="33"/>
      <c r="T201" t="s">
        <v>598</v>
      </c>
      <c r="U201" s="33" t="s">
        <v>2127</v>
      </c>
      <c r="V201" s="33" t="s">
        <v>122</v>
      </c>
      <c r="W201" s="33" t="s">
        <v>115</v>
      </c>
      <c r="X201" s="33" t="s">
        <v>115</v>
      </c>
      <c r="Y201" s="33" t="s">
        <v>115</v>
      </c>
      <c r="Z201" s="33" t="s">
        <v>115</v>
      </c>
      <c r="AA201" s="33" t="s">
        <v>115</v>
      </c>
      <c r="AB201" s="35" t="s">
        <v>115</v>
      </c>
      <c r="AC201" s="35"/>
      <c r="AD201" s="39">
        <v>0</v>
      </c>
      <c r="AE201" s="39">
        <v>0</v>
      </c>
      <c r="AF201" s="39">
        <v>0</v>
      </c>
      <c r="AG201" s="39">
        <v>0</v>
      </c>
      <c r="AH201" s="39">
        <v>2</v>
      </c>
      <c r="AI201" s="33">
        <v>0</v>
      </c>
      <c r="AJ201" s="33">
        <f t="shared" si="3"/>
        <v>2</v>
      </c>
      <c r="AK201" s="33"/>
      <c r="AL201" s="33"/>
      <c r="AM201" s="33"/>
      <c r="AN201" s="33"/>
      <c r="AO201"/>
      <c r="AP201"/>
      <c r="AQ201"/>
      <c r="AR201"/>
      <c r="AS201"/>
      <c r="AT201"/>
      <c r="AU201"/>
    </row>
    <row r="202" spans="1:47" s="7" customFormat="1" x14ac:dyDescent="0.2">
      <c r="A202" s="7" t="s">
        <v>524</v>
      </c>
      <c r="B202" s="7" t="s">
        <v>525</v>
      </c>
      <c r="C202" s="7">
        <v>3</v>
      </c>
      <c r="D202" s="7">
        <v>1</v>
      </c>
      <c r="E202" s="7" t="s">
        <v>521</v>
      </c>
      <c r="F202" s="10">
        <v>43352</v>
      </c>
      <c r="G202" s="37" t="s">
        <v>4032</v>
      </c>
      <c r="H202" s="37" t="s">
        <v>4724</v>
      </c>
      <c r="I202" s="8">
        <v>6.9444444444444441E-3</v>
      </c>
      <c r="J202" s="178">
        <v>1.1574074074074073E-4</v>
      </c>
      <c r="K202" s="9">
        <v>10</v>
      </c>
      <c r="L202" s="7" t="s">
        <v>483</v>
      </c>
      <c r="M202" s="7" t="s">
        <v>217</v>
      </c>
      <c r="N202" s="7" t="s">
        <v>102</v>
      </c>
      <c r="O202" s="7" t="s">
        <v>115</v>
      </c>
      <c r="P202" s="7">
        <v>1</v>
      </c>
      <c r="R202" s="7">
        <v>0</v>
      </c>
      <c r="T202" t="s">
        <v>598</v>
      </c>
      <c r="U202" t="s">
        <v>2108</v>
      </c>
      <c r="V202" s="7" t="s">
        <v>122</v>
      </c>
      <c r="W202" s="7" t="s">
        <v>115</v>
      </c>
      <c r="X202" s="33" t="s">
        <v>115</v>
      </c>
      <c r="Y202" s="33" t="s">
        <v>115</v>
      </c>
      <c r="Z202" s="33" t="s">
        <v>115</v>
      </c>
      <c r="AA202" s="7" t="s">
        <v>115</v>
      </c>
      <c r="AB202" s="20" t="s">
        <v>115</v>
      </c>
      <c r="AC202" s="20"/>
      <c r="AD202" s="9">
        <v>0</v>
      </c>
      <c r="AE202" s="9">
        <v>0</v>
      </c>
      <c r="AF202" s="9">
        <v>0</v>
      </c>
      <c r="AG202" s="9">
        <v>0</v>
      </c>
      <c r="AH202" s="9">
        <v>0</v>
      </c>
      <c r="AI202">
        <v>0</v>
      </c>
      <c r="AJ202">
        <f t="shared" si="3"/>
        <v>0</v>
      </c>
      <c r="AL202" s="7" t="s">
        <v>526</v>
      </c>
      <c r="AO202"/>
      <c r="AP202"/>
      <c r="AQ202"/>
      <c r="AR202"/>
      <c r="AS202"/>
      <c r="AT202"/>
      <c r="AU202"/>
    </row>
    <row r="203" spans="1:47" s="7" customFormat="1" x14ac:dyDescent="0.2">
      <c r="A203" s="33" t="s">
        <v>527</v>
      </c>
      <c r="B203" s="33" t="s">
        <v>528</v>
      </c>
      <c r="C203" s="33">
        <v>4</v>
      </c>
      <c r="D203" s="33">
        <v>1</v>
      </c>
      <c r="E203" s="33" t="s">
        <v>521</v>
      </c>
      <c r="F203" s="37">
        <v>43352</v>
      </c>
      <c r="G203" s="37" t="s">
        <v>4032</v>
      </c>
      <c r="H203" s="37" t="s">
        <v>4724</v>
      </c>
      <c r="I203" s="36">
        <v>4.2361111111111106E-2</v>
      </c>
      <c r="J203" s="177">
        <v>7.0601851851851847E-4</v>
      </c>
      <c r="K203" s="39">
        <v>61</v>
      </c>
      <c r="L203" s="33" t="s">
        <v>483</v>
      </c>
      <c r="M203" s="33" t="s">
        <v>217</v>
      </c>
      <c r="N203" s="33" t="s">
        <v>187</v>
      </c>
      <c r="O203" s="33" t="s">
        <v>23</v>
      </c>
      <c r="P203" s="33">
        <v>1</v>
      </c>
      <c r="Q203" s="33"/>
      <c r="R203" s="33">
        <v>1</v>
      </c>
      <c r="S203" s="33"/>
      <c r="T203" t="s">
        <v>176</v>
      </c>
      <c r="U203" s="33" t="s">
        <v>176</v>
      </c>
      <c r="V203" s="33" t="s">
        <v>122</v>
      </c>
      <c r="W203" s="7" t="s">
        <v>1035</v>
      </c>
      <c r="X203" s="33" t="s">
        <v>23</v>
      </c>
      <c r="Y203" s="33" t="s">
        <v>3997</v>
      </c>
      <c r="Z203" s="33" t="s">
        <v>4006</v>
      </c>
      <c r="AA203" s="33" t="s">
        <v>176</v>
      </c>
      <c r="AB203" s="35" t="s">
        <v>246</v>
      </c>
      <c r="AC203" s="35"/>
      <c r="AD203" s="39">
        <v>0</v>
      </c>
      <c r="AE203" s="39">
        <v>0</v>
      </c>
      <c r="AF203" s="39">
        <v>0</v>
      </c>
      <c r="AG203" s="39">
        <v>0</v>
      </c>
      <c r="AH203" s="39">
        <v>3</v>
      </c>
      <c r="AI203" s="33">
        <v>0</v>
      </c>
      <c r="AJ203" s="33">
        <f t="shared" si="3"/>
        <v>3</v>
      </c>
      <c r="AK203" s="33"/>
      <c r="AL203" s="33" t="s">
        <v>4914</v>
      </c>
      <c r="AM203" s="33"/>
      <c r="AN203" s="33"/>
      <c r="AO203"/>
      <c r="AP203"/>
      <c r="AQ203"/>
      <c r="AR203"/>
      <c r="AS203"/>
      <c r="AT203"/>
      <c r="AU203"/>
    </row>
    <row r="204" spans="1:47" s="7" customFormat="1" x14ac:dyDescent="0.2">
      <c r="A204" s="33" t="s">
        <v>530</v>
      </c>
      <c r="B204" s="33" t="s">
        <v>531</v>
      </c>
      <c r="C204" s="33">
        <v>5</v>
      </c>
      <c r="D204" s="33">
        <v>1</v>
      </c>
      <c r="E204" s="33" t="s">
        <v>521</v>
      </c>
      <c r="F204" s="37">
        <v>43352</v>
      </c>
      <c r="G204" s="37" t="s">
        <v>4032</v>
      </c>
      <c r="H204" s="37" t="s">
        <v>4724</v>
      </c>
      <c r="I204" s="36">
        <v>2.9861111111111113E-2</v>
      </c>
      <c r="J204" s="177">
        <v>4.9768518518518521E-4</v>
      </c>
      <c r="K204" s="39">
        <v>43</v>
      </c>
      <c r="L204" s="33" t="s">
        <v>483</v>
      </c>
      <c r="M204" s="33" t="s">
        <v>217</v>
      </c>
      <c r="N204" s="33" t="s">
        <v>187</v>
      </c>
      <c r="O204" s="33" t="s">
        <v>23</v>
      </c>
      <c r="P204" s="33">
        <v>1</v>
      </c>
      <c r="Q204" s="33"/>
      <c r="R204" s="33">
        <v>1</v>
      </c>
      <c r="S204" s="33"/>
      <c r="T204" t="s">
        <v>176</v>
      </c>
      <c r="U204" s="33" t="s">
        <v>176</v>
      </c>
      <c r="V204" s="33" t="s">
        <v>122</v>
      </c>
      <c r="W204" s="7" t="s">
        <v>1035</v>
      </c>
      <c r="X204" s="33" t="s">
        <v>23</v>
      </c>
      <c r="Y204" s="33" t="s">
        <v>3997</v>
      </c>
      <c r="Z204" s="33" t="s">
        <v>4006</v>
      </c>
      <c r="AA204" s="33" t="s">
        <v>176</v>
      </c>
      <c r="AB204" s="35">
        <v>63.725580000000001</v>
      </c>
      <c r="AC204" s="35">
        <v>148.98072999999999</v>
      </c>
      <c r="AD204" s="39">
        <v>0</v>
      </c>
      <c r="AE204" s="39">
        <v>0</v>
      </c>
      <c r="AF204" s="39">
        <v>0</v>
      </c>
      <c r="AG204" s="39">
        <v>0</v>
      </c>
      <c r="AH204" s="39">
        <v>11</v>
      </c>
      <c r="AI204" s="33">
        <v>0</v>
      </c>
      <c r="AJ204" s="33">
        <f t="shared" si="3"/>
        <v>11</v>
      </c>
      <c r="AK204" s="33"/>
      <c r="AL204" s="33"/>
      <c r="AM204" s="33"/>
      <c r="AN204" s="33"/>
      <c r="AO204" s="33"/>
      <c r="AP204" s="33"/>
      <c r="AQ204" s="34"/>
      <c r="AR204" s="33"/>
      <c r="AS204" s="33"/>
      <c r="AT204" s="33"/>
      <c r="AU204" s="33"/>
    </row>
    <row r="205" spans="1:47" s="7" customFormat="1" x14ac:dyDescent="0.2">
      <c r="A205" s="7" t="s">
        <v>532</v>
      </c>
      <c r="B205" s="7" t="s">
        <v>533</v>
      </c>
      <c r="C205" s="7">
        <v>1</v>
      </c>
      <c r="D205" s="7">
        <v>1</v>
      </c>
      <c r="E205" t="s">
        <v>201</v>
      </c>
      <c r="F205" s="1">
        <v>43354</v>
      </c>
      <c r="G205" s="37" t="s">
        <v>4032</v>
      </c>
      <c r="H205" s="37" t="s">
        <v>4724</v>
      </c>
      <c r="I205" s="3">
        <v>5.7870370370370366E-5</v>
      </c>
      <c r="J205" s="176">
        <v>5.7870370370370366E-5</v>
      </c>
      <c r="K205" s="6">
        <v>5</v>
      </c>
      <c r="L205" t="s">
        <v>483</v>
      </c>
      <c r="M205" s="7" t="s">
        <v>24</v>
      </c>
      <c r="N205" s="7" t="s">
        <v>107</v>
      </c>
      <c r="O205" s="7" t="s">
        <v>23</v>
      </c>
      <c r="P205" s="7">
        <v>1</v>
      </c>
      <c r="R205" s="7">
        <v>0</v>
      </c>
      <c r="T205" t="s">
        <v>1618</v>
      </c>
      <c r="U205" s="7" t="s">
        <v>1618</v>
      </c>
      <c r="V205" s="7" t="s">
        <v>24</v>
      </c>
      <c r="W205" s="7" t="s">
        <v>115</v>
      </c>
      <c r="X205" s="33" t="s">
        <v>115</v>
      </c>
      <c r="Y205" s="33" t="s">
        <v>115</v>
      </c>
      <c r="Z205" s="33" t="s">
        <v>115</v>
      </c>
      <c r="AA205" s="20" t="s">
        <v>115</v>
      </c>
      <c r="AB205" s="20" t="s">
        <v>115</v>
      </c>
      <c r="AC205" s="20"/>
      <c r="AD205" s="9">
        <v>0</v>
      </c>
      <c r="AE205" s="9">
        <v>3</v>
      </c>
      <c r="AF205" s="9">
        <v>0</v>
      </c>
      <c r="AG205" s="9">
        <v>3</v>
      </c>
      <c r="AH205" s="9">
        <v>0</v>
      </c>
      <c r="AI205">
        <v>0</v>
      </c>
      <c r="AJ205">
        <f t="shared" si="3"/>
        <v>3</v>
      </c>
      <c r="AK205"/>
      <c r="AL205"/>
      <c r="AM205"/>
      <c r="AN205"/>
      <c r="AO205"/>
      <c r="AP205"/>
      <c r="AQ205"/>
      <c r="AR205"/>
      <c r="AS205"/>
      <c r="AT205"/>
      <c r="AU205"/>
    </row>
    <row r="206" spans="1:47" s="7" customFormat="1" x14ac:dyDescent="0.2">
      <c r="A206" s="7" t="s">
        <v>534</v>
      </c>
      <c r="B206" s="7" t="s">
        <v>535</v>
      </c>
      <c r="C206" s="7">
        <v>2</v>
      </c>
      <c r="D206" s="7">
        <v>1</v>
      </c>
      <c r="E206" s="5" t="s">
        <v>201</v>
      </c>
      <c r="F206" s="11">
        <v>43354</v>
      </c>
      <c r="G206" s="37" t="s">
        <v>4032</v>
      </c>
      <c r="H206" s="37" t="s">
        <v>4724</v>
      </c>
      <c r="I206" s="2">
        <v>2.7777777777777779E-3</v>
      </c>
      <c r="J206" s="176">
        <v>4.6296296296296294E-5</v>
      </c>
      <c r="K206" s="6">
        <v>4</v>
      </c>
      <c r="L206" t="s">
        <v>483</v>
      </c>
      <c r="M206" s="7" t="s">
        <v>24</v>
      </c>
      <c r="N206" s="7" t="s">
        <v>107</v>
      </c>
      <c r="O206" s="7" t="s">
        <v>23</v>
      </c>
      <c r="P206" s="7">
        <v>1</v>
      </c>
      <c r="R206" s="7">
        <v>0</v>
      </c>
      <c r="T206" t="s">
        <v>176</v>
      </c>
      <c r="U206" t="s">
        <v>176</v>
      </c>
      <c r="V206" s="7" t="s">
        <v>24</v>
      </c>
      <c r="W206" s="7" t="s">
        <v>115</v>
      </c>
      <c r="X206" s="33" t="s">
        <v>115</v>
      </c>
      <c r="Y206" s="33" t="s">
        <v>115</v>
      </c>
      <c r="Z206" s="33" t="s">
        <v>115</v>
      </c>
      <c r="AA206" s="20" t="s">
        <v>115</v>
      </c>
      <c r="AB206" s="20" t="s">
        <v>115</v>
      </c>
      <c r="AC206" s="20"/>
      <c r="AD206" s="9">
        <v>0</v>
      </c>
      <c r="AE206" s="9">
        <v>0</v>
      </c>
      <c r="AF206" s="9">
        <v>0</v>
      </c>
      <c r="AG206" s="9">
        <v>0</v>
      </c>
      <c r="AH206" s="9">
        <v>0</v>
      </c>
      <c r="AI206">
        <v>0</v>
      </c>
      <c r="AJ206">
        <f t="shared" si="3"/>
        <v>0</v>
      </c>
      <c r="AK206"/>
      <c r="AL206"/>
      <c r="AM206"/>
      <c r="AN206"/>
      <c r="AO206" s="33"/>
      <c r="AP206" s="33"/>
      <c r="AQ206" s="34"/>
      <c r="AR206" s="33"/>
      <c r="AS206" s="33"/>
      <c r="AT206" s="33"/>
      <c r="AU206" s="33"/>
    </row>
    <row r="207" spans="1:47" s="7" customFormat="1" x14ac:dyDescent="0.2">
      <c r="A207" s="7" t="s">
        <v>536</v>
      </c>
      <c r="B207" s="7" t="s">
        <v>537</v>
      </c>
      <c r="C207" s="7">
        <v>3</v>
      </c>
      <c r="D207" s="7">
        <v>1</v>
      </c>
      <c r="E207" s="5" t="s">
        <v>201</v>
      </c>
      <c r="F207" s="11">
        <v>43354</v>
      </c>
      <c r="G207" s="37" t="s">
        <v>4032</v>
      </c>
      <c r="H207" s="37" t="s">
        <v>4724</v>
      </c>
      <c r="I207" s="3">
        <v>8.1018518518518516E-5</v>
      </c>
      <c r="J207" s="176">
        <v>8.1018518518518516E-5</v>
      </c>
      <c r="K207" s="6">
        <v>7</v>
      </c>
      <c r="L207" t="s">
        <v>483</v>
      </c>
      <c r="M207" s="7" t="s">
        <v>24</v>
      </c>
      <c r="N207" s="7" t="s">
        <v>242</v>
      </c>
      <c r="O207" s="7" t="s">
        <v>23</v>
      </c>
      <c r="P207" s="7">
        <v>1</v>
      </c>
      <c r="R207" s="7">
        <v>1</v>
      </c>
      <c r="T207" t="s">
        <v>176</v>
      </c>
      <c r="U207" t="s">
        <v>176</v>
      </c>
      <c r="V207" s="7" t="s">
        <v>24</v>
      </c>
      <c r="W207" s="7" t="s">
        <v>4916</v>
      </c>
      <c r="X207" s="44" t="s">
        <v>23</v>
      </c>
      <c r="Y207" s="44" t="s">
        <v>3999</v>
      </c>
      <c r="Z207" s="44" t="s">
        <v>4001</v>
      </c>
      <c r="AA207" s="7" t="s">
        <v>176</v>
      </c>
      <c r="AB207" s="20">
        <v>63.722499999999997</v>
      </c>
      <c r="AC207" s="20">
        <v>148.95992000000001</v>
      </c>
      <c r="AD207" s="9">
        <v>0</v>
      </c>
      <c r="AE207" s="9">
        <v>0</v>
      </c>
      <c r="AF207" s="9">
        <v>0</v>
      </c>
      <c r="AG207" s="9">
        <v>0</v>
      </c>
      <c r="AH207" s="9">
        <v>0</v>
      </c>
      <c r="AI207">
        <v>0</v>
      </c>
      <c r="AJ207">
        <f t="shared" si="3"/>
        <v>0</v>
      </c>
      <c r="AK207"/>
      <c r="AL207" t="s">
        <v>541</v>
      </c>
      <c r="AM207"/>
      <c r="AN207"/>
      <c r="AO207" s="33"/>
      <c r="AP207" s="33"/>
      <c r="AQ207" s="34"/>
      <c r="AR207" s="33"/>
      <c r="AS207" s="33"/>
      <c r="AT207" s="33"/>
      <c r="AU207" s="33"/>
    </row>
    <row r="208" spans="1:47" s="7" customFormat="1" x14ac:dyDescent="0.2">
      <c r="A208" s="7" t="s">
        <v>538</v>
      </c>
      <c r="B208" s="7" t="s">
        <v>539</v>
      </c>
      <c r="C208" s="7">
        <v>4</v>
      </c>
      <c r="D208" s="7">
        <v>1</v>
      </c>
      <c r="E208" s="5" t="s">
        <v>201</v>
      </c>
      <c r="F208" s="11">
        <v>43354</v>
      </c>
      <c r="G208" s="37" t="s">
        <v>4032</v>
      </c>
      <c r="H208" s="37" t="s">
        <v>4724</v>
      </c>
      <c r="I208" s="2">
        <v>1.6666666666666666E-2</v>
      </c>
      <c r="J208" s="176">
        <v>2.7777777777777778E-4</v>
      </c>
      <c r="K208" s="6">
        <v>24</v>
      </c>
      <c r="L208" t="s">
        <v>483</v>
      </c>
      <c r="M208" s="7" t="s">
        <v>115</v>
      </c>
      <c r="N208" s="7" t="s">
        <v>159</v>
      </c>
      <c r="O208" s="7" t="s">
        <v>23</v>
      </c>
      <c r="P208" s="7">
        <v>0</v>
      </c>
      <c r="R208" s="7">
        <v>1</v>
      </c>
      <c r="T208" t="s">
        <v>176</v>
      </c>
      <c r="U208" t="s">
        <v>176</v>
      </c>
      <c r="V208" s="7" t="s">
        <v>115</v>
      </c>
      <c r="W208" t="s">
        <v>2061</v>
      </c>
      <c r="X208" s="44" t="s">
        <v>23</v>
      </c>
      <c r="Y208" s="44" t="s">
        <v>3999</v>
      </c>
      <c r="Z208" s="44" t="s">
        <v>4006</v>
      </c>
      <c r="AA208" s="7" t="s">
        <v>176</v>
      </c>
      <c r="AB208" s="20">
        <v>63.722520000000003</v>
      </c>
      <c r="AC208" s="20">
        <v>148.95984000000001</v>
      </c>
      <c r="AD208" s="9">
        <v>0</v>
      </c>
      <c r="AE208" s="9">
        <v>0</v>
      </c>
      <c r="AF208" s="9">
        <v>0</v>
      </c>
      <c r="AG208" s="9">
        <v>0</v>
      </c>
      <c r="AH208" s="9">
        <v>0</v>
      </c>
      <c r="AI208">
        <v>0</v>
      </c>
      <c r="AJ208">
        <f t="shared" si="3"/>
        <v>0</v>
      </c>
      <c r="AK208"/>
      <c r="AL208" t="s">
        <v>542</v>
      </c>
      <c r="AM208"/>
      <c r="AN208"/>
      <c r="AO208" s="4"/>
      <c r="AP208" s="4"/>
      <c r="AQ208" s="4"/>
      <c r="AR208" s="4"/>
      <c r="AS208" s="4"/>
      <c r="AT208" s="4"/>
      <c r="AU208" s="4"/>
    </row>
    <row r="209" spans="1:47" s="7" customFormat="1" x14ac:dyDescent="0.2">
      <c r="A209" s="7" t="s">
        <v>543</v>
      </c>
      <c r="B209" s="7" t="s">
        <v>545</v>
      </c>
      <c r="C209" s="7">
        <v>1</v>
      </c>
      <c r="D209" s="7">
        <v>1</v>
      </c>
      <c r="E209" s="7" t="s">
        <v>3171</v>
      </c>
      <c r="F209" s="10">
        <v>43354</v>
      </c>
      <c r="G209" s="37" t="s">
        <v>4032</v>
      </c>
      <c r="H209" s="37" t="s">
        <v>4724</v>
      </c>
      <c r="I209" s="8">
        <v>5.5555555555555558E-3</v>
      </c>
      <c r="J209" s="178">
        <v>9.2592592592592588E-5</v>
      </c>
      <c r="K209" s="9">
        <v>8</v>
      </c>
      <c r="L209" s="7" t="s">
        <v>483</v>
      </c>
      <c r="M209" s="7" t="s">
        <v>24</v>
      </c>
      <c r="N209" s="7" t="s">
        <v>159</v>
      </c>
      <c r="O209" s="7" t="s">
        <v>23</v>
      </c>
      <c r="P209" s="7">
        <v>0</v>
      </c>
      <c r="R209" s="7">
        <v>1</v>
      </c>
      <c r="T209" t="s">
        <v>176</v>
      </c>
      <c r="U209" t="s">
        <v>176</v>
      </c>
      <c r="V209" s="7" t="s">
        <v>115</v>
      </c>
      <c r="W209" s="7" t="s">
        <v>2158</v>
      </c>
      <c r="X209" s="33" t="s">
        <v>23</v>
      </c>
      <c r="Y209" s="33" t="s">
        <v>4004</v>
      </c>
      <c r="Z209" s="33" t="s">
        <v>4005</v>
      </c>
      <c r="AA209" s="7" t="s">
        <v>176</v>
      </c>
      <c r="AB209" s="20">
        <v>63.723460000000003</v>
      </c>
      <c r="AC209" s="20">
        <v>148.94909999999999</v>
      </c>
      <c r="AD209" s="9">
        <v>0</v>
      </c>
      <c r="AE209" s="9">
        <v>0</v>
      </c>
      <c r="AF209" s="9">
        <v>0</v>
      </c>
      <c r="AG209" s="9">
        <v>0</v>
      </c>
      <c r="AH209" s="9">
        <v>0</v>
      </c>
      <c r="AI209">
        <v>0</v>
      </c>
      <c r="AJ209">
        <f t="shared" si="3"/>
        <v>0</v>
      </c>
      <c r="AO209" s="33"/>
      <c r="AP209" s="33"/>
      <c r="AQ209" s="34"/>
      <c r="AR209" s="33"/>
      <c r="AS209" s="33"/>
      <c r="AT209" s="33"/>
      <c r="AU209" s="33"/>
    </row>
    <row r="210" spans="1:47" s="7" customFormat="1" x14ac:dyDescent="0.2">
      <c r="A210" s="33" t="s">
        <v>546</v>
      </c>
      <c r="B210" s="33" t="s">
        <v>547</v>
      </c>
      <c r="C210" s="33">
        <v>2</v>
      </c>
      <c r="D210" s="33">
        <v>1</v>
      </c>
      <c r="E210" s="33" t="s">
        <v>3171</v>
      </c>
      <c r="F210" s="37">
        <v>43354</v>
      </c>
      <c r="G210" s="37" t="s">
        <v>4032</v>
      </c>
      <c r="H210" s="37" t="s">
        <v>4724</v>
      </c>
      <c r="I210" s="36">
        <v>1.2499999999999999E-2</v>
      </c>
      <c r="J210" s="177">
        <v>2.0833333333333335E-4</v>
      </c>
      <c r="K210" s="39">
        <v>18</v>
      </c>
      <c r="L210" s="33" t="s">
        <v>483</v>
      </c>
      <c r="M210" s="33" t="s">
        <v>548</v>
      </c>
      <c r="N210" s="33" t="s">
        <v>102</v>
      </c>
      <c r="O210" s="33" t="s">
        <v>115</v>
      </c>
      <c r="P210" s="33">
        <v>1</v>
      </c>
      <c r="Q210" s="33">
        <v>5</v>
      </c>
      <c r="R210" s="33">
        <v>0</v>
      </c>
      <c r="S210" s="33"/>
      <c r="T210" t="s">
        <v>14</v>
      </c>
      <c r="U210" s="33" t="s">
        <v>2130</v>
      </c>
      <c r="V210" s="33" t="s">
        <v>122</v>
      </c>
      <c r="W210" s="33" t="s">
        <v>115</v>
      </c>
      <c r="X210" s="33" t="s">
        <v>115</v>
      </c>
      <c r="Y210" s="33" t="s">
        <v>115</v>
      </c>
      <c r="Z210" s="33" t="s">
        <v>115</v>
      </c>
      <c r="AA210" s="33" t="s">
        <v>115</v>
      </c>
      <c r="AB210" s="35" t="s">
        <v>115</v>
      </c>
      <c r="AC210" s="35"/>
      <c r="AD210" s="39">
        <v>0</v>
      </c>
      <c r="AE210" s="39">
        <v>0</v>
      </c>
      <c r="AF210" s="39">
        <v>0</v>
      </c>
      <c r="AG210" s="39">
        <v>0</v>
      </c>
      <c r="AH210" s="39">
        <v>8</v>
      </c>
      <c r="AI210" s="33">
        <v>0</v>
      </c>
      <c r="AJ210" s="33">
        <f t="shared" si="3"/>
        <v>8</v>
      </c>
      <c r="AK210" s="33"/>
      <c r="AL210" s="33"/>
      <c r="AM210" s="33"/>
      <c r="AN210" s="33"/>
      <c r="AO210"/>
      <c r="AP210"/>
      <c r="AQ210"/>
      <c r="AR210"/>
      <c r="AS210"/>
      <c r="AT210"/>
      <c r="AU210"/>
    </row>
    <row r="211" spans="1:47" s="33" customFormat="1" x14ac:dyDescent="0.2">
      <c r="A211" s="7" t="s">
        <v>549</v>
      </c>
      <c r="B211" s="7" t="s">
        <v>550</v>
      </c>
      <c r="C211" s="7">
        <v>3</v>
      </c>
      <c r="D211" s="7">
        <v>1</v>
      </c>
      <c r="E211" s="7" t="s">
        <v>3171</v>
      </c>
      <c r="F211" s="10">
        <v>43354</v>
      </c>
      <c r="G211" s="37" t="s">
        <v>4032</v>
      </c>
      <c r="H211" s="37" t="s">
        <v>4724</v>
      </c>
      <c r="I211" s="8">
        <v>3.8194444444444441E-2</v>
      </c>
      <c r="J211" s="178">
        <v>6.3657407407407402E-4</v>
      </c>
      <c r="K211" s="9">
        <v>55</v>
      </c>
      <c r="L211" s="7" t="s">
        <v>483</v>
      </c>
      <c r="M211" s="7" t="s">
        <v>548</v>
      </c>
      <c r="N211" s="7" t="s">
        <v>159</v>
      </c>
      <c r="O211" s="7" t="s">
        <v>23</v>
      </c>
      <c r="P211" s="7">
        <v>0</v>
      </c>
      <c r="Q211" s="7"/>
      <c r="R211" s="7">
        <v>1</v>
      </c>
      <c r="S211" s="7"/>
      <c r="T211" t="s">
        <v>14</v>
      </c>
      <c r="U211" t="s">
        <v>2130</v>
      </c>
      <c r="V211" s="7" t="s">
        <v>122</v>
      </c>
      <c r="W211" s="7" t="s">
        <v>333</v>
      </c>
      <c r="X211" s="33" t="s">
        <v>23</v>
      </c>
      <c r="Y211" s="33" t="s">
        <v>3997</v>
      </c>
      <c r="Z211" s="33" t="s">
        <v>4006</v>
      </c>
      <c r="AA211" s="7" t="s">
        <v>176</v>
      </c>
      <c r="AB211" s="20">
        <v>63.723739999999999</v>
      </c>
      <c r="AC211" s="20">
        <v>148.94995</v>
      </c>
      <c r="AD211" s="9">
        <v>0</v>
      </c>
      <c r="AE211" s="9">
        <v>0</v>
      </c>
      <c r="AF211" s="9">
        <v>0</v>
      </c>
      <c r="AG211" s="9">
        <v>0</v>
      </c>
      <c r="AH211" s="9">
        <v>0</v>
      </c>
      <c r="AI211">
        <v>0</v>
      </c>
      <c r="AJ211">
        <f t="shared" si="3"/>
        <v>0</v>
      </c>
      <c r="AK211" s="7"/>
      <c r="AL211" s="7" t="s">
        <v>552</v>
      </c>
      <c r="AM211" s="7"/>
      <c r="AN211" s="7"/>
      <c r="AO211"/>
      <c r="AP211"/>
      <c r="AQ211"/>
      <c r="AR211"/>
      <c r="AS211"/>
      <c r="AT211"/>
      <c r="AU211"/>
    </row>
    <row r="212" spans="1:47" s="7" customFormat="1" hidden="1" x14ac:dyDescent="0.2">
      <c r="A212" s="7" t="s">
        <v>549</v>
      </c>
      <c r="B212" s="7" t="s">
        <v>550</v>
      </c>
      <c r="C212" s="7">
        <v>3</v>
      </c>
      <c r="D212" s="7">
        <v>2</v>
      </c>
      <c r="E212" s="7" t="s">
        <v>3171</v>
      </c>
      <c r="F212" s="10">
        <v>43354</v>
      </c>
      <c r="G212" s="37" t="s">
        <v>4032</v>
      </c>
      <c r="H212" s="37" t="s">
        <v>4724</v>
      </c>
      <c r="I212" s="8">
        <v>3.8194444444444441E-2</v>
      </c>
      <c r="J212" s="178">
        <v>6.3657407407407402E-4</v>
      </c>
      <c r="K212" s="9">
        <v>55</v>
      </c>
      <c r="L212" s="7" t="s">
        <v>483</v>
      </c>
      <c r="M212" s="7" t="s">
        <v>548</v>
      </c>
      <c r="N212" s="7" t="s">
        <v>159</v>
      </c>
      <c r="O212" s="7" t="s">
        <v>23</v>
      </c>
      <c r="P212" s="7">
        <v>0</v>
      </c>
      <c r="R212" s="7">
        <v>1</v>
      </c>
      <c r="T212" t="s">
        <v>14</v>
      </c>
      <c r="U212" t="s">
        <v>2130</v>
      </c>
      <c r="V212" s="7" t="s">
        <v>122</v>
      </c>
      <c r="W212" s="7" t="s">
        <v>1035</v>
      </c>
      <c r="X212" s="33" t="s">
        <v>23</v>
      </c>
      <c r="Y212" s="33" t="s">
        <v>3997</v>
      </c>
      <c r="Z212" s="33" t="s">
        <v>4006</v>
      </c>
      <c r="AA212" s="7" t="s">
        <v>176</v>
      </c>
      <c r="AB212" s="20">
        <v>63.723739999999999</v>
      </c>
      <c r="AC212" s="20">
        <v>148.94995</v>
      </c>
      <c r="AD212" s="9">
        <v>0</v>
      </c>
      <c r="AE212" s="9">
        <v>0</v>
      </c>
      <c r="AF212" s="9">
        <v>0</v>
      </c>
      <c r="AG212" s="9">
        <v>0</v>
      </c>
      <c r="AH212" s="9">
        <v>0</v>
      </c>
      <c r="AI212">
        <v>0</v>
      </c>
      <c r="AJ212">
        <f t="shared" si="3"/>
        <v>0</v>
      </c>
      <c r="AL212" s="7" t="s">
        <v>2071</v>
      </c>
      <c r="AO212" s="33"/>
      <c r="AP212" s="33"/>
      <c r="AQ212" s="34"/>
      <c r="AR212" s="33"/>
      <c r="AS212" s="33"/>
      <c r="AT212" s="33"/>
      <c r="AU212" s="33"/>
    </row>
    <row r="213" spans="1:47" s="7" customFormat="1" x14ac:dyDescent="0.2">
      <c r="A213" s="7" t="s">
        <v>553</v>
      </c>
      <c r="B213" s="7" t="s">
        <v>554</v>
      </c>
      <c r="C213" s="7">
        <v>1</v>
      </c>
      <c r="D213" s="7">
        <v>1</v>
      </c>
      <c r="E213" t="s">
        <v>272</v>
      </c>
      <c r="F213" s="1">
        <v>43354</v>
      </c>
      <c r="G213" s="37" t="s">
        <v>4032</v>
      </c>
      <c r="H213" s="37" t="s">
        <v>4724</v>
      </c>
      <c r="I213" s="2">
        <v>3.125E-2</v>
      </c>
      <c r="J213" s="176">
        <v>5.2083333333333333E-4</v>
      </c>
      <c r="K213" s="6">
        <v>45</v>
      </c>
      <c r="L213" t="s">
        <v>483</v>
      </c>
      <c r="M213" s="7" t="s">
        <v>241</v>
      </c>
      <c r="N213" s="7" t="s">
        <v>102</v>
      </c>
      <c r="O213" s="7" t="s">
        <v>23</v>
      </c>
      <c r="P213" s="7">
        <v>1</v>
      </c>
      <c r="R213" s="7">
        <v>1</v>
      </c>
      <c r="T213" t="s">
        <v>176</v>
      </c>
      <c r="U213" s="7" t="s">
        <v>555</v>
      </c>
      <c r="V213" s="7" t="s">
        <v>501</v>
      </c>
      <c r="W213" s="7" t="s">
        <v>1035</v>
      </c>
      <c r="X213" s="44" t="s">
        <v>23</v>
      </c>
      <c r="Y213" s="44" t="s">
        <v>3997</v>
      </c>
      <c r="Z213" s="44" t="s">
        <v>4006</v>
      </c>
      <c r="AA213" s="7" t="s">
        <v>176</v>
      </c>
      <c r="AB213" s="20">
        <v>63.731929999999998</v>
      </c>
      <c r="AC213" s="20">
        <v>148.8989</v>
      </c>
      <c r="AD213" s="9">
        <v>0</v>
      </c>
      <c r="AE213" s="9">
        <v>0</v>
      </c>
      <c r="AF213" s="9">
        <v>0</v>
      </c>
      <c r="AG213" s="9">
        <v>0</v>
      </c>
      <c r="AH213" s="9">
        <v>0</v>
      </c>
      <c r="AI213">
        <v>0</v>
      </c>
      <c r="AJ213">
        <f t="shared" si="3"/>
        <v>0</v>
      </c>
      <c r="AK213"/>
      <c r="AL213"/>
      <c r="AM213"/>
      <c r="AN213"/>
      <c r="AO213"/>
      <c r="AP213"/>
      <c r="AQ213"/>
      <c r="AR213"/>
      <c r="AS213"/>
      <c r="AT213"/>
      <c r="AU213"/>
    </row>
    <row r="214" spans="1:47" x14ac:dyDescent="0.2">
      <c r="A214" s="7" t="s">
        <v>556</v>
      </c>
      <c r="B214" s="7" t="s">
        <v>557</v>
      </c>
      <c r="C214" s="7">
        <v>1</v>
      </c>
      <c r="D214" s="7">
        <v>1</v>
      </c>
      <c r="E214" t="s">
        <v>2462</v>
      </c>
      <c r="F214" s="1">
        <v>43354</v>
      </c>
      <c r="G214" s="37" t="s">
        <v>4032</v>
      </c>
      <c r="H214" s="37" t="s">
        <v>4724</v>
      </c>
      <c r="I214" s="2">
        <v>1.4583333333333332E-2</v>
      </c>
      <c r="J214" s="176">
        <v>2.4305555555555552E-4</v>
      </c>
      <c r="K214" s="6">
        <v>21</v>
      </c>
      <c r="L214" t="s">
        <v>483</v>
      </c>
      <c r="M214" s="7" t="s">
        <v>363</v>
      </c>
      <c r="N214" s="7" t="s">
        <v>159</v>
      </c>
      <c r="O214" s="7" t="s">
        <v>12</v>
      </c>
      <c r="P214" s="7">
        <v>0</v>
      </c>
      <c r="Q214" s="7"/>
      <c r="R214" s="7">
        <v>1</v>
      </c>
      <c r="S214" s="7"/>
      <c r="T214" t="s">
        <v>176</v>
      </c>
      <c r="U214" t="s">
        <v>176</v>
      </c>
      <c r="V214" s="7" t="s">
        <v>24</v>
      </c>
      <c r="W214" s="7" t="s">
        <v>558</v>
      </c>
      <c r="X214" s="33" t="s">
        <v>12</v>
      </c>
      <c r="Y214" s="33" t="s">
        <v>4004</v>
      </c>
      <c r="Z214" s="33" t="s">
        <v>4008</v>
      </c>
      <c r="AA214" s="7" t="s">
        <v>24</v>
      </c>
      <c r="AB214" s="20" t="s">
        <v>246</v>
      </c>
      <c r="AC214" s="20"/>
      <c r="AD214" s="9">
        <v>0</v>
      </c>
      <c r="AE214" s="9">
        <v>0</v>
      </c>
      <c r="AF214" s="9">
        <v>0</v>
      </c>
      <c r="AG214" s="9">
        <v>0</v>
      </c>
      <c r="AH214" s="9">
        <v>0</v>
      </c>
      <c r="AI214">
        <v>0</v>
      </c>
      <c r="AJ214">
        <f t="shared" si="3"/>
        <v>0</v>
      </c>
    </row>
    <row r="215" spans="1:47" x14ac:dyDescent="0.2">
      <c r="A215" s="7" t="s">
        <v>559</v>
      </c>
      <c r="B215" s="7" t="s">
        <v>560</v>
      </c>
      <c r="C215" s="7">
        <v>2</v>
      </c>
      <c r="D215" s="7">
        <v>1</v>
      </c>
      <c r="E215" t="s">
        <v>2462</v>
      </c>
      <c r="F215" s="1">
        <v>43354</v>
      </c>
      <c r="G215" s="37" t="s">
        <v>4032</v>
      </c>
      <c r="H215" s="37" t="s">
        <v>4724</v>
      </c>
      <c r="I215" s="2">
        <v>2.7777777777777779E-3</v>
      </c>
      <c r="J215" s="176">
        <v>4.6296296296296294E-5</v>
      </c>
      <c r="K215" s="6">
        <v>4</v>
      </c>
      <c r="L215" t="s">
        <v>483</v>
      </c>
      <c r="M215" s="7" t="s">
        <v>363</v>
      </c>
      <c r="N215" s="7" t="s">
        <v>102</v>
      </c>
      <c r="O215" s="7" t="s">
        <v>23</v>
      </c>
      <c r="P215" s="7">
        <v>1</v>
      </c>
      <c r="Q215" s="7"/>
      <c r="R215" s="7">
        <v>0</v>
      </c>
      <c r="S215" s="7"/>
      <c r="T215" t="s">
        <v>176</v>
      </c>
      <c r="U215" t="s">
        <v>176</v>
      </c>
      <c r="V215" s="7" t="s">
        <v>501</v>
      </c>
      <c r="W215" s="7" t="s">
        <v>115</v>
      </c>
      <c r="X215" s="33" t="s">
        <v>115</v>
      </c>
      <c r="Y215" s="33" t="s">
        <v>115</v>
      </c>
      <c r="Z215" s="33" t="s">
        <v>115</v>
      </c>
      <c r="AA215" s="7" t="s">
        <v>115</v>
      </c>
      <c r="AB215" s="20" t="s">
        <v>115</v>
      </c>
      <c r="AC215" s="20"/>
      <c r="AD215" s="9">
        <v>0</v>
      </c>
      <c r="AE215" s="9">
        <v>0</v>
      </c>
      <c r="AF215" s="9">
        <v>0</v>
      </c>
      <c r="AG215" s="9">
        <v>0</v>
      </c>
      <c r="AH215" s="9">
        <v>0</v>
      </c>
      <c r="AI215">
        <v>0</v>
      </c>
      <c r="AJ215">
        <f t="shared" si="3"/>
        <v>0</v>
      </c>
      <c r="AL215" s="7" t="s">
        <v>2150</v>
      </c>
    </row>
    <row r="216" spans="1:47" x14ac:dyDescent="0.2">
      <c r="A216" s="7" t="s">
        <v>561</v>
      </c>
      <c r="B216" s="7" t="s">
        <v>562</v>
      </c>
      <c r="C216" s="7">
        <v>3</v>
      </c>
      <c r="D216" s="7">
        <v>1</v>
      </c>
      <c r="E216" t="s">
        <v>2462</v>
      </c>
      <c r="F216" s="1">
        <v>43354</v>
      </c>
      <c r="G216" s="37" t="s">
        <v>4032</v>
      </c>
      <c r="H216" s="37" t="s">
        <v>4724</v>
      </c>
      <c r="I216" s="2">
        <v>3.472222222222222E-3</v>
      </c>
      <c r="J216" s="176">
        <v>5.7870370370370366E-5</v>
      </c>
      <c r="K216" s="6">
        <v>5</v>
      </c>
      <c r="L216" t="s">
        <v>483</v>
      </c>
      <c r="M216" s="7" t="s">
        <v>64</v>
      </c>
      <c r="N216" s="7" t="s">
        <v>102</v>
      </c>
      <c r="O216" s="7" t="s">
        <v>12</v>
      </c>
      <c r="P216" s="7">
        <v>1</v>
      </c>
      <c r="Q216" s="7"/>
      <c r="R216" s="7">
        <v>0</v>
      </c>
      <c r="S216" s="7"/>
      <c r="T216" t="s">
        <v>176</v>
      </c>
      <c r="U216" t="s">
        <v>176</v>
      </c>
      <c r="V216" s="7" t="s">
        <v>563</v>
      </c>
      <c r="W216" s="7" t="s">
        <v>115</v>
      </c>
      <c r="X216" s="33" t="s">
        <v>115</v>
      </c>
      <c r="Y216" s="33" t="s">
        <v>115</v>
      </c>
      <c r="Z216" s="33" t="s">
        <v>115</v>
      </c>
      <c r="AA216" s="7" t="s">
        <v>115</v>
      </c>
      <c r="AB216" s="20" t="s">
        <v>115</v>
      </c>
      <c r="AC216" s="20"/>
      <c r="AD216" s="9">
        <v>4</v>
      </c>
      <c r="AE216" s="9">
        <v>0</v>
      </c>
      <c r="AF216" s="9">
        <v>0</v>
      </c>
      <c r="AG216" s="9">
        <v>4</v>
      </c>
      <c r="AH216" s="9">
        <v>0</v>
      </c>
      <c r="AI216">
        <v>0</v>
      </c>
      <c r="AJ216">
        <f t="shared" si="3"/>
        <v>4</v>
      </c>
    </row>
    <row r="217" spans="1:47" x14ac:dyDescent="0.2">
      <c r="A217" s="7" t="s">
        <v>564</v>
      </c>
      <c r="B217" s="7" t="s">
        <v>565</v>
      </c>
      <c r="C217" s="7">
        <v>4</v>
      </c>
      <c r="D217" s="7">
        <v>1</v>
      </c>
      <c r="E217" t="s">
        <v>2462</v>
      </c>
      <c r="F217" s="1">
        <v>43354</v>
      </c>
      <c r="G217" s="37" t="s">
        <v>4032</v>
      </c>
      <c r="H217" s="37" t="s">
        <v>4724</v>
      </c>
      <c r="I217" s="2">
        <v>1.1111111111111112E-2</v>
      </c>
      <c r="J217" s="176">
        <v>1.8518518518518518E-4</v>
      </c>
      <c r="K217" s="6">
        <v>16</v>
      </c>
      <c r="L217" t="s">
        <v>483</v>
      </c>
      <c r="M217" s="7" t="s">
        <v>363</v>
      </c>
      <c r="N217" s="7" t="s">
        <v>221</v>
      </c>
      <c r="O217" s="7" t="s">
        <v>12</v>
      </c>
      <c r="P217" s="7" t="s">
        <v>24</v>
      </c>
      <c r="Q217" s="7"/>
      <c r="R217">
        <v>0</v>
      </c>
      <c r="T217" t="s">
        <v>176</v>
      </c>
      <c r="U217" t="s">
        <v>176</v>
      </c>
      <c r="V217">
        <v>0</v>
      </c>
      <c r="W217" s="7" t="s">
        <v>563</v>
      </c>
      <c r="X217" s="33" t="s">
        <v>115</v>
      </c>
      <c r="Y217" s="33" t="s">
        <v>115</v>
      </c>
      <c r="Z217" s="33" t="s">
        <v>115</v>
      </c>
      <c r="AA217" s="7" t="s">
        <v>115</v>
      </c>
      <c r="AB217" s="20" t="s">
        <v>115</v>
      </c>
      <c r="AC217" s="20"/>
      <c r="AD217" s="9">
        <v>0</v>
      </c>
      <c r="AE217" s="9">
        <v>0</v>
      </c>
      <c r="AF217" s="9">
        <v>0</v>
      </c>
      <c r="AG217" s="9">
        <v>0</v>
      </c>
      <c r="AH217" s="9">
        <v>0</v>
      </c>
      <c r="AI217">
        <v>0</v>
      </c>
      <c r="AJ217">
        <f t="shared" si="3"/>
        <v>0</v>
      </c>
      <c r="AL217" t="s">
        <v>4915</v>
      </c>
    </row>
    <row r="218" spans="1:47" x14ac:dyDescent="0.2">
      <c r="A218" s="33" t="s">
        <v>566</v>
      </c>
      <c r="B218" s="33" t="s">
        <v>567</v>
      </c>
      <c r="C218" s="33">
        <v>5</v>
      </c>
      <c r="D218" s="33">
        <v>1</v>
      </c>
      <c r="E218" s="33" t="s">
        <v>2462</v>
      </c>
      <c r="F218" s="37">
        <v>43354</v>
      </c>
      <c r="G218" s="37" t="s">
        <v>4032</v>
      </c>
      <c r="H218" s="37" t="s">
        <v>4724</v>
      </c>
      <c r="I218" s="36">
        <v>2.013888888888889E-2</v>
      </c>
      <c r="J218" s="177">
        <v>3.3564814814814812E-4</v>
      </c>
      <c r="K218" s="39">
        <v>29</v>
      </c>
      <c r="L218" s="33" t="s">
        <v>483</v>
      </c>
      <c r="M218" s="33" t="s">
        <v>363</v>
      </c>
      <c r="N218" s="33" t="s">
        <v>568</v>
      </c>
      <c r="O218" s="33" t="s">
        <v>115</v>
      </c>
      <c r="P218" s="33">
        <v>1</v>
      </c>
      <c r="Q218" s="33"/>
      <c r="R218" s="33">
        <v>0</v>
      </c>
      <c r="S218" s="33"/>
      <c r="T218" t="s">
        <v>112</v>
      </c>
      <c r="U218" s="33" t="s">
        <v>112</v>
      </c>
      <c r="V218" s="33" t="s">
        <v>122</v>
      </c>
      <c r="W218" s="33" t="s">
        <v>115</v>
      </c>
      <c r="X218" s="33" t="s">
        <v>115</v>
      </c>
      <c r="Y218" s="33" t="s">
        <v>115</v>
      </c>
      <c r="Z218" s="33" t="s">
        <v>115</v>
      </c>
      <c r="AA218" s="33" t="s">
        <v>115</v>
      </c>
      <c r="AB218" s="35" t="s">
        <v>115</v>
      </c>
      <c r="AC218" s="35"/>
      <c r="AD218" s="39">
        <v>0</v>
      </c>
      <c r="AE218" s="39">
        <v>0</v>
      </c>
      <c r="AF218" s="39">
        <v>0</v>
      </c>
      <c r="AG218" s="39">
        <v>0</v>
      </c>
      <c r="AH218" s="39">
        <v>12</v>
      </c>
      <c r="AI218" s="33">
        <v>0</v>
      </c>
      <c r="AJ218" s="33">
        <f t="shared" si="3"/>
        <v>12</v>
      </c>
      <c r="AK218" s="33"/>
      <c r="AL218" s="33" t="s">
        <v>569</v>
      </c>
      <c r="AM218" s="33"/>
      <c r="AN218" s="33"/>
      <c r="AO218" s="33"/>
      <c r="AP218" s="33"/>
      <c r="AQ218" s="34"/>
      <c r="AR218" s="33"/>
      <c r="AS218" s="33"/>
      <c r="AT218" s="33"/>
      <c r="AU218" s="33"/>
    </row>
    <row r="219" spans="1:47" s="33" customFormat="1" hidden="1" x14ac:dyDescent="0.2">
      <c r="A219" s="7" t="s">
        <v>566</v>
      </c>
      <c r="B219" s="7" t="s">
        <v>567</v>
      </c>
      <c r="C219" s="7">
        <v>5</v>
      </c>
      <c r="D219" s="7">
        <v>2</v>
      </c>
      <c r="E219" t="s">
        <v>2462</v>
      </c>
      <c r="F219" s="1">
        <v>43354</v>
      </c>
      <c r="G219" s="37" t="s">
        <v>4032</v>
      </c>
      <c r="H219" s="37" t="s">
        <v>4724</v>
      </c>
      <c r="I219" s="2">
        <v>2.013888888888889E-2</v>
      </c>
      <c r="J219" s="176">
        <v>3.3564814814814812E-4</v>
      </c>
      <c r="K219" s="6">
        <v>29</v>
      </c>
      <c r="L219" t="s">
        <v>483</v>
      </c>
      <c r="M219" s="7" t="s">
        <v>363</v>
      </c>
      <c r="N219" s="7" t="s">
        <v>568</v>
      </c>
      <c r="O219" s="7" t="s">
        <v>115</v>
      </c>
      <c r="P219" s="7">
        <v>1</v>
      </c>
      <c r="Q219" s="7"/>
      <c r="R219">
        <v>1</v>
      </c>
      <c r="S219"/>
      <c r="T219" t="s">
        <v>112</v>
      </c>
      <c r="U219" t="s">
        <v>112</v>
      </c>
      <c r="V219" s="7" t="s">
        <v>122</v>
      </c>
      <c r="W219" s="7" t="s">
        <v>1035</v>
      </c>
      <c r="X219" s="33" t="s">
        <v>23</v>
      </c>
      <c r="Y219" s="33" t="s">
        <v>3997</v>
      </c>
      <c r="Z219" s="33" t="s">
        <v>4006</v>
      </c>
      <c r="AA219" s="7" t="s">
        <v>176</v>
      </c>
      <c r="AB219" s="20" t="s">
        <v>246</v>
      </c>
      <c r="AC219" s="20"/>
      <c r="AD219" s="9">
        <v>0</v>
      </c>
      <c r="AE219" s="9">
        <v>0</v>
      </c>
      <c r="AF219" s="9">
        <v>0</v>
      </c>
      <c r="AG219" s="9">
        <v>0</v>
      </c>
      <c r="AH219" s="9">
        <v>0</v>
      </c>
      <c r="AI219">
        <v>0</v>
      </c>
      <c r="AJ219">
        <f t="shared" si="3"/>
        <v>0</v>
      </c>
      <c r="AK219"/>
      <c r="AL219" t="s">
        <v>569</v>
      </c>
      <c r="AM219"/>
      <c r="AN219"/>
      <c r="AO219"/>
      <c r="AP219"/>
      <c r="AQ219"/>
      <c r="AR219"/>
      <c r="AS219"/>
      <c r="AT219"/>
      <c r="AU219"/>
    </row>
    <row r="220" spans="1:47" x14ac:dyDescent="0.2">
      <c r="A220" s="7" t="s">
        <v>570</v>
      </c>
      <c r="B220" s="7" t="s">
        <v>571</v>
      </c>
      <c r="C220" s="7">
        <v>6</v>
      </c>
      <c r="D220" s="7">
        <v>1</v>
      </c>
      <c r="E220" t="s">
        <v>2462</v>
      </c>
      <c r="F220" s="1">
        <v>43354</v>
      </c>
      <c r="G220" s="37" t="s">
        <v>4032</v>
      </c>
      <c r="H220" s="37" t="s">
        <v>4724</v>
      </c>
      <c r="I220" s="2">
        <v>2.7083333333333334E-2</v>
      </c>
      <c r="J220" s="176">
        <v>4.5138888888888892E-4</v>
      </c>
      <c r="K220" s="6">
        <v>39</v>
      </c>
      <c r="L220" t="s">
        <v>483</v>
      </c>
      <c r="M220" s="7" t="s">
        <v>363</v>
      </c>
      <c r="N220" s="7" t="s">
        <v>111</v>
      </c>
      <c r="O220" s="7" t="s">
        <v>12</v>
      </c>
      <c r="P220" s="7">
        <v>0</v>
      </c>
      <c r="Q220" s="7"/>
      <c r="R220">
        <v>1</v>
      </c>
      <c r="T220" t="s">
        <v>598</v>
      </c>
      <c r="U220" t="s">
        <v>2108</v>
      </c>
      <c r="V220" s="7" t="s">
        <v>24</v>
      </c>
      <c r="W220" s="7" t="s">
        <v>2063</v>
      </c>
      <c r="X220" s="33" t="s">
        <v>12</v>
      </c>
      <c r="Y220" s="33" t="s">
        <v>3997</v>
      </c>
      <c r="Z220" s="33" t="s">
        <v>4001</v>
      </c>
      <c r="AA220" s="7" t="s">
        <v>176</v>
      </c>
      <c r="AB220" s="20">
        <v>63.735460000000003</v>
      </c>
      <c r="AC220" s="20">
        <v>148.89166</v>
      </c>
      <c r="AD220" s="9">
        <v>0</v>
      </c>
      <c r="AE220" s="9">
        <v>0</v>
      </c>
      <c r="AF220" s="9">
        <v>0</v>
      </c>
      <c r="AG220" s="9">
        <v>0</v>
      </c>
      <c r="AH220" s="9">
        <v>0</v>
      </c>
      <c r="AI220">
        <v>0</v>
      </c>
      <c r="AJ220">
        <f t="shared" si="3"/>
        <v>0</v>
      </c>
      <c r="AL220" t="s">
        <v>572</v>
      </c>
    </row>
    <row r="221" spans="1:47" x14ac:dyDescent="0.2">
      <c r="A221" s="7" t="s">
        <v>573</v>
      </c>
      <c r="B221" s="7" t="s">
        <v>574</v>
      </c>
      <c r="C221" s="7">
        <v>7</v>
      </c>
      <c r="D221" s="7">
        <v>1</v>
      </c>
      <c r="E221" t="s">
        <v>2462</v>
      </c>
      <c r="F221" s="1">
        <v>43354</v>
      </c>
      <c r="G221" s="37" t="s">
        <v>4032</v>
      </c>
      <c r="H221" s="37" t="s">
        <v>4724</v>
      </c>
      <c r="I221" s="2">
        <v>4.8611111111111112E-3</v>
      </c>
      <c r="J221" s="176">
        <v>8.1018518518518516E-5</v>
      </c>
      <c r="K221" s="6">
        <v>7</v>
      </c>
      <c r="L221" t="s">
        <v>483</v>
      </c>
      <c r="M221" s="7" t="s">
        <v>363</v>
      </c>
      <c r="N221" s="7" t="s">
        <v>227</v>
      </c>
      <c r="O221" s="7" t="s">
        <v>23</v>
      </c>
      <c r="P221" s="7">
        <v>1</v>
      </c>
      <c r="Q221" s="7"/>
      <c r="R221">
        <v>0</v>
      </c>
      <c r="T221" t="s">
        <v>14</v>
      </c>
      <c r="U221" t="s">
        <v>2130</v>
      </c>
      <c r="V221" s="7" t="s">
        <v>343</v>
      </c>
      <c r="W221" s="7" t="s">
        <v>115</v>
      </c>
      <c r="X221" s="33" t="s">
        <v>115</v>
      </c>
      <c r="Y221" s="33" t="s">
        <v>115</v>
      </c>
      <c r="Z221" s="33" t="s">
        <v>115</v>
      </c>
      <c r="AA221" s="20" t="s">
        <v>115</v>
      </c>
      <c r="AB221" s="20" t="s">
        <v>115</v>
      </c>
      <c r="AC221" s="20"/>
      <c r="AD221" s="9">
        <v>0</v>
      </c>
      <c r="AE221" s="9">
        <v>0</v>
      </c>
      <c r="AF221" s="9">
        <v>0</v>
      </c>
      <c r="AG221" s="9">
        <v>0</v>
      </c>
      <c r="AH221" s="9">
        <v>0</v>
      </c>
      <c r="AI221">
        <v>0</v>
      </c>
      <c r="AJ221">
        <f t="shared" si="3"/>
        <v>0</v>
      </c>
      <c r="AL221" t="s">
        <v>575</v>
      </c>
    </row>
    <row r="222" spans="1:47" x14ac:dyDescent="0.2">
      <c r="A222" s="7" t="s">
        <v>576</v>
      </c>
      <c r="B222" s="7" t="s">
        <v>577</v>
      </c>
      <c r="C222" s="7">
        <v>1</v>
      </c>
      <c r="D222" s="7">
        <v>1</v>
      </c>
      <c r="E222" s="7" t="s">
        <v>100</v>
      </c>
      <c r="F222" s="10">
        <v>43355</v>
      </c>
      <c r="G222" s="37" t="s">
        <v>4032</v>
      </c>
      <c r="H222" s="37" t="s">
        <v>4724</v>
      </c>
      <c r="I222" s="8">
        <v>3.1944444444444449E-2</v>
      </c>
      <c r="J222" s="178">
        <v>5.3240740740740744E-4</v>
      </c>
      <c r="K222" s="9">
        <v>46</v>
      </c>
      <c r="L222" s="7" t="s">
        <v>398</v>
      </c>
      <c r="M222" s="7" t="s">
        <v>578</v>
      </c>
      <c r="N222" s="7" t="s">
        <v>111</v>
      </c>
      <c r="O222" s="7" t="s">
        <v>23</v>
      </c>
      <c r="P222" s="7">
        <v>0</v>
      </c>
      <c r="Q222" s="7"/>
      <c r="R222" s="7">
        <v>1</v>
      </c>
      <c r="S222" s="7"/>
      <c r="T222" t="s">
        <v>176</v>
      </c>
      <c r="U222" t="s">
        <v>176</v>
      </c>
      <c r="V222" s="7" t="s">
        <v>24</v>
      </c>
      <c r="W222" s="7" t="s">
        <v>1057</v>
      </c>
      <c r="X222" s="33" t="s">
        <v>23</v>
      </c>
      <c r="Y222" s="33" t="s">
        <v>3999</v>
      </c>
      <c r="Z222" s="33" t="s">
        <v>4005</v>
      </c>
      <c r="AA222" s="7" t="s">
        <v>176</v>
      </c>
      <c r="AB222" s="20">
        <v>63.740139999999997</v>
      </c>
      <c r="AC222" s="20">
        <v>148.90387000000001</v>
      </c>
      <c r="AD222" s="9">
        <v>0</v>
      </c>
      <c r="AE222" s="9">
        <v>0</v>
      </c>
      <c r="AF222" s="9">
        <v>0</v>
      </c>
      <c r="AG222" s="9">
        <v>0</v>
      </c>
      <c r="AH222" s="9">
        <v>0</v>
      </c>
      <c r="AI222">
        <v>0</v>
      </c>
      <c r="AJ222">
        <f t="shared" si="3"/>
        <v>0</v>
      </c>
      <c r="AK222" s="7"/>
      <c r="AL222" s="7" t="s">
        <v>4928</v>
      </c>
      <c r="AM222" s="7"/>
      <c r="AN222" s="7"/>
    </row>
    <row r="223" spans="1:47" x14ac:dyDescent="0.2">
      <c r="A223" s="7" t="s">
        <v>581</v>
      </c>
      <c r="B223" s="7" t="s">
        <v>582</v>
      </c>
      <c r="C223" s="7">
        <v>2</v>
      </c>
      <c r="D223" s="7">
        <v>1</v>
      </c>
      <c r="E223" s="7" t="s">
        <v>100</v>
      </c>
      <c r="F223" s="10">
        <v>43355</v>
      </c>
      <c r="G223" s="37" t="s">
        <v>4032</v>
      </c>
      <c r="H223" s="37" t="s">
        <v>4724</v>
      </c>
      <c r="I223" s="8">
        <v>5.486111111111111E-2</v>
      </c>
      <c r="J223" s="178">
        <v>9.1435185185185185E-4</v>
      </c>
      <c r="K223" s="9">
        <v>79</v>
      </c>
      <c r="L223" s="7" t="s">
        <v>398</v>
      </c>
      <c r="M223" s="7" t="s">
        <v>578</v>
      </c>
      <c r="N223" s="7" t="s">
        <v>102</v>
      </c>
      <c r="O223" s="7" t="s">
        <v>12</v>
      </c>
      <c r="P223" s="7" t="s">
        <v>24</v>
      </c>
      <c r="Q223" s="7"/>
      <c r="R223" s="7">
        <v>0</v>
      </c>
      <c r="S223" s="7"/>
      <c r="T223" t="s">
        <v>176</v>
      </c>
      <c r="U223" s="7" t="s">
        <v>176</v>
      </c>
      <c r="V223" s="7" t="s">
        <v>115</v>
      </c>
      <c r="W223" s="7" t="s">
        <v>115</v>
      </c>
      <c r="X223" s="33" t="s">
        <v>115</v>
      </c>
      <c r="Y223" s="33" t="s">
        <v>115</v>
      </c>
      <c r="Z223" s="33" t="s">
        <v>115</v>
      </c>
      <c r="AA223" s="20" t="s">
        <v>115</v>
      </c>
      <c r="AB223" s="20" t="s">
        <v>115</v>
      </c>
      <c r="AC223" s="20"/>
      <c r="AD223" s="9">
        <v>0</v>
      </c>
      <c r="AE223" s="9">
        <v>59</v>
      </c>
      <c r="AF223" s="9">
        <v>0</v>
      </c>
      <c r="AG223" s="9">
        <v>59</v>
      </c>
      <c r="AH223" s="9">
        <v>0</v>
      </c>
      <c r="AI223">
        <v>0</v>
      </c>
      <c r="AJ223">
        <f t="shared" si="3"/>
        <v>59</v>
      </c>
      <c r="AK223" s="7" t="s">
        <v>16</v>
      </c>
      <c r="AL223" s="7" t="s">
        <v>583</v>
      </c>
      <c r="AM223" s="7">
        <v>0</v>
      </c>
      <c r="AN223" s="7">
        <v>12</v>
      </c>
    </row>
    <row r="224" spans="1:47" x14ac:dyDescent="0.2">
      <c r="A224" s="7" t="s">
        <v>584</v>
      </c>
      <c r="B224" s="7" t="s">
        <v>585</v>
      </c>
      <c r="C224" s="7">
        <v>3</v>
      </c>
      <c r="D224" s="7">
        <v>1</v>
      </c>
      <c r="E224" s="7" t="s">
        <v>100</v>
      </c>
      <c r="F224" s="10">
        <v>43355</v>
      </c>
      <c r="G224" s="37" t="s">
        <v>4032</v>
      </c>
      <c r="H224" s="37" t="s">
        <v>4724</v>
      </c>
      <c r="I224" s="8">
        <v>7.6388888888888886E-3</v>
      </c>
      <c r="J224" s="178">
        <v>1.273148148148148E-4</v>
      </c>
      <c r="K224" s="9">
        <v>11</v>
      </c>
      <c r="L224" s="7" t="s">
        <v>398</v>
      </c>
      <c r="M224" s="7" t="s">
        <v>578</v>
      </c>
      <c r="N224" s="7" t="s">
        <v>102</v>
      </c>
      <c r="O224" s="7" t="s">
        <v>23</v>
      </c>
      <c r="P224" s="7" t="s">
        <v>24</v>
      </c>
      <c r="Q224" s="7"/>
      <c r="R224" s="7">
        <v>0</v>
      </c>
      <c r="S224" s="7"/>
      <c r="T224" t="s">
        <v>176</v>
      </c>
      <c r="U224" t="s">
        <v>176</v>
      </c>
      <c r="V224" s="7" t="s">
        <v>115</v>
      </c>
      <c r="W224" s="7" t="s">
        <v>115</v>
      </c>
      <c r="X224" s="33" t="s">
        <v>115</v>
      </c>
      <c r="Y224" s="33" t="s">
        <v>115</v>
      </c>
      <c r="Z224" s="33" t="s">
        <v>115</v>
      </c>
      <c r="AA224" s="20" t="s">
        <v>115</v>
      </c>
      <c r="AB224" s="20" t="s">
        <v>115</v>
      </c>
      <c r="AC224" s="20"/>
      <c r="AD224" s="9">
        <v>0</v>
      </c>
      <c r="AE224" s="9">
        <v>8</v>
      </c>
      <c r="AF224" s="9">
        <v>0</v>
      </c>
      <c r="AG224" s="9">
        <v>8</v>
      </c>
      <c r="AH224" s="9">
        <v>0</v>
      </c>
      <c r="AI224">
        <v>0</v>
      </c>
      <c r="AJ224">
        <f t="shared" si="3"/>
        <v>8</v>
      </c>
      <c r="AK224" s="7"/>
      <c r="AL224" s="7"/>
      <c r="AM224" s="7"/>
      <c r="AN224" s="7"/>
    </row>
    <row r="225" spans="1:47" x14ac:dyDescent="0.2">
      <c r="A225" s="7" t="s">
        <v>587</v>
      </c>
      <c r="B225" s="7" t="s">
        <v>588</v>
      </c>
      <c r="C225" s="7">
        <v>4</v>
      </c>
      <c r="D225" s="7">
        <v>1</v>
      </c>
      <c r="E225" s="7" t="s">
        <v>100</v>
      </c>
      <c r="F225" s="10">
        <v>43355</v>
      </c>
      <c r="G225" s="37" t="s">
        <v>4032</v>
      </c>
      <c r="H225" s="37" t="s">
        <v>4724</v>
      </c>
      <c r="I225" s="8">
        <v>1.3194444444444444E-2</v>
      </c>
      <c r="J225" s="178">
        <v>2.199074074074074E-4</v>
      </c>
      <c r="K225" s="9">
        <v>19</v>
      </c>
      <c r="L225" s="7" t="s">
        <v>398</v>
      </c>
      <c r="M225" s="7" t="s">
        <v>589</v>
      </c>
      <c r="N225" s="7" t="s">
        <v>107</v>
      </c>
      <c r="O225" s="7" t="s">
        <v>23</v>
      </c>
      <c r="P225" s="7">
        <v>1</v>
      </c>
      <c r="Q225" s="7"/>
      <c r="R225" s="7">
        <v>0</v>
      </c>
      <c r="S225" s="7"/>
      <c r="T225" t="s">
        <v>176</v>
      </c>
      <c r="U225" t="s">
        <v>176</v>
      </c>
      <c r="V225" s="7" t="s">
        <v>24</v>
      </c>
      <c r="W225" s="7" t="s">
        <v>115</v>
      </c>
      <c r="X225" s="33" t="s">
        <v>115</v>
      </c>
      <c r="Y225" s="33" t="s">
        <v>115</v>
      </c>
      <c r="Z225" s="33" t="s">
        <v>115</v>
      </c>
      <c r="AA225" s="20" t="s">
        <v>115</v>
      </c>
      <c r="AB225" s="20" t="s">
        <v>115</v>
      </c>
      <c r="AC225" s="20"/>
      <c r="AD225" s="9">
        <v>0</v>
      </c>
      <c r="AE225" s="9">
        <v>0</v>
      </c>
      <c r="AF225" s="9">
        <v>0</v>
      </c>
      <c r="AG225" s="9">
        <v>0</v>
      </c>
      <c r="AH225" s="9">
        <v>0</v>
      </c>
      <c r="AI225">
        <v>0</v>
      </c>
      <c r="AJ225">
        <f t="shared" si="3"/>
        <v>0</v>
      </c>
      <c r="AK225" s="7"/>
      <c r="AL225" s="7" t="s">
        <v>590</v>
      </c>
      <c r="AM225" s="7"/>
      <c r="AN225" s="7"/>
      <c r="AO225" s="33"/>
      <c r="AP225" s="33"/>
      <c r="AQ225" s="34"/>
      <c r="AR225" s="33"/>
      <c r="AS225" s="33"/>
      <c r="AT225" s="33"/>
      <c r="AU225" s="33"/>
    </row>
    <row r="226" spans="1:47" x14ac:dyDescent="0.2">
      <c r="A226" s="7" t="s">
        <v>591</v>
      </c>
      <c r="B226" s="7" t="s">
        <v>592</v>
      </c>
      <c r="C226" s="7">
        <v>5</v>
      </c>
      <c r="D226" s="7">
        <v>1</v>
      </c>
      <c r="E226" s="7" t="s">
        <v>100</v>
      </c>
      <c r="F226" s="10">
        <v>43355</v>
      </c>
      <c r="G226" s="37" t="s">
        <v>4032</v>
      </c>
      <c r="H226" s="37" t="s">
        <v>4724</v>
      </c>
      <c r="I226" s="8">
        <v>7.6388888888888886E-3</v>
      </c>
      <c r="J226" s="178">
        <v>1.273148148148148E-4</v>
      </c>
      <c r="K226" s="9">
        <v>11</v>
      </c>
      <c r="L226" s="7" t="s">
        <v>398</v>
      </c>
      <c r="M226" s="7" t="s">
        <v>24</v>
      </c>
      <c r="N226" s="7" t="s">
        <v>102</v>
      </c>
      <c r="O226" s="7" t="s">
        <v>115</v>
      </c>
      <c r="P226" s="7">
        <v>1</v>
      </c>
      <c r="Q226" s="7"/>
      <c r="R226" s="7">
        <v>0</v>
      </c>
      <c r="S226" s="7"/>
      <c r="T226" t="s">
        <v>176</v>
      </c>
      <c r="U226" t="s">
        <v>176</v>
      </c>
      <c r="V226" s="7" t="s">
        <v>122</v>
      </c>
      <c r="W226" s="7" t="s">
        <v>115</v>
      </c>
      <c r="X226" s="33" t="s">
        <v>115</v>
      </c>
      <c r="Y226" s="33" t="s">
        <v>115</v>
      </c>
      <c r="Z226" s="33" t="s">
        <v>115</v>
      </c>
      <c r="AA226" s="20" t="s">
        <v>115</v>
      </c>
      <c r="AB226" s="20" t="s">
        <v>115</v>
      </c>
      <c r="AC226" s="20"/>
      <c r="AD226" s="9">
        <v>0</v>
      </c>
      <c r="AE226" s="9">
        <v>0</v>
      </c>
      <c r="AF226" s="9">
        <v>0</v>
      </c>
      <c r="AG226" s="9">
        <v>0</v>
      </c>
      <c r="AH226" s="9">
        <v>0</v>
      </c>
      <c r="AI226">
        <v>0</v>
      </c>
      <c r="AJ226">
        <f t="shared" si="3"/>
        <v>0</v>
      </c>
      <c r="AK226" s="7"/>
      <c r="AL226" s="7" t="s">
        <v>593</v>
      </c>
      <c r="AM226" s="7"/>
      <c r="AN226" s="7"/>
    </row>
    <row r="227" spans="1:47" x14ac:dyDescent="0.2">
      <c r="A227" s="33" t="s">
        <v>594</v>
      </c>
      <c r="B227" s="33" t="s">
        <v>595</v>
      </c>
      <c r="C227" s="33">
        <v>6</v>
      </c>
      <c r="D227" s="33">
        <v>1</v>
      </c>
      <c r="E227" s="33" t="s">
        <v>100</v>
      </c>
      <c r="F227" s="37">
        <v>43355</v>
      </c>
      <c r="G227" s="37" t="s">
        <v>4032</v>
      </c>
      <c r="H227" s="37" t="s">
        <v>4724</v>
      </c>
      <c r="I227" s="36">
        <v>1.6666666666666666E-2</v>
      </c>
      <c r="J227" s="177">
        <v>2.7777777777777778E-4</v>
      </c>
      <c r="K227" s="39">
        <v>24</v>
      </c>
      <c r="L227" s="33" t="s">
        <v>398</v>
      </c>
      <c r="M227" s="33" t="s">
        <v>24</v>
      </c>
      <c r="N227" s="33" t="s">
        <v>102</v>
      </c>
      <c r="O227" s="33" t="s">
        <v>115</v>
      </c>
      <c r="P227" s="33">
        <v>1</v>
      </c>
      <c r="Q227" s="33">
        <v>3</v>
      </c>
      <c r="R227" s="33">
        <v>0</v>
      </c>
      <c r="S227" s="33"/>
      <c r="T227" t="s">
        <v>14</v>
      </c>
      <c r="U227" s="33" t="s">
        <v>14</v>
      </c>
      <c r="V227" s="33" t="s">
        <v>122</v>
      </c>
      <c r="W227" s="33" t="s">
        <v>115</v>
      </c>
      <c r="X227" s="33" t="s">
        <v>115</v>
      </c>
      <c r="Y227" s="33" t="s">
        <v>115</v>
      </c>
      <c r="Z227" s="33" t="s">
        <v>115</v>
      </c>
      <c r="AA227" s="35" t="s">
        <v>115</v>
      </c>
      <c r="AB227" s="35" t="s">
        <v>115</v>
      </c>
      <c r="AC227" s="35"/>
      <c r="AD227" s="39">
        <v>0</v>
      </c>
      <c r="AE227" s="39">
        <v>0</v>
      </c>
      <c r="AF227" s="39">
        <v>0</v>
      </c>
      <c r="AG227" s="39">
        <v>0</v>
      </c>
      <c r="AH227" s="39">
        <v>5</v>
      </c>
      <c r="AI227" s="33">
        <v>0</v>
      </c>
      <c r="AJ227" s="33">
        <f t="shared" si="3"/>
        <v>5</v>
      </c>
      <c r="AK227" s="33"/>
      <c r="AL227" s="33"/>
      <c r="AM227" s="33"/>
      <c r="AN227" s="33"/>
    </row>
    <row r="228" spans="1:47" s="33" customFormat="1" x14ac:dyDescent="0.2">
      <c r="A228" s="33" t="s">
        <v>596</v>
      </c>
      <c r="B228" s="33" t="s">
        <v>597</v>
      </c>
      <c r="C228" s="33">
        <v>7</v>
      </c>
      <c r="D228" s="33">
        <v>1</v>
      </c>
      <c r="E228" s="33" t="s">
        <v>100</v>
      </c>
      <c r="F228" s="37">
        <v>43355</v>
      </c>
      <c r="G228" s="37" t="s">
        <v>4032</v>
      </c>
      <c r="H228" s="37" t="s">
        <v>4724</v>
      </c>
      <c r="I228" s="36">
        <v>2.4305555555555556E-2</v>
      </c>
      <c r="J228" s="177">
        <v>4.0509259259259258E-4</v>
      </c>
      <c r="K228" s="39">
        <v>35</v>
      </c>
      <c r="L228" s="33" t="s">
        <v>398</v>
      </c>
      <c r="M228" s="33" t="s">
        <v>589</v>
      </c>
      <c r="N228" s="33" t="s">
        <v>102</v>
      </c>
      <c r="O228" s="33" t="s">
        <v>115</v>
      </c>
      <c r="P228" s="33">
        <v>1</v>
      </c>
      <c r="R228" s="33">
        <v>0</v>
      </c>
      <c r="T228" t="s">
        <v>598</v>
      </c>
      <c r="U228" s="33" t="s">
        <v>598</v>
      </c>
      <c r="V228" s="33" t="s">
        <v>122</v>
      </c>
      <c r="W228" s="33" t="s">
        <v>115</v>
      </c>
      <c r="X228" s="33" t="s">
        <v>115</v>
      </c>
      <c r="Y228" s="33" t="s">
        <v>115</v>
      </c>
      <c r="Z228" s="33" t="s">
        <v>115</v>
      </c>
      <c r="AA228" s="35" t="s">
        <v>115</v>
      </c>
      <c r="AB228" s="35" t="s">
        <v>115</v>
      </c>
      <c r="AC228" s="35"/>
      <c r="AD228" s="39">
        <v>0</v>
      </c>
      <c r="AE228" s="39">
        <v>0</v>
      </c>
      <c r="AF228" s="39">
        <v>0</v>
      </c>
      <c r="AG228" s="39">
        <v>0</v>
      </c>
      <c r="AH228" s="39">
        <v>20</v>
      </c>
      <c r="AI228" s="33">
        <v>0</v>
      </c>
      <c r="AJ228" s="33">
        <f t="shared" si="3"/>
        <v>20</v>
      </c>
      <c r="AQ228" s="34"/>
    </row>
    <row r="229" spans="1:47" x14ac:dyDescent="0.2">
      <c r="A229" s="7" t="s">
        <v>599</v>
      </c>
      <c r="B229" s="7" t="s">
        <v>600</v>
      </c>
      <c r="C229" s="7">
        <v>8</v>
      </c>
      <c r="D229" s="7">
        <v>1</v>
      </c>
      <c r="E229" s="7" t="s">
        <v>100</v>
      </c>
      <c r="F229" s="10">
        <v>43355</v>
      </c>
      <c r="G229" s="37" t="s">
        <v>4032</v>
      </c>
      <c r="H229" s="37" t="s">
        <v>4724</v>
      </c>
      <c r="I229" s="8">
        <v>7.6388888888888886E-3</v>
      </c>
      <c r="J229" s="178">
        <v>1.273148148148148E-4</v>
      </c>
      <c r="K229" s="9">
        <v>11</v>
      </c>
      <c r="L229" s="7" t="s">
        <v>398</v>
      </c>
      <c r="M229" s="7" t="s">
        <v>578</v>
      </c>
      <c r="N229" s="7" t="s">
        <v>221</v>
      </c>
      <c r="O229" s="7" t="s">
        <v>23</v>
      </c>
      <c r="P229" s="7">
        <v>1</v>
      </c>
      <c r="Q229" s="7"/>
      <c r="R229" s="7">
        <v>0</v>
      </c>
      <c r="S229" s="7"/>
      <c r="T229" t="s">
        <v>176</v>
      </c>
      <c r="U229" s="7" t="s">
        <v>4923</v>
      </c>
      <c r="V229" s="7" t="s">
        <v>333</v>
      </c>
      <c r="W229" s="7" t="s">
        <v>115</v>
      </c>
      <c r="X229" s="33" t="s">
        <v>115</v>
      </c>
      <c r="Y229" s="33" t="s">
        <v>115</v>
      </c>
      <c r="Z229" s="33" t="s">
        <v>115</v>
      </c>
      <c r="AA229" s="20" t="s">
        <v>115</v>
      </c>
      <c r="AB229" s="20" t="s">
        <v>115</v>
      </c>
      <c r="AC229" s="20"/>
      <c r="AD229" s="9">
        <v>0</v>
      </c>
      <c r="AE229" s="9">
        <v>0</v>
      </c>
      <c r="AF229" s="9">
        <v>0</v>
      </c>
      <c r="AG229" s="9">
        <v>0</v>
      </c>
      <c r="AH229" s="9">
        <v>0</v>
      </c>
      <c r="AI229">
        <v>0</v>
      </c>
      <c r="AJ229">
        <f t="shared" si="3"/>
        <v>0</v>
      </c>
      <c r="AK229" s="7"/>
      <c r="AL229" s="7" t="s">
        <v>601</v>
      </c>
      <c r="AM229" s="7"/>
      <c r="AN229" s="7"/>
    </row>
    <row r="230" spans="1:47" x14ac:dyDescent="0.2">
      <c r="A230" s="7" t="s">
        <v>602</v>
      </c>
      <c r="B230" s="7" t="s">
        <v>603</v>
      </c>
      <c r="C230" s="7">
        <v>1</v>
      </c>
      <c r="D230" s="7">
        <v>1</v>
      </c>
      <c r="E230" t="s">
        <v>324</v>
      </c>
      <c r="F230" s="1">
        <v>43355</v>
      </c>
      <c r="G230" s="37" t="s">
        <v>4032</v>
      </c>
      <c r="H230" s="37" t="s">
        <v>4724</v>
      </c>
      <c r="I230" s="2">
        <v>7.0833333333333331E-2</v>
      </c>
      <c r="J230" s="176">
        <v>1.1805555555555556E-3</v>
      </c>
      <c r="K230" s="6">
        <v>102</v>
      </c>
      <c r="L230" t="s">
        <v>398</v>
      </c>
      <c r="M230" s="7" t="s">
        <v>325</v>
      </c>
      <c r="N230" s="7" t="s">
        <v>102</v>
      </c>
      <c r="O230" s="7" t="s">
        <v>12</v>
      </c>
      <c r="P230" s="7">
        <v>1</v>
      </c>
      <c r="Q230" s="7"/>
      <c r="R230">
        <v>0</v>
      </c>
      <c r="T230" t="s">
        <v>176</v>
      </c>
      <c r="U230" t="s">
        <v>176</v>
      </c>
      <c r="V230" s="7" t="s">
        <v>604</v>
      </c>
      <c r="W230" s="7" t="s">
        <v>115</v>
      </c>
      <c r="X230" s="33" t="s">
        <v>115</v>
      </c>
      <c r="Y230" s="33" t="s">
        <v>115</v>
      </c>
      <c r="Z230" s="33" t="s">
        <v>115</v>
      </c>
      <c r="AA230" s="20" t="s">
        <v>115</v>
      </c>
      <c r="AB230" s="20" t="s">
        <v>115</v>
      </c>
      <c r="AC230" s="20"/>
      <c r="AD230" s="6">
        <v>88</v>
      </c>
      <c r="AE230" s="9">
        <v>0</v>
      </c>
      <c r="AF230" s="9">
        <v>0</v>
      </c>
      <c r="AG230" s="6">
        <v>88</v>
      </c>
      <c r="AH230" s="6">
        <v>0</v>
      </c>
      <c r="AI230">
        <v>0</v>
      </c>
      <c r="AJ230">
        <f t="shared" si="3"/>
        <v>88</v>
      </c>
      <c r="AK230" t="s">
        <v>375</v>
      </c>
      <c r="AM230">
        <v>6</v>
      </c>
      <c r="AN230">
        <v>0</v>
      </c>
    </row>
    <row r="231" spans="1:47" s="33" customFormat="1" x14ac:dyDescent="0.2">
      <c r="A231" s="7" t="s">
        <v>605</v>
      </c>
      <c r="B231" s="7" t="s">
        <v>606</v>
      </c>
      <c r="C231" s="7">
        <v>2</v>
      </c>
      <c r="D231" s="7">
        <v>1</v>
      </c>
      <c r="E231" t="s">
        <v>324</v>
      </c>
      <c r="F231" s="1">
        <v>43355</v>
      </c>
      <c r="G231" s="37" t="s">
        <v>4032</v>
      </c>
      <c r="H231" s="37" t="s">
        <v>4724</v>
      </c>
      <c r="I231" s="2">
        <v>2.4305555555555556E-2</v>
      </c>
      <c r="J231" s="176">
        <v>4.0509259259259258E-4</v>
      </c>
      <c r="K231" s="6">
        <v>35</v>
      </c>
      <c r="L231" t="s">
        <v>398</v>
      </c>
      <c r="M231" s="7" t="s">
        <v>24</v>
      </c>
      <c r="N231" s="7" t="s">
        <v>102</v>
      </c>
      <c r="O231" s="7" t="s">
        <v>23</v>
      </c>
      <c r="P231" s="7">
        <v>1</v>
      </c>
      <c r="Q231" s="7"/>
      <c r="R231">
        <v>0</v>
      </c>
      <c r="S231"/>
      <c r="T231" t="s">
        <v>176</v>
      </c>
      <c r="U231" t="s">
        <v>176</v>
      </c>
      <c r="V231" s="7" t="s">
        <v>333</v>
      </c>
      <c r="W231" s="7" t="s">
        <v>115</v>
      </c>
      <c r="X231" s="33" t="s">
        <v>115</v>
      </c>
      <c r="Y231" s="33" t="s">
        <v>115</v>
      </c>
      <c r="Z231" s="33" t="s">
        <v>115</v>
      </c>
      <c r="AA231" s="20" t="s">
        <v>115</v>
      </c>
      <c r="AB231" s="20" t="s">
        <v>115</v>
      </c>
      <c r="AC231" s="20"/>
      <c r="AD231" s="6">
        <v>0</v>
      </c>
      <c r="AE231" s="6">
        <v>19</v>
      </c>
      <c r="AF231" s="6">
        <v>19</v>
      </c>
      <c r="AG231" s="6">
        <v>0</v>
      </c>
      <c r="AH231" s="6">
        <v>0</v>
      </c>
      <c r="AI231">
        <v>0</v>
      </c>
      <c r="AJ231">
        <f t="shared" si="3"/>
        <v>19</v>
      </c>
      <c r="AK231"/>
      <c r="AL231"/>
      <c r="AM231"/>
      <c r="AN231"/>
      <c r="AO231"/>
      <c r="AP231"/>
      <c r="AQ231"/>
      <c r="AR231"/>
      <c r="AS231"/>
      <c r="AT231"/>
      <c r="AU231"/>
    </row>
    <row r="232" spans="1:47" x14ac:dyDescent="0.2">
      <c r="A232" s="7" t="s">
        <v>608</v>
      </c>
      <c r="B232" s="7" t="s">
        <v>607</v>
      </c>
      <c r="C232" s="7">
        <v>3</v>
      </c>
      <c r="D232" s="7">
        <v>1</v>
      </c>
      <c r="E232" t="s">
        <v>324</v>
      </c>
      <c r="F232" s="1">
        <v>43355</v>
      </c>
      <c r="G232" s="37" t="s">
        <v>4032</v>
      </c>
      <c r="H232" s="37" t="s">
        <v>4724</v>
      </c>
      <c r="I232" s="2">
        <v>2.4999999999999998E-2</v>
      </c>
      <c r="J232" s="176">
        <v>4.1666666666666669E-4</v>
      </c>
      <c r="K232" s="6">
        <v>36</v>
      </c>
      <c r="L232" t="s">
        <v>398</v>
      </c>
      <c r="M232" s="7" t="s">
        <v>325</v>
      </c>
      <c r="N232" s="7" t="s">
        <v>102</v>
      </c>
      <c r="O232" s="7" t="s">
        <v>23</v>
      </c>
      <c r="P232" s="7">
        <v>1</v>
      </c>
      <c r="Q232" s="7"/>
      <c r="R232">
        <v>0</v>
      </c>
      <c r="T232" t="s">
        <v>176</v>
      </c>
      <c r="U232" s="7" t="s">
        <v>4923</v>
      </c>
      <c r="V232" s="7" t="s">
        <v>333</v>
      </c>
      <c r="W232" s="7" t="s">
        <v>115</v>
      </c>
      <c r="X232" s="33" t="s">
        <v>115</v>
      </c>
      <c r="Y232" s="33" t="s">
        <v>115</v>
      </c>
      <c r="Z232" s="33" t="s">
        <v>115</v>
      </c>
      <c r="AA232" s="20" t="s">
        <v>115</v>
      </c>
      <c r="AB232" s="20" t="s">
        <v>115</v>
      </c>
      <c r="AC232" s="20"/>
      <c r="AD232" s="6">
        <v>0</v>
      </c>
      <c r="AE232" s="6">
        <v>36</v>
      </c>
      <c r="AF232" s="6">
        <v>36</v>
      </c>
      <c r="AG232" s="6">
        <v>0</v>
      </c>
      <c r="AH232" s="6">
        <v>0</v>
      </c>
      <c r="AI232">
        <v>0</v>
      </c>
      <c r="AJ232">
        <f t="shared" si="3"/>
        <v>36</v>
      </c>
    </row>
    <row r="233" spans="1:47" s="33" customFormat="1" x14ac:dyDescent="0.2">
      <c r="A233" s="7" t="s">
        <v>609</v>
      </c>
      <c r="B233" s="7" t="s">
        <v>610</v>
      </c>
      <c r="C233" s="7">
        <v>4</v>
      </c>
      <c r="D233" s="7">
        <v>1</v>
      </c>
      <c r="E233" t="s">
        <v>324</v>
      </c>
      <c r="F233" s="1">
        <v>43355</v>
      </c>
      <c r="G233" s="37" t="s">
        <v>4032</v>
      </c>
      <c r="H233" s="37" t="s">
        <v>4724</v>
      </c>
      <c r="I233" s="2">
        <v>4.3750000000000004E-2</v>
      </c>
      <c r="J233" s="176">
        <v>7.291666666666667E-4</v>
      </c>
      <c r="K233" s="6">
        <v>63</v>
      </c>
      <c r="L233" t="s">
        <v>398</v>
      </c>
      <c r="M233" s="7" t="s">
        <v>325</v>
      </c>
      <c r="N233" s="7" t="s">
        <v>187</v>
      </c>
      <c r="O233" s="7" t="s">
        <v>23</v>
      </c>
      <c r="P233" s="7">
        <v>1</v>
      </c>
      <c r="Q233" s="7"/>
      <c r="R233">
        <v>1</v>
      </c>
      <c r="S233"/>
      <c r="T233" t="s">
        <v>176</v>
      </c>
      <c r="U233" t="s">
        <v>176</v>
      </c>
      <c r="V233" s="7" t="s">
        <v>501</v>
      </c>
      <c r="W233" s="7" t="s">
        <v>1035</v>
      </c>
      <c r="X233" s="33" t="s">
        <v>23</v>
      </c>
      <c r="Y233" s="33" t="s">
        <v>3997</v>
      </c>
      <c r="Z233" s="33" t="s">
        <v>4006</v>
      </c>
      <c r="AA233" s="7" t="s">
        <v>24</v>
      </c>
      <c r="AB233" s="20" t="s">
        <v>246</v>
      </c>
      <c r="AC233" s="20"/>
      <c r="AD233" s="6">
        <v>0</v>
      </c>
      <c r="AE233" s="6">
        <v>2</v>
      </c>
      <c r="AF233" s="6">
        <v>0</v>
      </c>
      <c r="AG233" s="6">
        <v>2</v>
      </c>
      <c r="AH233" s="6">
        <v>0</v>
      </c>
      <c r="AI233">
        <v>0</v>
      </c>
      <c r="AJ233">
        <f t="shared" si="3"/>
        <v>2</v>
      </c>
      <c r="AK233"/>
      <c r="AL233" t="s">
        <v>4924</v>
      </c>
      <c r="AM233"/>
      <c r="AN233"/>
      <c r="AO233" s="4"/>
      <c r="AP233" s="4"/>
      <c r="AQ233" s="4"/>
      <c r="AR233" s="4"/>
      <c r="AS233" s="4"/>
      <c r="AT233" s="4"/>
      <c r="AU233" s="4"/>
    </row>
    <row r="234" spans="1:47" x14ac:dyDescent="0.2">
      <c r="A234" s="7" t="s">
        <v>612</v>
      </c>
      <c r="B234" s="7" t="s">
        <v>613</v>
      </c>
      <c r="C234" s="7">
        <v>5</v>
      </c>
      <c r="D234" s="7">
        <v>1</v>
      </c>
      <c r="E234" t="s">
        <v>324</v>
      </c>
      <c r="F234" s="1">
        <v>43355</v>
      </c>
      <c r="G234" s="37" t="s">
        <v>4032</v>
      </c>
      <c r="H234" s="37" t="s">
        <v>4724</v>
      </c>
      <c r="I234" s="2">
        <v>7.4305555555555555E-2</v>
      </c>
      <c r="J234" s="176">
        <v>1.2384259259259258E-3</v>
      </c>
      <c r="K234" s="6">
        <v>107</v>
      </c>
      <c r="L234" t="s">
        <v>398</v>
      </c>
      <c r="M234" s="7" t="s">
        <v>325</v>
      </c>
      <c r="N234" s="7" t="s">
        <v>242</v>
      </c>
      <c r="O234" s="7" t="s">
        <v>23</v>
      </c>
      <c r="P234" s="7">
        <v>0</v>
      </c>
      <c r="Q234" s="7"/>
      <c r="R234">
        <v>1</v>
      </c>
      <c r="T234" t="s">
        <v>176</v>
      </c>
      <c r="U234" t="s">
        <v>176</v>
      </c>
      <c r="V234" s="7" t="s">
        <v>115</v>
      </c>
      <c r="W234" s="7" t="s">
        <v>3967</v>
      </c>
      <c r="X234" s="33" t="s">
        <v>23</v>
      </c>
      <c r="Y234" s="33" t="s">
        <v>3999</v>
      </c>
      <c r="Z234" s="33" t="s">
        <v>4001</v>
      </c>
      <c r="AA234" s="7" t="s">
        <v>24</v>
      </c>
      <c r="AB234" s="20">
        <v>63.72578</v>
      </c>
      <c r="AC234" s="20">
        <v>148.88998000000001</v>
      </c>
      <c r="AD234" s="6">
        <v>0</v>
      </c>
      <c r="AE234" s="6">
        <v>0</v>
      </c>
      <c r="AF234" s="6">
        <v>0</v>
      </c>
      <c r="AG234" s="6">
        <v>0</v>
      </c>
      <c r="AH234" s="6">
        <v>0</v>
      </c>
      <c r="AI234">
        <v>0</v>
      </c>
      <c r="AJ234">
        <f t="shared" si="3"/>
        <v>0</v>
      </c>
      <c r="AL234" t="s">
        <v>615</v>
      </c>
    </row>
    <row r="235" spans="1:47" x14ac:dyDescent="0.2">
      <c r="A235" s="33" t="s">
        <v>616</v>
      </c>
      <c r="B235" s="33" t="s">
        <v>617</v>
      </c>
      <c r="C235" s="33">
        <v>6</v>
      </c>
      <c r="D235" s="33">
        <v>1</v>
      </c>
      <c r="E235" s="33" t="s">
        <v>324</v>
      </c>
      <c r="F235" s="37">
        <v>43355</v>
      </c>
      <c r="G235" s="37" t="s">
        <v>4032</v>
      </c>
      <c r="H235" s="37" t="s">
        <v>4724</v>
      </c>
      <c r="I235" s="36">
        <v>2.8472222222222222E-2</v>
      </c>
      <c r="J235" s="177">
        <v>4.7453703703703704E-4</v>
      </c>
      <c r="K235" s="39">
        <v>41</v>
      </c>
      <c r="L235" s="33" t="s">
        <v>398</v>
      </c>
      <c r="M235" s="33" t="s">
        <v>325</v>
      </c>
      <c r="N235" s="33" t="s">
        <v>187</v>
      </c>
      <c r="O235" s="33" t="s">
        <v>23</v>
      </c>
      <c r="P235" s="33" t="s">
        <v>24</v>
      </c>
      <c r="Q235" s="33"/>
      <c r="R235" s="33">
        <v>1</v>
      </c>
      <c r="S235" s="33"/>
      <c r="T235" t="s">
        <v>176</v>
      </c>
      <c r="U235" s="33" t="s">
        <v>176</v>
      </c>
      <c r="V235" s="33" t="s">
        <v>115</v>
      </c>
      <c r="W235" t="s">
        <v>2061</v>
      </c>
      <c r="X235" s="33" t="s">
        <v>23</v>
      </c>
      <c r="Y235" s="33" t="s">
        <v>3999</v>
      </c>
      <c r="Z235" s="33" t="s">
        <v>4006</v>
      </c>
      <c r="AA235" s="33" t="s">
        <v>24</v>
      </c>
      <c r="AB235" s="35">
        <v>63.725769999999997</v>
      </c>
      <c r="AC235" s="35">
        <v>148.89005</v>
      </c>
      <c r="AD235" s="39">
        <v>0</v>
      </c>
      <c r="AE235" s="39">
        <v>0</v>
      </c>
      <c r="AF235" s="39">
        <v>0</v>
      </c>
      <c r="AG235" s="39">
        <v>0</v>
      </c>
      <c r="AH235" s="39">
        <v>8</v>
      </c>
      <c r="AI235" s="33">
        <v>0</v>
      </c>
      <c r="AJ235" s="33">
        <f t="shared" si="3"/>
        <v>8</v>
      </c>
      <c r="AK235" s="33"/>
      <c r="AL235" s="33" t="s">
        <v>618</v>
      </c>
      <c r="AM235" s="33"/>
      <c r="AN235" s="33"/>
    </row>
    <row r="236" spans="1:47" s="7" customFormat="1" x14ac:dyDescent="0.2">
      <c r="A236" s="7" t="s">
        <v>619</v>
      </c>
      <c r="B236" s="7" t="s">
        <v>620</v>
      </c>
      <c r="C236" s="7">
        <v>7</v>
      </c>
      <c r="D236" s="7">
        <v>1</v>
      </c>
      <c r="E236" t="s">
        <v>324</v>
      </c>
      <c r="F236" s="1">
        <v>43355</v>
      </c>
      <c r="G236" s="37" t="s">
        <v>4032</v>
      </c>
      <c r="H236" s="37" t="s">
        <v>4724</v>
      </c>
      <c r="I236" s="2">
        <v>1.4583333333333332E-2</v>
      </c>
      <c r="J236" s="176">
        <v>2.4305555555555552E-4</v>
      </c>
      <c r="K236" s="6">
        <v>21</v>
      </c>
      <c r="L236" t="s">
        <v>398</v>
      </c>
      <c r="M236" s="7" t="s">
        <v>325</v>
      </c>
      <c r="N236" s="7" t="s">
        <v>102</v>
      </c>
      <c r="O236" s="7" t="s">
        <v>12</v>
      </c>
      <c r="P236" s="7">
        <v>1</v>
      </c>
      <c r="R236">
        <v>0</v>
      </c>
      <c r="S236"/>
      <c r="T236" t="s">
        <v>176</v>
      </c>
      <c r="U236" t="s">
        <v>176</v>
      </c>
      <c r="V236" s="7" t="s">
        <v>406</v>
      </c>
      <c r="W236" s="7" t="s">
        <v>115</v>
      </c>
      <c r="X236" s="33" t="s">
        <v>115</v>
      </c>
      <c r="Y236" s="33" t="s">
        <v>115</v>
      </c>
      <c r="Z236" s="33" t="s">
        <v>115</v>
      </c>
      <c r="AA236" t="s">
        <v>115</v>
      </c>
      <c r="AB236" s="20" t="s">
        <v>115</v>
      </c>
      <c r="AC236" s="20"/>
      <c r="AD236" s="6">
        <v>0</v>
      </c>
      <c r="AE236" s="6">
        <v>15</v>
      </c>
      <c r="AF236" s="6">
        <v>0</v>
      </c>
      <c r="AG236" s="6">
        <v>15</v>
      </c>
      <c r="AH236" s="6">
        <v>0</v>
      </c>
      <c r="AI236">
        <v>0</v>
      </c>
      <c r="AJ236">
        <f t="shared" si="3"/>
        <v>15</v>
      </c>
      <c r="AK236" t="s">
        <v>16</v>
      </c>
      <c r="AL236"/>
      <c r="AM236">
        <v>0</v>
      </c>
      <c r="AN236">
        <v>2</v>
      </c>
      <c r="AO236"/>
      <c r="AP236"/>
      <c r="AQ236"/>
      <c r="AR236"/>
      <c r="AS236"/>
      <c r="AT236"/>
      <c r="AU236"/>
    </row>
    <row r="237" spans="1:47" s="7" customFormat="1" x14ac:dyDescent="0.2">
      <c r="A237" s="33" t="s">
        <v>621</v>
      </c>
      <c r="B237" s="33" t="s">
        <v>4918</v>
      </c>
      <c r="C237" s="33">
        <v>1</v>
      </c>
      <c r="D237" s="33">
        <v>1</v>
      </c>
      <c r="E237" s="33" t="s">
        <v>2601</v>
      </c>
      <c r="F237" s="37">
        <v>43355</v>
      </c>
      <c r="G237" s="37" t="s">
        <v>4032</v>
      </c>
      <c r="H237" s="37" t="s">
        <v>4724</v>
      </c>
      <c r="I237" s="36">
        <v>4.6527777777777779E-2</v>
      </c>
      <c r="J237" s="177">
        <v>7.7546296296296304E-4</v>
      </c>
      <c r="K237" s="39">
        <v>67</v>
      </c>
      <c r="L237" s="33" t="s">
        <v>398</v>
      </c>
      <c r="M237" s="33" t="s">
        <v>173</v>
      </c>
      <c r="N237" s="33" t="s">
        <v>102</v>
      </c>
      <c r="O237" s="33" t="s">
        <v>115</v>
      </c>
      <c r="P237" s="33">
        <v>2</v>
      </c>
      <c r="Q237" s="33" t="s">
        <v>2283</v>
      </c>
      <c r="R237" s="33">
        <v>0</v>
      </c>
      <c r="S237" s="33"/>
      <c r="T237" t="s">
        <v>14</v>
      </c>
      <c r="U237" s="33" t="s">
        <v>2128</v>
      </c>
      <c r="V237" s="33" t="s">
        <v>122</v>
      </c>
      <c r="W237" s="33" t="s">
        <v>115</v>
      </c>
      <c r="X237" s="33" t="s">
        <v>115</v>
      </c>
      <c r="Y237" s="33" t="s">
        <v>115</v>
      </c>
      <c r="Z237" s="33" t="s">
        <v>115</v>
      </c>
      <c r="AA237" s="33" t="s">
        <v>115</v>
      </c>
      <c r="AB237" s="35" t="s">
        <v>115</v>
      </c>
      <c r="AC237" s="35"/>
      <c r="AD237" s="39">
        <v>0</v>
      </c>
      <c r="AE237" s="39">
        <v>0</v>
      </c>
      <c r="AF237" s="39">
        <v>0</v>
      </c>
      <c r="AG237" s="39">
        <v>0</v>
      </c>
      <c r="AH237" s="39">
        <v>62</v>
      </c>
      <c r="AI237" s="33">
        <v>0</v>
      </c>
      <c r="AJ237" s="33">
        <f t="shared" si="3"/>
        <v>62</v>
      </c>
      <c r="AK237" s="33" t="s">
        <v>103</v>
      </c>
      <c r="AL237" s="33"/>
      <c r="AM237" s="33"/>
      <c r="AN237" s="33"/>
      <c r="AO237" s="33"/>
      <c r="AP237" s="33"/>
      <c r="AQ237" s="34"/>
      <c r="AR237" s="33"/>
      <c r="AS237" s="33"/>
      <c r="AT237" s="33"/>
      <c r="AU237" s="33"/>
    </row>
    <row r="238" spans="1:47" s="7" customFormat="1" hidden="1" x14ac:dyDescent="0.2">
      <c r="A238" s="4" t="s">
        <v>621</v>
      </c>
      <c r="B238" s="4" t="s">
        <v>4918</v>
      </c>
      <c r="C238" s="4">
        <v>1</v>
      </c>
      <c r="D238" s="4">
        <v>2</v>
      </c>
      <c r="E238" s="4" t="s">
        <v>2601</v>
      </c>
      <c r="F238" s="13">
        <v>43355</v>
      </c>
      <c r="G238" s="37" t="s">
        <v>4032</v>
      </c>
      <c r="H238" s="37" t="s">
        <v>4724</v>
      </c>
      <c r="I238" s="14">
        <v>4.6527777777777779E-2</v>
      </c>
      <c r="J238" s="179">
        <v>7.7546296296296304E-4</v>
      </c>
      <c r="K238" s="15">
        <v>67</v>
      </c>
      <c r="L238" s="4" t="s">
        <v>398</v>
      </c>
      <c r="M238" s="4" t="s">
        <v>173</v>
      </c>
      <c r="N238" s="4" t="s">
        <v>102</v>
      </c>
      <c r="O238" s="4" t="s">
        <v>115</v>
      </c>
      <c r="P238" s="4">
        <v>1</v>
      </c>
      <c r="Q238" s="4"/>
      <c r="R238" s="4">
        <v>0</v>
      </c>
      <c r="S238" s="4"/>
      <c r="T238" t="s">
        <v>176</v>
      </c>
      <c r="U238" t="s">
        <v>176</v>
      </c>
      <c r="V238" s="4" t="s">
        <v>122</v>
      </c>
      <c r="W238" s="4" t="s">
        <v>115</v>
      </c>
      <c r="X238" s="33" t="s">
        <v>115</v>
      </c>
      <c r="Y238" s="33" t="s">
        <v>115</v>
      </c>
      <c r="Z238" s="33" t="s">
        <v>115</v>
      </c>
      <c r="AA238" s="4" t="s">
        <v>115</v>
      </c>
      <c r="AB238" s="21" t="s">
        <v>115</v>
      </c>
      <c r="AC238" s="21"/>
      <c r="AD238" s="15">
        <v>0</v>
      </c>
      <c r="AE238" s="15">
        <v>0</v>
      </c>
      <c r="AF238" s="15">
        <v>0</v>
      </c>
      <c r="AG238" s="15">
        <v>0</v>
      </c>
      <c r="AH238" s="15">
        <v>0</v>
      </c>
      <c r="AI238">
        <v>0</v>
      </c>
      <c r="AJ238">
        <f t="shared" si="3"/>
        <v>0</v>
      </c>
      <c r="AK238" s="4" t="s">
        <v>103</v>
      </c>
      <c r="AL238" s="4"/>
      <c r="AM238" s="4"/>
      <c r="AN238" s="4"/>
      <c r="AO238"/>
      <c r="AP238"/>
      <c r="AQ238"/>
      <c r="AR238"/>
      <c r="AS238"/>
      <c r="AT238"/>
      <c r="AU238"/>
    </row>
    <row r="239" spans="1:47" s="7" customFormat="1" x14ac:dyDescent="0.2">
      <c r="A239" s="7" t="s">
        <v>622</v>
      </c>
      <c r="B239" s="7" t="s">
        <v>4919</v>
      </c>
      <c r="C239" s="7">
        <v>2</v>
      </c>
      <c r="D239" s="7">
        <v>1</v>
      </c>
      <c r="E239" t="s">
        <v>2601</v>
      </c>
      <c r="F239" s="1">
        <v>43355</v>
      </c>
      <c r="G239" s="37" t="s">
        <v>4032</v>
      </c>
      <c r="H239" s="37" t="s">
        <v>4724</v>
      </c>
      <c r="I239" s="2">
        <v>1.5277777777777777E-2</v>
      </c>
      <c r="J239" s="176">
        <v>2.5462962962962961E-4</v>
      </c>
      <c r="K239" s="6">
        <v>22</v>
      </c>
      <c r="L239" t="s">
        <v>398</v>
      </c>
      <c r="M239" s="7" t="s">
        <v>177</v>
      </c>
      <c r="N239" s="7" t="s">
        <v>107</v>
      </c>
      <c r="O239" s="7" t="s">
        <v>23</v>
      </c>
      <c r="P239" s="7">
        <v>1</v>
      </c>
      <c r="R239">
        <v>0</v>
      </c>
      <c r="S239"/>
      <c r="T239" t="s">
        <v>176</v>
      </c>
      <c r="U239" t="s">
        <v>176</v>
      </c>
      <c r="V239" s="7" t="s">
        <v>24</v>
      </c>
      <c r="W239" s="7" t="s">
        <v>115</v>
      </c>
      <c r="X239" s="33" t="s">
        <v>115</v>
      </c>
      <c r="Y239" s="33" t="s">
        <v>115</v>
      </c>
      <c r="Z239" s="33" t="s">
        <v>115</v>
      </c>
      <c r="AA239" s="7" t="s">
        <v>115</v>
      </c>
      <c r="AB239" s="20" t="s">
        <v>115</v>
      </c>
      <c r="AC239" s="20"/>
      <c r="AD239" s="6">
        <v>0</v>
      </c>
      <c r="AE239" s="6">
        <v>0</v>
      </c>
      <c r="AF239" s="6">
        <v>0</v>
      </c>
      <c r="AG239" s="6">
        <v>0</v>
      </c>
      <c r="AH239" s="6">
        <v>0</v>
      </c>
      <c r="AI239">
        <v>0</v>
      </c>
      <c r="AJ239">
        <f t="shared" si="3"/>
        <v>0</v>
      </c>
      <c r="AK239"/>
      <c r="AL239" t="s">
        <v>623</v>
      </c>
      <c r="AM239"/>
      <c r="AN239"/>
      <c r="AO239" s="33"/>
      <c r="AP239" s="33"/>
      <c r="AQ239" s="34"/>
      <c r="AR239" s="33"/>
      <c r="AS239" s="33"/>
      <c r="AT239" s="33"/>
      <c r="AU239" s="33"/>
    </row>
    <row r="240" spans="1:47" s="7" customFormat="1" x14ac:dyDescent="0.2">
      <c r="A240" s="7" t="s">
        <v>624</v>
      </c>
      <c r="B240" s="7" t="s">
        <v>4925</v>
      </c>
      <c r="C240" s="7">
        <v>3</v>
      </c>
      <c r="D240" s="7">
        <v>1</v>
      </c>
      <c r="E240" t="s">
        <v>2601</v>
      </c>
      <c r="F240" s="1">
        <v>43355</v>
      </c>
      <c r="G240" s="37" t="s">
        <v>4032</v>
      </c>
      <c r="H240" s="37" t="s">
        <v>4724</v>
      </c>
      <c r="I240" s="2">
        <v>6.2499999999999995E-3</v>
      </c>
      <c r="J240" s="176">
        <v>1.0416666666666667E-4</v>
      </c>
      <c r="K240" s="6">
        <v>9</v>
      </c>
      <c r="L240" t="s">
        <v>398</v>
      </c>
      <c r="M240" s="7" t="s">
        <v>177</v>
      </c>
      <c r="N240" s="7" t="s">
        <v>111</v>
      </c>
      <c r="O240" s="7" t="s">
        <v>23</v>
      </c>
      <c r="P240" s="7">
        <v>0</v>
      </c>
      <c r="R240">
        <v>1</v>
      </c>
      <c r="S240"/>
      <c r="T240" t="s">
        <v>176</v>
      </c>
      <c r="U240" t="s">
        <v>176</v>
      </c>
      <c r="V240" s="7" t="s">
        <v>115</v>
      </c>
      <c r="W240" s="7" t="s">
        <v>4926</v>
      </c>
      <c r="X240" s="44" t="s">
        <v>23</v>
      </c>
      <c r="Y240" s="7" t="s">
        <v>3999</v>
      </c>
      <c r="Z240" s="7" t="s">
        <v>4001</v>
      </c>
      <c r="AA240" s="7" t="s">
        <v>176</v>
      </c>
      <c r="AB240" s="20">
        <v>63.725380000000001</v>
      </c>
      <c r="AC240" s="20">
        <v>148.95672999999999</v>
      </c>
      <c r="AD240" s="6">
        <v>0</v>
      </c>
      <c r="AE240" s="6">
        <v>0</v>
      </c>
      <c r="AF240" s="6">
        <v>0</v>
      </c>
      <c r="AG240" s="6">
        <v>0</v>
      </c>
      <c r="AH240" s="6">
        <v>0</v>
      </c>
      <c r="AI240">
        <v>0</v>
      </c>
      <c r="AJ240">
        <f t="shared" si="3"/>
        <v>0</v>
      </c>
      <c r="AK240"/>
      <c r="AL240" t="s">
        <v>627</v>
      </c>
      <c r="AM240"/>
      <c r="AN240"/>
      <c r="AO240"/>
      <c r="AP240"/>
      <c r="AQ240"/>
      <c r="AR240"/>
      <c r="AS240"/>
      <c r="AT240"/>
      <c r="AU240"/>
    </row>
    <row r="241" spans="1:47" s="33" customFormat="1" x14ac:dyDescent="0.2">
      <c r="A241" s="33" t="s">
        <v>628</v>
      </c>
      <c r="B241" s="33" t="s">
        <v>4917</v>
      </c>
      <c r="C241" s="33">
        <v>4</v>
      </c>
      <c r="D241" s="33">
        <v>1</v>
      </c>
      <c r="E241" s="33" t="s">
        <v>2601</v>
      </c>
      <c r="F241" s="37">
        <v>43355</v>
      </c>
      <c r="G241" s="37" t="s">
        <v>4032</v>
      </c>
      <c r="H241" s="37" t="s">
        <v>4724</v>
      </c>
      <c r="I241" s="36">
        <v>1.9444444444444445E-2</v>
      </c>
      <c r="J241" s="177">
        <v>3.2407407407407406E-4</v>
      </c>
      <c r="K241" s="39">
        <v>28</v>
      </c>
      <c r="L241" s="33" t="s">
        <v>398</v>
      </c>
      <c r="M241" s="33" t="s">
        <v>173</v>
      </c>
      <c r="N241" s="33" t="s">
        <v>102</v>
      </c>
      <c r="O241" s="33" t="s">
        <v>115</v>
      </c>
      <c r="P241" s="33" t="s">
        <v>24</v>
      </c>
      <c r="R241" s="33">
        <v>0</v>
      </c>
      <c r="U241" s="33" t="s">
        <v>115</v>
      </c>
      <c r="V241" s="33" t="s">
        <v>115</v>
      </c>
      <c r="W241" s="33" t="s">
        <v>115</v>
      </c>
      <c r="X241" s="33" t="s">
        <v>115</v>
      </c>
      <c r="Y241" s="33" t="s">
        <v>115</v>
      </c>
      <c r="Z241" s="33" t="s">
        <v>115</v>
      </c>
      <c r="AA241" s="33" t="s">
        <v>115</v>
      </c>
      <c r="AB241" s="35" t="s">
        <v>115</v>
      </c>
      <c r="AC241" s="35"/>
      <c r="AD241" s="39">
        <v>0</v>
      </c>
      <c r="AE241" s="39">
        <v>0</v>
      </c>
      <c r="AF241" s="39">
        <v>0</v>
      </c>
      <c r="AG241" s="39">
        <v>0</v>
      </c>
      <c r="AH241" s="39">
        <v>10</v>
      </c>
      <c r="AI241" s="33">
        <v>0</v>
      </c>
      <c r="AJ241" s="33">
        <f t="shared" si="3"/>
        <v>10</v>
      </c>
      <c r="AO241"/>
      <c r="AP241"/>
      <c r="AQ241"/>
      <c r="AR241"/>
      <c r="AS241"/>
      <c r="AT241"/>
      <c r="AU241"/>
    </row>
    <row r="242" spans="1:47" s="33" customFormat="1" x14ac:dyDescent="0.2">
      <c r="A242" s="7" t="s">
        <v>630</v>
      </c>
      <c r="B242" s="7" t="s">
        <v>4920</v>
      </c>
      <c r="C242" s="7">
        <v>5</v>
      </c>
      <c r="D242" s="7">
        <v>1</v>
      </c>
      <c r="E242" t="s">
        <v>2601</v>
      </c>
      <c r="F242" s="1">
        <v>43355</v>
      </c>
      <c r="G242" s="37" t="s">
        <v>4032</v>
      </c>
      <c r="H242" s="37" t="s">
        <v>4724</v>
      </c>
      <c r="I242" s="2">
        <v>2.8472222222222222E-2</v>
      </c>
      <c r="J242" s="176">
        <v>4.7453703703703704E-4</v>
      </c>
      <c r="K242" s="6">
        <v>41</v>
      </c>
      <c r="L242" t="s">
        <v>398</v>
      </c>
      <c r="M242" s="7" t="s">
        <v>24</v>
      </c>
      <c r="N242" s="7" t="s">
        <v>107</v>
      </c>
      <c r="O242" s="7" t="s">
        <v>23</v>
      </c>
      <c r="P242" s="7">
        <v>1</v>
      </c>
      <c r="Q242" s="7"/>
      <c r="R242">
        <v>1</v>
      </c>
      <c r="S242"/>
      <c r="T242" t="s">
        <v>176</v>
      </c>
      <c r="U242" t="s">
        <v>176</v>
      </c>
      <c r="V242" s="7" t="s">
        <v>24</v>
      </c>
      <c r="W242" s="7" t="s">
        <v>23</v>
      </c>
      <c r="X242" s="44" t="s">
        <v>23</v>
      </c>
      <c r="Y242" s="44" t="s">
        <v>24</v>
      </c>
      <c r="Z242" s="44" t="s">
        <v>24</v>
      </c>
      <c r="AA242" s="7" t="s">
        <v>176</v>
      </c>
      <c r="AB242" s="20">
        <v>63.726739999999999</v>
      </c>
      <c r="AC242" s="20">
        <v>148.95921000000001</v>
      </c>
      <c r="AD242" s="6">
        <v>0</v>
      </c>
      <c r="AE242" s="6">
        <v>0</v>
      </c>
      <c r="AF242" s="6">
        <v>0</v>
      </c>
      <c r="AG242" s="6">
        <v>0</v>
      </c>
      <c r="AH242" s="6">
        <v>0</v>
      </c>
      <c r="AI242">
        <v>0</v>
      </c>
      <c r="AJ242">
        <f t="shared" si="3"/>
        <v>0</v>
      </c>
      <c r="AK242"/>
      <c r="AL242" t="s">
        <v>634</v>
      </c>
      <c r="AM242"/>
      <c r="AN242"/>
      <c r="AO242"/>
      <c r="AP242"/>
      <c r="AQ242"/>
      <c r="AR242"/>
      <c r="AS242"/>
      <c r="AT242"/>
      <c r="AU242"/>
    </row>
    <row r="243" spans="1:47" s="7" customFormat="1" x14ac:dyDescent="0.2">
      <c r="A243" s="33" t="s">
        <v>629</v>
      </c>
      <c r="B243" s="33" t="s">
        <v>4921</v>
      </c>
      <c r="C243" s="33">
        <v>6</v>
      </c>
      <c r="D243" s="33">
        <v>1</v>
      </c>
      <c r="E243" s="33" t="s">
        <v>2601</v>
      </c>
      <c r="F243" s="37">
        <v>43355</v>
      </c>
      <c r="G243" s="37" t="s">
        <v>4032</v>
      </c>
      <c r="H243" s="37" t="s">
        <v>4724</v>
      </c>
      <c r="I243" s="36">
        <v>7.6388888888888886E-3</v>
      </c>
      <c r="J243" s="177">
        <v>1.273148148148148E-4</v>
      </c>
      <c r="K243" s="39">
        <v>11</v>
      </c>
      <c r="L243" s="33" t="s">
        <v>398</v>
      </c>
      <c r="M243" s="33" t="s">
        <v>177</v>
      </c>
      <c r="N243" s="33" t="s">
        <v>102</v>
      </c>
      <c r="O243" s="33" t="s">
        <v>115</v>
      </c>
      <c r="P243" s="33">
        <v>1</v>
      </c>
      <c r="Q243" s="33">
        <v>3</v>
      </c>
      <c r="R243" s="33">
        <v>0</v>
      </c>
      <c r="S243" s="33"/>
      <c r="T243" t="s">
        <v>14</v>
      </c>
      <c r="U243" s="33" t="s">
        <v>14</v>
      </c>
      <c r="V243" s="33" t="s">
        <v>122</v>
      </c>
      <c r="W243" s="33" t="s">
        <v>115</v>
      </c>
      <c r="X243" s="33" t="s">
        <v>115</v>
      </c>
      <c r="Y243" s="33" t="s">
        <v>115</v>
      </c>
      <c r="Z243" s="33" t="s">
        <v>115</v>
      </c>
      <c r="AA243" s="33" t="s">
        <v>115</v>
      </c>
      <c r="AB243" s="35" t="s">
        <v>115</v>
      </c>
      <c r="AC243" s="35"/>
      <c r="AD243" s="39">
        <v>0</v>
      </c>
      <c r="AE243" s="39">
        <v>0</v>
      </c>
      <c r="AF243" s="39">
        <v>0</v>
      </c>
      <c r="AG243" s="39">
        <v>0</v>
      </c>
      <c r="AH243" s="39">
        <v>10</v>
      </c>
      <c r="AI243" s="33">
        <v>0</v>
      </c>
      <c r="AJ243" s="33">
        <f t="shared" si="3"/>
        <v>10</v>
      </c>
      <c r="AK243" s="33"/>
      <c r="AL243" s="33"/>
      <c r="AM243" s="33"/>
      <c r="AN243" s="33"/>
      <c r="AO243" s="33"/>
      <c r="AP243" s="33"/>
      <c r="AQ243" s="34"/>
      <c r="AR243" s="33"/>
      <c r="AS243" s="33"/>
      <c r="AT243" s="33"/>
      <c r="AU243" s="33"/>
    </row>
    <row r="244" spans="1:47" x14ac:dyDescent="0.2">
      <c r="A244" t="s">
        <v>632</v>
      </c>
      <c r="B244" t="s">
        <v>4927</v>
      </c>
      <c r="C244" s="7">
        <v>7</v>
      </c>
      <c r="D244" s="7">
        <v>1</v>
      </c>
      <c r="E244" t="s">
        <v>2601</v>
      </c>
      <c r="F244" s="1">
        <v>43355</v>
      </c>
      <c r="G244" s="37" t="s">
        <v>4032</v>
      </c>
      <c r="H244" s="37" t="s">
        <v>4724</v>
      </c>
      <c r="I244" s="2">
        <v>1.3194444444444444E-2</v>
      </c>
      <c r="J244" s="176">
        <v>2.199074074074074E-4</v>
      </c>
      <c r="K244" s="6">
        <v>19</v>
      </c>
      <c r="L244" t="s">
        <v>398</v>
      </c>
      <c r="M244" s="7" t="s">
        <v>177</v>
      </c>
      <c r="N244" s="7" t="s">
        <v>111</v>
      </c>
      <c r="O244" s="7" t="s">
        <v>23</v>
      </c>
      <c r="P244" s="7">
        <v>0</v>
      </c>
      <c r="Q244" s="7"/>
      <c r="R244">
        <v>1</v>
      </c>
      <c r="T244" t="s">
        <v>14</v>
      </c>
      <c r="U244" s="7" t="s">
        <v>14</v>
      </c>
      <c r="V244" s="7" t="s">
        <v>115</v>
      </c>
      <c r="W244" s="7" t="s">
        <v>487</v>
      </c>
      <c r="X244" s="44" t="s">
        <v>23</v>
      </c>
      <c r="Y244" s="7" t="s">
        <v>3997</v>
      </c>
      <c r="Z244" s="7" t="s">
        <v>4001</v>
      </c>
      <c r="AA244" s="7" t="s">
        <v>176</v>
      </c>
      <c r="AB244" s="20">
        <v>63.726410000000001</v>
      </c>
      <c r="AC244" s="20">
        <v>148.95836</v>
      </c>
      <c r="AD244" s="6">
        <v>0</v>
      </c>
      <c r="AE244" s="6">
        <v>0</v>
      </c>
      <c r="AF244" s="6">
        <v>0</v>
      </c>
      <c r="AG244" s="6">
        <v>0</v>
      </c>
      <c r="AH244" s="6">
        <v>0</v>
      </c>
      <c r="AI244">
        <v>0</v>
      </c>
      <c r="AJ244">
        <f t="shared" si="3"/>
        <v>0</v>
      </c>
    </row>
    <row r="245" spans="1:47" x14ac:dyDescent="0.2">
      <c r="A245" t="s">
        <v>635</v>
      </c>
      <c r="B245" t="s">
        <v>4922</v>
      </c>
      <c r="C245" s="7">
        <v>8</v>
      </c>
      <c r="D245" s="7">
        <v>1</v>
      </c>
      <c r="E245" t="s">
        <v>2601</v>
      </c>
      <c r="F245" s="1">
        <v>43355</v>
      </c>
      <c r="G245" s="37" t="s">
        <v>4032</v>
      </c>
      <c r="H245" s="37" t="s">
        <v>4724</v>
      </c>
      <c r="I245" s="2">
        <v>1.8055555555555557E-2</v>
      </c>
      <c r="J245" s="176">
        <v>3.0092592592592595E-4</v>
      </c>
      <c r="K245" s="6">
        <v>26</v>
      </c>
      <c r="L245" t="s">
        <v>398</v>
      </c>
      <c r="M245" s="7" t="s">
        <v>173</v>
      </c>
      <c r="N245" s="7" t="s">
        <v>111</v>
      </c>
      <c r="O245" s="7" t="s">
        <v>23</v>
      </c>
      <c r="P245" s="7">
        <v>1</v>
      </c>
      <c r="Q245" s="7"/>
      <c r="R245">
        <v>1</v>
      </c>
      <c r="T245" t="s">
        <v>176</v>
      </c>
      <c r="U245" t="s">
        <v>176</v>
      </c>
      <c r="V245" s="7" t="s">
        <v>333</v>
      </c>
      <c r="W245" s="7" t="s">
        <v>1035</v>
      </c>
      <c r="X245" s="33" t="s">
        <v>23</v>
      </c>
      <c r="Y245" s="33" t="s">
        <v>3997</v>
      </c>
      <c r="Z245" s="33" t="s">
        <v>4006</v>
      </c>
      <c r="AA245" s="7" t="s">
        <v>176</v>
      </c>
      <c r="AB245" s="20">
        <v>63.725990000000003</v>
      </c>
      <c r="AC245" s="20">
        <v>148.95717999999999</v>
      </c>
      <c r="AD245" s="6">
        <v>0</v>
      </c>
      <c r="AE245" s="6">
        <v>0</v>
      </c>
      <c r="AF245" s="6">
        <v>0</v>
      </c>
      <c r="AG245" s="6">
        <v>0</v>
      </c>
      <c r="AH245" s="6">
        <v>0</v>
      </c>
      <c r="AI245">
        <v>0</v>
      </c>
      <c r="AJ245">
        <f t="shared" si="3"/>
        <v>0</v>
      </c>
      <c r="AL245" t="s">
        <v>637</v>
      </c>
    </row>
    <row r="246" spans="1:47" ht="15" customHeight="1" x14ac:dyDescent="0.2">
      <c r="A246" t="s">
        <v>638</v>
      </c>
      <c r="B246" t="s">
        <v>639</v>
      </c>
      <c r="C246" s="7">
        <v>1</v>
      </c>
      <c r="D246" s="7">
        <v>1</v>
      </c>
      <c r="E246" t="s">
        <v>2487</v>
      </c>
      <c r="F246" s="1">
        <v>43357</v>
      </c>
      <c r="G246" s="37" t="s">
        <v>4032</v>
      </c>
      <c r="H246" s="37" t="s">
        <v>4724</v>
      </c>
      <c r="I246" s="2">
        <v>3.4722222222222224E-2</v>
      </c>
      <c r="J246" s="176">
        <v>5.7870370370370378E-4</v>
      </c>
      <c r="K246" s="6">
        <v>50</v>
      </c>
      <c r="L246" t="s">
        <v>640</v>
      </c>
      <c r="M246" s="7" t="s">
        <v>2498</v>
      </c>
      <c r="N246" s="7" t="s">
        <v>111</v>
      </c>
      <c r="O246" s="7" t="s">
        <v>23</v>
      </c>
      <c r="P246" s="7">
        <v>1</v>
      </c>
      <c r="Q246" s="7"/>
      <c r="R246">
        <v>2</v>
      </c>
      <c r="S246" s="7" t="s">
        <v>2066</v>
      </c>
      <c r="T246" t="s">
        <v>176</v>
      </c>
      <c r="U246" t="s">
        <v>176</v>
      </c>
      <c r="V246" s="7" t="s">
        <v>641</v>
      </c>
      <c r="W246" s="7" t="s">
        <v>3985</v>
      </c>
      <c r="X246" s="44" t="s">
        <v>23</v>
      </c>
      <c r="Y246" s="44" t="s">
        <v>3999</v>
      </c>
      <c r="Z246" s="44" t="s">
        <v>4007</v>
      </c>
      <c r="AA246" s="7" t="s">
        <v>24</v>
      </c>
      <c r="AB246" s="20">
        <v>63.720970000000001</v>
      </c>
      <c r="AC246" s="20">
        <v>148.98309</v>
      </c>
      <c r="AD246" s="6">
        <v>0</v>
      </c>
      <c r="AE246" s="6">
        <v>0</v>
      </c>
      <c r="AF246" s="6">
        <v>0</v>
      </c>
      <c r="AG246" s="6">
        <v>0</v>
      </c>
      <c r="AH246" s="6">
        <v>0</v>
      </c>
      <c r="AI246">
        <v>0</v>
      </c>
      <c r="AJ246">
        <f t="shared" si="3"/>
        <v>0</v>
      </c>
      <c r="AL246" t="s">
        <v>4930</v>
      </c>
      <c r="AO246" s="33"/>
      <c r="AP246" s="33"/>
      <c r="AQ246" s="34"/>
      <c r="AR246" s="33"/>
      <c r="AS246" s="33"/>
      <c r="AT246" s="33"/>
      <c r="AU246" s="33"/>
    </row>
    <row r="247" spans="1:47" x14ac:dyDescent="0.2">
      <c r="A247" t="s">
        <v>647</v>
      </c>
      <c r="B247" t="s">
        <v>644</v>
      </c>
      <c r="C247" s="7">
        <v>2</v>
      </c>
      <c r="D247" s="7">
        <v>1</v>
      </c>
      <c r="E247" t="s">
        <v>2487</v>
      </c>
      <c r="F247" s="1">
        <v>43357</v>
      </c>
      <c r="G247" s="37" t="s">
        <v>4032</v>
      </c>
      <c r="H247" s="37" t="s">
        <v>4724</v>
      </c>
      <c r="I247" s="2">
        <v>1.1111111111111112E-2</v>
      </c>
      <c r="J247" s="176">
        <v>1.8518518518518518E-4</v>
      </c>
      <c r="K247" s="6">
        <v>16</v>
      </c>
      <c r="L247" t="s">
        <v>640</v>
      </c>
      <c r="M247" s="7" t="s">
        <v>24</v>
      </c>
      <c r="N247" s="7" t="s">
        <v>111</v>
      </c>
      <c r="O247" s="7" t="s">
        <v>23</v>
      </c>
      <c r="P247" s="7">
        <v>0</v>
      </c>
      <c r="Q247" s="7"/>
      <c r="R247" s="7">
        <v>1</v>
      </c>
      <c r="S247" s="7"/>
      <c r="T247" t="s">
        <v>176</v>
      </c>
      <c r="U247" t="s">
        <v>176</v>
      </c>
      <c r="V247" s="7" t="s">
        <v>115</v>
      </c>
      <c r="W247" s="7" t="s">
        <v>645</v>
      </c>
      <c r="X247" s="33" t="s">
        <v>23</v>
      </c>
      <c r="Y247" s="33" t="s">
        <v>3999</v>
      </c>
      <c r="Z247" s="33" t="s">
        <v>4006</v>
      </c>
      <c r="AA247" s="7" t="s">
        <v>24</v>
      </c>
      <c r="AB247" s="20" t="s">
        <v>246</v>
      </c>
      <c r="AC247" s="20"/>
      <c r="AD247" s="6">
        <v>0</v>
      </c>
      <c r="AE247" s="6">
        <v>0</v>
      </c>
      <c r="AF247" s="6">
        <v>0</v>
      </c>
      <c r="AG247" s="6">
        <v>0</v>
      </c>
      <c r="AH247" s="6">
        <v>0</v>
      </c>
      <c r="AI247">
        <v>0</v>
      </c>
      <c r="AJ247">
        <f t="shared" si="3"/>
        <v>0</v>
      </c>
      <c r="AL247" t="s">
        <v>646</v>
      </c>
      <c r="AO247" s="33"/>
      <c r="AP247" s="33"/>
      <c r="AQ247" s="34"/>
      <c r="AR247" s="33"/>
      <c r="AS247" s="33"/>
      <c r="AT247" s="33"/>
      <c r="AU247" s="33"/>
    </row>
    <row r="248" spans="1:47" x14ac:dyDescent="0.2">
      <c r="A248" t="s">
        <v>648</v>
      </c>
      <c r="B248" t="s">
        <v>649</v>
      </c>
      <c r="C248" s="7">
        <v>3</v>
      </c>
      <c r="D248" s="7">
        <v>1</v>
      </c>
      <c r="E248" t="s">
        <v>2487</v>
      </c>
      <c r="F248" s="1">
        <v>43357</v>
      </c>
      <c r="G248" s="37" t="s">
        <v>4032</v>
      </c>
      <c r="H248" s="37" t="s">
        <v>4724</v>
      </c>
      <c r="I248" s="2">
        <v>1.8055555555555557E-2</v>
      </c>
      <c r="J248" s="176">
        <v>3.0092592592592595E-4</v>
      </c>
      <c r="K248" s="6">
        <v>26</v>
      </c>
      <c r="L248" t="s">
        <v>640</v>
      </c>
      <c r="M248" s="7" t="s">
        <v>2498</v>
      </c>
      <c r="N248" s="7" t="s">
        <v>111</v>
      </c>
      <c r="O248" s="7" t="s">
        <v>23</v>
      </c>
      <c r="P248" s="7">
        <v>0</v>
      </c>
      <c r="Q248" s="7"/>
      <c r="R248" s="7">
        <v>1</v>
      </c>
      <c r="S248" s="7"/>
      <c r="T248" t="s">
        <v>176</v>
      </c>
      <c r="U248" t="s">
        <v>176</v>
      </c>
      <c r="V248" s="7" t="s">
        <v>115</v>
      </c>
      <c r="W248" s="7" t="s">
        <v>3963</v>
      </c>
      <c r="X248" s="33" t="s">
        <v>23</v>
      </c>
      <c r="Y248" s="33" t="s">
        <v>3997</v>
      </c>
      <c r="Z248" s="33" t="s">
        <v>4007</v>
      </c>
      <c r="AA248" s="7" t="s">
        <v>24</v>
      </c>
      <c r="AB248" s="20">
        <v>63.722270000000002</v>
      </c>
      <c r="AC248" s="20">
        <v>148.98532</v>
      </c>
      <c r="AD248" s="6">
        <v>0</v>
      </c>
      <c r="AE248" s="6">
        <v>0</v>
      </c>
      <c r="AF248" s="6">
        <v>0</v>
      </c>
      <c r="AG248" s="6">
        <v>0</v>
      </c>
      <c r="AH248" s="6">
        <v>0</v>
      </c>
      <c r="AI248">
        <v>0</v>
      </c>
      <c r="AJ248">
        <f t="shared" si="3"/>
        <v>0</v>
      </c>
    </row>
    <row r="249" spans="1:47" s="33" customFormat="1" x14ac:dyDescent="0.2">
      <c r="A249" t="s">
        <v>650</v>
      </c>
      <c r="B249" t="s">
        <v>651</v>
      </c>
      <c r="C249" s="7">
        <v>4</v>
      </c>
      <c r="D249" s="7">
        <v>1</v>
      </c>
      <c r="E249" t="s">
        <v>2487</v>
      </c>
      <c r="F249" s="1">
        <v>43357</v>
      </c>
      <c r="G249" s="37" t="s">
        <v>4032</v>
      </c>
      <c r="H249" s="37" t="s">
        <v>4724</v>
      </c>
      <c r="I249" s="2">
        <v>9.7222222222222224E-3</v>
      </c>
      <c r="J249" s="176">
        <v>1.6203703703703703E-4</v>
      </c>
      <c r="K249" s="6">
        <v>14</v>
      </c>
      <c r="L249" t="s">
        <v>640</v>
      </c>
      <c r="M249" s="7" t="s">
        <v>24</v>
      </c>
      <c r="N249" s="7" t="s">
        <v>176</v>
      </c>
      <c r="O249" s="7" t="s">
        <v>516</v>
      </c>
      <c r="P249" s="7">
        <v>0</v>
      </c>
      <c r="Q249" s="7"/>
      <c r="R249" s="7" t="s">
        <v>24</v>
      </c>
      <c r="S249" s="7"/>
      <c r="T249" t="s">
        <v>176</v>
      </c>
      <c r="U249" t="s">
        <v>176</v>
      </c>
      <c r="V249" s="7" t="s">
        <v>24</v>
      </c>
      <c r="W249" s="7" t="s">
        <v>115</v>
      </c>
      <c r="X249" s="7"/>
      <c r="Y249" s="7"/>
      <c r="Z249" s="7"/>
      <c r="AA249" t="s">
        <v>115</v>
      </c>
      <c r="AB249" s="20" t="s">
        <v>115</v>
      </c>
      <c r="AC249" s="20"/>
      <c r="AD249" s="6">
        <v>0</v>
      </c>
      <c r="AE249" s="6">
        <v>0</v>
      </c>
      <c r="AF249" s="6">
        <v>0</v>
      </c>
      <c r="AG249" s="6">
        <v>0</v>
      </c>
      <c r="AH249" s="6">
        <v>0</v>
      </c>
      <c r="AI249">
        <v>0</v>
      </c>
      <c r="AJ249">
        <f t="shared" si="3"/>
        <v>0</v>
      </c>
      <c r="AK249"/>
      <c r="AL249" t="s">
        <v>652</v>
      </c>
      <c r="AM249"/>
      <c r="AN249"/>
      <c r="AO249"/>
      <c r="AP249"/>
      <c r="AQ249"/>
      <c r="AR249"/>
      <c r="AS249"/>
      <c r="AT249"/>
      <c r="AU249"/>
    </row>
    <row r="250" spans="1:47" x14ac:dyDescent="0.2">
      <c r="A250" t="s">
        <v>653</v>
      </c>
      <c r="B250" t="s">
        <v>654</v>
      </c>
      <c r="C250" s="7">
        <v>5</v>
      </c>
      <c r="D250" s="7">
        <v>1</v>
      </c>
      <c r="E250" t="s">
        <v>2487</v>
      </c>
      <c r="F250" s="1">
        <v>43357</v>
      </c>
      <c r="G250" s="37" t="s">
        <v>4032</v>
      </c>
      <c r="H250" s="37" t="s">
        <v>4724</v>
      </c>
      <c r="I250" s="2">
        <v>1.4583333333333332E-2</v>
      </c>
      <c r="J250" s="176">
        <v>2.4305555555555552E-4</v>
      </c>
      <c r="K250" s="6">
        <v>21</v>
      </c>
      <c r="L250" t="s">
        <v>640</v>
      </c>
      <c r="M250" s="7" t="s">
        <v>2498</v>
      </c>
      <c r="N250" s="7" t="s">
        <v>176</v>
      </c>
      <c r="O250" s="7" t="s">
        <v>23</v>
      </c>
      <c r="P250" s="7" t="s">
        <v>24</v>
      </c>
      <c r="Q250" s="7"/>
      <c r="R250" s="7" t="s">
        <v>24</v>
      </c>
      <c r="S250" s="7"/>
      <c r="T250" t="s">
        <v>176</v>
      </c>
      <c r="U250" t="s">
        <v>176</v>
      </c>
      <c r="V250" s="7" t="s">
        <v>24</v>
      </c>
      <c r="W250" s="7" t="s">
        <v>115</v>
      </c>
      <c r="X250" s="7"/>
      <c r="Y250" s="7"/>
      <c r="Z250" s="7"/>
      <c r="AA250" t="s">
        <v>115</v>
      </c>
      <c r="AB250" s="20" t="s">
        <v>115</v>
      </c>
      <c r="AC250" s="20"/>
      <c r="AD250" s="6">
        <v>0</v>
      </c>
      <c r="AE250" s="6">
        <v>0</v>
      </c>
      <c r="AF250" s="6">
        <v>0</v>
      </c>
      <c r="AG250" s="6">
        <v>0</v>
      </c>
      <c r="AH250" s="6">
        <v>0</v>
      </c>
      <c r="AI250">
        <v>0</v>
      </c>
      <c r="AJ250">
        <f t="shared" si="3"/>
        <v>0</v>
      </c>
      <c r="AL250" t="s">
        <v>652</v>
      </c>
    </row>
    <row r="251" spans="1:47" x14ac:dyDescent="0.2">
      <c r="A251" t="s">
        <v>655</v>
      </c>
      <c r="B251" t="s">
        <v>656</v>
      </c>
      <c r="C251" s="7">
        <v>6</v>
      </c>
      <c r="D251" s="7">
        <v>1</v>
      </c>
      <c r="E251" t="s">
        <v>2487</v>
      </c>
      <c r="F251" s="1">
        <v>43357</v>
      </c>
      <c r="G251" s="37" t="s">
        <v>4032</v>
      </c>
      <c r="H251" s="37" t="s">
        <v>4724</v>
      </c>
      <c r="I251" s="2">
        <v>1.6666666666666666E-2</v>
      </c>
      <c r="J251" s="176">
        <v>2.7777777777777778E-4</v>
      </c>
      <c r="K251" s="6">
        <v>24</v>
      </c>
      <c r="L251" t="s">
        <v>640</v>
      </c>
      <c r="M251" s="7" t="s">
        <v>2498</v>
      </c>
      <c r="N251" s="7" t="s">
        <v>107</v>
      </c>
      <c r="O251" s="7" t="s">
        <v>23</v>
      </c>
      <c r="P251" s="7">
        <v>1</v>
      </c>
      <c r="Q251" s="7"/>
      <c r="R251">
        <v>0</v>
      </c>
      <c r="T251" t="s">
        <v>14</v>
      </c>
      <c r="U251" t="s">
        <v>2143</v>
      </c>
      <c r="V251" s="7" t="s">
        <v>24</v>
      </c>
      <c r="W251" s="7" t="s">
        <v>115</v>
      </c>
      <c r="X251" s="33" t="s">
        <v>115</v>
      </c>
      <c r="Y251" s="33" t="s">
        <v>115</v>
      </c>
      <c r="Z251" s="33" t="s">
        <v>115</v>
      </c>
      <c r="AA251" t="s">
        <v>115</v>
      </c>
      <c r="AB251" s="20" t="s">
        <v>115</v>
      </c>
      <c r="AC251" s="20"/>
      <c r="AD251" s="6">
        <v>0</v>
      </c>
      <c r="AE251" s="6">
        <v>0</v>
      </c>
      <c r="AF251" s="6">
        <v>0</v>
      </c>
      <c r="AG251" s="6">
        <v>0</v>
      </c>
      <c r="AH251" s="6">
        <v>0</v>
      </c>
      <c r="AI251">
        <v>0</v>
      </c>
      <c r="AJ251">
        <f t="shared" si="3"/>
        <v>0</v>
      </c>
      <c r="AL251" t="s">
        <v>2144</v>
      </c>
    </row>
    <row r="252" spans="1:47" x14ac:dyDescent="0.2">
      <c r="A252" s="33" t="s">
        <v>657</v>
      </c>
      <c r="B252" s="33" t="s">
        <v>658</v>
      </c>
      <c r="C252" s="33">
        <v>7</v>
      </c>
      <c r="D252" s="33">
        <v>1</v>
      </c>
      <c r="E252" s="33" t="s">
        <v>2487</v>
      </c>
      <c r="F252" s="37">
        <v>43357</v>
      </c>
      <c r="G252" s="37" t="s">
        <v>4032</v>
      </c>
      <c r="H252" s="37" t="s">
        <v>4724</v>
      </c>
      <c r="I252" s="36">
        <v>2.5694444444444447E-2</v>
      </c>
      <c r="J252" s="177">
        <v>4.2824074074074075E-4</v>
      </c>
      <c r="K252" s="39">
        <v>37</v>
      </c>
      <c r="L252" s="33" t="s">
        <v>640</v>
      </c>
      <c r="M252" s="33" t="s">
        <v>2498</v>
      </c>
      <c r="N252" s="33" t="s">
        <v>102</v>
      </c>
      <c r="O252" s="33" t="s">
        <v>115</v>
      </c>
      <c r="P252" s="33">
        <v>2</v>
      </c>
      <c r="Q252" s="33">
        <v>4</v>
      </c>
      <c r="R252" s="33" t="s">
        <v>24</v>
      </c>
      <c r="S252" s="33"/>
      <c r="T252" t="s">
        <v>14</v>
      </c>
      <c r="U252" s="33" t="s">
        <v>2128</v>
      </c>
      <c r="V252" s="33" t="s">
        <v>122</v>
      </c>
      <c r="W252" s="33" t="s">
        <v>115</v>
      </c>
      <c r="X252" s="33"/>
      <c r="Y252" s="33"/>
      <c r="Z252" s="33"/>
      <c r="AA252" s="33" t="s">
        <v>115</v>
      </c>
      <c r="AB252" s="35" t="s">
        <v>115</v>
      </c>
      <c r="AC252" s="35"/>
      <c r="AD252" s="39">
        <v>0</v>
      </c>
      <c r="AE252" s="39">
        <v>0</v>
      </c>
      <c r="AF252" s="39">
        <v>0</v>
      </c>
      <c r="AG252" s="39">
        <v>0</v>
      </c>
      <c r="AH252" s="39">
        <v>10</v>
      </c>
      <c r="AI252" s="33">
        <v>0</v>
      </c>
      <c r="AJ252" s="33">
        <f t="shared" si="3"/>
        <v>10</v>
      </c>
      <c r="AK252" s="33"/>
      <c r="AL252" s="33" t="s">
        <v>4929</v>
      </c>
      <c r="AM252" s="33"/>
      <c r="AN252" s="33"/>
    </row>
    <row r="253" spans="1:47" s="33" customFormat="1" x14ac:dyDescent="0.2">
      <c r="A253" t="s">
        <v>660</v>
      </c>
      <c r="B253" t="s">
        <v>659</v>
      </c>
      <c r="C253" s="7">
        <v>8</v>
      </c>
      <c r="D253" s="7">
        <v>1</v>
      </c>
      <c r="E253" t="s">
        <v>2487</v>
      </c>
      <c r="F253" s="1">
        <v>43357</v>
      </c>
      <c r="G253" s="37" t="s">
        <v>4032</v>
      </c>
      <c r="H253" s="37" t="s">
        <v>4724</v>
      </c>
      <c r="I253" s="2">
        <v>7.6388888888888886E-3</v>
      </c>
      <c r="J253" s="176">
        <v>1.273148148148148E-4</v>
      </c>
      <c r="K253" s="6">
        <v>11</v>
      </c>
      <c r="L253" t="s">
        <v>640</v>
      </c>
      <c r="M253" s="7" t="s">
        <v>2498</v>
      </c>
      <c r="N253" s="7" t="s">
        <v>102</v>
      </c>
      <c r="O253" s="7" t="s">
        <v>23</v>
      </c>
      <c r="P253" s="7" t="s">
        <v>24</v>
      </c>
      <c r="Q253" s="7"/>
      <c r="R253">
        <v>0</v>
      </c>
      <c r="S253"/>
      <c r="T253"/>
      <c r="U253" s="7" t="s">
        <v>115</v>
      </c>
      <c r="V253" s="7" t="s">
        <v>115</v>
      </c>
      <c r="W253" s="7" t="s">
        <v>115</v>
      </c>
      <c r="X253" s="33" t="s">
        <v>115</v>
      </c>
      <c r="Y253" s="33" t="s">
        <v>115</v>
      </c>
      <c r="Z253" s="33" t="s">
        <v>115</v>
      </c>
      <c r="AA253" t="s">
        <v>115</v>
      </c>
      <c r="AB253" s="20" t="s">
        <v>115</v>
      </c>
      <c r="AC253" s="20"/>
      <c r="AD253" s="6">
        <v>10</v>
      </c>
      <c r="AE253" s="6">
        <v>0</v>
      </c>
      <c r="AF253" s="6">
        <v>10</v>
      </c>
      <c r="AG253" s="6">
        <v>0</v>
      </c>
      <c r="AH253" s="6">
        <v>0</v>
      </c>
      <c r="AI253">
        <v>0</v>
      </c>
      <c r="AJ253">
        <f t="shared" si="3"/>
        <v>10</v>
      </c>
      <c r="AK253" t="s">
        <v>459</v>
      </c>
      <c r="AL253"/>
      <c r="AM253"/>
      <c r="AN253"/>
      <c r="AQ253" s="34"/>
    </row>
    <row r="254" spans="1:47" s="33" customFormat="1" x14ac:dyDescent="0.2">
      <c r="A254" s="33" t="s">
        <v>661</v>
      </c>
      <c r="B254" s="33" t="s">
        <v>662</v>
      </c>
      <c r="C254" s="33">
        <v>9</v>
      </c>
      <c r="D254" s="33">
        <v>1</v>
      </c>
      <c r="E254" s="33" t="s">
        <v>2487</v>
      </c>
      <c r="F254" s="37">
        <v>43357</v>
      </c>
      <c r="G254" s="37" t="s">
        <v>4032</v>
      </c>
      <c r="H254" s="37" t="s">
        <v>4724</v>
      </c>
      <c r="I254" s="36">
        <v>2.013888888888889E-2</v>
      </c>
      <c r="J254" s="177">
        <v>3.3564814814814812E-4</v>
      </c>
      <c r="K254" s="39">
        <v>29</v>
      </c>
      <c r="L254" s="33" t="s">
        <v>640</v>
      </c>
      <c r="M254" s="33" t="s">
        <v>2498</v>
      </c>
      <c r="N254" s="33" t="s">
        <v>102</v>
      </c>
      <c r="O254" s="33" t="s">
        <v>115</v>
      </c>
      <c r="P254" s="33">
        <v>0</v>
      </c>
      <c r="R254" s="33">
        <v>0</v>
      </c>
      <c r="U254" s="33" t="s">
        <v>115</v>
      </c>
      <c r="V254" s="33" t="s">
        <v>115</v>
      </c>
      <c r="W254" s="33" t="s">
        <v>115</v>
      </c>
      <c r="X254" s="33" t="s">
        <v>115</v>
      </c>
      <c r="Y254" s="33" t="s">
        <v>115</v>
      </c>
      <c r="Z254" s="33" t="s">
        <v>115</v>
      </c>
      <c r="AA254" s="33" t="s">
        <v>115</v>
      </c>
      <c r="AB254" s="35" t="s">
        <v>115</v>
      </c>
      <c r="AC254" s="35"/>
      <c r="AD254" s="39">
        <v>0</v>
      </c>
      <c r="AE254" s="39">
        <v>0</v>
      </c>
      <c r="AF254" s="39">
        <v>0</v>
      </c>
      <c r="AG254" s="39">
        <v>0</v>
      </c>
      <c r="AH254" s="39">
        <v>9</v>
      </c>
      <c r="AI254" s="33">
        <v>0</v>
      </c>
      <c r="AJ254" s="33">
        <f t="shared" si="3"/>
        <v>9</v>
      </c>
      <c r="AO254"/>
      <c r="AP254"/>
      <c r="AQ254"/>
      <c r="AR254"/>
      <c r="AS254"/>
      <c r="AT254"/>
      <c r="AU254"/>
    </row>
    <row r="255" spans="1:47" x14ac:dyDescent="0.2">
      <c r="A255" t="s">
        <v>666</v>
      </c>
      <c r="B255" t="s">
        <v>667</v>
      </c>
      <c r="C255" s="7">
        <v>2</v>
      </c>
      <c r="D255" s="7">
        <v>1</v>
      </c>
      <c r="E255" t="s">
        <v>3171</v>
      </c>
      <c r="F255" s="1">
        <v>43357</v>
      </c>
      <c r="G255" s="37" t="s">
        <v>4032</v>
      </c>
      <c r="H255" s="37" t="s">
        <v>4724</v>
      </c>
      <c r="I255" s="2">
        <v>7.6388888888888886E-3</v>
      </c>
      <c r="J255" s="176">
        <v>1.273148148148148E-4</v>
      </c>
      <c r="K255" s="6">
        <v>11</v>
      </c>
      <c r="L255" t="s">
        <v>640</v>
      </c>
      <c r="M255" s="7" t="s">
        <v>548</v>
      </c>
      <c r="N255" s="7" t="s">
        <v>111</v>
      </c>
      <c r="O255" s="7" t="s">
        <v>23</v>
      </c>
      <c r="P255" s="7">
        <v>0</v>
      </c>
      <c r="Q255" s="7"/>
      <c r="R255">
        <v>1</v>
      </c>
      <c r="T255" t="s">
        <v>176</v>
      </c>
      <c r="U255" t="s">
        <v>176</v>
      </c>
      <c r="V255" s="7" t="s">
        <v>115</v>
      </c>
      <c r="W255" s="7" t="s">
        <v>3965</v>
      </c>
      <c r="X255" s="33" t="s">
        <v>23</v>
      </c>
      <c r="Y255" s="33" t="s">
        <v>3997</v>
      </c>
      <c r="Z255" s="33" t="s">
        <v>4002</v>
      </c>
      <c r="AA255" s="7" t="s">
        <v>24</v>
      </c>
      <c r="AB255" s="20">
        <v>63.722520000000003</v>
      </c>
      <c r="AC255" s="20">
        <v>148.95232999999999</v>
      </c>
      <c r="AD255" s="6">
        <v>0</v>
      </c>
      <c r="AE255" s="6">
        <v>0</v>
      </c>
      <c r="AF255" s="6">
        <v>0</v>
      </c>
      <c r="AG255" s="6">
        <v>0</v>
      </c>
      <c r="AH255" s="6">
        <v>0</v>
      </c>
      <c r="AI255">
        <v>0</v>
      </c>
      <c r="AJ255">
        <f t="shared" si="3"/>
        <v>0</v>
      </c>
      <c r="AO255" s="33"/>
      <c r="AP255" s="33"/>
      <c r="AQ255" s="34"/>
      <c r="AR255" s="33"/>
      <c r="AS255" s="33"/>
      <c r="AT255" s="33"/>
      <c r="AU255" s="33"/>
    </row>
    <row r="256" spans="1:47" x14ac:dyDescent="0.2">
      <c r="A256" s="33" t="s">
        <v>668</v>
      </c>
      <c r="B256" s="33" t="s">
        <v>669</v>
      </c>
      <c r="C256" s="33">
        <v>3</v>
      </c>
      <c r="D256" s="33">
        <v>1</v>
      </c>
      <c r="E256" s="33" t="s">
        <v>3171</v>
      </c>
      <c r="F256" s="37">
        <v>43357</v>
      </c>
      <c r="G256" s="37" t="s">
        <v>4032</v>
      </c>
      <c r="H256" s="37" t="s">
        <v>4724</v>
      </c>
      <c r="I256" s="36">
        <v>2.4305555555555556E-2</v>
      </c>
      <c r="J256" s="177">
        <v>4.0509259259259258E-4</v>
      </c>
      <c r="K256" s="39">
        <v>35</v>
      </c>
      <c r="L256" s="33" t="s">
        <v>640</v>
      </c>
      <c r="M256" s="33" t="s">
        <v>670</v>
      </c>
      <c r="N256" s="33" t="s">
        <v>102</v>
      </c>
      <c r="O256" s="33" t="s">
        <v>115</v>
      </c>
      <c r="P256" s="33" t="s">
        <v>24</v>
      </c>
      <c r="Q256" s="33"/>
      <c r="R256" s="33">
        <v>0</v>
      </c>
      <c r="S256" s="33"/>
      <c r="T256" t="s">
        <v>176</v>
      </c>
      <c r="U256" s="33" t="s">
        <v>176</v>
      </c>
      <c r="V256" s="33" t="s">
        <v>115</v>
      </c>
      <c r="W256" s="33" t="s">
        <v>115</v>
      </c>
      <c r="X256" s="33" t="s">
        <v>115</v>
      </c>
      <c r="Y256" s="33" t="s">
        <v>115</v>
      </c>
      <c r="Z256" s="33" t="s">
        <v>115</v>
      </c>
      <c r="AA256" s="33" t="s">
        <v>115</v>
      </c>
      <c r="AB256" s="35" t="s">
        <v>115</v>
      </c>
      <c r="AC256" s="35"/>
      <c r="AD256" s="39">
        <v>0</v>
      </c>
      <c r="AE256" s="39">
        <v>0</v>
      </c>
      <c r="AF256" s="39">
        <v>0</v>
      </c>
      <c r="AG256" s="39">
        <v>0</v>
      </c>
      <c r="AH256" s="39">
        <v>18</v>
      </c>
      <c r="AI256" s="33">
        <v>0</v>
      </c>
      <c r="AJ256" s="33">
        <f t="shared" si="3"/>
        <v>18</v>
      </c>
      <c r="AK256" s="33"/>
      <c r="AL256" s="33"/>
      <c r="AM256" s="33"/>
      <c r="AN256" s="33"/>
    </row>
    <row r="257" spans="1:47" x14ac:dyDescent="0.2">
      <c r="A257" s="33" t="s">
        <v>671</v>
      </c>
      <c r="B257" s="33" t="s">
        <v>672</v>
      </c>
      <c r="C257" s="33">
        <v>1</v>
      </c>
      <c r="D257" s="33">
        <v>1</v>
      </c>
      <c r="E257" s="33" t="s">
        <v>2462</v>
      </c>
      <c r="F257" s="37">
        <v>43357</v>
      </c>
      <c r="G257" s="37" t="s">
        <v>4032</v>
      </c>
      <c r="H257" s="37" t="s">
        <v>4724</v>
      </c>
      <c r="I257" s="36">
        <v>2.6388888888888889E-2</v>
      </c>
      <c r="J257" s="177">
        <v>4.3981481481481481E-4</v>
      </c>
      <c r="K257" s="39">
        <v>38</v>
      </c>
      <c r="L257" s="33" t="s">
        <v>640</v>
      </c>
      <c r="M257" s="33" t="s">
        <v>363</v>
      </c>
      <c r="N257" s="33" t="s">
        <v>102</v>
      </c>
      <c r="O257" s="33" t="s">
        <v>23</v>
      </c>
      <c r="P257" s="33" t="s">
        <v>24</v>
      </c>
      <c r="Q257" s="33"/>
      <c r="R257" s="33">
        <v>0</v>
      </c>
      <c r="S257" s="33"/>
      <c r="T257" t="s">
        <v>176</v>
      </c>
      <c r="U257" s="33" t="s">
        <v>176</v>
      </c>
      <c r="V257" s="33" t="s">
        <v>115</v>
      </c>
      <c r="W257" s="33" t="s">
        <v>115</v>
      </c>
      <c r="X257" s="33" t="s">
        <v>115</v>
      </c>
      <c r="Y257" s="33" t="s">
        <v>115</v>
      </c>
      <c r="Z257" s="33" t="s">
        <v>115</v>
      </c>
      <c r="AA257" s="33" t="s">
        <v>115</v>
      </c>
      <c r="AB257" s="35" t="s">
        <v>115</v>
      </c>
      <c r="AC257" s="35"/>
      <c r="AD257" s="39">
        <v>0</v>
      </c>
      <c r="AE257" s="39">
        <v>8</v>
      </c>
      <c r="AF257" s="39">
        <v>0</v>
      </c>
      <c r="AG257" s="39">
        <v>8</v>
      </c>
      <c r="AH257" s="39">
        <v>10</v>
      </c>
      <c r="AI257" s="33">
        <v>0</v>
      </c>
      <c r="AJ257" s="33">
        <f t="shared" si="3"/>
        <v>18</v>
      </c>
      <c r="AK257" s="33"/>
      <c r="AL257" s="33"/>
      <c r="AM257" s="33"/>
      <c r="AN257" s="33"/>
    </row>
    <row r="258" spans="1:47" x14ac:dyDescent="0.2">
      <c r="A258" t="s">
        <v>673</v>
      </c>
      <c r="B258" t="s">
        <v>674</v>
      </c>
      <c r="C258" s="7">
        <v>2</v>
      </c>
      <c r="D258" s="7">
        <v>1</v>
      </c>
      <c r="E258" t="s">
        <v>2462</v>
      </c>
      <c r="F258" s="1">
        <v>43357</v>
      </c>
      <c r="G258" s="37" t="s">
        <v>4032</v>
      </c>
      <c r="H258" s="37" t="s">
        <v>4724</v>
      </c>
      <c r="I258" s="2">
        <v>3.7499999999999999E-2</v>
      </c>
      <c r="J258" s="176">
        <v>6.2500000000000001E-4</v>
      </c>
      <c r="K258" s="6">
        <v>54</v>
      </c>
      <c r="L258" t="s">
        <v>640</v>
      </c>
      <c r="M258" s="7" t="s">
        <v>64</v>
      </c>
      <c r="N258" s="7" t="s">
        <v>102</v>
      </c>
      <c r="O258" s="7" t="s">
        <v>23</v>
      </c>
      <c r="P258" s="7">
        <v>1</v>
      </c>
      <c r="Q258" s="7"/>
      <c r="R258">
        <v>3</v>
      </c>
      <c r="S258" s="7" t="s">
        <v>2066</v>
      </c>
      <c r="T258" t="s">
        <v>176</v>
      </c>
      <c r="U258" t="s">
        <v>176</v>
      </c>
      <c r="V258" s="7" t="s">
        <v>3969</v>
      </c>
      <c r="W258" s="7" t="s">
        <v>676</v>
      </c>
      <c r="X258" s="44" t="s">
        <v>23</v>
      </c>
      <c r="Y258" s="44" t="s">
        <v>3997</v>
      </c>
      <c r="Z258" s="44" t="s">
        <v>4005</v>
      </c>
      <c r="AA258" s="7" t="s">
        <v>24</v>
      </c>
      <c r="AB258" s="20">
        <v>63.73272</v>
      </c>
      <c r="AC258" s="20">
        <v>148.89931999999999</v>
      </c>
      <c r="AD258" s="6">
        <v>0</v>
      </c>
      <c r="AE258" s="6">
        <v>0</v>
      </c>
      <c r="AF258" s="6">
        <v>0</v>
      </c>
      <c r="AG258" s="6">
        <v>0</v>
      </c>
      <c r="AH258" s="6">
        <v>0</v>
      </c>
      <c r="AI258">
        <v>0</v>
      </c>
      <c r="AJ258">
        <f t="shared" ref="AJ258:AJ321" si="4">SUM(AF258:AI258)</f>
        <v>0</v>
      </c>
      <c r="AO258" s="33"/>
      <c r="AP258" s="33"/>
      <c r="AQ258" s="34"/>
      <c r="AR258" s="33"/>
      <c r="AS258" s="33"/>
      <c r="AT258" s="33"/>
      <c r="AU258" s="33"/>
    </row>
    <row r="259" spans="1:47" x14ac:dyDescent="0.2">
      <c r="A259" t="s">
        <v>677</v>
      </c>
      <c r="B259" t="s">
        <v>678</v>
      </c>
      <c r="C259" s="7">
        <v>3</v>
      </c>
      <c r="D259" s="7">
        <v>1</v>
      </c>
      <c r="E259" t="s">
        <v>2462</v>
      </c>
      <c r="F259" s="1">
        <v>43357</v>
      </c>
      <c r="G259" s="37" t="s">
        <v>4032</v>
      </c>
      <c r="H259" s="37" t="s">
        <v>4724</v>
      </c>
      <c r="I259" s="2">
        <v>1.5972222222222224E-2</v>
      </c>
      <c r="J259" s="176">
        <v>2.6620370370370372E-4</v>
      </c>
      <c r="K259" s="6">
        <v>23</v>
      </c>
      <c r="L259" t="s">
        <v>640</v>
      </c>
      <c r="M259" s="7" t="s">
        <v>64</v>
      </c>
      <c r="N259" s="7" t="s">
        <v>102</v>
      </c>
      <c r="O259" s="7" t="s">
        <v>23</v>
      </c>
      <c r="P259" s="7">
        <v>1</v>
      </c>
      <c r="Q259" s="7"/>
      <c r="R259" s="7">
        <v>0</v>
      </c>
      <c r="S259" s="7"/>
      <c r="T259" t="s">
        <v>176</v>
      </c>
      <c r="U259" t="s">
        <v>176</v>
      </c>
      <c r="V259" s="7" t="s">
        <v>122</v>
      </c>
      <c r="W259" s="7" t="s">
        <v>115</v>
      </c>
      <c r="X259" s="33" t="s">
        <v>115</v>
      </c>
      <c r="Y259" s="33" t="s">
        <v>115</v>
      </c>
      <c r="Z259" s="33" t="s">
        <v>115</v>
      </c>
      <c r="AA259" t="s">
        <v>115</v>
      </c>
      <c r="AB259" s="20" t="s">
        <v>115</v>
      </c>
      <c r="AC259" s="20"/>
      <c r="AD259" s="6">
        <v>0</v>
      </c>
      <c r="AE259" s="6">
        <v>0</v>
      </c>
      <c r="AF259" s="6">
        <v>0</v>
      </c>
      <c r="AG259" s="6">
        <v>0</v>
      </c>
      <c r="AH259" s="6">
        <v>0</v>
      </c>
      <c r="AI259">
        <v>0</v>
      </c>
      <c r="AJ259">
        <f t="shared" si="4"/>
        <v>0</v>
      </c>
      <c r="AL259" t="s">
        <v>2151</v>
      </c>
      <c r="AO259" s="33"/>
      <c r="AP259" s="33"/>
      <c r="AQ259" s="34"/>
      <c r="AR259" s="33"/>
      <c r="AS259" s="33"/>
      <c r="AT259" s="33"/>
      <c r="AU259" s="33"/>
    </row>
    <row r="260" spans="1:47" x14ac:dyDescent="0.2">
      <c r="A260" t="s">
        <v>679</v>
      </c>
      <c r="B260" t="s">
        <v>680</v>
      </c>
      <c r="C260" s="7">
        <v>4</v>
      </c>
      <c r="D260" s="7">
        <v>1</v>
      </c>
      <c r="E260" t="s">
        <v>2462</v>
      </c>
      <c r="F260" s="1">
        <v>43357</v>
      </c>
      <c r="G260" s="37" t="s">
        <v>4032</v>
      </c>
      <c r="H260" s="37" t="s">
        <v>4724</v>
      </c>
      <c r="I260" s="2">
        <v>4.0972222222222222E-2</v>
      </c>
      <c r="J260" s="176">
        <v>6.8287037037037025E-4</v>
      </c>
      <c r="K260" s="6">
        <v>59</v>
      </c>
      <c r="L260" t="s">
        <v>640</v>
      </c>
      <c r="M260" s="7" t="s">
        <v>363</v>
      </c>
      <c r="N260" s="7" t="s">
        <v>242</v>
      </c>
      <c r="O260" s="7" t="s">
        <v>23</v>
      </c>
      <c r="P260" s="7">
        <v>1</v>
      </c>
      <c r="Q260" s="7"/>
      <c r="R260" s="7">
        <v>2</v>
      </c>
      <c r="S260" s="7" t="s">
        <v>2066</v>
      </c>
      <c r="T260" t="s">
        <v>1618</v>
      </c>
      <c r="U260" s="7" t="s">
        <v>1618</v>
      </c>
      <c r="V260" s="7" t="s">
        <v>24</v>
      </c>
      <c r="W260" s="7" t="s">
        <v>3963</v>
      </c>
      <c r="X260" s="44" t="s">
        <v>23</v>
      </c>
      <c r="Y260" s="44" t="s">
        <v>3997</v>
      </c>
      <c r="Z260" s="44" t="s">
        <v>4007</v>
      </c>
      <c r="AA260" s="7" t="s">
        <v>24</v>
      </c>
      <c r="AB260" s="20">
        <v>63.732939999999999</v>
      </c>
      <c r="AC260" s="20">
        <v>148.90082000000001</v>
      </c>
      <c r="AD260" s="6">
        <v>0</v>
      </c>
      <c r="AE260" s="6">
        <v>0</v>
      </c>
      <c r="AF260" s="6">
        <v>0</v>
      </c>
      <c r="AG260" s="6">
        <v>0</v>
      </c>
      <c r="AH260" s="6">
        <v>0</v>
      </c>
      <c r="AI260">
        <v>0</v>
      </c>
      <c r="AJ260">
        <f t="shared" si="4"/>
        <v>0</v>
      </c>
    </row>
    <row r="261" spans="1:47" hidden="1" x14ac:dyDescent="0.2">
      <c r="A261" t="s">
        <v>679</v>
      </c>
      <c r="B261" t="s">
        <v>680</v>
      </c>
      <c r="C261" s="7">
        <v>4</v>
      </c>
      <c r="D261" s="7">
        <v>2</v>
      </c>
      <c r="E261" t="s">
        <v>2462</v>
      </c>
      <c r="F261" s="1">
        <v>43357</v>
      </c>
      <c r="G261" s="37" t="s">
        <v>4032</v>
      </c>
      <c r="H261" s="37" t="s">
        <v>4724</v>
      </c>
      <c r="I261" s="2">
        <v>4.0972222222222222E-2</v>
      </c>
      <c r="J261" s="176">
        <v>6.8287037037037025E-4</v>
      </c>
      <c r="K261" s="6">
        <v>59</v>
      </c>
      <c r="L261" t="s">
        <v>640</v>
      </c>
      <c r="M261" s="7" t="s">
        <v>363</v>
      </c>
      <c r="N261" s="7" t="s">
        <v>242</v>
      </c>
      <c r="O261" s="7" t="s">
        <v>23</v>
      </c>
      <c r="P261" s="7">
        <v>0</v>
      </c>
      <c r="Q261" s="7"/>
      <c r="R261" s="7">
        <v>1</v>
      </c>
      <c r="S261" s="7"/>
      <c r="T261" t="s">
        <v>1618</v>
      </c>
      <c r="U261" s="7" t="s">
        <v>1618</v>
      </c>
      <c r="V261" s="7" t="s">
        <v>24</v>
      </c>
      <c r="W261" s="7" t="s">
        <v>3963</v>
      </c>
      <c r="X261" s="33" t="s">
        <v>23</v>
      </c>
      <c r="Y261" s="33" t="s">
        <v>3997</v>
      </c>
      <c r="Z261" s="33" t="s">
        <v>4007</v>
      </c>
      <c r="AA261" s="7" t="s">
        <v>24</v>
      </c>
      <c r="AB261" s="20">
        <v>63.732930000000003</v>
      </c>
      <c r="AC261" s="20">
        <v>148.90075999999999</v>
      </c>
      <c r="AD261" s="6">
        <v>0</v>
      </c>
      <c r="AE261" s="6">
        <v>0</v>
      </c>
      <c r="AF261" s="6">
        <v>0</v>
      </c>
      <c r="AG261" s="6">
        <v>0</v>
      </c>
      <c r="AH261" s="6">
        <v>0</v>
      </c>
      <c r="AI261">
        <v>0</v>
      </c>
      <c r="AJ261">
        <f t="shared" si="4"/>
        <v>0</v>
      </c>
      <c r="AO261" s="33"/>
      <c r="AP261" s="33"/>
      <c r="AQ261" s="34"/>
      <c r="AR261" s="33"/>
      <c r="AS261" s="33"/>
      <c r="AT261" s="33"/>
      <c r="AU261" s="33"/>
    </row>
    <row r="262" spans="1:47" x14ac:dyDescent="0.2">
      <c r="A262" t="s">
        <v>681</v>
      </c>
      <c r="B262" t="s">
        <v>682</v>
      </c>
      <c r="C262" s="7">
        <v>5</v>
      </c>
      <c r="D262" s="7">
        <v>1</v>
      </c>
      <c r="E262" t="s">
        <v>2462</v>
      </c>
      <c r="F262" s="1">
        <v>43357</v>
      </c>
      <c r="G262" s="37" t="s">
        <v>4032</v>
      </c>
      <c r="H262" s="37" t="s">
        <v>4724</v>
      </c>
      <c r="I262" s="2">
        <v>8.3333333333333332E-3</v>
      </c>
      <c r="J262" s="176">
        <v>1.3888888888888889E-4</v>
      </c>
      <c r="K262" s="6">
        <v>12</v>
      </c>
      <c r="L262" t="s">
        <v>640</v>
      </c>
      <c r="M262" s="7" t="s">
        <v>363</v>
      </c>
      <c r="N262" s="7" t="s">
        <v>102</v>
      </c>
      <c r="O262" s="7" t="s">
        <v>115</v>
      </c>
      <c r="P262" s="7">
        <v>1</v>
      </c>
      <c r="Q262" s="7"/>
      <c r="R262" s="7">
        <v>0</v>
      </c>
      <c r="S262" s="7"/>
      <c r="T262" t="s">
        <v>176</v>
      </c>
      <c r="U262" s="7" t="s">
        <v>683</v>
      </c>
      <c r="V262" s="7" t="s">
        <v>122</v>
      </c>
      <c r="W262" s="7" t="s">
        <v>115</v>
      </c>
      <c r="X262" s="33" t="s">
        <v>115</v>
      </c>
      <c r="Y262" s="33" t="s">
        <v>115</v>
      </c>
      <c r="Z262" s="33" t="s">
        <v>115</v>
      </c>
      <c r="AA262" t="s">
        <v>115</v>
      </c>
      <c r="AB262" s="20" t="s">
        <v>115</v>
      </c>
      <c r="AC262" s="20"/>
      <c r="AD262" s="6">
        <v>0</v>
      </c>
      <c r="AE262" s="6">
        <v>0</v>
      </c>
      <c r="AF262" s="6">
        <v>0</v>
      </c>
      <c r="AG262" s="6">
        <v>0</v>
      </c>
      <c r="AH262" s="6">
        <v>0</v>
      </c>
      <c r="AI262">
        <v>0</v>
      </c>
      <c r="AJ262">
        <f t="shared" si="4"/>
        <v>0</v>
      </c>
    </row>
    <row r="263" spans="1:47" x14ac:dyDescent="0.2">
      <c r="A263" t="s">
        <v>455</v>
      </c>
      <c r="B263" t="s">
        <v>456</v>
      </c>
      <c r="C263">
        <v>2</v>
      </c>
      <c r="D263">
        <v>1</v>
      </c>
      <c r="E263" t="s">
        <v>2487</v>
      </c>
      <c r="F263" s="1">
        <v>43350</v>
      </c>
      <c r="G263" s="37" t="s">
        <v>4032</v>
      </c>
      <c r="H263" s="37" t="s">
        <v>4724</v>
      </c>
      <c r="I263" s="2">
        <v>1.5277777777777777E-2</v>
      </c>
      <c r="J263" s="176">
        <v>2.5462962962962961E-4</v>
      </c>
      <c r="K263" s="6">
        <v>22</v>
      </c>
      <c r="L263" t="s">
        <v>398</v>
      </c>
      <c r="M263" s="7" t="s">
        <v>2488</v>
      </c>
      <c r="N263" t="s">
        <v>102</v>
      </c>
      <c r="O263" t="s">
        <v>23</v>
      </c>
      <c r="P263" t="s">
        <v>24</v>
      </c>
      <c r="R263">
        <v>0</v>
      </c>
      <c r="T263" t="s">
        <v>176</v>
      </c>
      <c r="U263" t="s">
        <v>176</v>
      </c>
      <c r="V263" t="s">
        <v>115</v>
      </c>
      <c r="W263" t="s">
        <v>115</v>
      </c>
      <c r="X263" s="33" t="s">
        <v>115</v>
      </c>
      <c r="Y263" s="33" t="s">
        <v>115</v>
      </c>
      <c r="Z263" s="33" t="s">
        <v>115</v>
      </c>
      <c r="AA263" t="s">
        <v>115</v>
      </c>
      <c r="AB263" s="19" t="s">
        <v>115</v>
      </c>
      <c r="AD263" s="6">
        <v>11</v>
      </c>
      <c r="AE263" s="6">
        <v>0</v>
      </c>
      <c r="AF263" s="6">
        <v>0</v>
      </c>
      <c r="AG263" s="6">
        <v>11</v>
      </c>
      <c r="AH263" s="6">
        <v>0</v>
      </c>
      <c r="AI263">
        <v>0</v>
      </c>
      <c r="AJ263">
        <f t="shared" si="4"/>
        <v>11</v>
      </c>
    </row>
    <row r="264" spans="1:47" x14ac:dyDescent="0.2">
      <c r="A264" s="7" t="s">
        <v>684</v>
      </c>
      <c r="B264" s="7" t="s">
        <v>875</v>
      </c>
      <c r="C264" s="7">
        <v>1</v>
      </c>
      <c r="D264" s="7">
        <v>1</v>
      </c>
      <c r="E264" s="7" t="s">
        <v>834</v>
      </c>
      <c r="F264" s="10">
        <v>43358</v>
      </c>
      <c r="G264" s="37" t="s">
        <v>4032</v>
      </c>
      <c r="H264" s="37" t="s">
        <v>4724</v>
      </c>
      <c r="I264" s="8">
        <v>5.2083333333333336E-2</v>
      </c>
      <c r="J264" s="178">
        <v>8.6805555555555551E-4</v>
      </c>
      <c r="K264" s="9">
        <v>75</v>
      </c>
      <c r="L264" s="7" t="s">
        <v>640</v>
      </c>
      <c r="M264" s="7" t="s">
        <v>466</v>
      </c>
      <c r="N264" s="7" t="s">
        <v>111</v>
      </c>
      <c r="O264" s="7" t="s">
        <v>23</v>
      </c>
      <c r="P264" s="7">
        <v>0</v>
      </c>
      <c r="Q264" s="7"/>
      <c r="R264" s="7">
        <v>1</v>
      </c>
      <c r="S264" s="7"/>
      <c r="T264" t="s">
        <v>176</v>
      </c>
      <c r="U264" t="s">
        <v>176</v>
      </c>
      <c r="V264" s="7" t="s">
        <v>115</v>
      </c>
      <c r="W264" s="7" t="s">
        <v>709</v>
      </c>
      <c r="X264" s="44" t="s">
        <v>23</v>
      </c>
      <c r="Y264" s="44" t="s">
        <v>4004</v>
      </c>
      <c r="Z264" s="44" t="s">
        <v>4005</v>
      </c>
      <c r="AA264" s="7" t="s">
        <v>176</v>
      </c>
      <c r="AB264" s="20">
        <v>63.738419999999998</v>
      </c>
      <c r="AC264" s="20">
        <v>148.90466000000001</v>
      </c>
      <c r="AD264" s="9">
        <v>0</v>
      </c>
      <c r="AE264" s="9">
        <v>0</v>
      </c>
      <c r="AF264" s="9">
        <v>0</v>
      </c>
      <c r="AG264" s="9">
        <v>0</v>
      </c>
      <c r="AH264" s="9">
        <v>0</v>
      </c>
      <c r="AI264">
        <v>0</v>
      </c>
      <c r="AJ264">
        <f t="shared" si="4"/>
        <v>0</v>
      </c>
      <c r="AK264" s="9"/>
      <c r="AL264" s="7" t="s">
        <v>685</v>
      </c>
      <c r="AM264" s="7"/>
      <c r="AN264" s="7"/>
      <c r="AO264" s="33"/>
      <c r="AP264" s="33"/>
      <c r="AQ264" s="34"/>
      <c r="AR264" s="33"/>
      <c r="AS264" s="33"/>
      <c r="AT264" s="33"/>
      <c r="AU264" s="33"/>
    </row>
    <row r="265" spans="1:47" x14ac:dyDescent="0.2">
      <c r="A265" s="33" t="s">
        <v>686</v>
      </c>
      <c r="B265" s="33" t="s">
        <v>876</v>
      </c>
      <c r="C265" s="33">
        <v>2</v>
      </c>
      <c r="D265" s="33">
        <v>1</v>
      </c>
      <c r="E265" s="33" t="s">
        <v>834</v>
      </c>
      <c r="F265" s="37">
        <v>43358</v>
      </c>
      <c r="G265" s="37" t="s">
        <v>4032</v>
      </c>
      <c r="H265" s="37" t="s">
        <v>4724</v>
      </c>
      <c r="I265" s="36">
        <v>1.3194444444444444E-2</v>
      </c>
      <c r="J265" s="177">
        <v>2.199074074074074E-4</v>
      </c>
      <c r="K265" s="39">
        <v>19</v>
      </c>
      <c r="L265" s="33" t="s">
        <v>640</v>
      </c>
      <c r="M265" s="33" t="s">
        <v>466</v>
      </c>
      <c r="N265" s="33" t="s">
        <v>187</v>
      </c>
      <c r="O265" s="33" t="s">
        <v>23</v>
      </c>
      <c r="P265" s="33">
        <v>1</v>
      </c>
      <c r="Q265" s="33">
        <v>3</v>
      </c>
      <c r="R265" s="33">
        <v>1</v>
      </c>
      <c r="S265" s="33"/>
      <c r="T265" t="s">
        <v>14</v>
      </c>
      <c r="U265" s="33" t="s">
        <v>2128</v>
      </c>
      <c r="V265" s="33" t="s">
        <v>122</v>
      </c>
      <c r="W265" t="s">
        <v>2061</v>
      </c>
      <c r="X265" s="44" t="s">
        <v>23</v>
      </c>
      <c r="Y265" s="44" t="s">
        <v>3999</v>
      </c>
      <c r="Z265" s="44" t="s">
        <v>4006</v>
      </c>
      <c r="AA265" s="33" t="s">
        <v>176</v>
      </c>
      <c r="AB265" s="35">
        <v>63.738860000000003</v>
      </c>
      <c r="AC265" s="35">
        <v>148.90303</v>
      </c>
      <c r="AD265" s="39">
        <v>0</v>
      </c>
      <c r="AE265" s="39">
        <v>0</v>
      </c>
      <c r="AF265" s="39">
        <v>0</v>
      </c>
      <c r="AG265" s="39">
        <v>0</v>
      </c>
      <c r="AH265" s="39">
        <v>5</v>
      </c>
      <c r="AI265" s="33">
        <v>0</v>
      </c>
      <c r="AJ265" s="33">
        <f t="shared" si="4"/>
        <v>5</v>
      </c>
      <c r="AK265" s="33"/>
      <c r="AL265" s="33"/>
      <c r="AM265" s="33"/>
      <c r="AN265" s="33"/>
    </row>
    <row r="266" spans="1:47" s="33" customFormat="1" x14ac:dyDescent="0.2">
      <c r="A266" s="33" t="s">
        <v>687</v>
      </c>
      <c r="B266" s="33" t="s">
        <v>877</v>
      </c>
      <c r="C266" s="33">
        <v>3</v>
      </c>
      <c r="D266" s="33">
        <v>1</v>
      </c>
      <c r="E266" s="33" t="s">
        <v>834</v>
      </c>
      <c r="F266" s="37">
        <v>43358</v>
      </c>
      <c r="G266" s="37" t="s">
        <v>4032</v>
      </c>
      <c r="H266" s="37" t="s">
        <v>4724</v>
      </c>
      <c r="I266" s="36">
        <v>3.4027777777777775E-2</v>
      </c>
      <c r="J266" s="177">
        <v>5.6712962962962956E-4</v>
      </c>
      <c r="K266" s="39">
        <v>49</v>
      </c>
      <c r="L266" s="33" t="s">
        <v>640</v>
      </c>
      <c r="M266" s="33" t="s">
        <v>466</v>
      </c>
      <c r="N266" s="33" t="s">
        <v>102</v>
      </c>
      <c r="O266" s="33" t="s">
        <v>23</v>
      </c>
      <c r="P266" s="33">
        <v>2</v>
      </c>
      <c r="Q266" s="33" t="s">
        <v>2289</v>
      </c>
      <c r="R266" s="33">
        <v>1</v>
      </c>
      <c r="T266" t="s">
        <v>14</v>
      </c>
      <c r="U266" s="33" t="s">
        <v>2128</v>
      </c>
      <c r="V266" s="33" t="s">
        <v>122</v>
      </c>
      <c r="W266" t="s">
        <v>2061</v>
      </c>
      <c r="X266" s="44" t="s">
        <v>23</v>
      </c>
      <c r="Y266" s="44" t="s">
        <v>3999</v>
      </c>
      <c r="Z266" s="44" t="s">
        <v>4006</v>
      </c>
      <c r="AA266" s="33" t="s">
        <v>176</v>
      </c>
      <c r="AB266" s="35">
        <v>63.738280000000003</v>
      </c>
      <c r="AC266" s="35">
        <v>148.89919</v>
      </c>
      <c r="AD266" s="39">
        <v>0</v>
      </c>
      <c r="AE266" s="39">
        <v>0</v>
      </c>
      <c r="AF266" s="39">
        <v>0</v>
      </c>
      <c r="AG266" s="39">
        <v>0</v>
      </c>
      <c r="AH266" s="39">
        <v>27</v>
      </c>
      <c r="AI266" s="33">
        <v>0</v>
      </c>
      <c r="AJ266" s="33">
        <f t="shared" si="4"/>
        <v>27</v>
      </c>
      <c r="AQ266" s="34"/>
    </row>
    <row r="267" spans="1:47" x14ac:dyDescent="0.2">
      <c r="A267" s="7" t="s">
        <v>688</v>
      </c>
      <c r="B267" s="7" t="s">
        <v>878</v>
      </c>
      <c r="C267" s="7">
        <v>4</v>
      </c>
      <c r="D267" s="7">
        <v>1</v>
      </c>
      <c r="E267" s="7" t="s">
        <v>834</v>
      </c>
      <c r="F267" s="10">
        <v>43358</v>
      </c>
      <c r="G267" s="37" t="s">
        <v>4032</v>
      </c>
      <c r="H267" s="37" t="s">
        <v>4724</v>
      </c>
      <c r="I267" s="8">
        <v>3.0555555555555555E-2</v>
      </c>
      <c r="J267" s="178">
        <v>5.0925925925925921E-4</v>
      </c>
      <c r="K267" s="9">
        <v>44</v>
      </c>
      <c r="L267" s="7" t="s">
        <v>640</v>
      </c>
      <c r="M267" s="7" t="s">
        <v>466</v>
      </c>
      <c r="N267" s="7" t="s">
        <v>102</v>
      </c>
      <c r="O267" s="7" t="s">
        <v>23</v>
      </c>
      <c r="P267" s="7">
        <v>1</v>
      </c>
      <c r="Q267" s="7"/>
      <c r="R267" s="7">
        <v>0</v>
      </c>
      <c r="S267" s="7"/>
      <c r="T267" t="s">
        <v>176</v>
      </c>
      <c r="U267" t="s">
        <v>176</v>
      </c>
      <c r="V267" s="7" t="s">
        <v>263</v>
      </c>
      <c r="W267" s="7" t="s">
        <v>115</v>
      </c>
      <c r="X267" s="33" t="s">
        <v>115</v>
      </c>
      <c r="Y267" s="33" t="s">
        <v>115</v>
      </c>
      <c r="Z267" s="33" t="s">
        <v>115</v>
      </c>
      <c r="AA267" s="20" t="s">
        <v>115</v>
      </c>
      <c r="AB267" s="20" t="s">
        <v>115</v>
      </c>
      <c r="AC267" s="20"/>
      <c r="AD267" s="9">
        <v>17</v>
      </c>
      <c r="AE267" s="9">
        <v>0</v>
      </c>
      <c r="AF267" s="9">
        <v>17</v>
      </c>
      <c r="AG267" s="9">
        <v>0</v>
      </c>
      <c r="AH267" s="9">
        <v>0</v>
      </c>
      <c r="AI267">
        <v>0</v>
      </c>
      <c r="AJ267">
        <f t="shared" si="4"/>
        <v>17</v>
      </c>
      <c r="AK267" s="7"/>
      <c r="AL267" s="7"/>
      <c r="AM267" s="7"/>
      <c r="AN267" s="7"/>
    </row>
    <row r="268" spans="1:47" s="33" customFormat="1" x14ac:dyDescent="0.2">
      <c r="A268" s="4" t="s">
        <v>689</v>
      </c>
      <c r="B268" s="4" t="s">
        <v>4935</v>
      </c>
      <c r="C268" s="4">
        <v>1</v>
      </c>
      <c r="D268" s="4">
        <v>1</v>
      </c>
      <c r="E268" s="4" t="s">
        <v>2601</v>
      </c>
      <c r="F268" s="13">
        <v>43358</v>
      </c>
      <c r="G268" s="37" t="s">
        <v>4032</v>
      </c>
      <c r="H268" s="37" t="s">
        <v>4724</v>
      </c>
      <c r="I268" s="14">
        <v>9.0277777777777787E-3</v>
      </c>
      <c r="J268" s="179">
        <v>1.5046296296296297E-4</v>
      </c>
      <c r="K268" s="15">
        <v>13</v>
      </c>
      <c r="L268" s="4" t="s">
        <v>640</v>
      </c>
      <c r="M268" s="4" t="s">
        <v>173</v>
      </c>
      <c r="N268" s="4" t="s">
        <v>111</v>
      </c>
      <c r="O268" s="4" t="s">
        <v>23</v>
      </c>
      <c r="P268" s="4" t="s">
        <v>115</v>
      </c>
      <c r="Q268" s="4"/>
      <c r="R268" s="4">
        <v>1</v>
      </c>
      <c r="S268" s="4"/>
      <c r="T268" t="s">
        <v>461</v>
      </c>
      <c r="U268" t="s">
        <v>2125</v>
      </c>
      <c r="V268" s="4" t="s">
        <v>115</v>
      </c>
      <c r="W268" s="4" t="s">
        <v>333</v>
      </c>
      <c r="X268" s="44" t="s">
        <v>23</v>
      </c>
      <c r="Y268" s="44" t="s">
        <v>3999</v>
      </c>
      <c r="Z268" s="44" t="s">
        <v>4006</v>
      </c>
      <c r="AA268" s="4">
        <v>19</v>
      </c>
      <c r="AB268" s="21">
        <v>63.724809999999998</v>
      </c>
      <c r="AC268" s="21">
        <v>148.95639</v>
      </c>
      <c r="AD268" s="15">
        <v>0</v>
      </c>
      <c r="AE268" s="15">
        <v>0</v>
      </c>
      <c r="AF268" s="15">
        <v>0</v>
      </c>
      <c r="AG268" s="15">
        <v>0</v>
      </c>
      <c r="AH268" s="15">
        <v>0</v>
      </c>
      <c r="AI268">
        <v>0</v>
      </c>
      <c r="AJ268">
        <f t="shared" si="4"/>
        <v>0</v>
      </c>
      <c r="AK268" s="4"/>
      <c r="AL268" s="4" t="s">
        <v>691</v>
      </c>
      <c r="AM268" s="4"/>
      <c r="AN268" s="4"/>
      <c r="AQ268" s="34"/>
    </row>
    <row r="269" spans="1:47" s="4" customFormat="1" x14ac:dyDescent="0.2">
      <c r="A269" s="4" t="s">
        <v>692</v>
      </c>
      <c r="B269" s="4" t="s">
        <v>4938</v>
      </c>
      <c r="C269" s="4">
        <v>2</v>
      </c>
      <c r="D269" s="4">
        <v>1</v>
      </c>
      <c r="E269" s="4" t="s">
        <v>2601</v>
      </c>
      <c r="F269" s="13">
        <v>43358</v>
      </c>
      <c r="G269" s="37" t="s">
        <v>4032</v>
      </c>
      <c r="H269" s="37" t="s">
        <v>4724</v>
      </c>
      <c r="I269" s="14">
        <v>2.7777777777777779E-3</v>
      </c>
      <c r="J269" s="179">
        <v>4.6296296296296294E-5</v>
      </c>
      <c r="K269" s="15">
        <v>4</v>
      </c>
      <c r="L269" s="4" t="s">
        <v>640</v>
      </c>
      <c r="M269" s="4" t="s">
        <v>173</v>
      </c>
      <c r="N269" s="4" t="s">
        <v>102</v>
      </c>
      <c r="O269" s="4" t="s">
        <v>115</v>
      </c>
      <c r="P269" s="4">
        <v>1</v>
      </c>
      <c r="R269" s="4">
        <v>0</v>
      </c>
      <c r="T269" t="s">
        <v>461</v>
      </c>
      <c r="U269" t="s">
        <v>2125</v>
      </c>
      <c r="V269" s="4" t="s">
        <v>122</v>
      </c>
      <c r="W269" s="4" t="s">
        <v>115</v>
      </c>
      <c r="X269" s="33" t="s">
        <v>115</v>
      </c>
      <c r="Y269" s="33" t="s">
        <v>115</v>
      </c>
      <c r="Z269" s="33" t="s">
        <v>115</v>
      </c>
      <c r="AA269" t="s">
        <v>115</v>
      </c>
      <c r="AB269" s="21" t="s">
        <v>115</v>
      </c>
      <c r="AC269" s="21"/>
      <c r="AD269" s="15">
        <v>0</v>
      </c>
      <c r="AE269" s="15">
        <v>0</v>
      </c>
      <c r="AF269" s="15">
        <v>0</v>
      </c>
      <c r="AG269" s="15">
        <v>0</v>
      </c>
      <c r="AH269" s="15">
        <v>0</v>
      </c>
      <c r="AI269">
        <v>0</v>
      </c>
      <c r="AJ269">
        <f t="shared" si="4"/>
        <v>0</v>
      </c>
      <c r="AL269" s="4" t="s">
        <v>691</v>
      </c>
      <c r="AO269"/>
      <c r="AP269"/>
      <c r="AQ269"/>
      <c r="AR269"/>
      <c r="AS269"/>
      <c r="AT269"/>
      <c r="AU269"/>
    </row>
    <row r="270" spans="1:47" s="4" customFormat="1" x14ac:dyDescent="0.2">
      <c r="A270" s="33" t="s">
        <v>713</v>
      </c>
      <c r="B270" s="33" t="s">
        <v>4943</v>
      </c>
      <c r="C270" s="33">
        <v>13</v>
      </c>
      <c r="D270" s="33">
        <v>1</v>
      </c>
      <c r="E270" s="33" t="s">
        <v>2601</v>
      </c>
      <c r="F270" s="37">
        <v>43358</v>
      </c>
      <c r="G270" s="37" t="s">
        <v>4032</v>
      </c>
      <c r="H270" s="37" t="s">
        <v>4724</v>
      </c>
      <c r="I270" s="36">
        <v>2.8472222222222222E-2</v>
      </c>
      <c r="J270" s="177">
        <v>4.7453703703703704E-4</v>
      </c>
      <c r="K270" s="39">
        <v>41</v>
      </c>
      <c r="L270" s="33" t="s">
        <v>640</v>
      </c>
      <c r="M270" s="33" t="s">
        <v>24</v>
      </c>
      <c r="N270" s="33" t="s">
        <v>102</v>
      </c>
      <c r="O270" s="33" t="s">
        <v>115</v>
      </c>
      <c r="P270" s="33">
        <v>1</v>
      </c>
      <c r="Q270" s="33"/>
      <c r="R270" s="33">
        <v>0</v>
      </c>
      <c r="S270" s="33"/>
      <c r="T270" t="s">
        <v>14</v>
      </c>
      <c r="U270" s="33" t="s">
        <v>14</v>
      </c>
      <c r="V270" s="33" t="s">
        <v>122</v>
      </c>
      <c r="W270" s="33" t="s">
        <v>115</v>
      </c>
      <c r="X270" s="33" t="s">
        <v>115</v>
      </c>
      <c r="Y270" s="33" t="s">
        <v>115</v>
      </c>
      <c r="Z270" s="33" t="s">
        <v>115</v>
      </c>
      <c r="AA270" s="33" t="s">
        <v>115</v>
      </c>
      <c r="AB270" s="35" t="s">
        <v>115</v>
      </c>
      <c r="AC270" s="35"/>
      <c r="AD270" s="39">
        <v>0</v>
      </c>
      <c r="AE270" s="39">
        <v>0</v>
      </c>
      <c r="AF270" s="39">
        <v>0</v>
      </c>
      <c r="AG270" s="39">
        <v>0</v>
      </c>
      <c r="AH270" s="39">
        <v>24</v>
      </c>
      <c r="AI270" s="33">
        <v>0</v>
      </c>
      <c r="AJ270" s="33">
        <f t="shared" si="4"/>
        <v>24</v>
      </c>
      <c r="AK270" s="33"/>
      <c r="AL270" s="33"/>
      <c r="AM270" s="33"/>
      <c r="AN270" s="33"/>
      <c r="AO270" s="33"/>
      <c r="AP270" s="33"/>
      <c r="AQ270" s="34"/>
      <c r="AR270" s="33"/>
      <c r="AS270" s="33"/>
      <c r="AT270" s="33"/>
      <c r="AU270" s="33"/>
    </row>
    <row r="271" spans="1:47" s="4" customFormat="1" hidden="1" x14ac:dyDescent="0.2">
      <c r="A271" s="4" t="s">
        <v>713</v>
      </c>
      <c r="B271" s="4" t="s">
        <v>4943</v>
      </c>
      <c r="C271" s="4">
        <v>13</v>
      </c>
      <c r="D271" s="4">
        <v>2</v>
      </c>
      <c r="E271" s="4" t="s">
        <v>2601</v>
      </c>
      <c r="F271" s="13">
        <v>43358</v>
      </c>
      <c r="G271" s="37" t="s">
        <v>4032</v>
      </c>
      <c r="H271" s="37" t="s">
        <v>4724</v>
      </c>
      <c r="I271" s="14">
        <v>2.8472222222222222E-2</v>
      </c>
      <c r="J271" s="179">
        <v>4.7453703703703704E-4</v>
      </c>
      <c r="K271" s="15">
        <v>41</v>
      </c>
      <c r="L271" s="4" t="s">
        <v>640</v>
      </c>
      <c r="M271" s="4" t="s">
        <v>24</v>
      </c>
      <c r="N271" s="4" t="s">
        <v>102</v>
      </c>
      <c r="O271" s="4" t="s">
        <v>115</v>
      </c>
      <c r="P271" s="4">
        <v>1</v>
      </c>
      <c r="R271" s="4">
        <v>0</v>
      </c>
      <c r="T271" t="s">
        <v>176</v>
      </c>
      <c r="U271" t="s">
        <v>176</v>
      </c>
      <c r="V271" s="4" t="s">
        <v>122</v>
      </c>
      <c r="W271" s="4" t="s">
        <v>115</v>
      </c>
      <c r="X271" s="33" t="s">
        <v>115</v>
      </c>
      <c r="Y271" s="33" t="s">
        <v>115</v>
      </c>
      <c r="Z271" s="33" t="s">
        <v>115</v>
      </c>
      <c r="AA271" t="s">
        <v>115</v>
      </c>
      <c r="AB271" s="21" t="s">
        <v>115</v>
      </c>
      <c r="AC271" s="21"/>
      <c r="AD271" s="15">
        <v>0</v>
      </c>
      <c r="AE271" s="15">
        <v>0</v>
      </c>
      <c r="AF271" s="15">
        <v>0</v>
      </c>
      <c r="AG271" s="15">
        <v>0</v>
      </c>
      <c r="AH271" s="15">
        <v>0</v>
      </c>
      <c r="AI271">
        <v>0</v>
      </c>
      <c r="AJ271">
        <f t="shared" si="4"/>
        <v>0</v>
      </c>
      <c r="AO271"/>
      <c r="AP271"/>
      <c r="AQ271"/>
      <c r="AR271"/>
      <c r="AS271"/>
      <c r="AT271"/>
      <c r="AU271"/>
    </row>
    <row r="272" spans="1:47" s="4" customFormat="1" x14ac:dyDescent="0.2">
      <c r="A272" s="4" t="s">
        <v>693</v>
      </c>
      <c r="B272" s="4" t="s">
        <v>4939</v>
      </c>
      <c r="C272" s="4">
        <v>3</v>
      </c>
      <c r="D272" s="4">
        <v>1</v>
      </c>
      <c r="E272" s="4" t="s">
        <v>2601</v>
      </c>
      <c r="F272" s="13">
        <v>43358</v>
      </c>
      <c r="G272" s="37" t="s">
        <v>4032</v>
      </c>
      <c r="H272" s="37" t="s">
        <v>4724</v>
      </c>
      <c r="I272" s="14">
        <v>2.7083333333333334E-2</v>
      </c>
      <c r="J272" s="179">
        <v>4.5138888888888892E-4</v>
      </c>
      <c r="K272" s="15">
        <v>39</v>
      </c>
      <c r="L272" s="4" t="s">
        <v>640</v>
      </c>
      <c r="M272" s="4" t="s">
        <v>24</v>
      </c>
      <c r="N272" s="4" t="s">
        <v>102</v>
      </c>
      <c r="O272" s="4" t="s">
        <v>23</v>
      </c>
      <c r="P272" s="4">
        <v>1</v>
      </c>
      <c r="R272" s="4">
        <v>1</v>
      </c>
      <c r="T272" t="s">
        <v>461</v>
      </c>
      <c r="U272" t="s">
        <v>2125</v>
      </c>
      <c r="V272" s="4" t="s">
        <v>122</v>
      </c>
      <c r="W272" s="4" t="s">
        <v>1940</v>
      </c>
      <c r="X272" s="4" t="s">
        <v>23</v>
      </c>
      <c r="Y272" s="4" t="s">
        <v>3999</v>
      </c>
      <c r="Z272" s="4" t="s">
        <v>4001</v>
      </c>
      <c r="AA272" s="4">
        <v>17</v>
      </c>
      <c r="AB272" s="21">
        <v>63.72486</v>
      </c>
      <c r="AC272" s="21">
        <v>148.95638</v>
      </c>
      <c r="AD272" s="15">
        <v>0</v>
      </c>
      <c r="AE272" s="15">
        <v>0</v>
      </c>
      <c r="AF272" s="15">
        <v>0</v>
      </c>
      <c r="AG272" s="15">
        <v>0</v>
      </c>
      <c r="AH272" s="15">
        <v>0</v>
      </c>
      <c r="AI272">
        <v>0</v>
      </c>
      <c r="AJ272">
        <f t="shared" si="4"/>
        <v>0</v>
      </c>
      <c r="AL272" s="4" t="s">
        <v>691</v>
      </c>
      <c r="AO272"/>
      <c r="AP272"/>
      <c r="AQ272"/>
      <c r="AR272"/>
      <c r="AS272"/>
      <c r="AT272"/>
      <c r="AU272"/>
    </row>
    <row r="273" spans="1:47" s="4" customFormat="1" x14ac:dyDescent="0.2">
      <c r="A273" s="4" t="s">
        <v>696</v>
      </c>
      <c r="B273" s="4" t="s">
        <v>4940</v>
      </c>
      <c r="C273" s="4">
        <v>4</v>
      </c>
      <c r="D273" s="4">
        <v>1</v>
      </c>
      <c r="E273" s="4" t="s">
        <v>2601</v>
      </c>
      <c r="F273" s="13">
        <v>43358</v>
      </c>
      <c r="G273" s="37" t="s">
        <v>4032</v>
      </c>
      <c r="H273" s="37" t="s">
        <v>4724</v>
      </c>
      <c r="I273" s="14">
        <v>1.5972222222222224E-2</v>
      </c>
      <c r="J273" s="179">
        <v>2.6620370370370372E-4</v>
      </c>
      <c r="K273" s="15">
        <v>23</v>
      </c>
      <c r="L273" s="4" t="s">
        <v>640</v>
      </c>
      <c r="M273" s="4" t="s">
        <v>173</v>
      </c>
      <c r="N273" s="4" t="s">
        <v>102</v>
      </c>
      <c r="O273" s="4" t="s">
        <v>115</v>
      </c>
      <c r="P273" s="4">
        <v>1</v>
      </c>
      <c r="R273" s="4">
        <v>0</v>
      </c>
      <c r="T273" t="s">
        <v>461</v>
      </c>
      <c r="U273" t="s">
        <v>2125</v>
      </c>
      <c r="V273" s="4" t="s">
        <v>122</v>
      </c>
      <c r="W273" s="4" t="s">
        <v>115</v>
      </c>
      <c r="X273" s="33" t="s">
        <v>115</v>
      </c>
      <c r="Y273" s="33" t="s">
        <v>115</v>
      </c>
      <c r="Z273" s="33" t="s">
        <v>115</v>
      </c>
      <c r="AA273" t="s">
        <v>115</v>
      </c>
      <c r="AB273" s="21" t="s">
        <v>115</v>
      </c>
      <c r="AC273" s="21"/>
      <c r="AD273" s="15">
        <v>0</v>
      </c>
      <c r="AE273" s="15">
        <v>0</v>
      </c>
      <c r="AF273" s="15">
        <v>0</v>
      </c>
      <c r="AG273" s="15">
        <v>0</v>
      </c>
      <c r="AH273" s="15">
        <v>0</v>
      </c>
      <c r="AI273">
        <v>0</v>
      </c>
      <c r="AJ273">
        <f t="shared" si="4"/>
        <v>0</v>
      </c>
      <c r="AL273" s="4" t="s">
        <v>691</v>
      </c>
      <c r="AO273"/>
      <c r="AP273"/>
      <c r="AQ273"/>
      <c r="AR273"/>
      <c r="AS273"/>
      <c r="AT273"/>
      <c r="AU273"/>
    </row>
    <row r="274" spans="1:47" s="4" customFormat="1" hidden="1" x14ac:dyDescent="0.2">
      <c r="A274" s="4" t="s">
        <v>696</v>
      </c>
      <c r="B274" s="4" t="s">
        <v>4940</v>
      </c>
      <c r="C274" s="4">
        <v>4</v>
      </c>
      <c r="D274" s="4">
        <v>2</v>
      </c>
      <c r="E274" s="4" t="s">
        <v>2601</v>
      </c>
      <c r="F274" s="13">
        <v>43358</v>
      </c>
      <c r="G274" s="37" t="s">
        <v>4032</v>
      </c>
      <c r="H274" s="37" t="s">
        <v>4724</v>
      </c>
      <c r="I274" s="14">
        <v>1.5972222222222224E-2</v>
      </c>
      <c r="J274" s="179">
        <v>2.6620370370370372E-4</v>
      </c>
      <c r="K274" s="15">
        <v>23</v>
      </c>
      <c r="L274" s="4" t="s">
        <v>640</v>
      </c>
      <c r="M274" s="4" t="s">
        <v>177</v>
      </c>
      <c r="N274" s="4" t="s">
        <v>102</v>
      </c>
      <c r="O274" s="4" t="s">
        <v>115</v>
      </c>
      <c r="P274" s="4">
        <v>1</v>
      </c>
      <c r="R274" s="4">
        <v>0</v>
      </c>
      <c r="T274" t="s">
        <v>461</v>
      </c>
      <c r="U274" t="s">
        <v>2125</v>
      </c>
      <c r="V274" s="4" t="s">
        <v>122</v>
      </c>
      <c r="W274" s="4" t="s">
        <v>115</v>
      </c>
      <c r="X274" s="33" t="s">
        <v>115</v>
      </c>
      <c r="Y274" s="33" t="s">
        <v>115</v>
      </c>
      <c r="Z274" s="33" t="s">
        <v>115</v>
      </c>
      <c r="AA274" t="s">
        <v>115</v>
      </c>
      <c r="AB274" s="21" t="s">
        <v>115</v>
      </c>
      <c r="AC274" s="21"/>
      <c r="AD274" s="15">
        <v>0</v>
      </c>
      <c r="AE274" s="15">
        <v>0</v>
      </c>
      <c r="AF274" s="15">
        <v>0</v>
      </c>
      <c r="AG274" s="15">
        <v>0</v>
      </c>
      <c r="AH274" s="15">
        <v>0</v>
      </c>
      <c r="AI274">
        <v>0</v>
      </c>
      <c r="AJ274">
        <f t="shared" si="4"/>
        <v>0</v>
      </c>
      <c r="AL274" s="4" t="s">
        <v>691</v>
      </c>
      <c r="AO274" s="33"/>
      <c r="AP274" s="33"/>
      <c r="AQ274" s="34"/>
      <c r="AR274" s="33"/>
      <c r="AS274" s="33"/>
      <c r="AT274" s="33"/>
      <c r="AU274" s="33"/>
    </row>
    <row r="275" spans="1:47" s="4" customFormat="1" x14ac:dyDescent="0.2">
      <c r="A275" s="4" t="s">
        <v>697</v>
      </c>
      <c r="B275" s="4" t="s">
        <v>4941</v>
      </c>
      <c r="C275" s="4">
        <v>5</v>
      </c>
      <c r="D275" s="4">
        <v>1</v>
      </c>
      <c r="E275" s="4" t="s">
        <v>2601</v>
      </c>
      <c r="F275" s="13">
        <v>43358</v>
      </c>
      <c r="G275" s="37" t="s">
        <v>4032</v>
      </c>
      <c r="H275" s="37" t="s">
        <v>4724</v>
      </c>
      <c r="I275" s="14">
        <v>4.1666666666666666E-3</v>
      </c>
      <c r="J275" s="179">
        <v>6.9444444444444444E-5</v>
      </c>
      <c r="K275" s="15">
        <v>6</v>
      </c>
      <c r="L275" s="4" t="s">
        <v>640</v>
      </c>
      <c r="M275" s="4" t="s">
        <v>173</v>
      </c>
      <c r="N275" s="4" t="s">
        <v>107</v>
      </c>
      <c r="O275" s="4" t="s">
        <v>23</v>
      </c>
      <c r="P275" s="4">
        <v>1</v>
      </c>
      <c r="R275" s="4">
        <v>0</v>
      </c>
      <c r="T275" t="s">
        <v>461</v>
      </c>
      <c r="U275" t="s">
        <v>2125</v>
      </c>
      <c r="V275" s="4" t="s">
        <v>115</v>
      </c>
      <c r="W275" s="4" t="s">
        <v>115</v>
      </c>
      <c r="X275" s="33" t="s">
        <v>115</v>
      </c>
      <c r="Y275" s="33" t="s">
        <v>115</v>
      </c>
      <c r="Z275" s="33" t="s">
        <v>115</v>
      </c>
      <c r="AA275" t="s">
        <v>115</v>
      </c>
      <c r="AB275" s="21" t="s">
        <v>115</v>
      </c>
      <c r="AC275" s="21"/>
      <c r="AD275" s="15">
        <v>0</v>
      </c>
      <c r="AE275" s="15">
        <v>0</v>
      </c>
      <c r="AF275" s="15">
        <v>0</v>
      </c>
      <c r="AG275" s="15">
        <v>0</v>
      </c>
      <c r="AH275" s="15">
        <v>0</v>
      </c>
      <c r="AI275">
        <v>0</v>
      </c>
      <c r="AJ275">
        <f t="shared" si="4"/>
        <v>0</v>
      </c>
      <c r="AL275" s="4" t="s">
        <v>698</v>
      </c>
      <c r="AO275"/>
      <c r="AP275"/>
      <c r="AQ275"/>
      <c r="AR275"/>
      <c r="AS275"/>
      <c r="AT275"/>
      <c r="AU275"/>
    </row>
    <row r="276" spans="1:47" s="4" customFormat="1" x14ac:dyDescent="0.2">
      <c r="A276" s="4" t="s">
        <v>699</v>
      </c>
      <c r="B276" s="4" t="s">
        <v>4946</v>
      </c>
      <c r="C276" s="4">
        <v>6</v>
      </c>
      <c r="D276" s="4">
        <v>1</v>
      </c>
      <c r="E276" s="4" t="s">
        <v>2601</v>
      </c>
      <c r="F276" s="13">
        <v>43358</v>
      </c>
      <c r="G276" s="37" t="s">
        <v>4032</v>
      </c>
      <c r="H276" s="37" t="s">
        <v>4724</v>
      </c>
      <c r="I276" s="14">
        <v>2.7777777777777779E-3</v>
      </c>
      <c r="J276" s="179">
        <v>4.6296296296296294E-5</v>
      </c>
      <c r="K276" s="15">
        <v>4</v>
      </c>
      <c r="L276" s="4" t="s">
        <v>640</v>
      </c>
      <c r="M276" s="4" t="s">
        <v>173</v>
      </c>
      <c r="N276" s="4" t="s">
        <v>111</v>
      </c>
      <c r="O276" s="4" t="s">
        <v>23</v>
      </c>
      <c r="P276" s="4">
        <v>0</v>
      </c>
      <c r="R276" s="4">
        <v>1</v>
      </c>
      <c r="T276" t="s">
        <v>461</v>
      </c>
      <c r="U276" t="s">
        <v>2125</v>
      </c>
      <c r="V276" s="4" t="s">
        <v>115</v>
      </c>
      <c r="W276" s="4" t="s">
        <v>645</v>
      </c>
      <c r="X276" s="44" t="s">
        <v>23</v>
      </c>
      <c r="Y276" s="44" t="s">
        <v>3999</v>
      </c>
      <c r="Z276" s="44" t="s">
        <v>4006</v>
      </c>
      <c r="AA276" s="4">
        <v>3</v>
      </c>
      <c r="AB276" s="21">
        <v>63.72486</v>
      </c>
      <c r="AC276" s="21">
        <v>148.95665</v>
      </c>
      <c r="AD276" s="15">
        <v>0</v>
      </c>
      <c r="AE276" s="15">
        <v>0</v>
      </c>
      <c r="AF276" s="15">
        <v>0</v>
      </c>
      <c r="AG276" s="15">
        <v>0</v>
      </c>
      <c r="AH276" s="15">
        <v>0</v>
      </c>
      <c r="AI276">
        <v>0</v>
      </c>
      <c r="AJ276">
        <f t="shared" si="4"/>
        <v>0</v>
      </c>
      <c r="AO276" s="33"/>
      <c r="AP276" s="33"/>
      <c r="AQ276" s="34"/>
      <c r="AR276" s="33"/>
      <c r="AS276" s="33"/>
      <c r="AT276" s="33"/>
      <c r="AU276" s="33"/>
    </row>
    <row r="277" spans="1:47" s="33" customFormat="1" x14ac:dyDescent="0.2">
      <c r="A277" s="4" t="s">
        <v>701</v>
      </c>
      <c r="B277" s="4" t="s">
        <v>4947</v>
      </c>
      <c r="C277" s="4">
        <v>7</v>
      </c>
      <c r="D277" s="4">
        <v>1</v>
      </c>
      <c r="E277" s="4" t="s">
        <v>2601</v>
      </c>
      <c r="F277" s="13">
        <v>43358</v>
      </c>
      <c r="G277" s="37" t="s">
        <v>4032</v>
      </c>
      <c r="H277" s="37" t="s">
        <v>4724</v>
      </c>
      <c r="I277" s="14">
        <v>5.4166666666666669E-2</v>
      </c>
      <c r="J277" s="179">
        <v>9.0277777777777784E-4</v>
      </c>
      <c r="K277" s="15">
        <v>78</v>
      </c>
      <c r="L277" s="4" t="s">
        <v>640</v>
      </c>
      <c r="M277" s="4" t="s">
        <v>173</v>
      </c>
      <c r="N277" s="4" t="s">
        <v>702</v>
      </c>
      <c r="O277" s="4" t="s">
        <v>23</v>
      </c>
      <c r="P277" s="4">
        <v>0</v>
      </c>
      <c r="Q277" s="4"/>
      <c r="R277" s="4">
        <v>0</v>
      </c>
      <c r="S277" s="4"/>
      <c r="T277" t="s">
        <v>461</v>
      </c>
      <c r="U277" t="s">
        <v>2125</v>
      </c>
      <c r="V277" s="4" t="s">
        <v>115</v>
      </c>
      <c r="W277" s="4" t="s">
        <v>115</v>
      </c>
      <c r="X277" s="33" t="s">
        <v>115</v>
      </c>
      <c r="Y277" s="33" t="s">
        <v>115</v>
      </c>
      <c r="Z277" s="33" t="s">
        <v>115</v>
      </c>
      <c r="AA277" t="s">
        <v>115</v>
      </c>
      <c r="AB277" s="21" t="s">
        <v>115</v>
      </c>
      <c r="AC277" s="21"/>
      <c r="AD277" s="15">
        <v>0</v>
      </c>
      <c r="AE277" s="15">
        <v>0</v>
      </c>
      <c r="AF277" s="15">
        <v>0</v>
      </c>
      <c r="AG277" s="15">
        <v>0</v>
      </c>
      <c r="AH277" s="15">
        <v>0</v>
      </c>
      <c r="AI277">
        <v>0</v>
      </c>
      <c r="AJ277">
        <f t="shared" si="4"/>
        <v>0</v>
      </c>
      <c r="AK277" s="4"/>
      <c r="AL277" s="4"/>
      <c r="AM277" s="4"/>
      <c r="AN277" s="4"/>
      <c r="AQ277" s="34"/>
    </row>
    <row r="278" spans="1:47" s="4" customFormat="1" x14ac:dyDescent="0.2">
      <c r="A278" s="33" t="s">
        <v>703</v>
      </c>
      <c r="B278" s="33" t="s">
        <v>4931</v>
      </c>
      <c r="C278" s="33">
        <v>8</v>
      </c>
      <c r="D278" s="33">
        <v>1</v>
      </c>
      <c r="E278" s="33" t="s">
        <v>2601</v>
      </c>
      <c r="F278" s="37">
        <v>43358</v>
      </c>
      <c r="G278" s="37" t="s">
        <v>4032</v>
      </c>
      <c r="H278" s="37" t="s">
        <v>4724</v>
      </c>
      <c r="I278" s="36">
        <v>3.6111111111111115E-2</v>
      </c>
      <c r="J278" s="177">
        <v>6.018518518518519E-4</v>
      </c>
      <c r="K278" s="39">
        <v>52</v>
      </c>
      <c r="L278" s="33" t="s">
        <v>640</v>
      </c>
      <c r="M278" s="33" t="s">
        <v>173</v>
      </c>
      <c r="N278" s="33" t="s">
        <v>102</v>
      </c>
      <c r="O278" s="33" t="s">
        <v>115</v>
      </c>
      <c r="P278" s="33" t="s">
        <v>24</v>
      </c>
      <c r="Q278" s="33"/>
      <c r="R278" s="33">
        <v>0</v>
      </c>
      <c r="S278" s="33"/>
      <c r="T278" s="33"/>
      <c r="U278" s="33" t="s">
        <v>115</v>
      </c>
      <c r="V278" s="33" t="s">
        <v>115</v>
      </c>
      <c r="W278" s="33" t="s">
        <v>115</v>
      </c>
      <c r="X278" s="33" t="s">
        <v>115</v>
      </c>
      <c r="Y278" s="33" t="s">
        <v>115</v>
      </c>
      <c r="Z278" s="33" t="s">
        <v>115</v>
      </c>
      <c r="AA278" s="33" t="s">
        <v>115</v>
      </c>
      <c r="AB278" s="35" t="s">
        <v>115</v>
      </c>
      <c r="AC278" s="35"/>
      <c r="AD278" s="39">
        <v>0</v>
      </c>
      <c r="AE278" s="39">
        <v>0</v>
      </c>
      <c r="AF278" s="39">
        <v>0</v>
      </c>
      <c r="AG278" s="39">
        <v>0</v>
      </c>
      <c r="AH278" s="39">
        <v>47</v>
      </c>
      <c r="AI278" s="33">
        <v>0</v>
      </c>
      <c r="AJ278" s="33">
        <f t="shared" si="4"/>
        <v>47</v>
      </c>
      <c r="AK278" s="39"/>
      <c r="AL278" s="33"/>
      <c r="AM278" s="33"/>
      <c r="AN278" s="33"/>
      <c r="AO278" s="33"/>
      <c r="AP278" s="33"/>
      <c r="AQ278" s="34"/>
      <c r="AR278" s="33"/>
      <c r="AS278" s="33"/>
      <c r="AT278" s="33"/>
      <c r="AU278" s="33"/>
    </row>
    <row r="279" spans="1:47" s="4" customFormat="1" x14ac:dyDescent="0.2">
      <c r="A279" s="4" t="s">
        <v>704</v>
      </c>
      <c r="B279" s="4" t="s">
        <v>4936</v>
      </c>
      <c r="C279" s="4">
        <v>9</v>
      </c>
      <c r="D279" s="4">
        <v>1</v>
      </c>
      <c r="E279" s="4" t="s">
        <v>2601</v>
      </c>
      <c r="F279" s="13">
        <v>43358</v>
      </c>
      <c r="G279" s="37" t="s">
        <v>4032</v>
      </c>
      <c r="H279" s="37" t="s">
        <v>4724</v>
      </c>
      <c r="I279" s="14">
        <v>3.888888888888889E-2</v>
      </c>
      <c r="J279" s="179">
        <v>6.4814814814814813E-4</v>
      </c>
      <c r="K279" s="15">
        <v>56</v>
      </c>
      <c r="L279" s="4" t="s">
        <v>640</v>
      </c>
      <c r="M279" s="4" t="s">
        <v>173</v>
      </c>
      <c r="N279" s="4" t="s">
        <v>187</v>
      </c>
      <c r="O279" s="4" t="s">
        <v>23</v>
      </c>
      <c r="P279" s="4">
        <v>3</v>
      </c>
      <c r="R279" s="4">
        <v>1</v>
      </c>
      <c r="T279" t="s">
        <v>461</v>
      </c>
      <c r="U279" t="s">
        <v>2125</v>
      </c>
      <c r="V279" s="4" t="s">
        <v>122</v>
      </c>
      <c r="W279" s="4" t="s">
        <v>1057</v>
      </c>
      <c r="X279" s="4" t="s">
        <v>23</v>
      </c>
      <c r="Y279" s="4" t="s">
        <v>3999</v>
      </c>
      <c r="Z279" s="4" t="s">
        <v>4003</v>
      </c>
      <c r="AA279" s="4">
        <v>2</v>
      </c>
      <c r="AB279" s="21">
        <v>63.724910000000001</v>
      </c>
      <c r="AC279" s="21">
        <v>148.95679000000001</v>
      </c>
      <c r="AD279" s="15">
        <v>0</v>
      </c>
      <c r="AE279" s="15">
        <v>0</v>
      </c>
      <c r="AF279" s="15">
        <v>0</v>
      </c>
      <c r="AG279" s="15">
        <v>0</v>
      </c>
      <c r="AH279" s="15">
        <v>0</v>
      </c>
      <c r="AI279">
        <v>0</v>
      </c>
      <c r="AJ279">
        <f t="shared" si="4"/>
        <v>0</v>
      </c>
      <c r="AO279" s="33"/>
      <c r="AP279" s="33"/>
      <c r="AQ279" s="34"/>
      <c r="AR279" s="33"/>
      <c r="AS279" s="33"/>
      <c r="AT279" s="33"/>
      <c r="AU279" s="33"/>
    </row>
    <row r="280" spans="1:47" s="4" customFormat="1" x14ac:dyDescent="0.2">
      <c r="A280" s="4" t="s">
        <v>707</v>
      </c>
      <c r="B280" s="4" t="s">
        <v>4948</v>
      </c>
      <c r="C280" s="4">
        <v>10</v>
      </c>
      <c r="D280" s="4">
        <v>1</v>
      </c>
      <c r="E280" s="4" t="s">
        <v>2601</v>
      </c>
      <c r="F280" s="13">
        <v>43358</v>
      </c>
      <c r="G280" s="37" t="s">
        <v>4032</v>
      </c>
      <c r="H280" s="37" t="s">
        <v>4724</v>
      </c>
      <c r="I280" s="14">
        <v>1.2499999999999999E-2</v>
      </c>
      <c r="J280" s="179">
        <v>2.0833333333333335E-4</v>
      </c>
      <c r="K280" s="15">
        <v>18</v>
      </c>
      <c r="L280" s="4" t="s">
        <v>640</v>
      </c>
      <c r="M280" s="4" t="s">
        <v>24</v>
      </c>
      <c r="N280" s="4" t="s">
        <v>111</v>
      </c>
      <c r="O280" s="4" t="s">
        <v>23</v>
      </c>
      <c r="P280" s="4">
        <v>0</v>
      </c>
      <c r="R280" s="4">
        <v>1</v>
      </c>
      <c r="T280" t="s">
        <v>176</v>
      </c>
      <c r="U280" t="s">
        <v>176</v>
      </c>
      <c r="V280" s="4" t="s">
        <v>24</v>
      </c>
      <c r="W280" s="4" t="s">
        <v>709</v>
      </c>
      <c r="X280" s="4" t="s">
        <v>23</v>
      </c>
      <c r="Y280" s="4" t="s">
        <v>4004</v>
      </c>
      <c r="Z280" s="4" t="s">
        <v>4005</v>
      </c>
      <c r="AA280" s="7" t="s">
        <v>24</v>
      </c>
      <c r="AB280" s="21">
        <v>63.72484</v>
      </c>
      <c r="AC280" s="21">
        <v>148.95616000000001</v>
      </c>
      <c r="AD280" s="15">
        <v>0</v>
      </c>
      <c r="AE280" s="15">
        <v>0</v>
      </c>
      <c r="AF280" s="15">
        <v>0</v>
      </c>
      <c r="AG280" s="15">
        <v>0</v>
      </c>
      <c r="AH280" s="15">
        <v>0</v>
      </c>
      <c r="AI280">
        <v>0</v>
      </c>
      <c r="AJ280">
        <f t="shared" si="4"/>
        <v>0</v>
      </c>
      <c r="AO280"/>
      <c r="AP280"/>
      <c r="AQ280"/>
      <c r="AR280"/>
      <c r="AS280"/>
      <c r="AT280"/>
      <c r="AU280"/>
    </row>
    <row r="281" spans="1:47" s="33" customFormat="1" x14ac:dyDescent="0.2">
      <c r="A281" s="4" t="s">
        <v>710</v>
      </c>
      <c r="B281" s="4" t="s">
        <v>4942</v>
      </c>
      <c r="C281" s="4">
        <v>11</v>
      </c>
      <c r="D281" s="4">
        <v>1</v>
      </c>
      <c r="E281" s="4" t="s">
        <v>2601</v>
      </c>
      <c r="F281" s="13">
        <v>43358</v>
      </c>
      <c r="G281" s="37" t="s">
        <v>4032</v>
      </c>
      <c r="H281" s="37" t="s">
        <v>4724</v>
      </c>
      <c r="I281" s="14">
        <v>2.013888888888889E-2</v>
      </c>
      <c r="J281" s="179">
        <v>3.3564814814814812E-4</v>
      </c>
      <c r="K281" s="15">
        <v>29</v>
      </c>
      <c r="L281" s="4" t="s">
        <v>640</v>
      </c>
      <c r="M281" s="4" t="s">
        <v>173</v>
      </c>
      <c r="N281" s="4" t="s">
        <v>2148</v>
      </c>
      <c r="O281" s="4" t="s">
        <v>115</v>
      </c>
      <c r="P281" s="4">
        <v>1</v>
      </c>
      <c r="Q281" s="4"/>
      <c r="R281" s="4">
        <v>0</v>
      </c>
      <c r="S281" s="4"/>
      <c r="T281" t="s">
        <v>461</v>
      </c>
      <c r="U281" t="s">
        <v>2125</v>
      </c>
      <c r="V281" s="4" t="s">
        <v>122</v>
      </c>
      <c r="W281" s="4" t="s">
        <v>115</v>
      </c>
      <c r="X281" s="33" t="s">
        <v>115</v>
      </c>
      <c r="Y281" s="33" t="s">
        <v>115</v>
      </c>
      <c r="Z281" s="33" t="s">
        <v>115</v>
      </c>
      <c r="AA281" t="s">
        <v>115</v>
      </c>
      <c r="AB281" s="21" t="s">
        <v>115</v>
      </c>
      <c r="AC281" s="21"/>
      <c r="AD281" s="15">
        <v>0</v>
      </c>
      <c r="AE281" s="15">
        <v>0</v>
      </c>
      <c r="AF281" s="15">
        <v>0</v>
      </c>
      <c r="AG281" s="15">
        <v>0</v>
      </c>
      <c r="AH281" s="15">
        <v>0</v>
      </c>
      <c r="AI281">
        <v>0</v>
      </c>
      <c r="AJ281">
        <f t="shared" si="4"/>
        <v>0</v>
      </c>
      <c r="AK281" s="4"/>
      <c r="AL281" s="4" t="s">
        <v>711</v>
      </c>
      <c r="AM281" s="4"/>
      <c r="AN281" s="4"/>
      <c r="AO281"/>
      <c r="AP281"/>
      <c r="AQ281"/>
      <c r="AR281"/>
      <c r="AS281"/>
      <c r="AT281"/>
      <c r="AU281"/>
    </row>
    <row r="282" spans="1:47" s="4" customFormat="1" x14ac:dyDescent="0.2">
      <c r="A282" s="33" t="s">
        <v>712</v>
      </c>
      <c r="B282" s="33" t="s">
        <v>4932</v>
      </c>
      <c r="C282" s="33">
        <v>12</v>
      </c>
      <c r="D282" s="33">
        <v>1</v>
      </c>
      <c r="E282" s="33" t="s">
        <v>2601</v>
      </c>
      <c r="F282" s="37">
        <v>43358</v>
      </c>
      <c r="G282" s="37" t="s">
        <v>4032</v>
      </c>
      <c r="H282" s="37" t="s">
        <v>4724</v>
      </c>
      <c r="I282" s="36">
        <v>2.7777777777777776E-2</v>
      </c>
      <c r="J282" s="177">
        <v>4.6296296296296293E-4</v>
      </c>
      <c r="K282" s="39">
        <v>40</v>
      </c>
      <c r="L282" s="33" t="s">
        <v>640</v>
      </c>
      <c r="M282" s="33" t="s">
        <v>173</v>
      </c>
      <c r="N282" s="33" t="s">
        <v>102</v>
      </c>
      <c r="O282" s="33" t="s">
        <v>115</v>
      </c>
      <c r="P282" s="33" t="s">
        <v>24</v>
      </c>
      <c r="Q282" s="33"/>
      <c r="R282" s="33">
        <v>0</v>
      </c>
      <c r="S282" s="33"/>
      <c r="T282" s="33"/>
      <c r="U282" s="33" t="s">
        <v>115</v>
      </c>
      <c r="V282" s="33" t="s">
        <v>115</v>
      </c>
      <c r="W282" s="33" t="s">
        <v>115</v>
      </c>
      <c r="X282" s="33" t="s">
        <v>115</v>
      </c>
      <c r="Y282" s="33" t="s">
        <v>115</v>
      </c>
      <c r="Z282" s="33" t="s">
        <v>115</v>
      </c>
      <c r="AA282" s="33" t="s">
        <v>115</v>
      </c>
      <c r="AB282" s="35" t="s">
        <v>115</v>
      </c>
      <c r="AC282" s="35"/>
      <c r="AD282" s="39">
        <v>0</v>
      </c>
      <c r="AE282" s="39">
        <v>0</v>
      </c>
      <c r="AF282" s="39">
        <v>0</v>
      </c>
      <c r="AG282" s="39">
        <v>0</v>
      </c>
      <c r="AH282" s="39">
        <v>23</v>
      </c>
      <c r="AI282" s="33">
        <v>0</v>
      </c>
      <c r="AJ282" s="33">
        <f t="shared" si="4"/>
        <v>23</v>
      </c>
      <c r="AK282" s="33"/>
      <c r="AL282" s="33"/>
      <c r="AM282" s="33"/>
      <c r="AN282" s="33"/>
      <c r="AO282"/>
      <c r="AP282"/>
      <c r="AQ282"/>
      <c r="AR282"/>
      <c r="AS282"/>
      <c r="AT282"/>
      <c r="AU282"/>
    </row>
    <row r="283" spans="1:47" s="33" customFormat="1" x14ac:dyDescent="0.2">
      <c r="A283" s="33" t="s">
        <v>714</v>
      </c>
      <c r="B283" s="33" t="s">
        <v>4933</v>
      </c>
      <c r="C283" s="33">
        <v>14</v>
      </c>
      <c r="D283" s="33">
        <v>1</v>
      </c>
      <c r="E283" s="33" t="s">
        <v>2601</v>
      </c>
      <c r="F283" s="37">
        <v>43358</v>
      </c>
      <c r="G283" s="37" t="s">
        <v>4032</v>
      </c>
      <c r="H283" s="37" t="s">
        <v>4724</v>
      </c>
      <c r="I283" s="36">
        <v>2.013888888888889E-2</v>
      </c>
      <c r="J283" s="177">
        <v>3.3564814814814812E-4</v>
      </c>
      <c r="K283" s="39">
        <v>29</v>
      </c>
      <c r="L283" s="33" t="s">
        <v>640</v>
      </c>
      <c r="M283" s="33" t="s">
        <v>177</v>
      </c>
      <c r="N283" s="33" t="s">
        <v>102</v>
      </c>
      <c r="O283" s="33" t="s">
        <v>115</v>
      </c>
      <c r="P283" s="33" t="s">
        <v>24</v>
      </c>
      <c r="R283" s="33">
        <v>0</v>
      </c>
      <c r="T283" t="s">
        <v>176</v>
      </c>
      <c r="U283" s="33" t="s">
        <v>176</v>
      </c>
      <c r="V283" s="33" t="s">
        <v>115</v>
      </c>
      <c r="W283" s="33" t="s">
        <v>115</v>
      </c>
      <c r="X283" s="33" t="s">
        <v>115</v>
      </c>
      <c r="Y283" s="33" t="s">
        <v>115</v>
      </c>
      <c r="Z283" s="33" t="s">
        <v>115</v>
      </c>
      <c r="AA283" s="33" t="s">
        <v>115</v>
      </c>
      <c r="AB283" s="35" t="s">
        <v>115</v>
      </c>
      <c r="AC283" s="35"/>
      <c r="AD283" s="39">
        <v>0</v>
      </c>
      <c r="AE283" s="39">
        <v>0</v>
      </c>
      <c r="AF283" s="39">
        <v>0</v>
      </c>
      <c r="AG283" s="39">
        <v>0</v>
      </c>
      <c r="AH283" s="39">
        <v>23</v>
      </c>
      <c r="AI283" s="33">
        <v>0</v>
      </c>
      <c r="AJ283" s="33">
        <f t="shared" si="4"/>
        <v>23</v>
      </c>
      <c r="AQ283" s="34"/>
    </row>
    <row r="284" spans="1:47" s="33" customFormat="1" x14ac:dyDescent="0.2">
      <c r="A284" s="33" t="s">
        <v>715</v>
      </c>
      <c r="B284" s="33" t="s">
        <v>4934</v>
      </c>
      <c r="C284" s="33">
        <v>15</v>
      </c>
      <c r="D284" s="33">
        <v>1</v>
      </c>
      <c r="E284" s="33" t="s">
        <v>2601</v>
      </c>
      <c r="F284" s="37">
        <v>43358</v>
      </c>
      <c r="G284" s="37" t="s">
        <v>4032</v>
      </c>
      <c r="H284" s="37" t="s">
        <v>4724</v>
      </c>
      <c r="I284" s="36">
        <v>1.8055555555555557E-2</v>
      </c>
      <c r="J284" s="177">
        <v>3.0092592592592595E-4</v>
      </c>
      <c r="K284" s="39">
        <v>26</v>
      </c>
      <c r="L284" s="33" t="s">
        <v>640</v>
      </c>
      <c r="M284" s="33" t="s">
        <v>177</v>
      </c>
      <c r="N284" s="33" t="s">
        <v>102</v>
      </c>
      <c r="O284" s="33" t="s">
        <v>115</v>
      </c>
      <c r="P284" s="33" t="s">
        <v>24</v>
      </c>
      <c r="R284" s="33">
        <v>0</v>
      </c>
      <c r="T284" t="s">
        <v>176</v>
      </c>
      <c r="U284" s="33" t="s">
        <v>176</v>
      </c>
      <c r="V284" s="33" t="s">
        <v>115</v>
      </c>
      <c r="W284" s="33" t="s">
        <v>115</v>
      </c>
      <c r="X284" s="33" t="s">
        <v>115</v>
      </c>
      <c r="Y284" s="33" t="s">
        <v>115</v>
      </c>
      <c r="Z284" s="33" t="s">
        <v>115</v>
      </c>
      <c r="AA284" s="33" t="s">
        <v>115</v>
      </c>
      <c r="AB284" s="35" t="s">
        <v>115</v>
      </c>
      <c r="AC284" s="35"/>
      <c r="AD284" s="39">
        <v>0</v>
      </c>
      <c r="AE284" s="39">
        <v>0</v>
      </c>
      <c r="AF284" s="39">
        <v>0</v>
      </c>
      <c r="AG284" s="39">
        <v>0</v>
      </c>
      <c r="AH284" s="39">
        <v>5</v>
      </c>
      <c r="AI284" s="33">
        <v>0</v>
      </c>
      <c r="AJ284" s="33">
        <f t="shared" si="4"/>
        <v>5</v>
      </c>
      <c r="AQ284" s="34"/>
    </row>
    <row r="285" spans="1:47" s="33" customFormat="1" x14ac:dyDescent="0.2">
      <c r="A285" s="33" t="s">
        <v>716</v>
      </c>
      <c r="B285" s="33" t="s">
        <v>4944</v>
      </c>
      <c r="C285" s="33">
        <v>16</v>
      </c>
      <c r="D285" s="33">
        <v>1</v>
      </c>
      <c r="E285" s="33" t="s">
        <v>2601</v>
      </c>
      <c r="F285" s="37">
        <v>43358</v>
      </c>
      <c r="G285" s="37" t="s">
        <v>4032</v>
      </c>
      <c r="H285" s="37" t="s">
        <v>4724</v>
      </c>
      <c r="I285" s="36">
        <v>2.7083333333333334E-2</v>
      </c>
      <c r="J285" s="177">
        <v>4.5138888888888892E-4</v>
      </c>
      <c r="K285" s="39">
        <v>39</v>
      </c>
      <c r="L285" s="33" t="s">
        <v>640</v>
      </c>
      <c r="M285" s="33" t="s">
        <v>24</v>
      </c>
      <c r="N285" s="33" t="s">
        <v>102</v>
      </c>
      <c r="O285" s="33" t="s">
        <v>115</v>
      </c>
      <c r="P285" s="33">
        <v>1</v>
      </c>
      <c r="R285" s="33">
        <v>0</v>
      </c>
      <c r="T285" t="s">
        <v>176</v>
      </c>
      <c r="U285" s="33" t="s">
        <v>176</v>
      </c>
      <c r="V285" s="33" t="s">
        <v>122</v>
      </c>
      <c r="W285" s="33" t="s">
        <v>115</v>
      </c>
      <c r="X285" s="33" t="s">
        <v>115</v>
      </c>
      <c r="Y285" s="33" t="s">
        <v>115</v>
      </c>
      <c r="Z285" s="33" t="s">
        <v>115</v>
      </c>
      <c r="AA285" s="33" t="s">
        <v>115</v>
      </c>
      <c r="AB285" s="35" t="s">
        <v>115</v>
      </c>
      <c r="AC285" s="35"/>
      <c r="AD285" s="39">
        <v>0</v>
      </c>
      <c r="AE285" s="39">
        <v>0</v>
      </c>
      <c r="AF285" s="39">
        <v>0</v>
      </c>
      <c r="AG285" s="39">
        <v>0</v>
      </c>
      <c r="AH285" s="39">
        <v>16</v>
      </c>
      <c r="AI285" s="33">
        <v>0</v>
      </c>
      <c r="AJ285" s="33">
        <f t="shared" si="4"/>
        <v>16</v>
      </c>
      <c r="AO285"/>
      <c r="AP285"/>
      <c r="AQ285"/>
      <c r="AR285"/>
      <c r="AS285"/>
      <c r="AT285"/>
      <c r="AU285"/>
    </row>
    <row r="286" spans="1:47" s="33" customFormat="1" x14ac:dyDescent="0.2">
      <c r="A286" s="33" t="s">
        <v>717</v>
      </c>
      <c r="B286" s="33" t="s">
        <v>4937</v>
      </c>
      <c r="C286" s="33">
        <v>17</v>
      </c>
      <c r="D286" s="33">
        <v>1</v>
      </c>
      <c r="E286" s="33" t="s">
        <v>2601</v>
      </c>
      <c r="F286" s="37">
        <v>43358</v>
      </c>
      <c r="G286" s="37" t="s">
        <v>4032</v>
      </c>
      <c r="H286" s="37" t="s">
        <v>4724</v>
      </c>
      <c r="I286" s="36">
        <v>0.11041666666666666</v>
      </c>
      <c r="J286" s="177">
        <v>1.8402777777777777E-3</v>
      </c>
      <c r="K286" s="39">
        <v>159</v>
      </c>
      <c r="L286" s="33" t="s">
        <v>640</v>
      </c>
      <c r="M286" s="33" t="s">
        <v>177</v>
      </c>
      <c r="N286" s="33" t="s">
        <v>102</v>
      </c>
      <c r="O286" s="33" t="s">
        <v>115</v>
      </c>
      <c r="P286" s="33">
        <v>2</v>
      </c>
      <c r="R286" s="33">
        <v>0</v>
      </c>
      <c r="T286" t="s">
        <v>176</v>
      </c>
      <c r="U286" s="33" t="s">
        <v>176</v>
      </c>
      <c r="V286" s="33" t="s">
        <v>122</v>
      </c>
      <c r="W286" s="33" t="s">
        <v>115</v>
      </c>
      <c r="X286" s="33" t="s">
        <v>115</v>
      </c>
      <c r="Y286" s="33" t="s">
        <v>115</v>
      </c>
      <c r="Z286" s="33" t="s">
        <v>115</v>
      </c>
      <c r="AA286" s="33" t="s">
        <v>115</v>
      </c>
      <c r="AB286" s="35" t="s">
        <v>115</v>
      </c>
      <c r="AC286" s="35"/>
      <c r="AD286" s="39">
        <v>0</v>
      </c>
      <c r="AE286" s="39">
        <v>0</v>
      </c>
      <c r="AF286" s="39">
        <v>0</v>
      </c>
      <c r="AG286" s="39">
        <v>0</v>
      </c>
      <c r="AH286" s="39">
        <v>13</v>
      </c>
      <c r="AI286" s="33">
        <v>0</v>
      </c>
      <c r="AJ286" s="33">
        <f t="shared" si="4"/>
        <v>13</v>
      </c>
      <c r="AO286"/>
      <c r="AP286"/>
      <c r="AQ286"/>
      <c r="AR286"/>
      <c r="AS286"/>
      <c r="AT286"/>
      <c r="AU286"/>
    </row>
    <row r="287" spans="1:47" s="33" customFormat="1" x14ac:dyDescent="0.2">
      <c r="A287" s="4" t="s">
        <v>718</v>
      </c>
      <c r="B287" s="4" t="s">
        <v>4949</v>
      </c>
      <c r="C287" s="4">
        <v>18</v>
      </c>
      <c r="D287" s="4">
        <v>1</v>
      </c>
      <c r="E287" s="4" t="s">
        <v>2601</v>
      </c>
      <c r="F287" s="13">
        <v>43358</v>
      </c>
      <c r="G287" s="37" t="s">
        <v>4032</v>
      </c>
      <c r="H287" s="37" t="s">
        <v>4724</v>
      </c>
      <c r="I287" s="14">
        <v>3.9583333333333331E-2</v>
      </c>
      <c r="J287" s="179">
        <v>6.5972222222222213E-4</v>
      </c>
      <c r="K287" s="15">
        <v>57</v>
      </c>
      <c r="L287" s="4" t="s">
        <v>640</v>
      </c>
      <c r="M287" s="4" t="s">
        <v>177</v>
      </c>
      <c r="N287" s="4" t="s">
        <v>111</v>
      </c>
      <c r="O287" s="4" t="s">
        <v>23</v>
      </c>
      <c r="P287" s="4">
        <v>0</v>
      </c>
      <c r="Q287" s="4"/>
      <c r="R287" s="4">
        <v>2</v>
      </c>
      <c r="S287" s="4" t="s">
        <v>2066</v>
      </c>
      <c r="T287" t="s">
        <v>176</v>
      </c>
      <c r="U287" t="s">
        <v>176</v>
      </c>
      <c r="V287" s="4" t="s">
        <v>24</v>
      </c>
      <c r="W287" s="4" t="s">
        <v>3963</v>
      </c>
      <c r="X287" s="4" t="s">
        <v>23</v>
      </c>
      <c r="Y287" s="4" t="s">
        <v>3997</v>
      </c>
      <c r="Z287" s="4" t="s">
        <v>4007</v>
      </c>
      <c r="AA287" s="7" t="s">
        <v>24</v>
      </c>
      <c r="AB287" s="21">
        <v>63.725320000000004</v>
      </c>
      <c r="AC287" s="21">
        <v>148.95212000000001</v>
      </c>
      <c r="AD287" s="15">
        <v>0</v>
      </c>
      <c r="AE287" s="15">
        <v>0</v>
      </c>
      <c r="AF287" s="15">
        <v>0</v>
      </c>
      <c r="AG287" s="15">
        <v>0</v>
      </c>
      <c r="AH287" s="15">
        <v>0</v>
      </c>
      <c r="AI287">
        <v>0</v>
      </c>
      <c r="AJ287">
        <f t="shared" si="4"/>
        <v>0</v>
      </c>
      <c r="AK287" s="4"/>
      <c r="AL287" s="4"/>
      <c r="AM287" s="4"/>
      <c r="AN287" s="4"/>
      <c r="AO287" s="4"/>
      <c r="AP287" s="4"/>
      <c r="AQ287" s="4"/>
      <c r="AR287" s="4"/>
      <c r="AS287" s="4"/>
      <c r="AT287" s="4"/>
      <c r="AU287" s="4"/>
    </row>
    <row r="288" spans="1:47" s="4" customFormat="1" x14ac:dyDescent="0.2">
      <c r="A288" s="4" t="s">
        <v>720</v>
      </c>
      <c r="B288" s="4" t="s">
        <v>4945</v>
      </c>
      <c r="C288" s="4">
        <v>19</v>
      </c>
      <c r="D288" s="4">
        <v>1</v>
      </c>
      <c r="E288" s="4" t="s">
        <v>2601</v>
      </c>
      <c r="F288" s="13">
        <v>43358</v>
      </c>
      <c r="G288" s="37" t="s">
        <v>4032</v>
      </c>
      <c r="H288" s="37" t="s">
        <v>4724</v>
      </c>
      <c r="I288" s="14">
        <v>4.8611111111111112E-3</v>
      </c>
      <c r="J288" s="179">
        <v>8.1018518518518516E-5</v>
      </c>
      <c r="K288" s="15">
        <v>7</v>
      </c>
      <c r="L288" s="4" t="s">
        <v>640</v>
      </c>
      <c r="M288" s="4" t="s">
        <v>173</v>
      </c>
      <c r="N288" s="4" t="s">
        <v>102</v>
      </c>
      <c r="O288" s="4" t="s">
        <v>115</v>
      </c>
      <c r="P288" s="4">
        <v>1</v>
      </c>
      <c r="R288" s="4">
        <v>0</v>
      </c>
      <c r="T288" t="s">
        <v>176</v>
      </c>
      <c r="U288" t="s">
        <v>176</v>
      </c>
      <c r="V288" s="4" t="s">
        <v>122</v>
      </c>
      <c r="W288" s="4" t="s">
        <v>115</v>
      </c>
      <c r="X288" s="33" t="s">
        <v>115</v>
      </c>
      <c r="Y288" s="33" t="s">
        <v>115</v>
      </c>
      <c r="Z288" s="33" t="s">
        <v>115</v>
      </c>
      <c r="AA288" t="s">
        <v>115</v>
      </c>
      <c r="AB288" s="21" t="s">
        <v>115</v>
      </c>
      <c r="AC288" s="21"/>
      <c r="AD288" s="15">
        <v>0</v>
      </c>
      <c r="AE288" s="15">
        <v>0</v>
      </c>
      <c r="AF288" s="15">
        <v>0</v>
      </c>
      <c r="AG288" s="15">
        <v>0</v>
      </c>
      <c r="AH288" s="15">
        <v>0</v>
      </c>
      <c r="AI288">
        <v>0</v>
      </c>
      <c r="AJ288">
        <f t="shared" si="4"/>
        <v>0</v>
      </c>
      <c r="AL288" s="4" t="s">
        <v>721</v>
      </c>
      <c r="AO288" s="33"/>
      <c r="AP288" s="33"/>
      <c r="AQ288" s="34"/>
      <c r="AR288" s="33"/>
      <c r="AS288" s="33"/>
      <c r="AT288" s="33"/>
      <c r="AU288" s="33"/>
    </row>
    <row r="289" spans="1:47" s="4" customFormat="1" x14ac:dyDescent="0.2">
      <c r="A289" s="4" t="s">
        <v>720</v>
      </c>
      <c r="B289" s="4" t="s">
        <v>4950</v>
      </c>
      <c r="C289" s="4">
        <v>20</v>
      </c>
      <c r="D289" s="4">
        <v>1</v>
      </c>
      <c r="E289" s="4" t="s">
        <v>2601</v>
      </c>
      <c r="F289" s="13">
        <v>43358</v>
      </c>
      <c r="G289" s="37" t="s">
        <v>4032</v>
      </c>
      <c r="H289" s="37" t="s">
        <v>4724</v>
      </c>
      <c r="I289" s="14">
        <v>1.5277777777777777E-2</v>
      </c>
      <c r="J289" s="179">
        <v>2.5462962962962961E-4</v>
      </c>
      <c r="K289" s="15">
        <v>22</v>
      </c>
      <c r="L289" s="4" t="s">
        <v>640</v>
      </c>
      <c r="M289" s="4" t="s">
        <v>173</v>
      </c>
      <c r="N289" s="4" t="s">
        <v>111</v>
      </c>
      <c r="O289" s="4" t="s">
        <v>23</v>
      </c>
      <c r="P289" s="4">
        <v>0</v>
      </c>
      <c r="R289" s="4">
        <v>1</v>
      </c>
      <c r="T289" t="s">
        <v>14</v>
      </c>
      <c r="U289" t="s">
        <v>2128</v>
      </c>
      <c r="V289" s="4" t="s">
        <v>115</v>
      </c>
      <c r="W289" s="4" t="s">
        <v>723</v>
      </c>
      <c r="X289" s="44" t="s">
        <v>23</v>
      </c>
      <c r="Y289" s="44" t="s">
        <v>3999</v>
      </c>
      <c r="Z289" s="44" t="s">
        <v>4006</v>
      </c>
      <c r="AA289" s="7" t="s">
        <v>24</v>
      </c>
      <c r="AB289" s="21">
        <v>63.725749999999998</v>
      </c>
      <c r="AC289" s="21">
        <v>148.95331999999999</v>
      </c>
      <c r="AD289" s="15">
        <v>0</v>
      </c>
      <c r="AE289" s="15">
        <v>0</v>
      </c>
      <c r="AF289" s="15">
        <v>0</v>
      </c>
      <c r="AG289" s="15">
        <v>0</v>
      </c>
      <c r="AH289" s="15">
        <v>0</v>
      </c>
      <c r="AI289">
        <v>0</v>
      </c>
      <c r="AJ289">
        <f t="shared" si="4"/>
        <v>0</v>
      </c>
      <c r="AO289"/>
      <c r="AP289"/>
      <c r="AQ289"/>
      <c r="AR289"/>
      <c r="AS289"/>
      <c r="AT289"/>
      <c r="AU289"/>
    </row>
    <row r="290" spans="1:47" s="4" customFormat="1" x14ac:dyDescent="0.2">
      <c r="A290" t="s">
        <v>724</v>
      </c>
      <c r="B290" t="s">
        <v>725</v>
      </c>
      <c r="C290" s="7">
        <v>1</v>
      </c>
      <c r="D290" s="7">
        <v>1</v>
      </c>
      <c r="E290" t="s">
        <v>2487</v>
      </c>
      <c r="F290" s="1">
        <v>43359</v>
      </c>
      <c r="G290" s="37" t="s">
        <v>4032</v>
      </c>
      <c r="H290" s="37" t="s">
        <v>4724</v>
      </c>
      <c r="I290" s="2">
        <v>3.2638888888888891E-2</v>
      </c>
      <c r="J290" s="176">
        <v>5.4398148148148144E-4</v>
      </c>
      <c r="K290" s="6">
        <v>47</v>
      </c>
      <c r="L290" t="s">
        <v>398</v>
      </c>
      <c r="M290" s="7" t="s">
        <v>2498</v>
      </c>
      <c r="N290" s="7" t="s">
        <v>102</v>
      </c>
      <c r="O290" s="7" t="s">
        <v>23</v>
      </c>
      <c r="P290" s="7" t="s">
        <v>24</v>
      </c>
      <c r="Q290" s="7"/>
      <c r="R290">
        <v>0</v>
      </c>
      <c r="S290"/>
      <c r="T290" t="s">
        <v>176</v>
      </c>
      <c r="U290" t="s">
        <v>176</v>
      </c>
      <c r="V290" s="7" t="s">
        <v>115</v>
      </c>
      <c r="W290" s="7" t="s">
        <v>115</v>
      </c>
      <c r="X290" s="33" t="s">
        <v>115</v>
      </c>
      <c r="Y290" s="33" t="s">
        <v>115</v>
      </c>
      <c r="Z290" s="33" t="s">
        <v>115</v>
      </c>
      <c r="AA290" s="20" t="s">
        <v>115</v>
      </c>
      <c r="AB290" s="20" t="s">
        <v>115</v>
      </c>
      <c r="AC290" s="20"/>
      <c r="AD290" s="6">
        <v>13</v>
      </c>
      <c r="AE290" s="6">
        <v>0</v>
      </c>
      <c r="AF290" s="6">
        <v>13</v>
      </c>
      <c r="AG290" s="6">
        <v>0</v>
      </c>
      <c r="AH290" s="6">
        <v>0</v>
      </c>
      <c r="AI290">
        <v>0</v>
      </c>
      <c r="AJ290">
        <f t="shared" si="4"/>
        <v>13</v>
      </c>
      <c r="AK290" t="s">
        <v>726</v>
      </c>
      <c r="AL290"/>
      <c r="AM290"/>
      <c r="AN290"/>
      <c r="AO290" s="33"/>
      <c r="AP290" s="33"/>
      <c r="AQ290" s="34"/>
      <c r="AR290" s="33"/>
      <c r="AS290" s="33"/>
      <c r="AT290" s="33"/>
      <c r="AU290" s="33"/>
    </row>
    <row r="291" spans="1:47" x14ac:dyDescent="0.2">
      <c r="A291" t="s">
        <v>727</v>
      </c>
      <c r="B291" t="s">
        <v>728</v>
      </c>
      <c r="C291" s="7">
        <v>2</v>
      </c>
      <c r="D291" s="7">
        <v>1</v>
      </c>
      <c r="E291" t="s">
        <v>2487</v>
      </c>
      <c r="F291" s="1">
        <v>43359</v>
      </c>
      <c r="G291" s="37" t="s">
        <v>4032</v>
      </c>
      <c r="H291" s="37" t="s">
        <v>4724</v>
      </c>
      <c r="I291" s="2">
        <v>1.9444444444444445E-2</v>
      </c>
      <c r="J291" s="176">
        <v>3.2407407407407406E-4</v>
      </c>
      <c r="K291" s="6">
        <v>28</v>
      </c>
      <c r="L291" t="s">
        <v>398</v>
      </c>
      <c r="M291" s="7" t="s">
        <v>2498</v>
      </c>
      <c r="N291" s="7" t="s">
        <v>187</v>
      </c>
      <c r="O291" s="7" t="s">
        <v>23</v>
      </c>
      <c r="P291" s="7">
        <v>1</v>
      </c>
      <c r="Q291" s="7"/>
      <c r="R291">
        <v>1</v>
      </c>
      <c r="T291" t="s">
        <v>176</v>
      </c>
      <c r="U291" t="s">
        <v>176</v>
      </c>
      <c r="V291" s="7" t="s">
        <v>501</v>
      </c>
      <c r="W291" s="7" t="s">
        <v>487</v>
      </c>
      <c r="X291" s="33" t="s">
        <v>23</v>
      </c>
      <c r="Y291" s="33" t="s">
        <v>3997</v>
      </c>
      <c r="Z291" s="33" t="s">
        <v>4001</v>
      </c>
      <c r="AA291" s="7" t="s">
        <v>176</v>
      </c>
      <c r="AB291" s="20">
        <v>63.722729999999999</v>
      </c>
      <c r="AC291" s="20">
        <v>148.98305999999999</v>
      </c>
      <c r="AD291" s="6">
        <v>0</v>
      </c>
      <c r="AE291" s="6">
        <v>0</v>
      </c>
      <c r="AF291" s="6">
        <v>0</v>
      </c>
      <c r="AG291" s="6">
        <v>0</v>
      </c>
      <c r="AH291" s="6">
        <v>0</v>
      </c>
      <c r="AI291">
        <v>0</v>
      </c>
      <c r="AJ291">
        <f t="shared" si="4"/>
        <v>0</v>
      </c>
      <c r="AL291" t="s">
        <v>729</v>
      </c>
      <c r="AO291" s="33"/>
      <c r="AP291" s="33"/>
      <c r="AQ291" s="34" t="s">
        <v>3940</v>
      </c>
      <c r="AR291" s="33"/>
      <c r="AS291" s="33"/>
      <c r="AT291" s="33"/>
      <c r="AU291" s="33"/>
    </row>
    <row r="292" spans="1:47" s="7" customFormat="1" x14ac:dyDescent="0.2">
      <c r="A292" t="s">
        <v>730</v>
      </c>
      <c r="B292" t="s">
        <v>731</v>
      </c>
      <c r="C292" s="7">
        <v>3</v>
      </c>
      <c r="D292" s="7">
        <v>1</v>
      </c>
      <c r="E292" t="s">
        <v>2487</v>
      </c>
      <c r="F292" s="1">
        <v>43359</v>
      </c>
      <c r="G292" s="37" t="s">
        <v>4032</v>
      </c>
      <c r="H292" s="37" t="s">
        <v>4724</v>
      </c>
      <c r="I292" s="2">
        <v>1.0416666666666666E-2</v>
      </c>
      <c r="J292" s="176">
        <v>1.7361111111111112E-4</v>
      </c>
      <c r="K292" s="6">
        <v>15</v>
      </c>
      <c r="L292" t="s">
        <v>398</v>
      </c>
      <c r="M292" s="7" t="s">
        <v>24</v>
      </c>
      <c r="N292" s="7" t="s">
        <v>187</v>
      </c>
      <c r="O292" s="7" t="s">
        <v>23</v>
      </c>
      <c r="P292" s="7">
        <v>1</v>
      </c>
      <c r="R292">
        <v>1</v>
      </c>
      <c r="S292"/>
      <c r="T292" t="s">
        <v>176</v>
      </c>
      <c r="U292" s="7" t="s">
        <v>4901</v>
      </c>
      <c r="V292" s="7" t="s">
        <v>501</v>
      </c>
      <c r="W292" s="7" t="s">
        <v>1035</v>
      </c>
      <c r="X292" s="33" t="s">
        <v>23</v>
      </c>
      <c r="Y292" s="33" t="s">
        <v>3997</v>
      </c>
      <c r="Z292" s="33" t="s">
        <v>4006</v>
      </c>
      <c r="AA292" s="20" t="s">
        <v>176</v>
      </c>
      <c r="AB292" s="20" t="s">
        <v>246</v>
      </c>
      <c r="AC292" s="20"/>
      <c r="AD292" s="6">
        <v>0</v>
      </c>
      <c r="AE292" s="6">
        <v>0</v>
      </c>
      <c r="AF292" s="6">
        <v>0</v>
      </c>
      <c r="AG292" s="6">
        <v>0</v>
      </c>
      <c r="AH292" s="6">
        <v>0</v>
      </c>
      <c r="AI292">
        <v>0</v>
      </c>
      <c r="AJ292">
        <f t="shared" si="4"/>
        <v>0</v>
      </c>
      <c r="AK292"/>
      <c r="AL292"/>
      <c r="AM292"/>
      <c r="AN292"/>
      <c r="AO292"/>
      <c r="AP292"/>
      <c r="AQ292"/>
      <c r="AR292"/>
      <c r="AS292"/>
      <c r="AT292"/>
      <c r="AU292"/>
    </row>
    <row r="293" spans="1:47" s="33" customFormat="1" x14ac:dyDescent="0.2">
      <c r="A293" t="s">
        <v>732</v>
      </c>
      <c r="B293" t="s">
        <v>734</v>
      </c>
      <c r="C293" s="7">
        <v>1</v>
      </c>
      <c r="D293" s="7">
        <v>1</v>
      </c>
      <c r="E293" t="s">
        <v>521</v>
      </c>
      <c r="F293" s="1">
        <v>43359</v>
      </c>
      <c r="G293" s="37" t="s">
        <v>4032</v>
      </c>
      <c r="H293" s="37" t="s">
        <v>4724</v>
      </c>
      <c r="I293" s="2">
        <v>9.0277777777777787E-3</v>
      </c>
      <c r="J293" s="176">
        <v>1.5046296296296297E-4</v>
      </c>
      <c r="K293" s="6">
        <v>13</v>
      </c>
      <c r="L293" t="s">
        <v>398</v>
      </c>
      <c r="M293" s="7" t="s">
        <v>735</v>
      </c>
      <c r="N293" s="7" t="s">
        <v>102</v>
      </c>
      <c r="O293" s="7" t="s">
        <v>23</v>
      </c>
      <c r="P293" s="7">
        <v>1</v>
      </c>
      <c r="Q293" s="7"/>
      <c r="R293">
        <v>0</v>
      </c>
      <c r="S293"/>
      <c r="T293" t="s">
        <v>176</v>
      </c>
      <c r="U293" t="s">
        <v>176</v>
      </c>
      <c r="V293" s="7" t="s">
        <v>641</v>
      </c>
      <c r="W293" s="7" t="s">
        <v>115</v>
      </c>
      <c r="X293" s="33" t="s">
        <v>115</v>
      </c>
      <c r="Y293" s="33" t="s">
        <v>115</v>
      </c>
      <c r="Z293" s="33" t="s">
        <v>115</v>
      </c>
      <c r="AA293" s="20" t="s">
        <v>115</v>
      </c>
      <c r="AB293" s="20" t="s">
        <v>115</v>
      </c>
      <c r="AC293" s="20"/>
      <c r="AD293" s="6">
        <v>0</v>
      </c>
      <c r="AE293" s="6">
        <v>2</v>
      </c>
      <c r="AF293" s="6">
        <v>2</v>
      </c>
      <c r="AG293" s="6">
        <v>0</v>
      </c>
      <c r="AH293" s="6">
        <v>0</v>
      </c>
      <c r="AI293">
        <v>0</v>
      </c>
      <c r="AJ293">
        <f t="shared" si="4"/>
        <v>2</v>
      </c>
      <c r="AK293"/>
      <c r="AL293"/>
      <c r="AM293"/>
      <c r="AN293"/>
      <c r="AO293"/>
      <c r="AP293"/>
      <c r="AQ293"/>
      <c r="AR293"/>
      <c r="AS293"/>
      <c r="AT293"/>
      <c r="AU293"/>
    </row>
    <row r="294" spans="1:47" s="33" customFormat="1" x14ac:dyDescent="0.2">
      <c r="A294" s="33" t="s">
        <v>736</v>
      </c>
      <c r="B294" s="33" t="s">
        <v>737</v>
      </c>
      <c r="C294" s="33">
        <v>1</v>
      </c>
      <c r="D294" s="33">
        <v>1</v>
      </c>
      <c r="E294" s="33" t="s">
        <v>213</v>
      </c>
      <c r="F294" s="37">
        <v>43359</v>
      </c>
      <c r="G294" s="37" t="s">
        <v>4032</v>
      </c>
      <c r="H294" s="37" t="s">
        <v>4724</v>
      </c>
      <c r="I294" s="36">
        <v>6.2499999999999995E-3</v>
      </c>
      <c r="J294" s="177">
        <v>1.0416666666666667E-4</v>
      </c>
      <c r="K294" s="39">
        <v>9</v>
      </c>
      <c r="L294" s="33" t="s">
        <v>398</v>
      </c>
      <c r="M294" s="33" t="s">
        <v>738</v>
      </c>
      <c r="N294" s="33" t="s">
        <v>102</v>
      </c>
      <c r="O294" s="33" t="s">
        <v>115</v>
      </c>
      <c r="P294" s="33" t="s">
        <v>24</v>
      </c>
      <c r="R294" s="33">
        <v>0</v>
      </c>
      <c r="T294" t="s">
        <v>176</v>
      </c>
      <c r="U294" s="33" t="s">
        <v>176</v>
      </c>
      <c r="V294" s="33" t="s">
        <v>115</v>
      </c>
      <c r="W294" s="33" t="s">
        <v>115</v>
      </c>
      <c r="X294" s="33" t="s">
        <v>115</v>
      </c>
      <c r="Y294" s="33" t="s">
        <v>115</v>
      </c>
      <c r="Z294" s="33" t="s">
        <v>115</v>
      </c>
      <c r="AA294" s="35" t="s">
        <v>115</v>
      </c>
      <c r="AB294" s="35" t="s">
        <v>115</v>
      </c>
      <c r="AC294" s="35"/>
      <c r="AD294" s="39">
        <v>0</v>
      </c>
      <c r="AE294" s="39">
        <v>0</v>
      </c>
      <c r="AF294" s="39">
        <v>0</v>
      </c>
      <c r="AG294" s="39">
        <v>0</v>
      </c>
      <c r="AH294" s="39">
        <v>8</v>
      </c>
      <c r="AI294" s="33">
        <v>0</v>
      </c>
      <c r="AJ294" s="33">
        <f t="shared" si="4"/>
        <v>8</v>
      </c>
      <c r="AQ294" s="34"/>
    </row>
    <row r="295" spans="1:47" s="7" customFormat="1" x14ac:dyDescent="0.2">
      <c r="A295" t="s">
        <v>739</v>
      </c>
      <c r="B295" t="s">
        <v>733</v>
      </c>
      <c r="C295" s="7">
        <v>4</v>
      </c>
      <c r="D295" s="7">
        <v>1</v>
      </c>
      <c r="E295" t="s">
        <v>2487</v>
      </c>
      <c r="F295" s="1">
        <v>43359</v>
      </c>
      <c r="G295" s="37" t="s">
        <v>4032</v>
      </c>
      <c r="H295" s="37" t="s">
        <v>4724</v>
      </c>
      <c r="I295" s="2">
        <v>2.1527777777777781E-2</v>
      </c>
      <c r="J295" s="176">
        <v>3.5879629629629635E-4</v>
      </c>
      <c r="K295" s="6">
        <v>31</v>
      </c>
      <c r="L295" t="s">
        <v>398</v>
      </c>
      <c r="M295" s="7" t="s">
        <v>2498</v>
      </c>
      <c r="N295" s="7" t="s">
        <v>187</v>
      </c>
      <c r="O295" s="7" t="s">
        <v>23</v>
      </c>
      <c r="P295" s="7">
        <v>0</v>
      </c>
      <c r="R295">
        <v>1</v>
      </c>
      <c r="S295"/>
      <c r="T295" t="s">
        <v>176</v>
      </c>
      <c r="U295" t="s">
        <v>176</v>
      </c>
      <c r="V295" s="7" t="s">
        <v>24</v>
      </c>
      <c r="W295" s="7" t="s">
        <v>1057</v>
      </c>
      <c r="X295" s="33" t="s">
        <v>23</v>
      </c>
      <c r="Y295" s="33" t="s">
        <v>3999</v>
      </c>
      <c r="Z295" s="33" t="s">
        <v>4005</v>
      </c>
      <c r="AA295" s="7" t="s">
        <v>176</v>
      </c>
      <c r="AB295" s="20">
        <v>63.721499999999999</v>
      </c>
      <c r="AC295" s="20">
        <v>148.98752999999999</v>
      </c>
      <c r="AD295" s="6">
        <v>23</v>
      </c>
      <c r="AE295" s="6">
        <v>0</v>
      </c>
      <c r="AF295" s="6">
        <v>23</v>
      </c>
      <c r="AG295" s="6">
        <v>0</v>
      </c>
      <c r="AH295" s="6">
        <v>0</v>
      </c>
      <c r="AI295">
        <v>0</v>
      </c>
      <c r="AJ295">
        <f t="shared" si="4"/>
        <v>23</v>
      </c>
      <c r="AK295"/>
      <c r="AL295" t="s">
        <v>740</v>
      </c>
      <c r="AM295"/>
      <c r="AN295"/>
      <c r="AO295"/>
      <c r="AP295"/>
      <c r="AQ295"/>
      <c r="AR295"/>
      <c r="AS295"/>
      <c r="AT295"/>
      <c r="AU295"/>
    </row>
    <row r="296" spans="1:47" x14ac:dyDescent="0.2">
      <c r="A296" t="s">
        <v>741</v>
      </c>
      <c r="B296" t="s">
        <v>742</v>
      </c>
      <c r="C296" s="7">
        <v>5</v>
      </c>
      <c r="D296" s="7">
        <v>1</v>
      </c>
      <c r="E296" t="s">
        <v>2487</v>
      </c>
      <c r="F296" s="1">
        <v>43359</v>
      </c>
      <c r="G296" s="37" t="s">
        <v>4032</v>
      </c>
      <c r="H296" s="37" t="s">
        <v>4724</v>
      </c>
      <c r="I296" s="2">
        <v>7.6388888888888886E-3</v>
      </c>
      <c r="J296" s="176">
        <v>1.273148148148148E-4</v>
      </c>
      <c r="K296" s="6">
        <v>11</v>
      </c>
      <c r="L296" t="s">
        <v>398</v>
      </c>
      <c r="M296" s="7" t="s">
        <v>2498</v>
      </c>
      <c r="N296" s="7" t="s">
        <v>102</v>
      </c>
      <c r="O296" s="7" t="s">
        <v>23</v>
      </c>
      <c r="P296" s="7">
        <v>1</v>
      </c>
      <c r="Q296" s="7"/>
      <c r="R296">
        <v>0</v>
      </c>
      <c r="T296" t="s">
        <v>176</v>
      </c>
      <c r="U296" t="s">
        <v>176</v>
      </c>
      <c r="V296" s="7" t="s">
        <v>501</v>
      </c>
      <c r="W296" s="7" t="s">
        <v>115</v>
      </c>
      <c r="X296" s="33" t="s">
        <v>115</v>
      </c>
      <c r="Y296" s="33" t="s">
        <v>115</v>
      </c>
      <c r="Z296" s="33" t="s">
        <v>115</v>
      </c>
      <c r="AA296" s="20" t="s">
        <v>115</v>
      </c>
      <c r="AB296" s="20" t="s">
        <v>115</v>
      </c>
      <c r="AC296" s="20"/>
      <c r="AD296" s="6">
        <v>0</v>
      </c>
      <c r="AE296" s="6">
        <v>0</v>
      </c>
      <c r="AF296" s="6">
        <v>0</v>
      </c>
      <c r="AG296" s="6">
        <v>0</v>
      </c>
      <c r="AH296" s="6">
        <v>0</v>
      </c>
      <c r="AI296">
        <v>0</v>
      </c>
      <c r="AJ296">
        <f t="shared" si="4"/>
        <v>0</v>
      </c>
      <c r="AK296" s="6"/>
      <c r="AL296" t="s">
        <v>743</v>
      </c>
    </row>
    <row r="297" spans="1:47" ht="102" x14ac:dyDescent="0.2">
      <c r="A297" t="s">
        <v>744</v>
      </c>
      <c r="B297" t="s">
        <v>745</v>
      </c>
      <c r="C297" s="7">
        <v>6</v>
      </c>
      <c r="D297" s="7">
        <v>1</v>
      </c>
      <c r="E297" t="s">
        <v>2487</v>
      </c>
      <c r="F297" s="1">
        <v>43359</v>
      </c>
      <c r="G297" s="37" t="s">
        <v>4032</v>
      </c>
      <c r="H297" s="37" t="s">
        <v>4724</v>
      </c>
      <c r="I297" s="2">
        <v>2.1527777777777781E-2</v>
      </c>
      <c r="J297" s="176">
        <v>3.5879629629629635E-4</v>
      </c>
      <c r="K297" s="6">
        <v>31</v>
      </c>
      <c r="L297" t="s">
        <v>398</v>
      </c>
      <c r="M297" s="7" t="s">
        <v>241</v>
      </c>
      <c r="N297" s="7" t="s">
        <v>102</v>
      </c>
      <c r="O297" s="7" t="s">
        <v>23</v>
      </c>
      <c r="P297" s="7">
        <v>1</v>
      </c>
      <c r="Q297" s="7"/>
      <c r="R297">
        <v>0</v>
      </c>
      <c r="T297" t="s">
        <v>176</v>
      </c>
      <c r="U297" s="12" t="s">
        <v>746</v>
      </c>
      <c r="V297" s="7" t="s">
        <v>747</v>
      </c>
      <c r="W297" s="7" t="s">
        <v>115</v>
      </c>
      <c r="X297" s="33" t="s">
        <v>115</v>
      </c>
      <c r="Y297" s="33" t="s">
        <v>115</v>
      </c>
      <c r="Z297" s="33" t="s">
        <v>115</v>
      </c>
      <c r="AA297" s="20" t="s">
        <v>115</v>
      </c>
      <c r="AB297" s="20" t="s">
        <v>115</v>
      </c>
      <c r="AC297" s="20"/>
      <c r="AD297" s="6">
        <v>8</v>
      </c>
      <c r="AE297" s="6">
        <v>8</v>
      </c>
      <c r="AF297" s="6">
        <v>16</v>
      </c>
      <c r="AG297" s="6">
        <v>0</v>
      </c>
      <c r="AH297" s="6">
        <v>0</v>
      </c>
      <c r="AI297">
        <v>0</v>
      </c>
      <c r="AJ297">
        <f t="shared" si="4"/>
        <v>16</v>
      </c>
      <c r="AK297" t="s">
        <v>16</v>
      </c>
      <c r="AM297">
        <v>0</v>
      </c>
      <c r="AN297">
        <v>3</v>
      </c>
      <c r="AO297" s="33"/>
      <c r="AP297" s="33"/>
      <c r="AQ297" s="34"/>
      <c r="AR297" s="33"/>
      <c r="AS297" s="33"/>
      <c r="AT297" s="33"/>
      <c r="AU297" s="33"/>
    </row>
    <row r="298" spans="1:47" x14ac:dyDescent="0.2">
      <c r="A298" s="33" t="s">
        <v>748</v>
      </c>
      <c r="B298" s="33" t="s">
        <v>749</v>
      </c>
      <c r="C298" s="33">
        <v>1</v>
      </c>
      <c r="D298" s="33">
        <v>1</v>
      </c>
      <c r="E298" s="33" t="s">
        <v>272</v>
      </c>
      <c r="F298" s="37">
        <v>43359</v>
      </c>
      <c r="G298" s="37" t="s">
        <v>4032</v>
      </c>
      <c r="H298" s="37" t="s">
        <v>4724</v>
      </c>
      <c r="I298" s="36">
        <v>6.2499999999999995E-3</v>
      </c>
      <c r="J298" s="177">
        <v>1.0416666666666667E-4</v>
      </c>
      <c r="K298" s="39">
        <v>9</v>
      </c>
      <c r="L298" s="33" t="s">
        <v>398</v>
      </c>
      <c r="M298" s="33" t="s">
        <v>241</v>
      </c>
      <c r="N298" s="33" t="s">
        <v>102</v>
      </c>
      <c r="O298" s="33" t="s">
        <v>115</v>
      </c>
      <c r="P298" s="33">
        <v>1</v>
      </c>
      <c r="Q298" s="33"/>
      <c r="R298" s="33">
        <v>0</v>
      </c>
      <c r="S298" s="33"/>
      <c r="T298" t="s">
        <v>1618</v>
      </c>
      <c r="U298" s="33" t="s">
        <v>2136</v>
      </c>
      <c r="V298" s="33" t="s">
        <v>750</v>
      </c>
      <c r="W298" s="33" t="s">
        <v>115</v>
      </c>
      <c r="X298" s="33" t="s">
        <v>115</v>
      </c>
      <c r="Y298" s="33" t="s">
        <v>115</v>
      </c>
      <c r="Z298" s="33" t="s">
        <v>115</v>
      </c>
      <c r="AA298" s="35" t="s">
        <v>115</v>
      </c>
      <c r="AB298" s="35" t="s">
        <v>115</v>
      </c>
      <c r="AC298" s="35"/>
      <c r="AD298" s="39">
        <v>0</v>
      </c>
      <c r="AE298" s="39">
        <v>0</v>
      </c>
      <c r="AF298" s="39">
        <v>0</v>
      </c>
      <c r="AG298" s="39">
        <v>0</v>
      </c>
      <c r="AH298" s="39">
        <v>9</v>
      </c>
      <c r="AI298" s="33">
        <v>0</v>
      </c>
      <c r="AJ298" s="33">
        <f t="shared" si="4"/>
        <v>9</v>
      </c>
      <c r="AK298" s="33"/>
      <c r="AL298" s="33"/>
      <c r="AM298" s="33"/>
      <c r="AN298" s="33"/>
    </row>
    <row r="299" spans="1:47" x14ac:dyDescent="0.2">
      <c r="A299" t="s">
        <v>751</v>
      </c>
      <c r="B299" t="s">
        <v>752</v>
      </c>
      <c r="C299" s="7">
        <v>2</v>
      </c>
      <c r="D299" s="7">
        <v>1</v>
      </c>
      <c r="E299" t="s">
        <v>272</v>
      </c>
      <c r="F299" s="1">
        <v>43359</v>
      </c>
      <c r="G299" s="37" t="s">
        <v>4032</v>
      </c>
      <c r="H299" s="37" t="s">
        <v>4724</v>
      </c>
      <c r="I299" s="2">
        <v>9.0277777777777787E-3</v>
      </c>
      <c r="J299" s="176">
        <v>1.5046296296296297E-4</v>
      </c>
      <c r="K299" s="6">
        <v>13</v>
      </c>
      <c r="L299" t="s">
        <v>398</v>
      </c>
      <c r="M299" s="7" t="s">
        <v>241</v>
      </c>
      <c r="N299" s="7" t="s">
        <v>242</v>
      </c>
      <c r="O299" s="7" t="s">
        <v>23</v>
      </c>
      <c r="P299" s="7">
        <v>1</v>
      </c>
      <c r="Q299" s="7"/>
      <c r="R299">
        <v>1</v>
      </c>
      <c r="T299" t="s">
        <v>1618</v>
      </c>
      <c r="U299" s="7" t="s">
        <v>2136</v>
      </c>
      <c r="V299" s="7" t="s">
        <v>750</v>
      </c>
      <c r="W299" s="7" t="s">
        <v>1035</v>
      </c>
      <c r="X299" s="44" t="s">
        <v>23</v>
      </c>
      <c r="Y299" s="44" t="s">
        <v>3997</v>
      </c>
      <c r="Z299" s="44" t="s">
        <v>4006</v>
      </c>
      <c r="AA299" s="7" t="s">
        <v>176</v>
      </c>
      <c r="AB299" s="20">
        <v>63.730119999999999</v>
      </c>
      <c r="AC299" s="20">
        <v>148.90195</v>
      </c>
      <c r="AD299" s="6">
        <v>0</v>
      </c>
      <c r="AE299" s="6">
        <v>0</v>
      </c>
      <c r="AF299" s="6">
        <v>0</v>
      </c>
      <c r="AG299" s="6">
        <v>0</v>
      </c>
      <c r="AH299" s="6">
        <v>0</v>
      </c>
      <c r="AI299">
        <v>0</v>
      </c>
      <c r="AJ299">
        <f t="shared" si="4"/>
        <v>0</v>
      </c>
      <c r="AL299" t="s">
        <v>4952</v>
      </c>
      <c r="AO299" s="33"/>
      <c r="AP299" s="33"/>
      <c r="AQ299" s="34" t="s">
        <v>3945</v>
      </c>
      <c r="AR299" s="33"/>
      <c r="AS299" s="33"/>
      <c r="AT299" s="33"/>
      <c r="AU299" s="33"/>
    </row>
    <row r="300" spans="1:47" x14ac:dyDescent="0.2">
      <c r="A300" t="s">
        <v>754</v>
      </c>
      <c r="B300" t="s">
        <v>755</v>
      </c>
      <c r="C300" s="7">
        <v>3</v>
      </c>
      <c r="D300" s="7">
        <v>1</v>
      </c>
      <c r="E300" t="s">
        <v>272</v>
      </c>
      <c r="F300" s="1">
        <v>43359</v>
      </c>
      <c r="G300" s="37" t="s">
        <v>4032</v>
      </c>
      <c r="H300" s="37" t="s">
        <v>4724</v>
      </c>
      <c r="I300" s="2">
        <v>2.6388888888888889E-2</v>
      </c>
      <c r="J300" s="176">
        <v>4.3981481481481481E-4</v>
      </c>
      <c r="K300" s="6">
        <v>38</v>
      </c>
      <c r="L300" t="s">
        <v>398</v>
      </c>
      <c r="M300" s="7" t="s">
        <v>241</v>
      </c>
      <c r="N300" s="7" t="s">
        <v>102</v>
      </c>
      <c r="O300" s="7" t="s">
        <v>23</v>
      </c>
      <c r="P300" s="7" t="s">
        <v>24</v>
      </c>
      <c r="Q300" s="7"/>
      <c r="R300">
        <v>0</v>
      </c>
      <c r="U300" s="7" t="s">
        <v>115</v>
      </c>
      <c r="V300" s="7" t="s">
        <v>115</v>
      </c>
      <c r="W300" s="7" t="s">
        <v>115</v>
      </c>
      <c r="X300" s="33" t="s">
        <v>115</v>
      </c>
      <c r="Y300" s="33" t="s">
        <v>115</v>
      </c>
      <c r="Z300" s="33" t="s">
        <v>115</v>
      </c>
      <c r="AA300" s="20" t="s">
        <v>115</v>
      </c>
      <c r="AB300" s="20" t="s">
        <v>115</v>
      </c>
      <c r="AC300" s="20"/>
      <c r="AD300" s="6">
        <v>28</v>
      </c>
      <c r="AE300" s="6">
        <v>0</v>
      </c>
      <c r="AF300" s="6">
        <v>0</v>
      </c>
      <c r="AG300" s="6">
        <v>28</v>
      </c>
      <c r="AH300" s="6">
        <v>0</v>
      </c>
      <c r="AI300">
        <v>0</v>
      </c>
      <c r="AJ300">
        <f t="shared" si="4"/>
        <v>28</v>
      </c>
      <c r="AK300" t="s">
        <v>16</v>
      </c>
      <c r="AM300">
        <v>0</v>
      </c>
      <c r="AN300">
        <v>2</v>
      </c>
    </row>
    <row r="301" spans="1:47" x14ac:dyDescent="0.2">
      <c r="A301" t="s">
        <v>756</v>
      </c>
      <c r="B301" t="s">
        <v>757</v>
      </c>
      <c r="C301" s="7">
        <v>1</v>
      </c>
      <c r="D301" s="7">
        <v>1</v>
      </c>
      <c r="E301" t="s">
        <v>2462</v>
      </c>
      <c r="F301" s="1">
        <v>43359</v>
      </c>
      <c r="G301" s="37" t="s">
        <v>4032</v>
      </c>
      <c r="H301" s="37" t="s">
        <v>4724</v>
      </c>
      <c r="I301" s="2">
        <v>3.2638888888888891E-2</v>
      </c>
      <c r="J301" s="176">
        <v>5.4398148148148144E-4</v>
      </c>
      <c r="K301" s="6">
        <v>47</v>
      </c>
      <c r="L301" t="s">
        <v>398</v>
      </c>
      <c r="M301" s="7" t="s">
        <v>64</v>
      </c>
      <c r="N301" s="7" t="s">
        <v>102</v>
      </c>
      <c r="O301" s="7" t="s">
        <v>23</v>
      </c>
      <c r="P301" s="7">
        <v>1</v>
      </c>
      <c r="Q301" s="7"/>
      <c r="R301">
        <v>1</v>
      </c>
      <c r="T301" t="s">
        <v>1618</v>
      </c>
      <c r="U301" t="s">
        <v>4011</v>
      </c>
      <c r="V301" s="7" t="s">
        <v>122</v>
      </c>
      <c r="W301" s="7" t="s">
        <v>4012</v>
      </c>
      <c r="X301" s="33" t="s">
        <v>23</v>
      </c>
      <c r="Y301" s="33" t="s">
        <v>3999</v>
      </c>
      <c r="Z301" s="33" t="s">
        <v>4006</v>
      </c>
      <c r="AA301" s="7" t="s">
        <v>176</v>
      </c>
      <c r="AB301" s="20">
        <v>63.732439999999997</v>
      </c>
      <c r="AC301" s="20">
        <v>148.89502999999999</v>
      </c>
      <c r="AD301" s="6">
        <v>0</v>
      </c>
      <c r="AE301" s="6">
        <v>0</v>
      </c>
      <c r="AF301" s="6">
        <v>0</v>
      </c>
      <c r="AG301" s="6">
        <v>0</v>
      </c>
      <c r="AH301" s="6">
        <v>0</v>
      </c>
      <c r="AI301">
        <v>0</v>
      </c>
      <c r="AJ301">
        <f t="shared" si="4"/>
        <v>0</v>
      </c>
      <c r="AL301" t="s">
        <v>759</v>
      </c>
    </row>
    <row r="302" spans="1:47" x14ac:dyDescent="0.2">
      <c r="A302" s="33" t="s">
        <v>756</v>
      </c>
      <c r="B302" s="33" t="s">
        <v>810</v>
      </c>
      <c r="C302" s="33">
        <v>6</v>
      </c>
      <c r="D302" s="33">
        <v>1</v>
      </c>
      <c r="E302" s="33" t="s">
        <v>3171</v>
      </c>
      <c r="F302" s="37">
        <v>43360</v>
      </c>
      <c r="G302" s="37" t="s">
        <v>4032</v>
      </c>
      <c r="H302" s="37" t="s">
        <v>4724</v>
      </c>
      <c r="I302" s="36">
        <v>1.8055555555555557E-2</v>
      </c>
      <c r="J302" s="177">
        <v>3.0092592592592595E-4</v>
      </c>
      <c r="K302" s="39">
        <v>26</v>
      </c>
      <c r="L302" s="33" t="s">
        <v>397</v>
      </c>
      <c r="M302" s="33" t="s">
        <v>454</v>
      </c>
      <c r="N302" s="33" t="s">
        <v>102</v>
      </c>
      <c r="O302" s="33" t="s">
        <v>115</v>
      </c>
      <c r="P302" s="33">
        <v>1</v>
      </c>
      <c r="Q302" s="33"/>
      <c r="R302" s="33">
        <v>0</v>
      </c>
      <c r="S302" s="33"/>
      <c r="T302" t="s">
        <v>598</v>
      </c>
      <c r="U302" s="33" t="s">
        <v>2106</v>
      </c>
      <c r="V302" s="33" t="s">
        <v>122</v>
      </c>
      <c r="W302" s="33" t="s">
        <v>115</v>
      </c>
      <c r="X302" s="33" t="s">
        <v>115</v>
      </c>
      <c r="Y302" s="33" t="s">
        <v>115</v>
      </c>
      <c r="Z302" s="33" t="s">
        <v>115</v>
      </c>
      <c r="AA302" s="33" t="s">
        <v>115</v>
      </c>
      <c r="AB302" s="35" t="s">
        <v>115</v>
      </c>
      <c r="AC302" s="35"/>
      <c r="AD302" s="39">
        <v>0</v>
      </c>
      <c r="AE302" s="39">
        <v>0</v>
      </c>
      <c r="AF302" s="39">
        <v>0</v>
      </c>
      <c r="AG302" s="39">
        <v>0</v>
      </c>
      <c r="AH302" s="39">
        <v>11</v>
      </c>
      <c r="AI302" s="33">
        <v>0</v>
      </c>
      <c r="AJ302" s="33">
        <f t="shared" si="4"/>
        <v>11</v>
      </c>
      <c r="AK302" s="33"/>
      <c r="AL302" s="33"/>
      <c r="AM302" s="33"/>
      <c r="AN302" s="33"/>
    </row>
    <row r="303" spans="1:47" ht="17" customHeight="1" x14ac:dyDescent="0.2">
      <c r="A303" s="33" t="s">
        <v>811</v>
      </c>
      <c r="B303" s="33" t="s">
        <v>812</v>
      </c>
      <c r="C303" s="33">
        <v>7</v>
      </c>
      <c r="D303" s="33">
        <v>1</v>
      </c>
      <c r="E303" s="33" t="s">
        <v>3171</v>
      </c>
      <c r="F303" s="37">
        <v>43360</v>
      </c>
      <c r="G303" s="37" t="s">
        <v>4032</v>
      </c>
      <c r="H303" s="37" t="s">
        <v>4724</v>
      </c>
      <c r="I303" s="36">
        <v>7.6388888888888886E-3</v>
      </c>
      <c r="J303" s="177">
        <v>1.273148148148148E-4</v>
      </c>
      <c r="K303" s="39">
        <v>11</v>
      </c>
      <c r="L303" s="33" t="s">
        <v>397</v>
      </c>
      <c r="M303" s="33" t="s">
        <v>24</v>
      </c>
      <c r="N303" s="33" t="s">
        <v>102</v>
      </c>
      <c r="O303" s="33" t="s">
        <v>115</v>
      </c>
      <c r="P303" s="33" t="s">
        <v>24</v>
      </c>
      <c r="Q303" s="33"/>
      <c r="R303" s="33">
        <v>0</v>
      </c>
      <c r="S303" s="33"/>
      <c r="T303" t="s">
        <v>176</v>
      </c>
      <c r="U303" s="33" t="s">
        <v>176</v>
      </c>
      <c r="V303" s="33" t="s">
        <v>115</v>
      </c>
      <c r="W303" s="33" t="s">
        <v>115</v>
      </c>
      <c r="X303" s="33" t="s">
        <v>115</v>
      </c>
      <c r="Y303" s="33" t="s">
        <v>115</v>
      </c>
      <c r="Z303" s="33" t="s">
        <v>115</v>
      </c>
      <c r="AA303" s="33" t="s">
        <v>115</v>
      </c>
      <c r="AB303" s="35" t="s">
        <v>115</v>
      </c>
      <c r="AC303" s="35"/>
      <c r="AD303" s="39">
        <v>0</v>
      </c>
      <c r="AE303" s="39">
        <v>0</v>
      </c>
      <c r="AF303" s="39">
        <v>0</v>
      </c>
      <c r="AG303" s="39">
        <v>0</v>
      </c>
      <c r="AH303" s="39">
        <v>7</v>
      </c>
      <c r="AI303" s="33">
        <v>0</v>
      </c>
      <c r="AJ303" s="33">
        <f t="shared" si="4"/>
        <v>7</v>
      </c>
      <c r="AK303" s="33"/>
      <c r="AL303" s="33"/>
      <c r="AM303" s="33"/>
      <c r="AN303" s="33"/>
    </row>
    <row r="304" spans="1:47" s="33" customFormat="1" x14ac:dyDescent="0.2">
      <c r="A304" t="s">
        <v>760</v>
      </c>
      <c r="B304" t="s">
        <v>761</v>
      </c>
      <c r="C304" s="7">
        <v>2</v>
      </c>
      <c r="D304" s="7">
        <v>1</v>
      </c>
      <c r="E304" t="s">
        <v>2462</v>
      </c>
      <c r="F304" s="1">
        <v>43359</v>
      </c>
      <c r="G304" s="37" t="s">
        <v>4032</v>
      </c>
      <c r="H304" s="37" t="s">
        <v>4724</v>
      </c>
      <c r="I304" s="2">
        <v>1.5277777777777777E-2</v>
      </c>
      <c r="J304" s="176">
        <v>2.5462962962962961E-4</v>
      </c>
      <c r="K304" s="6">
        <v>22</v>
      </c>
      <c r="L304" t="s">
        <v>398</v>
      </c>
      <c r="M304" s="7" t="s">
        <v>363</v>
      </c>
      <c r="N304" s="7" t="s">
        <v>227</v>
      </c>
      <c r="O304" s="7" t="s">
        <v>23</v>
      </c>
      <c r="P304" s="7">
        <v>1</v>
      </c>
      <c r="Q304" s="7"/>
      <c r="R304">
        <v>0</v>
      </c>
      <c r="S304"/>
      <c r="T304" t="s">
        <v>176</v>
      </c>
      <c r="U304" t="s">
        <v>176</v>
      </c>
      <c r="V304" s="7" t="s">
        <v>641</v>
      </c>
      <c r="W304" s="7" t="s">
        <v>115</v>
      </c>
      <c r="X304" s="33" t="s">
        <v>115</v>
      </c>
      <c r="Y304" s="33" t="s">
        <v>115</v>
      </c>
      <c r="Z304" s="33" t="s">
        <v>115</v>
      </c>
      <c r="AA304" s="20" t="s">
        <v>115</v>
      </c>
      <c r="AB304" s="20" t="s">
        <v>115</v>
      </c>
      <c r="AC304" s="20"/>
      <c r="AD304" s="6">
        <v>0</v>
      </c>
      <c r="AE304" s="6">
        <v>0</v>
      </c>
      <c r="AF304" s="6">
        <v>0</v>
      </c>
      <c r="AG304" s="6">
        <v>0</v>
      </c>
      <c r="AH304" s="6">
        <v>0</v>
      </c>
      <c r="AI304">
        <v>0</v>
      </c>
      <c r="AJ304">
        <f t="shared" si="4"/>
        <v>0</v>
      </c>
      <c r="AK304"/>
      <c r="AL304"/>
      <c r="AM304"/>
      <c r="AN304"/>
      <c r="AO304"/>
      <c r="AP304"/>
      <c r="AQ304"/>
      <c r="AR304"/>
      <c r="AS304"/>
      <c r="AT304"/>
      <c r="AU304"/>
    </row>
    <row r="305" spans="1:47" s="33" customFormat="1" x14ac:dyDescent="0.2">
      <c r="A305" t="s">
        <v>762</v>
      </c>
      <c r="B305" t="s">
        <v>763</v>
      </c>
      <c r="C305" s="7">
        <v>3</v>
      </c>
      <c r="D305" s="7">
        <v>1</v>
      </c>
      <c r="E305" t="s">
        <v>2462</v>
      </c>
      <c r="F305" s="1">
        <v>43359</v>
      </c>
      <c r="G305" s="37" t="s">
        <v>4032</v>
      </c>
      <c r="H305" s="37" t="s">
        <v>4724</v>
      </c>
      <c r="I305" s="2">
        <v>2.0833333333333333E-3</v>
      </c>
      <c r="J305" s="176">
        <v>3.4722222222222222E-5</v>
      </c>
      <c r="K305" s="6">
        <v>3</v>
      </c>
      <c r="L305" t="s">
        <v>398</v>
      </c>
      <c r="M305" s="7" t="s">
        <v>363</v>
      </c>
      <c r="N305" s="7" t="s">
        <v>107</v>
      </c>
      <c r="O305" s="7" t="s">
        <v>115</v>
      </c>
      <c r="P305" s="7">
        <v>1</v>
      </c>
      <c r="Q305" s="7"/>
      <c r="R305">
        <v>0</v>
      </c>
      <c r="S305"/>
      <c r="T305" t="s">
        <v>1618</v>
      </c>
      <c r="U305" s="7" t="s">
        <v>2132</v>
      </c>
      <c r="V305" s="7" t="s">
        <v>24</v>
      </c>
      <c r="W305" s="7" t="s">
        <v>115</v>
      </c>
      <c r="X305" s="33" t="s">
        <v>115</v>
      </c>
      <c r="Y305" s="33" t="s">
        <v>115</v>
      </c>
      <c r="Z305" s="33" t="s">
        <v>115</v>
      </c>
      <c r="AA305" s="20" t="s">
        <v>115</v>
      </c>
      <c r="AB305" s="20" t="s">
        <v>115</v>
      </c>
      <c r="AC305" s="20"/>
      <c r="AD305" s="6">
        <v>0</v>
      </c>
      <c r="AE305" s="6">
        <v>0</v>
      </c>
      <c r="AF305" s="6">
        <v>0</v>
      </c>
      <c r="AG305" s="6">
        <v>0</v>
      </c>
      <c r="AH305" s="6">
        <v>0</v>
      </c>
      <c r="AI305">
        <v>0</v>
      </c>
      <c r="AJ305">
        <f t="shared" si="4"/>
        <v>0</v>
      </c>
      <c r="AK305"/>
      <c r="AL305" t="s">
        <v>767</v>
      </c>
      <c r="AM305"/>
      <c r="AN305"/>
      <c r="AO305"/>
      <c r="AP305"/>
      <c r="AQ305"/>
      <c r="AR305"/>
      <c r="AS305"/>
      <c r="AT305"/>
      <c r="AU305"/>
    </row>
    <row r="306" spans="1:47" x14ac:dyDescent="0.2">
      <c r="A306" t="s">
        <v>765</v>
      </c>
      <c r="B306" t="s">
        <v>766</v>
      </c>
      <c r="C306" s="7">
        <v>4</v>
      </c>
      <c r="D306" s="7">
        <v>1</v>
      </c>
      <c r="E306" t="s">
        <v>2462</v>
      </c>
      <c r="F306" s="1">
        <v>43359</v>
      </c>
      <c r="G306" s="37" t="s">
        <v>4032</v>
      </c>
      <c r="H306" s="37" t="s">
        <v>4724</v>
      </c>
      <c r="I306" s="2">
        <v>2.4305555555555556E-2</v>
      </c>
      <c r="J306" s="176">
        <v>4.0509259259259258E-4</v>
      </c>
      <c r="K306" s="6">
        <v>35</v>
      </c>
      <c r="L306" t="s">
        <v>398</v>
      </c>
      <c r="M306" s="7" t="s">
        <v>363</v>
      </c>
      <c r="N306" s="7" t="s">
        <v>227</v>
      </c>
      <c r="O306" s="7" t="s">
        <v>23</v>
      </c>
      <c r="P306" s="7">
        <v>1</v>
      </c>
      <c r="Q306" s="7"/>
      <c r="R306">
        <v>0</v>
      </c>
      <c r="T306" t="s">
        <v>1618</v>
      </c>
      <c r="U306" s="7" t="s">
        <v>2132</v>
      </c>
      <c r="V306" s="7" t="s">
        <v>333</v>
      </c>
      <c r="W306" s="7" t="s">
        <v>115</v>
      </c>
      <c r="X306" s="33" t="s">
        <v>115</v>
      </c>
      <c r="Y306" s="33" t="s">
        <v>115</v>
      </c>
      <c r="Z306" s="33" t="s">
        <v>115</v>
      </c>
      <c r="AA306" s="20" t="s">
        <v>115</v>
      </c>
      <c r="AB306" s="20" t="s">
        <v>115</v>
      </c>
      <c r="AC306" s="20"/>
      <c r="AD306" s="6">
        <v>0</v>
      </c>
      <c r="AE306" s="6">
        <v>0</v>
      </c>
      <c r="AF306" s="6">
        <v>0</v>
      </c>
      <c r="AG306" s="6">
        <v>0</v>
      </c>
      <c r="AH306" s="6">
        <v>0</v>
      </c>
      <c r="AI306">
        <v>0</v>
      </c>
      <c r="AJ306">
        <f t="shared" si="4"/>
        <v>0</v>
      </c>
      <c r="AL306" t="s">
        <v>768</v>
      </c>
    </row>
    <row r="307" spans="1:47" x14ac:dyDescent="0.2">
      <c r="A307" t="s">
        <v>769</v>
      </c>
      <c r="B307" t="s">
        <v>770</v>
      </c>
      <c r="C307" s="7">
        <v>5</v>
      </c>
      <c r="D307" s="7">
        <v>1</v>
      </c>
      <c r="E307" t="s">
        <v>2462</v>
      </c>
      <c r="F307" s="1">
        <v>43359</v>
      </c>
      <c r="G307" s="37" t="s">
        <v>4032</v>
      </c>
      <c r="H307" s="37" t="s">
        <v>4724</v>
      </c>
      <c r="I307" s="2">
        <v>6.2499999999999995E-3</v>
      </c>
      <c r="J307" s="176">
        <v>1.0416666666666667E-4</v>
      </c>
      <c r="K307" s="6">
        <v>9</v>
      </c>
      <c r="L307" t="s">
        <v>398</v>
      </c>
      <c r="M307" s="7" t="s">
        <v>363</v>
      </c>
      <c r="N307" s="7" t="s">
        <v>107</v>
      </c>
      <c r="O307" s="7" t="s">
        <v>23</v>
      </c>
      <c r="P307" s="7">
        <v>1</v>
      </c>
      <c r="Q307" s="7"/>
      <c r="R307">
        <v>0</v>
      </c>
      <c r="T307" t="s">
        <v>1618</v>
      </c>
      <c r="U307" s="7" t="s">
        <v>2132</v>
      </c>
      <c r="V307" s="7" t="s">
        <v>115</v>
      </c>
      <c r="W307" s="7" t="s">
        <v>115</v>
      </c>
      <c r="X307" s="33" t="s">
        <v>115</v>
      </c>
      <c r="Y307" s="33" t="s">
        <v>115</v>
      </c>
      <c r="Z307" s="33" t="s">
        <v>115</v>
      </c>
      <c r="AA307" s="20" t="s">
        <v>115</v>
      </c>
      <c r="AB307" s="20" t="s">
        <v>115</v>
      </c>
      <c r="AC307" s="20"/>
      <c r="AD307" s="6">
        <v>0</v>
      </c>
      <c r="AE307" s="6">
        <v>0</v>
      </c>
      <c r="AF307" s="6">
        <v>0</v>
      </c>
      <c r="AG307" s="6">
        <v>0</v>
      </c>
      <c r="AH307" s="6">
        <v>0</v>
      </c>
      <c r="AI307">
        <v>0</v>
      </c>
      <c r="AJ307">
        <f t="shared" si="4"/>
        <v>0</v>
      </c>
      <c r="AL307" t="s">
        <v>771</v>
      </c>
      <c r="AO307" s="33"/>
      <c r="AP307" s="33"/>
      <c r="AQ307" s="34"/>
      <c r="AR307" s="33"/>
      <c r="AS307" s="33"/>
      <c r="AT307" s="33"/>
      <c r="AU307" s="33"/>
    </row>
    <row r="308" spans="1:47" x14ac:dyDescent="0.2">
      <c r="A308" t="s">
        <v>773</v>
      </c>
      <c r="B308" t="s">
        <v>772</v>
      </c>
      <c r="C308" s="7">
        <v>6</v>
      </c>
      <c r="D308" s="7">
        <v>1</v>
      </c>
      <c r="E308" t="s">
        <v>2462</v>
      </c>
      <c r="F308" s="1">
        <v>43359</v>
      </c>
      <c r="G308" s="37" t="s">
        <v>4032</v>
      </c>
      <c r="H308" s="37" t="s">
        <v>4724</v>
      </c>
      <c r="I308" s="2">
        <v>8.3333333333333332E-3</v>
      </c>
      <c r="J308" s="176">
        <v>1.3888888888888889E-4</v>
      </c>
      <c r="K308" s="6">
        <v>12</v>
      </c>
      <c r="L308" t="s">
        <v>398</v>
      </c>
      <c r="M308" s="7" t="s">
        <v>363</v>
      </c>
      <c r="N308" s="7" t="s">
        <v>107</v>
      </c>
      <c r="O308" s="7" t="s">
        <v>115</v>
      </c>
      <c r="P308" s="7">
        <v>0</v>
      </c>
      <c r="Q308" s="7"/>
      <c r="R308">
        <v>0</v>
      </c>
      <c r="T308" t="s">
        <v>1618</v>
      </c>
      <c r="U308" s="7" t="s">
        <v>2132</v>
      </c>
      <c r="V308" s="7" t="s">
        <v>115</v>
      </c>
      <c r="W308" s="7" t="s">
        <v>115</v>
      </c>
      <c r="X308" s="33" t="s">
        <v>115</v>
      </c>
      <c r="Y308" s="33" t="s">
        <v>115</v>
      </c>
      <c r="Z308" s="33" t="s">
        <v>115</v>
      </c>
      <c r="AA308" s="20" t="s">
        <v>115</v>
      </c>
      <c r="AB308" s="20" t="s">
        <v>115</v>
      </c>
      <c r="AC308" s="20"/>
      <c r="AD308" s="6">
        <v>0</v>
      </c>
      <c r="AE308" s="6">
        <v>0</v>
      </c>
      <c r="AF308" s="6">
        <v>0</v>
      </c>
      <c r="AG308" s="6">
        <v>0</v>
      </c>
      <c r="AH308" s="6">
        <v>0</v>
      </c>
      <c r="AI308">
        <v>0</v>
      </c>
      <c r="AJ308">
        <f t="shared" si="4"/>
        <v>0</v>
      </c>
      <c r="AL308" t="s">
        <v>771</v>
      </c>
      <c r="AO308" s="33"/>
      <c r="AP308" s="33"/>
      <c r="AQ308" s="34"/>
      <c r="AR308" s="33"/>
      <c r="AS308" s="33"/>
      <c r="AT308" s="33"/>
      <c r="AU308" s="33"/>
    </row>
    <row r="309" spans="1:47" x14ac:dyDescent="0.2">
      <c r="A309" t="s">
        <v>774</v>
      </c>
      <c r="B309" t="s">
        <v>775</v>
      </c>
      <c r="C309" s="7">
        <v>7</v>
      </c>
      <c r="D309" s="7">
        <v>1</v>
      </c>
      <c r="E309" t="s">
        <v>2462</v>
      </c>
      <c r="F309" s="1">
        <v>43359</v>
      </c>
      <c r="G309" s="37" t="s">
        <v>4032</v>
      </c>
      <c r="H309" s="37" t="s">
        <v>4724</v>
      </c>
      <c r="I309" s="2">
        <v>1.8055555555555557E-2</v>
      </c>
      <c r="J309" s="176">
        <v>3.0092592592592595E-4</v>
      </c>
      <c r="K309" s="6">
        <v>26</v>
      </c>
      <c r="L309" t="s">
        <v>398</v>
      </c>
      <c r="M309" s="7" t="s">
        <v>363</v>
      </c>
      <c r="N309" s="7" t="s">
        <v>242</v>
      </c>
      <c r="O309" s="7" t="s">
        <v>23</v>
      </c>
      <c r="P309" s="7">
        <v>0</v>
      </c>
      <c r="Q309" s="7"/>
      <c r="R309">
        <v>1</v>
      </c>
      <c r="T309" t="s">
        <v>1618</v>
      </c>
      <c r="U309" s="7" t="s">
        <v>2132</v>
      </c>
      <c r="V309" s="7" t="s">
        <v>115</v>
      </c>
      <c r="W309" s="7" t="s">
        <v>776</v>
      </c>
      <c r="X309" s="33" t="s">
        <v>23</v>
      </c>
      <c r="Y309" s="33" t="s">
        <v>24</v>
      </c>
      <c r="Z309" s="33" t="s">
        <v>4008</v>
      </c>
      <c r="AA309" s="7" t="s">
        <v>176</v>
      </c>
      <c r="AB309" s="20">
        <v>63.733759999999997</v>
      </c>
      <c r="AC309" s="20">
        <v>148.89946</v>
      </c>
      <c r="AD309" s="6">
        <v>0</v>
      </c>
      <c r="AE309" s="6">
        <v>0</v>
      </c>
      <c r="AF309" s="6">
        <v>0</v>
      </c>
      <c r="AG309" s="6">
        <v>0</v>
      </c>
      <c r="AH309" s="6">
        <v>0</v>
      </c>
      <c r="AI309">
        <v>0</v>
      </c>
      <c r="AJ309">
        <f t="shared" si="4"/>
        <v>0</v>
      </c>
      <c r="AL309" t="s">
        <v>771</v>
      </c>
    </row>
    <row r="310" spans="1:47" x14ac:dyDescent="0.2">
      <c r="A310" t="s">
        <v>777</v>
      </c>
      <c r="B310" t="s">
        <v>778</v>
      </c>
      <c r="C310" s="7">
        <v>8</v>
      </c>
      <c r="D310" s="7">
        <v>1</v>
      </c>
      <c r="E310" t="s">
        <v>2462</v>
      </c>
      <c r="F310" s="1">
        <v>43359</v>
      </c>
      <c r="G310" s="37" t="s">
        <v>4032</v>
      </c>
      <c r="H310" s="37" t="s">
        <v>4724</v>
      </c>
      <c r="I310" s="2">
        <v>2.4305555555555556E-2</v>
      </c>
      <c r="J310" s="176">
        <v>4.0509259259259258E-4</v>
      </c>
      <c r="K310" s="6">
        <v>35</v>
      </c>
      <c r="L310" t="s">
        <v>398</v>
      </c>
      <c r="M310" s="7" t="s">
        <v>363</v>
      </c>
      <c r="N310" s="7" t="s">
        <v>102</v>
      </c>
      <c r="O310" s="7" t="s">
        <v>23</v>
      </c>
      <c r="P310" s="7" t="s">
        <v>24</v>
      </c>
      <c r="Q310" s="7"/>
      <c r="R310">
        <v>0</v>
      </c>
      <c r="U310" s="7" t="s">
        <v>115</v>
      </c>
      <c r="V310" s="7" t="s">
        <v>115</v>
      </c>
      <c r="W310" s="7" t="s">
        <v>115</v>
      </c>
      <c r="X310" s="33" t="s">
        <v>115</v>
      </c>
      <c r="Y310" s="33" t="s">
        <v>115</v>
      </c>
      <c r="Z310" s="33" t="s">
        <v>115</v>
      </c>
      <c r="AA310" s="20" t="s">
        <v>115</v>
      </c>
      <c r="AB310" s="20" t="s">
        <v>115</v>
      </c>
      <c r="AC310" s="20"/>
      <c r="AD310" s="6">
        <v>0</v>
      </c>
      <c r="AE310" s="6">
        <v>13</v>
      </c>
      <c r="AF310" s="6">
        <v>9</v>
      </c>
      <c r="AG310" s="6">
        <v>4</v>
      </c>
      <c r="AH310" s="6">
        <v>0</v>
      </c>
      <c r="AI310">
        <v>0</v>
      </c>
      <c r="AJ310">
        <f t="shared" si="4"/>
        <v>13</v>
      </c>
      <c r="AK310" t="s">
        <v>16</v>
      </c>
      <c r="AL310" t="s">
        <v>779</v>
      </c>
      <c r="AM310">
        <v>0</v>
      </c>
      <c r="AN310">
        <v>1</v>
      </c>
    </row>
    <row r="311" spans="1:47" x14ac:dyDescent="0.2">
      <c r="A311" s="33" t="s">
        <v>780</v>
      </c>
      <c r="B311" s="33" t="s">
        <v>781</v>
      </c>
      <c r="C311" s="33">
        <v>9</v>
      </c>
      <c r="D311" s="33">
        <v>1</v>
      </c>
      <c r="E311" s="33" t="s">
        <v>2462</v>
      </c>
      <c r="F311" s="37">
        <v>43359</v>
      </c>
      <c r="G311" s="37" t="s">
        <v>4032</v>
      </c>
      <c r="H311" s="37" t="s">
        <v>4724</v>
      </c>
      <c r="I311" s="36">
        <v>5.2083333333333336E-2</v>
      </c>
      <c r="J311" s="177">
        <v>8.6805555555555551E-4</v>
      </c>
      <c r="K311" s="39">
        <v>75</v>
      </c>
      <c r="L311" s="33" t="s">
        <v>398</v>
      </c>
      <c r="M311" s="33" t="s">
        <v>64</v>
      </c>
      <c r="N311" s="33" t="s">
        <v>102</v>
      </c>
      <c r="O311" s="33" t="s">
        <v>23</v>
      </c>
      <c r="P311" s="33" t="s">
        <v>24</v>
      </c>
      <c r="Q311" s="33"/>
      <c r="R311" s="33">
        <v>0</v>
      </c>
      <c r="S311" s="33"/>
      <c r="T311" s="33"/>
      <c r="U311" s="33" t="s">
        <v>115</v>
      </c>
      <c r="V311" s="33" t="s">
        <v>115</v>
      </c>
      <c r="W311" s="33" t="s">
        <v>115</v>
      </c>
      <c r="X311" s="33" t="s">
        <v>115</v>
      </c>
      <c r="Y311" s="33" t="s">
        <v>115</v>
      </c>
      <c r="Z311" s="33" t="s">
        <v>115</v>
      </c>
      <c r="AA311" s="35" t="s">
        <v>115</v>
      </c>
      <c r="AB311" s="35" t="s">
        <v>115</v>
      </c>
      <c r="AC311" s="35"/>
      <c r="AD311" s="39">
        <v>26</v>
      </c>
      <c r="AE311" s="39">
        <v>5</v>
      </c>
      <c r="AF311" s="39">
        <v>26</v>
      </c>
      <c r="AG311" s="39">
        <v>5</v>
      </c>
      <c r="AH311" s="39">
        <v>0</v>
      </c>
      <c r="AI311" s="33">
        <v>0</v>
      </c>
      <c r="AJ311" s="33">
        <f t="shared" si="4"/>
        <v>31</v>
      </c>
      <c r="AK311" s="33"/>
      <c r="AL311" s="33"/>
      <c r="AM311" s="33"/>
      <c r="AN311" s="33"/>
      <c r="AO311" s="33"/>
      <c r="AP311" s="33"/>
      <c r="AQ311" s="34"/>
      <c r="AR311" s="33"/>
      <c r="AS311" s="33"/>
      <c r="AT311" s="33"/>
      <c r="AU311" s="33"/>
    </row>
    <row r="312" spans="1:47" ht="16" customHeight="1" x14ac:dyDescent="0.2">
      <c r="A312" t="s">
        <v>782</v>
      </c>
      <c r="B312" t="s">
        <v>4954</v>
      </c>
      <c r="C312" s="7">
        <v>1</v>
      </c>
      <c r="D312" s="7">
        <v>1</v>
      </c>
      <c r="E312" t="s">
        <v>2601</v>
      </c>
      <c r="F312" s="1">
        <v>43360</v>
      </c>
      <c r="G312" s="37" t="s">
        <v>4032</v>
      </c>
      <c r="H312" s="37" t="s">
        <v>4724</v>
      </c>
      <c r="I312" s="2">
        <v>4.027777777777778E-2</v>
      </c>
      <c r="J312" s="176">
        <v>6.7129629629629625E-4</v>
      </c>
      <c r="K312" s="6">
        <v>58</v>
      </c>
      <c r="L312" t="s">
        <v>398</v>
      </c>
      <c r="M312" s="7" t="s">
        <v>173</v>
      </c>
      <c r="N312" s="7" t="s">
        <v>111</v>
      </c>
      <c r="O312" s="7" t="s">
        <v>23</v>
      </c>
      <c r="P312" s="7">
        <v>1</v>
      </c>
      <c r="Q312" s="7"/>
      <c r="R312">
        <v>2</v>
      </c>
      <c r="S312" t="s">
        <v>2066</v>
      </c>
      <c r="T312" t="s">
        <v>1618</v>
      </c>
      <c r="U312" s="7" t="s">
        <v>2112</v>
      </c>
      <c r="V312" s="7" t="s">
        <v>24</v>
      </c>
      <c r="W312" t="s">
        <v>709</v>
      </c>
      <c r="X312" s="44" t="s">
        <v>23</v>
      </c>
      <c r="Y312" s="44" t="s">
        <v>4004</v>
      </c>
      <c r="Z312" s="44" t="s">
        <v>4005</v>
      </c>
      <c r="AA312" s="7" t="s">
        <v>176</v>
      </c>
      <c r="AB312" s="20">
        <v>63.725639999999999</v>
      </c>
      <c r="AC312" s="20">
        <v>148.95848000000001</v>
      </c>
      <c r="AD312" s="6">
        <v>0</v>
      </c>
      <c r="AE312" s="6">
        <v>0</v>
      </c>
      <c r="AF312" s="6">
        <v>0</v>
      </c>
      <c r="AG312" s="6">
        <v>0</v>
      </c>
      <c r="AH312" s="6">
        <v>0</v>
      </c>
      <c r="AI312">
        <v>0</v>
      </c>
      <c r="AJ312">
        <f t="shared" si="4"/>
        <v>0</v>
      </c>
    </row>
    <row r="313" spans="1:47" s="33" customFormat="1" x14ac:dyDescent="0.2">
      <c r="A313" t="s">
        <v>784</v>
      </c>
      <c r="B313" t="s">
        <v>4956</v>
      </c>
      <c r="C313" s="7">
        <v>2</v>
      </c>
      <c r="D313" s="7">
        <v>1</v>
      </c>
      <c r="E313" t="s">
        <v>2601</v>
      </c>
      <c r="F313" s="1">
        <v>43360</v>
      </c>
      <c r="G313" s="37" t="s">
        <v>4032</v>
      </c>
      <c r="H313" s="37" t="s">
        <v>4724</v>
      </c>
      <c r="I313" s="2">
        <v>1.1805555555555555E-2</v>
      </c>
      <c r="J313" s="176">
        <v>1.9675925925925926E-4</v>
      </c>
      <c r="K313" s="6">
        <v>17</v>
      </c>
      <c r="L313"/>
      <c r="M313" s="7" t="s">
        <v>173</v>
      </c>
      <c r="N313" s="7" t="s">
        <v>107</v>
      </c>
      <c r="O313" s="7" t="s">
        <v>23</v>
      </c>
      <c r="P313" s="7">
        <v>0</v>
      </c>
      <c r="Q313" s="7"/>
      <c r="R313">
        <v>0</v>
      </c>
      <c r="S313"/>
      <c r="T313" t="s">
        <v>1618</v>
      </c>
      <c r="U313" s="7" t="s">
        <v>2112</v>
      </c>
      <c r="V313" s="7" t="s">
        <v>115</v>
      </c>
      <c r="W313" s="7" t="s">
        <v>115</v>
      </c>
      <c r="X313" s="33" t="s">
        <v>115</v>
      </c>
      <c r="Y313" s="33" t="s">
        <v>115</v>
      </c>
      <c r="Z313" s="33" t="s">
        <v>115</v>
      </c>
      <c r="AA313" s="20" t="s">
        <v>115</v>
      </c>
      <c r="AB313" s="20" t="s">
        <v>115</v>
      </c>
      <c r="AC313" s="20"/>
      <c r="AD313" s="6">
        <v>0</v>
      </c>
      <c r="AE313" s="6">
        <v>0</v>
      </c>
      <c r="AF313" s="6">
        <v>0</v>
      </c>
      <c r="AG313" s="6">
        <v>0</v>
      </c>
      <c r="AH313" s="6">
        <v>0</v>
      </c>
      <c r="AI313">
        <v>0</v>
      </c>
      <c r="AJ313">
        <f t="shared" si="4"/>
        <v>0</v>
      </c>
      <c r="AK313"/>
      <c r="AL313" t="s">
        <v>785</v>
      </c>
      <c r="AM313"/>
      <c r="AN313"/>
      <c r="AO313"/>
      <c r="AP313"/>
      <c r="AQ313"/>
      <c r="AR313"/>
      <c r="AS313"/>
      <c r="AT313"/>
      <c r="AU313"/>
    </row>
    <row r="314" spans="1:47" x14ac:dyDescent="0.2">
      <c r="A314" t="s">
        <v>786</v>
      </c>
      <c r="B314" t="s">
        <v>4955</v>
      </c>
      <c r="C314">
        <v>3</v>
      </c>
      <c r="D314">
        <v>1</v>
      </c>
      <c r="E314" t="s">
        <v>2601</v>
      </c>
      <c r="F314" s="1">
        <v>43360</v>
      </c>
      <c r="G314" s="37" t="s">
        <v>4032</v>
      </c>
      <c r="H314" s="37" t="s">
        <v>4724</v>
      </c>
      <c r="I314" s="2">
        <v>4.3750000000000004E-2</v>
      </c>
      <c r="J314" s="176">
        <v>7.291666666666667E-4</v>
      </c>
      <c r="K314" s="6">
        <v>63</v>
      </c>
      <c r="L314" t="s">
        <v>397</v>
      </c>
      <c r="M314" s="7" t="s">
        <v>173</v>
      </c>
      <c r="N314" s="7" t="s">
        <v>242</v>
      </c>
      <c r="O314" s="7" t="s">
        <v>23</v>
      </c>
      <c r="P314" s="7">
        <v>1</v>
      </c>
      <c r="Q314" s="7"/>
      <c r="R314">
        <v>1</v>
      </c>
      <c r="T314" t="s">
        <v>1618</v>
      </c>
      <c r="U314" s="7" t="s">
        <v>2112</v>
      </c>
      <c r="V314" s="7" t="s">
        <v>115</v>
      </c>
      <c r="W314" s="7" t="s">
        <v>2076</v>
      </c>
      <c r="X314" s="44" t="s">
        <v>23</v>
      </c>
      <c r="Y314" s="44" t="s">
        <v>4004</v>
      </c>
      <c r="Z314" s="44" t="s">
        <v>4005</v>
      </c>
      <c r="AA314" s="7" t="s">
        <v>24</v>
      </c>
      <c r="AB314" s="20">
        <v>63.725679999999997</v>
      </c>
      <c r="AC314" s="20">
        <v>148.9588</v>
      </c>
      <c r="AD314" s="6">
        <v>0</v>
      </c>
      <c r="AE314" s="6">
        <v>0</v>
      </c>
      <c r="AF314" s="6">
        <v>0</v>
      </c>
      <c r="AG314" s="6">
        <v>0</v>
      </c>
      <c r="AH314" s="6">
        <v>0</v>
      </c>
      <c r="AI314">
        <v>0</v>
      </c>
      <c r="AJ314">
        <f t="shared" si="4"/>
        <v>0</v>
      </c>
    </row>
    <row r="315" spans="1:47" hidden="1" x14ac:dyDescent="0.2">
      <c r="A315" t="s">
        <v>786</v>
      </c>
      <c r="B315" t="s">
        <v>4955</v>
      </c>
      <c r="C315">
        <v>3</v>
      </c>
      <c r="D315">
        <v>2</v>
      </c>
      <c r="E315" t="s">
        <v>2601</v>
      </c>
      <c r="F315" s="1">
        <v>43360</v>
      </c>
      <c r="G315" s="37" t="s">
        <v>4032</v>
      </c>
      <c r="H315" s="37" t="s">
        <v>4724</v>
      </c>
      <c r="I315" s="2">
        <v>4.3750000000000004E-2</v>
      </c>
      <c r="J315" s="176">
        <v>7.291666666666667E-4</v>
      </c>
      <c r="K315" s="6">
        <v>63</v>
      </c>
      <c r="L315" t="s">
        <v>397</v>
      </c>
      <c r="M315" s="7" t="s">
        <v>173</v>
      </c>
      <c r="N315" s="7" t="s">
        <v>242</v>
      </c>
      <c r="O315" s="7" t="s">
        <v>23</v>
      </c>
      <c r="P315" s="7">
        <v>0</v>
      </c>
      <c r="Q315" s="7"/>
      <c r="R315">
        <v>1</v>
      </c>
      <c r="T315" t="s">
        <v>1618</v>
      </c>
      <c r="U315" s="7" t="s">
        <v>2112</v>
      </c>
      <c r="V315" s="7" t="s">
        <v>115</v>
      </c>
      <c r="W315" s="7" t="s">
        <v>1035</v>
      </c>
      <c r="X315" s="44" t="s">
        <v>23</v>
      </c>
      <c r="Y315" s="44" t="s">
        <v>3997</v>
      </c>
      <c r="Z315" s="44" t="s">
        <v>4006</v>
      </c>
      <c r="AA315" s="7" t="s">
        <v>24</v>
      </c>
      <c r="AB315" s="20">
        <v>63.72569</v>
      </c>
      <c r="AC315" s="20">
        <v>148.95882</v>
      </c>
      <c r="AD315" s="6">
        <v>0</v>
      </c>
      <c r="AE315" s="6">
        <v>0</v>
      </c>
      <c r="AF315" s="6">
        <v>0</v>
      </c>
      <c r="AG315" s="6">
        <v>0</v>
      </c>
      <c r="AH315" s="6">
        <v>0</v>
      </c>
      <c r="AI315">
        <v>0</v>
      </c>
      <c r="AJ315">
        <f t="shared" si="4"/>
        <v>0</v>
      </c>
      <c r="AO315" s="33"/>
      <c r="AP315" s="33"/>
      <c r="AQ315" s="34" t="s">
        <v>3942</v>
      </c>
      <c r="AR315" s="33"/>
      <c r="AS315" s="33"/>
      <c r="AT315" s="33"/>
      <c r="AU315" s="33"/>
    </row>
    <row r="316" spans="1:47" x14ac:dyDescent="0.2">
      <c r="A316" t="s">
        <v>788</v>
      </c>
      <c r="B316" t="s">
        <v>4953</v>
      </c>
      <c r="C316">
        <v>4</v>
      </c>
      <c r="D316">
        <v>1</v>
      </c>
      <c r="E316" t="s">
        <v>2601</v>
      </c>
      <c r="F316" s="1">
        <v>43360</v>
      </c>
      <c r="G316" s="37" t="s">
        <v>4032</v>
      </c>
      <c r="H316" s="37" t="s">
        <v>4724</v>
      </c>
      <c r="I316" s="2">
        <v>2.2222222222222223E-2</v>
      </c>
      <c r="J316" s="176">
        <v>3.7037037037037035E-4</v>
      </c>
      <c r="K316" s="6">
        <v>32</v>
      </c>
      <c r="L316" t="s">
        <v>397</v>
      </c>
      <c r="M316" s="7" t="s">
        <v>173</v>
      </c>
      <c r="N316" s="7" t="s">
        <v>221</v>
      </c>
      <c r="O316" s="7" t="s">
        <v>23</v>
      </c>
      <c r="P316" s="7" t="s">
        <v>24</v>
      </c>
      <c r="Q316" s="7"/>
      <c r="R316">
        <v>0</v>
      </c>
      <c r="U316" s="7" t="s">
        <v>115</v>
      </c>
      <c r="V316" s="7" t="s">
        <v>115</v>
      </c>
      <c r="W316" s="7" t="s">
        <v>115</v>
      </c>
      <c r="X316" s="33" t="s">
        <v>115</v>
      </c>
      <c r="Y316" s="33" t="s">
        <v>115</v>
      </c>
      <c r="Z316" s="33" t="s">
        <v>115</v>
      </c>
      <c r="AA316" t="s">
        <v>115</v>
      </c>
      <c r="AB316" s="20" t="s">
        <v>115</v>
      </c>
      <c r="AC316" s="20"/>
      <c r="AD316" s="6">
        <v>0</v>
      </c>
      <c r="AE316" s="6">
        <v>17</v>
      </c>
      <c r="AF316" s="6">
        <v>14</v>
      </c>
      <c r="AG316" s="6">
        <v>3</v>
      </c>
      <c r="AH316" s="6">
        <v>0</v>
      </c>
      <c r="AI316">
        <v>0</v>
      </c>
      <c r="AJ316">
        <f t="shared" si="4"/>
        <v>17</v>
      </c>
      <c r="AO316" s="33"/>
      <c r="AP316" s="33"/>
      <c r="AQ316" s="34"/>
      <c r="AR316" s="33"/>
      <c r="AS316" s="33"/>
      <c r="AT316" s="33"/>
      <c r="AU316" s="33"/>
    </row>
    <row r="317" spans="1:47" x14ac:dyDescent="0.2">
      <c r="A317" t="s">
        <v>789</v>
      </c>
      <c r="B317" t="s">
        <v>790</v>
      </c>
      <c r="C317">
        <v>1</v>
      </c>
      <c r="D317">
        <v>1</v>
      </c>
      <c r="E317" t="s">
        <v>791</v>
      </c>
      <c r="F317" s="1">
        <v>43360</v>
      </c>
      <c r="G317" s="37" t="s">
        <v>4032</v>
      </c>
      <c r="H317" s="37" t="s">
        <v>4724</v>
      </c>
      <c r="I317" s="2">
        <v>4.8611111111111112E-3</v>
      </c>
      <c r="J317" s="176">
        <v>8.1018518518518516E-5</v>
      </c>
      <c r="K317" s="6">
        <v>7</v>
      </c>
      <c r="L317" t="s">
        <v>397</v>
      </c>
      <c r="M317" s="7" t="s">
        <v>24</v>
      </c>
      <c r="N317" s="7" t="s">
        <v>107</v>
      </c>
      <c r="O317" s="7" t="s">
        <v>23</v>
      </c>
      <c r="P317" s="7">
        <v>1</v>
      </c>
      <c r="Q317" s="7"/>
      <c r="R317">
        <v>0</v>
      </c>
      <c r="T317" t="s">
        <v>1618</v>
      </c>
      <c r="U317" s="7" t="s">
        <v>2132</v>
      </c>
      <c r="V317" s="7" t="s">
        <v>24</v>
      </c>
      <c r="W317" s="7" t="s">
        <v>115</v>
      </c>
      <c r="X317" s="33" t="s">
        <v>115</v>
      </c>
      <c r="Y317" s="33" t="s">
        <v>115</v>
      </c>
      <c r="Z317" s="33" t="s">
        <v>115</v>
      </c>
      <c r="AA317" t="s">
        <v>115</v>
      </c>
      <c r="AB317" s="20" t="s">
        <v>115</v>
      </c>
      <c r="AC317" s="20"/>
      <c r="AD317" s="6">
        <v>0</v>
      </c>
      <c r="AE317" s="6">
        <v>0</v>
      </c>
      <c r="AF317" s="6">
        <v>0</v>
      </c>
      <c r="AG317" s="6">
        <v>0</v>
      </c>
      <c r="AH317" s="6">
        <v>0</v>
      </c>
      <c r="AI317">
        <v>0</v>
      </c>
      <c r="AJ317">
        <f t="shared" si="4"/>
        <v>0</v>
      </c>
      <c r="AO317" s="33"/>
      <c r="AP317" s="33"/>
      <c r="AQ317" s="34"/>
      <c r="AR317" s="33"/>
      <c r="AS317" s="33"/>
      <c r="AT317" s="33"/>
      <c r="AU317" s="33"/>
    </row>
    <row r="318" spans="1:47" hidden="1" x14ac:dyDescent="0.2">
      <c r="A318" t="s">
        <v>792</v>
      </c>
      <c r="B318" t="s">
        <v>793</v>
      </c>
      <c r="C318">
        <v>1</v>
      </c>
      <c r="D318">
        <v>2</v>
      </c>
      <c r="E318" s="33" t="s">
        <v>3171</v>
      </c>
      <c r="F318" s="1">
        <v>43360</v>
      </c>
      <c r="G318" s="37" t="s">
        <v>4032</v>
      </c>
      <c r="H318" s="37" t="s">
        <v>4724</v>
      </c>
      <c r="I318" s="2">
        <v>0.15555555555555556</v>
      </c>
      <c r="J318" s="176">
        <v>2.5925925925925925E-3</v>
      </c>
      <c r="K318" s="6">
        <v>224</v>
      </c>
      <c r="L318" t="s">
        <v>397</v>
      </c>
      <c r="M318" s="7" t="s">
        <v>149</v>
      </c>
      <c r="N318" s="7" t="s">
        <v>242</v>
      </c>
      <c r="O318" s="7" t="s">
        <v>23</v>
      </c>
      <c r="P318" s="7" t="s">
        <v>24</v>
      </c>
      <c r="Q318" s="7"/>
      <c r="R318">
        <v>1</v>
      </c>
      <c r="T318" t="s">
        <v>1618</v>
      </c>
      <c r="U318" s="7" t="s">
        <v>2132</v>
      </c>
      <c r="V318" s="7" t="s">
        <v>24</v>
      </c>
      <c r="W318" s="7" t="s">
        <v>2077</v>
      </c>
      <c r="X318" s="44" t="s">
        <v>23</v>
      </c>
      <c r="Y318" s="44" t="s">
        <v>4004</v>
      </c>
      <c r="Z318" s="44" t="s">
        <v>4005</v>
      </c>
      <c r="AA318" s="7" t="s">
        <v>24</v>
      </c>
      <c r="AB318" s="20">
        <v>63.72119</v>
      </c>
      <c r="AC318" s="20">
        <v>148.95818</v>
      </c>
      <c r="AD318" s="6">
        <v>0</v>
      </c>
      <c r="AE318" s="6">
        <v>0</v>
      </c>
      <c r="AF318" s="6">
        <v>0</v>
      </c>
      <c r="AG318" s="6">
        <v>0</v>
      </c>
      <c r="AH318" s="6">
        <v>0</v>
      </c>
      <c r="AI318">
        <v>0</v>
      </c>
      <c r="AJ318">
        <f t="shared" si="4"/>
        <v>0</v>
      </c>
    </row>
    <row r="319" spans="1:47" x14ac:dyDescent="0.2">
      <c r="A319" t="s">
        <v>792</v>
      </c>
      <c r="B319" t="s">
        <v>793</v>
      </c>
      <c r="C319">
        <v>1</v>
      </c>
      <c r="D319">
        <v>1</v>
      </c>
      <c r="E319" s="33" t="s">
        <v>3171</v>
      </c>
      <c r="F319" s="1">
        <v>43360</v>
      </c>
      <c r="G319" s="37" t="s">
        <v>4032</v>
      </c>
      <c r="H319" s="37" t="s">
        <v>4724</v>
      </c>
      <c r="I319" s="2">
        <v>0.15555555555555556</v>
      </c>
      <c r="J319" s="176">
        <v>2.5925925925925925E-3</v>
      </c>
      <c r="K319" s="6">
        <v>224</v>
      </c>
      <c r="L319" t="s">
        <v>397</v>
      </c>
      <c r="M319" s="7" t="s">
        <v>149</v>
      </c>
      <c r="N319" s="7" t="s">
        <v>242</v>
      </c>
      <c r="O319" s="7" t="s">
        <v>23</v>
      </c>
      <c r="P319" s="7">
        <v>1</v>
      </c>
      <c r="Q319" s="7"/>
      <c r="R319">
        <v>1</v>
      </c>
      <c r="T319" t="s">
        <v>1618</v>
      </c>
      <c r="U319" s="7" t="s">
        <v>2132</v>
      </c>
      <c r="V319" s="7" t="s">
        <v>24</v>
      </c>
      <c r="W319" s="7" t="s">
        <v>1035</v>
      </c>
      <c r="X319" s="44" t="s">
        <v>23</v>
      </c>
      <c r="Y319" s="44" t="s">
        <v>3997</v>
      </c>
      <c r="Z319" s="44" t="s">
        <v>4006</v>
      </c>
      <c r="AA319" s="7" t="s">
        <v>24</v>
      </c>
      <c r="AB319" s="20">
        <v>63.721159999999998</v>
      </c>
      <c r="AC319" s="20">
        <v>148.95854</v>
      </c>
      <c r="AD319" s="6">
        <v>0</v>
      </c>
      <c r="AE319" s="6">
        <v>0</v>
      </c>
      <c r="AF319" s="6">
        <v>0</v>
      </c>
      <c r="AG319" s="6">
        <v>0</v>
      </c>
      <c r="AH319" s="6">
        <v>0</v>
      </c>
      <c r="AI319">
        <v>0</v>
      </c>
      <c r="AJ319">
        <f t="shared" si="4"/>
        <v>0</v>
      </c>
    </row>
    <row r="320" spans="1:47" x14ac:dyDescent="0.2">
      <c r="A320" t="s">
        <v>794</v>
      </c>
      <c r="B320" t="s">
        <v>795</v>
      </c>
      <c r="C320">
        <v>2</v>
      </c>
      <c r="D320">
        <v>1</v>
      </c>
      <c r="E320" s="33" t="s">
        <v>3171</v>
      </c>
      <c r="F320" s="1">
        <v>43360</v>
      </c>
      <c r="G320" s="37" t="s">
        <v>4032</v>
      </c>
      <c r="H320" s="37" t="s">
        <v>4724</v>
      </c>
      <c r="I320" s="2">
        <v>5.8333333333333327E-2</v>
      </c>
      <c r="J320" s="176">
        <v>9.7222222222222209E-4</v>
      </c>
      <c r="K320" s="6">
        <v>84</v>
      </c>
      <c r="L320" t="s">
        <v>397</v>
      </c>
      <c r="M320" s="7" t="s">
        <v>149</v>
      </c>
      <c r="N320" s="7" t="s">
        <v>111</v>
      </c>
      <c r="O320" s="7" t="s">
        <v>23</v>
      </c>
      <c r="P320" s="7">
        <v>0</v>
      </c>
      <c r="Q320" s="7"/>
      <c r="R320" s="7">
        <v>1</v>
      </c>
      <c r="S320" s="7"/>
      <c r="T320" t="s">
        <v>1618</v>
      </c>
      <c r="U320" s="7" t="s">
        <v>2132</v>
      </c>
      <c r="V320" s="7" t="s">
        <v>24</v>
      </c>
      <c r="W320" s="7" t="s">
        <v>2068</v>
      </c>
      <c r="X320" s="44" t="s">
        <v>23</v>
      </c>
      <c r="Y320" s="44" t="s">
        <v>3997</v>
      </c>
      <c r="Z320" s="44" t="s">
        <v>4005</v>
      </c>
      <c r="AA320" s="7" t="s">
        <v>24</v>
      </c>
      <c r="AB320" s="20">
        <v>63.721150000000002</v>
      </c>
      <c r="AC320" s="20">
        <v>148.95850999999999</v>
      </c>
      <c r="AD320" s="6">
        <v>0</v>
      </c>
      <c r="AE320" s="6">
        <v>0</v>
      </c>
      <c r="AF320" s="6">
        <v>0</v>
      </c>
      <c r="AG320" s="6">
        <v>0</v>
      </c>
      <c r="AH320" s="6">
        <v>0</v>
      </c>
      <c r="AI320">
        <v>0</v>
      </c>
      <c r="AJ320">
        <f t="shared" si="4"/>
        <v>0</v>
      </c>
      <c r="AO320" s="7"/>
      <c r="AP320" s="7"/>
      <c r="AQ320" s="7"/>
      <c r="AR320" s="7"/>
      <c r="AS320" s="7"/>
      <c r="AT320" s="7"/>
      <c r="AU320" s="7"/>
    </row>
    <row r="321" spans="1:47" x14ac:dyDescent="0.2">
      <c r="A321" t="s">
        <v>797</v>
      </c>
      <c r="B321" t="s">
        <v>798</v>
      </c>
      <c r="C321">
        <v>1</v>
      </c>
      <c r="D321">
        <v>1</v>
      </c>
      <c r="E321" t="s">
        <v>3171</v>
      </c>
      <c r="F321" s="1">
        <v>43360</v>
      </c>
      <c r="G321" s="37" t="s">
        <v>4032</v>
      </c>
      <c r="H321" s="37" t="s">
        <v>4724</v>
      </c>
      <c r="I321" s="2">
        <v>7.6388888888888886E-3</v>
      </c>
      <c r="J321" s="176">
        <v>1.273148148148148E-4</v>
      </c>
      <c r="K321" s="6">
        <v>11</v>
      </c>
      <c r="L321" t="s">
        <v>397</v>
      </c>
      <c r="M321" s="7" t="s">
        <v>230</v>
      </c>
      <c r="N321" s="7" t="s">
        <v>228</v>
      </c>
      <c r="O321" s="7" t="s">
        <v>23</v>
      </c>
      <c r="P321" s="7">
        <v>1</v>
      </c>
      <c r="Q321" s="7"/>
      <c r="R321" s="7">
        <v>0</v>
      </c>
      <c r="S321" s="7"/>
      <c r="T321" t="s">
        <v>176</v>
      </c>
      <c r="U321" t="s">
        <v>176</v>
      </c>
      <c r="V321" s="7" t="s">
        <v>501</v>
      </c>
      <c r="W321" s="7" t="s">
        <v>115</v>
      </c>
      <c r="X321" s="33" t="s">
        <v>115</v>
      </c>
      <c r="Y321" s="33" t="s">
        <v>115</v>
      </c>
      <c r="Z321" s="33" t="s">
        <v>115</v>
      </c>
      <c r="AA321" t="s">
        <v>115</v>
      </c>
      <c r="AB321" s="20" t="s">
        <v>115</v>
      </c>
      <c r="AC321" s="20"/>
      <c r="AD321" s="6">
        <v>0</v>
      </c>
      <c r="AE321" s="6">
        <v>0</v>
      </c>
      <c r="AF321" s="6">
        <v>0</v>
      </c>
      <c r="AG321" s="6">
        <v>0</v>
      </c>
      <c r="AH321" s="6">
        <v>0</v>
      </c>
      <c r="AI321">
        <v>0</v>
      </c>
      <c r="AJ321">
        <f t="shared" si="4"/>
        <v>0</v>
      </c>
      <c r="AL321" t="s">
        <v>799</v>
      </c>
      <c r="AO321" s="7"/>
      <c r="AP321" s="7"/>
      <c r="AQ321" s="7"/>
      <c r="AR321" s="7"/>
      <c r="AS321" s="7"/>
      <c r="AT321" s="7"/>
      <c r="AU321" s="7"/>
    </row>
    <row r="322" spans="1:47" x14ac:dyDescent="0.2">
      <c r="A322" t="s">
        <v>800</v>
      </c>
      <c r="B322" t="s">
        <v>801</v>
      </c>
      <c r="C322">
        <v>2</v>
      </c>
      <c r="D322">
        <v>1</v>
      </c>
      <c r="E322" t="s">
        <v>3171</v>
      </c>
      <c r="F322" s="1">
        <v>43360</v>
      </c>
      <c r="G322" s="37" t="s">
        <v>4032</v>
      </c>
      <c r="H322" s="37" t="s">
        <v>4724</v>
      </c>
      <c r="I322" s="2">
        <v>1.0416666666666666E-2</v>
      </c>
      <c r="J322" s="176">
        <v>1.7361111111111112E-4</v>
      </c>
      <c r="K322" s="6">
        <v>15</v>
      </c>
      <c r="L322" t="s">
        <v>397</v>
      </c>
      <c r="M322" s="7" t="s">
        <v>230</v>
      </c>
      <c r="N322" s="7" t="s">
        <v>102</v>
      </c>
      <c r="O322" s="7" t="s">
        <v>23</v>
      </c>
      <c r="P322" s="7" t="s">
        <v>24</v>
      </c>
      <c r="Q322" s="7"/>
      <c r="R322" s="7">
        <v>0</v>
      </c>
      <c r="S322" s="7"/>
      <c r="T322" s="7"/>
      <c r="U322" s="7" t="s">
        <v>115</v>
      </c>
      <c r="V322" s="7" t="s">
        <v>115</v>
      </c>
      <c r="W322" s="7" t="s">
        <v>115</v>
      </c>
      <c r="X322" s="33" t="s">
        <v>115</v>
      </c>
      <c r="Y322" s="33" t="s">
        <v>115</v>
      </c>
      <c r="Z322" s="33" t="s">
        <v>115</v>
      </c>
      <c r="AA322" t="s">
        <v>115</v>
      </c>
      <c r="AB322" s="20" t="s">
        <v>115</v>
      </c>
      <c r="AC322" s="20"/>
      <c r="AD322" s="6">
        <v>0</v>
      </c>
      <c r="AE322" s="6">
        <v>14</v>
      </c>
      <c r="AF322" s="6">
        <v>14</v>
      </c>
      <c r="AG322" s="6">
        <v>0</v>
      </c>
      <c r="AH322" s="6">
        <v>0</v>
      </c>
      <c r="AI322">
        <v>0</v>
      </c>
      <c r="AJ322">
        <f t="shared" ref="AJ322:AJ385" si="5">SUM(AF322:AI322)</f>
        <v>14</v>
      </c>
      <c r="AK322" t="s">
        <v>802</v>
      </c>
    </row>
    <row r="323" spans="1:47" x14ac:dyDescent="0.2">
      <c r="A323" s="33" t="s">
        <v>803</v>
      </c>
      <c r="B323" s="33" t="s">
        <v>804</v>
      </c>
      <c r="C323" s="33">
        <v>3</v>
      </c>
      <c r="D323" s="33">
        <v>1</v>
      </c>
      <c r="E323" s="33" t="s">
        <v>3171</v>
      </c>
      <c r="F323" s="37">
        <v>43360</v>
      </c>
      <c r="G323" s="37" t="s">
        <v>4032</v>
      </c>
      <c r="H323" s="37" t="s">
        <v>4724</v>
      </c>
      <c r="I323" s="36">
        <v>1.5277777777777777E-2</v>
      </c>
      <c r="J323" s="177">
        <v>2.5462962962962961E-4</v>
      </c>
      <c r="K323" s="39">
        <v>22</v>
      </c>
      <c r="L323" s="33" t="s">
        <v>397</v>
      </c>
      <c r="M323" s="33" t="s">
        <v>24</v>
      </c>
      <c r="N323" s="33" t="s">
        <v>102</v>
      </c>
      <c r="O323" s="33" t="s">
        <v>115</v>
      </c>
      <c r="P323" s="33" t="s">
        <v>24</v>
      </c>
      <c r="Q323" s="33"/>
      <c r="R323" s="33">
        <v>0</v>
      </c>
      <c r="S323" s="33"/>
      <c r="T323" s="33"/>
      <c r="U323" s="33" t="s">
        <v>115</v>
      </c>
      <c r="V323" s="33" t="s">
        <v>115</v>
      </c>
      <c r="W323" s="33" t="s">
        <v>115</v>
      </c>
      <c r="X323" s="33" t="s">
        <v>115</v>
      </c>
      <c r="Y323" s="33" t="s">
        <v>115</v>
      </c>
      <c r="Z323" s="33" t="s">
        <v>115</v>
      </c>
      <c r="AA323" s="33" t="s">
        <v>115</v>
      </c>
      <c r="AB323" s="35" t="s">
        <v>115</v>
      </c>
      <c r="AC323" s="35"/>
      <c r="AD323" s="39">
        <v>0</v>
      </c>
      <c r="AE323" s="39">
        <v>0</v>
      </c>
      <c r="AF323" s="39">
        <v>0</v>
      </c>
      <c r="AG323" s="39">
        <v>0</v>
      </c>
      <c r="AH323" s="39">
        <v>5</v>
      </c>
      <c r="AI323" s="33">
        <v>0</v>
      </c>
      <c r="AJ323" s="33">
        <f t="shared" si="5"/>
        <v>5</v>
      </c>
      <c r="AK323" s="33" t="s">
        <v>103</v>
      </c>
      <c r="AL323" s="33"/>
      <c r="AM323" s="33"/>
      <c r="AN323" s="33"/>
      <c r="AO323" s="33"/>
      <c r="AP323" s="33"/>
      <c r="AQ323" s="34"/>
      <c r="AR323" s="33"/>
      <c r="AS323" s="33"/>
      <c r="AT323" s="33"/>
      <c r="AU323" s="33"/>
    </row>
    <row r="324" spans="1:47" s="33" customFormat="1" x14ac:dyDescent="0.2">
      <c r="A324" s="33" t="s">
        <v>805</v>
      </c>
      <c r="B324" s="33" t="s">
        <v>806</v>
      </c>
      <c r="C324" s="33">
        <v>4</v>
      </c>
      <c r="D324" s="33">
        <v>1</v>
      </c>
      <c r="E324" s="33" t="s">
        <v>3171</v>
      </c>
      <c r="F324" s="37">
        <v>43360</v>
      </c>
      <c r="G324" s="37" t="s">
        <v>4032</v>
      </c>
      <c r="H324" s="37" t="s">
        <v>4724</v>
      </c>
      <c r="I324" s="36">
        <v>2.2916666666666669E-2</v>
      </c>
      <c r="J324" s="177">
        <v>3.8194444444444446E-4</v>
      </c>
      <c r="K324" s="39">
        <v>33</v>
      </c>
      <c r="L324" s="33" t="s">
        <v>397</v>
      </c>
      <c r="M324" s="33" t="s">
        <v>24</v>
      </c>
      <c r="N324" s="33" t="s">
        <v>102</v>
      </c>
      <c r="O324" s="33" t="s">
        <v>115</v>
      </c>
      <c r="P324" s="33">
        <v>1</v>
      </c>
      <c r="R324" s="33">
        <v>0</v>
      </c>
      <c r="T324" t="s">
        <v>176</v>
      </c>
      <c r="U324" s="33" t="s">
        <v>176</v>
      </c>
      <c r="V324" s="33" t="s">
        <v>122</v>
      </c>
      <c r="W324" s="33" t="s">
        <v>115</v>
      </c>
      <c r="X324" s="33" t="s">
        <v>115</v>
      </c>
      <c r="Y324" s="33" t="s">
        <v>115</v>
      </c>
      <c r="Z324" s="33" t="s">
        <v>115</v>
      </c>
      <c r="AA324" s="33" t="s">
        <v>115</v>
      </c>
      <c r="AB324" s="35" t="s">
        <v>115</v>
      </c>
      <c r="AC324" s="35"/>
      <c r="AD324" s="39">
        <v>0</v>
      </c>
      <c r="AE324" s="39">
        <v>0</v>
      </c>
      <c r="AF324" s="39">
        <v>0</v>
      </c>
      <c r="AG324" s="39">
        <v>0</v>
      </c>
      <c r="AH324" s="39">
        <v>15</v>
      </c>
      <c r="AI324" s="33">
        <v>0</v>
      </c>
      <c r="AJ324" s="33">
        <f t="shared" si="5"/>
        <v>15</v>
      </c>
      <c r="AK324" s="33" t="s">
        <v>103</v>
      </c>
      <c r="AO324"/>
      <c r="AP324"/>
      <c r="AQ324"/>
      <c r="AR324"/>
      <c r="AS324"/>
      <c r="AT324"/>
      <c r="AU324"/>
    </row>
    <row r="325" spans="1:47" s="33" customFormat="1" x14ac:dyDescent="0.2">
      <c r="A325" t="s">
        <v>807</v>
      </c>
      <c r="B325" t="s">
        <v>808</v>
      </c>
      <c r="C325">
        <v>5</v>
      </c>
      <c r="D325">
        <v>1</v>
      </c>
      <c r="E325" t="s">
        <v>3171</v>
      </c>
      <c r="F325" s="1">
        <v>43360</v>
      </c>
      <c r="G325" s="37" t="s">
        <v>4032</v>
      </c>
      <c r="H325" s="37" t="s">
        <v>4724</v>
      </c>
      <c r="I325" s="2">
        <v>2.6388888888888889E-2</v>
      </c>
      <c r="J325" s="176">
        <v>4.3981481481481481E-4</v>
      </c>
      <c r="K325" s="6">
        <v>38</v>
      </c>
      <c r="L325" t="s">
        <v>397</v>
      </c>
      <c r="M325" s="7" t="s">
        <v>176</v>
      </c>
      <c r="N325" s="7" t="s">
        <v>3953</v>
      </c>
      <c r="O325" s="7" t="s">
        <v>23</v>
      </c>
      <c r="P325" s="7">
        <v>1</v>
      </c>
      <c r="Q325" s="7"/>
      <c r="R325" s="7">
        <v>1</v>
      </c>
      <c r="S325" s="7"/>
      <c r="T325" t="s">
        <v>176</v>
      </c>
      <c r="U325" t="s">
        <v>176</v>
      </c>
      <c r="V325" s="7" t="s">
        <v>122</v>
      </c>
      <c r="W325" s="7" t="s">
        <v>487</v>
      </c>
      <c r="X325" s="33" t="s">
        <v>23</v>
      </c>
      <c r="Y325" s="33" t="s">
        <v>3997</v>
      </c>
      <c r="Z325" s="33" t="s">
        <v>4001</v>
      </c>
      <c r="AA325" s="7" t="s">
        <v>24</v>
      </c>
      <c r="AB325" s="20">
        <v>63.722329999999999</v>
      </c>
      <c r="AC325" s="20">
        <v>148.95236</v>
      </c>
      <c r="AD325" s="6">
        <v>0</v>
      </c>
      <c r="AE325" s="6">
        <v>0</v>
      </c>
      <c r="AF325" s="6">
        <v>0</v>
      </c>
      <c r="AG325" s="6">
        <v>0</v>
      </c>
      <c r="AH325" s="6">
        <v>0</v>
      </c>
      <c r="AI325">
        <v>0</v>
      </c>
      <c r="AJ325">
        <f t="shared" si="5"/>
        <v>0</v>
      </c>
      <c r="AK325" t="s">
        <v>375</v>
      </c>
      <c r="AL325"/>
      <c r="AM325">
        <v>0</v>
      </c>
      <c r="AN325">
        <v>0</v>
      </c>
      <c r="AO325"/>
      <c r="AP325"/>
      <c r="AQ325"/>
      <c r="AR325"/>
      <c r="AS325"/>
      <c r="AT325"/>
      <c r="AU325"/>
    </row>
    <row r="326" spans="1:47" hidden="1" x14ac:dyDescent="0.2">
      <c r="A326" t="s">
        <v>807</v>
      </c>
      <c r="B326" t="s">
        <v>808</v>
      </c>
      <c r="C326">
        <v>5</v>
      </c>
      <c r="D326">
        <v>2</v>
      </c>
      <c r="E326" t="s">
        <v>3171</v>
      </c>
      <c r="F326" s="1">
        <v>43360</v>
      </c>
      <c r="G326" s="37" t="s">
        <v>4032</v>
      </c>
      <c r="H326" s="37" t="s">
        <v>4724</v>
      </c>
      <c r="I326" s="2">
        <v>2.6388888888888889E-2</v>
      </c>
      <c r="J326" s="176">
        <v>4.3981481481481481E-4</v>
      </c>
      <c r="K326" s="6">
        <v>38</v>
      </c>
      <c r="L326" t="s">
        <v>397</v>
      </c>
      <c r="M326" s="7" t="s">
        <v>3954</v>
      </c>
      <c r="N326" s="7" t="s">
        <v>102</v>
      </c>
      <c r="O326" s="7" t="s">
        <v>23</v>
      </c>
      <c r="P326" s="7">
        <v>0</v>
      </c>
      <c r="Q326" s="7"/>
      <c r="R326" s="7">
        <v>0</v>
      </c>
      <c r="S326" s="7"/>
      <c r="T326" t="s">
        <v>176</v>
      </c>
      <c r="U326" t="s">
        <v>176</v>
      </c>
      <c r="V326" s="7" t="s">
        <v>122</v>
      </c>
      <c r="W326" s="7" t="s">
        <v>487</v>
      </c>
      <c r="X326" s="33" t="s">
        <v>115</v>
      </c>
      <c r="Y326" s="33" t="s">
        <v>115</v>
      </c>
      <c r="Z326" s="33" t="s">
        <v>115</v>
      </c>
      <c r="AA326" s="7" t="s">
        <v>24</v>
      </c>
      <c r="AB326" s="20">
        <v>63.722329999999999</v>
      </c>
      <c r="AC326" s="20">
        <v>148.95236</v>
      </c>
      <c r="AD326" s="6">
        <v>3</v>
      </c>
      <c r="AE326" s="6">
        <v>0</v>
      </c>
      <c r="AF326" s="6">
        <v>0</v>
      </c>
      <c r="AG326" s="6">
        <v>3</v>
      </c>
      <c r="AH326" s="6">
        <v>0</v>
      </c>
      <c r="AI326">
        <v>0</v>
      </c>
      <c r="AJ326">
        <f t="shared" si="5"/>
        <v>3</v>
      </c>
      <c r="AK326" t="s">
        <v>375</v>
      </c>
      <c r="AM326">
        <v>1</v>
      </c>
      <c r="AN326">
        <v>0</v>
      </c>
      <c r="AO326" s="33"/>
      <c r="AP326" s="33"/>
      <c r="AQ326" s="34"/>
      <c r="AR326" s="33"/>
      <c r="AS326" s="33"/>
      <c r="AT326" s="33"/>
      <c r="AU326" s="33"/>
    </row>
    <row r="327" spans="1:47" s="33" customFormat="1" x14ac:dyDescent="0.2">
      <c r="A327" s="33" t="s">
        <v>813</v>
      </c>
      <c r="B327" s="33" t="s">
        <v>814</v>
      </c>
      <c r="C327" s="33">
        <v>8</v>
      </c>
      <c r="D327" s="33">
        <v>1</v>
      </c>
      <c r="E327" s="33" t="s">
        <v>3171</v>
      </c>
      <c r="F327" s="37">
        <v>43360</v>
      </c>
      <c r="G327" s="37" t="s">
        <v>4032</v>
      </c>
      <c r="H327" s="37" t="s">
        <v>4724</v>
      </c>
      <c r="I327" s="36">
        <v>2.6388888888888889E-2</v>
      </c>
      <c r="J327" s="177">
        <v>4.3981481481481481E-4</v>
      </c>
      <c r="K327" s="39">
        <v>38</v>
      </c>
      <c r="L327" s="33" t="s">
        <v>397</v>
      </c>
      <c r="M327" s="33" t="s">
        <v>230</v>
      </c>
      <c r="N327" s="33" t="s">
        <v>102</v>
      </c>
      <c r="O327" s="33" t="s">
        <v>115</v>
      </c>
      <c r="P327" s="33" t="s">
        <v>24</v>
      </c>
      <c r="R327" s="33">
        <v>0</v>
      </c>
      <c r="U327" s="33" t="s">
        <v>115</v>
      </c>
      <c r="V327" s="33" t="s">
        <v>115</v>
      </c>
      <c r="W327" s="33" t="s">
        <v>115</v>
      </c>
      <c r="X327" s="33" t="s">
        <v>115</v>
      </c>
      <c r="Y327" s="33" t="s">
        <v>115</v>
      </c>
      <c r="Z327" s="33" t="s">
        <v>115</v>
      </c>
      <c r="AA327" s="33" t="s">
        <v>115</v>
      </c>
      <c r="AB327" s="35" t="s">
        <v>115</v>
      </c>
      <c r="AC327" s="35"/>
      <c r="AD327" s="39">
        <v>0</v>
      </c>
      <c r="AE327" s="39">
        <v>0</v>
      </c>
      <c r="AF327" s="39">
        <v>0</v>
      </c>
      <c r="AG327" s="39">
        <v>0</v>
      </c>
      <c r="AH327" s="39">
        <v>20</v>
      </c>
      <c r="AI327" s="33">
        <v>0</v>
      </c>
      <c r="AJ327" s="33">
        <f t="shared" si="5"/>
        <v>20</v>
      </c>
      <c r="AQ327" s="34" t="s">
        <v>3944</v>
      </c>
    </row>
    <row r="328" spans="1:47" s="33" customFormat="1" x14ac:dyDescent="0.2">
      <c r="A328" t="s">
        <v>815</v>
      </c>
      <c r="B328" t="s">
        <v>818</v>
      </c>
      <c r="C328" s="7">
        <v>1</v>
      </c>
      <c r="D328" s="7">
        <v>1</v>
      </c>
      <c r="E328" t="s">
        <v>324</v>
      </c>
      <c r="F328" s="1">
        <v>43361</v>
      </c>
      <c r="G328" s="37" t="s">
        <v>4032</v>
      </c>
      <c r="H328" s="37" t="s">
        <v>4724</v>
      </c>
      <c r="I328" s="2">
        <v>2.4999999999999998E-2</v>
      </c>
      <c r="J328" s="176">
        <v>4.1666666666666669E-4</v>
      </c>
      <c r="K328" s="6">
        <v>36</v>
      </c>
      <c r="L328" t="s">
        <v>398</v>
      </c>
      <c r="M328" t="s">
        <v>337</v>
      </c>
      <c r="N328" t="s">
        <v>111</v>
      </c>
      <c r="O328" t="s">
        <v>23</v>
      </c>
      <c r="P328">
        <v>0</v>
      </c>
      <c r="Q328"/>
      <c r="R328">
        <v>1</v>
      </c>
      <c r="S328"/>
      <c r="T328" t="s">
        <v>176</v>
      </c>
      <c r="U328" t="s">
        <v>176</v>
      </c>
      <c r="V328" t="s">
        <v>24</v>
      </c>
      <c r="W328" t="s">
        <v>709</v>
      </c>
      <c r="X328" s="33" t="s">
        <v>23</v>
      </c>
      <c r="Y328" s="33" t="s">
        <v>4004</v>
      </c>
      <c r="Z328" s="33" t="s">
        <v>4005</v>
      </c>
      <c r="AA328" s="7" t="s">
        <v>176</v>
      </c>
      <c r="AB328" s="19">
        <v>63.725499999999997</v>
      </c>
      <c r="AC328" s="19">
        <v>148.88943</v>
      </c>
      <c r="AD328">
        <v>0</v>
      </c>
      <c r="AE328">
        <v>0</v>
      </c>
      <c r="AF328">
        <v>0</v>
      </c>
      <c r="AG328">
        <v>0</v>
      </c>
      <c r="AH328">
        <v>0</v>
      </c>
      <c r="AI328">
        <v>0</v>
      </c>
      <c r="AJ328">
        <f t="shared" si="5"/>
        <v>0</v>
      </c>
      <c r="AK328"/>
      <c r="AL328"/>
      <c r="AM328"/>
      <c r="AN328"/>
      <c r="AO328" s="7"/>
      <c r="AP328" s="7"/>
      <c r="AQ328" s="7"/>
      <c r="AR328" s="7"/>
      <c r="AS328" s="7"/>
      <c r="AT328" s="7"/>
      <c r="AU328" s="7"/>
    </row>
    <row r="329" spans="1:47" s="33" customFormat="1" x14ac:dyDescent="0.2">
      <c r="A329" t="s">
        <v>821</v>
      </c>
      <c r="B329" t="s">
        <v>822</v>
      </c>
      <c r="C329">
        <v>2</v>
      </c>
      <c r="D329">
        <v>1</v>
      </c>
      <c r="E329" t="s">
        <v>324</v>
      </c>
      <c r="F329" s="1">
        <v>43361</v>
      </c>
      <c r="G329" s="37" t="s">
        <v>4032</v>
      </c>
      <c r="H329" s="37" t="s">
        <v>4724</v>
      </c>
      <c r="I329" s="2">
        <v>2.8472222222222222E-2</v>
      </c>
      <c r="J329" s="176">
        <v>4.7453703703703704E-4</v>
      </c>
      <c r="K329" s="6">
        <v>41</v>
      </c>
      <c r="L329" t="s">
        <v>397</v>
      </c>
      <c r="M329" t="s">
        <v>325</v>
      </c>
      <c r="N329" t="s">
        <v>111</v>
      </c>
      <c r="O329" t="s">
        <v>23</v>
      </c>
      <c r="P329">
        <v>0</v>
      </c>
      <c r="Q329"/>
      <c r="R329">
        <v>1</v>
      </c>
      <c r="S329"/>
      <c r="T329" t="s">
        <v>176</v>
      </c>
      <c r="U329" t="s">
        <v>176</v>
      </c>
      <c r="V329" t="s">
        <v>24</v>
      </c>
      <c r="W329" t="s">
        <v>3983</v>
      </c>
      <c r="X329" s="33" t="s">
        <v>23</v>
      </c>
      <c r="Y329" s="33" t="s">
        <v>3997</v>
      </c>
      <c r="Z329" s="33" t="s">
        <v>4007</v>
      </c>
      <c r="AA329" s="7" t="s">
        <v>24</v>
      </c>
      <c r="AB329" s="19">
        <v>63.724200000000003</v>
      </c>
      <c r="AC329" s="19">
        <v>148.88985</v>
      </c>
      <c r="AD329">
        <v>0</v>
      </c>
      <c r="AE329">
        <v>0</v>
      </c>
      <c r="AF329">
        <v>0</v>
      </c>
      <c r="AG329">
        <v>0</v>
      </c>
      <c r="AH329">
        <v>0</v>
      </c>
      <c r="AI329">
        <v>0</v>
      </c>
      <c r="AJ329">
        <f t="shared" si="5"/>
        <v>0</v>
      </c>
      <c r="AK329"/>
      <c r="AL329" t="s">
        <v>823</v>
      </c>
      <c r="AM329"/>
      <c r="AN329"/>
      <c r="AO329"/>
      <c r="AP329"/>
      <c r="AQ329"/>
      <c r="AR329"/>
      <c r="AS329"/>
      <c r="AT329"/>
      <c r="AU329"/>
    </row>
    <row r="330" spans="1:47" x14ac:dyDescent="0.2">
      <c r="A330" s="33" t="s">
        <v>824</v>
      </c>
      <c r="B330" s="33" t="s">
        <v>825</v>
      </c>
      <c r="C330" s="33">
        <v>3</v>
      </c>
      <c r="D330" s="33">
        <v>1</v>
      </c>
      <c r="E330" s="33" t="s">
        <v>324</v>
      </c>
      <c r="F330" s="37">
        <v>43361</v>
      </c>
      <c r="G330" s="37" t="s">
        <v>4032</v>
      </c>
      <c r="H330" s="37" t="s">
        <v>4724</v>
      </c>
      <c r="I330" s="36">
        <v>3.6805555555555557E-2</v>
      </c>
      <c r="J330" s="177">
        <v>6.134259259259259E-4</v>
      </c>
      <c r="K330" s="39">
        <v>53</v>
      </c>
      <c r="L330" s="33" t="s">
        <v>397</v>
      </c>
      <c r="M330" s="33" t="s">
        <v>337</v>
      </c>
      <c r="N330" s="33" t="s">
        <v>102</v>
      </c>
      <c r="O330" s="33" t="s">
        <v>115</v>
      </c>
      <c r="P330" s="33">
        <v>1</v>
      </c>
      <c r="Q330" s="33"/>
      <c r="R330" s="33">
        <v>0</v>
      </c>
      <c r="S330" s="33"/>
      <c r="T330" t="s">
        <v>14</v>
      </c>
      <c r="U330" s="33" t="s">
        <v>2128</v>
      </c>
      <c r="V330" s="33" t="s">
        <v>122</v>
      </c>
      <c r="W330" s="33" t="s">
        <v>115</v>
      </c>
      <c r="X330" s="33" t="s">
        <v>115</v>
      </c>
      <c r="Y330" s="33" t="s">
        <v>115</v>
      </c>
      <c r="Z330" s="33" t="s">
        <v>115</v>
      </c>
      <c r="AA330" s="33" t="s">
        <v>115</v>
      </c>
      <c r="AB330" s="35" t="s">
        <v>115</v>
      </c>
      <c r="AC330" s="35"/>
      <c r="AD330" s="33">
        <v>0</v>
      </c>
      <c r="AE330" s="33">
        <v>0</v>
      </c>
      <c r="AF330" s="33">
        <v>0</v>
      </c>
      <c r="AG330" s="33">
        <v>0</v>
      </c>
      <c r="AH330" s="33">
        <v>5</v>
      </c>
      <c r="AI330" s="33">
        <v>0</v>
      </c>
      <c r="AJ330" s="33">
        <f t="shared" si="5"/>
        <v>5</v>
      </c>
      <c r="AK330" s="33"/>
      <c r="AL330" s="33"/>
      <c r="AM330" s="33"/>
      <c r="AN330" s="33"/>
      <c r="AO330" s="33"/>
      <c r="AP330" s="33"/>
      <c r="AQ330" s="34"/>
      <c r="AR330" s="33"/>
      <c r="AS330" s="33"/>
      <c r="AT330" s="33"/>
      <c r="AU330" s="33"/>
    </row>
    <row r="331" spans="1:47" hidden="1" x14ac:dyDescent="0.2">
      <c r="A331" t="s">
        <v>824</v>
      </c>
      <c r="B331" t="s">
        <v>825</v>
      </c>
      <c r="C331">
        <v>3</v>
      </c>
      <c r="D331">
        <v>2</v>
      </c>
      <c r="E331" t="s">
        <v>324</v>
      </c>
      <c r="F331" s="1">
        <v>43361</v>
      </c>
      <c r="G331" s="37" t="s">
        <v>4032</v>
      </c>
      <c r="H331" s="37" t="s">
        <v>4724</v>
      </c>
      <c r="I331" s="2">
        <v>3.6805555555555557E-2</v>
      </c>
      <c r="J331" s="176">
        <v>6.134259259259259E-4</v>
      </c>
      <c r="K331" s="6">
        <v>53</v>
      </c>
      <c r="L331" t="s">
        <v>397</v>
      </c>
      <c r="M331" t="s">
        <v>337</v>
      </c>
      <c r="N331" t="s">
        <v>102</v>
      </c>
      <c r="O331" t="s">
        <v>115</v>
      </c>
      <c r="P331">
        <v>1</v>
      </c>
      <c r="R331">
        <v>0</v>
      </c>
      <c r="T331" t="s">
        <v>176</v>
      </c>
      <c r="U331" t="s">
        <v>176</v>
      </c>
      <c r="V331" t="s">
        <v>122</v>
      </c>
      <c r="W331" t="s">
        <v>115</v>
      </c>
      <c r="X331" s="33" t="s">
        <v>115</v>
      </c>
      <c r="Y331" s="33" t="s">
        <v>115</v>
      </c>
      <c r="Z331" s="33" t="s">
        <v>115</v>
      </c>
      <c r="AA331" t="s">
        <v>115</v>
      </c>
      <c r="AB331" s="19" t="s">
        <v>115</v>
      </c>
      <c r="AD331">
        <v>0</v>
      </c>
      <c r="AE331">
        <v>0</v>
      </c>
      <c r="AF331">
        <v>0</v>
      </c>
      <c r="AG331">
        <v>0</v>
      </c>
      <c r="AH331">
        <v>0</v>
      </c>
      <c r="AI331">
        <v>0</v>
      </c>
      <c r="AJ331">
        <f t="shared" si="5"/>
        <v>0</v>
      </c>
    </row>
    <row r="332" spans="1:47" x14ac:dyDescent="0.2">
      <c r="A332" s="33" t="s">
        <v>826</v>
      </c>
      <c r="B332" s="33" t="s">
        <v>827</v>
      </c>
      <c r="C332" s="33">
        <v>1</v>
      </c>
      <c r="D332" s="33">
        <v>1</v>
      </c>
      <c r="E332" s="33" t="s">
        <v>2487</v>
      </c>
      <c r="F332" s="37">
        <v>43362</v>
      </c>
      <c r="G332" s="37" t="s">
        <v>4032</v>
      </c>
      <c r="H332" s="37" t="s">
        <v>4724</v>
      </c>
      <c r="I332" s="36">
        <v>4.3750000000000004E-2</v>
      </c>
      <c r="J332" s="177">
        <v>7.291666666666667E-4</v>
      </c>
      <c r="K332" s="39">
        <v>63</v>
      </c>
      <c r="L332" s="33"/>
      <c r="M332" s="33" t="s">
        <v>2498</v>
      </c>
      <c r="N332" s="33" t="s">
        <v>102</v>
      </c>
      <c r="O332" s="33" t="s">
        <v>23</v>
      </c>
      <c r="P332" s="33">
        <v>1</v>
      </c>
      <c r="Q332" s="33"/>
      <c r="R332" s="33">
        <v>0</v>
      </c>
      <c r="S332" s="33"/>
      <c r="T332" t="s">
        <v>176</v>
      </c>
      <c r="U332" s="33" t="s">
        <v>176</v>
      </c>
      <c r="V332" s="33" t="s">
        <v>263</v>
      </c>
      <c r="W332" s="33" t="s">
        <v>115</v>
      </c>
      <c r="X332" s="33" t="s">
        <v>115</v>
      </c>
      <c r="Y332" s="33" t="s">
        <v>115</v>
      </c>
      <c r="Z332" s="33" t="s">
        <v>115</v>
      </c>
      <c r="AA332" s="35" t="s">
        <v>115</v>
      </c>
      <c r="AB332" s="35" t="s">
        <v>115</v>
      </c>
      <c r="AC332" s="35"/>
      <c r="AD332" s="39">
        <v>29</v>
      </c>
      <c r="AE332" s="39">
        <v>0</v>
      </c>
      <c r="AF332" s="39">
        <v>29</v>
      </c>
      <c r="AG332" s="39">
        <v>0</v>
      </c>
      <c r="AH332" s="39">
        <v>22</v>
      </c>
      <c r="AI332" s="33">
        <v>0</v>
      </c>
      <c r="AJ332" s="33">
        <f t="shared" si="5"/>
        <v>51</v>
      </c>
      <c r="AK332" s="33"/>
      <c r="AL332" s="33"/>
      <c r="AM332" s="33"/>
      <c r="AN332" s="33"/>
    </row>
    <row r="333" spans="1:47" x14ac:dyDescent="0.2">
      <c r="A333" s="33" t="s">
        <v>828</v>
      </c>
      <c r="B333" s="33" t="s">
        <v>829</v>
      </c>
      <c r="C333" s="33">
        <v>2</v>
      </c>
      <c r="D333" s="33">
        <v>1</v>
      </c>
      <c r="E333" s="33" t="s">
        <v>2487</v>
      </c>
      <c r="F333" s="37">
        <v>43362</v>
      </c>
      <c r="G333" s="37" t="s">
        <v>4032</v>
      </c>
      <c r="H333" s="37" t="s">
        <v>4724</v>
      </c>
      <c r="I333" s="36">
        <v>1.8055555555555557E-2</v>
      </c>
      <c r="J333" s="177">
        <v>3.0092592592592595E-4</v>
      </c>
      <c r="K333" s="39">
        <v>26</v>
      </c>
      <c r="L333" s="33"/>
      <c r="M333" s="33" t="s">
        <v>2498</v>
      </c>
      <c r="N333" s="33" t="s">
        <v>102</v>
      </c>
      <c r="O333" s="33" t="s">
        <v>115</v>
      </c>
      <c r="P333" s="33">
        <v>1</v>
      </c>
      <c r="Q333" s="33"/>
      <c r="R333" s="33">
        <v>0</v>
      </c>
      <c r="S333" s="33"/>
      <c r="T333" t="s">
        <v>176</v>
      </c>
      <c r="U333" s="33" t="s">
        <v>176</v>
      </c>
      <c r="V333" s="33" t="s">
        <v>122</v>
      </c>
      <c r="W333" s="33" t="s">
        <v>115</v>
      </c>
      <c r="X333" s="33" t="s">
        <v>115</v>
      </c>
      <c r="Y333" s="33" t="s">
        <v>115</v>
      </c>
      <c r="Z333" s="33" t="s">
        <v>115</v>
      </c>
      <c r="AA333" s="35" t="s">
        <v>115</v>
      </c>
      <c r="AB333" s="35" t="s">
        <v>115</v>
      </c>
      <c r="AC333" s="35"/>
      <c r="AD333" s="39">
        <v>0</v>
      </c>
      <c r="AE333" s="39">
        <v>0</v>
      </c>
      <c r="AF333" s="39">
        <v>0</v>
      </c>
      <c r="AG333" s="39">
        <v>0</v>
      </c>
      <c r="AH333" s="39">
        <v>3</v>
      </c>
      <c r="AI333" s="33">
        <v>0</v>
      </c>
      <c r="AJ333" s="33">
        <f t="shared" si="5"/>
        <v>3</v>
      </c>
      <c r="AK333" s="33" t="s">
        <v>103</v>
      </c>
      <c r="AL333" s="33"/>
      <c r="AM333" s="33"/>
      <c r="AN333" s="33"/>
    </row>
    <row r="334" spans="1:47" x14ac:dyDescent="0.2">
      <c r="A334" s="33" t="s">
        <v>830</v>
      </c>
      <c r="B334" s="33" t="s">
        <v>831</v>
      </c>
      <c r="C334" s="33">
        <v>3</v>
      </c>
      <c r="D334" s="33">
        <v>1</v>
      </c>
      <c r="E334" s="33" t="s">
        <v>2487</v>
      </c>
      <c r="F334" s="37">
        <v>43362</v>
      </c>
      <c r="G334" s="37" t="s">
        <v>4032</v>
      </c>
      <c r="H334" s="37" t="s">
        <v>4724</v>
      </c>
      <c r="I334" s="36">
        <v>7.6388888888888886E-3</v>
      </c>
      <c r="J334" s="177">
        <v>1.273148148148148E-4</v>
      </c>
      <c r="K334" s="39">
        <v>11</v>
      </c>
      <c r="L334" s="33"/>
      <c r="M334" s="33" t="s">
        <v>2498</v>
      </c>
      <c r="N334" s="33" t="s">
        <v>102</v>
      </c>
      <c r="O334" s="33" t="s">
        <v>115</v>
      </c>
      <c r="P334" s="33">
        <v>1</v>
      </c>
      <c r="Q334" s="33"/>
      <c r="R334" s="33">
        <v>0</v>
      </c>
      <c r="S334" s="33"/>
      <c r="T334" t="s">
        <v>598</v>
      </c>
      <c r="U334" s="33" t="s">
        <v>2109</v>
      </c>
      <c r="V334" s="33" t="s">
        <v>122</v>
      </c>
      <c r="W334" s="33" t="s">
        <v>115</v>
      </c>
      <c r="X334" s="33" t="s">
        <v>115</v>
      </c>
      <c r="Y334" s="33" t="s">
        <v>115</v>
      </c>
      <c r="Z334" s="33" t="s">
        <v>115</v>
      </c>
      <c r="AA334" s="35" t="s">
        <v>115</v>
      </c>
      <c r="AB334" s="35" t="s">
        <v>115</v>
      </c>
      <c r="AC334" s="35"/>
      <c r="AD334" s="39">
        <v>0</v>
      </c>
      <c r="AE334" s="39">
        <v>0</v>
      </c>
      <c r="AF334" s="39">
        <v>0</v>
      </c>
      <c r="AG334" s="39">
        <v>0</v>
      </c>
      <c r="AH334" s="39">
        <v>11</v>
      </c>
      <c r="AI334" s="33">
        <v>0</v>
      </c>
      <c r="AJ334" s="33">
        <f t="shared" si="5"/>
        <v>11</v>
      </c>
      <c r="AK334" s="33"/>
      <c r="AL334" s="33" t="s">
        <v>832</v>
      </c>
      <c r="AM334" s="33"/>
      <c r="AN334" s="33"/>
    </row>
    <row r="335" spans="1:47" x14ac:dyDescent="0.2">
      <c r="A335" t="s">
        <v>882</v>
      </c>
      <c r="B335" t="s">
        <v>4962</v>
      </c>
      <c r="C335">
        <v>1</v>
      </c>
      <c r="D335">
        <v>1</v>
      </c>
      <c r="E335" t="s">
        <v>2601</v>
      </c>
      <c r="F335" s="1">
        <v>43363</v>
      </c>
      <c r="G335" s="37" t="s">
        <v>4032</v>
      </c>
      <c r="H335" s="37" t="s">
        <v>4724</v>
      </c>
      <c r="I335" s="2">
        <v>2.9861111111111113E-2</v>
      </c>
      <c r="J335" s="176">
        <v>4.9768518518518521E-4</v>
      </c>
      <c r="K335" s="6">
        <v>43</v>
      </c>
      <c r="L335" t="s">
        <v>884</v>
      </c>
      <c r="M335" s="7" t="s">
        <v>173</v>
      </c>
      <c r="N335" s="7" t="s">
        <v>102</v>
      </c>
      <c r="O335" s="7" t="s">
        <v>23</v>
      </c>
      <c r="P335" s="7">
        <v>1</v>
      </c>
      <c r="Q335" s="7"/>
      <c r="R335" s="7">
        <v>0</v>
      </c>
      <c r="S335" s="7"/>
      <c r="T335" t="s">
        <v>176</v>
      </c>
      <c r="U335" t="s">
        <v>176</v>
      </c>
      <c r="V335" s="7" t="s">
        <v>333</v>
      </c>
      <c r="W335" s="7" t="s">
        <v>115</v>
      </c>
      <c r="X335" s="33" t="s">
        <v>115</v>
      </c>
      <c r="Y335" s="33" t="s">
        <v>115</v>
      </c>
      <c r="Z335" s="33" t="s">
        <v>115</v>
      </c>
      <c r="AA335" s="20" t="s">
        <v>115</v>
      </c>
      <c r="AB335" s="20" t="s">
        <v>115</v>
      </c>
      <c r="AC335" s="20"/>
      <c r="AD335" s="6">
        <v>0</v>
      </c>
      <c r="AE335" s="6">
        <v>17</v>
      </c>
      <c r="AF335" s="6">
        <v>7</v>
      </c>
      <c r="AG335" s="6">
        <v>10</v>
      </c>
      <c r="AH335" s="6">
        <v>0</v>
      </c>
      <c r="AI335">
        <v>0</v>
      </c>
      <c r="AJ335">
        <f t="shared" si="5"/>
        <v>17</v>
      </c>
      <c r="AO335" s="4"/>
      <c r="AP335" s="4"/>
      <c r="AQ335" s="4"/>
      <c r="AR335" s="4"/>
      <c r="AS335" s="4"/>
      <c r="AT335" s="4"/>
      <c r="AU335" s="4"/>
    </row>
    <row r="336" spans="1:47" s="33" customFormat="1" x14ac:dyDescent="0.2">
      <c r="A336" t="s">
        <v>883</v>
      </c>
      <c r="B336" t="s">
        <v>4958</v>
      </c>
      <c r="C336">
        <v>2</v>
      </c>
      <c r="D336">
        <v>1</v>
      </c>
      <c r="E336" t="s">
        <v>2601</v>
      </c>
      <c r="F336" s="1">
        <v>43363</v>
      </c>
      <c r="G336" s="37" t="s">
        <v>4032</v>
      </c>
      <c r="H336" s="37" t="s">
        <v>4724</v>
      </c>
      <c r="I336" s="2">
        <v>2.1527777777777781E-2</v>
      </c>
      <c r="J336" s="176">
        <v>3.5879629629629635E-4</v>
      </c>
      <c r="K336" s="6">
        <v>31</v>
      </c>
      <c r="L336" t="s">
        <v>884</v>
      </c>
      <c r="M336" s="7" t="s">
        <v>173</v>
      </c>
      <c r="N336" s="7" t="s">
        <v>102</v>
      </c>
      <c r="O336" s="7" t="s">
        <v>23</v>
      </c>
      <c r="P336" s="7" t="s">
        <v>24</v>
      </c>
      <c r="Q336" s="7"/>
      <c r="R336" s="7">
        <v>0</v>
      </c>
      <c r="S336" s="7"/>
      <c r="T336" t="s">
        <v>176</v>
      </c>
      <c r="U336" t="s">
        <v>176</v>
      </c>
      <c r="V336" s="7" t="s">
        <v>115</v>
      </c>
      <c r="W336" s="7" t="s">
        <v>115</v>
      </c>
      <c r="X336" s="33" t="s">
        <v>115</v>
      </c>
      <c r="Y336" s="33" t="s">
        <v>115</v>
      </c>
      <c r="Z336" s="33" t="s">
        <v>115</v>
      </c>
      <c r="AA336" s="20" t="s">
        <v>115</v>
      </c>
      <c r="AB336" s="20" t="s">
        <v>115</v>
      </c>
      <c r="AC336" s="20"/>
      <c r="AD336" s="6">
        <v>0</v>
      </c>
      <c r="AE336" s="6">
        <v>13</v>
      </c>
      <c r="AF336" s="6">
        <v>13</v>
      </c>
      <c r="AG336" s="6">
        <v>0</v>
      </c>
      <c r="AH336" s="6">
        <v>0</v>
      </c>
      <c r="AI336">
        <v>0</v>
      </c>
      <c r="AJ336">
        <f t="shared" si="5"/>
        <v>13</v>
      </c>
      <c r="AK336"/>
      <c r="AL336"/>
      <c r="AM336"/>
      <c r="AN336"/>
      <c r="AQ336" s="34"/>
    </row>
    <row r="337" spans="1:47" x14ac:dyDescent="0.2">
      <c r="A337" s="33" t="s">
        <v>885</v>
      </c>
      <c r="B337" s="33" t="s">
        <v>4959</v>
      </c>
      <c r="C337" s="33">
        <v>3</v>
      </c>
      <c r="D337" s="33">
        <v>1</v>
      </c>
      <c r="E337" s="33" t="s">
        <v>2601</v>
      </c>
      <c r="F337" s="37">
        <v>43363</v>
      </c>
      <c r="G337" s="37" t="s">
        <v>4032</v>
      </c>
      <c r="H337" s="37" t="s">
        <v>4724</v>
      </c>
      <c r="I337" s="36">
        <v>1.1111111111111112E-2</v>
      </c>
      <c r="J337" s="177">
        <v>1.8518518518518518E-4</v>
      </c>
      <c r="K337" s="39">
        <v>16</v>
      </c>
      <c r="L337" s="33" t="s">
        <v>884</v>
      </c>
      <c r="M337" s="33" t="s">
        <v>173</v>
      </c>
      <c r="N337" s="33" t="s">
        <v>102</v>
      </c>
      <c r="O337" s="33" t="s">
        <v>115</v>
      </c>
      <c r="P337" s="33" t="s">
        <v>24</v>
      </c>
      <c r="Q337" s="33"/>
      <c r="R337" s="33">
        <v>0</v>
      </c>
      <c r="S337" s="33"/>
      <c r="T337" t="s">
        <v>176</v>
      </c>
      <c r="U337" s="33" t="s">
        <v>176</v>
      </c>
      <c r="V337" s="33" t="s">
        <v>115</v>
      </c>
      <c r="W337" s="33" t="s">
        <v>115</v>
      </c>
      <c r="X337" s="33" t="s">
        <v>115</v>
      </c>
      <c r="Y337" s="33" t="s">
        <v>115</v>
      </c>
      <c r="Z337" s="33" t="s">
        <v>115</v>
      </c>
      <c r="AA337" s="35" t="s">
        <v>115</v>
      </c>
      <c r="AB337" s="35" t="s">
        <v>115</v>
      </c>
      <c r="AC337" s="35"/>
      <c r="AD337" s="39">
        <v>0</v>
      </c>
      <c r="AE337" s="33"/>
      <c r="AF337" s="39">
        <v>0</v>
      </c>
      <c r="AG337" s="39">
        <v>0</v>
      </c>
      <c r="AH337" s="39">
        <v>12</v>
      </c>
      <c r="AI337" s="33">
        <v>0</v>
      </c>
      <c r="AJ337" s="33">
        <f t="shared" si="5"/>
        <v>12</v>
      </c>
      <c r="AK337" s="33"/>
      <c r="AL337" s="33"/>
      <c r="AM337" s="33"/>
      <c r="AN337" s="33"/>
    </row>
    <row r="338" spans="1:47" s="33" customFormat="1" x14ac:dyDescent="0.2">
      <c r="A338" t="s">
        <v>888</v>
      </c>
      <c r="B338" t="s">
        <v>4963</v>
      </c>
      <c r="C338">
        <v>4</v>
      </c>
      <c r="D338">
        <v>1</v>
      </c>
      <c r="E338" t="s">
        <v>2601</v>
      </c>
      <c r="F338" s="1">
        <v>43363</v>
      </c>
      <c r="G338" s="37" t="s">
        <v>4032</v>
      </c>
      <c r="H338" s="37" t="s">
        <v>4724</v>
      </c>
      <c r="I338" s="2">
        <v>1.0416666666666666E-2</v>
      </c>
      <c r="J338" s="176">
        <v>1.7361111111111112E-4</v>
      </c>
      <c r="K338" s="6">
        <v>15</v>
      </c>
      <c r="L338" t="s">
        <v>884</v>
      </c>
      <c r="M338" s="7" t="s">
        <v>173</v>
      </c>
      <c r="N338" s="7" t="s">
        <v>102</v>
      </c>
      <c r="O338" s="7" t="s">
        <v>23</v>
      </c>
      <c r="P338" s="7">
        <v>1</v>
      </c>
      <c r="Q338" s="7"/>
      <c r="R338" s="7">
        <v>0</v>
      </c>
      <c r="S338" s="7"/>
      <c r="T338" t="s">
        <v>176</v>
      </c>
      <c r="U338" t="s">
        <v>176</v>
      </c>
      <c r="V338" s="7" t="s">
        <v>487</v>
      </c>
      <c r="W338" s="7" t="s">
        <v>115</v>
      </c>
      <c r="X338" s="33" t="s">
        <v>115</v>
      </c>
      <c r="Y338" s="33" t="s">
        <v>115</v>
      </c>
      <c r="Z338" s="33" t="s">
        <v>115</v>
      </c>
      <c r="AA338" s="20" t="s">
        <v>115</v>
      </c>
      <c r="AB338" s="20" t="s">
        <v>115</v>
      </c>
      <c r="AC338" s="20"/>
      <c r="AD338" s="6">
        <v>0</v>
      </c>
      <c r="AE338" s="6">
        <v>0</v>
      </c>
      <c r="AF338" s="6">
        <v>0</v>
      </c>
      <c r="AG338" s="6">
        <v>0</v>
      </c>
      <c r="AH338" s="6">
        <v>0</v>
      </c>
      <c r="AI338">
        <v>0</v>
      </c>
      <c r="AJ338">
        <f t="shared" si="5"/>
        <v>0</v>
      </c>
      <c r="AK338"/>
      <c r="AL338" t="s">
        <v>889</v>
      </c>
      <c r="AM338"/>
      <c r="AN338"/>
      <c r="AO338"/>
      <c r="AP338"/>
      <c r="AQ338"/>
      <c r="AR338"/>
      <c r="AS338"/>
      <c r="AT338"/>
      <c r="AU338"/>
    </row>
    <row r="339" spans="1:47" s="33" customFormat="1" x14ac:dyDescent="0.2">
      <c r="A339" s="33" t="s">
        <v>890</v>
      </c>
      <c r="B339" s="33" t="s">
        <v>4964</v>
      </c>
      <c r="C339" s="33">
        <v>5</v>
      </c>
      <c r="D339" s="33">
        <v>1</v>
      </c>
      <c r="E339" s="33" t="s">
        <v>2601</v>
      </c>
      <c r="F339" s="37">
        <v>43363</v>
      </c>
      <c r="G339" s="37" t="s">
        <v>4032</v>
      </c>
      <c r="H339" s="37" t="s">
        <v>4724</v>
      </c>
      <c r="I339" s="36">
        <v>2.361111111111111E-2</v>
      </c>
      <c r="J339" s="177">
        <v>3.9351851851851852E-4</v>
      </c>
      <c r="K339" s="39">
        <v>34</v>
      </c>
      <c r="L339" s="33" t="s">
        <v>884</v>
      </c>
      <c r="M339" s="33" t="s">
        <v>176</v>
      </c>
      <c r="N339" s="33" t="s">
        <v>102</v>
      </c>
      <c r="O339" s="33" t="s">
        <v>115</v>
      </c>
      <c r="P339" s="33">
        <v>1</v>
      </c>
      <c r="Q339" s="33">
        <v>4</v>
      </c>
      <c r="R339" s="33">
        <v>0</v>
      </c>
      <c r="T339" t="s">
        <v>14</v>
      </c>
      <c r="U339" s="33" t="s">
        <v>2128</v>
      </c>
      <c r="V339" s="33" t="s">
        <v>122</v>
      </c>
      <c r="W339" s="33" t="s">
        <v>115</v>
      </c>
      <c r="X339" s="33" t="s">
        <v>115</v>
      </c>
      <c r="Y339" s="33" t="s">
        <v>115</v>
      </c>
      <c r="Z339" s="33" t="s">
        <v>115</v>
      </c>
      <c r="AA339" s="33" t="s">
        <v>115</v>
      </c>
      <c r="AB339" s="35" t="s">
        <v>115</v>
      </c>
      <c r="AC339" s="35"/>
      <c r="AD339" s="39">
        <v>0</v>
      </c>
      <c r="AE339" s="39">
        <v>0</v>
      </c>
      <c r="AF339" s="39">
        <v>0</v>
      </c>
      <c r="AG339" s="39">
        <v>0</v>
      </c>
      <c r="AH339" s="39">
        <v>27</v>
      </c>
      <c r="AI339" s="33">
        <v>0</v>
      </c>
      <c r="AJ339" s="33">
        <f t="shared" si="5"/>
        <v>27</v>
      </c>
      <c r="AQ339" s="34"/>
    </row>
    <row r="340" spans="1:47" s="33" customFormat="1" x14ac:dyDescent="0.2">
      <c r="A340" s="33" t="s">
        <v>892</v>
      </c>
      <c r="B340" s="33" t="s">
        <v>4966</v>
      </c>
      <c r="C340" s="33">
        <v>7</v>
      </c>
      <c r="D340" s="33">
        <v>1</v>
      </c>
      <c r="E340" s="33" t="s">
        <v>2601</v>
      </c>
      <c r="F340" s="37">
        <v>43363</v>
      </c>
      <c r="G340" s="37" t="s">
        <v>4032</v>
      </c>
      <c r="H340" s="37" t="s">
        <v>4724</v>
      </c>
      <c r="I340" s="36">
        <v>2.013888888888889E-2</v>
      </c>
      <c r="J340" s="177">
        <v>3.3564814814814812E-4</v>
      </c>
      <c r="K340" s="39">
        <v>29</v>
      </c>
      <c r="L340" s="33" t="s">
        <v>884</v>
      </c>
      <c r="M340" s="33" t="s">
        <v>177</v>
      </c>
      <c r="N340" s="33" t="s">
        <v>111</v>
      </c>
      <c r="O340" s="33" t="s">
        <v>23</v>
      </c>
      <c r="P340" s="33">
        <v>0</v>
      </c>
      <c r="R340" s="33">
        <v>1</v>
      </c>
      <c r="T340" t="s">
        <v>176</v>
      </c>
      <c r="U340" s="33" t="s">
        <v>176</v>
      </c>
      <c r="V340" s="33" t="s">
        <v>24</v>
      </c>
      <c r="W340" s="33" t="s">
        <v>709</v>
      </c>
      <c r="X340" s="33" t="s">
        <v>23</v>
      </c>
      <c r="Y340" s="33" t="s">
        <v>4004</v>
      </c>
      <c r="Z340" s="33" t="s">
        <v>4005</v>
      </c>
      <c r="AA340" s="33" t="s">
        <v>176</v>
      </c>
      <c r="AB340" s="35" t="s">
        <v>246</v>
      </c>
      <c r="AC340" s="35"/>
      <c r="AH340" s="39">
        <v>0</v>
      </c>
      <c r="AI340" s="33">
        <v>0</v>
      </c>
      <c r="AJ340" s="33">
        <f t="shared" si="5"/>
        <v>0</v>
      </c>
      <c r="AL340" s="33" t="s">
        <v>895</v>
      </c>
      <c r="AQ340" s="34"/>
    </row>
    <row r="341" spans="1:47" x14ac:dyDescent="0.2">
      <c r="A341" t="s">
        <v>896</v>
      </c>
      <c r="B341" t="s">
        <v>4967</v>
      </c>
      <c r="C341">
        <v>8</v>
      </c>
      <c r="D341">
        <v>1</v>
      </c>
      <c r="E341" t="s">
        <v>2601</v>
      </c>
      <c r="F341" s="1">
        <v>43363</v>
      </c>
      <c r="G341" s="37" t="s">
        <v>4032</v>
      </c>
      <c r="H341" s="37" t="s">
        <v>4724</v>
      </c>
      <c r="I341" s="2">
        <v>4.027777777777778E-2</v>
      </c>
      <c r="J341" s="176">
        <v>6.7129629629629625E-4</v>
      </c>
      <c r="K341" s="6">
        <v>58</v>
      </c>
      <c r="L341" t="s">
        <v>884</v>
      </c>
      <c r="M341" t="s">
        <v>177</v>
      </c>
      <c r="N341" s="7" t="s">
        <v>111</v>
      </c>
      <c r="O341" s="7" t="s">
        <v>23</v>
      </c>
      <c r="P341" s="7">
        <v>0</v>
      </c>
      <c r="Q341" s="7"/>
      <c r="R341" s="7">
        <v>1</v>
      </c>
      <c r="S341" s="7"/>
      <c r="T341" t="s">
        <v>176</v>
      </c>
      <c r="U341" t="s">
        <v>176</v>
      </c>
      <c r="V341" s="7" t="s">
        <v>24</v>
      </c>
      <c r="W341" s="7" t="s">
        <v>3977</v>
      </c>
      <c r="X341" s="44" t="s">
        <v>23</v>
      </c>
      <c r="Y341" s="7" t="s">
        <v>3999</v>
      </c>
      <c r="Z341" s="7" t="s">
        <v>4001</v>
      </c>
      <c r="AA341" s="7" t="s">
        <v>176</v>
      </c>
      <c r="AB341" s="20">
        <v>63.724829999999997</v>
      </c>
      <c r="AC341" s="20">
        <v>148.95133999999999</v>
      </c>
      <c r="AD341" s="6">
        <v>0</v>
      </c>
      <c r="AE341" s="6">
        <v>0</v>
      </c>
      <c r="AF341" s="6">
        <v>0</v>
      </c>
      <c r="AG341" s="6">
        <v>0</v>
      </c>
      <c r="AH341" s="6">
        <v>0</v>
      </c>
      <c r="AI341">
        <v>0</v>
      </c>
      <c r="AJ341">
        <f t="shared" si="5"/>
        <v>0</v>
      </c>
    </row>
    <row r="342" spans="1:47" x14ac:dyDescent="0.2">
      <c r="A342" s="33" t="s">
        <v>898</v>
      </c>
      <c r="B342" s="33" t="s">
        <v>4960</v>
      </c>
      <c r="C342" s="33">
        <v>9</v>
      </c>
      <c r="D342" s="33">
        <v>1</v>
      </c>
      <c r="E342" s="33" t="s">
        <v>2601</v>
      </c>
      <c r="F342" s="37">
        <v>43363</v>
      </c>
      <c r="G342" s="37" t="s">
        <v>4032</v>
      </c>
      <c r="H342" s="37" t="s">
        <v>4724</v>
      </c>
      <c r="I342" s="36">
        <v>5.347222222222222E-2</v>
      </c>
      <c r="J342" s="177">
        <v>8.9120370370370362E-4</v>
      </c>
      <c r="K342" s="39">
        <v>77</v>
      </c>
      <c r="L342" s="33" t="s">
        <v>884</v>
      </c>
      <c r="M342" s="33" t="s">
        <v>177</v>
      </c>
      <c r="N342" s="33" t="s">
        <v>102</v>
      </c>
      <c r="O342" s="33" t="s">
        <v>12</v>
      </c>
      <c r="P342" s="33" t="s">
        <v>24</v>
      </c>
      <c r="Q342" s="33"/>
      <c r="R342" s="33">
        <v>0</v>
      </c>
      <c r="S342" s="33"/>
      <c r="T342" s="33"/>
      <c r="U342" s="33" t="s">
        <v>115</v>
      </c>
      <c r="V342" s="33" t="s">
        <v>115</v>
      </c>
      <c r="W342" s="33" t="s">
        <v>115</v>
      </c>
      <c r="X342" s="33" t="s">
        <v>115</v>
      </c>
      <c r="Y342" s="33" t="s">
        <v>115</v>
      </c>
      <c r="Z342" s="33" t="s">
        <v>115</v>
      </c>
      <c r="AA342" s="35" t="s">
        <v>115</v>
      </c>
      <c r="AB342" s="35" t="s">
        <v>115</v>
      </c>
      <c r="AC342" s="35"/>
      <c r="AD342" s="39">
        <f>47+15</f>
        <v>62</v>
      </c>
      <c r="AE342" s="39">
        <v>0</v>
      </c>
      <c r="AF342" s="39">
        <v>15</v>
      </c>
      <c r="AG342" s="39">
        <v>47</v>
      </c>
      <c r="AH342" s="33">
        <v>0</v>
      </c>
      <c r="AI342" s="33">
        <v>0</v>
      </c>
      <c r="AJ342" s="33">
        <f t="shared" si="5"/>
        <v>62</v>
      </c>
      <c r="AK342" s="33"/>
      <c r="AL342" s="33"/>
      <c r="AM342" s="33"/>
      <c r="AN342" s="33"/>
    </row>
    <row r="343" spans="1:47" x14ac:dyDescent="0.2">
      <c r="A343" t="s">
        <v>899</v>
      </c>
      <c r="B343" t="s">
        <v>4961</v>
      </c>
      <c r="C343">
        <v>10</v>
      </c>
      <c r="D343">
        <v>1</v>
      </c>
      <c r="E343" t="s">
        <v>2601</v>
      </c>
      <c r="F343" s="1">
        <v>43363</v>
      </c>
      <c r="G343" s="37" t="s">
        <v>4032</v>
      </c>
      <c r="H343" s="37" t="s">
        <v>4724</v>
      </c>
      <c r="I343" s="2">
        <v>3.6805555555555557E-2</v>
      </c>
      <c r="J343" s="176">
        <v>6.134259259259259E-4</v>
      </c>
      <c r="K343" s="6">
        <v>53</v>
      </c>
      <c r="L343" t="s">
        <v>884</v>
      </c>
      <c r="M343" t="s">
        <v>177</v>
      </c>
      <c r="N343" s="7" t="s">
        <v>102</v>
      </c>
      <c r="O343" s="7" t="s">
        <v>516</v>
      </c>
      <c r="P343" s="7" t="s">
        <v>24</v>
      </c>
      <c r="Q343" s="7"/>
      <c r="R343" s="7">
        <v>0</v>
      </c>
      <c r="S343" s="7"/>
      <c r="T343" s="7"/>
      <c r="U343" s="7" t="s">
        <v>115</v>
      </c>
      <c r="V343" s="7" t="s">
        <v>115</v>
      </c>
      <c r="W343" s="7" t="s">
        <v>115</v>
      </c>
      <c r="X343" s="33" t="s">
        <v>115</v>
      </c>
      <c r="Y343" s="33" t="s">
        <v>115</v>
      </c>
      <c r="Z343" s="33" t="s">
        <v>115</v>
      </c>
      <c r="AA343" s="20" t="s">
        <v>115</v>
      </c>
      <c r="AB343" s="20" t="s">
        <v>115</v>
      </c>
      <c r="AC343" s="20"/>
      <c r="AD343" s="6">
        <v>12</v>
      </c>
      <c r="AE343" s="6">
        <v>0</v>
      </c>
      <c r="AF343" s="6">
        <v>0</v>
      </c>
      <c r="AG343" s="6">
        <v>12</v>
      </c>
      <c r="AH343" s="6">
        <v>0</v>
      </c>
      <c r="AI343">
        <v>0</v>
      </c>
      <c r="AJ343">
        <f t="shared" si="5"/>
        <v>12</v>
      </c>
    </row>
    <row r="344" spans="1:47" s="33" customFormat="1" x14ac:dyDescent="0.2">
      <c r="A344" t="s">
        <v>900</v>
      </c>
      <c r="B344" t="s">
        <v>901</v>
      </c>
      <c r="C344">
        <v>1</v>
      </c>
      <c r="D344">
        <v>1</v>
      </c>
      <c r="E344" t="s">
        <v>324</v>
      </c>
      <c r="F344" s="1">
        <v>43364</v>
      </c>
      <c r="G344" s="37" t="s">
        <v>4032</v>
      </c>
      <c r="H344" s="37" t="s">
        <v>4724</v>
      </c>
      <c r="I344" s="2">
        <v>1.4583333333333332E-2</v>
      </c>
      <c r="J344" s="176">
        <v>2.4305555555555552E-4</v>
      </c>
      <c r="K344" s="6">
        <v>21</v>
      </c>
      <c r="L344" t="s">
        <v>884</v>
      </c>
      <c r="M344" t="s">
        <v>325</v>
      </c>
      <c r="N344" s="7" t="s">
        <v>111</v>
      </c>
      <c r="O344" s="7" t="s">
        <v>23</v>
      </c>
      <c r="P344" s="7">
        <v>0</v>
      </c>
      <c r="Q344" s="7"/>
      <c r="R344" s="7">
        <v>1</v>
      </c>
      <c r="S344" s="7"/>
      <c r="T344" t="s">
        <v>176</v>
      </c>
      <c r="U344" t="s">
        <v>176</v>
      </c>
      <c r="V344" s="7" t="s">
        <v>24</v>
      </c>
      <c r="W344" s="7" t="s">
        <v>709</v>
      </c>
      <c r="X344" s="33" t="s">
        <v>23</v>
      </c>
      <c r="Y344" s="33" t="s">
        <v>4004</v>
      </c>
      <c r="Z344" s="33" t="s">
        <v>4005</v>
      </c>
      <c r="AA344" s="7" t="s">
        <v>24</v>
      </c>
      <c r="AB344" s="20">
        <v>63.723010000000002</v>
      </c>
      <c r="AC344" s="20">
        <v>148.88673</v>
      </c>
      <c r="AD344" s="6">
        <v>0</v>
      </c>
      <c r="AE344" s="6">
        <v>0</v>
      </c>
      <c r="AF344" s="6">
        <v>0</v>
      </c>
      <c r="AG344" s="6">
        <v>0</v>
      </c>
      <c r="AH344" s="6">
        <v>0</v>
      </c>
      <c r="AI344">
        <v>0</v>
      </c>
      <c r="AJ344">
        <f t="shared" si="5"/>
        <v>0</v>
      </c>
      <c r="AK344"/>
      <c r="AL344"/>
      <c r="AM344"/>
      <c r="AN344"/>
      <c r="AO344"/>
      <c r="AP344"/>
      <c r="AQ344"/>
      <c r="AR344"/>
      <c r="AS344"/>
      <c r="AT344"/>
      <c r="AU344"/>
    </row>
    <row r="345" spans="1:47" x14ac:dyDescent="0.2">
      <c r="A345" t="s">
        <v>902</v>
      </c>
      <c r="B345" t="s">
        <v>903</v>
      </c>
      <c r="C345">
        <v>2</v>
      </c>
      <c r="D345">
        <v>1</v>
      </c>
      <c r="E345" t="s">
        <v>324</v>
      </c>
      <c r="F345" s="1">
        <v>43364</v>
      </c>
      <c r="G345" s="37" t="s">
        <v>4032</v>
      </c>
      <c r="H345" s="37" t="s">
        <v>4724</v>
      </c>
      <c r="I345" s="2">
        <v>4.4444444444444446E-2</v>
      </c>
      <c r="J345" s="176">
        <v>7.407407407407407E-4</v>
      </c>
      <c r="K345" s="6">
        <v>64</v>
      </c>
      <c r="L345" t="s">
        <v>884</v>
      </c>
      <c r="M345" t="s">
        <v>325</v>
      </c>
      <c r="N345" s="7" t="s">
        <v>102</v>
      </c>
      <c r="O345" s="7" t="s">
        <v>23</v>
      </c>
      <c r="P345" s="7">
        <v>1</v>
      </c>
      <c r="Q345" s="7"/>
      <c r="R345" s="7">
        <v>0</v>
      </c>
      <c r="S345" s="7"/>
      <c r="T345" t="s">
        <v>176</v>
      </c>
      <c r="U345" t="s">
        <v>176</v>
      </c>
      <c r="V345" s="7" t="s">
        <v>904</v>
      </c>
      <c r="W345" s="7" t="s">
        <v>115</v>
      </c>
      <c r="X345" s="33" t="s">
        <v>115</v>
      </c>
      <c r="Y345" s="33" t="s">
        <v>115</v>
      </c>
      <c r="Z345" s="33" t="s">
        <v>115</v>
      </c>
      <c r="AA345" t="s">
        <v>115</v>
      </c>
      <c r="AB345" s="20" t="s">
        <v>115</v>
      </c>
      <c r="AC345" s="20"/>
      <c r="AD345" s="6">
        <v>0</v>
      </c>
      <c r="AE345" s="6">
        <v>19</v>
      </c>
      <c r="AF345" s="6">
        <v>19</v>
      </c>
      <c r="AG345" s="6">
        <v>0</v>
      </c>
      <c r="AH345" s="6">
        <v>0</v>
      </c>
      <c r="AI345">
        <v>0</v>
      </c>
      <c r="AJ345">
        <f t="shared" si="5"/>
        <v>19</v>
      </c>
      <c r="AK345" t="s">
        <v>176</v>
      </c>
    </row>
    <row r="346" spans="1:47" s="33" customFormat="1" x14ac:dyDescent="0.2">
      <c r="A346" t="s">
        <v>905</v>
      </c>
      <c r="B346" t="s">
        <v>906</v>
      </c>
      <c r="C346">
        <v>1</v>
      </c>
      <c r="D346">
        <v>1</v>
      </c>
      <c r="E346" t="s">
        <v>272</v>
      </c>
      <c r="F346" s="1">
        <v>43364</v>
      </c>
      <c r="G346" s="37" t="s">
        <v>4032</v>
      </c>
      <c r="H346" s="37" t="s">
        <v>4724</v>
      </c>
      <c r="I346" s="2">
        <v>1.4583333333333332E-2</v>
      </c>
      <c r="J346" s="176">
        <v>2.4305555555555552E-4</v>
      </c>
      <c r="K346" s="6">
        <v>21</v>
      </c>
      <c r="L346" t="s">
        <v>397</v>
      </c>
      <c r="M346" t="s">
        <v>255</v>
      </c>
      <c r="N346" s="7" t="s">
        <v>102</v>
      </c>
      <c r="O346" s="7" t="s">
        <v>23</v>
      </c>
      <c r="P346" s="7">
        <v>1</v>
      </c>
      <c r="Q346" s="7"/>
      <c r="R346" s="7">
        <v>0</v>
      </c>
      <c r="S346" s="7"/>
      <c r="T346" t="s">
        <v>176</v>
      </c>
      <c r="U346" t="s">
        <v>176</v>
      </c>
      <c r="V346" s="7" t="s">
        <v>907</v>
      </c>
      <c r="W346" s="7" t="s">
        <v>115</v>
      </c>
      <c r="X346" s="33" t="s">
        <v>115</v>
      </c>
      <c r="Y346" s="33" t="s">
        <v>115</v>
      </c>
      <c r="Z346" s="33" t="s">
        <v>115</v>
      </c>
      <c r="AA346" t="s">
        <v>115</v>
      </c>
      <c r="AB346" s="20" t="s">
        <v>115</v>
      </c>
      <c r="AC346" s="20"/>
      <c r="AD346" s="6">
        <v>11</v>
      </c>
      <c r="AE346" s="6">
        <v>0</v>
      </c>
      <c r="AF346" s="6">
        <v>0</v>
      </c>
      <c r="AG346" s="6">
        <v>11</v>
      </c>
      <c r="AH346" s="6">
        <v>0</v>
      </c>
      <c r="AI346">
        <v>0</v>
      </c>
      <c r="AJ346">
        <f t="shared" si="5"/>
        <v>11</v>
      </c>
      <c r="AK346" t="s">
        <v>375</v>
      </c>
      <c r="AL346"/>
      <c r="AM346"/>
      <c r="AN346"/>
      <c r="AO346"/>
      <c r="AP346"/>
      <c r="AQ346"/>
      <c r="AR346"/>
      <c r="AS346"/>
      <c r="AT346"/>
      <c r="AU346"/>
    </row>
    <row r="347" spans="1:47" x14ac:dyDescent="0.2">
      <c r="A347" s="33" t="s">
        <v>908</v>
      </c>
      <c r="B347" s="33" t="s">
        <v>909</v>
      </c>
      <c r="C347" s="33">
        <v>2</v>
      </c>
      <c r="D347" s="33">
        <v>1</v>
      </c>
      <c r="E347" s="33" t="s">
        <v>272</v>
      </c>
      <c r="F347" s="37">
        <v>43364</v>
      </c>
      <c r="G347" s="37" t="s">
        <v>4032</v>
      </c>
      <c r="H347" s="37" t="s">
        <v>4724</v>
      </c>
      <c r="I347" s="36">
        <v>3.3333333333333333E-2</v>
      </c>
      <c r="J347" s="177">
        <v>5.5555555555555556E-4</v>
      </c>
      <c r="K347" s="39">
        <v>48</v>
      </c>
      <c r="L347" s="33" t="s">
        <v>397</v>
      </c>
      <c r="M347" s="33" t="s">
        <v>255</v>
      </c>
      <c r="N347" s="33" t="s">
        <v>187</v>
      </c>
      <c r="O347" s="33" t="s">
        <v>23</v>
      </c>
      <c r="P347" s="33">
        <v>1</v>
      </c>
      <c r="Q347" s="33" t="s">
        <v>2294</v>
      </c>
      <c r="R347" s="33">
        <v>0</v>
      </c>
      <c r="S347" s="33"/>
      <c r="T347" t="s">
        <v>1618</v>
      </c>
      <c r="U347" s="33" t="s">
        <v>1618</v>
      </c>
      <c r="V347" s="33" t="s">
        <v>122</v>
      </c>
      <c r="W347" s="33" t="s">
        <v>115</v>
      </c>
      <c r="X347" s="33" t="s">
        <v>115</v>
      </c>
      <c r="Y347" s="33" t="s">
        <v>115</v>
      </c>
      <c r="Z347" s="33" t="s">
        <v>115</v>
      </c>
      <c r="AA347" s="33" t="s">
        <v>115</v>
      </c>
      <c r="AB347" s="35" t="s">
        <v>115</v>
      </c>
      <c r="AC347" s="35"/>
      <c r="AD347" s="39">
        <v>0</v>
      </c>
      <c r="AE347" s="39">
        <v>0</v>
      </c>
      <c r="AF347" s="39">
        <v>0</v>
      </c>
      <c r="AG347" s="39">
        <v>0</v>
      </c>
      <c r="AH347" s="39">
        <v>34</v>
      </c>
      <c r="AI347" s="33">
        <v>0</v>
      </c>
      <c r="AJ347" s="33">
        <f t="shared" si="5"/>
        <v>34</v>
      </c>
      <c r="AK347" s="33"/>
      <c r="AL347" s="33"/>
      <c r="AM347" s="33"/>
      <c r="AN347" s="33"/>
    </row>
    <row r="348" spans="1:47" s="33" customFormat="1" x14ac:dyDescent="0.2">
      <c r="A348" t="s">
        <v>910</v>
      </c>
      <c r="B348" t="s">
        <v>911</v>
      </c>
      <c r="C348">
        <v>3</v>
      </c>
      <c r="D348">
        <v>1</v>
      </c>
      <c r="E348" t="s">
        <v>272</v>
      </c>
      <c r="F348" s="16">
        <v>43364</v>
      </c>
      <c r="G348" s="37" t="s">
        <v>4032</v>
      </c>
      <c r="H348" s="37" t="s">
        <v>4724</v>
      </c>
      <c r="I348" s="2">
        <v>2.7777777777777779E-3</v>
      </c>
      <c r="J348" s="176">
        <v>4.6296296296296294E-5</v>
      </c>
      <c r="K348" s="6">
        <v>4</v>
      </c>
      <c r="L348" t="s">
        <v>397</v>
      </c>
      <c r="M348" t="s">
        <v>255</v>
      </c>
      <c r="N348" s="7" t="s">
        <v>111</v>
      </c>
      <c r="O348" s="7" t="s">
        <v>23</v>
      </c>
      <c r="P348" s="7">
        <v>0</v>
      </c>
      <c r="Q348" s="7"/>
      <c r="R348" s="7">
        <v>1</v>
      </c>
      <c r="S348" s="7"/>
      <c r="T348" t="s">
        <v>1618</v>
      </c>
      <c r="U348" s="7" t="s">
        <v>1618</v>
      </c>
      <c r="V348" s="7" t="s">
        <v>122</v>
      </c>
      <c r="W348" s="7" t="s">
        <v>1035</v>
      </c>
      <c r="X348" s="44" t="s">
        <v>23</v>
      </c>
      <c r="Y348" s="44" t="s">
        <v>3997</v>
      </c>
      <c r="Z348" s="44" t="s">
        <v>4006</v>
      </c>
      <c r="AA348" s="7">
        <v>17</v>
      </c>
      <c r="AB348" s="20">
        <v>63.731529999999999</v>
      </c>
      <c r="AC348" s="20">
        <v>148.90143</v>
      </c>
      <c r="AD348" s="6">
        <v>0</v>
      </c>
      <c r="AE348" s="6">
        <v>0</v>
      </c>
      <c r="AF348" s="6">
        <v>0</v>
      </c>
      <c r="AG348" s="6">
        <v>0</v>
      </c>
      <c r="AH348" s="6">
        <v>0</v>
      </c>
      <c r="AI348">
        <v>0</v>
      </c>
      <c r="AJ348">
        <f t="shared" si="5"/>
        <v>0</v>
      </c>
      <c r="AK348"/>
      <c r="AL348" t="s">
        <v>913</v>
      </c>
      <c r="AM348"/>
      <c r="AN348"/>
      <c r="AQ348" s="34"/>
    </row>
    <row r="349" spans="1:47" x14ac:dyDescent="0.2">
      <c r="A349" t="s">
        <v>914</v>
      </c>
      <c r="B349" t="s">
        <v>915</v>
      </c>
      <c r="C349">
        <v>1</v>
      </c>
      <c r="D349">
        <v>1</v>
      </c>
      <c r="E349" t="s">
        <v>2462</v>
      </c>
      <c r="F349" s="1">
        <v>43364</v>
      </c>
      <c r="G349" s="37" t="s">
        <v>4032</v>
      </c>
      <c r="H349" s="37" t="s">
        <v>4724</v>
      </c>
      <c r="I349" s="17">
        <v>2.7777777777777779E-3</v>
      </c>
      <c r="J349" s="176">
        <v>4.6296296296296294E-5</v>
      </c>
      <c r="K349" s="6">
        <v>4</v>
      </c>
      <c r="L349" t="s">
        <v>640</v>
      </c>
      <c r="M349" t="s">
        <v>64</v>
      </c>
      <c r="N349" s="7" t="s">
        <v>107</v>
      </c>
      <c r="O349" s="7" t="s">
        <v>12</v>
      </c>
      <c r="P349" s="7">
        <v>1</v>
      </c>
      <c r="Q349" s="7"/>
      <c r="R349" s="7">
        <v>0</v>
      </c>
      <c r="S349" s="7"/>
      <c r="T349" t="s">
        <v>1618</v>
      </c>
      <c r="U349" s="7" t="s">
        <v>2135</v>
      </c>
      <c r="V349" s="7" t="s">
        <v>4968</v>
      </c>
      <c r="W349" s="7" t="s">
        <v>115</v>
      </c>
      <c r="X349" s="33" t="s">
        <v>115</v>
      </c>
      <c r="Y349" s="33" t="s">
        <v>115</v>
      </c>
      <c r="Z349" s="33" t="s">
        <v>115</v>
      </c>
      <c r="AA349" s="7" t="s">
        <v>115</v>
      </c>
      <c r="AB349" s="19" t="s">
        <v>115</v>
      </c>
      <c r="AD349" s="6">
        <v>0</v>
      </c>
      <c r="AE349" s="6">
        <v>0</v>
      </c>
      <c r="AF349" s="6">
        <v>0</v>
      </c>
      <c r="AG349" s="6">
        <v>0</v>
      </c>
      <c r="AH349" s="6">
        <v>0</v>
      </c>
      <c r="AI349">
        <v>0</v>
      </c>
      <c r="AJ349">
        <f t="shared" si="5"/>
        <v>0</v>
      </c>
    </row>
    <row r="350" spans="1:47" s="33" customFormat="1" x14ac:dyDescent="0.2">
      <c r="A350" t="s">
        <v>917</v>
      </c>
      <c r="B350" t="s">
        <v>918</v>
      </c>
      <c r="C350">
        <v>2</v>
      </c>
      <c r="D350">
        <v>1</v>
      </c>
      <c r="E350" t="s">
        <v>2462</v>
      </c>
      <c r="F350" s="1">
        <v>43364</v>
      </c>
      <c r="G350" s="37" t="s">
        <v>4032</v>
      </c>
      <c r="H350" s="37" t="s">
        <v>4724</v>
      </c>
      <c r="I350" s="2">
        <v>3.3333333333333333E-2</v>
      </c>
      <c r="J350" s="176">
        <v>5.5555555555555556E-4</v>
      </c>
      <c r="K350" s="6">
        <v>48</v>
      </c>
      <c r="L350" t="s">
        <v>640</v>
      </c>
      <c r="M350" t="s">
        <v>64</v>
      </c>
      <c r="N350" s="7" t="s">
        <v>111</v>
      </c>
      <c r="O350" s="7" t="s">
        <v>919</v>
      </c>
      <c r="P350" s="7">
        <v>0</v>
      </c>
      <c r="Q350" s="7"/>
      <c r="R350" s="7">
        <v>1</v>
      </c>
      <c r="S350" s="7"/>
      <c r="T350" t="s">
        <v>1618</v>
      </c>
      <c r="U350" s="7" t="s">
        <v>2135</v>
      </c>
      <c r="V350" s="7" t="s">
        <v>4968</v>
      </c>
      <c r="W350" s="7" t="s">
        <v>1027</v>
      </c>
      <c r="X350" s="33" t="s">
        <v>12</v>
      </c>
      <c r="Y350" s="33" t="s">
        <v>3997</v>
      </c>
      <c r="Z350" s="33" t="s">
        <v>4005</v>
      </c>
      <c r="AA350" s="7" t="s">
        <v>176</v>
      </c>
      <c r="AB350" s="20">
        <v>63.733040000000003</v>
      </c>
      <c r="AC350" s="20">
        <v>148.89510999999999</v>
      </c>
      <c r="AD350" s="6">
        <v>0</v>
      </c>
      <c r="AE350" s="6">
        <v>0</v>
      </c>
      <c r="AF350" s="6">
        <v>0</v>
      </c>
      <c r="AG350" s="6">
        <v>0</v>
      </c>
      <c r="AH350" s="6">
        <v>0</v>
      </c>
      <c r="AI350">
        <v>0</v>
      </c>
      <c r="AJ350">
        <f t="shared" si="5"/>
        <v>0</v>
      </c>
      <c r="AK350"/>
      <c r="AL350" t="s">
        <v>2074</v>
      </c>
      <c r="AM350"/>
      <c r="AN350"/>
      <c r="AO350"/>
      <c r="AP350"/>
      <c r="AQ350"/>
      <c r="AR350"/>
      <c r="AS350"/>
      <c r="AT350"/>
      <c r="AU350"/>
    </row>
    <row r="351" spans="1:47" hidden="1" x14ac:dyDescent="0.2">
      <c r="A351" t="s">
        <v>917</v>
      </c>
      <c r="B351" t="s">
        <v>918</v>
      </c>
      <c r="C351">
        <v>2</v>
      </c>
      <c r="D351">
        <v>2</v>
      </c>
      <c r="E351" t="s">
        <v>2462</v>
      </c>
      <c r="F351" s="1">
        <v>43364</v>
      </c>
      <c r="G351" s="37" t="s">
        <v>4032</v>
      </c>
      <c r="H351" s="37" t="s">
        <v>4724</v>
      </c>
      <c r="I351" s="2">
        <v>3.3333333333333333E-2</v>
      </c>
      <c r="J351" s="176">
        <v>5.5555555555555556E-4</v>
      </c>
      <c r="K351" s="6">
        <v>48</v>
      </c>
      <c r="L351" t="s">
        <v>640</v>
      </c>
      <c r="M351" t="s">
        <v>64</v>
      </c>
      <c r="N351" s="7" t="s">
        <v>111</v>
      </c>
      <c r="O351" s="7" t="s">
        <v>919</v>
      </c>
      <c r="P351" s="7">
        <v>0</v>
      </c>
      <c r="Q351" s="7"/>
      <c r="R351" s="7">
        <v>1</v>
      </c>
      <c r="S351" s="7"/>
      <c r="T351" t="s">
        <v>1618</v>
      </c>
      <c r="U351" s="7" t="s">
        <v>2135</v>
      </c>
      <c r="V351" s="7" t="s">
        <v>4968</v>
      </c>
      <c r="W351" s="7" t="s">
        <v>1027</v>
      </c>
      <c r="X351" s="33" t="s">
        <v>12</v>
      </c>
      <c r="Y351" s="33" t="s">
        <v>3997</v>
      </c>
      <c r="Z351" s="33" t="s">
        <v>4005</v>
      </c>
      <c r="AA351" s="7" t="s">
        <v>176</v>
      </c>
      <c r="AB351" s="20">
        <v>63.733040000000003</v>
      </c>
      <c r="AC351" s="20">
        <v>148.89510999999999</v>
      </c>
      <c r="AD351" s="6">
        <v>0</v>
      </c>
      <c r="AE351" s="6">
        <v>0</v>
      </c>
      <c r="AF351" s="6">
        <v>0</v>
      </c>
      <c r="AG351" s="6">
        <v>0</v>
      </c>
      <c r="AH351" s="6">
        <v>0</v>
      </c>
      <c r="AI351">
        <v>0</v>
      </c>
      <c r="AJ351">
        <f t="shared" si="5"/>
        <v>0</v>
      </c>
      <c r="AL351" t="s">
        <v>2075</v>
      </c>
    </row>
    <row r="352" spans="1:47" x14ac:dyDescent="0.2">
      <c r="A352" t="s">
        <v>920</v>
      </c>
      <c r="B352" t="s">
        <v>921</v>
      </c>
      <c r="C352">
        <v>1</v>
      </c>
      <c r="D352">
        <v>1</v>
      </c>
      <c r="E352" t="s">
        <v>2487</v>
      </c>
      <c r="F352" s="1">
        <v>43367</v>
      </c>
      <c r="G352" s="37" t="s">
        <v>4032</v>
      </c>
      <c r="H352" s="37" t="s">
        <v>4724</v>
      </c>
      <c r="I352" s="2">
        <v>1.3888888888888888E-2</v>
      </c>
      <c r="J352" s="176">
        <v>2.3148148148148146E-4</v>
      </c>
      <c r="K352" s="6">
        <v>20</v>
      </c>
      <c r="L352" t="s">
        <v>884</v>
      </c>
      <c r="M352" t="s">
        <v>344</v>
      </c>
      <c r="N352" s="7" t="s">
        <v>102</v>
      </c>
      <c r="O352" s="7" t="s">
        <v>23</v>
      </c>
      <c r="P352" s="7">
        <v>1</v>
      </c>
      <c r="Q352" s="7"/>
      <c r="R352" s="7">
        <v>0</v>
      </c>
      <c r="S352" s="7"/>
      <c r="T352" t="s">
        <v>176</v>
      </c>
      <c r="U352" t="s">
        <v>176</v>
      </c>
      <c r="V352" s="7" t="s">
        <v>501</v>
      </c>
      <c r="W352" s="7" t="s">
        <v>115</v>
      </c>
      <c r="X352" s="33" t="s">
        <v>115</v>
      </c>
      <c r="Y352" s="33" t="s">
        <v>115</v>
      </c>
      <c r="Z352" s="33" t="s">
        <v>115</v>
      </c>
      <c r="AA352" s="7" t="s">
        <v>115</v>
      </c>
      <c r="AB352" s="20" t="s">
        <v>115</v>
      </c>
      <c r="AC352" s="20"/>
      <c r="AD352" s="6">
        <v>0</v>
      </c>
      <c r="AE352" s="6">
        <v>5</v>
      </c>
      <c r="AF352" s="6">
        <v>0</v>
      </c>
      <c r="AG352" s="6">
        <v>5</v>
      </c>
      <c r="AH352" s="6">
        <v>0</v>
      </c>
      <c r="AI352">
        <v>0</v>
      </c>
      <c r="AJ352">
        <f t="shared" si="5"/>
        <v>5</v>
      </c>
      <c r="AK352" t="s">
        <v>375</v>
      </c>
      <c r="AM352">
        <v>1</v>
      </c>
      <c r="AN352">
        <v>0</v>
      </c>
      <c r="AO352" s="33"/>
      <c r="AP352" s="33"/>
      <c r="AQ352" s="34"/>
      <c r="AR352" s="33"/>
      <c r="AS352" s="33"/>
      <c r="AT352" s="33"/>
      <c r="AU352" s="33"/>
    </row>
    <row r="353" spans="1:47" x14ac:dyDescent="0.2">
      <c r="A353" s="33" t="s">
        <v>922</v>
      </c>
      <c r="B353" s="33" t="s">
        <v>923</v>
      </c>
      <c r="C353" s="33">
        <v>1</v>
      </c>
      <c r="D353" s="33">
        <v>1</v>
      </c>
      <c r="E353" s="33" t="s">
        <v>791</v>
      </c>
      <c r="F353" s="37">
        <v>43367</v>
      </c>
      <c r="G353" s="37" t="s">
        <v>4032</v>
      </c>
      <c r="H353" s="37" t="s">
        <v>4724</v>
      </c>
      <c r="I353" s="36">
        <v>1.2499999999999999E-2</v>
      </c>
      <c r="J353" s="177">
        <v>2.0833333333333335E-4</v>
      </c>
      <c r="K353" s="39">
        <v>18</v>
      </c>
      <c r="L353" s="33"/>
      <c r="M353" s="33" t="s">
        <v>924</v>
      </c>
      <c r="N353" s="33" t="s">
        <v>102</v>
      </c>
      <c r="O353" s="33" t="s">
        <v>115</v>
      </c>
      <c r="P353" s="33">
        <v>1</v>
      </c>
      <c r="Q353" s="33"/>
      <c r="R353" s="33">
        <v>0</v>
      </c>
      <c r="S353" s="33"/>
      <c r="T353" t="s">
        <v>176</v>
      </c>
      <c r="U353" s="33" t="s">
        <v>176</v>
      </c>
      <c r="V353" s="33" t="s">
        <v>122</v>
      </c>
      <c r="W353" s="33" t="s">
        <v>115</v>
      </c>
      <c r="X353" s="33" t="s">
        <v>115</v>
      </c>
      <c r="Y353" s="33" t="s">
        <v>115</v>
      </c>
      <c r="Z353" s="33" t="s">
        <v>115</v>
      </c>
      <c r="AA353" s="33" t="s">
        <v>115</v>
      </c>
      <c r="AB353" s="35" t="s">
        <v>115</v>
      </c>
      <c r="AC353" s="35"/>
      <c r="AD353" s="39">
        <v>0</v>
      </c>
      <c r="AE353" s="39">
        <v>0</v>
      </c>
      <c r="AF353" s="39">
        <v>0</v>
      </c>
      <c r="AG353" s="39">
        <v>0</v>
      </c>
      <c r="AH353" s="39">
        <v>15</v>
      </c>
      <c r="AI353" s="33">
        <v>0</v>
      </c>
      <c r="AJ353" s="33">
        <f t="shared" si="5"/>
        <v>15</v>
      </c>
      <c r="AK353" s="33"/>
      <c r="AL353" s="33"/>
      <c r="AM353" s="33"/>
      <c r="AN353" s="33"/>
      <c r="AO353" s="33"/>
      <c r="AP353" s="33"/>
      <c r="AQ353" s="34"/>
      <c r="AR353" s="33"/>
      <c r="AS353" s="33"/>
      <c r="AT353" s="33"/>
      <c r="AU353" s="33"/>
    </row>
    <row r="354" spans="1:47" x14ac:dyDescent="0.2">
      <c r="A354" s="33" t="s">
        <v>925</v>
      </c>
      <c r="B354" s="33" t="s">
        <v>926</v>
      </c>
      <c r="C354" s="33">
        <v>2</v>
      </c>
      <c r="D354" s="33">
        <v>1</v>
      </c>
      <c r="E354" s="33" t="s">
        <v>791</v>
      </c>
      <c r="F354" s="37">
        <v>43367</v>
      </c>
      <c r="G354" s="37" t="s">
        <v>4032</v>
      </c>
      <c r="H354" s="37" t="s">
        <v>4724</v>
      </c>
      <c r="I354" s="36">
        <v>1.2499999999999999E-2</v>
      </c>
      <c r="J354" s="177">
        <v>2.0833333333333335E-4</v>
      </c>
      <c r="K354" s="39">
        <v>18</v>
      </c>
      <c r="L354" s="33" t="s">
        <v>397</v>
      </c>
      <c r="M354" s="33" t="s">
        <v>927</v>
      </c>
      <c r="N354" s="33" t="s">
        <v>102</v>
      </c>
      <c r="O354" s="33" t="s">
        <v>115</v>
      </c>
      <c r="P354" s="33">
        <v>1</v>
      </c>
      <c r="Q354" s="33"/>
      <c r="R354" s="33">
        <v>0</v>
      </c>
      <c r="S354" s="33"/>
      <c r="T354" t="s">
        <v>598</v>
      </c>
      <c r="U354" s="33" t="s">
        <v>2109</v>
      </c>
      <c r="V354" s="33" t="s">
        <v>122</v>
      </c>
      <c r="W354" s="33" t="s">
        <v>115</v>
      </c>
      <c r="X354" s="33" t="s">
        <v>115</v>
      </c>
      <c r="Y354" s="33" t="s">
        <v>115</v>
      </c>
      <c r="Z354" s="33" t="s">
        <v>115</v>
      </c>
      <c r="AA354" s="33" t="s">
        <v>115</v>
      </c>
      <c r="AB354" s="35" t="s">
        <v>115</v>
      </c>
      <c r="AC354" s="35"/>
      <c r="AD354" s="39">
        <v>0</v>
      </c>
      <c r="AE354" s="39">
        <v>0</v>
      </c>
      <c r="AF354" s="39">
        <v>0</v>
      </c>
      <c r="AG354" s="39">
        <v>0</v>
      </c>
      <c r="AH354" s="39">
        <v>18</v>
      </c>
      <c r="AI354" s="33">
        <v>0</v>
      </c>
      <c r="AJ354" s="33">
        <f t="shared" si="5"/>
        <v>18</v>
      </c>
      <c r="AK354" s="33"/>
      <c r="AL354" s="33"/>
      <c r="AM354" s="33"/>
      <c r="AN354" s="33"/>
      <c r="AO354" s="33"/>
      <c r="AP354" s="33"/>
      <c r="AQ354" s="34" t="s">
        <v>3951</v>
      </c>
      <c r="AR354" s="33"/>
      <c r="AS354" s="33"/>
      <c r="AT354" s="33"/>
      <c r="AU354" s="33"/>
    </row>
    <row r="355" spans="1:47" x14ac:dyDescent="0.2">
      <c r="A355" s="33" t="s">
        <v>928</v>
      </c>
      <c r="B355" s="33" t="s">
        <v>929</v>
      </c>
      <c r="C355" s="33">
        <v>3</v>
      </c>
      <c r="D355" s="33">
        <v>1</v>
      </c>
      <c r="E355" s="33" t="s">
        <v>791</v>
      </c>
      <c r="F355" s="37">
        <v>43367</v>
      </c>
      <c r="G355" s="37" t="s">
        <v>4032</v>
      </c>
      <c r="H355" s="37" t="s">
        <v>4724</v>
      </c>
      <c r="I355" s="36">
        <v>8.3333333333333332E-3</v>
      </c>
      <c r="J355" s="177">
        <v>1.3888888888888889E-4</v>
      </c>
      <c r="K355" s="39">
        <v>12</v>
      </c>
      <c r="L355" s="33" t="s">
        <v>397</v>
      </c>
      <c r="M355" s="33" t="s">
        <v>924</v>
      </c>
      <c r="N355" s="33" t="s">
        <v>102</v>
      </c>
      <c r="O355" s="33" t="s">
        <v>115</v>
      </c>
      <c r="P355" s="33">
        <v>1</v>
      </c>
      <c r="Q355" s="33"/>
      <c r="R355" s="33">
        <v>0</v>
      </c>
      <c r="S355" s="33"/>
      <c r="T355" t="s">
        <v>598</v>
      </c>
      <c r="U355" s="33" t="s">
        <v>2109</v>
      </c>
      <c r="V355" s="33" t="s">
        <v>122</v>
      </c>
      <c r="W355" s="33" t="s">
        <v>115</v>
      </c>
      <c r="X355" s="33" t="s">
        <v>115</v>
      </c>
      <c r="Y355" s="33" t="s">
        <v>115</v>
      </c>
      <c r="Z355" s="33" t="s">
        <v>115</v>
      </c>
      <c r="AA355" s="33" t="s">
        <v>115</v>
      </c>
      <c r="AB355" s="35" t="s">
        <v>115</v>
      </c>
      <c r="AC355" s="35"/>
      <c r="AD355" s="39">
        <v>0</v>
      </c>
      <c r="AE355" s="39">
        <v>0</v>
      </c>
      <c r="AF355" s="39">
        <v>0</v>
      </c>
      <c r="AG355" s="39">
        <v>0</v>
      </c>
      <c r="AH355" s="39">
        <v>8</v>
      </c>
      <c r="AI355" s="33">
        <v>0</v>
      </c>
      <c r="AJ355" s="33">
        <f t="shared" si="5"/>
        <v>8</v>
      </c>
      <c r="AK355" s="33"/>
      <c r="AL355" s="33" t="s">
        <v>4969</v>
      </c>
      <c r="AM355" s="33"/>
      <c r="AN355" s="33"/>
    </row>
    <row r="356" spans="1:47" x14ac:dyDescent="0.2">
      <c r="A356" s="33" t="s">
        <v>930</v>
      </c>
      <c r="B356" s="33" t="s">
        <v>931</v>
      </c>
      <c r="C356" s="33">
        <v>1</v>
      </c>
      <c r="D356" s="33">
        <v>1</v>
      </c>
      <c r="E356" s="33" t="s">
        <v>100</v>
      </c>
      <c r="F356" s="37">
        <v>43367</v>
      </c>
      <c r="G356" s="37" t="s">
        <v>4032</v>
      </c>
      <c r="H356" s="37" t="s">
        <v>4724</v>
      </c>
      <c r="I356" s="36">
        <v>3.0555555555555555E-2</v>
      </c>
      <c r="J356" s="177">
        <v>5.0925925925925921E-4</v>
      </c>
      <c r="K356" s="39">
        <v>44</v>
      </c>
      <c r="L356" s="33" t="s">
        <v>101</v>
      </c>
      <c r="M356" s="33" t="s">
        <v>932</v>
      </c>
      <c r="N356" s="33" t="s">
        <v>102</v>
      </c>
      <c r="O356" s="33" t="s">
        <v>115</v>
      </c>
      <c r="P356" s="33">
        <v>1</v>
      </c>
      <c r="Q356" s="33"/>
      <c r="R356" s="33">
        <v>0</v>
      </c>
      <c r="S356" s="33"/>
      <c r="T356" t="s">
        <v>176</v>
      </c>
      <c r="U356" s="33" t="s">
        <v>176</v>
      </c>
      <c r="V356" s="33" t="s">
        <v>122</v>
      </c>
      <c r="W356" s="33" t="s">
        <v>115</v>
      </c>
      <c r="X356" s="33" t="s">
        <v>115</v>
      </c>
      <c r="Y356" s="33" t="s">
        <v>115</v>
      </c>
      <c r="Z356" s="33" t="s">
        <v>115</v>
      </c>
      <c r="AA356" s="33" t="s">
        <v>115</v>
      </c>
      <c r="AB356" s="35" t="s">
        <v>115</v>
      </c>
      <c r="AC356" s="35"/>
      <c r="AD356" s="39">
        <v>0</v>
      </c>
      <c r="AE356" s="39">
        <v>0</v>
      </c>
      <c r="AF356" s="39">
        <v>0</v>
      </c>
      <c r="AG356" s="39">
        <v>0</v>
      </c>
      <c r="AH356" s="39">
        <v>20</v>
      </c>
      <c r="AI356" s="33">
        <v>0</v>
      </c>
      <c r="AJ356" s="33">
        <f t="shared" si="5"/>
        <v>20</v>
      </c>
      <c r="AK356" s="33"/>
      <c r="AL356" s="33"/>
      <c r="AM356" s="33"/>
      <c r="AN356" s="33"/>
    </row>
    <row r="357" spans="1:47" x14ac:dyDescent="0.2">
      <c r="A357" t="s">
        <v>933</v>
      </c>
      <c r="B357" t="s">
        <v>937</v>
      </c>
      <c r="C357">
        <v>2</v>
      </c>
      <c r="D357">
        <v>1</v>
      </c>
      <c r="E357" t="s">
        <v>100</v>
      </c>
      <c r="F357" s="1">
        <v>43367</v>
      </c>
      <c r="G357" s="37" t="s">
        <v>4032</v>
      </c>
      <c r="H357" s="37" t="s">
        <v>4724</v>
      </c>
      <c r="I357" s="2">
        <v>1.1111111111111112E-2</v>
      </c>
      <c r="J357" s="176">
        <v>1.8518518518518518E-4</v>
      </c>
      <c r="K357" s="6">
        <v>16</v>
      </c>
      <c r="L357" t="s">
        <v>397</v>
      </c>
      <c r="M357" t="s">
        <v>932</v>
      </c>
      <c r="N357" s="7" t="s">
        <v>111</v>
      </c>
      <c r="O357" s="7" t="s">
        <v>23</v>
      </c>
      <c r="P357" s="7">
        <v>0</v>
      </c>
      <c r="Q357" s="7"/>
      <c r="R357">
        <v>1</v>
      </c>
      <c r="T357" t="s">
        <v>176</v>
      </c>
      <c r="U357" t="s">
        <v>176</v>
      </c>
      <c r="V357" t="s">
        <v>122</v>
      </c>
      <c r="W357" s="7" t="s">
        <v>934</v>
      </c>
      <c r="X357" s="33" t="s">
        <v>23</v>
      </c>
      <c r="Y357" s="33" t="s">
        <v>4004</v>
      </c>
      <c r="Z357" s="33" t="s">
        <v>4008</v>
      </c>
      <c r="AA357" s="7" t="s">
        <v>24</v>
      </c>
      <c r="AB357" s="20">
        <v>63.73798</v>
      </c>
      <c r="AC357" s="20">
        <v>148.90401</v>
      </c>
      <c r="AD357" s="6">
        <v>0</v>
      </c>
      <c r="AE357" s="6">
        <v>0</v>
      </c>
      <c r="AF357" s="6">
        <v>0</v>
      </c>
      <c r="AG357" s="6">
        <v>0</v>
      </c>
      <c r="AH357" s="6">
        <v>0</v>
      </c>
      <c r="AI357">
        <v>0</v>
      </c>
      <c r="AJ357">
        <f t="shared" si="5"/>
        <v>0</v>
      </c>
      <c r="AL357" t="s">
        <v>4970</v>
      </c>
      <c r="AO357" s="33"/>
      <c r="AP357" s="33"/>
      <c r="AQ357" s="34"/>
      <c r="AR357" s="33"/>
      <c r="AS357" s="33"/>
      <c r="AT357" s="33"/>
      <c r="AU357" s="33"/>
    </row>
    <row r="358" spans="1:47" x14ac:dyDescent="0.2">
      <c r="A358" t="s">
        <v>936</v>
      </c>
      <c r="B358" t="s">
        <v>938</v>
      </c>
      <c r="C358">
        <v>1</v>
      </c>
      <c r="D358">
        <v>1</v>
      </c>
      <c r="E358" t="s">
        <v>834</v>
      </c>
      <c r="F358" s="1">
        <v>43367</v>
      </c>
      <c r="G358" s="37" t="s">
        <v>4032</v>
      </c>
      <c r="H358" s="37" t="s">
        <v>4724</v>
      </c>
      <c r="I358" s="2">
        <v>6.5972222222222224E-2</v>
      </c>
      <c r="J358" s="176">
        <v>1.0995370370370371E-3</v>
      </c>
      <c r="K358" s="6">
        <v>95</v>
      </c>
      <c r="L358" t="s">
        <v>397</v>
      </c>
      <c r="M358" t="s">
        <v>466</v>
      </c>
      <c r="N358" s="7" t="s">
        <v>102</v>
      </c>
      <c r="O358" s="7" t="s">
        <v>23</v>
      </c>
      <c r="P358" s="7" t="s">
        <v>24</v>
      </c>
      <c r="Q358" s="7"/>
      <c r="R358">
        <v>0</v>
      </c>
      <c r="T358" t="s">
        <v>176</v>
      </c>
      <c r="U358" t="s">
        <v>176</v>
      </c>
      <c r="V358" t="s">
        <v>115</v>
      </c>
      <c r="W358" s="7" t="s">
        <v>115</v>
      </c>
      <c r="X358" s="33" t="s">
        <v>115</v>
      </c>
      <c r="Y358" s="33" t="s">
        <v>115</v>
      </c>
      <c r="Z358" s="33" t="s">
        <v>115</v>
      </c>
      <c r="AA358" s="7" t="s">
        <v>115</v>
      </c>
      <c r="AB358" s="20" t="s">
        <v>115</v>
      </c>
      <c r="AC358" s="20"/>
      <c r="AD358" s="6">
        <v>15</v>
      </c>
      <c r="AE358" s="6">
        <v>0</v>
      </c>
      <c r="AF358" s="6">
        <v>15</v>
      </c>
      <c r="AG358" s="6">
        <v>0</v>
      </c>
      <c r="AH358" s="6">
        <v>0</v>
      </c>
      <c r="AI358">
        <v>0</v>
      </c>
      <c r="AJ358">
        <f t="shared" si="5"/>
        <v>15</v>
      </c>
      <c r="AK358" t="s">
        <v>16</v>
      </c>
      <c r="AM358">
        <v>0</v>
      </c>
      <c r="AN358">
        <v>2</v>
      </c>
      <c r="AO358" s="30"/>
      <c r="AP358" s="30"/>
      <c r="AQ358" s="30"/>
      <c r="AR358" s="30"/>
      <c r="AS358" s="30"/>
      <c r="AT358" s="30"/>
      <c r="AU358" s="30"/>
    </row>
    <row r="359" spans="1:47" s="33" customFormat="1" x14ac:dyDescent="0.2">
      <c r="A359" t="s">
        <v>942</v>
      </c>
      <c r="B359" t="s">
        <v>943</v>
      </c>
      <c r="C359">
        <v>1</v>
      </c>
      <c r="D359">
        <v>1</v>
      </c>
      <c r="E359" t="s">
        <v>2462</v>
      </c>
      <c r="F359" s="1">
        <v>43368</v>
      </c>
      <c r="G359" s="37" t="s">
        <v>4032</v>
      </c>
      <c r="H359" s="37" t="s">
        <v>4724</v>
      </c>
      <c r="I359" s="2">
        <v>6.9444444444444441E-3</v>
      </c>
      <c r="J359" s="176">
        <v>1.1574074074074073E-4</v>
      </c>
      <c r="K359" s="6">
        <v>10</v>
      </c>
      <c r="L359" t="s">
        <v>398</v>
      </c>
      <c r="M359" t="s">
        <v>363</v>
      </c>
      <c r="N359" s="7" t="s">
        <v>228</v>
      </c>
      <c r="O359" s="7" t="s">
        <v>23</v>
      </c>
      <c r="P359" s="7">
        <v>1</v>
      </c>
      <c r="Q359" s="7"/>
      <c r="R359">
        <v>0</v>
      </c>
      <c r="S359"/>
      <c r="T359" t="s">
        <v>176</v>
      </c>
      <c r="U359" t="s">
        <v>176</v>
      </c>
      <c r="V359" t="s">
        <v>907</v>
      </c>
      <c r="W359" s="7" t="s">
        <v>115</v>
      </c>
      <c r="X359" s="33" t="s">
        <v>115</v>
      </c>
      <c r="Y359" s="33" t="s">
        <v>115</v>
      </c>
      <c r="Z359" s="33" t="s">
        <v>115</v>
      </c>
      <c r="AA359" s="7" t="s">
        <v>115</v>
      </c>
      <c r="AB359" s="20" t="s">
        <v>115</v>
      </c>
      <c r="AC359" s="20"/>
      <c r="AD359" s="6">
        <v>0</v>
      </c>
      <c r="AE359" s="6">
        <v>0</v>
      </c>
      <c r="AF359" s="6">
        <v>0</v>
      </c>
      <c r="AG359" s="6">
        <v>0</v>
      </c>
      <c r="AH359" s="6">
        <v>0</v>
      </c>
      <c r="AI359">
        <v>0</v>
      </c>
      <c r="AJ359">
        <f t="shared" si="5"/>
        <v>0</v>
      </c>
      <c r="AK359"/>
      <c r="AL359" t="s">
        <v>944</v>
      </c>
      <c r="AM359"/>
      <c r="AN359"/>
      <c r="AQ359" s="34"/>
    </row>
    <row r="360" spans="1:47" x14ac:dyDescent="0.2">
      <c r="A360" t="s">
        <v>946</v>
      </c>
      <c r="B360" t="s">
        <v>947</v>
      </c>
      <c r="C360">
        <v>3</v>
      </c>
      <c r="D360">
        <v>1</v>
      </c>
      <c r="E360" t="s">
        <v>2462</v>
      </c>
      <c r="F360" s="1">
        <v>43368</v>
      </c>
      <c r="G360" s="37" t="s">
        <v>4032</v>
      </c>
      <c r="H360" s="37" t="s">
        <v>4724</v>
      </c>
      <c r="I360" s="2">
        <v>3.2638888888888891E-2</v>
      </c>
      <c r="J360" s="176">
        <v>5.4398148148148144E-4</v>
      </c>
      <c r="K360" s="6">
        <v>47</v>
      </c>
      <c r="L360" t="s">
        <v>398</v>
      </c>
      <c r="M360" t="s">
        <v>363</v>
      </c>
      <c r="N360" s="7" t="s">
        <v>228</v>
      </c>
      <c r="O360" s="7" t="s">
        <v>23</v>
      </c>
      <c r="P360" s="7">
        <v>1</v>
      </c>
      <c r="Q360" s="7"/>
      <c r="R360">
        <v>0</v>
      </c>
      <c r="T360" t="s">
        <v>176</v>
      </c>
      <c r="U360" t="s">
        <v>176</v>
      </c>
      <c r="V360" t="s">
        <v>948</v>
      </c>
      <c r="W360" s="7" t="s">
        <v>115</v>
      </c>
      <c r="X360" s="33" t="s">
        <v>115</v>
      </c>
      <c r="Y360" s="33" t="s">
        <v>115</v>
      </c>
      <c r="Z360" s="33" t="s">
        <v>115</v>
      </c>
      <c r="AA360" s="7" t="s">
        <v>115</v>
      </c>
      <c r="AB360" s="20" t="s">
        <v>115</v>
      </c>
      <c r="AC360" s="20"/>
      <c r="AD360" s="6">
        <v>0</v>
      </c>
      <c r="AE360" s="6">
        <v>0</v>
      </c>
      <c r="AF360" s="6">
        <v>0</v>
      </c>
      <c r="AG360" s="6">
        <v>0</v>
      </c>
      <c r="AH360" s="6">
        <v>0</v>
      </c>
      <c r="AI360">
        <v>0</v>
      </c>
      <c r="AJ360">
        <f t="shared" si="5"/>
        <v>0</v>
      </c>
    </row>
    <row r="361" spans="1:47" x14ac:dyDescent="0.2">
      <c r="A361" t="s">
        <v>949</v>
      </c>
      <c r="B361" t="s">
        <v>950</v>
      </c>
      <c r="C361">
        <v>4</v>
      </c>
      <c r="D361">
        <v>1</v>
      </c>
      <c r="E361" t="s">
        <v>2462</v>
      </c>
      <c r="F361" s="1">
        <v>43368</v>
      </c>
      <c r="G361" s="37" t="s">
        <v>4032</v>
      </c>
      <c r="H361" s="37" t="s">
        <v>4724</v>
      </c>
      <c r="I361" s="2">
        <v>1.1111111111111112E-2</v>
      </c>
      <c r="J361" s="176">
        <v>1.8518518518518518E-4</v>
      </c>
      <c r="K361" s="6">
        <v>16</v>
      </c>
      <c r="L361" t="s">
        <v>398</v>
      </c>
      <c r="M361" t="s">
        <v>64</v>
      </c>
      <c r="N361" s="7" t="s">
        <v>102</v>
      </c>
      <c r="O361" s="7" t="s">
        <v>115</v>
      </c>
      <c r="P361" s="7">
        <v>1</v>
      </c>
      <c r="Q361" s="7"/>
      <c r="R361">
        <v>0</v>
      </c>
      <c r="T361" t="s">
        <v>461</v>
      </c>
      <c r="U361" t="s">
        <v>2125</v>
      </c>
      <c r="V361" t="s">
        <v>122</v>
      </c>
      <c r="W361" s="7" t="s">
        <v>115</v>
      </c>
      <c r="X361" s="33" t="s">
        <v>115</v>
      </c>
      <c r="Y361" s="33" t="s">
        <v>115</v>
      </c>
      <c r="Z361" s="33" t="s">
        <v>115</v>
      </c>
      <c r="AA361" s="7" t="s">
        <v>115</v>
      </c>
      <c r="AB361" s="20" t="s">
        <v>115</v>
      </c>
      <c r="AC361" s="20"/>
      <c r="AD361" s="6">
        <v>0</v>
      </c>
      <c r="AE361" s="6">
        <v>0</v>
      </c>
      <c r="AF361" s="6">
        <v>0</v>
      </c>
      <c r="AG361" s="6">
        <v>0</v>
      </c>
      <c r="AH361" s="6">
        <v>0</v>
      </c>
      <c r="AI361">
        <v>0</v>
      </c>
      <c r="AJ361">
        <f t="shared" si="5"/>
        <v>0</v>
      </c>
      <c r="AL361" t="s">
        <v>4971</v>
      </c>
    </row>
    <row r="362" spans="1:47" s="33" customFormat="1" x14ac:dyDescent="0.2">
      <c r="A362" t="s">
        <v>949</v>
      </c>
      <c r="B362" t="s">
        <v>951</v>
      </c>
      <c r="C362">
        <v>5</v>
      </c>
      <c r="D362">
        <v>1</v>
      </c>
      <c r="E362" t="s">
        <v>2462</v>
      </c>
      <c r="F362" s="1">
        <v>43368</v>
      </c>
      <c r="G362" s="37" t="s">
        <v>4032</v>
      </c>
      <c r="H362" s="37" t="s">
        <v>4724</v>
      </c>
      <c r="I362" s="2">
        <v>9.7222222222222224E-3</v>
      </c>
      <c r="J362" s="176">
        <v>1.6203703703703703E-4</v>
      </c>
      <c r="K362" s="6">
        <v>14</v>
      </c>
      <c r="L362" t="s">
        <v>398</v>
      </c>
      <c r="M362" t="s">
        <v>64</v>
      </c>
      <c r="N362" s="7" t="s">
        <v>107</v>
      </c>
      <c r="O362" s="7" t="s">
        <v>115</v>
      </c>
      <c r="P362" s="7">
        <v>0</v>
      </c>
      <c r="Q362" s="7"/>
      <c r="R362">
        <v>0</v>
      </c>
      <c r="S362"/>
      <c r="T362" t="s">
        <v>461</v>
      </c>
      <c r="U362" t="s">
        <v>2125</v>
      </c>
      <c r="V362" t="s">
        <v>115</v>
      </c>
      <c r="W362" s="7" t="s">
        <v>115</v>
      </c>
      <c r="X362" s="33" t="s">
        <v>115</v>
      </c>
      <c r="Y362" s="33" t="s">
        <v>115</v>
      </c>
      <c r="Z362" s="33" t="s">
        <v>115</v>
      </c>
      <c r="AA362" s="7" t="s">
        <v>115</v>
      </c>
      <c r="AB362" s="20" t="s">
        <v>115</v>
      </c>
      <c r="AC362" s="20"/>
      <c r="AD362" s="6">
        <v>0</v>
      </c>
      <c r="AE362" s="6">
        <v>0</v>
      </c>
      <c r="AF362" s="6">
        <v>0</v>
      </c>
      <c r="AG362" s="6">
        <v>0</v>
      </c>
      <c r="AH362" s="6">
        <v>0</v>
      </c>
      <c r="AI362">
        <v>0</v>
      </c>
      <c r="AJ362">
        <f t="shared" si="5"/>
        <v>0</v>
      </c>
      <c r="AK362"/>
      <c r="AL362" t="s">
        <v>952</v>
      </c>
      <c r="AM362"/>
      <c r="AN362"/>
      <c r="AO362"/>
      <c r="AP362"/>
      <c r="AQ362"/>
      <c r="AR362"/>
      <c r="AS362"/>
      <c r="AT362"/>
      <c r="AU362"/>
    </row>
    <row r="363" spans="1:47" s="33" customFormat="1" x14ac:dyDescent="0.2">
      <c r="A363" t="s">
        <v>954</v>
      </c>
      <c r="B363" t="s">
        <v>955</v>
      </c>
      <c r="C363">
        <v>6</v>
      </c>
      <c r="D363">
        <v>1</v>
      </c>
      <c r="E363" t="s">
        <v>2462</v>
      </c>
      <c r="F363" s="1">
        <v>43368</v>
      </c>
      <c r="G363" s="37" t="s">
        <v>4032</v>
      </c>
      <c r="H363" s="37" t="s">
        <v>4724</v>
      </c>
      <c r="I363" s="2">
        <v>2.7777777777777779E-3</v>
      </c>
      <c r="J363" s="176">
        <v>4.6296296296296294E-5</v>
      </c>
      <c r="K363" s="6">
        <v>4</v>
      </c>
      <c r="L363" t="s">
        <v>398</v>
      </c>
      <c r="M363" t="s">
        <v>64</v>
      </c>
      <c r="N363" s="7" t="s">
        <v>102</v>
      </c>
      <c r="O363" t="s">
        <v>115</v>
      </c>
      <c r="P363" s="7">
        <v>1</v>
      </c>
      <c r="Q363" s="7"/>
      <c r="R363">
        <v>0</v>
      </c>
      <c r="S363"/>
      <c r="T363" t="s">
        <v>461</v>
      </c>
      <c r="U363" t="s">
        <v>2125</v>
      </c>
      <c r="V363" t="s">
        <v>122</v>
      </c>
      <c r="W363" s="7" t="s">
        <v>115</v>
      </c>
      <c r="X363" s="33" t="s">
        <v>115</v>
      </c>
      <c r="Y363" s="33" t="s">
        <v>115</v>
      </c>
      <c r="Z363" s="33" t="s">
        <v>115</v>
      </c>
      <c r="AA363" s="7" t="s">
        <v>115</v>
      </c>
      <c r="AB363" s="20" t="s">
        <v>115</v>
      </c>
      <c r="AC363" s="20"/>
      <c r="AD363" s="6">
        <v>0</v>
      </c>
      <c r="AE363" s="6">
        <v>0</v>
      </c>
      <c r="AF363" s="6">
        <v>0</v>
      </c>
      <c r="AG363" s="6">
        <v>0</v>
      </c>
      <c r="AH363" s="6">
        <v>0</v>
      </c>
      <c r="AI363">
        <v>0</v>
      </c>
      <c r="AJ363">
        <f t="shared" si="5"/>
        <v>0</v>
      </c>
      <c r="AK363"/>
      <c r="AL363" t="s">
        <v>956</v>
      </c>
      <c r="AM363"/>
      <c r="AN363"/>
      <c r="AO363" s="7"/>
      <c r="AP363" s="7"/>
      <c r="AQ363" s="7"/>
      <c r="AR363" s="7"/>
      <c r="AS363" s="7"/>
      <c r="AT363" s="7"/>
      <c r="AU363" s="7"/>
    </row>
    <row r="364" spans="1:47" s="33" customFormat="1" x14ac:dyDescent="0.2">
      <c r="A364" s="33" t="s">
        <v>957</v>
      </c>
      <c r="B364" s="33" t="s">
        <v>958</v>
      </c>
      <c r="C364" s="33">
        <v>7</v>
      </c>
      <c r="D364" s="33">
        <v>1</v>
      </c>
      <c r="E364" s="33" t="s">
        <v>2462</v>
      </c>
      <c r="F364" s="37">
        <v>43368</v>
      </c>
      <c r="G364" s="37" t="s">
        <v>4032</v>
      </c>
      <c r="H364" s="37" t="s">
        <v>4724</v>
      </c>
      <c r="I364" s="36">
        <v>2.1527777777777781E-2</v>
      </c>
      <c r="J364" s="177">
        <v>3.5879629629629635E-4</v>
      </c>
      <c r="K364" s="39">
        <v>31</v>
      </c>
      <c r="L364" s="33" t="s">
        <v>398</v>
      </c>
      <c r="M364" s="33" t="s">
        <v>64</v>
      </c>
      <c r="N364" s="33" t="s">
        <v>102</v>
      </c>
      <c r="O364" s="33" t="s">
        <v>115</v>
      </c>
      <c r="P364" s="33">
        <v>1</v>
      </c>
      <c r="Q364" s="33">
        <v>3</v>
      </c>
      <c r="R364" s="33">
        <v>1</v>
      </c>
      <c r="T364" t="s">
        <v>14</v>
      </c>
      <c r="U364" s="33" t="s">
        <v>2128</v>
      </c>
      <c r="V364" s="33" t="s">
        <v>122</v>
      </c>
      <c r="W364" s="33" t="s">
        <v>959</v>
      </c>
      <c r="X364" s="33" t="s">
        <v>23</v>
      </c>
      <c r="Y364" s="33" t="s">
        <v>3999</v>
      </c>
      <c r="Z364" s="33" t="s">
        <v>4006</v>
      </c>
      <c r="AA364" s="33">
        <v>13</v>
      </c>
      <c r="AB364" s="35">
        <v>63.732559999999999</v>
      </c>
      <c r="AC364" s="35">
        <v>148.89667</v>
      </c>
      <c r="AD364" s="39">
        <v>0</v>
      </c>
      <c r="AE364" s="39">
        <v>0</v>
      </c>
      <c r="AF364" s="39">
        <v>0</v>
      </c>
      <c r="AG364" s="39">
        <v>0</v>
      </c>
      <c r="AH364" s="39">
        <v>6</v>
      </c>
      <c r="AI364" s="33">
        <v>0</v>
      </c>
      <c r="AJ364" s="33">
        <f t="shared" si="5"/>
        <v>6</v>
      </c>
      <c r="AO364"/>
      <c r="AP364"/>
      <c r="AQ364"/>
      <c r="AR364"/>
      <c r="AS364"/>
      <c r="AT364"/>
      <c r="AU364"/>
    </row>
    <row r="365" spans="1:47" s="33" customFormat="1" x14ac:dyDescent="0.2">
      <c r="A365" t="s">
        <v>960</v>
      </c>
      <c r="B365" t="s">
        <v>961</v>
      </c>
      <c r="C365">
        <v>8</v>
      </c>
      <c r="D365">
        <v>1</v>
      </c>
      <c r="E365" t="s">
        <v>2462</v>
      </c>
      <c r="F365" s="1">
        <v>43368</v>
      </c>
      <c r="G365" s="37" t="s">
        <v>4032</v>
      </c>
      <c r="H365" s="37" t="s">
        <v>4724</v>
      </c>
      <c r="I365" s="2">
        <v>1.4583333333333332E-2</v>
      </c>
      <c r="J365" s="176">
        <v>2.4305555555555552E-4</v>
      </c>
      <c r="K365" s="6">
        <v>21</v>
      </c>
      <c r="L365" t="s">
        <v>398</v>
      </c>
      <c r="M365" t="s">
        <v>363</v>
      </c>
      <c r="N365" s="7" t="s">
        <v>111</v>
      </c>
      <c r="O365" t="s">
        <v>23</v>
      </c>
      <c r="P365" s="7">
        <v>0</v>
      </c>
      <c r="Q365" s="7"/>
      <c r="R365">
        <v>1</v>
      </c>
      <c r="S365"/>
      <c r="T365" t="s">
        <v>1618</v>
      </c>
      <c r="U365" s="7" t="s">
        <v>1618</v>
      </c>
      <c r="V365" t="s">
        <v>24</v>
      </c>
      <c r="W365" s="7" t="s">
        <v>1264</v>
      </c>
      <c r="X365" s="33" t="s">
        <v>23</v>
      </c>
      <c r="Y365" s="33" t="s">
        <v>3999</v>
      </c>
      <c r="Z365" s="33" t="s">
        <v>4006</v>
      </c>
      <c r="AA365" s="7" t="s">
        <v>24</v>
      </c>
      <c r="AB365" s="20">
        <v>63.732529999999997</v>
      </c>
      <c r="AC365" s="20">
        <v>148.89622</v>
      </c>
      <c r="AD365" s="6">
        <v>0</v>
      </c>
      <c r="AE365" s="6">
        <v>0</v>
      </c>
      <c r="AF365" s="6">
        <v>0</v>
      </c>
      <c r="AG365" s="6">
        <v>0</v>
      </c>
      <c r="AH365" s="6">
        <v>0</v>
      </c>
      <c r="AI365">
        <v>0</v>
      </c>
      <c r="AJ365">
        <f t="shared" si="5"/>
        <v>0</v>
      </c>
      <c r="AK365"/>
      <c r="AL365" t="s">
        <v>4972</v>
      </c>
      <c r="AM365"/>
      <c r="AN365"/>
      <c r="AQ365" s="34"/>
    </row>
    <row r="366" spans="1:47" x14ac:dyDescent="0.2">
      <c r="A366" t="s">
        <v>963</v>
      </c>
      <c r="B366" t="s">
        <v>964</v>
      </c>
      <c r="C366">
        <v>1</v>
      </c>
      <c r="D366">
        <v>1</v>
      </c>
      <c r="E366" t="s">
        <v>791</v>
      </c>
      <c r="F366" s="1">
        <v>43369</v>
      </c>
      <c r="G366" s="37" t="s">
        <v>4032</v>
      </c>
      <c r="H366" s="37" t="s">
        <v>4724</v>
      </c>
      <c r="I366" s="2">
        <v>8.3333333333333332E-3</v>
      </c>
      <c r="J366" s="176">
        <v>1.3888888888888889E-4</v>
      </c>
      <c r="K366" s="6">
        <v>12</v>
      </c>
      <c r="L366" t="s">
        <v>398</v>
      </c>
      <c r="M366" t="s">
        <v>927</v>
      </c>
      <c r="N366" s="7" t="s">
        <v>221</v>
      </c>
      <c r="O366" t="s">
        <v>23</v>
      </c>
      <c r="P366" t="s">
        <v>24</v>
      </c>
      <c r="R366" t="s">
        <v>24</v>
      </c>
      <c r="T366" t="s">
        <v>176</v>
      </c>
      <c r="U366" t="s">
        <v>176</v>
      </c>
      <c r="V366" t="s">
        <v>115</v>
      </c>
      <c r="W366" s="7" t="s">
        <v>115</v>
      </c>
      <c r="X366" s="7"/>
      <c r="Y366" s="7"/>
      <c r="Z366" s="7"/>
      <c r="AA366" s="7" t="s">
        <v>115</v>
      </c>
      <c r="AB366" s="20" t="s">
        <v>115</v>
      </c>
      <c r="AC366" s="20"/>
      <c r="AD366" s="6">
        <v>0</v>
      </c>
      <c r="AE366" s="6">
        <v>2</v>
      </c>
      <c r="AF366" s="6">
        <v>2</v>
      </c>
      <c r="AG366" s="6">
        <v>0</v>
      </c>
      <c r="AH366" s="6">
        <v>0</v>
      </c>
      <c r="AI366">
        <v>0</v>
      </c>
      <c r="AJ366">
        <f t="shared" si="5"/>
        <v>2</v>
      </c>
      <c r="AO366" s="33"/>
      <c r="AP366" s="33"/>
      <c r="AQ366" s="34" t="s">
        <v>3942</v>
      </c>
      <c r="AR366" s="33"/>
      <c r="AS366" s="33"/>
      <c r="AT366" s="33"/>
      <c r="AU366" s="33"/>
    </row>
    <row r="367" spans="1:47" x14ac:dyDescent="0.2">
      <c r="A367" t="s">
        <v>965</v>
      </c>
      <c r="B367" t="s">
        <v>966</v>
      </c>
      <c r="C367">
        <v>2</v>
      </c>
      <c r="D367">
        <v>1</v>
      </c>
      <c r="E367" t="s">
        <v>791</v>
      </c>
      <c r="F367" s="1">
        <v>43369</v>
      </c>
      <c r="G367" s="37" t="s">
        <v>4032</v>
      </c>
      <c r="H367" s="37" t="s">
        <v>4724</v>
      </c>
      <c r="I367" s="2">
        <v>2.0833333333333332E-2</v>
      </c>
      <c r="J367" s="176">
        <v>3.4722222222222224E-4</v>
      </c>
      <c r="K367" s="6">
        <v>30</v>
      </c>
      <c r="L367" t="s">
        <v>398</v>
      </c>
      <c r="M367" t="s">
        <v>24</v>
      </c>
      <c r="N367" s="7" t="s">
        <v>107</v>
      </c>
      <c r="O367" t="s">
        <v>23</v>
      </c>
      <c r="P367">
        <v>1</v>
      </c>
      <c r="R367">
        <v>0</v>
      </c>
      <c r="T367" t="s">
        <v>176</v>
      </c>
      <c r="U367" t="s">
        <v>176</v>
      </c>
      <c r="V367" t="s">
        <v>24</v>
      </c>
      <c r="W367" s="7" t="s">
        <v>115</v>
      </c>
      <c r="X367" s="33" t="s">
        <v>115</v>
      </c>
      <c r="Y367" s="33" t="s">
        <v>115</v>
      </c>
      <c r="Z367" s="33" t="s">
        <v>115</v>
      </c>
      <c r="AA367" s="7" t="s">
        <v>115</v>
      </c>
      <c r="AB367" s="20" t="s">
        <v>115</v>
      </c>
      <c r="AC367" s="20"/>
      <c r="AD367" s="6">
        <v>0</v>
      </c>
      <c r="AE367" s="6">
        <v>0</v>
      </c>
      <c r="AF367" s="6">
        <v>0</v>
      </c>
      <c r="AG367" s="6">
        <v>0</v>
      </c>
      <c r="AH367" s="6">
        <v>0</v>
      </c>
      <c r="AI367">
        <v>0</v>
      </c>
      <c r="AJ367">
        <f t="shared" si="5"/>
        <v>0</v>
      </c>
      <c r="AL367" t="s">
        <v>967</v>
      </c>
    </row>
    <row r="368" spans="1:47" x14ac:dyDescent="0.2">
      <c r="A368" t="s">
        <v>968</v>
      </c>
      <c r="B368" t="s">
        <v>969</v>
      </c>
      <c r="C368">
        <v>3</v>
      </c>
      <c r="D368">
        <v>1</v>
      </c>
      <c r="E368" t="s">
        <v>791</v>
      </c>
      <c r="F368" s="1">
        <v>43369</v>
      </c>
      <c r="G368" s="37" t="s">
        <v>4032</v>
      </c>
      <c r="H368" s="37" t="s">
        <v>4724</v>
      </c>
      <c r="I368" s="2">
        <v>3.1944444444444449E-2</v>
      </c>
      <c r="J368" s="176">
        <v>5.3240740740740744E-4</v>
      </c>
      <c r="K368" s="6">
        <v>46</v>
      </c>
      <c r="L368" t="s">
        <v>398</v>
      </c>
      <c r="M368" t="s">
        <v>927</v>
      </c>
      <c r="N368" s="7" t="s">
        <v>111</v>
      </c>
      <c r="O368" t="s">
        <v>23</v>
      </c>
      <c r="P368">
        <v>0</v>
      </c>
      <c r="R368">
        <v>2</v>
      </c>
      <c r="S368" t="s">
        <v>490</v>
      </c>
      <c r="T368" t="s">
        <v>176</v>
      </c>
      <c r="U368" t="s">
        <v>176</v>
      </c>
      <c r="V368" t="s">
        <v>24</v>
      </c>
      <c r="W368" s="7" t="s">
        <v>970</v>
      </c>
      <c r="X368" s="44" t="s">
        <v>23</v>
      </c>
      <c r="Y368" s="44" t="s">
        <v>4004</v>
      </c>
      <c r="Z368" s="44" t="s">
        <v>4005</v>
      </c>
      <c r="AA368" s="7" t="s">
        <v>24</v>
      </c>
      <c r="AB368" s="20">
        <v>63.723379999999999</v>
      </c>
      <c r="AC368" s="20">
        <v>148.96933000000001</v>
      </c>
      <c r="AD368" s="6">
        <v>0</v>
      </c>
      <c r="AE368" s="6">
        <v>0</v>
      </c>
      <c r="AF368" s="6">
        <v>0</v>
      </c>
      <c r="AG368" s="6">
        <v>0</v>
      </c>
      <c r="AH368" s="6">
        <v>0</v>
      </c>
      <c r="AI368">
        <v>0</v>
      </c>
      <c r="AJ368">
        <f t="shared" si="5"/>
        <v>0</v>
      </c>
      <c r="AO368" s="7"/>
      <c r="AP368" s="7"/>
      <c r="AQ368" s="7"/>
      <c r="AR368" s="7"/>
      <c r="AS368" s="7"/>
      <c r="AT368" s="7"/>
      <c r="AU368" s="7"/>
    </row>
    <row r="369" spans="1:47" x14ac:dyDescent="0.2">
      <c r="A369" s="33" t="s">
        <v>971</v>
      </c>
      <c r="B369" s="33" t="s">
        <v>972</v>
      </c>
      <c r="C369" s="33">
        <v>4</v>
      </c>
      <c r="D369" s="33">
        <v>1</v>
      </c>
      <c r="E369" s="33" t="s">
        <v>791</v>
      </c>
      <c r="F369" s="37">
        <v>43369</v>
      </c>
      <c r="G369" s="37" t="s">
        <v>4032</v>
      </c>
      <c r="H369" s="37" t="s">
        <v>4724</v>
      </c>
      <c r="I369" s="36">
        <v>7.3611111111111113E-2</v>
      </c>
      <c r="J369" s="177">
        <v>1.2268518518518518E-3</v>
      </c>
      <c r="K369" s="39">
        <v>106</v>
      </c>
      <c r="L369" s="33" t="s">
        <v>398</v>
      </c>
      <c r="M369" s="33" t="s">
        <v>927</v>
      </c>
      <c r="N369" s="33" t="s">
        <v>102</v>
      </c>
      <c r="O369" s="33" t="s">
        <v>23</v>
      </c>
      <c r="P369" s="33">
        <v>2</v>
      </c>
      <c r="Q369" s="33"/>
      <c r="R369" s="33">
        <v>0</v>
      </c>
      <c r="S369" s="33"/>
      <c r="T369" t="s">
        <v>176</v>
      </c>
      <c r="U369" s="33" t="s">
        <v>176</v>
      </c>
      <c r="V369" s="33" t="s">
        <v>973</v>
      </c>
      <c r="W369" s="33" t="s">
        <v>115</v>
      </c>
      <c r="X369" s="33" t="s">
        <v>115</v>
      </c>
      <c r="Y369" s="33" t="s">
        <v>115</v>
      </c>
      <c r="Z369" s="33" t="s">
        <v>115</v>
      </c>
      <c r="AA369" s="33" t="s">
        <v>115</v>
      </c>
      <c r="AB369" s="35" t="s">
        <v>115</v>
      </c>
      <c r="AC369" s="35"/>
      <c r="AD369" s="39">
        <v>0</v>
      </c>
      <c r="AE369" s="39">
        <v>66</v>
      </c>
      <c r="AF369" s="39">
        <v>66</v>
      </c>
      <c r="AG369" s="39">
        <v>0</v>
      </c>
      <c r="AH369" s="39">
        <v>2</v>
      </c>
      <c r="AI369" s="33">
        <v>0</v>
      </c>
      <c r="AJ369" s="33">
        <f t="shared" si="5"/>
        <v>68</v>
      </c>
      <c r="AK369" s="33"/>
      <c r="AL369" s="33"/>
      <c r="AM369" s="33"/>
      <c r="AN369" s="33"/>
      <c r="AO369" s="33"/>
      <c r="AP369" s="33"/>
      <c r="AQ369" s="34"/>
      <c r="AR369" s="33"/>
      <c r="AS369" s="33"/>
      <c r="AT369" s="33"/>
      <c r="AU369" s="33"/>
    </row>
    <row r="370" spans="1:47" s="33" customFormat="1" x14ac:dyDescent="0.2">
      <c r="A370" t="s">
        <v>974</v>
      </c>
      <c r="B370" t="s">
        <v>975</v>
      </c>
      <c r="C370">
        <v>5</v>
      </c>
      <c r="D370">
        <v>1</v>
      </c>
      <c r="E370" t="s">
        <v>791</v>
      </c>
      <c r="F370" s="1">
        <v>43369</v>
      </c>
      <c r="G370" s="37" t="s">
        <v>4032</v>
      </c>
      <c r="H370" s="37" t="s">
        <v>4724</v>
      </c>
      <c r="I370" s="2">
        <v>7.2916666666666671E-2</v>
      </c>
      <c r="J370" s="176">
        <v>1.2152777777777778E-3</v>
      </c>
      <c r="K370" s="6">
        <v>105</v>
      </c>
      <c r="L370" t="s">
        <v>398</v>
      </c>
      <c r="M370" t="s">
        <v>927</v>
      </c>
      <c r="N370" s="7" t="s">
        <v>111</v>
      </c>
      <c r="O370" t="s">
        <v>23</v>
      </c>
      <c r="P370">
        <v>0</v>
      </c>
      <c r="Q370"/>
      <c r="R370">
        <v>1</v>
      </c>
      <c r="S370"/>
      <c r="T370" t="s">
        <v>176</v>
      </c>
      <c r="U370" t="s">
        <v>176</v>
      </c>
      <c r="V370" t="s">
        <v>24</v>
      </c>
      <c r="W370" s="7" t="s">
        <v>2078</v>
      </c>
      <c r="X370" s="33" t="s">
        <v>3257</v>
      </c>
      <c r="Y370" s="33" t="s">
        <v>3997</v>
      </c>
      <c r="Z370" s="33" t="s">
        <v>4001</v>
      </c>
      <c r="AA370" s="7" t="s">
        <v>24</v>
      </c>
      <c r="AB370" s="20">
        <v>63.723199999999999</v>
      </c>
      <c r="AC370" s="20">
        <v>148.97024999999999</v>
      </c>
      <c r="AD370" s="6">
        <v>0</v>
      </c>
      <c r="AE370" s="6">
        <v>0</v>
      </c>
      <c r="AF370" s="6">
        <v>0</v>
      </c>
      <c r="AG370" s="6">
        <v>0</v>
      </c>
      <c r="AH370" s="6">
        <v>0</v>
      </c>
      <c r="AI370">
        <v>0</v>
      </c>
      <c r="AJ370">
        <f t="shared" si="5"/>
        <v>0</v>
      </c>
      <c r="AK370"/>
      <c r="AL370" t="s">
        <v>2030</v>
      </c>
      <c r="AM370"/>
      <c r="AN370"/>
      <c r="AO370"/>
      <c r="AP370"/>
      <c r="AQ370"/>
      <c r="AR370"/>
      <c r="AS370"/>
      <c r="AT370"/>
      <c r="AU370"/>
    </row>
    <row r="371" spans="1:47" hidden="1" x14ac:dyDescent="0.2">
      <c r="A371" t="s">
        <v>974</v>
      </c>
      <c r="B371" t="s">
        <v>975</v>
      </c>
      <c r="C371">
        <v>5</v>
      </c>
      <c r="D371">
        <v>2</v>
      </c>
      <c r="E371" t="s">
        <v>791</v>
      </c>
      <c r="F371" s="1">
        <v>43369</v>
      </c>
      <c r="G371" s="37" t="s">
        <v>4032</v>
      </c>
      <c r="H371" s="37" t="s">
        <v>4724</v>
      </c>
      <c r="I371" s="2">
        <v>7.2916666666666671E-2</v>
      </c>
      <c r="J371" s="176">
        <v>1.2152777777777778E-3</v>
      </c>
      <c r="K371" s="6">
        <v>105</v>
      </c>
      <c r="L371" t="s">
        <v>398</v>
      </c>
      <c r="M371" t="s">
        <v>927</v>
      </c>
      <c r="N371" s="7" t="s">
        <v>111</v>
      </c>
      <c r="O371" t="s">
        <v>23</v>
      </c>
      <c r="P371">
        <v>0</v>
      </c>
      <c r="R371">
        <v>1</v>
      </c>
      <c r="T371" t="s">
        <v>176</v>
      </c>
      <c r="U371" t="s">
        <v>176</v>
      </c>
      <c r="V371" t="s">
        <v>24</v>
      </c>
      <c r="W371" s="7" t="s">
        <v>3968</v>
      </c>
      <c r="X371" s="33" t="s">
        <v>23</v>
      </c>
      <c r="Y371" s="33" t="s">
        <v>3999</v>
      </c>
      <c r="Z371" s="33" t="s">
        <v>4003</v>
      </c>
      <c r="AA371" s="7" t="s">
        <v>24</v>
      </c>
      <c r="AB371" s="20">
        <v>63.723280000000003</v>
      </c>
      <c r="AC371" s="20">
        <v>148.97037</v>
      </c>
      <c r="AD371" s="6">
        <v>0</v>
      </c>
      <c r="AE371" s="6">
        <v>0</v>
      </c>
      <c r="AF371" s="6">
        <v>0</v>
      </c>
      <c r="AG371" s="6">
        <v>0</v>
      </c>
      <c r="AH371" s="6">
        <v>0</v>
      </c>
      <c r="AI371">
        <v>0</v>
      </c>
      <c r="AJ371">
        <f t="shared" si="5"/>
        <v>0</v>
      </c>
      <c r="AL371" t="s">
        <v>2030</v>
      </c>
    </row>
    <row r="372" spans="1:47" hidden="1" x14ac:dyDescent="0.2">
      <c r="A372" t="s">
        <v>974</v>
      </c>
      <c r="B372" t="s">
        <v>975</v>
      </c>
      <c r="C372">
        <v>5</v>
      </c>
      <c r="D372">
        <v>3</v>
      </c>
      <c r="E372" t="s">
        <v>791</v>
      </c>
      <c r="F372" s="1">
        <v>43369</v>
      </c>
      <c r="G372" s="37" t="s">
        <v>4032</v>
      </c>
      <c r="H372" s="37" t="s">
        <v>4724</v>
      </c>
      <c r="I372" s="2">
        <v>7.2916666666666671E-2</v>
      </c>
      <c r="J372" s="176">
        <v>1.2152777777777778E-3</v>
      </c>
      <c r="K372" s="6">
        <v>105</v>
      </c>
      <c r="L372" t="s">
        <v>398</v>
      </c>
      <c r="M372" t="s">
        <v>927</v>
      </c>
      <c r="N372" s="7" t="s">
        <v>111</v>
      </c>
      <c r="O372" t="s">
        <v>23</v>
      </c>
      <c r="P372">
        <v>0</v>
      </c>
      <c r="R372">
        <v>2</v>
      </c>
      <c r="S372" t="s">
        <v>2066</v>
      </c>
      <c r="T372" t="s">
        <v>176</v>
      </c>
      <c r="U372" t="s">
        <v>176</v>
      </c>
      <c r="V372" t="s">
        <v>24</v>
      </c>
      <c r="W372" s="7" t="s">
        <v>3994</v>
      </c>
      <c r="X372" s="44" t="s">
        <v>23</v>
      </c>
      <c r="Y372" s="44" t="s">
        <v>3997</v>
      </c>
      <c r="Z372" s="44" t="s">
        <v>4007</v>
      </c>
      <c r="AA372" s="7" t="s">
        <v>24</v>
      </c>
      <c r="AB372" s="20">
        <v>63.723230000000001</v>
      </c>
      <c r="AC372" s="20">
        <v>148.97020000000001</v>
      </c>
      <c r="AD372" s="6">
        <v>0</v>
      </c>
      <c r="AE372" s="6">
        <v>0</v>
      </c>
      <c r="AF372" s="6">
        <v>0</v>
      </c>
      <c r="AG372" s="6">
        <v>0</v>
      </c>
      <c r="AH372" s="6">
        <v>0</v>
      </c>
      <c r="AI372">
        <v>0</v>
      </c>
      <c r="AJ372">
        <f t="shared" si="5"/>
        <v>0</v>
      </c>
      <c r="AL372" t="s">
        <v>2030</v>
      </c>
    </row>
    <row r="373" spans="1:47" x14ac:dyDescent="0.2">
      <c r="A373" s="33" t="s">
        <v>977</v>
      </c>
      <c r="B373" s="33" t="s">
        <v>978</v>
      </c>
      <c r="C373" s="33">
        <v>1</v>
      </c>
      <c r="D373" s="33">
        <v>1</v>
      </c>
      <c r="E373" s="33" t="s">
        <v>3171</v>
      </c>
      <c r="F373" s="37">
        <v>43369</v>
      </c>
      <c r="G373" s="37" t="s">
        <v>4032</v>
      </c>
      <c r="H373" s="37" t="s">
        <v>4724</v>
      </c>
      <c r="I373" s="36">
        <v>1.1111111111111112E-2</v>
      </c>
      <c r="J373" s="177">
        <v>1.8518518518518518E-4</v>
      </c>
      <c r="K373" s="39">
        <v>16</v>
      </c>
      <c r="L373" s="33" t="s">
        <v>398</v>
      </c>
      <c r="M373" s="33" t="s">
        <v>24</v>
      </c>
      <c r="N373" s="33" t="s">
        <v>102</v>
      </c>
      <c r="O373" s="33" t="s">
        <v>115</v>
      </c>
      <c r="P373" s="33" t="s">
        <v>24</v>
      </c>
      <c r="Q373" s="33"/>
      <c r="R373" s="33">
        <v>0</v>
      </c>
      <c r="S373" s="33"/>
      <c r="T373" t="s">
        <v>176</v>
      </c>
      <c r="U373" s="33" t="s">
        <v>176</v>
      </c>
      <c r="V373" s="33" t="s">
        <v>115</v>
      </c>
      <c r="W373" s="33" t="s">
        <v>115</v>
      </c>
      <c r="X373" s="33" t="s">
        <v>115</v>
      </c>
      <c r="Y373" s="33" t="s">
        <v>115</v>
      </c>
      <c r="Z373" s="33" t="s">
        <v>115</v>
      </c>
      <c r="AA373" s="33" t="s">
        <v>115</v>
      </c>
      <c r="AB373" s="35" t="s">
        <v>115</v>
      </c>
      <c r="AC373" s="35"/>
      <c r="AD373" s="39">
        <v>0</v>
      </c>
      <c r="AE373" s="39">
        <v>0</v>
      </c>
      <c r="AF373" s="39">
        <v>0</v>
      </c>
      <c r="AG373" s="39">
        <v>0</v>
      </c>
      <c r="AH373" s="39">
        <v>3</v>
      </c>
      <c r="AI373" s="33">
        <v>0</v>
      </c>
      <c r="AJ373" s="33">
        <f t="shared" si="5"/>
        <v>3</v>
      </c>
      <c r="AK373" s="33"/>
      <c r="AL373" s="33"/>
      <c r="AM373" s="33"/>
      <c r="AN373" s="33"/>
      <c r="AO373" s="33"/>
      <c r="AP373" s="33"/>
      <c r="AQ373" s="34"/>
      <c r="AR373" s="33"/>
      <c r="AS373" s="33"/>
      <c r="AT373" s="33"/>
      <c r="AU373" s="33"/>
    </row>
    <row r="374" spans="1:47" x14ac:dyDescent="0.2">
      <c r="A374" t="s">
        <v>979</v>
      </c>
      <c r="B374" t="s">
        <v>980</v>
      </c>
      <c r="C374">
        <v>2</v>
      </c>
      <c r="D374">
        <v>1</v>
      </c>
      <c r="E374" t="s">
        <v>3171</v>
      </c>
      <c r="F374" s="1">
        <v>43369</v>
      </c>
      <c r="G374" s="37" t="s">
        <v>4032</v>
      </c>
      <c r="H374" s="37" t="s">
        <v>4724</v>
      </c>
      <c r="I374" s="2">
        <v>1.3888888888888888E-2</v>
      </c>
      <c r="J374" s="176">
        <v>2.3148148148148146E-4</v>
      </c>
      <c r="K374" s="6">
        <v>20</v>
      </c>
      <c r="L374" t="s">
        <v>398</v>
      </c>
      <c r="M374" t="s">
        <v>548</v>
      </c>
      <c r="N374" s="7" t="s">
        <v>107</v>
      </c>
      <c r="O374" t="s">
        <v>23</v>
      </c>
      <c r="P374">
        <v>1</v>
      </c>
      <c r="R374">
        <v>0</v>
      </c>
      <c r="T374" t="s">
        <v>176</v>
      </c>
      <c r="U374" t="s">
        <v>176</v>
      </c>
      <c r="V374" t="s">
        <v>24</v>
      </c>
      <c r="W374" s="7" t="s">
        <v>115</v>
      </c>
      <c r="X374" s="33" t="s">
        <v>115</v>
      </c>
      <c r="Y374" s="33" t="s">
        <v>115</v>
      </c>
      <c r="Z374" s="33" t="s">
        <v>115</v>
      </c>
      <c r="AA374" s="7" t="s">
        <v>115</v>
      </c>
      <c r="AB374" s="20" t="s">
        <v>115</v>
      </c>
      <c r="AC374" s="20"/>
      <c r="AD374" s="7">
        <v>0</v>
      </c>
      <c r="AE374" s="7">
        <v>0</v>
      </c>
      <c r="AF374" s="6">
        <v>0</v>
      </c>
      <c r="AG374" s="6">
        <v>0</v>
      </c>
      <c r="AH374" s="6">
        <v>0</v>
      </c>
      <c r="AI374">
        <v>0</v>
      </c>
      <c r="AJ374">
        <f t="shared" si="5"/>
        <v>0</v>
      </c>
      <c r="AL374" t="s">
        <v>981</v>
      </c>
    </row>
    <row r="375" spans="1:47" s="33" customFormat="1" x14ac:dyDescent="0.2">
      <c r="A375" t="s">
        <v>982</v>
      </c>
      <c r="B375" t="s">
        <v>983</v>
      </c>
      <c r="C375">
        <v>3</v>
      </c>
      <c r="D375">
        <v>1</v>
      </c>
      <c r="E375" t="s">
        <v>3171</v>
      </c>
      <c r="F375" s="1">
        <v>43369</v>
      </c>
      <c r="G375" s="37" t="s">
        <v>4032</v>
      </c>
      <c r="H375" s="37" t="s">
        <v>4724</v>
      </c>
      <c r="I375" s="2">
        <v>4.8611111111111112E-2</v>
      </c>
      <c r="J375" s="176">
        <v>8.1018518518518516E-4</v>
      </c>
      <c r="K375" s="6">
        <v>70</v>
      </c>
      <c r="L375" t="s">
        <v>398</v>
      </c>
      <c r="M375" t="s">
        <v>548</v>
      </c>
      <c r="N375" s="7" t="s">
        <v>111</v>
      </c>
      <c r="O375" t="s">
        <v>919</v>
      </c>
      <c r="P375">
        <v>0</v>
      </c>
      <c r="Q375"/>
      <c r="R375">
        <v>2</v>
      </c>
      <c r="S375" t="s">
        <v>2066</v>
      </c>
      <c r="T375" t="s">
        <v>176</v>
      </c>
      <c r="U375" t="s">
        <v>176</v>
      </c>
      <c r="V375" t="s">
        <v>24</v>
      </c>
      <c r="W375" s="7" t="s">
        <v>2081</v>
      </c>
      <c r="X375" s="44" t="s">
        <v>12</v>
      </c>
      <c r="Y375" s="44" t="s">
        <v>3997</v>
      </c>
      <c r="Z375" s="44" t="s">
        <v>4005</v>
      </c>
      <c r="AA375" s="7" t="s">
        <v>24</v>
      </c>
      <c r="AB375" s="20">
        <v>63.724490000000003</v>
      </c>
      <c r="AC375" s="20">
        <v>148.95013</v>
      </c>
      <c r="AD375" s="6">
        <v>0</v>
      </c>
      <c r="AE375" s="6">
        <v>0</v>
      </c>
      <c r="AF375" s="6">
        <v>0</v>
      </c>
      <c r="AG375" s="6">
        <v>0</v>
      </c>
      <c r="AH375" s="6">
        <v>0</v>
      </c>
      <c r="AI375">
        <v>0</v>
      </c>
      <c r="AJ375">
        <f t="shared" si="5"/>
        <v>0</v>
      </c>
      <c r="AK375"/>
      <c r="AL375" t="s">
        <v>1017</v>
      </c>
      <c r="AM375"/>
      <c r="AN375"/>
      <c r="AO375"/>
      <c r="AP375"/>
      <c r="AQ375"/>
      <c r="AR375"/>
      <c r="AS375"/>
      <c r="AT375"/>
      <c r="AU375"/>
    </row>
    <row r="376" spans="1:47" hidden="1" x14ac:dyDescent="0.2">
      <c r="A376" t="s">
        <v>982</v>
      </c>
      <c r="B376" t="s">
        <v>983</v>
      </c>
      <c r="C376">
        <v>3</v>
      </c>
      <c r="D376">
        <v>2</v>
      </c>
      <c r="E376" t="s">
        <v>3171</v>
      </c>
      <c r="F376" s="1">
        <v>43369</v>
      </c>
      <c r="G376" s="37" t="s">
        <v>4032</v>
      </c>
      <c r="H376" s="37" t="s">
        <v>4724</v>
      </c>
      <c r="I376" s="2">
        <v>4.8611111111111112E-2</v>
      </c>
      <c r="J376" s="176">
        <v>8.1018518518518516E-4</v>
      </c>
      <c r="K376" s="6">
        <v>70</v>
      </c>
      <c r="L376" t="s">
        <v>398</v>
      </c>
      <c r="M376" t="s">
        <v>548</v>
      </c>
      <c r="N376" s="7" t="s">
        <v>111</v>
      </c>
      <c r="O376" t="s">
        <v>919</v>
      </c>
      <c r="P376">
        <v>0</v>
      </c>
      <c r="R376">
        <v>1</v>
      </c>
      <c r="T376" t="s">
        <v>176</v>
      </c>
      <c r="U376" t="s">
        <v>176</v>
      </c>
      <c r="V376" t="s">
        <v>24</v>
      </c>
      <c r="W376" s="7" t="s">
        <v>2081</v>
      </c>
      <c r="X376" s="33" t="s">
        <v>12</v>
      </c>
      <c r="Y376" s="33" t="s">
        <v>3997</v>
      </c>
      <c r="Z376" s="33" t="s">
        <v>4003</v>
      </c>
      <c r="AA376" s="7" t="s">
        <v>24</v>
      </c>
      <c r="AB376" s="20">
        <v>63.724469999999997</v>
      </c>
      <c r="AC376" s="20">
        <v>148.95013</v>
      </c>
      <c r="AD376" s="6">
        <v>0</v>
      </c>
      <c r="AE376" s="6">
        <v>0</v>
      </c>
      <c r="AF376" s="6">
        <v>0</v>
      </c>
      <c r="AG376" s="6">
        <v>0</v>
      </c>
      <c r="AH376" s="6">
        <v>0</v>
      </c>
      <c r="AI376">
        <v>0</v>
      </c>
      <c r="AJ376">
        <f t="shared" si="5"/>
        <v>0</v>
      </c>
      <c r="AL376" t="s">
        <v>1017</v>
      </c>
      <c r="AO376" s="33"/>
      <c r="AP376" s="33"/>
      <c r="AQ376" s="34"/>
      <c r="AR376" s="33"/>
      <c r="AS376" s="33"/>
      <c r="AT376" s="33"/>
      <c r="AU376" s="33"/>
    </row>
    <row r="377" spans="1:47" hidden="1" x14ac:dyDescent="0.2">
      <c r="A377" t="s">
        <v>982</v>
      </c>
      <c r="B377" t="s">
        <v>983</v>
      </c>
      <c r="C377">
        <v>3</v>
      </c>
      <c r="D377">
        <v>3</v>
      </c>
      <c r="E377" t="s">
        <v>3171</v>
      </c>
      <c r="F377" s="1">
        <v>43369</v>
      </c>
      <c r="G377" s="37" t="s">
        <v>4032</v>
      </c>
      <c r="H377" s="37" t="s">
        <v>4724</v>
      </c>
      <c r="I377" s="2">
        <v>4.8611111111111112E-2</v>
      </c>
      <c r="J377" s="176">
        <v>8.1018518518518516E-4</v>
      </c>
      <c r="K377" s="6">
        <v>70</v>
      </c>
      <c r="L377" t="s">
        <v>398</v>
      </c>
      <c r="M377" t="s">
        <v>548</v>
      </c>
      <c r="N377" s="7" t="s">
        <v>111</v>
      </c>
      <c r="O377" t="s">
        <v>919</v>
      </c>
      <c r="P377">
        <v>0</v>
      </c>
      <c r="R377">
        <v>1</v>
      </c>
      <c r="T377" t="s">
        <v>176</v>
      </c>
      <c r="U377" t="s">
        <v>176</v>
      </c>
      <c r="V377" t="s">
        <v>24</v>
      </c>
      <c r="W377" s="7" t="s">
        <v>1035</v>
      </c>
      <c r="X377" s="33" t="s">
        <v>23</v>
      </c>
      <c r="Y377" s="33" t="s">
        <v>3997</v>
      </c>
      <c r="Z377" s="33" t="s">
        <v>4006</v>
      </c>
      <c r="AA377" s="7" t="s">
        <v>24</v>
      </c>
      <c r="AB377" s="20">
        <v>63.724350000000001</v>
      </c>
      <c r="AC377" s="20">
        <v>148.95016000000001</v>
      </c>
      <c r="AD377" s="6">
        <v>0</v>
      </c>
      <c r="AE377" s="6">
        <v>0</v>
      </c>
      <c r="AF377" s="6">
        <v>0</v>
      </c>
      <c r="AG377" s="6">
        <v>0</v>
      </c>
      <c r="AH377" s="6">
        <v>0</v>
      </c>
      <c r="AI377">
        <v>0</v>
      </c>
      <c r="AJ377">
        <f t="shared" si="5"/>
        <v>0</v>
      </c>
      <c r="AL377" t="s">
        <v>1017</v>
      </c>
    </row>
    <row r="378" spans="1:47" x14ac:dyDescent="0.2">
      <c r="A378" t="s">
        <v>984</v>
      </c>
      <c r="B378" t="s">
        <v>985</v>
      </c>
      <c r="C378">
        <v>4</v>
      </c>
      <c r="D378">
        <v>1</v>
      </c>
      <c r="E378" t="s">
        <v>3171</v>
      </c>
      <c r="F378" s="1">
        <v>43369</v>
      </c>
      <c r="G378" s="37" t="s">
        <v>4032</v>
      </c>
      <c r="H378" s="37" t="s">
        <v>4724</v>
      </c>
      <c r="I378" s="2">
        <v>4.8611111111111112E-3</v>
      </c>
      <c r="J378" s="176">
        <v>8.1018518518518516E-5</v>
      </c>
      <c r="K378" s="6">
        <v>7</v>
      </c>
      <c r="L378" t="s">
        <v>398</v>
      </c>
      <c r="M378" t="s">
        <v>548</v>
      </c>
      <c r="N378" s="7" t="s">
        <v>111</v>
      </c>
      <c r="O378" t="s">
        <v>12</v>
      </c>
      <c r="P378">
        <v>0</v>
      </c>
      <c r="R378">
        <v>1</v>
      </c>
      <c r="T378" t="s">
        <v>176</v>
      </c>
      <c r="U378" t="s">
        <v>176</v>
      </c>
      <c r="V378" t="s">
        <v>125</v>
      </c>
      <c r="W378" s="7" t="s">
        <v>558</v>
      </c>
      <c r="X378" s="33" t="s">
        <v>12</v>
      </c>
      <c r="Y378" s="33" t="s">
        <v>4004</v>
      </c>
      <c r="Z378" s="33" t="s">
        <v>4008</v>
      </c>
      <c r="AA378" s="7">
        <v>25</v>
      </c>
      <c r="AB378" s="20">
        <v>63.724290000000003</v>
      </c>
      <c r="AC378" s="20">
        <v>148.94922</v>
      </c>
      <c r="AD378" s="6">
        <v>0</v>
      </c>
      <c r="AE378" s="6">
        <v>0</v>
      </c>
      <c r="AF378" s="6">
        <v>0</v>
      </c>
      <c r="AG378" s="6">
        <v>0</v>
      </c>
      <c r="AH378" s="6">
        <v>0</v>
      </c>
      <c r="AI378">
        <v>0</v>
      </c>
      <c r="AJ378">
        <f t="shared" si="5"/>
        <v>0</v>
      </c>
      <c r="AL378" t="s">
        <v>987</v>
      </c>
    </row>
    <row r="379" spans="1:47" x14ac:dyDescent="0.2">
      <c r="A379" s="33" t="s">
        <v>988</v>
      </c>
      <c r="B379" s="33" t="s">
        <v>976</v>
      </c>
      <c r="C379" s="33">
        <v>6</v>
      </c>
      <c r="D379" s="33">
        <v>1</v>
      </c>
      <c r="E379" s="33" t="s">
        <v>791</v>
      </c>
      <c r="F379" s="37">
        <v>43369</v>
      </c>
      <c r="G379" s="37" t="s">
        <v>4032</v>
      </c>
      <c r="H379" s="37" t="s">
        <v>4724</v>
      </c>
      <c r="I379" s="36">
        <v>9.0277777777777787E-3</v>
      </c>
      <c r="J379" s="177">
        <v>1.5046296296296297E-4</v>
      </c>
      <c r="K379" s="39">
        <v>13</v>
      </c>
      <c r="L379" s="33" t="s">
        <v>398</v>
      </c>
      <c r="M379" s="33" t="s">
        <v>927</v>
      </c>
      <c r="N379" s="33" t="s">
        <v>102</v>
      </c>
      <c r="O379" s="33" t="s">
        <v>115</v>
      </c>
      <c r="P379" s="33" t="s">
        <v>24</v>
      </c>
      <c r="Q379" s="33"/>
      <c r="R379" s="33">
        <v>0</v>
      </c>
      <c r="S379" s="33"/>
      <c r="T379" s="33"/>
      <c r="U379" s="33" t="s">
        <v>115</v>
      </c>
      <c r="V379" s="33" t="s">
        <v>115</v>
      </c>
      <c r="W379" s="33" t="s">
        <v>115</v>
      </c>
      <c r="X379" s="33" t="s">
        <v>115</v>
      </c>
      <c r="Y379" s="33" t="s">
        <v>115</v>
      </c>
      <c r="Z379" s="33" t="s">
        <v>115</v>
      </c>
      <c r="AA379" s="33" t="s">
        <v>115</v>
      </c>
      <c r="AB379" s="35" t="s">
        <v>115</v>
      </c>
      <c r="AC379" s="35"/>
      <c r="AD379" s="39">
        <v>0</v>
      </c>
      <c r="AE379" s="39">
        <v>0</v>
      </c>
      <c r="AF379" s="39">
        <v>0</v>
      </c>
      <c r="AG379" s="39">
        <v>0</v>
      </c>
      <c r="AH379" s="39">
        <v>13</v>
      </c>
      <c r="AI379" s="33">
        <v>0</v>
      </c>
      <c r="AJ379" s="33">
        <f t="shared" si="5"/>
        <v>13</v>
      </c>
      <c r="AK379" s="33"/>
      <c r="AL379" s="33"/>
      <c r="AM379" s="33"/>
      <c r="AN379" s="33"/>
      <c r="AO379" s="33"/>
      <c r="AP379" s="33"/>
      <c r="AQ379" s="34"/>
      <c r="AR379" s="33"/>
      <c r="AS379" s="33"/>
      <c r="AT379" s="33"/>
      <c r="AU379" s="33"/>
    </row>
    <row r="380" spans="1:47" x14ac:dyDescent="0.2">
      <c r="A380" s="33" t="s">
        <v>989</v>
      </c>
      <c r="B380" s="33" t="s">
        <v>990</v>
      </c>
      <c r="C380" s="33">
        <v>7</v>
      </c>
      <c r="D380" s="33">
        <v>1</v>
      </c>
      <c r="E380" s="33" t="s">
        <v>791</v>
      </c>
      <c r="F380" s="37">
        <v>43369</v>
      </c>
      <c r="G380" s="37" t="s">
        <v>4032</v>
      </c>
      <c r="H380" s="37" t="s">
        <v>4724</v>
      </c>
      <c r="I380" s="36">
        <v>1.3194444444444444E-2</v>
      </c>
      <c r="J380" s="177">
        <v>2.199074074074074E-4</v>
      </c>
      <c r="K380" s="39">
        <v>19</v>
      </c>
      <c r="L380" s="33" t="s">
        <v>398</v>
      </c>
      <c r="M380" s="33" t="s">
        <v>927</v>
      </c>
      <c r="N380" s="33" t="s">
        <v>102</v>
      </c>
      <c r="O380" s="33" t="s">
        <v>115</v>
      </c>
      <c r="P380" s="33">
        <v>1</v>
      </c>
      <c r="Q380" s="33"/>
      <c r="R380" s="33">
        <v>0</v>
      </c>
      <c r="S380" s="33"/>
      <c r="T380" t="s">
        <v>176</v>
      </c>
      <c r="U380" s="33" t="s">
        <v>176</v>
      </c>
      <c r="V380" s="33" t="s">
        <v>122</v>
      </c>
      <c r="W380" s="33" t="s">
        <v>115</v>
      </c>
      <c r="X380" s="33" t="s">
        <v>115</v>
      </c>
      <c r="Y380" s="33" t="s">
        <v>115</v>
      </c>
      <c r="Z380" s="33" t="s">
        <v>115</v>
      </c>
      <c r="AA380" s="33" t="s">
        <v>115</v>
      </c>
      <c r="AB380" s="35" t="s">
        <v>115</v>
      </c>
      <c r="AC380" s="35"/>
      <c r="AD380" s="39">
        <v>0</v>
      </c>
      <c r="AE380" s="39">
        <v>0</v>
      </c>
      <c r="AF380" s="39">
        <v>0</v>
      </c>
      <c r="AG380" s="39">
        <v>0</v>
      </c>
      <c r="AH380" s="39">
        <v>17</v>
      </c>
      <c r="AI380" s="33">
        <v>0</v>
      </c>
      <c r="AJ380" s="33">
        <f t="shared" si="5"/>
        <v>17</v>
      </c>
      <c r="AK380" s="33"/>
      <c r="AL380" s="33"/>
      <c r="AM380" s="33"/>
      <c r="AN380" s="33"/>
    </row>
    <row r="381" spans="1:47" s="33" customFormat="1" x14ac:dyDescent="0.2">
      <c r="A381" t="s">
        <v>991</v>
      </c>
      <c r="B381" t="s">
        <v>992</v>
      </c>
      <c r="C381">
        <v>8</v>
      </c>
      <c r="D381">
        <v>1</v>
      </c>
      <c r="E381" t="s">
        <v>791</v>
      </c>
      <c r="F381" s="1">
        <v>43369</v>
      </c>
      <c r="G381" s="37" t="s">
        <v>4032</v>
      </c>
      <c r="H381" s="37" t="s">
        <v>4724</v>
      </c>
      <c r="I381" s="2">
        <v>6.2499999999999995E-3</v>
      </c>
      <c r="J381" s="176">
        <v>1.0416666666666667E-4</v>
      </c>
      <c r="K381" s="6">
        <v>9</v>
      </c>
      <c r="L381" t="s">
        <v>398</v>
      </c>
      <c r="M381" t="s">
        <v>924</v>
      </c>
      <c r="N381" s="7" t="s">
        <v>111</v>
      </c>
      <c r="O381" t="s">
        <v>23</v>
      </c>
      <c r="P381">
        <v>0</v>
      </c>
      <c r="Q381"/>
      <c r="R381">
        <v>1</v>
      </c>
      <c r="S381"/>
      <c r="T381" t="s">
        <v>176</v>
      </c>
      <c r="U381" t="s">
        <v>176</v>
      </c>
      <c r="V381" t="s">
        <v>122</v>
      </c>
      <c r="W381" t="s">
        <v>993</v>
      </c>
      <c r="X381" s="33" t="s">
        <v>23</v>
      </c>
      <c r="Y381" s="33" t="s">
        <v>3999</v>
      </c>
      <c r="Z381" s="33" t="s">
        <v>4002</v>
      </c>
      <c r="AA381" s="7" t="s">
        <v>24</v>
      </c>
      <c r="AB381" s="20">
        <v>63.721530000000001</v>
      </c>
      <c r="AC381" s="20">
        <v>148.96460999999999</v>
      </c>
      <c r="AD381" s="6">
        <v>0</v>
      </c>
      <c r="AE381" s="6">
        <v>0</v>
      </c>
      <c r="AF381" s="6">
        <v>0</v>
      </c>
      <c r="AG381" s="6">
        <v>0</v>
      </c>
      <c r="AH381" s="6">
        <v>0</v>
      </c>
      <c r="AI381">
        <v>0</v>
      </c>
      <c r="AJ381">
        <f t="shared" si="5"/>
        <v>0</v>
      </c>
      <c r="AK381"/>
      <c r="AL381"/>
      <c r="AM381"/>
      <c r="AN381"/>
      <c r="AO381"/>
      <c r="AP381"/>
      <c r="AQ381"/>
      <c r="AR381"/>
      <c r="AS381"/>
      <c r="AT381"/>
      <c r="AU381"/>
    </row>
    <row r="382" spans="1:47" x14ac:dyDescent="0.2">
      <c r="A382" t="s">
        <v>994</v>
      </c>
      <c r="B382" t="s">
        <v>995</v>
      </c>
      <c r="C382">
        <v>9</v>
      </c>
      <c r="D382">
        <v>1</v>
      </c>
      <c r="E382" t="s">
        <v>791</v>
      </c>
      <c r="F382" s="1">
        <v>43369</v>
      </c>
      <c r="G382" s="37" t="s">
        <v>4032</v>
      </c>
      <c r="H382" s="37" t="s">
        <v>4724</v>
      </c>
      <c r="I382" s="2">
        <v>6.9444444444444434E-2</v>
      </c>
      <c r="J382" s="176">
        <v>1.1574074074074073E-3</v>
      </c>
      <c r="K382" s="6">
        <v>100</v>
      </c>
      <c r="L382" t="s">
        <v>398</v>
      </c>
      <c r="M382" t="s">
        <v>927</v>
      </c>
      <c r="N382" s="7" t="s">
        <v>102</v>
      </c>
      <c r="O382" t="s">
        <v>23</v>
      </c>
      <c r="P382">
        <v>1</v>
      </c>
      <c r="R382">
        <v>2</v>
      </c>
      <c r="S382" t="s">
        <v>2066</v>
      </c>
      <c r="T382" t="s">
        <v>176</v>
      </c>
      <c r="U382" t="s">
        <v>176</v>
      </c>
      <c r="V382" t="s">
        <v>134</v>
      </c>
      <c r="W382" t="s">
        <v>3975</v>
      </c>
      <c r="X382" s="44" t="s">
        <v>23</v>
      </c>
      <c r="Y382" s="44" t="s">
        <v>3999</v>
      </c>
      <c r="Z382" s="44" t="s">
        <v>4016</v>
      </c>
      <c r="AA382" s="7">
        <v>5</v>
      </c>
      <c r="AB382" s="20">
        <v>63.721490000000003</v>
      </c>
      <c r="AC382" s="20">
        <v>148.96460999999999</v>
      </c>
      <c r="AD382" s="6">
        <v>0</v>
      </c>
      <c r="AE382" s="6">
        <v>0</v>
      </c>
      <c r="AF382" s="6">
        <v>0</v>
      </c>
      <c r="AG382" s="6">
        <v>0</v>
      </c>
      <c r="AH382" s="6">
        <v>0</v>
      </c>
      <c r="AI382">
        <v>0</v>
      </c>
      <c r="AJ382">
        <f t="shared" si="5"/>
        <v>0</v>
      </c>
    </row>
    <row r="383" spans="1:47" x14ac:dyDescent="0.2">
      <c r="A383" t="s">
        <v>997</v>
      </c>
      <c r="B383" t="s">
        <v>998</v>
      </c>
      <c r="C383">
        <v>10</v>
      </c>
      <c r="D383">
        <v>1</v>
      </c>
      <c r="E383" t="s">
        <v>791</v>
      </c>
      <c r="F383" s="1">
        <v>43369</v>
      </c>
      <c r="G383" s="37" t="s">
        <v>4032</v>
      </c>
      <c r="H383" s="37" t="s">
        <v>4724</v>
      </c>
      <c r="I383" s="2">
        <v>1.4583333333333332E-2</v>
      </c>
      <c r="J383" s="176">
        <v>2.4305555555555552E-4</v>
      </c>
      <c r="K383" s="6">
        <v>21</v>
      </c>
      <c r="L383" t="s">
        <v>398</v>
      </c>
      <c r="M383" t="s">
        <v>927</v>
      </c>
      <c r="N383" s="7" t="s">
        <v>111</v>
      </c>
      <c r="O383" t="s">
        <v>23</v>
      </c>
      <c r="P383">
        <v>0</v>
      </c>
      <c r="R383">
        <v>1</v>
      </c>
      <c r="T383" t="s">
        <v>176</v>
      </c>
      <c r="U383" t="s">
        <v>176</v>
      </c>
      <c r="V383" t="s">
        <v>115</v>
      </c>
      <c r="W383" t="s">
        <v>709</v>
      </c>
      <c r="X383" s="33" t="s">
        <v>23</v>
      </c>
      <c r="Y383" s="33" t="s">
        <v>4004</v>
      </c>
      <c r="Z383" s="33" t="s">
        <v>4005</v>
      </c>
      <c r="AA383" s="7">
        <v>8</v>
      </c>
      <c r="AB383" s="19">
        <v>63.721330000000002</v>
      </c>
      <c r="AC383" s="19">
        <v>148.96489</v>
      </c>
      <c r="AD383" s="6">
        <v>0</v>
      </c>
      <c r="AE383" s="6">
        <v>0</v>
      </c>
      <c r="AF383" s="6">
        <v>0</v>
      </c>
      <c r="AG383" s="6">
        <v>0</v>
      </c>
      <c r="AH383" s="6">
        <v>0</v>
      </c>
      <c r="AI383">
        <v>0</v>
      </c>
      <c r="AJ383">
        <f t="shared" si="5"/>
        <v>0</v>
      </c>
      <c r="AL383" t="s">
        <v>999</v>
      </c>
      <c r="AO383" s="33"/>
      <c r="AP383" s="33"/>
      <c r="AQ383" s="34"/>
      <c r="AR383" s="33"/>
      <c r="AS383" s="33"/>
      <c r="AT383" s="33"/>
      <c r="AU383" s="33"/>
    </row>
    <row r="384" spans="1:47" x14ac:dyDescent="0.2">
      <c r="A384" t="s">
        <v>1000</v>
      </c>
      <c r="B384" t="s">
        <v>1001</v>
      </c>
      <c r="C384">
        <v>1</v>
      </c>
      <c r="D384">
        <v>1</v>
      </c>
      <c r="E384" t="s">
        <v>834</v>
      </c>
      <c r="F384" s="1">
        <v>43369</v>
      </c>
      <c r="G384" s="37" t="s">
        <v>4032</v>
      </c>
      <c r="H384" s="37" t="s">
        <v>4724</v>
      </c>
      <c r="I384" s="2">
        <v>9.0277777777777787E-3</v>
      </c>
      <c r="J384" s="176">
        <v>1.5046296296296297E-4</v>
      </c>
      <c r="K384" s="6">
        <v>13</v>
      </c>
      <c r="L384" t="s">
        <v>398</v>
      </c>
      <c r="M384" t="s">
        <v>466</v>
      </c>
      <c r="N384" s="7" t="s">
        <v>111</v>
      </c>
      <c r="O384" t="s">
        <v>23</v>
      </c>
      <c r="P384">
        <v>0</v>
      </c>
      <c r="R384">
        <v>1</v>
      </c>
      <c r="T384" t="s">
        <v>176</v>
      </c>
      <c r="U384" t="s">
        <v>176</v>
      </c>
      <c r="V384" t="s">
        <v>24</v>
      </c>
      <c r="W384" t="s">
        <v>709</v>
      </c>
      <c r="X384" s="44" t="s">
        <v>23</v>
      </c>
      <c r="Y384" s="44" t="s">
        <v>4004</v>
      </c>
      <c r="Z384" s="44" t="s">
        <v>4005</v>
      </c>
      <c r="AA384" s="7" t="s">
        <v>24</v>
      </c>
      <c r="AB384" s="20">
        <v>63.737909999999999</v>
      </c>
      <c r="AC384" s="20">
        <v>148.90565000000001</v>
      </c>
      <c r="AD384" s="6">
        <v>0</v>
      </c>
      <c r="AE384" s="6">
        <v>0</v>
      </c>
      <c r="AF384" s="6">
        <v>0</v>
      </c>
      <c r="AG384" s="6">
        <v>0</v>
      </c>
      <c r="AH384" s="6">
        <v>0</v>
      </c>
      <c r="AI384">
        <v>0</v>
      </c>
      <c r="AJ384">
        <f t="shared" si="5"/>
        <v>0</v>
      </c>
    </row>
    <row r="385" spans="1:47" s="33" customFormat="1" x14ac:dyDescent="0.2">
      <c r="A385" s="33" t="s">
        <v>1002</v>
      </c>
      <c r="B385" s="33" t="s">
        <v>1003</v>
      </c>
      <c r="C385" s="33">
        <v>2</v>
      </c>
      <c r="D385" s="33">
        <v>1</v>
      </c>
      <c r="E385" s="33" t="s">
        <v>834</v>
      </c>
      <c r="F385" s="37">
        <v>43369</v>
      </c>
      <c r="G385" s="37" t="s">
        <v>4032</v>
      </c>
      <c r="H385" s="37" t="s">
        <v>4724</v>
      </c>
      <c r="I385" s="36">
        <v>2.4999999999999998E-2</v>
      </c>
      <c r="J385" s="177">
        <v>4.1666666666666669E-4</v>
      </c>
      <c r="K385" s="39">
        <v>36</v>
      </c>
      <c r="L385" s="33" t="s">
        <v>398</v>
      </c>
      <c r="M385" s="33" t="s">
        <v>466</v>
      </c>
      <c r="N385" s="33" t="s">
        <v>102</v>
      </c>
      <c r="O385" s="33" t="s">
        <v>115</v>
      </c>
      <c r="P385" s="33" t="s">
        <v>24</v>
      </c>
      <c r="R385" s="33">
        <v>0</v>
      </c>
      <c r="T385" t="s">
        <v>176</v>
      </c>
      <c r="U385" s="33" t="s">
        <v>176</v>
      </c>
      <c r="V385" s="33" t="s">
        <v>115</v>
      </c>
      <c r="W385" s="33" t="s">
        <v>115</v>
      </c>
      <c r="X385" s="33" t="s">
        <v>115</v>
      </c>
      <c r="Y385" s="33" t="s">
        <v>115</v>
      </c>
      <c r="Z385" s="33" t="s">
        <v>115</v>
      </c>
      <c r="AA385" s="33" t="s">
        <v>115</v>
      </c>
      <c r="AB385" s="35" t="s">
        <v>115</v>
      </c>
      <c r="AC385" s="35"/>
      <c r="AD385" s="39">
        <v>0</v>
      </c>
      <c r="AE385" s="39">
        <v>0</v>
      </c>
      <c r="AF385" s="39">
        <v>0</v>
      </c>
      <c r="AG385" s="39">
        <v>0</v>
      </c>
      <c r="AH385" s="39">
        <v>33</v>
      </c>
      <c r="AI385" s="33">
        <v>0</v>
      </c>
      <c r="AJ385" s="33">
        <f t="shared" si="5"/>
        <v>33</v>
      </c>
      <c r="AO385"/>
      <c r="AP385"/>
      <c r="AQ385"/>
      <c r="AR385"/>
      <c r="AS385"/>
      <c r="AT385"/>
      <c r="AU385"/>
    </row>
    <row r="386" spans="1:47" s="33" customFormat="1" x14ac:dyDescent="0.2">
      <c r="A386" s="33" t="s">
        <v>1004</v>
      </c>
      <c r="B386" s="33" t="s">
        <v>1005</v>
      </c>
      <c r="C386" s="33">
        <v>3</v>
      </c>
      <c r="D386" s="33">
        <v>1</v>
      </c>
      <c r="E386" s="33" t="s">
        <v>834</v>
      </c>
      <c r="F386" s="37">
        <v>43369</v>
      </c>
      <c r="G386" s="37" t="s">
        <v>4032</v>
      </c>
      <c r="H386" s="37" t="s">
        <v>4724</v>
      </c>
      <c r="I386" s="36">
        <v>1.5972222222222224E-2</v>
      </c>
      <c r="J386" s="177">
        <v>2.6620370370370372E-4</v>
      </c>
      <c r="K386" s="39">
        <v>23</v>
      </c>
      <c r="L386" s="33" t="s">
        <v>398</v>
      </c>
      <c r="M386" s="33" t="s">
        <v>466</v>
      </c>
      <c r="N386" s="33" t="s">
        <v>187</v>
      </c>
      <c r="O386" s="33" t="s">
        <v>23</v>
      </c>
      <c r="P386" s="33">
        <v>1</v>
      </c>
      <c r="R386" s="33">
        <v>1</v>
      </c>
      <c r="T386" t="s">
        <v>14</v>
      </c>
      <c r="U386" s="33" t="s">
        <v>2128</v>
      </c>
      <c r="V386" s="33" t="s">
        <v>122</v>
      </c>
      <c r="W386" s="33" t="s">
        <v>1006</v>
      </c>
      <c r="X386" s="33" t="s">
        <v>23</v>
      </c>
      <c r="Y386" s="33" t="s">
        <v>3997</v>
      </c>
      <c r="Z386" s="33" t="s">
        <v>4007</v>
      </c>
      <c r="AA386" s="33">
        <v>10</v>
      </c>
      <c r="AB386" s="35">
        <v>63.739910000000002</v>
      </c>
      <c r="AC386" s="35">
        <v>148.90183999999999</v>
      </c>
      <c r="AD386" s="39">
        <v>0</v>
      </c>
      <c r="AE386" s="39">
        <v>0</v>
      </c>
      <c r="AF386" s="39">
        <v>0</v>
      </c>
      <c r="AG386" s="39">
        <v>0</v>
      </c>
      <c r="AH386" s="39">
        <v>11</v>
      </c>
      <c r="AI386" s="33">
        <v>0</v>
      </c>
      <c r="AJ386" s="33">
        <f t="shared" ref="AJ386:AJ449" si="6">SUM(AF386:AI386)</f>
        <v>11</v>
      </c>
      <c r="AL386" s="33" t="s">
        <v>1007</v>
      </c>
      <c r="AO386"/>
      <c r="AP386"/>
      <c r="AQ386"/>
      <c r="AR386"/>
      <c r="AS386"/>
      <c r="AT386"/>
      <c r="AU386"/>
    </row>
    <row r="387" spans="1:47" x14ac:dyDescent="0.2">
      <c r="A387" s="33" t="s">
        <v>1008</v>
      </c>
      <c r="B387" s="33" t="s">
        <v>1009</v>
      </c>
      <c r="C387" s="33">
        <v>4</v>
      </c>
      <c r="D387" s="33">
        <v>1</v>
      </c>
      <c r="E387" s="33" t="s">
        <v>834</v>
      </c>
      <c r="F387" s="37">
        <v>43369</v>
      </c>
      <c r="G387" s="37" t="s">
        <v>4032</v>
      </c>
      <c r="H387" s="37" t="s">
        <v>4724</v>
      </c>
      <c r="I387" s="36">
        <v>1.6666666666666666E-2</v>
      </c>
      <c r="J387" s="177">
        <v>2.7777777777777778E-4</v>
      </c>
      <c r="K387" s="39">
        <v>24</v>
      </c>
      <c r="L387" s="33" t="s">
        <v>398</v>
      </c>
      <c r="M387" s="33" t="s">
        <v>466</v>
      </c>
      <c r="N387" s="33" t="s">
        <v>102</v>
      </c>
      <c r="O387" s="33" t="s">
        <v>115</v>
      </c>
      <c r="P387" s="33" t="s">
        <v>24</v>
      </c>
      <c r="Q387" s="33"/>
      <c r="R387" s="33">
        <v>0</v>
      </c>
      <c r="S387" s="33"/>
      <c r="T387" t="s">
        <v>176</v>
      </c>
      <c r="U387" s="33" t="s">
        <v>176</v>
      </c>
      <c r="V387" s="33" t="s">
        <v>115</v>
      </c>
      <c r="W387" s="33" t="s">
        <v>115</v>
      </c>
      <c r="X387" s="33" t="s">
        <v>115</v>
      </c>
      <c r="Y387" s="33" t="s">
        <v>115</v>
      </c>
      <c r="Z387" s="33" t="s">
        <v>115</v>
      </c>
      <c r="AA387" s="33" t="s">
        <v>115</v>
      </c>
      <c r="AB387" s="35" t="s">
        <v>115</v>
      </c>
      <c r="AC387" s="35"/>
      <c r="AD387" s="39">
        <v>0</v>
      </c>
      <c r="AE387" s="39">
        <v>0</v>
      </c>
      <c r="AF387" s="39">
        <v>0</v>
      </c>
      <c r="AG387" s="39">
        <v>0</v>
      </c>
      <c r="AH387" s="39">
        <v>21</v>
      </c>
      <c r="AI387" s="33">
        <v>0</v>
      </c>
      <c r="AJ387" s="33">
        <f t="shared" si="6"/>
        <v>21</v>
      </c>
      <c r="AK387" s="33"/>
      <c r="AL387" s="33"/>
      <c r="AM387" s="33"/>
      <c r="AN387" s="33"/>
    </row>
    <row r="388" spans="1:47" x14ac:dyDescent="0.2">
      <c r="A388" s="33" t="s">
        <v>1010</v>
      </c>
      <c r="B388" s="33" t="s">
        <v>1011</v>
      </c>
      <c r="C388" s="33">
        <v>5</v>
      </c>
      <c r="D388" s="33">
        <v>1</v>
      </c>
      <c r="E388" s="33" t="s">
        <v>834</v>
      </c>
      <c r="F388" s="37">
        <v>43369</v>
      </c>
      <c r="G388" s="37" t="s">
        <v>4032</v>
      </c>
      <c r="H388" s="37" t="s">
        <v>4724</v>
      </c>
      <c r="I388" s="36">
        <v>2.361111111111111E-2</v>
      </c>
      <c r="J388" s="177">
        <v>3.9351851851851852E-4</v>
      </c>
      <c r="K388" s="39">
        <v>34</v>
      </c>
      <c r="L388" s="33" t="s">
        <v>398</v>
      </c>
      <c r="M388" s="33" t="s">
        <v>466</v>
      </c>
      <c r="N388" s="33" t="s">
        <v>187</v>
      </c>
      <c r="O388" s="33" t="s">
        <v>23</v>
      </c>
      <c r="P388" s="33">
        <v>1</v>
      </c>
      <c r="Q388" s="33"/>
      <c r="R388" s="33">
        <v>1</v>
      </c>
      <c r="S388" s="33"/>
      <c r="T388" t="s">
        <v>598</v>
      </c>
      <c r="U388" s="33" t="s">
        <v>1012</v>
      </c>
      <c r="V388" s="33" t="s">
        <v>122</v>
      </c>
      <c r="W388" s="33" t="s">
        <v>1013</v>
      </c>
      <c r="X388" s="33" t="s">
        <v>23</v>
      </c>
      <c r="Y388" s="33" t="s">
        <v>3999</v>
      </c>
      <c r="Z388" s="33" t="s">
        <v>4005</v>
      </c>
      <c r="AA388" s="33">
        <v>5</v>
      </c>
      <c r="AB388" s="35">
        <v>63.739980000000003</v>
      </c>
      <c r="AC388" s="35">
        <v>148.90302</v>
      </c>
      <c r="AD388" s="39">
        <v>0</v>
      </c>
      <c r="AE388" s="39">
        <v>0</v>
      </c>
      <c r="AF388" s="39">
        <v>0</v>
      </c>
      <c r="AG388" s="39">
        <v>0</v>
      </c>
      <c r="AH388" s="39">
        <v>6</v>
      </c>
      <c r="AI388" s="33">
        <v>0</v>
      </c>
      <c r="AJ388" s="33">
        <f t="shared" si="6"/>
        <v>6</v>
      </c>
      <c r="AK388" s="33"/>
      <c r="AL388" s="33"/>
      <c r="AM388" s="33"/>
      <c r="AN388" s="33"/>
    </row>
    <row r="389" spans="1:47" x14ac:dyDescent="0.2">
      <c r="A389" s="33" t="s">
        <v>1015</v>
      </c>
      <c r="B389" s="33" t="s">
        <v>1016</v>
      </c>
      <c r="C389" s="33">
        <v>6</v>
      </c>
      <c r="D389" s="33">
        <v>1</v>
      </c>
      <c r="E389" s="33" t="s">
        <v>834</v>
      </c>
      <c r="F389" s="37">
        <v>43369</v>
      </c>
      <c r="G389" s="37" t="s">
        <v>4032</v>
      </c>
      <c r="H389" s="37" t="s">
        <v>4724</v>
      </c>
      <c r="I389" s="36">
        <v>1.1805555555555555E-2</v>
      </c>
      <c r="J389" s="177">
        <v>1.9675925925925926E-4</v>
      </c>
      <c r="K389" s="39">
        <v>17</v>
      </c>
      <c r="L389" s="33" t="s">
        <v>398</v>
      </c>
      <c r="M389" s="33" t="s">
        <v>466</v>
      </c>
      <c r="N389" s="33" t="s">
        <v>102</v>
      </c>
      <c r="O389" s="33" t="s">
        <v>115</v>
      </c>
      <c r="P389" s="33" t="s">
        <v>24</v>
      </c>
      <c r="Q389" s="33"/>
      <c r="R389" s="33">
        <v>0</v>
      </c>
      <c r="S389" s="33"/>
      <c r="T389" t="s">
        <v>176</v>
      </c>
      <c r="U389" s="33" t="s">
        <v>176</v>
      </c>
      <c r="V389" s="33" t="s">
        <v>115</v>
      </c>
      <c r="W389" s="33" t="s">
        <v>115</v>
      </c>
      <c r="X389" s="33" t="s">
        <v>115</v>
      </c>
      <c r="Y389" s="33" t="s">
        <v>115</v>
      </c>
      <c r="Z389" s="33" t="s">
        <v>115</v>
      </c>
      <c r="AA389" s="33" t="s">
        <v>115</v>
      </c>
      <c r="AB389" s="35" t="s">
        <v>115</v>
      </c>
      <c r="AC389" s="35"/>
      <c r="AD389" s="39">
        <v>0</v>
      </c>
      <c r="AE389" s="39">
        <v>0</v>
      </c>
      <c r="AF389" s="39">
        <v>0</v>
      </c>
      <c r="AG389" s="39">
        <v>0</v>
      </c>
      <c r="AH389" s="39">
        <v>15</v>
      </c>
      <c r="AI389" s="33">
        <v>0</v>
      </c>
      <c r="AJ389" s="33">
        <f t="shared" si="6"/>
        <v>15</v>
      </c>
      <c r="AK389" s="33"/>
      <c r="AL389" s="33"/>
      <c r="AM389" s="33"/>
      <c r="AN389" s="33"/>
    </row>
    <row r="390" spans="1:47" s="33" customFormat="1" x14ac:dyDescent="0.2">
      <c r="A390" t="s">
        <v>1018</v>
      </c>
      <c r="B390" t="s">
        <v>1020</v>
      </c>
      <c r="C390">
        <v>7</v>
      </c>
      <c r="D390">
        <v>1</v>
      </c>
      <c r="E390" t="s">
        <v>834</v>
      </c>
      <c r="F390" s="1">
        <v>43369</v>
      </c>
      <c r="G390" s="37" t="s">
        <v>4032</v>
      </c>
      <c r="H390" s="37" t="s">
        <v>4724</v>
      </c>
      <c r="I390" s="2">
        <v>1.1805555555555555E-2</v>
      </c>
      <c r="J390" s="176">
        <v>1.9675925925925926E-4</v>
      </c>
      <c r="K390" s="6">
        <v>17</v>
      </c>
      <c r="L390" t="s">
        <v>398</v>
      </c>
      <c r="M390" t="s">
        <v>466</v>
      </c>
      <c r="N390" s="7" t="s">
        <v>111</v>
      </c>
      <c r="O390" t="s">
        <v>23</v>
      </c>
      <c r="P390">
        <v>0</v>
      </c>
      <c r="Q390"/>
      <c r="R390">
        <v>1</v>
      </c>
      <c r="S390"/>
      <c r="T390" t="s">
        <v>176</v>
      </c>
      <c r="U390" t="s">
        <v>176</v>
      </c>
      <c r="V390" t="s">
        <v>24</v>
      </c>
      <c r="W390" t="s">
        <v>709</v>
      </c>
      <c r="X390" s="44" t="s">
        <v>23</v>
      </c>
      <c r="Y390" s="44" t="s">
        <v>4004</v>
      </c>
      <c r="Z390" s="44" t="s">
        <v>4005</v>
      </c>
      <c r="AA390" s="7" t="s">
        <v>24</v>
      </c>
      <c r="AB390" s="19">
        <v>63.739550000000001</v>
      </c>
      <c r="AC390" s="19">
        <v>148.90470999999999</v>
      </c>
      <c r="AD390" s="6">
        <v>0</v>
      </c>
      <c r="AE390" s="6">
        <v>0</v>
      </c>
      <c r="AF390" s="6">
        <v>0</v>
      </c>
      <c r="AG390" s="6">
        <v>0</v>
      </c>
      <c r="AH390" s="6">
        <v>0</v>
      </c>
      <c r="AI390">
        <v>0</v>
      </c>
      <c r="AJ390">
        <f t="shared" si="6"/>
        <v>0</v>
      </c>
      <c r="AK390"/>
      <c r="AL390" t="s">
        <v>4894</v>
      </c>
      <c r="AM390"/>
      <c r="AN390"/>
      <c r="AO390"/>
      <c r="AP390"/>
      <c r="AQ390"/>
      <c r="AR390"/>
      <c r="AS390"/>
      <c r="AT390"/>
      <c r="AU390"/>
    </row>
    <row r="391" spans="1:47" x14ac:dyDescent="0.2">
      <c r="A391" s="33" t="s">
        <v>1022</v>
      </c>
      <c r="B391" s="33" t="s">
        <v>1023</v>
      </c>
      <c r="C391" s="33">
        <v>8</v>
      </c>
      <c r="D391" s="33">
        <v>1</v>
      </c>
      <c r="E391" s="33" t="s">
        <v>834</v>
      </c>
      <c r="F391" s="37">
        <v>43369</v>
      </c>
      <c r="G391" s="37" t="s">
        <v>4032</v>
      </c>
      <c r="H391" s="37" t="s">
        <v>4724</v>
      </c>
      <c r="I391" s="36">
        <v>3.4722222222222224E-2</v>
      </c>
      <c r="J391" s="177">
        <v>5.7870370370370378E-4</v>
      </c>
      <c r="K391" s="39">
        <v>50</v>
      </c>
      <c r="L391" s="33" t="s">
        <v>398</v>
      </c>
      <c r="M391" s="33" t="s">
        <v>466</v>
      </c>
      <c r="N391" s="33" t="s">
        <v>102</v>
      </c>
      <c r="O391" s="33" t="s">
        <v>115</v>
      </c>
      <c r="P391" s="33">
        <v>1</v>
      </c>
      <c r="Q391" s="33"/>
      <c r="R391" s="33">
        <v>0</v>
      </c>
      <c r="S391" s="33"/>
      <c r="T391" t="s">
        <v>176</v>
      </c>
      <c r="U391" s="33" t="s">
        <v>176</v>
      </c>
      <c r="V391" s="33" t="s">
        <v>122</v>
      </c>
      <c r="W391" s="33" t="s">
        <v>115</v>
      </c>
      <c r="X391" s="33" t="s">
        <v>115</v>
      </c>
      <c r="Y391" s="33" t="s">
        <v>115</v>
      </c>
      <c r="Z391" s="33" t="s">
        <v>115</v>
      </c>
      <c r="AA391" s="33" t="s">
        <v>115</v>
      </c>
      <c r="AB391" s="35" t="s">
        <v>115</v>
      </c>
      <c r="AC391" s="35"/>
      <c r="AD391" s="39">
        <v>0</v>
      </c>
      <c r="AE391" s="39">
        <v>0</v>
      </c>
      <c r="AF391" s="39">
        <v>0</v>
      </c>
      <c r="AG391" s="39">
        <v>0</v>
      </c>
      <c r="AH391" s="39">
        <v>7</v>
      </c>
      <c r="AI391" s="33">
        <v>0</v>
      </c>
      <c r="AJ391" s="33">
        <f t="shared" si="6"/>
        <v>7</v>
      </c>
      <c r="AK391" s="33"/>
      <c r="AL391" s="33"/>
      <c r="AM391" s="33"/>
      <c r="AN391" s="33"/>
    </row>
    <row r="392" spans="1:47" x14ac:dyDescent="0.2">
      <c r="A392" t="s">
        <v>1024</v>
      </c>
      <c r="B392" t="s">
        <v>1019</v>
      </c>
      <c r="C392">
        <v>9</v>
      </c>
      <c r="D392">
        <v>1</v>
      </c>
      <c r="E392" t="s">
        <v>834</v>
      </c>
      <c r="F392" s="1">
        <v>43369</v>
      </c>
      <c r="G392" s="37" t="s">
        <v>4032</v>
      </c>
      <c r="H392" s="37" t="s">
        <v>4724</v>
      </c>
      <c r="I392" s="2">
        <v>3.3333333333333333E-2</v>
      </c>
      <c r="J392" s="176">
        <v>5.5555555555555556E-4</v>
      </c>
      <c r="K392" s="6">
        <v>48</v>
      </c>
      <c r="L392" t="s">
        <v>398</v>
      </c>
      <c r="M392" t="s">
        <v>466</v>
      </c>
      <c r="N392" s="7" t="s">
        <v>187</v>
      </c>
      <c r="O392" t="s">
        <v>23</v>
      </c>
      <c r="P392">
        <v>1</v>
      </c>
      <c r="R392">
        <v>1</v>
      </c>
      <c r="T392" t="s">
        <v>598</v>
      </c>
      <c r="U392" t="s">
        <v>1012</v>
      </c>
      <c r="V392" t="s">
        <v>122</v>
      </c>
      <c r="W392" s="7" t="s">
        <v>2068</v>
      </c>
      <c r="X392" s="44" t="s">
        <v>23</v>
      </c>
      <c r="Y392" s="44" t="s">
        <v>3997</v>
      </c>
      <c r="Z392" s="44" t="s">
        <v>4005</v>
      </c>
      <c r="AA392" s="7">
        <v>10</v>
      </c>
      <c r="AB392" s="20">
        <v>63.739829999999998</v>
      </c>
      <c r="AC392" s="20">
        <v>148.90535</v>
      </c>
      <c r="AD392" s="6">
        <v>0</v>
      </c>
      <c r="AE392" s="6">
        <v>0</v>
      </c>
      <c r="AF392" s="6">
        <v>0</v>
      </c>
      <c r="AG392" s="6">
        <v>0</v>
      </c>
      <c r="AH392" s="6">
        <v>0</v>
      </c>
      <c r="AI392">
        <v>0</v>
      </c>
      <c r="AJ392">
        <f t="shared" si="6"/>
        <v>0</v>
      </c>
      <c r="AL392" t="s">
        <v>1269</v>
      </c>
      <c r="AO392" s="33"/>
      <c r="AP392" s="33"/>
      <c r="AQ392" s="34"/>
      <c r="AR392" s="33"/>
      <c r="AS392" s="33"/>
      <c r="AT392" s="33"/>
      <c r="AU392" s="33"/>
    </row>
    <row r="393" spans="1:47" x14ac:dyDescent="0.2">
      <c r="A393" t="s">
        <v>1025</v>
      </c>
      <c r="B393" t="s">
        <v>1026</v>
      </c>
      <c r="C393">
        <v>10</v>
      </c>
      <c r="D393">
        <v>1</v>
      </c>
      <c r="E393" t="s">
        <v>834</v>
      </c>
      <c r="F393" s="1">
        <v>43369</v>
      </c>
      <c r="G393" s="37" t="s">
        <v>4032</v>
      </c>
      <c r="H393" s="37" t="s">
        <v>4724</v>
      </c>
      <c r="I393" s="2">
        <v>1.7361111111111112E-2</v>
      </c>
      <c r="J393" s="176">
        <v>2.8935185185185189E-4</v>
      </c>
      <c r="K393" s="6">
        <v>25</v>
      </c>
      <c r="L393" t="s">
        <v>398</v>
      </c>
      <c r="M393" t="s">
        <v>466</v>
      </c>
      <c r="N393" s="7" t="s">
        <v>111</v>
      </c>
      <c r="O393" t="s">
        <v>12</v>
      </c>
      <c r="P393">
        <v>0</v>
      </c>
      <c r="R393">
        <v>1</v>
      </c>
      <c r="T393" t="s">
        <v>598</v>
      </c>
      <c r="U393" t="s">
        <v>1012</v>
      </c>
      <c r="V393" t="s">
        <v>115</v>
      </c>
      <c r="W393" t="s">
        <v>1027</v>
      </c>
      <c r="X393" s="44" t="s">
        <v>23</v>
      </c>
      <c r="Y393" s="44" t="s">
        <v>3997</v>
      </c>
      <c r="Z393" s="44" t="s">
        <v>4005</v>
      </c>
      <c r="AA393" s="7" t="s">
        <v>24</v>
      </c>
      <c r="AB393" s="20">
        <v>63.740020000000001</v>
      </c>
      <c r="AC393" s="20">
        <v>148.90588</v>
      </c>
      <c r="AD393" s="6">
        <v>0</v>
      </c>
      <c r="AE393" s="6">
        <v>0</v>
      </c>
      <c r="AF393" s="6">
        <v>0</v>
      </c>
      <c r="AG393" s="6">
        <v>0</v>
      </c>
      <c r="AH393" s="6">
        <v>0</v>
      </c>
      <c r="AI393">
        <v>0</v>
      </c>
      <c r="AJ393">
        <f t="shared" si="6"/>
        <v>0</v>
      </c>
      <c r="AL393" t="s">
        <v>1028</v>
      </c>
    </row>
    <row r="394" spans="1:47" x14ac:dyDescent="0.2">
      <c r="A394" t="s">
        <v>1029</v>
      </c>
      <c r="B394" t="s">
        <v>1030</v>
      </c>
      <c r="C394">
        <v>11</v>
      </c>
      <c r="D394">
        <v>1</v>
      </c>
      <c r="E394" t="s">
        <v>834</v>
      </c>
      <c r="F394" s="1">
        <v>43369</v>
      </c>
      <c r="G394" s="37" t="s">
        <v>4032</v>
      </c>
      <c r="H394" s="37" t="s">
        <v>4724</v>
      </c>
      <c r="I394" s="2">
        <v>1.1805555555555555E-2</v>
      </c>
      <c r="J394" s="176">
        <v>1.9675925925925926E-4</v>
      </c>
      <c r="K394" s="6">
        <v>17</v>
      </c>
      <c r="L394" t="s">
        <v>398</v>
      </c>
      <c r="M394" t="s">
        <v>466</v>
      </c>
      <c r="N394" s="7" t="s">
        <v>111</v>
      </c>
      <c r="O394" t="s">
        <v>23</v>
      </c>
      <c r="P394">
        <v>0</v>
      </c>
      <c r="R394">
        <v>1</v>
      </c>
      <c r="T394" t="s">
        <v>176</v>
      </c>
      <c r="U394" t="s">
        <v>176</v>
      </c>
      <c r="V394" t="s">
        <v>24</v>
      </c>
      <c r="W394" t="s">
        <v>1031</v>
      </c>
      <c r="X394" s="44" t="s">
        <v>23</v>
      </c>
      <c r="Y394" s="44" t="s">
        <v>3997</v>
      </c>
      <c r="Z394" s="44" t="s">
        <v>4005</v>
      </c>
      <c r="AA394" s="7" t="s">
        <v>24</v>
      </c>
      <c r="AB394" s="20">
        <v>63.74024</v>
      </c>
      <c r="AC394" s="20">
        <v>148.90630999999999</v>
      </c>
      <c r="AD394" s="6">
        <v>0</v>
      </c>
      <c r="AE394" s="6">
        <v>0</v>
      </c>
      <c r="AF394" s="6">
        <v>0</v>
      </c>
      <c r="AG394" s="6">
        <v>0</v>
      </c>
      <c r="AH394" s="6">
        <v>0</v>
      </c>
      <c r="AI394">
        <v>0</v>
      </c>
      <c r="AJ394">
        <f t="shared" si="6"/>
        <v>0</v>
      </c>
      <c r="AL394" t="s">
        <v>1032</v>
      </c>
    </row>
    <row r="395" spans="1:47" x14ac:dyDescent="0.2">
      <c r="A395" t="s">
        <v>1033</v>
      </c>
      <c r="B395" t="s">
        <v>1034</v>
      </c>
      <c r="C395">
        <v>1</v>
      </c>
      <c r="D395">
        <v>1</v>
      </c>
      <c r="E395" t="s">
        <v>2487</v>
      </c>
      <c r="F395" s="1">
        <v>43370</v>
      </c>
      <c r="G395" s="37" t="s">
        <v>4032</v>
      </c>
      <c r="H395" s="37" t="s">
        <v>4724</v>
      </c>
      <c r="I395" s="2">
        <v>1.7361111111111112E-2</v>
      </c>
      <c r="J395" s="176">
        <v>2.8935185185185189E-4</v>
      </c>
      <c r="K395" s="6">
        <v>25</v>
      </c>
      <c r="L395" t="s">
        <v>398</v>
      </c>
      <c r="M395" t="s">
        <v>2498</v>
      </c>
      <c r="N395" s="7" t="s">
        <v>187</v>
      </c>
      <c r="O395" s="7" t="s">
        <v>23</v>
      </c>
      <c r="P395">
        <v>1</v>
      </c>
      <c r="R395">
        <v>1</v>
      </c>
      <c r="T395" t="s">
        <v>176</v>
      </c>
      <c r="U395" t="s">
        <v>176</v>
      </c>
      <c r="V395" t="s">
        <v>134</v>
      </c>
      <c r="W395" s="7" t="s">
        <v>1035</v>
      </c>
      <c r="X395" s="33" t="s">
        <v>23</v>
      </c>
      <c r="Y395" s="33" t="s">
        <v>3997</v>
      </c>
      <c r="Z395" s="33" t="s">
        <v>4006</v>
      </c>
      <c r="AA395">
        <v>2</v>
      </c>
      <c r="AB395" s="20">
        <v>63.722810000000003</v>
      </c>
      <c r="AC395" s="20">
        <v>148.98181</v>
      </c>
      <c r="AD395" s="6">
        <v>0</v>
      </c>
      <c r="AE395" s="6">
        <v>0</v>
      </c>
      <c r="AF395" s="6">
        <v>0</v>
      </c>
      <c r="AG395" s="6">
        <v>0</v>
      </c>
      <c r="AH395" s="6">
        <v>0</v>
      </c>
      <c r="AI395">
        <v>0</v>
      </c>
      <c r="AJ395">
        <f t="shared" si="6"/>
        <v>0</v>
      </c>
      <c r="AL395" t="s">
        <v>1036</v>
      </c>
      <c r="AO395" s="7"/>
      <c r="AP395" s="7"/>
      <c r="AQ395" s="7"/>
      <c r="AR395" s="7"/>
      <c r="AS395" s="7"/>
      <c r="AT395" s="7"/>
      <c r="AU395" s="7"/>
    </row>
    <row r="396" spans="1:47" x14ac:dyDescent="0.2">
      <c r="A396" t="s">
        <v>1037</v>
      </c>
      <c r="B396" t="s">
        <v>1038</v>
      </c>
      <c r="C396">
        <v>2</v>
      </c>
      <c r="D396">
        <v>1</v>
      </c>
      <c r="E396" t="s">
        <v>2487</v>
      </c>
      <c r="F396" s="1">
        <v>43370</v>
      </c>
      <c r="G396" s="37" t="s">
        <v>4032</v>
      </c>
      <c r="H396" s="37" t="s">
        <v>4724</v>
      </c>
      <c r="I396" s="2">
        <v>9.0277777777777787E-3</v>
      </c>
      <c r="J396" s="176">
        <v>1.5046296296296297E-4</v>
      </c>
      <c r="K396" s="6">
        <v>13</v>
      </c>
      <c r="L396" t="s">
        <v>398</v>
      </c>
      <c r="M396" t="s">
        <v>2498</v>
      </c>
      <c r="N396" s="7" t="s">
        <v>102</v>
      </c>
      <c r="O396" s="7" t="s">
        <v>23</v>
      </c>
      <c r="P396">
        <v>1</v>
      </c>
      <c r="R396">
        <v>0</v>
      </c>
      <c r="T396" t="s">
        <v>3955</v>
      </c>
      <c r="U396" t="s">
        <v>1039</v>
      </c>
      <c r="V396" t="s">
        <v>192</v>
      </c>
      <c r="W396" t="s">
        <v>115</v>
      </c>
      <c r="X396" s="33" t="s">
        <v>115</v>
      </c>
      <c r="Y396" s="33" t="s">
        <v>115</v>
      </c>
      <c r="Z396" s="33" t="s">
        <v>115</v>
      </c>
      <c r="AA396" t="s">
        <v>115</v>
      </c>
      <c r="AB396" s="20" t="s">
        <v>115</v>
      </c>
      <c r="AC396" s="20"/>
      <c r="AD396" s="7">
        <v>0</v>
      </c>
      <c r="AE396" s="6">
        <v>0</v>
      </c>
      <c r="AF396" s="6">
        <v>0</v>
      </c>
      <c r="AG396" s="6">
        <v>0</v>
      </c>
      <c r="AH396" s="6">
        <v>0</v>
      </c>
      <c r="AI396">
        <v>0</v>
      </c>
      <c r="AJ396">
        <f t="shared" si="6"/>
        <v>0</v>
      </c>
      <c r="AO396" s="4"/>
      <c r="AP396" s="4"/>
      <c r="AQ396" s="4"/>
      <c r="AR396" s="4"/>
      <c r="AS396" s="4"/>
      <c r="AT396" s="4"/>
      <c r="AU396" s="4"/>
    </row>
    <row r="397" spans="1:47" s="33" customFormat="1" x14ac:dyDescent="0.2">
      <c r="A397" t="s">
        <v>1040</v>
      </c>
      <c r="B397" t="s">
        <v>1041</v>
      </c>
      <c r="C397">
        <v>3</v>
      </c>
      <c r="D397">
        <v>1</v>
      </c>
      <c r="E397" t="s">
        <v>2487</v>
      </c>
      <c r="F397" s="1">
        <v>43370</v>
      </c>
      <c r="G397" s="37" t="s">
        <v>4032</v>
      </c>
      <c r="H397" s="37" t="s">
        <v>4724</v>
      </c>
      <c r="I397" s="2">
        <v>1.5972222222222224E-2</v>
      </c>
      <c r="J397" s="176">
        <v>2.6620370370370372E-4</v>
      </c>
      <c r="K397" s="6">
        <v>23</v>
      </c>
      <c r="L397" t="s">
        <v>398</v>
      </c>
      <c r="M397" t="s">
        <v>2498</v>
      </c>
      <c r="N397" s="7" t="s">
        <v>102</v>
      </c>
      <c r="O397" s="7" t="s">
        <v>23</v>
      </c>
      <c r="P397">
        <v>1</v>
      </c>
      <c r="Q397"/>
      <c r="R397">
        <v>0</v>
      </c>
      <c r="S397"/>
      <c r="T397" t="s">
        <v>176</v>
      </c>
      <c r="U397" t="s">
        <v>176</v>
      </c>
      <c r="V397" t="s">
        <v>263</v>
      </c>
      <c r="W397" t="s">
        <v>115</v>
      </c>
      <c r="X397" s="33" t="s">
        <v>115</v>
      </c>
      <c r="Y397" s="33" t="s">
        <v>115</v>
      </c>
      <c r="Z397" s="33" t="s">
        <v>115</v>
      </c>
      <c r="AA397" t="s">
        <v>115</v>
      </c>
      <c r="AB397" s="20" t="s">
        <v>115</v>
      </c>
      <c r="AC397" s="20"/>
      <c r="AD397" s="6">
        <v>18</v>
      </c>
      <c r="AE397" s="6">
        <v>0</v>
      </c>
      <c r="AF397" s="6">
        <v>18</v>
      </c>
      <c r="AG397" s="6">
        <v>0</v>
      </c>
      <c r="AH397" s="6">
        <v>0</v>
      </c>
      <c r="AI397">
        <v>0</v>
      </c>
      <c r="AJ397">
        <f t="shared" si="6"/>
        <v>18</v>
      </c>
      <c r="AK397" t="s">
        <v>1042</v>
      </c>
      <c r="AL397"/>
      <c r="AM397">
        <v>2</v>
      </c>
      <c r="AN397">
        <v>0</v>
      </c>
      <c r="AO397"/>
      <c r="AP397"/>
      <c r="AQ397"/>
      <c r="AR397"/>
      <c r="AS397"/>
      <c r="AT397"/>
      <c r="AU397"/>
    </row>
    <row r="398" spans="1:47" s="33" customFormat="1" x14ac:dyDescent="0.2">
      <c r="A398" t="s">
        <v>1043</v>
      </c>
      <c r="B398" t="s">
        <v>1044</v>
      </c>
      <c r="C398">
        <v>4</v>
      </c>
      <c r="D398">
        <v>1</v>
      </c>
      <c r="E398" t="s">
        <v>2487</v>
      </c>
      <c r="F398" s="1">
        <v>43370</v>
      </c>
      <c r="G398" s="37" t="s">
        <v>4032</v>
      </c>
      <c r="H398" s="37" t="s">
        <v>4724</v>
      </c>
      <c r="I398" s="2">
        <v>9.7222222222222224E-3</v>
      </c>
      <c r="J398" s="176">
        <v>1.6203703703703703E-4</v>
      </c>
      <c r="K398" s="6">
        <v>14</v>
      </c>
      <c r="L398" t="s">
        <v>398</v>
      </c>
      <c r="M398" t="s">
        <v>2498</v>
      </c>
      <c r="N398" s="7" t="s">
        <v>111</v>
      </c>
      <c r="O398" s="7" t="s">
        <v>23</v>
      </c>
      <c r="P398">
        <v>0</v>
      </c>
      <c r="Q398"/>
      <c r="R398">
        <v>1</v>
      </c>
      <c r="S398"/>
      <c r="T398" t="s">
        <v>176</v>
      </c>
      <c r="U398" t="s">
        <v>176</v>
      </c>
      <c r="V398" t="s">
        <v>24</v>
      </c>
      <c r="W398" s="7" t="s">
        <v>1035</v>
      </c>
      <c r="X398" s="33" t="s">
        <v>23</v>
      </c>
      <c r="Y398" s="33" t="s">
        <v>3997</v>
      </c>
      <c r="Z398" s="33" t="s">
        <v>4006</v>
      </c>
      <c r="AA398" t="s">
        <v>24</v>
      </c>
      <c r="AB398" s="20">
        <v>63.722810000000003</v>
      </c>
      <c r="AC398" s="20">
        <v>148.98215999999999</v>
      </c>
      <c r="AD398" s="6">
        <v>0</v>
      </c>
      <c r="AE398" s="6">
        <v>0</v>
      </c>
      <c r="AF398" s="6">
        <v>0</v>
      </c>
      <c r="AG398" s="6">
        <v>0</v>
      </c>
      <c r="AH398" s="6">
        <v>0</v>
      </c>
      <c r="AI398">
        <v>0</v>
      </c>
      <c r="AJ398">
        <f t="shared" si="6"/>
        <v>0</v>
      </c>
      <c r="AK398"/>
      <c r="AL398" t="s">
        <v>4928</v>
      </c>
      <c r="AM398"/>
      <c r="AN398"/>
      <c r="AO398"/>
      <c r="AP398"/>
      <c r="AQ398"/>
      <c r="AR398"/>
      <c r="AS398"/>
      <c r="AT398"/>
      <c r="AU398"/>
    </row>
    <row r="399" spans="1:47" s="33" customFormat="1" x14ac:dyDescent="0.2">
      <c r="A399" s="33" t="s">
        <v>1045</v>
      </c>
      <c r="B399" s="33" t="s">
        <v>1046</v>
      </c>
      <c r="C399" s="33">
        <v>5</v>
      </c>
      <c r="D399" s="33">
        <v>1</v>
      </c>
      <c r="E399" s="33" t="s">
        <v>2487</v>
      </c>
      <c r="F399" s="37">
        <v>43370</v>
      </c>
      <c r="G399" s="37" t="s">
        <v>4032</v>
      </c>
      <c r="H399" s="37" t="s">
        <v>4724</v>
      </c>
      <c r="I399" s="36">
        <v>4.8611111111111112E-3</v>
      </c>
      <c r="J399" s="177">
        <v>8.1018518518518516E-5</v>
      </c>
      <c r="K399" s="39">
        <v>7</v>
      </c>
      <c r="L399" s="33" t="s">
        <v>398</v>
      </c>
      <c r="M399" s="33" t="s">
        <v>344</v>
      </c>
      <c r="N399" s="33" t="s">
        <v>102</v>
      </c>
      <c r="O399" s="33" t="s">
        <v>115</v>
      </c>
      <c r="P399" s="33">
        <v>1</v>
      </c>
      <c r="R399" s="33">
        <v>0</v>
      </c>
      <c r="T399" t="s">
        <v>176</v>
      </c>
      <c r="U399" s="33" t="s">
        <v>176</v>
      </c>
      <c r="V399" s="33" t="s">
        <v>122</v>
      </c>
      <c r="W399" s="33" t="s">
        <v>115</v>
      </c>
      <c r="X399" s="33" t="s">
        <v>115</v>
      </c>
      <c r="Y399" s="33" t="s">
        <v>115</v>
      </c>
      <c r="Z399" s="33" t="s">
        <v>115</v>
      </c>
      <c r="AA399" s="33" t="s">
        <v>115</v>
      </c>
      <c r="AB399" s="35" t="s">
        <v>115</v>
      </c>
      <c r="AC399" s="35"/>
      <c r="AD399" s="33">
        <v>0</v>
      </c>
      <c r="AE399" s="39">
        <v>0</v>
      </c>
      <c r="AF399" s="39">
        <v>0</v>
      </c>
      <c r="AG399" s="39">
        <v>0</v>
      </c>
      <c r="AH399" s="39">
        <v>7</v>
      </c>
      <c r="AI399" s="33">
        <v>0</v>
      </c>
      <c r="AJ399" s="33">
        <f t="shared" si="6"/>
        <v>7</v>
      </c>
      <c r="AO399"/>
      <c r="AP399"/>
      <c r="AQ399"/>
      <c r="AR399"/>
      <c r="AS399"/>
      <c r="AT399"/>
      <c r="AU399"/>
    </row>
    <row r="400" spans="1:47" s="33" customFormat="1" x14ac:dyDescent="0.2">
      <c r="A400" t="s">
        <v>1047</v>
      </c>
      <c r="B400" t="s">
        <v>1048</v>
      </c>
      <c r="C400">
        <v>6</v>
      </c>
      <c r="D400">
        <v>1</v>
      </c>
      <c r="E400" t="s">
        <v>2487</v>
      </c>
      <c r="F400" s="1">
        <v>43370</v>
      </c>
      <c r="G400" s="37" t="s">
        <v>4032</v>
      </c>
      <c r="H400" s="37" t="s">
        <v>4724</v>
      </c>
      <c r="I400" s="2">
        <v>2.0833333333333332E-2</v>
      </c>
      <c r="J400" s="176">
        <v>3.4722222222222224E-4</v>
      </c>
      <c r="K400" s="6">
        <v>30</v>
      </c>
      <c r="L400" t="s">
        <v>398</v>
      </c>
      <c r="M400" t="s">
        <v>176</v>
      </c>
      <c r="N400" s="7" t="s">
        <v>228</v>
      </c>
      <c r="O400" s="7" t="s">
        <v>23</v>
      </c>
      <c r="P400">
        <v>1</v>
      </c>
      <c r="Q400"/>
      <c r="R400">
        <v>0</v>
      </c>
      <c r="S400"/>
      <c r="T400" t="s">
        <v>461</v>
      </c>
      <c r="U400" t="s">
        <v>461</v>
      </c>
      <c r="V400" t="s">
        <v>333</v>
      </c>
      <c r="W400" t="s">
        <v>115</v>
      </c>
      <c r="X400" s="33" t="s">
        <v>115</v>
      </c>
      <c r="Y400" s="33" t="s">
        <v>115</v>
      </c>
      <c r="Z400" s="33" t="s">
        <v>115</v>
      </c>
      <c r="AA400" t="s">
        <v>115</v>
      </c>
      <c r="AB400" s="20" t="s">
        <v>115</v>
      </c>
      <c r="AC400" s="20"/>
      <c r="AD400" s="6">
        <v>0</v>
      </c>
      <c r="AE400" s="6">
        <v>16</v>
      </c>
      <c r="AF400" s="6">
        <v>16</v>
      </c>
      <c r="AG400" s="6">
        <v>0</v>
      </c>
      <c r="AH400" s="6">
        <v>0</v>
      </c>
      <c r="AI400">
        <v>0</v>
      </c>
      <c r="AJ400">
        <f t="shared" si="6"/>
        <v>16</v>
      </c>
      <c r="AK400"/>
      <c r="AL400"/>
      <c r="AM400"/>
      <c r="AN400"/>
      <c r="AO400"/>
      <c r="AP400"/>
      <c r="AQ400"/>
      <c r="AR400"/>
      <c r="AS400"/>
      <c r="AT400"/>
      <c r="AU400"/>
    </row>
    <row r="401" spans="1:47" s="33" customFormat="1" x14ac:dyDescent="0.2">
      <c r="A401" t="s">
        <v>1049</v>
      </c>
      <c r="B401" t="s">
        <v>1050</v>
      </c>
      <c r="C401">
        <v>7</v>
      </c>
      <c r="D401">
        <v>1</v>
      </c>
      <c r="E401" t="s">
        <v>2487</v>
      </c>
      <c r="F401" s="1">
        <v>43370</v>
      </c>
      <c r="G401" s="37" t="s">
        <v>4032</v>
      </c>
      <c r="H401" s="37" t="s">
        <v>4724</v>
      </c>
      <c r="I401" s="2">
        <v>2.013888888888889E-2</v>
      </c>
      <c r="J401" s="176">
        <v>3.3564814814814812E-4</v>
      </c>
      <c r="K401" s="6">
        <v>29</v>
      </c>
      <c r="L401" t="s">
        <v>398</v>
      </c>
      <c r="M401" t="s">
        <v>241</v>
      </c>
      <c r="N401" s="7" t="s">
        <v>111</v>
      </c>
      <c r="O401" s="7" t="s">
        <v>12</v>
      </c>
      <c r="P401">
        <v>0</v>
      </c>
      <c r="Q401"/>
      <c r="R401">
        <v>2</v>
      </c>
      <c r="S401" t="s">
        <v>490</v>
      </c>
      <c r="T401" t="s">
        <v>461</v>
      </c>
      <c r="U401" t="s">
        <v>461</v>
      </c>
      <c r="V401" t="s">
        <v>333</v>
      </c>
      <c r="W401" t="s">
        <v>3972</v>
      </c>
      <c r="X401" s="44" t="s">
        <v>12</v>
      </c>
      <c r="Y401" s="44" t="s">
        <v>3997</v>
      </c>
      <c r="Z401" s="44" t="s">
        <v>4005</v>
      </c>
      <c r="AA401" t="s">
        <v>24</v>
      </c>
      <c r="AB401" s="20">
        <v>63.72307</v>
      </c>
      <c r="AC401" s="20">
        <v>148.98291</v>
      </c>
      <c r="AD401" s="6">
        <v>0</v>
      </c>
      <c r="AE401" s="6">
        <v>0</v>
      </c>
      <c r="AF401" s="6">
        <v>0</v>
      </c>
      <c r="AG401" s="6">
        <v>0</v>
      </c>
      <c r="AH401" s="6">
        <v>0</v>
      </c>
      <c r="AI401">
        <v>0</v>
      </c>
      <c r="AJ401">
        <f t="shared" si="6"/>
        <v>0</v>
      </c>
      <c r="AK401"/>
      <c r="AL401" t="s">
        <v>1052</v>
      </c>
      <c r="AM401"/>
      <c r="AN401"/>
      <c r="AO401" s="4"/>
      <c r="AP401" s="4"/>
      <c r="AQ401" s="4"/>
      <c r="AR401" s="4"/>
      <c r="AS401" s="4"/>
      <c r="AT401" s="4"/>
      <c r="AU401" s="4"/>
    </row>
    <row r="402" spans="1:47" x14ac:dyDescent="0.2">
      <c r="A402" s="33" t="s">
        <v>1053</v>
      </c>
      <c r="B402" s="33" t="s">
        <v>1054</v>
      </c>
      <c r="C402" s="33">
        <v>1</v>
      </c>
      <c r="D402" s="33">
        <v>1</v>
      </c>
      <c r="E402" s="33" t="s">
        <v>324</v>
      </c>
      <c r="F402" s="37">
        <v>43370</v>
      </c>
      <c r="G402" s="37" t="s">
        <v>4032</v>
      </c>
      <c r="H402" s="37" t="s">
        <v>4724</v>
      </c>
      <c r="I402" s="36">
        <v>2.2222222222222223E-2</v>
      </c>
      <c r="J402" s="177">
        <v>3.7037037037037035E-4</v>
      </c>
      <c r="K402" s="39">
        <v>32</v>
      </c>
      <c r="L402" s="33" t="s">
        <v>397</v>
      </c>
      <c r="M402" s="33" t="s">
        <v>325</v>
      </c>
      <c r="N402" s="33" t="s">
        <v>102</v>
      </c>
      <c r="O402" s="33" t="s">
        <v>115</v>
      </c>
      <c r="P402" s="33">
        <v>1</v>
      </c>
      <c r="Q402" s="33"/>
      <c r="R402" s="33">
        <v>0</v>
      </c>
      <c r="S402" s="33"/>
      <c r="T402" t="s">
        <v>598</v>
      </c>
      <c r="U402" s="33" t="s">
        <v>1012</v>
      </c>
      <c r="V402" s="33" t="s">
        <v>122</v>
      </c>
      <c r="W402" s="33" t="s">
        <v>115</v>
      </c>
      <c r="X402" s="33" t="s">
        <v>115</v>
      </c>
      <c r="Y402" s="33" t="s">
        <v>115</v>
      </c>
      <c r="Z402" s="33" t="s">
        <v>115</v>
      </c>
      <c r="AA402" s="33" t="s">
        <v>115</v>
      </c>
      <c r="AB402" s="35" t="s">
        <v>115</v>
      </c>
      <c r="AC402" s="35"/>
      <c r="AD402" s="39">
        <v>0</v>
      </c>
      <c r="AE402" s="39">
        <v>0</v>
      </c>
      <c r="AF402" s="39">
        <v>0</v>
      </c>
      <c r="AG402" s="39">
        <v>0</v>
      </c>
      <c r="AH402" s="39">
        <v>26</v>
      </c>
      <c r="AI402" s="33">
        <v>0</v>
      </c>
      <c r="AJ402" s="33">
        <f t="shared" si="6"/>
        <v>26</v>
      </c>
      <c r="AK402" s="33"/>
      <c r="AL402" s="33"/>
      <c r="AM402" s="33"/>
      <c r="AN402" s="33"/>
    </row>
    <row r="403" spans="1:47" s="33" customFormat="1" x14ac:dyDescent="0.2">
      <c r="A403" t="s">
        <v>1055</v>
      </c>
      <c r="B403" t="s">
        <v>1056</v>
      </c>
      <c r="C403">
        <v>2</v>
      </c>
      <c r="D403">
        <v>1</v>
      </c>
      <c r="E403" t="s">
        <v>324</v>
      </c>
      <c r="F403" s="1">
        <v>43370</v>
      </c>
      <c r="G403" s="37" t="s">
        <v>4032</v>
      </c>
      <c r="H403" s="37" t="s">
        <v>4724</v>
      </c>
      <c r="I403" s="2">
        <v>7.6388888888888886E-3</v>
      </c>
      <c r="J403" s="176">
        <v>1.273148148148148E-4</v>
      </c>
      <c r="K403" s="6">
        <v>11</v>
      </c>
      <c r="L403" t="s">
        <v>397</v>
      </c>
      <c r="M403" t="s">
        <v>325</v>
      </c>
      <c r="N403" s="7" t="s">
        <v>111</v>
      </c>
      <c r="O403" s="7" t="s">
        <v>23</v>
      </c>
      <c r="P403">
        <v>0</v>
      </c>
      <c r="Q403"/>
      <c r="R403">
        <v>1</v>
      </c>
      <c r="S403"/>
      <c r="T403" t="s">
        <v>598</v>
      </c>
      <c r="U403" t="s">
        <v>1012</v>
      </c>
      <c r="V403" t="s">
        <v>115</v>
      </c>
      <c r="W403" t="s">
        <v>1057</v>
      </c>
      <c r="X403" s="33" t="s">
        <v>23</v>
      </c>
      <c r="Y403" s="33" t="s">
        <v>3999</v>
      </c>
      <c r="Z403" s="33" t="s">
        <v>4005</v>
      </c>
      <c r="AA403">
        <v>3</v>
      </c>
      <c r="AB403" s="20">
        <v>63.724089999999997</v>
      </c>
      <c r="AC403" s="20">
        <v>148.88977</v>
      </c>
      <c r="AD403" s="6">
        <v>0</v>
      </c>
      <c r="AE403" s="6">
        <v>0</v>
      </c>
      <c r="AF403" s="6">
        <v>0</v>
      </c>
      <c r="AG403" s="6">
        <v>0</v>
      </c>
      <c r="AH403" s="6">
        <v>0</v>
      </c>
      <c r="AI403">
        <v>0</v>
      </c>
      <c r="AJ403">
        <f t="shared" si="6"/>
        <v>0</v>
      </c>
      <c r="AK403"/>
      <c r="AL403" t="s">
        <v>1058</v>
      </c>
      <c r="AM403"/>
      <c r="AN403"/>
      <c r="AO403"/>
      <c r="AP403"/>
      <c r="AQ403"/>
      <c r="AR403"/>
      <c r="AS403"/>
      <c r="AT403"/>
      <c r="AU403"/>
    </row>
    <row r="404" spans="1:47" x14ac:dyDescent="0.2">
      <c r="A404" s="33" t="s">
        <v>1059</v>
      </c>
      <c r="B404" s="33" t="s">
        <v>1060</v>
      </c>
      <c r="C404" s="33">
        <v>3</v>
      </c>
      <c r="D404" s="33">
        <v>1</v>
      </c>
      <c r="E404" s="33" t="s">
        <v>324</v>
      </c>
      <c r="F404" s="37">
        <v>43370</v>
      </c>
      <c r="G404" s="37" t="s">
        <v>4032</v>
      </c>
      <c r="H404" s="37" t="s">
        <v>4724</v>
      </c>
      <c r="I404" s="36">
        <v>2.013888888888889E-2</v>
      </c>
      <c r="J404" s="177">
        <v>3.3564814814814812E-4</v>
      </c>
      <c r="K404" s="39">
        <v>29</v>
      </c>
      <c r="L404" s="33" t="s">
        <v>397</v>
      </c>
      <c r="M404" s="33" t="s">
        <v>325</v>
      </c>
      <c r="N404" s="33" t="s">
        <v>187</v>
      </c>
      <c r="O404" s="33" t="s">
        <v>23</v>
      </c>
      <c r="P404" s="33">
        <v>1</v>
      </c>
      <c r="Q404" s="33"/>
      <c r="R404" s="33">
        <v>1</v>
      </c>
      <c r="S404" s="33"/>
      <c r="T404" t="s">
        <v>176</v>
      </c>
      <c r="U404" s="33" t="s">
        <v>176</v>
      </c>
      <c r="V404" s="33" t="s">
        <v>122</v>
      </c>
      <c r="W404" s="33" t="s">
        <v>1057</v>
      </c>
      <c r="X404" s="33" t="s">
        <v>23</v>
      </c>
      <c r="Y404" s="33" t="s">
        <v>3999</v>
      </c>
      <c r="Z404" s="33" t="s">
        <v>4005</v>
      </c>
      <c r="AA404" s="33">
        <v>17</v>
      </c>
      <c r="AB404" s="35">
        <v>63.723649999999999</v>
      </c>
      <c r="AC404" s="35">
        <v>148.88979</v>
      </c>
      <c r="AD404" s="39">
        <v>0</v>
      </c>
      <c r="AE404" s="39">
        <v>0</v>
      </c>
      <c r="AF404" s="39">
        <v>0</v>
      </c>
      <c r="AG404" s="39">
        <v>0</v>
      </c>
      <c r="AH404" s="39">
        <v>1</v>
      </c>
      <c r="AI404" s="33">
        <v>0</v>
      </c>
      <c r="AJ404" s="33">
        <f t="shared" si="6"/>
        <v>1</v>
      </c>
      <c r="AK404" s="33"/>
      <c r="AL404" s="33" t="s">
        <v>1061</v>
      </c>
      <c r="AM404" s="33"/>
      <c r="AN404" s="33"/>
    </row>
    <row r="405" spans="1:47" x14ac:dyDescent="0.2">
      <c r="A405" t="s">
        <v>1286</v>
      </c>
      <c r="B405" t="s">
        <v>1287</v>
      </c>
      <c r="C405">
        <v>3</v>
      </c>
      <c r="D405">
        <v>1</v>
      </c>
      <c r="E405" t="s">
        <v>324</v>
      </c>
      <c r="F405" s="1">
        <v>43384</v>
      </c>
      <c r="G405" s="37" t="s">
        <v>4033</v>
      </c>
      <c r="H405" s="37" t="s">
        <v>4724</v>
      </c>
      <c r="I405" s="2">
        <v>1.8055555555555557E-2</v>
      </c>
      <c r="J405" s="176">
        <v>3.0092592592592595E-4</v>
      </c>
      <c r="K405" s="6">
        <v>26</v>
      </c>
      <c r="M405" s="7" t="s">
        <v>337</v>
      </c>
      <c r="N405" s="7" t="s">
        <v>221</v>
      </c>
      <c r="O405" s="7" t="s">
        <v>12</v>
      </c>
      <c r="P405" s="7" t="s">
        <v>24</v>
      </c>
      <c r="Q405" s="7"/>
      <c r="R405" s="7" t="s">
        <v>24</v>
      </c>
      <c r="T405" t="s">
        <v>176</v>
      </c>
      <c r="U405" t="s">
        <v>176</v>
      </c>
      <c r="V405" s="7" t="s">
        <v>604</v>
      </c>
      <c r="W405" s="7" t="s">
        <v>604</v>
      </c>
      <c r="X405" s="7"/>
      <c r="Y405" s="7"/>
      <c r="Z405" s="7"/>
      <c r="AA405" s="7" t="s">
        <v>24</v>
      </c>
      <c r="AB405" s="20">
        <v>63.724080000000001</v>
      </c>
      <c r="AC405" s="20">
        <v>148.88910000000001</v>
      </c>
      <c r="AD405" s="6">
        <v>0</v>
      </c>
      <c r="AE405" s="6">
        <v>0</v>
      </c>
      <c r="AF405" s="6">
        <v>0</v>
      </c>
      <c r="AG405" s="6">
        <v>0</v>
      </c>
      <c r="AH405" s="6">
        <v>0</v>
      </c>
      <c r="AI405">
        <v>0</v>
      </c>
      <c r="AJ405">
        <f t="shared" si="6"/>
        <v>0</v>
      </c>
      <c r="AL405" t="s">
        <v>1288</v>
      </c>
    </row>
    <row r="406" spans="1:47" x14ac:dyDescent="0.2">
      <c r="A406" t="s">
        <v>1063</v>
      </c>
      <c r="B406" t="s">
        <v>1064</v>
      </c>
      <c r="C406">
        <v>4</v>
      </c>
      <c r="D406">
        <v>1</v>
      </c>
      <c r="E406" t="s">
        <v>324</v>
      </c>
      <c r="F406" s="1">
        <v>43370</v>
      </c>
      <c r="G406" s="37" t="s">
        <v>4032</v>
      </c>
      <c r="H406" s="37" t="s">
        <v>4724</v>
      </c>
      <c r="I406" s="2">
        <v>1.6666666666666666E-2</v>
      </c>
      <c r="J406" s="176">
        <v>2.7777777777777778E-4</v>
      </c>
      <c r="K406" s="6">
        <v>24</v>
      </c>
      <c r="L406" t="s">
        <v>397</v>
      </c>
      <c r="M406" t="s">
        <v>325</v>
      </c>
      <c r="N406" s="7" t="s">
        <v>107</v>
      </c>
      <c r="O406" s="7" t="s">
        <v>23</v>
      </c>
      <c r="P406">
        <v>1</v>
      </c>
      <c r="R406">
        <v>0</v>
      </c>
      <c r="T406" t="s">
        <v>176</v>
      </c>
      <c r="U406" t="s">
        <v>176</v>
      </c>
      <c r="V406" t="s">
        <v>24</v>
      </c>
      <c r="W406" t="s">
        <v>115</v>
      </c>
      <c r="X406" s="33" t="s">
        <v>115</v>
      </c>
      <c r="Y406" s="33" t="s">
        <v>115</v>
      </c>
      <c r="Z406" s="33" t="s">
        <v>115</v>
      </c>
      <c r="AA406" t="s">
        <v>115</v>
      </c>
      <c r="AB406" s="19" t="s">
        <v>115</v>
      </c>
      <c r="AD406" s="6">
        <v>0</v>
      </c>
      <c r="AE406" s="6">
        <v>0</v>
      </c>
      <c r="AF406" s="6">
        <v>0</v>
      </c>
      <c r="AG406" s="6">
        <v>0</v>
      </c>
      <c r="AH406" s="6">
        <v>0</v>
      </c>
      <c r="AI406">
        <v>0</v>
      </c>
      <c r="AJ406">
        <f t="shared" si="6"/>
        <v>0</v>
      </c>
    </row>
    <row r="407" spans="1:47" s="33" customFormat="1" x14ac:dyDescent="0.2">
      <c r="A407" s="33" t="s">
        <v>1065</v>
      </c>
      <c r="B407" s="33" t="s">
        <v>1066</v>
      </c>
      <c r="C407" s="33">
        <v>5</v>
      </c>
      <c r="D407" s="33">
        <v>1</v>
      </c>
      <c r="E407" s="33" t="s">
        <v>324</v>
      </c>
      <c r="F407" s="37">
        <v>43370</v>
      </c>
      <c r="G407" s="37" t="s">
        <v>4032</v>
      </c>
      <c r="H407" s="37" t="s">
        <v>4724</v>
      </c>
      <c r="I407" s="36">
        <v>2.1527777777777781E-2</v>
      </c>
      <c r="J407" s="177">
        <v>3.5879629629629635E-4</v>
      </c>
      <c r="K407" s="39">
        <v>31</v>
      </c>
      <c r="L407" s="33" t="s">
        <v>397</v>
      </c>
      <c r="M407" s="33" t="s">
        <v>176</v>
      </c>
      <c r="N407" s="33" t="s">
        <v>187</v>
      </c>
      <c r="O407" s="33" t="s">
        <v>23</v>
      </c>
      <c r="P407" s="33">
        <v>1</v>
      </c>
      <c r="R407" s="33">
        <v>1</v>
      </c>
      <c r="T407" t="s">
        <v>176</v>
      </c>
      <c r="U407" s="33" t="s">
        <v>176</v>
      </c>
      <c r="V407" s="33" t="s">
        <v>122</v>
      </c>
      <c r="W407" s="33" t="s">
        <v>3963</v>
      </c>
      <c r="X407" s="33" t="s">
        <v>23</v>
      </c>
      <c r="Y407" s="33" t="s">
        <v>3997</v>
      </c>
      <c r="Z407" s="33" t="s">
        <v>4007</v>
      </c>
      <c r="AA407" s="33">
        <v>10</v>
      </c>
      <c r="AB407" s="35">
        <v>63.724850000000004</v>
      </c>
      <c r="AC407" s="35">
        <v>148.88839999999999</v>
      </c>
      <c r="AD407" s="39">
        <v>0</v>
      </c>
      <c r="AE407" s="39">
        <v>0</v>
      </c>
      <c r="AF407" s="39">
        <v>0</v>
      </c>
      <c r="AG407" s="39">
        <v>0</v>
      </c>
      <c r="AH407" s="39">
        <v>2</v>
      </c>
      <c r="AI407" s="33">
        <v>0</v>
      </c>
      <c r="AJ407" s="33">
        <f t="shared" si="6"/>
        <v>2</v>
      </c>
      <c r="AL407" s="33" t="s">
        <v>4974</v>
      </c>
      <c r="AO407"/>
      <c r="AP407"/>
      <c r="AQ407"/>
      <c r="AR407"/>
      <c r="AS407"/>
      <c r="AT407"/>
      <c r="AU407"/>
    </row>
    <row r="408" spans="1:47" x14ac:dyDescent="0.2">
      <c r="A408" s="33" t="s">
        <v>1068</v>
      </c>
      <c r="B408" s="33" t="s">
        <v>2082</v>
      </c>
      <c r="C408" s="33">
        <v>6</v>
      </c>
      <c r="D408" s="33">
        <v>1</v>
      </c>
      <c r="E408" s="33" t="s">
        <v>324</v>
      </c>
      <c r="F408" s="37">
        <v>43370</v>
      </c>
      <c r="G408" s="37" t="s">
        <v>4032</v>
      </c>
      <c r="H408" s="37" t="s">
        <v>4724</v>
      </c>
      <c r="I408" s="36">
        <v>1.5972222222222224E-2</v>
      </c>
      <c r="J408" s="177">
        <v>2.6620370370370372E-4</v>
      </c>
      <c r="K408" s="39">
        <v>23</v>
      </c>
      <c r="L408" s="33" t="s">
        <v>397</v>
      </c>
      <c r="M408" s="33" t="s">
        <v>325</v>
      </c>
      <c r="N408" s="33" t="s">
        <v>102</v>
      </c>
      <c r="O408" s="33" t="s">
        <v>115</v>
      </c>
      <c r="P408" s="33" t="s">
        <v>24</v>
      </c>
      <c r="Q408" s="33"/>
      <c r="R408" s="33">
        <v>0</v>
      </c>
      <c r="S408" s="33"/>
      <c r="T408" t="s">
        <v>176</v>
      </c>
      <c r="U408" s="33" t="s">
        <v>176</v>
      </c>
      <c r="V408" s="33" t="s">
        <v>115</v>
      </c>
      <c r="W408" s="33" t="s">
        <v>115</v>
      </c>
      <c r="X408" s="33" t="s">
        <v>115</v>
      </c>
      <c r="Y408" s="33" t="s">
        <v>115</v>
      </c>
      <c r="Z408" s="33" t="s">
        <v>115</v>
      </c>
      <c r="AA408" s="33" t="s">
        <v>115</v>
      </c>
      <c r="AB408" s="35" t="s">
        <v>115</v>
      </c>
      <c r="AC408" s="35"/>
      <c r="AD408" s="39">
        <v>0</v>
      </c>
      <c r="AE408" s="39">
        <v>0</v>
      </c>
      <c r="AF408" s="39">
        <v>0</v>
      </c>
      <c r="AG408" s="39">
        <v>0</v>
      </c>
      <c r="AH408" s="39">
        <v>9</v>
      </c>
      <c r="AI408" s="33">
        <v>0</v>
      </c>
      <c r="AJ408" s="33">
        <f t="shared" si="6"/>
        <v>9</v>
      </c>
      <c r="AK408" s="33"/>
      <c r="AL408" s="33"/>
      <c r="AM408" s="33"/>
      <c r="AN408" s="33"/>
    </row>
    <row r="409" spans="1:47" s="33" customFormat="1" x14ac:dyDescent="0.2">
      <c r="A409" t="s">
        <v>1073</v>
      </c>
      <c r="B409" t="s">
        <v>1079</v>
      </c>
      <c r="C409">
        <v>1</v>
      </c>
      <c r="D409">
        <v>1</v>
      </c>
      <c r="E409" t="s">
        <v>3171</v>
      </c>
      <c r="F409" s="1">
        <v>43371</v>
      </c>
      <c r="G409" s="37" t="s">
        <v>4032</v>
      </c>
      <c r="H409" s="37" t="s">
        <v>4724</v>
      </c>
      <c r="I409" s="2">
        <v>9.0277777777777787E-3</v>
      </c>
      <c r="J409" s="176">
        <v>1.5046296296296297E-4</v>
      </c>
      <c r="K409" s="6">
        <v>13</v>
      </c>
      <c r="L409" t="s">
        <v>483</v>
      </c>
      <c r="M409" t="s">
        <v>176</v>
      </c>
      <c r="N409" s="7" t="s">
        <v>111</v>
      </c>
      <c r="O409" s="7" t="s">
        <v>23</v>
      </c>
      <c r="P409">
        <v>0</v>
      </c>
      <c r="Q409"/>
      <c r="R409">
        <v>1</v>
      </c>
      <c r="S409"/>
      <c r="T409" t="s">
        <v>176</v>
      </c>
      <c r="U409" t="s">
        <v>176</v>
      </c>
      <c r="V409" t="s">
        <v>24</v>
      </c>
      <c r="W409" t="s">
        <v>2068</v>
      </c>
      <c r="X409" s="33" t="s">
        <v>23</v>
      </c>
      <c r="Y409" s="33" t="s">
        <v>3997</v>
      </c>
      <c r="Z409" s="33" t="s">
        <v>4005</v>
      </c>
      <c r="AA409" t="s">
        <v>24</v>
      </c>
      <c r="AB409" s="19">
        <v>63.723210000000002</v>
      </c>
      <c r="AC409" s="19">
        <v>148.95068000000001</v>
      </c>
      <c r="AD409" s="6">
        <v>0</v>
      </c>
      <c r="AE409" s="6">
        <v>0</v>
      </c>
      <c r="AF409" s="6">
        <v>0</v>
      </c>
      <c r="AG409" s="6">
        <v>0</v>
      </c>
      <c r="AH409" s="6">
        <v>0</v>
      </c>
      <c r="AI409">
        <v>0</v>
      </c>
      <c r="AJ409">
        <f t="shared" si="6"/>
        <v>0</v>
      </c>
      <c r="AK409"/>
      <c r="AL409"/>
      <c r="AM409"/>
      <c r="AN409"/>
      <c r="AQ409" s="34"/>
    </row>
    <row r="410" spans="1:47" x14ac:dyDescent="0.2">
      <c r="A410" t="s">
        <v>1074</v>
      </c>
      <c r="B410" t="s">
        <v>1075</v>
      </c>
      <c r="C410">
        <v>2</v>
      </c>
      <c r="D410">
        <v>1</v>
      </c>
      <c r="E410" t="s">
        <v>3171</v>
      </c>
      <c r="F410" s="1">
        <v>43371</v>
      </c>
      <c r="G410" s="37" t="s">
        <v>4032</v>
      </c>
      <c r="H410" s="37" t="s">
        <v>4724</v>
      </c>
      <c r="I410" s="17">
        <v>8.3333333333333332E-3</v>
      </c>
      <c r="J410" s="176">
        <v>1.3888888888888889E-4</v>
      </c>
      <c r="K410" s="6">
        <v>12</v>
      </c>
      <c r="L410" t="s">
        <v>483</v>
      </c>
      <c r="M410" t="s">
        <v>670</v>
      </c>
      <c r="N410" s="7" t="s">
        <v>242</v>
      </c>
      <c r="O410" s="7" t="s">
        <v>23</v>
      </c>
      <c r="P410">
        <v>1</v>
      </c>
      <c r="R410">
        <v>1</v>
      </c>
      <c r="T410" t="s">
        <v>598</v>
      </c>
      <c r="U410" t="s">
        <v>2108</v>
      </c>
      <c r="V410" t="s">
        <v>122</v>
      </c>
      <c r="W410" t="s">
        <v>3965</v>
      </c>
      <c r="X410" s="33" t="s">
        <v>23</v>
      </c>
      <c r="Y410" s="33" t="s">
        <v>3997</v>
      </c>
      <c r="Z410" s="33" t="s">
        <v>4002</v>
      </c>
      <c r="AA410">
        <v>15</v>
      </c>
      <c r="AB410" s="19">
        <v>63.722380000000001</v>
      </c>
      <c r="AC410" s="19">
        <v>148.95303000000001</v>
      </c>
      <c r="AD410" s="6">
        <v>0</v>
      </c>
      <c r="AE410" s="6">
        <v>0</v>
      </c>
      <c r="AF410" s="6">
        <v>0</v>
      </c>
      <c r="AG410" s="6">
        <v>0</v>
      </c>
      <c r="AH410" s="6">
        <v>0</v>
      </c>
      <c r="AI410">
        <v>0</v>
      </c>
      <c r="AJ410">
        <f t="shared" si="6"/>
        <v>0</v>
      </c>
    </row>
    <row r="411" spans="1:47" s="33" customFormat="1" x14ac:dyDescent="0.2">
      <c r="A411" t="s">
        <v>1077</v>
      </c>
      <c r="B411" t="s">
        <v>1078</v>
      </c>
      <c r="C411">
        <v>3</v>
      </c>
      <c r="D411">
        <v>1</v>
      </c>
      <c r="E411" t="s">
        <v>3171</v>
      </c>
      <c r="F411" s="1">
        <v>43371</v>
      </c>
      <c r="G411" s="37" t="s">
        <v>4032</v>
      </c>
      <c r="H411" s="37" t="s">
        <v>4724</v>
      </c>
      <c r="I411" s="2">
        <v>1.3194444444444444E-2</v>
      </c>
      <c r="J411" s="176">
        <v>2.199074074074074E-4</v>
      </c>
      <c r="K411" s="6">
        <v>19</v>
      </c>
      <c r="L411" t="s">
        <v>483</v>
      </c>
      <c r="M411" t="s">
        <v>670</v>
      </c>
      <c r="N411" s="7" t="s">
        <v>102</v>
      </c>
      <c r="O411" s="7" t="s">
        <v>23</v>
      </c>
      <c r="P411">
        <v>1</v>
      </c>
      <c r="Q411"/>
      <c r="R411">
        <v>0</v>
      </c>
      <c r="S411"/>
      <c r="T411" t="s">
        <v>176</v>
      </c>
      <c r="U411" t="s">
        <v>176</v>
      </c>
      <c r="V411" t="s">
        <v>1080</v>
      </c>
      <c r="W411" t="s">
        <v>115</v>
      </c>
      <c r="X411" s="33" t="s">
        <v>115</v>
      </c>
      <c r="Y411" s="33" t="s">
        <v>115</v>
      </c>
      <c r="Z411" s="33" t="s">
        <v>115</v>
      </c>
      <c r="AA411" t="s">
        <v>115</v>
      </c>
      <c r="AB411" s="19" t="s">
        <v>115</v>
      </c>
      <c r="AC411" s="19"/>
      <c r="AD411" s="6">
        <v>0</v>
      </c>
      <c r="AE411" s="6">
        <v>0</v>
      </c>
      <c r="AF411" s="6">
        <v>0</v>
      </c>
      <c r="AG411" s="6">
        <v>0</v>
      </c>
      <c r="AH411" s="6">
        <v>0</v>
      </c>
      <c r="AI411">
        <v>0</v>
      </c>
      <c r="AJ411">
        <f t="shared" si="6"/>
        <v>0</v>
      </c>
      <c r="AK411"/>
      <c r="AL411" t="s">
        <v>1081</v>
      </c>
      <c r="AM411"/>
      <c r="AN411"/>
      <c r="AO411"/>
      <c r="AP411"/>
      <c r="AQ411"/>
      <c r="AR411"/>
      <c r="AS411"/>
      <c r="AT411"/>
      <c r="AU411"/>
    </row>
    <row r="412" spans="1:47" s="33" customFormat="1" x14ac:dyDescent="0.2">
      <c r="A412" t="s">
        <v>1082</v>
      </c>
      <c r="B412" t="s">
        <v>1083</v>
      </c>
      <c r="C412">
        <v>4</v>
      </c>
      <c r="D412">
        <v>1</v>
      </c>
      <c r="E412" t="s">
        <v>3171</v>
      </c>
      <c r="F412" s="1">
        <v>43371</v>
      </c>
      <c r="G412" s="37" t="s">
        <v>4032</v>
      </c>
      <c r="H412" s="37" t="s">
        <v>4724</v>
      </c>
      <c r="I412" s="2">
        <v>1.4583333333333332E-2</v>
      </c>
      <c r="J412" s="176">
        <v>2.4305555555555552E-4</v>
      </c>
      <c r="K412" s="6">
        <v>21</v>
      </c>
      <c r="L412" t="s">
        <v>483</v>
      </c>
      <c r="M412" t="s">
        <v>670</v>
      </c>
      <c r="N412" s="7" t="s">
        <v>111</v>
      </c>
      <c r="O412" s="7" t="s">
        <v>23</v>
      </c>
      <c r="P412">
        <v>0</v>
      </c>
      <c r="Q412"/>
      <c r="R412">
        <v>1</v>
      </c>
      <c r="S412"/>
      <c r="T412" t="s">
        <v>176</v>
      </c>
      <c r="U412" t="s">
        <v>176</v>
      </c>
      <c r="V412" t="s">
        <v>1080</v>
      </c>
      <c r="W412" s="7" t="s">
        <v>1035</v>
      </c>
      <c r="X412" s="33" t="s">
        <v>23</v>
      </c>
      <c r="Y412" s="33" t="s">
        <v>3997</v>
      </c>
      <c r="Z412" s="33" t="s">
        <v>4006</v>
      </c>
      <c r="AA412">
        <v>9</v>
      </c>
      <c r="AB412" s="19">
        <v>63.722709999999999</v>
      </c>
      <c r="AC412" s="19">
        <v>148.9539</v>
      </c>
      <c r="AD412" s="6">
        <v>0</v>
      </c>
      <c r="AE412" s="6">
        <v>0</v>
      </c>
      <c r="AF412" s="6">
        <v>0</v>
      </c>
      <c r="AG412" s="6">
        <v>0</v>
      </c>
      <c r="AH412" s="6">
        <v>0</v>
      </c>
      <c r="AI412">
        <v>0</v>
      </c>
      <c r="AJ412">
        <f t="shared" si="6"/>
        <v>0</v>
      </c>
      <c r="AK412"/>
      <c r="AL412"/>
      <c r="AM412"/>
      <c r="AN412"/>
      <c r="AQ412" s="34"/>
    </row>
    <row r="413" spans="1:47" s="33" customFormat="1" x14ac:dyDescent="0.2">
      <c r="A413" t="s">
        <v>1084</v>
      </c>
      <c r="B413" t="s">
        <v>1085</v>
      </c>
      <c r="C413">
        <v>5</v>
      </c>
      <c r="D413">
        <v>1</v>
      </c>
      <c r="E413" t="s">
        <v>3171</v>
      </c>
      <c r="F413" s="1">
        <v>43371</v>
      </c>
      <c r="G413" s="37" t="s">
        <v>4032</v>
      </c>
      <c r="H413" s="37" t="s">
        <v>4724</v>
      </c>
      <c r="I413" s="2">
        <v>1.6666666666666666E-2</v>
      </c>
      <c r="J413" s="176">
        <v>2.7777777777777778E-4</v>
      </c>
      <c r="K413" s="6">
        <v>24</v>
      </c>
      <c r="L413" t="s">
        <v>483</v>
      </c>
      <c r="M413" t="s">
        <v>670</v>
      </c>
      <c r="N413" s="7" t="s">
        <v>111</v>
      </c>
      <c r="O413" s="7" t="s">
        <v>23</v>
      </c>
      <c r="P413">
        <v>0</v>
      </c>
      <c r="Q413"/>
      <c r="R413">
        <v>1</v>
      </c>
      <c r="S413"/>
      <c r="T413" t="s">
        <v>176</v>
      </c>
      <c r="U413" t="s">
        <v>176</v>
      </c>
      <c r="V413" t="s">
        <v>1086</v>
      </c>
      <c r="W413" t="s">
        <v>2061</v>
      </c>
      <c r="X413" s="33" t="s">
        <v>23</v>
      </c>
      <c r="Y413" s="33" t="s">
        <v>3997</v>
      </c>
      <c r="Z413" s="33" t="s">
        <v>4006</v>
      </c>
      <c r="AA413">
        <v>4</v>
      </c>
      <c r="AB413" s="19">
        <v>63.722920000000002</v>
      </c>
      <c r="AC413" s="19">
        <v>148.95419000000001</v>
      </c>
      <c r="AD413" s="6">
        <v>0</v>
      </c>
      <c r="AE413" s="6">
        <v>0</v>
      </c>
      <c r="AF413" s="6">
        <v>0</v>
      </c>
      <c r="AG413" s="6">
        <v>0</v>
      </c>
      <c r="AH413" s="6">
        <v>0</v>
      </c>
      <c r="AI413">
        <v>0</v>
      </c>
      <c r="AJ413">
        <f t="shared" si="6"/>
        <v>0</v>
      </c>
      <c r="AK413"/>
      <c r="AL413"/>
      <c r="AM413"/>
      <c r="AN413"/>
      <c r="AO413"/>
      <c r="AP413"/>
      <c r="AQ413"/>
      <c r="AR413"/>
      <c r="AS413"/>
      <c r="AT413"/>
      <c r="AU413"/>
    </row>
    <row r="414" spans="1:47" hidden="1" x14ac:dyDescent="0.2">
      <c r="A414" t="s">
        <v>1084</v>
      </c>
      <c r="B414" t="s">
        <v>1085</v>
      </c>
      <c r="C414">
        <v>5</v>
      </c>
      <c r="D414">
        <v>2</v>
      </c>
      <c r="E414" t="s">
        <v>3171</v>
      </c>
      <c r="F414" s="1">
        <v>43371</v>
      </c>
      <c r="G414" s="37" t="s">
        <v>4032</v>
      </c>
      <c r="H414" s="37" t="s">
        <v>4724</v>
      </c>
      <c r="I414" s="2">
        <v>1.6666666666666666E-2</v>
      </c>
      <c r="J414" s="176">
        <v>2.7777777777777778E-4</v>
      </c>
      <c r="K414" s="6">
        <v>24</v>
      </c>
      <c r="L414" t="s">
        <v>483</v>
      </c>
      <c r="M414" t="s">
        <v>670</v>
      </c>
      <c r="N414" s="7" t="s">
        <v>111</v>
      </c>
      <c r="O414" s="7" t="s">
        <v>23</v>
      </c>
      <c r="P414">
        <v>0</v>
      </c>
      <c r="R414">
        <v>1</v>
      </c>
      <c r="T414" t="s">
        <v>176</v>
      </c>
      <c r="U414" t="s">
        <v>176</v>
      </c>
      <c r="V414" t="s">
        <v>1086</v>
      </c>
      <c r="W414" t="s">
        <v>2061</v>
      </c>
      <c r="X414" s="33" t="s">
        <v>23</v>
      </c>
      <c r="Y414" s="33" t="s">
        <v>3997</v>
      </c>
      <c r="Z414" s="33" t="s">
        <v>4006</v>
      </c>
      <c r="AA414">
        <v>10</v>
      </c>
      <c r="AB414" s="19">
        <v>63.722839999999998</v>
      </c>
      <c r="AC414" s="19">
        <v>148.95433</v>
      </c>
      <c r="AD414" s="6">
        <v>0</v>
      </c>
      <c r="AE414" s="6">
        <v>0</v>
      </c>
      <c r="AF414" s="6">
        <v>0</v>
      </c>
      <c r="AG414" s="6">
        <v>0</v>
      </c>
      <c r="AH414" s="6">
        <v>0</v>
      </c>
      <c r="AI414">
        <v>0</v>
      </c>
      <c r="AJ414">
        <f t="shared" si="6"/>
        <v>0</v>
      </c>
    </row>
    <row r="415" spans="1:47" x14ac:dyDescent="0.2">
      <c r="A415" t="s">
        <v>1088</v>
      </c>
      <c r="B415" t="s">
        <v>4976</v>
      </c>
      <c r="C415">
        <v>1</v>
      </c>
      <c r="D415">
        <v>1</v>
      </c>
      <c r="E415" t="s">
        <v>2601</v>
      </c>
      <c r="F415" s="1">
        <v>43376</v>
      </c>
      <c r="G415" s="37" t="s">
        <v>4033</v>
      </c>
      <c r="H415" s="37" t="s">
        <v>4724</v>
      </c>
      <c r="I415" s="2">
        <v>4.1666666666666664E-2</v>
      </c>
      <c r="J415" s="176">
        <v>6.9444444444444447E-4</v>
      </c>
      <c r="K415" s="6">
        <v>60</v>
      </c>
      <c r="L415" t="s">
        <v>483</v>
      </c>
      <c r="M415" t="s">
        <v>176</v>
      </c>
      <c r="N415" s="7" t="s">
        <v>102</v>
      </c>
      <c r="O415" s="7" t="s">
        <v>23</v>
      </c>
      <c r="P415">
        <v>1</v>
      </c>
      <c r="R415">
        <v>0</v>
      </c>
      <c r="T415" t="s">
        <v>176</v>
      </c>
      <c r="U415" t="s">
        <v>176</v>
      </c>
      <c r="V415" t="s">
        <v>948</v>
      </c>
      <c r="W415" t="s">
        <v>115</v>
      </c>
      <c r="X415" s="33" t="s">
        <v>115</v>
      </c>
      <c r="Y415" s="33" t="s">
        <v>115</v>
      </c>
      <c r="Z415" s="33" t="s">
        <v>115</v>
      </c>
      <c r="AA415" t="s">
        <v>115</v>
      </c>
      <c r="AB415" s="19" t="s">
        <v>115</v>
      </c>
      <c r="AD415" s="6">
        <v>0</v>
      </c>
      <c r="AE415" s="6">
        <v>13</v>
      </c>
      <c r="AF415" s="6">
        <v>0</v>
      </c>
      <c r="AG415" s="6">
        <v>13</v>
      </c>
      <c r="AH415" s="6">
        <v>0</v>
      </c>
      <c r="AI415">
        <v>0</v>
      </c>
      <c r="AJ415">
        <f t="shared" si="6"/>
        <v>13</v>
      </c>
      <c r="AK415" t="s">
        <v>103</v>
      </c>
      <c r="AL415" t="s">
        <v>1089</v>
      </c>
      <c r="AO415" s="33"/>
      <c r="AP415" s="33"/>
      <c r="AQ415" s="34"/>
      <c r="AR415" s="33"/>
      <c r="AS415" s="33"/>
      <c r="AT415" s="33"/>
      <c r="AU415" s="33"/>
    </row>
    <row r="416" spans="1:47" x14ac:dyDescent="0.2">
      <c r="A416" t="s">
        <v>1090</v>
      </c>
      <c r="B416" t="s">
        <v>1091</v>
      </c>
      <c r="C416">
        <v>1</v>
      </c>
      <c r="D416">
        <v>1</v>
      </c>
      <c r="E416" t="s">
        <v>324</v>
      </c>
      <c r="F416" s="1">
        <v>43377</v>
      </c>
      <c r="G416" s="37" t="s">
        <v>4033</v>
      </c>
      <c r="H416" s="37" t="s">
        <v>4724</v>
      </c>
      <c r="I416" s="2">
        <v>6.2499999999999995E-3</v>
      </c>
      <c r="J416" s="176">
        <v>1.0416666666666667E-4</v>
      </c>
      <c r="K416" s="6">
        <v>9</v>
      </c>
      <c r="L416" t="s">
        <v>397</v>
      </c>
      <c r="M416" s="7" t="s">
        <v>325</v>
      </c>
      <c r="N416" s="7" t="s">
        <v>102</v>
      </c>
      <c r="O416" s="7" t="s">
        <v>115</v>
      </c>
      <c r="P416">
        <v>1</v>
      </c>
      <c r="R416">
        <v>0</v>
      </c>
      <c r="T416" t="s">
        <v>176</v>
      </c>
      <c r="U416" t="s">
        <v>176</v>
      </c>
      <c r="V416" t="s">
        <v>122</v>
      </c>
      <c r="W416" t="s">
        <v>115</v>
      </c>
      <c r="X416" s="33" t="s">
        <v>115</v>
      </c>
      <c r="Y416" s="33" t="s">
        <v>115</v>
      </c>
      <c r="Z416" s="33" t="s">
        <v>115</v>
      </c>
      <c r="AA416" t="s">
        <v>115</v>
      </c>
      <c r="AB416" s="19" t="s">
        <v>115</v>
      </c>
      <c r="AD416" s="6">
        <v>0</v>
      </c>
      <c r="AE416" s="6">
        <v>0</v>
      </c>
      <c r="AF416" s="6">
        <v>0</v>
      </c>
      <c r="AG416" s="6">
        <v>0</v>
      </c>
      <c r="AH416" s="6">
        <v>0</v>
      </c>
      <c r="AI416">
        <v>0</v>
      </c>
      <c r="AJ416">
        <f t="shared" si="6"/>
        <v>0</v>
      </c>
      <c r="AL416" t="s">
        <v>1092</v>
      </c>
    </row>
    <row r="417" spans="1:47" x14ac:dyDescent="0.2">
      <c r="A417" t="s">
        <v>1093</v>
      </c>
      <c r="B417" t="s">
        <v>1094</v>
      </c>
      <c r="C417">
        <v>1</v>
      </c>
      <c r="D417">
        <v>1</v>
      </c>
      <c r="E417" t="s">
        <v>791</v>
      </c>
      <c r="F417" s="1">
        <v>43377</v>
      </c>
      <c r="G417" s="37" t="s">
        <v>4033</v>
      </c>
      <c r="H417" s="37" t="s">
        <v>4724</v>
      </c>
      <c r="I417" s="2">
        <v>1.2499999999999999E-2</v>
      </c>
      <c r="J417" s="176">
        <v>2.0833333333333335E-4</v>
      </c>
      <c r="K417" s="6">
        <v>18</v>
      </c>
      <c r="L417" t="s">
        <v>398</v>
      </c>
      <c r="M417" s="7" t="s">
        <v>1095</v>
      </c>
      <c r="N417" s="7" t="s">
        <v>107</v>
      </c>
      <c r="O417" s="7" t="s">
        <v>23</v>
      </c>
      <c r="P417">
        <v>1</v>
      </c>
      <c r="R417">
        <v>0</v>
      </c>
      <c r="T417" t="s">
        <v>176</v>
      </c>
      <c r="U417" t="s">
        <v>176</v>
      </c>
      <c r="V417" t="s">
        <v>24</v>
      </c>
      <c r="W417" t="s">
        <v>115</v>
      </c>
      <c r="X417" s="33" t="s">
        <v>115</v>
      </c>
      <c r="Y417" s="33" t="s">
        <v>115</v>
      </c>
      <c r="Z417" s="33" t="s">
        <v>115</v>
      </c>
      <c r="AA417" t="s">
        <v>115</v>
      </c>
      <c r="AB417" s="19" t="s">
        <v>115</v>
      </c>
      <c r="AD417">
        <v>0</v>
      </c>
      <c r="AE417" s="6">
        <v>0</v>
      </c>
      <c r="AF417" s="6">
        <v>0</v>
      </c>
      <c r="AG417" s="6">
        <v>0</v>
      </c>
      <c r="AH417" s="6">
        <v>0</v>
      </c>
      <c r="AI417">
        <v>0</v>
      </c>
      <c r="AJ417" s="6">
        <f t="shared" si="6"/>
        <v>0</v>
      </c>
      <c r="AL417" t="s">
        <v>1092</v>
      </c>
    </row>
    <row r="418" spans="1:47" s="33" customFormat="1" x14ac:dyDescent="0.2">
      <c r="A418" t="s">
        <v>1096</v>
      </c>
      <c r="B418" t="s">
        <v>1097</v>
      </c>
      <c r="C418">
        <v>1</v>
      </c>
      <c r="D418">
        <v>1</v>
      </c>
      <c r="E418" t="s">
        <v>2487</v>
      </c>
      <c r="F418" s="1">
        <v>43378</v>
      </c>
      <c r="G418" s="37" t="s">
        <v>4033</v>
      </c>
      <c r="H418" s="37" t="s">
        <v>4724</v>
      </c>
      <c r="I418" s="2">
        <v>2.013888888888889E-2</v>
      </c>
      <c r="J418" s="176">
        <v>3.3564814814814812E-4</v>
      </c>
      <c r="K418" s="6">
        <v>29</v>
      </c>
      <c r="L418" t="s">
        <v>398</v>
      </c>
      <c r="M418" s="7" t="s">
        <v>176</v>
      </c>
      <c r="N418" s="7" t="s">
        <v>111</v>
      </c>
      <c r="O418" s="7" t="s">
        <v>23</v>
      </c>
      <c r="P418">
        <v>1</v>
      </c>
      <c r="Q418"/>
      <c r="R418">
        <v>1</v>
      </c>
      <c r="S418"/>
      <c r="T418" t="s">
        <v>176</v>
      </c>
      <c r="U418" t="s">
        <v>176</v>
      </c>
      <c r="V418" t="s">
        <v>122</v>
      </c>
      <c r="W418" s="7" t="s">
        <v>1035</v>
      </c>
      <c r="X418" s="33" t="s">
        <v>23</v>
      </c>
      <c r="Y418" s="33" t="s">
        <v>3997</v>
      </c>
      <c r="Z418" s="33" t="s">
        <v>4006</v>
      </c>
      <c r="AA418">
        <v>7</v>
      </c>
      <c r="AB418" s="19">
        <v>63.723480000000002</v>
      </c>
      <c r="AC418" s="19">
        <v>148.98240999999999</v>
      </c>
      <c r="AD418" s="6">
        <v>0</v>
      </c>
      <c r="AE418" s="6">
        <v>0</v>
      </c>
      <c r="AF418" s="6">
        <v>0</v>
      </c>
      <c r="AG418" s="6">
        <v>0</v>
      </c>
      <c r="AH418" s="6">
        <v>0</v>
      </c>
      <c r="AI418">
        <v>0</v>
      </c>
      <c r="AJ418">
        <f t="shared" si="6"/>
        <v>0</v>
      </c>
      <c r="AK418"/>
      <c r="AL418" t="s">
        <v>4894</v>
      </c>
      <c r="AM418"/>
      <c r="AN418"/>
      <c r="AO418"/>
      <c r="AP418"/>
      <c r="AQ418"/>
      <c r="AR418"/>
      <c r="AS418"/>
      <c r="AT418"/>
      <c r="AU418"/>
    </row>
    <row r="419" spans="1:47" x14ac:dyDescent="0.2">
      <c r="A419" s="33" t="s">
        <v>1098</v>
      </c>
      <c r="B419" s="33" t="s">
        <v>1099</v>
      </c>
      <c r="C419" s="33">
        <v>2</v>
      </c>
      <c r="D419" s="33">
        <v>1</v>
      </c>
      <c r="E419" s="33" t="s">
        <v>2487</v>
      </c>
      <c r="F419" s="37">
        <v>43378</v>
      </c>
      <c r="G419" s="37" t="s">
        <v>4033</v>
      </c>
      <c r="H419" s="37" t="s">
        <v>4724</v>
      </c>
      <c r="I419" s="36">
        <v>3.7499999999999999E-2</v>
      </c>
      <c r="J419" s="177">
        <v>6.2500000000000001E-4</v>
      </c>
      <c r="K419" s="39">
        <v>54</v>
      </c>
      <c r="L419" s="33" t="s">
        <v>398</v>
      </c>
      <c r="M419" s="33" t="s">
        <v>2498</v>
      </c>
      <c r="N419" s="33" t="s">
        <v>102</v>
      </c>
      <c r="O419" s="33" t="s">
        <v>115</v>
      </c>
      <c r="P419" s="33" t="s">
        <v>24</v>
      </c>
      <c r="Q419" s="33"/>
      <c r="R419" s="33">
        <v>0</v>
      </c>
      <c r="S419" s="33"/>
      <c r="T419" t="s">
        <v>176</v>
      </c>
      <c r="U419" s="33" t="s">
        <v>176</v>
      </c>
      <c r="V419" s="33" t="s">
        <v>122</v>
      </c>
      <c r="W419" s="33" t="s">
        <v>115</v>
      </c>
      <c r="X419" s="33" t="s">
        <v>115</v>
      </c>
      <c r="Y419" s="33" t="s">
        <v>115</v>
      </c>
      <c r="Z419" s="33" t="s">
        <v>115</v>
      </c>
      <c r="AA419" s="33" t="s">
        <v>115</v>
      </c>
      <c r="AB419" s="35" t="s">
        <v>115</v>
      </c>
      <c r="AC419" s="35"/>
      <c r="AD419" s="39">
        <v>0</v>
      </c>
      <c r="AE419" s="39">
        <v>0</v>
      </c>
      <c r="AF419" s="39">
        <v>0</v>
      </c>
      <c r="AG419" s="39">
        <v>0</v>
      </c>
      <c r="AH419" s="39">
        <v>44</v>
      </c>
      <c r="AI419" s="33">
        <v>0</v>
      </c>
      <c r="AJ419" s="33">
        <f t="shared" si="6"/>
        <v>44</v>
      </c>
      <c r="AK419" s="33"/>
      <c r="AL419" s="33"/>
      <c r="AM419" s="33"/>
      <c r="AN419" s="33"/>
      <c r="AO419" s="33"/>
      <c r="AP419" s="33"/>
      <c r="AQ419" s="34"/>
      <c r="AR419" s="33"/>
      <c r="AS419" s="33"/>
      <c r="AT419" s="33"/>
      <c r="AU419" s="33"/>
    </row>
    <row r="420" spans="1:47" x14ac:dyDescent="0.2">
      <c r="A420" s="33" t="s">
        <v>1100</v>
      </c>
      <c r="B420" s="33" t="s">
        <v>1101</v>
      </c>
      <c r="C420" s="33">
        <v>3</v>
      </c>
      <c r="D420" s="33">
        <v>1</v>
      </c>
      <c r="E420" s="33" t="s">
        <v>2487</v>
      </c>
      <c r="F420" s="37">
        <v>43378</v>
      </c>
      <c r="G420" s="37" t="s">
        <v>4033</v>
      </c>
      <c r="H420" s="37" t="s">
        <v>4724</v>
      </c>
      <c r="I420" s="36">
        <v>1.5972222222222224E-2</v>
      </c>
      <c r="J420" s="177">
        <v>2.6620370370370372E-4</v>
      </c>
      <c r="K420" s="39">
        <v>23</v>
      </c>
      <c r="L420" s="33" t="s">
        <v>398</v>
      </c>
      <c r="M420" s="33" t="s">
        <v>2498</v>
      </c>
      <c r="N420" s="33" t="s">
        <v>102</v>
      </c>
      <c r="O420" s="33" t="s">
        <v>115</v>
      </c>
      <c r="P420" s="33">
        <v>1</v>
      </c>
      <c r="Q420" s="33"/>
      <c r="R420" s="33">
        <v>0</v>
      </c>
      <c r="S420" s="33"/>
      <c r="T420" t="s">
        <v>14</v>
      </c>
      <c r="U420" s="33" t="s">
        <v>2128</v>
      </c>
      <c r="V420" s="33" t="s">
        <v>122</v>
      </c>
      <c r="W420" s="33" t="s">
        <v>115</v>
      </c>
      <c r="X420" s="33" t="s">
        <v>115</v>
      </c>
      <c r="Y420" s="33" t="s">
        <v>115</v>
      </c>
      <c r="Z420" s="33" t="s">
        <v>115</v>
      </c>
      <c r="AA420" s="33" t="s">
        <v>115</v>
      </c>
      <c r="AB420" s="35" t="s">
        <v>115</v>
      </c>
      <c r="AC420" s="35"/>
      <c r="AD420" s="39">
        <v>0</v>
      </c>
      <c r="AE420" s="39">
        <v>0</v>
      </c>
      <c r="AF420" s="39">
        <v>0</v>
      </c>
      <c r="AG420" s="39">
        <v>0</v>
      </c>
      <c r="AH420" s="39">
        <v>17</v>
      </c>
      <c r="AI420" s="33">
        <v>0</v>
      </c>
      <c r="AJ420" s="33">
        <f t="shared" si="6"/>
        <v>17</v>
      </c>
      <c r="AK420" s="33"/>
      <c r="AL420" s="33"/>
      <c r="AM420" s="33"/>
      <c r="AN420" s="33"/>
      <c r="AO420" s="33"/>
      <c r="AP420" s="33"/>
      <c r="AQ420" s="34"/>
      <c r="AR420" s="33"/>
      <c r="AS420" s="33"/>
      <c r="AT420" s="33"/>
      <c r="AU420" s="33"/>
    </row>
    <row r="421" spans="1:47" x14ac:dyDescent="0.2">
      <c r="A421" t="s">
        <v>1102</v>
      </c>
      <c r="B421" t="s">
        <v>1103</v>
      </c>
      <c r="C421">
        <v>4</v>
      </c>
      <c r="D421">
        <v>1</v>
      </c>
      <c r="E421" t="s">
        <v>2487</v>
      </c>
      <c r="F421" s="1">
        <v>43378</v>
      </c>
      <c r="G421" s="37" t="s">
        <v>4033</v>
      </c>
      <c r="H421" s="37" t="s">
        <v>4724</v>
      </c>
      <c r="I421" s="2">
        <v>9.7222222222222224E-3</v>
      </c>
      <c r="J421" s="176">
        <v>1.6203703703703703E-4</v>
      </c>
      <c r="K421" s="6">
        <v>14</v>
      </c>
      <c r="L421" t="s">
        <v>398</v>
      </c>
      <c r="M421" s="7" t="s">
        <v>2498</v>
      </c>
      <c r="N421" s="7" t="s">
        <v>102</v>
      </c>
      <c r="O421" s="7" t="s">
        <v>23</v>
      </c>
      <c r="P421" t="s">
        <v>24</v>
      </c>
      <c r="R421">
        <v>1</v>
      </c>
      <c r="S421" t="s">
        <v>1104</v>
      </c>
      <c r="T421" t="s">
        <v>176</v>
      </c>
      <c r="U421" t="s">
        <v>176</v>
      </c>
      <c r="V421" t="s">
        <v>122</v>
      </c>
      <c r="W421" t="s">
        <v>3963</v>
      </c>
      <c r="X421" s="33" t="s">
        <v>23</v>
      </c>
      <c r="Y421" s="33" t="s">
        <v>3997</v>
      </c>
      <c r="Z421" s="33" t="s">
        <v>4007</v>
      </c>
      <c r="AA421">
        <v>10</v>
      </c>
      <c r="AB421" s="19">
        <v>63.721789999999999</v>
      </c>
      <c r="AC421" s="19">
        <v>148.98455999999999</v>
      </c>
      <c r="AD421" s="6">
        <v>0</v>
      </c>
      <c r="AE421" s="6">
        <v>0</v>
      </c>
      <c r="AF421" s="6">
        <v>0</v>
      </c>
      <c r="AG421" s="6">
        <v>0</v>
      </c>
      <c r="AH421" s="6">
        <v>0</v>
      </c>
      <c r="AI421">
        <v>0</v>
      </c>
      <c r="AJ421">
        <f t="shared" si="6"/>
        <v>0</v>
      </c>
    </row>
    <row r="422" spans="1:47" x14ac:dyDescent="0.2">
      <c r="A422" t="s">
        <v>1105</v>
      </c>
      <c r="B422" t="s">
        <v>1106</v>
      </c>
      <c r="C422">
        <v>5</v>
      </c>
      <c r="D422">
        <v>1</v>
      </c>
      <c r="E422" t="s">
        <v>2487</v>
      </c>
      <c r="F422" s="1">
        <v>43378</v>
      </c>
      <c r="G422" s="37" t="s">
        <v>4033</v>
      </c>
      <c r="H422" s="37" t="s">
        <v>4724</v>
      </c>
      <c r="I422" s="2">
        <v>1.0416666666666666E-2</v>
      </c>
      <c r="J422" s="176">
        <v>1.7361111111111112E-4</v>
      </c>
      <c r="K422" s="6">
        <v>15</v>
      </c>
      <c r="L422" t="s">
        <v>398</v>
      </c>
      <c r="M422" s="7" t="s">
        <v>2498</v>
      </c>
      <c r="N422" s="7" t="s">
        <v>111</v>
      </c>
      <c r="O422" s="7" t="s">
        <v>23</v>
      </c>
      <c r="P422" t="s">
        <v>24</v>
      </c>
      <c r="R422">
        <v>1</v>
      </c>
      <c r="T422" t="s">
        <v>176</v>
      </c>
      <c r="U422" t="s">
        <v>176</v>
      </c>
      <c r="V422" t="s">
        <v>122</v>
      </c>
      <c r="W422" t="s">
        <v>3963</v>
      </c>
      <c r="X422" s="33" t="s">
        <v>23</v>
      </c>
      <c r="Y422" s="33" t="s">
        <v>3997</v>
      </c>
      <c r="Z422" s="33" t="s">
        <v>4007</v>
      </c>
      <c r="AA422" t="s">
        <v>24</v>
      </c>
      <c r="AB422" s="19">
        <v>63.720469999999999</v>
      </c>
      <c r="AC422" s="19">
        <v>148.98471000000001</v>
      </c>
      <c r="AD422" s="6">
        <v>0</v>
      </c>
      <c r="AE422" s="6">
        <v>0</v>
      </c>
      <c r="AF422" s="6">
        <v>0</v>
      </c>
      <c r="AG422" s="6">
        <v>0</v>
      </c>
      <c r="AH422" s="6">
        <v>0</v>
      </c>
      <c r="AI422">
        <v>0</v>
      </c>
      <c r="AJ422">
        <f t="shared" si="6"/>
        <v>0</v>
      </c>
      <c r="AL422" t="s">
        <v>4977</v>
      </c>
      <c r="AO422" s="33"/>
      <c r="AP422" s="33"/>
      <c r="AQ422" s="34"/>
      <c r="AR422" s="33"/>
      <c r="AS422" s="33"/>
      <c r="AT422" s="33"/>
      <c r="AU422" s="33"/>
    </row>
    <row r="423" spans="1:47" x14ac:dyDescent="0.2">
      <c r="A423" s="33" t="s">
        <v>1108</v>
      </c>
      <c r="B423" s="33" t="s">
        <v>1109</v>
      </c>
      <c r="C423" s="33">
        <v>6</v>
      </c>
      <c r="D423" s="33">
        <v>1</v>
      </c>
      <c r="E423" s="33" t="s">
        <v>2487</v>
      </c>
      <c r="F423" s="37">
        <v>43378</v>
      </c>
      <c r="G423" s="37" t="s">
        <v>4033</v>
      </c>
      <c r="H423" s="37" t="s">
        <v>4724</v>
      </c>
      <c r="I423" s="36">
        <v>3.5416666666666666E-2</v>
      </c>
      <c r="J423" s="177">
        <v>5.9027777777777778E-4</v>
      </c>
      <c r="K423" s="39">
        <v>51</v>
      </c>
      <c r="L423" s="33" t="s">
        <v>398</v>
      </c>
      <c r="M423" s="33" t="s">
        <v>344</v>
      </c>
      <c r="N423" s="33" t="s">
        <v>102</v>
      </c>
      <c r="O423" s="33" t="s">
        <v>115</v>
      </c>
      <c r="P423" s="33">
        <v>1</v>
      </c>
      <c r="Q423" s="33"/>
      <c r="R423" s="33">
        <v>0</v>
      </c>
      <c r="S423" s="33"/>
      <c r="T423" t="s">
        <v>176</v>
      </c>
      <c r="U423" s="33" t="s">
        <v>176</v>
      </c>
      <c r="V423" s="33" t="s">
        <v>122</v>
      </c>
      <c r="W423" s="33" t="s">
        <v>115</v>
      </c>
      <c r="X423" s="33" t="s">
        <v>115</v>
      </c>
      <c r="Y423" s="33" t="s">
        <v>115</v>
      </c>
      <c r="Z423" s="33" t="s">
        <v>115</v>
      </c>
      <c r="AA423" s="33" t="s">
        <v>115</v>
      </c>
      <c r="AB423" s="35" t="s">
        <v>115</v>
      </c>
      <c r="AC423" s="35"/>
      <c r="AD423" s="39">
        <v>0</v>
      </c>
      <c r="AE423" s="39">
        <v>0</v>
      </c>
      <c r="AF423" s="39">
        <v>0</v>
      </c>
      <c r="AG423" s="39">
        <v>0</v>
      </c>
      <c r="AH423" s="39">
        <v>26</v>
      </c>
      <c r="AI423" s="33">
        <v>0</v>
      </c>
      <c r="AJ423" s="33">
        <f t="shared" si="6"/>
        <v>26</v>
      </c>
      <c r="AK423" s="33"/>
      <c r="AL423" s="33"/>
      <c r="AM423" s="33"/>
      <c r="AN423" s="33"/>
    </row>
    <row r="424" spans="1:47" x14ac:dyDescent="0.2">
      <c r="A424" s="33" t="s">
        <v>1110</v>
      </c>
      <c r="B424" s="33" t="s">
        <v>1111</v>
      </c>
      <c r="C424" s="33">
        <v>1</v>
      </c>
      <c r="D424" s="33">
        <v>1</v>
      </c>
      <c r="E424" s="33" t="s">
        <v>834</v>
      </c>
      <c r="F424" s="37">
        <v>43378</v>
      </c>
      <c r="G424" s="37" t="s">
        <v>4033</v>
      </c>
      <c r="H424" s="37" t="s">
        <v>4724</v>
      </c>
      <c r="I424" s="36">
        <v>5.2083333333333336E-2</v>
      </c>
      <c r="J424" s="177">
        <v>8.6805555555555551E-4</v>
      </c>
      <c r="K424" s="39">
        <v>75</v>
      </c>
      <c r="L424" s="33" t="s">
        <v>397</v>
      </c>
      <c r="M424" s="33" t="s">
        <v>466</v>
      </c>
      <c r="N424" s="33" t="s">
        <v>102</v>
      </c>
      <c r="O424" s="33" t="s">
        <v>23</v>
      </c>
      <c r="P424" s="33">
        <v>0</v>
      </c>
      <c r="Q424" s="33"/>
      <c r="R424" s="33">
        <v>0</v>
      </c>
      <c r="S424" s="33"/>
      <c r="T424" s="33"/>
      <c r="U424" s="33" t="s">
        <v>115</v>
      </c>
      <c r="V424" s="33" t="s">
        <v>115</v>
      </c>
      <c r="W424" s="33" t="s">
        <v>115</v>
      </c>
      <c r="X424" s="33" t="s">
        <v>115</v>
      </c>
      <c r="Y424" s="33" t="s">
        <v>115</v>
      </c>
      <c r="Z424" s="33" t="s">
        <v>115</v>
      </c>
      <c r="AA424" s="33" t="s">
        <v>115</v>
      </c>
      <c r="AB424" s="35" t="s">
        <v>115</v>
      </c>
      <c r="AC424" s="35"/>
      <c r="AD424" s="39">
        <v>0</v>
      </c>
      <c r="AE424" s="39">
        <v>8</v>
      </c>
      <c r="AF424" s="39">
        <v>0</v>
      </c>
      <c r="AG424" s="39">
        <v>8</v>
      </c>
      <c r="AH424" s="39">
        <v>23</v>
      </c>
      <c r="AI424" s="33">
        <v>0</v>
      </c>
      <c r="AJ424" s="33">
        <f t="shared" si="6"/>
        <v>31</v>
      </c>
      <c r="AK424" s="33"/>
      <c r="AL424" s="33" t="s">
        <v>4981</v>
      </c>
      <c r="AM424" s="33"/>
      <c r="AN424" s="33"/>
    </row>
    <row r="425" spans="1:47" x14ac:dyDescent="0.2">
      <c r="A425" s="33" t="s">
        <v>1112</v>
      </c>
      <c r="B425" s="33" t="s">
        <v>1113</v>
      </c>
      <c r="C425" s="33">
        <v>2</v>
      </c>
      <c r="D425" s="33">
        <v>1</v>
      </c>
      <c r="E425" s="33" t="s">
        <v>834</v>
      </c>
      <c r="F425" s="37">
        <v>43378</v>
      </c>
      <c r="G425" s="37" t="s">
        <v>4033</v>
      </c>
      <c r="H425" s="37" t="s">
        <v>4724</v>
      </c>
      <c r="I425" s="36">
        <v>2.6388888888888889E-2</v>
      </c>
      <c r="J425" s="177">
        <v>4.3981481481481481E-4</v>
      </c>
      <c r="K425" s="39">
        <v>38</v>
      </c>
      <c r="L425" s="33" t="s">
        <v>397</v>
      </c>
      <c r="M425" s="33" t="s">
        <v>466</v>
      </c>
      <c r="N425" s="33" t="s">
        <v>102</v>
      </c>
      <c r="O425" s="33" t="s">
        <v>115</v>
      </c>
      <c r="P425" s="33">
        <v>0</v>
      </c>
      <c r="Q425" s="33"/>
      <c r="R425" s="33">
        <v>0</v>
      </c>
      <c r="S425" s="33"/>
      <c r="T425" s="33"/>
      <c r="U425" s="33" t="s">
        <v>115</v>
      </c>
      <c r="V425" s="33" t="s">
        <v>115</v>
      </c>
      <c r="W425" s="33" t="s">
        <v>115</v>
      </c>
      <c r="X425" s="33" t="s">
        <v>115</v>
      </c>
      <c r="Y425" s="33" t="s">
        <v>115</v>
      </c>
      <c r="Z425" s="33" t="s">
        <v>115</v>
      </c>
      <c r="AA425" s="33" t="s">
        <v>115</v>
      </c>
      <c r="AB425" s="35" t="s">
        <v>115</v>
      </c>
      <c r="AC425" s="35"/>
      <c r="AD425" s="39">
        <v>0</v>
      </c>
      <c r="AE425" s="39">
        <v>0</v>
      </c>
      <c r="AF425" s="39">
        <v>0</v>
      </c>
      <c r="AG425" s="39">
        <v>0</v>
      </c>
      <c r="AH425" s="39">
        <v>20</v>
      </c>
      <c r="AI425" s="33">
        <v>0</v>
      </c>
      <c r="AJ425" s="33">
        <f t="shared" si="6"/>
        <v>20</v>
      </c>
      <c r="AK425" s="33"/>
      <c r="AL425" s="33"/>
      <c r="AM425" s="33"/>
      <c r="AN425" s="33"/>
    </row>
    <row r="426" spans="1:47" x14ac:dyDescent="0.2">
      <c r="A426" s="33" t="s">
        <v>1114</v>
      </c>
      <c r="B426" s="33" t="s">
        <v>1115</v>
      </c>
      <c r="C426" s="33">
        <v>3</v>
      </c>
      <c r="D426" s="33">
        <v>1</v>
      </c>
      <c r="E426" s="33" t="s">
        <v>834</v>
      </c>
      <c r="F426" s="37">
        <v>43378</v>
      </c>
      <c r="G426" s="37" t="s">
        <v>4033</v>
      </c>
      <c r="H426" s="37" t="s">
        <v>4724</v>
      </c>
      <c r="I426" s="36">
        <v>2.2222222222222223E-2</v>
      </c>
      <c r="J426" s="177">
        <v>3.7037037037037035E-4</v>
      </c>
      <c r="K426" s="39">
        <v>32</v>
      </c>
      <c r="L426" s="33" t="s">
        <v>397</v>
      </c>
      <c r="M426" s="33" t="s">
        <v>466</v>
      </c>
      <c r="N426" s="33" t="s">
        <v>1116</v>
      </c>
      <c r="O426" s="33" t="s">
        <v>23</v>
      </c>
      <c r="P426" s="33">
        <v>1</v>
      </c>
      <c r="Q426" s="33"/>
      <c r="R426" s="33">
        <v>0</v>
      </c>
      <c r="S426" s="33"/>
      <c r="T426" t="s">
        <v>176</v>
      </c>
      <c r="U426" s="33" t="s">
        <v>2083</v>
      </c>
      <c r="V426" s="33" t="s">
        <v>122</v>
      </c>
      <c r="W426" s="33" t="s">
        <v>115</v>
      </c>
      <c r="X426" s="33" t="s">
        <v>115</v>
      </c>
      <c r="Y426" s="33" t="s">
        <v>115</v>
      </c>
      <c r="Z426" s="33" t="s">
        <v>115</v>
      </c>
      <c r="AA426" s="33" t="s">
        <v>115</v>
      </c>
      <c r="AB426" s="35" t="s">
        <v>115</v>
      </c>
      <c r="AC426" s="35"/>
      <c r="AD426" s="39">
        <v>0</v>
      </c>
      <c r="AE426" s="39">
        <v>2</v>
      </c>
      <c r="AF426" s="39">
        <v>0</v>
      </c>
      <c r="AG426" s="39">
        <v>2</v>
      </c>
      <c r="AH426" s="39">
        <v>12</v>
      </c>
      <c r="AI426" s="33">
        <v>0</v>
      </c>
      <c r="AJ426" s="33">
        <f t="shared" si="6"/>
        <v>14</v>
      </c>
      <c r="AK426" s="33"/>
      <c r="AL426" s="33" t="s">
        <v>1117</v>
      </c>
      <c r="AM426" s="33"/>
      <c r="AN426" s="33"/>
      <c r="AO426" s="33"/>
      <c r="AP426" s="33"/>
      <c r="AQ426" s="34"/>
      <c r="AR426" s="33"/>
      <c r="AS426" s="33"/>
      <c r="AT426" s="33"/>
      <c r="AU426" s="33"/>
    </row>
    <row r="427" spans="1:47" hidden="1" x14ac:dyDescent="0.2">
      <c r="A427" t="s">
        <v>1114</v>
      </c>
      <c r="B427" t="s">
        <v>1115</v>
      </c>
      <c r="C427">
        <v>3</v>
      </c>
      <c r="D427">
        <v>2</v>
      </c>
      <c r="E427" t="s">
        <v>834</v>
      </c>
      <c r="F427" s="1">
        <v>43378</v>
      </c>
      <c r="G427" s="37" t="s">
        <v>4033</v>
      </c>
      <c r="H427" s="37" t="s">
        <v>4724</v>
      </c>
      <c r="I427" s="2">
        <v>2.2222222222222223E-2</v>
      </c>
      <c r="J427" s="176">
        <v>3.7037037037037035E-4</v>
      </c>
      <c r="K427" s="6">
        <v>32</v>
      </c>
      <c r="L427" t="s">
        <v>397</v>
      </c>
      <c r="M427" s="7" t="s">
        <v>466</v>
      </c>
      <c r="N427" s="7" t="s">
        <v>1116</v>
      </c>
      <c r="O427" s="7" t="s">
        <v>23</v>
      </c>
      <c r="P427">
        <v>1</v>
      </c>
      <c r="R427">
        <v>0</v>
      </c>
      <c r="T427" t="s">
        <v>176</v>
      </c>
      <c r="U427" t="s">
        <v>176</v>
      </c>
      <c r="V427" t="s">
        <v>1035</v>
      </c>
      <c r="W427" t="s">
        <v>115</v>
      </c>
      <c r="X427" s="33" t="s">
        <v>115</v>
      </c>
      <c r="Y427" s="33" t="s">
        <v>115</v>
      </c>
      <c r="Z427" s="33" t="s">
        <v>115</v>
      </c>
      <c r="AA427" t="s">
        <v>115</v>
      </c>
      <c r="AB427" s="19" t="s">
        <v>115</v>
      </c>
      <c r="AD427" s="6">
        <v>0</v>
      </c>
      <c r="AE427" s="6">
        <v>0</v>
      </c>
      <c r="AF427" s="6">
        <v>0</v>
      </c>
      <c r="AG427" s="6">
        <v>0</v>
      </c>
      <c r="AH427" s="6">
        <v>0</v>
      </c>
      <c r="AI427">
        <v>0</v>
      </c>
      <c r="AJ427">
        <f t="shared" si="6"/>
        <v>0</v>
      </c>
      <c r="AL427" t="s">
        <v>1117</v>
      </c>
    </row>
    <row r="428" spans="1:47" x14ac:dyDescent="0.2">
      <c r="A428" s="33" t="s">
        <v>1118</v>
      </c>
      <c r="B428" s="33" t="s">
        <v>1119</v>
      </c>
      <c r="C428" s="33">
        <v>4</v>
      </c>
      <c r="D428" s="33">
        <v>1</v>
      </c>
      <c r="E428" s="33" t="s">
        <v>834</v>
      </c>
      <c r="F428" s="37">
        <v>43378</v>
      </c>
      <c r="G428" s="37" t="s">
        <v>4033</v>
      </c>
      <c r="H428" s="37" t="s">
        <v>4724</v>
      </c>
      <c r="I428" s="36">
        <v>1.1805555555555555E-2</v>
      </c>
      <c r="J428" s="177">
        <v>1.9675925925925926E-4</v>
      </c>
      <c r="K428" s="39">
        <v>17</v>
      </c>
      <c r="L428" s="33" t="s">
        <v>397</v>
      </c>
      <c r="M428" s="33" t="s">
        <v>466</v>
      </c>
      <c r="N428" s="33" t="s">
        <v>102</v>
      </c>
      <c r="O428" s="33" t="s">
        <v>115</v>
      </c>
      <c r="P428" s="33" t="s">
        <v>24</v>
      </c>
      <c r="Q428" s="33"/>
      <c r="R428" s="33">
        <v>0</v>
      </c>
      <c r="S428" s="33"/>
      <c r="T428" t="s">
        <v>176</v>
      </c>
      <c r="U428" s="33" t="s">
        <v>176</v>
      </c>
      <c r="V428" s="33" t="s">
        <v>115</v>
      </c>
      <c r="W428" s="33" t="s">
        <v>115</v>
      </c>
      <c r="X428" s="33" t="s">
        <v>115</v>
      </c>
      <c r="Y428" s="33" t="s">
        <v>115</v>
      </c>
      <c r="Z428" s="33" t="s">
        <v>115</v>
      </c>
      <c r="AA428" s="33" t="s">
        <v>115</v>
      </c>
      <c r="AB428" s="35" t="s">
        <v>115</v>
      </c>
      <c r="AC428" s="35"/>
      <c r="AD428" s="39">
        <v>0</v>
      </c>
      <c r="AE428" s="39">
        <v>0</v>
      </c>
      <c r="AF428" s="39">
        <v>0</v>
      </c>
      <c r="AG428" s="39">
        <v>0</v>
      </c>
      <c r="AH428" s="39">
        <v>3</v>
      </c>
      <c r="AI428" s="33">
        <v>0</v>
      </c>
      <c r="AJ428" s="33">
        <f t="shared" si="6"/>
        <v>3</v>
      </c>
      <c r="AK428" s="33"/>
      <c r="AL428" s="33"/>
      <c r="AM428" s="33"/>
      <c r="AN428" s="33"/>
    </row>
    <row r="429" spans="1:47" x14ac:dyDescent="0.2">
      <c r="A429" t="s">
        <v>1120</v>
      </c>
      <c r="B429" t="s">
        <v>1121</v>
      </c>
      <c r="C429">
        <v>5</v>
      </c>
      <c r="D429">
        <v>1</v>
      </c>
      <c r="E429" t="s">
        <v>834</v>
      </c>
      <c r="F429" s="1">
        <v>43378</v>
      </c>
      <c r="G429" s="37" t="s">
        <v>4033</v>
      </c>
      <c r="H429" s="37" t="s">
        <v>4724</v>
      </c>
      <c r="I429" s="2">
        <v>1.3194444444444444E-2</v>
      </c>
      <c r="J429" s="176">
        <v>2.199074074074074E-4</v>
      </c>
      <c r="K429" s="6">
        <v>19</v>
      </c>
      <c r="L429" t="s">
        <v>397</v>
      </c>
      <c r="M429" s="7" t="s">
        <v>466</v>
      </c>
      <c r="N429" s="7" t="s">
        <v>111</v>
      </c>
      <c r="O429" s="7" t="s">
        <v>23</v>
      </c>
      <c r="P429" s="7">
        <v>1</v>
      </c>
      <c r="Q429" s="7"/>
      <c r="R429">
        <v>1</v>
      </c>
      <c r="T429" t="s">
        <v>176</v>
      </c>
      <c r="U429" t="s">
        <v>176</v>
      </c>
      <c r="V429" t="s">
        <v>122</v>
      </c>
      <c r="W429" t="s">
        <v>263</v>
      </c>
      <c r="X429" s="44" t="s">
        <v>23</v>
      </c>
      <c r="Y429" s="44" t="s">
        <v>4004</v>
      </c>
      <c r="Z429" s="44" t="s">
        <v>4005</v>
      </c>
      <c r="AA429" t="s">
        <v>24</v>
      </c>
      <c r="AB429" s="19">
        <v>63.738579999999999</v>
      </c>
      <c r="AC429" s="19">
        <v>148.90271000000001</v>
      </c>
      <c r="AD429" s="6">
        <v>0</v>
      </c>
      <c r="AE429" s="6">
        <v>0</v>
      </c>
      <c r="AF429" s="6">
        <v>0</v>
      </c>
      <c r="AG429" s="6">
        <v>0</v>
      </c>
      <c r="AH429" s="6">
        <v>0</v>
      </c>
      <c r="AI429">
        <v>0</v>
      </c>
      <c r="AJ429">
        <f t="shared" si="6"/>
        <v>0</v>
      </c>
      <c r="AL429" t="s">
        <v>4979</v>
      </c>
    </row>
    <row r="430" spans="1:47" hidden="1" x14ac:dyDescent="0.2">
      <c r="A430" t="s">
        <v>1120</v>
      </c>
      <c r="B430" t="s">
        <v>1121</v>
      </c>
      <c r="C430">
        <v>5</v>
      </c>
      <c r="D430">
        <v>2</v>
      </c>
      <c r="E430" t="s">
        <v>834</v>
      </c>
      <c r="F430" s="1">
        <v>43378</v>
      </c>
      <c r="G430" s="37" t="s">
        <v>4033</v>
      </c>
      <c r="H430" s="37" t="s">
        <v>4724</v>
      </c>
      <c r="I430" s="2">
        <v>1.3194444444444444E-2</v>
      </c>
      <c r="J430" s="176">
        <v>2.199074074074074E-4</v>
      </c>
      <c r="K430" s="6">
        <v>19</v>
      </c>
      <c r="L430" t="s">
        <v>397</v>
      </c>
      <c r="M430" s="7" t="s">
        <v>466</v>
      </c>
      <c r="N430" s="7" t="s">
        <v>111</v>
      </c>
      <c r="O430" s="7" t="s">
        <v>23</v>
      </c>
      <c r="P430" s="7">
        <v>0</v>
      </c>
      <c r="Q430" s="7"/>
      <c r="R430">
        <v>1</v>
      </c>
      <c r="T430" t="s">
        <v>176</v>
      </c>
      <c r="U430" t="s">
        <v>176</v>
      </c>
      <c r="V430" t="s">
        <v>122</v>
      </c>
      <c r="W430" s="7" t="s">
        <v>1035</v>
      </c>
      <c r="X430" s="44" t="s">
        <v>23</v>
      </c>
      <c r="Y430" s="44" t="s">
        <v>3997</v>
      </c>
      <c r="Z430" s="44" t="s">
        <v>4006</v>
      </c>
      <c r="AA430" t="s">
        <v>24</v>
      </c>
      <c r="AB430" s="19">
        <v>63.738619999999997</v>
      </c>
      <c r="AC430" s="19">
        <v>148.90286</v>
      </c>
      <c r="AD430" s="6">
        <v>0</v>
      </c>
      <c r="AE430" s="6">
        <v>0</v>
      </c>
      <c r="AF430" s="6">
        <v>0</v>
      </c>
      <c r="AG430" s="6">
        <v>0</v>
      </c>
      <c r="AH430" s="6">
        <v>0</v>
      </c>
      <c r="AI430">
        <v>0</v>
      </c>
      <c r="AJ430">
        <f t="shared" si="6"/>
        <v>0</v>
      </c>
      <c r="AL430" t="s">
        <v>4979</v>
      </c>
    </row>
    <row r="431" spans="1:47" s="33" customFormat="1" x14ac:dyDescent="0.2">
      <c r="A431" s="33" t="s">
        <v>1123</v>
      </c>
      <c r="B431" s="33" t="s">
        <v>1124</v>
      </c>
      <c r="C431" s="33">
        <v>6</v>
      </c>
      <c r="D431" s="33">
        <v>1</v>
      </c>
      <c r="E431" s="33" t="s">
        <v>834</v>
      </c>
      <c r="F431" s="37">
        <v>43378</v>
      </c>
      <c r="G431" s="37" t="s">
        <v>4033</v>
      </c>
      <c r="H431" s="37" t="s">
        <v>4724</v>
      </c>
      <c r="I431" s="36">
        <v>3.472222222222222E-3</v>
      </c>
      <c r="J431" s="177">
        <v>5.7870370370370366E-5</v>
      </c>
      <c r="K431" s="39">
        <v>5</v>
      </c>
      <c r="L431" s="33" t="s">
        <v>397</v>
      </c>
      <c r="M431" s="33" t="s">
        <v>466</v>
      </c>
      <c r="N431" s="33" t="s">
        <v>156</v>
      </c>
      <c r="O431" s="33" t="s">
        <v>23</v>
      </c>
      <c r="P431" s="33">
        <v>0</v>
      </c>
      <c r="R431" s="33">
        <v>1</v>
      </c>
      <c r="T431" t="s">
        <v>176</v>
      </c>
      <c r="U431" s="33" t="s">
        <v>176</v>
      </c>
      <c r="V431" s="33" t="s">
        <v>24</v>
      </c>
      <c r="W431" s="33" t="s">
        <v>487</v>
      </c>
      <c r="X431" s="33" t="s">
        <v>23</v>
      </c>
      <c r="Y431" s="33" t="s">
        <v>3997</v>
      </c>
      <c r="Z431" s="33" t="s">
        <v>4001</v>
      </c>
      <c r="AA431" s="33" t="s">
        <v>24</v>
      </c>
      <c r="AB431" s="35">
        <v>63.738590000000002</v>
      </c>
      <c r="AC431" s="35">
        <v>148.90305000000001</v>
      </c>
      <c r="AD431" s="39">
        <v>0</v>
      </c>
      <c r="AE431" s="39">
        <v>0</v>
      </c>
      <c r="AF431" s="39">
        <v>0</v>
      </c>
      <c r="AG431" s="39">
        <v>0</v>
      </c>
      <c r="AH431" s="39">
        <v>2</v>
      </c>
      <c r="AI431" s="33">
        <v>0</v>
      </c>
      <c r="AJ431" s="33">
        <f t="shared" si="6"/>
        <v>2</v>
      </c>
      <c r="AL431" s="33" t="s">
        <v>1125</v>
      </c>
      <c r="AQ431" s="34"/>
    </row>
    <row r="432" spans="1:47" s="33" customFormat="1" x14ac:dyDescent="0.2">
      <c r="A432" s="33" t="s">
        <v>1126</v>
      </c>
      <c r="B432" s="33" t="s">
        <v>1127</v>
      </c>
      <c r="C432" s="33">
        <v>7</v>
      </c>
      <c r="D432" s="33">
        <v>1</v>
      </c>
      <c r="E432" s="33" t="s">
        <v>834</v>
      </c>
      <c r="F432" s="37">
        <v>43378</v>
      </c>
      <c r="G432" s="37" t="s">
        <v>4033</v>
      </c>
      <c r="H432" s="37" t="s">
        <v>4724</v>
      </c>
      <c r="I432" s="36">
        <v>2.2222222222222223E-2</v>
      </c>
      <c r="J432" s="177">
        <v>3.7037037037037035E-4</v>
      </c>
      <c r="K432" s="39">
        <v>32</v>
      </c>
      <c r="L432" s="33" t="s">
        <v>397</v>
      </c>
      <c r="M432" s="33" t="s">
        <v>466</v>
      </c>
      <c r="N432" s="33" t="s">
        <v>102</v>
      </c>
      <c r="O432" s="33" t="s">
        <v>115</v>
      </c>
      <c r="P432" s="33">
        <v>1</v>
      </c>
      <c r="R432" s="33">
        <v>0</v>
      </c>
      <c r="T432" t="s">
        <v>176</v>
      </c>
      <c r="U432" s="33" t="s">
        <v>4980</v>
      </c>
      <c r="V432" s="33" t="s">
        <v>122</v>
      </c>
      <c r="W432" s="33" t="s">
        <v>115</v>
      </c>
      <c r="X432" s="33" t="s">
        <v>115</v>
      </c>
      <c r="Y432" s="33" t="s">
        <v>115</v>
      </c>
      <c r="Z432" s="33" t="s">
        <v>115</v>
      </c>
      <c r="AA432" s="33" t="s">
        <v>115</v>
      </c>
      <c r="AB432" s="35" t="s">
        <v>115</v>
      </c>
      <c r="AC432" s="35"/>
      <c r="AD432" s="39">
        <v>0</v>
      </c>
      <c r="AE432" s="39">
        <v>0</v>
      </c>
      <c r="AF432" s="39">
        <v>0</v>
      </c>
      <c r="AG432" s="39">
        <v>0</v>
      </c>
      <c r="AH432" s="39">
        <v>28</v>
      </c>
      <c r="AI432" s="33">
        <v>0</v>
      </c>
      <c r="AJ432" s="33">
        <f t="shared" si="6"/>
        <v>28</v>
      </c>
      <c r="AO432"/>
      <c r="AP432"/>
      <c r="AQ432"/>
      <c r="AR432"/>
      <c r="AS432"/>
      <c r="AT432"/>
      <c r="AU432"/>
    </row>
    <row r="433" spans="1:47" x14ac:dyDescent="0.2">
      <c r="A433" s="33" t="s">
        <v>1128</v>
      </c>
      <c r="B433" s="33" t="s">
        <v>4982</v>
      </c>
      <c r="C433" s="33">
        <v>1</v>
      </c>
      <c r="D433" s="33">
        <v>1</v>
      </c>
      <c r="E433" s="33" t="s">
        <v>2601</v>
      </c>
      <c r="F433" s="37">
        <v>43379</v>
      </c>
      <c r="G433" s="37" t="s">
        <v>4033</v>
      </c>
      <c r="H433" s="37" t="s">
        <v>4724</v>
      </c>
      <c r="I433" s="36">
        <v>6.9444444444444441E-3</v>
      </c>
      <c r="J433" s="177">
        <v>1.1574074074074073E-4</v>
      </c>
      <c r="K433" s="39">
        <v>10</v>
      </c>
      <c r="L433" s="33" t="s">
        <v>640</v>
      </c>
      <c r="M433" s="33" t="s">
        <v>173</v>
      </c>
      <c r="N433" s="33" t="s">
        <v>102</v>
      </c>
      <c r="O433" s="33" t="s">
        <v>115</v>
      </c>
      <c r="P433" s="33">
        <v>1</v>
      </c>
      <c r="Q433" s="33"/>
      <c r="R433" s="33">
        <v>0</v>
      </c>
      <c r="S433" s="33"/>
      <c r="T433" t="s">
        <v>14</v>
      </c>
      <c r="U433" s="33" t="s">
        <v>2128</v>
      </c>
      <c r="V433" s="33" t="s">
        <v>122</v>
      </c>
      <c r="W433" s="33" t="s">
        <v>115</v>
      </c>
      <c r="X433" s="33" t="s">
        <v>115</v>
      </c>
      <c r="Y433" s="33" t="s">
        <v>115</v>
      </c>
      <c r="Z433" s="33" t="s">
        <v>115</v>
      </c>
      <c r="AA433" s="33" t="s">
        <v>115</v>
      </c>
      <c r="AB433" s="35" t="s">
        <v>115</v>
      </c>
      <c r="AC433" s="35"/>
      <c r="AD433" s="39">
        <v>0</v>
      </c>
      <c r="AE433" s="39">
        <v>0</v>
      </c>
      <c r="AF433" s="39">
        <v>0</v>
      </c>
      <c r="AG433" s="39">
        <v>0</v>
      </c>
      <c r="AH433" s="39">
        <v>10</v>
      </c>
      <c r="AI433" s="33">
        <v>0</v>
      </c>
      <c r="AJ433" s="33">
        <f t="shared" si="6"/>
        <v>10</v>
      </c>
      <c r="AK433" s="33" t="s">
        <v>103</v>
      </c>
      <c r="AL433" s="33"/>
      <c r="AM433" s="33"/>
      <c r="AN433" s="33"/>
    </row>
    <row r="434" spans="1:47" x14ac:dyDescent="0.2">
      <c r="A434" s="33" t="s">
        <v>1129</v>
      </c>
      <c r="B434" s="33" t="s">
        <v>4983</v>
      </c>
      <c r="C434" s="33">
        <v>2</v>
      </c>
      <c r="D434" s="33">
        <v>1</v>
      </c>
      <c r="E434" s="33" t="s">
        <v>2601</v>
      </c>
      <c r="F434" s="37">
        <v>43379</v>
      </c>
      <c r="G434" s="37" t="s">
        <v>4033</v>
      </c>
      <c r="H434" s="37" t="s">
        <v>4724</v>
      </c>
      <c r="I434" s="36">
        <v>9.7222222222222224E-3</v>
      </c>
      <c r="J434" s="177">
        <v>1.6203703703703703E-4</v>
      </c>
      <c r="K434" s="39">
        <v>14</v>
      </c>
      <c r="L434" s="33" t="s">
        <v>640</v>
      </c>
      <c r="M434" s="33" t="s">
        <v>173</v>
      </c>
      <c r="N434" s="33" t="s">
        <v>102</v>
      </c>
      <c r="O434" s="33" t="s">
        <v>115</v>
      </c>
      <c r="P434" s="33">
        <v>1</v>
      </c>
      <c r="Q434" s="33"/>
      <c r="R434" s="33">
        <v>0</v>
      </c>
      <c r="S434" s="33"/>
      <c r="T434" t="s">
        <v>176</v>
      </c>
      <c r="U434" s="33" t="s">
        <v>176</v>
      </c>
      <c r="V434" s="33" t="s">
        <v>122</v>
      </c>
      <c r="W434" s="33" t="s">
        <v>115</v>
      </c>
      <c r="X434" s="33" t="s">
        <v>115</v>
      </c>
      <c r="Y434" s="33" t="s">
        <v>115</v>
      </c>
      <c r="Z434" s="33" t="s">
        <v>115</v>
      </c>
      <c r="AA434" s="33" t="s">
        <v>115</v>
      </c>
      <c r="AB434" s="35" t="s">
        <v>115</v>
      </c>
      <c r="AC434" s="35"/>
      <c r="AD434" s="39">
        <v>0</v>
      </c>
      <c r="AE434" s="39">
        <v>0</v>
      </c>
      <c r="AF434" s="39">
        <v>0</v>
      </c>
      <c r="AG434" s="39">
        <v>0</v>
      </c>
      <c r="AH434" s="39">
        <v>10</v>
      </c>
      <c r="AI434" s="33">
        <v>0</v>
      </c>
      <c r="AJ434" s="33">
        <f t="shared" si="6"/>
        <v>10</v>
      </c>
      <c r="AK434" s="33"/>
      <c r="AL434" s="33" t="s">
        <v>4984</v>
      </c>
      <c r="AM434" s="33"/>
      <c r="AN434" s="33"/>
      <c r="AO434" s="33"/>
      <c r="AP434" s="33"/>
      <c r="AQ434" s="34"/>
      <c r="AR434" s="33"/>
      <c r="AS434" s="33"/>
      <c r="AT434" s="33"/>
      <c r="AU434" s="33"/>
    </row>
    <row r="435" spans="1:47" s="33" customFormat="1" x14ac:dyDescent="0.2">
      <c r="A435" t="s">
        <v>1130</v>
      </c>
      <c r="B435" t="s">
        <v>4985</v>
      </c>
      <c r="C435">
        <v>3</v>
      </c>
      <c r="D435">
        <v>1</v>
      </c>
      <c r="E435" t="s">
        <v>2601</v>
      </c>
      <c r="F435" s="1">
        <v>43379</v>
      </c>
      <c r="G435" s="37" t="s">
        <v>4033</v>
      </c>
      <c r="H435" s="37" t="s">
        <v>4724</v>
      </c>
      <c r="I435" s="2">
        <v>1.9444444444444445E-2</v>
      </c>
      <c r="J435" s="176">
        <v>3.2407407407407406E-4</v>
      </c>
      <c r="K435" s="6">
        <v>28</v>
      </c>
      <c r="L435" t="s">
        <v>640</v>
      </c>
      <c r="M435" s="7" t="s">
        <v>177</v>
      </c>
      <c r="N435" s="7" t="s">
        <v>1116</v>
      </c>
      <c r="O435" s="7" t="s">
        <v>23</v>
      </c>
      <c r="P435" s="7">
        <v>1</v>
      </c>
      <c r="Q435" s="7"/>
      <c r="R435">
        <v>0</v>
      </c>
      <c r="S435"/>
      <c r="T435" t="s">
        <v>176</v>
      </c>
      <c r="U435" t="s">
        <v>1131</v>
      </c>
      <c r="V435" t="s">
        <v>907</v>
      </c>
      <c r="W435" t="s">
        <v>115</v>
      </c>
      <c r="X435" s="33" t="s">
        <v>115</v>
      </c>
      <c r="Y435" s="33" t="s">
        <v>115</v>
      </c>
      <c r="Z435" s="33" t="s">
        <v>115</v>
      </c>
      <c r="AA435" t="s">
        <v>115</v>
      </c>
      <c r="AB435" s="19" t="s">
        <v>115</v>
      </c>
      <c r="AC435" s="19"/>
      <c r="AD435" s="6">
        <v>2</v>
      </c>
      <c r="AE435" s="6">
        <v>0</v>
      </c>
      <c r="AF435" s="6">
        <v>2</v>
      </c>
      <c r="AG435" s="6">
        <v>0</v>
      </c>
      <c r="AH435" s="6">
        <v>0</v>
      </c>
      <c r="AI435">
        <v>0</v>
      </c>
      <c r="AJ435">
        <f t="shared" si="6"/>
        <v>2</v>
      </c>
      <c r="AK435"/>
      <c r="AL435" t="s">
        <v>1132</v>
      </c>
      <c r="AM435"/>
      <c r="AN435"/>
      <c r="AO435"/>
      <c r="AP435"/>
      <c r="AQ435"/>
      <c r="AR435"/>
      <c r="AS435"/>
      <c r="AT435"/>
      <c r="AU435"/>
    </row>
    <row r="436" spans="1:47" s="33" customFormat="1" x14ac:dyDescent="0.2">
      <c r="A436" t="s">
        <v>1133</v>
      </c>
      <c r="B436" t="s">
        <v>4986</v>
      </c>
      <c r="C436">
        <v>4</v>
      </c>
      <c r="D436">
        <v>1</v>
      </c>
      <c r="E436" t="s">
        <v>2601</v>
      </c>
      <c r="F436" s="1">
        <v>43379</v>
      </c>
      <c r="G436" s="37" t="s">
        <v>4033</v>
      </c>
      <c r="H436" s="37" t="s">
        <v>4724</v>
      </c>
      <c r="I436" s="2">
        <v>1.1111111111111112E-2</v>
      </c>
      <c r="J436" s="176">
        <v>1.8518518518518518E-4</v>
      </c>
      <c r="K436" s="6">
        <v>16</v>
      </c>
      <c r="L436" t="s">
        <v>640</v>
      </c>
      <c r="M436" s="7" t="s">
        <v>173</v>
      </c>
      <c r="N436" s="7" t="s">
        <v>102</v>
      </c>
      <c r="O436" s="7" t="s">
        <v>115</v>
      </c>
      <c r="P436" s="7">
        <v>1</v>
      </c>
      <c r="Q436" s="7"/>
      <c r="R436">
        <v>0</v>
      </c>
      <c r="S436"/>
      <c r="T436" t="s">
        <v>14</v>
      </c>
      <c r="U436" t="s">
        <v>2131</v>
      </c>
      <c r="V436" t="s">
        <v>122</v>
      </c>
      <c r="W436" t="s">
        <v>115</v>
      </c>
      <c r="X436" s="33" t="s">
        <v>115</v>
      </c>
      <c r="Y436" s="33" t="s">
        <v>115</v>
      </c>
      <c r="Z436" s="33" t="s">
        <v>115</v>
      </c>
      <c r="AA436" t="s">
        <v>115</v>
      </c>
      <c r="AB436" s="19" t="s">
        <v>115</v>
      </c>
      <c r="AC436" s="19"/>
      <c r="AD436" s="6">
        <v>0</v>
      </c>
      <c r="AE436" s="6">
        <v>0</v>
      </c>
      <c r="AF436" s="6">
        <v>0</v>
      </c>
      <c r="AG436" s="6">
        <v>0</v>
      </c>
      <c r="AH436" s="6">
        <v>0</v>
      </c>
      <c r="AI436">
        <v>0</v>
      </c>
      <c r="AJ436">
        <f t="shared" si="6"/>
        <v>0</v>
      </c>
      <c r="AK436"/>
      <c r="AL436" t="s">
        <v>1134</v>
      </c>
      <c r="AM436"/>
      <c r="AN436"/>
      <c r="AO436"/>
      <c r="AP436"/>
      <c r="AQ436"/>
      <c r="AR436"/>
      <c r="AS436"/>
      <c r="AT436"/>
      <c r="AU436"/>
    </row>
    <row r="437" spans="1:47" s="33" customFormat="1" x14ac:dyDescent="0.2">
      <c r="A437" t="s">
        <v>1135</v>
      </c>
      <c r="B437" t="s">
        <v>4988</v>
      </c>
      <c r="C437">
        <v>5</v>
      </c>
      <c r="D437">
        <v>1</v>
      </c>
      <c r="E437" t="s">
        <v>2601</v>
      </c>
      <c r="F437" s="1">
        <v>43379</v>
      </c>
      <c r="G437" s="37" t="s">
        <v>4033</v>
      </c>
      <c r="H437" s="37" t="s">
        <v>4724</v>
      </c>
      <c r="I437" s="2">
        <v>7.6388888888888886E-3</v>
      </c>
      <c r="J437" s="176">
        <v>1.273148148148148E-4</v>
      </c>
      <c r="K437" s="6">
        <v>11</v>
      </c>
      <c r="L437" t="s">
        <v>640</v>
      </c>
      <c r="M437" s="7" t="s">
        <v>173</v>
      </c>
      <c r="N437" s="7" t="s">
        <v>107</v>
      </c>
      <c r="O437" s="7" t="s">
        <v>115</v>
      </c>
      <c r="P437" s="7">
        <v>0</v>
      </c>
      <c r="Q437" s="7"/>
      <c r="R437">
        <v>0</v>
      </c>
      <c r="S437"/>
      <c r="T437" t="s">
        <v>14</v>
      </c>
      <c r="U437" t="s">
        <v>2131</v>
      </c>
      <c r="V437" t="s">
        <v>115</v>
      </c>
      <c r="W437" t="s">
        <v>115</v>
      </c>
      <c r="X437" s="33" t="s">
        <v>115</v>
      </c>
      <c r="Y437" s="33" t="s">
        <v>115</v>
      </c>
      <c r="Z437" s="33" t="s">
        <v>115</v>
      </c>
      <c r="AA437" t="s">
        <v>115</v>
      </c>
      <c r="AB437" s="19" t="s">
        <v>115</v>
      </c>
      <c r="AC437" s="19"/>
      <c r="AD437" s="6">
        <v>0</v>
      </c>
      <c r="AE437" s="6">
        <v>0</v>
      </c>
      <c r="AF437" s="6">
        <v>0</v>
      </c>
      <c r="AG437" s="6">
        <v>0</v>
      </c>
      <c r="AH437" s="6">
        <v>0</v>
      </c>
      <c r="AI437">
        <v>0</v>
      </c>
      <c r="AJ437">
        <f t="shared" si="6"/>
        <v>0</v>
      </c>
      <c r="AK437"/>
      <c r="AL437" t="s">
        <v>1136</v>
      </c>
      <c r="AM437"/>
      <c r="AN437"/>
      <c r="AO437"/>
      <c r="AP437"/>
      <c r="AQ437"/>
      <c r="AR437"/>
      <c r="AS437"/>
      <c r="AT437"/>
      <c r="AU437"/>
    </row>
    <row r="438" spans="1:47" x14ac:dyDescent="0.2">
      <c r="A438" t="s">
        <v>1137</v>
      </c>
      <c r="B438" t="s">
        <v>4989</v>
      </c>
      <c r="C438">
        <v>6</v>
      </c>
      <c r="D438">
        <v>1</v>
      </c>
      <c r="E438" t="s">
        <v>2601</v>
      </c>
      <c r="F438" s="1">
        <v>43379</v>
      </c>
      <c r="G438" s="37" t="s">
        <v>4033</v>
      </c>
      <c r="H438" s="37" t="s">
        <v>4724</v>
      </c>
      <c r="I438" s="2">
        <v>1.1805555555555555E-2</v>
      </c>
      <c r="J438" s="176">
        <v>1.9675925925925926E-4</v>
      </c>
      <c r="K438" s="6">
        <v>17</v>
      </c>
      <c r="L438" t="s">
        <v>640</v>
      </c>
      <c r="M438" s="7" t="s">
        <v>173</v>
      </c>
      <c r="N438" s="7" t="s">
        <v>111</v>
      </c>
      <c r="O438" s="7" t="s">
        <v>23</v>
      </c>
      <c r="P438" s="7">
        <v>0</v>
      </c>
      <c r="Q438" s="7"/>
      <c r="R438">
        <v>1</v>
      </c>
      <c r="T438" t="s">
        <v>176</v>
      </c>
      <c r="U438" t="s">
        <v>4990</v>
      </c>
      <c r="V438" t="s">
        <v>24</v>
      </c>
      <c r="W438" t="s">
        <v>709</v>
      </c>
      <c r="X438" s="44" t="s">
        <v>23</v>
      </c>
      <c r="Y438" s="44" t="s">
        <v>4004</v>
      </c>
      <c r="Z438" s="44" t="s">
        <v>4005</v>
      </c>
      <c r="AA438" t="s">
        <v>24</v>
      </c>
      <c r="AB438" s="19">
        <v>63.724710000000002</v>
      </c>
      <c r="AC438" s="19">
        <v>148.95338000000001</v>
      </c>
      <c r="AD438" s="6">
        <v>0</v>
      </c>
      <c r="AE438" s="6">
        <v>0</v>
      </c>
      <c r="AF438" s="6">
        <v>0</v>
      </c>
      <c r="AG438" s="6">
        <v>0</v>
      </c>
      <c r="AH438" s="6">
        <v>0</v>
      </c>
      <c r="AI438">
        <v>0</v>
      </c>
      <c r="AJ438">
        <f t="shared" si="6"/>
        <v>0</v>
      </c>
      <c r="AO438" s="33"/>
      <c r="AP438" s="33"/>
      <c r="AQ438" s="34" t="s">
        <v>4978</v>
      </c>
      <c r="AR438" s="33"/>
      <c r="AS438" s="33"/>
      <c r="AT438" s="33"/>
      <c r="AU438" s="33"/>
    </row>
    <row r="439" spans="1:47" s="33" customFormat="1" x14ac:dyDescent="0.2">
      <c r="A439" t="s">
        <v>1140</v>
      </c>
      <c r="B439" t="s">
        <v>4991</v>
      </c>
      <c r="C439">
        <v>7</v>
      </c>
      <c r="D439">
        <v>1</v>
      </c>
      <c r="E439" t="s">
        <v>2601</v>
      </c>
      <c r="F439" s="1">
        <v>43379</v>
      </c>
      <c r="G439" s="37" t="s">
        <v>4033</v>
      </c>
      <c r="H439" s="37" t="s">
        <v>4724</v>
      </c>
      <c r="I439" s="2">
        <v>9.0277777777777787E-3</v>
      </c>
      <c r="J439" s="176">
        <v>1.5046296296296297E-4</v>
      </c>
      <c r="K439" s="6">
        <v>13</v>
      </c>
      <c r="L439" t="s">
        <v>640</v>
      </c>
      <c r="M439" s="7" t="s">
        <v>173</v>
      </c>
      <c r="N439" s="7" t="s">
        <v>111</v>
      </c>
      <c r="O439" s="7" t="s">
        <v>23</v>
      </c>
      <c r="P439" s="7">
        <v>0</v>
      </c>
      <c r="Q439" s="7"/>
      <c r="R439">
        <v>1</v>
      </c>
      <c r="S439"/>
      <c r="T439" t="s">
        <v>176</v>
      </c>
      <c r="U439" t="s">
        <v>176</v>
      </c>
      <c r="V439" t="s">
        <v>24</v>
      </c>
      <c r="W439" t="s">
        <v>709</v>
      </c>
      <c r="X439" s="44" t="s">
        <v>23</v>
      </c>
      <c r="Y439" s="44" t="s">
        <v>4004</v>
      </c>
      <c r="Z439" s="44" t="s">
        <v>4007</v>
      </c>
      <c r="AA439" t="s">
        <v>24</v>
      </c>
      <c r="AB439" s="19">
        <v>63.72475</v>
      </c>
      <c r="AC439" s="19">
        <v>148.95241999999999</v>
      </c>
      <c r="AD439" s="6">
        <v>0</v>
      </c>
      <c r="AE439" s="6">
        <v>0</v>
      </c>
      <c r="AF439" s="6">
        <v>0</v>
      </c>
      <c r="AG439" s="6">
        <v>0</v>
      </c>
      <c r="AH439" s="6">
        <v>0</v>
      </c>
      <c r="AI439">
        <v>0</v>
      </c>
      <c r="AJ439">
        <f t="shared" si="6"/>
        <v>0</v>
      </c>
      <c r="AK439"/>
      <c r="AL439" t="s">
        <v>1142</v>
      </c>
      <c r="AM439"/>
      <c r="AN439"/>
      <c r="AQ439" s="34"/>
    </row>
    <row r="440" spans="1:47" s="33" customFormat="1" x14ac:dyDescent="0.2">
      <c r="A440" t="s">
        <v>1143</v>
      </c>
      <c r="B440" t="s">
        <v>4987</v>
      </c>
      <c r="C440">
        <v>8</v>
      </c>
      <c r="D440">
        <v>1</v>
      </c>
      <c r="E440" t="s">
        <v>2601</v>
      </c>
      <c r="F440" s="1">
        <v>43379</v>
      </c>
      <c r="G440" s="37" t="s">
        <v>4033</v>
      </c>
      <c r="H440" s="37" t="s">
        <v>4724</v>
      </c>
      <c r="I440" s="2">
        <v>1.5277777777777777E-2</v>
      </c>
      <c r="J440" s="176">
        <v>2.5462962962962961E-4</v>
      </c>
      <c r="K440" s="6">
        <v>22</v>
      </c>
      <c r="L440" t="s">
        <v>640</v>
      </c>
      <c r="M440" s="7" t="s">
        <v>173</v>
      </c>
      <c r="N440" s="7" t="s">
        <v>111</v>
      </c>
      <c r="O440" s="7" t="s">
        <v>23</v>
      </c>
      <c r="P440" s="7">
        <v>1</v>
      </c>
      <c r="Q440" s="7"/>
      <c r="R440">
        <v>1</v>
      </c>
      <c r="S440"/>
      <c r="T440" t="s">
        <v>176</v>
      </c>
      <c r="U440" t="s">
        <v>176</v>
      </c>
      <c r="V440" t="s">
        <v>122</v>
      </c>
      <c r="W440" t="s">
        <v>3963</v>
      </c>
      <c r="X440" s="44" t="s">
        <v>23</v>
      </c>
      <c r="Y440" s="44" t="s">
        <v>3997</v>
      </c>
      <c r="Z440" s="44" t="s">
        <v>4007</v>
      </c>
      <c r="AA440">
        <v>1</v>
      </c>
      <c r="AB440" s="19">
        <v>63.724789999999999</v>
      </c>
      <c r="AC440" s="19">
        <v>148.95250999999999</v>
      </c>
      <c r="AD440" s="6">
        <v>0</v>
      </c>
      <c r="AE440" s="6">
        <v>0</v>
      </c>
      <c r="AF440" s="6">
        <v>0</v>
      </c>
      <c r="AG440" s="6">
        <v>0</v>
      </c>
      <c r="AH440" s="6">
        <v>0</v>
      </c>
      <c r="AI440">
        <v>0</v>
      </c>
      <c r="AJ440">
        <f t="shared" si="6"/>
        <v>0</v>
      </c>
      <c r="AK440"/>
      <c r="AL440" t="s">
        <v>1191</v>
      </c>
      <c r="AM440"/>
      <c r="AN440"/>
      <c r="AQ440" s="34"/>
    </row>
    <row r="441" spans="1:47" x14ac:dyDescent="0.2">
      <c r="A441" t="s">
        <v>1145</v>
      </c>
      <c r="B441" t="s">
        <v>4992</v>
      </c>
      <c r="C441">
        <v>9</v>
      </c>
      <c r="D441">
        <v>1</v>
      </c>
      <c r="E441" t="s">
        <v>2601</v>
      </c>
      <c r="F441" s="1">
        <v>43379</v>
      </c>
      <c r="G441" s="37" t="s">
        <v>4033</v>
      </c>
      <c r="H441" s="37" t="s">
        <v>4724</v>
      </c>
      <c r="I441" s="2">
        <v>1.2499999999999999E-2</v>
      </c>
      <c r="J441" s="176">
        <v>2.0833333333333335E-4</v>
      </c>
      <c r="K441" s="6">
        <v>18</v>
      </c>
      <c r="L441" t="s">
        <v>640</v>
      </c>
      <c r="M441" s="7" t="s">
        <v>173</v>
      </c>
      <c r="N441" s="7" t="s">
        <v>111</v>
      </c>
      <c r="O441" s="7" t="s">
        <v>23</v>
      </c>
      <c r="P441" s="7">
        <v>0</v>
      </c>
      <c r="Q441" s="7"/>
      <c r="R441">
        <v>1</v>
      </c>
      <c r="T441" t="s">
        <v>176</v>
      </c>
      <c r="U441" t="s">
        <v>176</v>
      </c>
      <c r="V441" t="s">
        <v>24</v>
      </c>
      <c r="W441" s="7" t="s">
        <v>1035</v>
      </c>
      <c r="X441" s="44" t="s">
        <v>23</v>
      </c>
      <c r="Y441" s="44" t="s">
        <v>3997</v>
      </c>
      <c r="Z441" s="44" t="s">
        <v>4006</v>
      </c>
      <c r="AA441" t="s">
        <v>24</v>
      </c>
      <c r="AB441" s="19">
        <v>63.724919999999997</v>
      </c>
      <c r="AC441" s="19">
        <v>148.95245</v>
      </c>
      <c r="AD441" s="6">
        <v>0</v>
      </c>
      <c r="AE441" s="6">
        <v>0</v>
      </c>
      <c r="AF441" s="6">
        <v>0</v>
      </c>
      <c r="AG441" s="6">
        <v>0</v>
      </c>
      <c r="AH441" s="6">
        <v>0</v>
      </c>
      <c r="AI441">
        <v>0</v>
      </c>
      <c r="AJ441">
        <f t="shared" si="6"/>
        <v>0</v>
      </c>
      <c r="AL441" t="s">
        <v>1147</v>
      </c>
      <c r="AO441" s="33"/>
      <c r="AP441" s="33"/>
      <c r="AQ441" s="34" t="s">
        <v>3941</v>
      </c>
      <c r="AR441" s="33"/>
      <c r="AS441" s="33"/>
      <c r="AT441" s="33"/>
      <c r="AU441" s="33"/>
    </row>
    <row r="442" spans="1:47" hidden="1" x14ac:dyDescent="0.2">
      <c r="A442" t="s">
        <v>1145</v>
      </c>
      <c r="B442" t="s">
        <v>4992</v>
      </c>
      <c r="C442">
        <v>9</v>
      </c>
      <c r="D442">
        <v>2</v>
      </c>
      <c r="E442" t="s">
        <v>2601</v>
      </c>
      <c r="F442" s="1">
        <v>43379</v>
      </c>
      <c r="G442" s="37" t="s">
        <v>4033</v>
      </c>
      <c r="H442" s="37" t="s">
        <v>4724</v>
      </c>
      <c r="I442" s="2">
        <v>1.2499999999999999E-2</v>
      </c>
      <c r="J442" s="176">
        <v>2.0833333333333335E-4</v>
      </c>
      <c r="K442" s="6">
        <v>18</v>
      </c>
      <c r="L442" t="s">
        <v>640</v>
      </c>
      <c r="M442" s="7" t="s">
        <v>173</v>
      </c>
      <c r="N442" s="7" t="s">
        <v>111</v>
      </c>
      <c r="O442" s="7" t="s">
        <v>23</v>
      </c>
      <c r="P442" s="7">
        <v>0</v>
      </c>
      <c r="Q442" s="7"/>
      <c r="R442">
        <v>1</v>
      </c>
      <c r="T442" t="s">
        <v>176</v>
      </c>
      <c r="U442" t="s">
        <v>176</v>
      </c>
      <c r="V442" t="s">
        <v>24</v>
      </c>
      <c r="W442" s="7" t="s">
        <v>1035</v>
      </c>
      <c r="X442" s="44" t="s">
        <v>23</v>
      </c>
      <c r="Y442" s="44" t="s">
        <v>3997</v>
      </c>
      <c r="Z442" s="44" t="s">
        <v>4006</v>
      </c>
      <c r="AA442" t="s">
        <v>24</v>
      </c>
      <c r="AB442" s="19">
        <v>63.724919999999997</v>
      </c>
      <c r="AC442" s="19">
        <v>148.95258000000001</v>
      </c>
      <c r="AD442" s="6">
        <v>0</v>
      </c>
      <c r="AE442" s="6">
        <v>0</v>
      </c>
      <c r="AF442" s="6">
        <v>0</v>
      </c>
      <c r="AG442" s="6">
        <v>0</v>
      </c>
      <c r="AH442" s="6">
        <v>0</v>
      </c>
      <c r="AI442">
        <v>0</v>
      </c>
      <c r="AJ442">
        <f t="shared" si="6"/>
        <v>0</v>
      </c>
      <c r="AL442" t="s">
        <v>1147</v>
      </c>
    </row>
    <row r="443" spans="1:47" s="33" customFormat="1" x14ac:dyDescent="0.2">
      <c r="A443" t="s">
        <v>1148</v>
      </c>
      <c r="B443" t="s">
        <v>1149</v>
      </c>
      <c r="C443">
        <v>1</v>
      </c>
      <c r="D443">
        <v>1</v>
      </c>
      <c r="E443" t="s">
        <v>791</v>
      </c>
      <c r="F443" s="1">
        <v>43380</v>
      </c>
      <c r="G443" s="37" t="s">
        <v>4033</v>
      </c>
      <c r="H443" s="37" t="s">
        <v>4724</v>
      </c>
      <c r="I443" s="2">
        <v>1.0416666666666666E-2</v>
      </c>
      <c r="J443" s="176">
        <v>1.7361111111111112E-4</v>
      </c>
      <c r="K443" s="6">
        <v>15</v>
      </c>
      <c r="L443" t="s">
        <v>398</v>
      </c>
      <c r="M443" s="7" t="s">
        <v>924</v>
      </c>
      <c r="N443" s="7" t="s">
        <v>102</v>
      </c>
      <c r="O443" s="7" t="s">
        <v>115</v>
      </c>
      <c r="P443" s="7">
        <v>1</v>
      </c>
      <c r="Q443" s="7"/>
      <c r="R443">
        <v>0</v>
      </c>
      <c r="S443"/>
      <c r="T443" t="s">
        <v>176</v>
      </c>
      <c r="U443" t="s">
        <v>176</v>
      </c>
      <c r="V443" t="s">
        <v>122</v>
      </c>
      <c r="W443" t="s">
        <v>115</v>
      </c>
      <c r="X443" s="33" t="s">
        <v>115</v>
      </c>
      <c r="Y443" s="33" t="s">
        <v>115</v>
      </c>
      <c r="Z443" s="33" t="s">
        <v>115</v>
      </c>
      <c r="AA443" t="s">
        <v>115</v>
      </c>
      <c r="AB443" s="19" t="s">
        <v>115</v>
      </c>
      <c r="AC443" s="19"/>
      <c r="AD443" s="6">
        <v>0</v>
      </c>
      <c r="AE443" s="6">
        <v>0</v>
      </c>
      <c r="AF443" s="6">
        <v>0</v>
      </c>
      <c r="AG443" s="6">
        <v>0</v>
      </c>
      <c r="AH443" s="6">
        <v>0</v>
      </c>
      <c r="AI443">
        <v>0</v>
      </c>
      <c r="AJ443">
        <f t="shared" si="6"/>
        <v>0</v>
      </c>
      <c r="AK443"/>
      <c r="AL443" t="s">
        <v>1150</v>
      </c>
      <c r="AM443"/>
      <c r="AN443"/>
      <c r="AO443"/>
      <c r="AP443"/>
      <c r="AQ443"/>
      <c r="AR443"/>
      <c r="AS443"/>
      <c r="AT443"/>
      <c r="AU443"/>
    </row>
    <row r="444" spans="1:47" s="33" customFormat="1" x14ac:dyDescent="0.2">
      <c r="A444" s="33" t="s">
        <v>1151</v>
      </c>
      <c r="B444" s="33" t="s">
        <v>1152</v>
      </c>
      <c r="C444" s="33">
        <v>2</v>
      </c>
      <c r="D444" s="33">
        <v>1</v>
      </c>
      <c r="E444" s="33" t="s">
        <v>791</v>
      </c>
      <c r="F444" s="37">
        <v>43380</v>
      </c>
      <c r="G444" s="37" t="s">
        <v>4033</v>
      </c>
      <c r="H444" s="37" t="s">
        <v>4724</v>
      </c>
      <c r="I444" s="36">
        <v>4.8611111111111112E-3</v>
      </c>
      <c r="J444" s="177">
        <v>8.1018518518518516E-5</v>
      </c>
      <c r="K444" s="39">
        <v>7</v>
      </c>
      <c r="L444" s="33" t="s">
        <v>398</v>
      </c>
      <c r="M444" s="33" t="s">
        <v>927</v>
      </c>
      <c r="N444" s="33" t="s">
        <v>102</v>
      </c>
      <c r="O444" s="33" t="s">
        <v>115</v>
      </c>
      <c r="P444" s="33">
        <v>1</v>
      </c>
      <c r="R444" s="33">
        <v>0</v>
      </c>
      <c r="T444" t="s">
        <v>14</v>
      </c>
      <c r="U444" s="33" t="s">
        <v>2128</v>
      </c>
      <c r="V444" s="33" t="s">
        <v>122</v>
      </c>
      <c r="W444" s="33" t="s">
        <v>115</v>
      </c>
      <c r="X444" s="33" t="s">
        <v>115</v>
      </c>
      <c r="Y444" s="33" t="s">
        <v>115</v>
      </c>
      <c r="Z444" s="33" t="s">
        <v>115</v>
      </c>
      <c r="AA444" s="33" t="s">
        <v>115</v>
      </c>
      <c r="AB444" s="35" t="s">
        <v>115</v>
      </c>
      <c r="AC444" s="35"/>
      <c r="AD444" s="39">
        <v>0</v>
      </c>
      <c r="AE444" s="39">
        <v>0</v>
      </c>
      <c r="AF444" s="39">
        <v>0</v>
      </c>
      <c r="AG444" s="39">
        <v>0</v>
      </c>
      <c r="AH444" s="39">
        <v>6</v>
      </c>
      <c r="AI444" s="33">
        <v>0</v>
      </c>
      <c r="AJ444" s="33">
        <f t="shared" si="6"/>
        <v>6</v>
      </c>
      <c r="AO444"/>
      <c r="AP444"/>
      <c r="AQ444"/>
      <c r="AR444"/>
      <c r="AS444"/>
      <c r="AT444"/>
      <c r="AU444"/>
    </row>
    <row r="445" spans="1:47" s="33" customFormat="1" x14ac:dyDescent="0.2">
      <c r="A445" t="s">
        <v>1153</v>
      </c>
      <c r="B445" t="s">
        <v>1154</v>
      </c>
      <c r="C445">
        <v>3</v>
      </c>
      <c r="D445">
        <v>1</v>
      </c>
      <c r="E445" t="s">
        <v>791</v>
      </c>
      <c r="F445" s="1">
        <v>43380</v>
      </c>
      <c r="G445" s="37" t="s">
        <v>4033</v>
      </c>
      <c r="H445" s="37" t="s">
        <v>4724</v>
      </c>
      <c r="I445" s="2">
        <v>6.0416666666666667E-2</v>
      </c>
      <c r="J445" s="176">
        <v>1.0069444444444444E-3</v>
      </c>
      <c r="K445" s="6">
        <v>87</v>
      </c>
      <c r="L445" t="s">
        <v>398</v>
      </c>
      <c r="M445" s="7" t="s">
        <v>924</v>
      </c>
      <c r="N445" s="7" t="s">
        <v>111</v>
      </c>
      <c r="O445" s="7" t="s">
        <v>23</v>
      </c>
      <c r="P445" s="7">
        <v>1</v>
      </c>
      <c r="Q445" s="7"/>
      <c r="R445">
        <v>1</v>
      </c>
      <c r="S445" s="7"/>
      <c r="T445" t="s">
        <v>176</v>
      </c>
      <c r="U445" t="s">
        <v>176</v>
      </c>
      <c r="V445" s="7" t="s">
        <v>1155</v>
      </c>
      <c r="W445" s="7" t="s">
        <v>2068</v>
      </c>
      <c r="X445" s="33" t="s">
        <v>23</v>
      </c>
      <c r="Y445" s="33" t="s">
        <v>3997</v>
      </c>
      <c r="Z445" s="33" t="s">
        <v>4003</v>
      </c>
      <c r="AA445" s="7" t="s">
        <v>24</v>
      </c>
      <c r="AB445" s="20">
        <v>63.721200000000003</v>
      </c>
      <c r="AC445" s="20">
        <v>148.96514999999999</v>
      </c>
      <c r="AD445" s="6">
        <v>0</v>
      </c>
      <c r="AE445" s="6">
        <v>0</v>
      </c>
      <c r="AF445" s="6">
        <v>0</v>
      </c>
      <c r="AG445" s="6">
        <v>0</v>
      </c>
      <c r="AH445" s="6">
        <v>0</v>
      </c>
      <c r="AI445">
        <v>0</v>
      </c>
      <c r="AJ445">
        <f t="shared" si="6"/>
        <v>0</v>
      </c>
      <c r="AK445"/>
      <c r="AL445"/>
      <c r="AM445"/>
      <c r="AN445"/>
      <c r="AO445"/>
      <c r="AP445"/>
      <c r="AQ445"/>
      <c r="AR445"/>
      <c r="AS445"/>
      <c r="AT445"/>
      <c r="AU445"/>
    </row>
    <row r="446" spans="1:47" s="33" customFormat="1" hidden="1" x14ac:dyDescent="0.2">
      <c r="A446" t="s">
        <v>1153</v>
      </c>
      <c r="B446" t="s">
        <v>1154</v>
      </c>
      <c r="C446">
        <v>3</v>
      </c>
      <c r="D446">
        <v>2</v>
      </c>
      <c r="E446" t="s">
        <v>791</v>
      </c>
      <c r="F446" s="1">
        <v>43380</v>
      </c>
      <c r="G446" s="37" t="s">
        <v>4033</v>
      </c>
      <c r="H446" s="37" t="s">
        <v>4724</v>
      </c>
      <c r="I446" s="2">
        <v>6.0416666666666667E-2</v>
      </c>
      <c r="J446" s="176">
        <v>1.0069444444444444E-3</v>
      </c>
      <c r="K446" s="6">
        <v>87</v>
      </c>
      <c r="L446" t="s">
        <v>398</v>
      </c>
      <c r="M446" s="7" t="s">
        <v>924</v>
      </c>
      <c r="N446" s="7" t="s">
        <v>111</v>
      </c>
      <c r="O446" s="7" t="s">
        <v>23</v>
      </c>
      <c r="P446" s="7">
        <v>0</v>
      </c>
      <c r="Q446" s="7"/>
      <c r="R446">
        <v>2</v>
      </c>
      <c r="S446" s="7" t="s">
        <v>2066</v>
      </c>
      <c r="T446" t="s">
        <v>176</v>
      </c>
      <c r="U446" t="s">
        <v>176</v>
      </c>
      <c r="V446" s="7" t="s">
        <v>1155</v>
      </c>
      <c r="W446" s="7" t="s">
        <v>2068</v>
      </c>
      <c r="X446" s="44" t="s">
        <v>23</v>
      </c>
      <c r="Y446" s="44" t="s">
        <v>3997</v>
      </c>
      <c r="Z446" s="44" t="s">
        <v>4005</v>
      </c>
      <c r="AA446" s="7" t="s">
        <v>24</v>
      </c>
      <c r="AB446" s="20">
        <v>63.721200000000003</v>
      </c>
      <c r="AC446" s="20">
        <v>148.96527</v>
      </c>
      <c r="AD446" s="6">
        <v>0</v>
      </c>
      <c r="AE446" s="6">
        <v>0</v>
      </c>
      <c r="AF446" s="6">
        <v>0</v>
      </c>
      <c r="AG446" s="6">
        <v>0</v>
      </c>
      <c r="AH446" s="6">
        <v>0</v>
      </c>
      <c r="AI446">
        <v>0</v>
      </c>
      <c r="AJ446">
        <f t="shared" si="6"/>
        <v>0</v>
      </c>
      <c r="AK446"/>
      <c r="AL446"/>
      <c r="AM446"/>
      <c r="AN446"/>
      <c r="AO446"/>
      <c r="AP446"/>
      <c r="AQ446"/>
      <c r="AR446"/>
      <c r="AS446"/>
      <c r="AT446"/>
      <c r="AU446"/>
    </row>
    <row r="447" spans="1:47" x14ac:dyDescent="0.2">
      <c r="A447" t="s">
        <v>1156</v>
      </c>
      <c r="B447" t="s">
        <v>1157</v>
      </c>
      <c r="C447">
        <v>4</v>
      </c>
      <c r="D447">
        <v>1</v>
      </c>
      <c r="E447" t="s">
        <v>791</v>
      </c>
      <c r="F447" s="1">
        <v>43380</v>
      </c>
      <c r="G447" s="37" t="s">
        <v>4033</v>
      </c>
      <c r="H447" s="37" t="s">
        <v>4724</v>
      </c>
      <c r="I447" s="2">
        <v>2.361111111111111E-2</v>
      </c>
      <c r="J447" s="176">
        <v>3.9351851851851852E-4</v>
      </c>
      <c r="K447" s="6">
        <v>34</v>
      </c>
      <c r="L447" t="s">
        <v>398</v>
      </c>
      <c r="M447" s="7" t="s">
        <v>924</v>
      </c>
      <c r="N447" s="7" t="s">
        <v>102</v>
      </c>
      <c r="O447" s="7" t="s">
        <v>23</v>
      </c>
      <c r="P447" s="7">
        <v>1</v>
      </c>
      <c r="Q447" s="7"/>
      <c r="R447" s="7">
        <v>0</v>
      </c>
      <c r="S447" s="7"/>
      <c r="T447" t="s">
        <v>176</v>
      </c>
      <c r="U447" t="s">
        <v>176</v>
      </c>
      <c r="V447" s="7" t="s">
        <v>501</v>
      </c>
      <c r="W447" s="7" t="s">
        <v>115</v>
      </c>
      <c r="X447" s="33" t="s">
        <v>115</v>
      </c>
      <c r="Y447" s="33" t="s">
        <v>115</v>
      </c>
      <c r="Z447" s="33" t="s">
        <v>115</v>
      </c>
      <c r="AA447" s="7" t="s">
        <v>115</v>
      </c>
      <c r="AB447" s="20" t="s">
        <v>115</v>
      </c>
      <c r="AC447" s="20"/>
      <c r="AD447" s="6">
        <v>0</v>
      </c>
      <c r="AE447" s="6">
        <v>33</v>
      </c>
      <c r="AF447" s="6">
        <v>0</v>
      </c>
      <c r="AG447" s="6">
        <v>33</v>
      </c>
      <c r="AH447" s="6">
        <v>0</v>
      </c>
      <c r="AI447">
        <v>0</v>
      </c>
      <c r="AJ447">
        <f t="shared" si="6"/>
        <v>33</v>
      </c>
      <c r="AK447" t="s">
        <v>188</v>
      </c>
    </row>
    <row r="448" spans="1:47" x14ac:dyDescent="0.2">
      <c r="A448" s="33" t="s">
        <v>1158</v>
      </c>
      <c r="B448" s="33" t="s">
        <v>1159</v>
      </c>
      <c r="C448" s="33">
        <v>5</v>
      </c>
      <c r="D448" s="33">
        <v>1</v>
      </c>
      <c r="E448" s="33" t="s">
        <v>791</v>
      </c>
      <c r="F448" s="37">
        <v>43380</v>
      </c>
      <c r="G448" s="37" t="s">
        <v>4033</v>
      </c>
      <c r="H448" s="37" t="s">
        <v>4724</v>
      </c>
      <c r="I448" s="36">
        <v>5.7638888888888885E-2</v>
      </c>
      <c r="J448" s="177">
        <v>9.6064814814814808E-4</v>
      </c>
      <c r="K448" s="39">
        <v>83</v>
      </c>
      <c r="L448" s="33" t="s">
        <v>398</v>
      </c>
      <c r="M448" s="33" t="s">
        <v>924</v>
      </c>
      <c r="N448" s="33" t="s">
        <v>187</v>
      </c>
      <c r="O448" s="33" t="s">
        <v>23</v>
      </c>
      <c r="P448" s="33">
        <v>2</v>
      </c>
      <c r="Q448" s="33" t="s">
        <v>2284</v>
      </c>
      <c r="R448" s="33">
        <v>1</v>
      </c>
      <c r="S448" s="33">
        <v>0</v>
      </c>
      <c r="T448" t="s">
        <v>14</v>
      </c>
      <c r="U448" s="33" t="s">
        <v>2128</v>
      </c>
      <c r="V448" s="33" t="s">
        <v>122</v>
      </c>
      <c r="W448" s="33" t="s">
        <v>2084</v>
      </c>
      <c r="X448" s="33" t="s">
        <v>23</v>
      </c>
      <c r="Y448" s="33" t="s">
        <v>3997</v>
      </c>
      <c r="Z448" s="33" t="s">
        <v>3998</v>
      </c>
      <c r="AA448" s="33">
        <v>4</v>
      </c>
      <c r="AB448" s="35">
        <v>63.722389999999997</v>
      </c>
      <c r="AC448" s="35">
        <v>148.96592999999999</v>
      </c>
      <c r="AD448" s="39">
        <v>0</v>
      </c>
      <c r="AE448" s="39">
        <v>0</v>
      </c>
      <c r="AF448" s="39">
        <v>0</v>
      </c>
      <c r="AG448" s="39">
        <v>0</v>
      </c>
      <c r="AH448" s="39">
        <v>18</v>
      </c>
      <c r="AI448" s="33">
        <v>0</v>
      </c>
      <c r="AJ448" s="33">
        <f t="shared" si="6"/>
        <v>18</v>
      </c>
      <c r="AK448" s="33"/>
      <c r="AL448" s="33" t="s">
        <v>1160</v>
      </c>
      <c r="AM448" s="33"/>
      <c r="AN448" s="33"/>
    </row>
    <row r="449" spans="1:47" hidden="1" x14ac:dyDescent="0.2">
      <c r="A449" t="s">
        <v>1158</v>
      </c>
      <c r="B449" t="s">
        <v>1159</v>
      </c>
      <c r="C449">
        <v>5</v>
      </c>
      <c r="D449">
        <v>3</v>
      </c>
      <c r="E449" t="s">
        <v>791</v>
      </c>
      <c r="F449" s="1">
        <v>43380</v>
      </c>
      <c r="G449" s="37" t="s">
        <v>4033</v>
      </c>
      <c r="H449" s="37" t="s">
        <v>4724</v>
      </c>
      <c r="I449" s="2">
        <v>5.7638888888888885E-2</v>
      </c>
      <c r="J449" s="176">
        <v>9.6064814814814808E-4</v>
      </c>
      <c r="K449" s="6">
        <v>83</v>
      </c>
      <c r="L449" t="s">
        <v>398</v>
      </c>
      <c r="M449" s="7" t="s">
        <v>924</v>
      </c>
      <c r="N449" s="7" t="s">
        <v>111</v>
      </c>
      <c r="O449" s="7" t="s">
        <v>23</v>
      </c>
      <c r="P449" s="7">
        <v>1</v>
      </c>
      <c r="Q449" s="7"/>
      <c r="R449" s="7">
        <v>1</v>
      </c>
      <c r="S449" s="7"/>
      <c r="T449" t="s">
        <v>14</v>
      </c>
      <c r="U449" t="s">
        <v>2128</v>
      </c>
      <c r="V449" s="7" t="s">
        <v>122</v>
      </c>
      <c r="W449" s="7" t="s">
        <v>2085</v>
      </c>
      <c r="X449" s="33" t="s">
        <v>23</v>
      </c>
      <c r="Y449" s="33" t="s">
        <v>3999</v>
      </c>
      <c r="Z449" s="33" t="s">
        <v>4001</v>
      </c>
      <c r="AA449" s="7">
        <v>13</v>
      </c>
      <c r="AB449" s="20">
        <v>63.722320000000003</v>
      </c>
      <c r="AC449" s="20">
        <v>148.96617000000001</v>
      </c>
      <c r="AD449" s="6">
        <v>0</v>
      </c>
      <c r="AE449" s="6">
        <v>0</v>
      </c>
      <c r="AF449" s="6">
        <v>0</v>
      </c>
      <c r="AG449" s="6">
        <v>0</v>
      </c>
      <c r="AH449" s="6">
        <v>0</v>
      </c>
      <c r="AI449">
        <v>0</v>
      </c>
      <c r="AJ449">
        <f t="shared" si="6"/>
        <v>0</v>
      </c>
      <c r="AL449" t="s">
        <v>2086</v>
      </c>
    </row>
    <row r="450" spans="1:47" x14ac:dyDescent="0.2">
      <c r="A450" s="33" t="s">
        <v>1158</v>
      </c>
      <c r="B450" s="33" t="s">
        <v>1159</v>
      </c>
      <c r="C450" s="33">
        <v>5</v>
      </c>
      <c r="D450" s="33">
        <v>1</v>
      </c>
      <c r="E450" s="33" t="s">
        <v>791</v>
      </c>
      <c r="F450" s="37">
        <v>43380</v>
      </c>
      <c r="G450" s="37" t="s">
        <v>4033</v>
      </c>
      <c r="H450" s="37" t="s">
        <v>4724</v>
      </c>
      <c r="I450" s="36">
        <v>5.7638888888888885E-2</v>
      </c>
      <c r="J450" s="177">
        <v>9.6064814814814808E-4</v>
      </c>
      <c r="K450" s="39">
        <v>83</v>
      </c>
      <c r="L450" s="33" t="s">
        <v>398</v>
      </c>
      <c r="M450" s="33" t="s">
        <v>1095</v>
      </c>
      <c r="N450" s="33" t="s">
        <v>102</v>
      </c>
      <c r="O450" s="33" t="s">
        <v>23</v>
      </c>
      <c r="P450" s="33">
        <v>0</v>
      </c>
      <c r="Q450" s="33">
        <v>0</v>
      </c>
      <c r="R450" s="33">
        <v>0</v>
      </c>
      <c r="S450" s="33">
        <v>0</v>
      </c>
      <c r="T450" s="33"/>
      <c r="U450" s="33" t="s">
        <v>115</v>
      </c>
      <c r="V450" s="33" t="s">
        <v>115</v>
      </c>
      <c r="W450" s="33" t="s">
        <v>115</v>
      </c>
      <c r="X450" s="33" t="s">
        <v>115</v>
      </c>
      <c r="Y450" s="33" t="s">
        <v>115</v>
      </c>
      <c r="Z450" s="33" t="s">
        <v>115</v>
      </c>
      <c r="AA450" s="33" t="s">
        <v>115</v>
      </c>
      <c r="AB450" s="35" t="s">
        <v>115</v>
      </c>
      <c r="AC450" s="35" t="s">
        <v>115</v>
      </c>
      <c r="AD450" s="39">
        <v>18</v>
      </c>
      <c r="AE450" s="39">
        <v>0</v>
      </c>
      <c r="AF450" s="39">
        <v>0</v>
      </c>
      <c r="AG450" s="39">
        <v>18</v>
      </c>
      <c r="AH450" s="39">
        <v>0</v>
      </c>
      <c r="AI450" s="33">
        <v>0</v>
      </c>
      <c r="AJ450" s="33">
        <f t="shared" ref="AJ450:AJ513" si="7">SUM(AF450:AI450)</f>
        <v>18</v>
      </c>
      <c r="AK450" s="33"/>
      <c r="AL450" s="33" t="s">
        <v>1160</v>
      </c>
      <c r="AM450" s="33"/>
      <c r="AN450" s="33"/>
      <c r="AO450" s="33"/>
      <c r="AP450" s="33"/>
      <c r="AQ450" s="34"/>
      <c r="AR450" s="33"/>
      <c r="AS450" s="33"/>
      <c r="AT450" s="33"/>
      <c r="AU450" s="33"/>
    </row>
    <row r="451" spans="1:47" hidden="1" x14ac:dyDescent="0.2">
      <c r="A451" t="s">
        <v>1158</v>
      </c>
      <c r="B451" t="s">
        <v>1159</v>
      </c>
      <c r="C451">
        <v>5</v>
      </c>
      <c r="D451">
        <v>2</v>
      </c>
      <c r="E451" t="s">
        <v>791</v>
      </c>
      <c r="F451" s="1">
        <v>43380</v>
      </c>
      <c r="G451" s="37" t="s">
        <v>4033</v>
      </c>
      <c r="H451" s="37" t="s">
        <v>4724</v>
      </c>
      <c r="I451" s="2">
        <v>5.7638888888888885E-2</v>
      </c>
      <c r="J451" s="176">
        <v>9.6064814814814808E-4</v>
      </c>
      <c r="K451" s="6">
        <v>83</v>
      </c>
      <c r="L451" t="s">
        <v>398</v>
      </c>
      <c r="M451" s="7" t="s">
        <v>924</v>
      </c>
      <c r="N451" s="7" t="s">
        <v>111</v>
      </c>
      <c r="O451" s="7" t="s">
        <v>23</v>
      </c>
      <c r="P451" s="7">
        <v>0</v>
      </c>
      <c r="Q451" s="7"/>
      <c r="R451" s="7">
        <v>2</v>
      </c>
      <c r="S451" s="7" t="s">
        <v>2066</v>
      </c>
      <c r="T451" t="s">
        <v>176</v>
      </c>
      <c r="U451" t="s">
        <v>176</v>
      </c>
      <c r="V451" s="7" t="s">
        <v>122</v>
      </c>
      <c r="W451" s="7" t="s">
        <v>2084</v>
      </c>
      <c r="X451" s="44" t="s">
        <v>23</v>
      </c>
      <c r="Y451" s="44" t="s">
        <v>3997</v>
      </c>
      <c r="Z451" s="44" t="s">
        <v>4006</v>
      </c>
      <c r="AA451">
        <v>21</v>
      </c>
      <c r="AB451" s="19">
        <v>63.722290000000001</v>
      </c>
      <c r="AC451" s="19">
        <v>148.96632</v>
      </c>
      <c r="AD451" s="6">
        <v>0</v>
      </c>
      <c r="AE451" s="6">
        <v>0</v>
      </c>
      <c r="AF451" s="6">
        <v>0</v>
      </c>
      <c r="AG451" s="6">
        <v>0</v>
      </c>
      <c r="AH451" s="6">
        <v>0</v>
      </c>
      <c r="AI451">
        <v>0</v>
      </c>
      <c r="AJ451">
        <f t="shared" si="7"/>
        <v>0</v>
      </c>
    </row>
    <row r="452" spans="1:47" x14ac:dyDescent="0.2">
      <c r="A452" t="s">
        <v>1161</v>
      </c>
      <c r="B452" t="s">
        <v>1162</v>
      </c>
      <c r="C452">
        <v>1</v>
      </c>
      <c r="D452">
        <v>1</v>
      </c>
      <c r="E452" t="s">
        <v>324</v>
      </c>
      <c r="F452" s="1">
        <v>43380</v>
      </c>
      <c r="G452" s="37" t="s">
        <v>4033</v>
      </c>
      <c r="H452" s="37" t="s">
        <v>4724</v>
      </c>
      <c r="I452" s="2">
        <v>6.2499999999999995E-3</v>
      </c>
      <c r="J452" s="176">
        <v>1.0416666666666667E-4</v>
      </c>
      <c r="K452" s="6">
        <v>9</v>
      </c>
      <c r="L452" t="s">
        <v>398</v>
      </c>
      <c r="M452" s="7" t="s">
        <v>325</v>
      </c>
      <c r="N452" s="7" t="s">
        <v>111</v>
      </c>
      <c r="O452" s="7" t="s">
        <v>12</v>
      </c>
      <c r="P452" s="7">
        <v>0</v>
      </c>
      <c r="Q452" s="7"/>
      <c r="R452" s="7">
        <v>1</v>
      </c>
      <c r="S452" s="7"/>
      <c r="T452" t="s">
        <v>176</v>
      </c>
      <c r="U452" t="s">
        <v>176</v>
      </c>
      <c r="V452" s="7" t="s">
        <v>24</v>
      </c>
      <c r="W452" s="7" t="s">
        <v>1027</v>
      </c>
      <c r="X452" s="33" t="s">
        <v>12</v>
      </c>
      <c r="Y452" s="33" t="s">
        <v>3997</v>
      </c>
      <c r="Z452" s="33" t="s">
        <v>4005</v>
      </c>
      <c r="AA452" s="7" t="s">
        <v>24</v>
      </c>
      <c r="AB452" s="20">
        <v>63.72533</v>
      </c>
      <c r="AC452" s="20">
        <v>148.88963000000001</v>
      </c>
      <c r="AD452" s="6">
        <v>0</v>
      </c>
      <c r="AE452" s="6">
        <v>0</v>
      </c>
      <c r="AF452" s="6">
        <v>0</v>
      </c>
      <c r="AG452" s="6">
        <v>0</v>
      </c>
      <c r="AH452" s="6">
        <v>0</v>
      </c>
      <c r="AI452">
        <v>0</v>
      </c>
      <c r="AJ452">
        <f t="shared" si="7"/>
        <v>0</v>
      </c>
      <c r="AL452" t="s">
        <v>1163</v>
      </c>
    </row>
    <row r="453" spans="1:47" x14ac:dyDescent="0.2">
      <c r="A453" s="33" t="s">
        <v>1164</v>
      </c>
      <c r="B453" s="33" t="s">
        <v>1165</v>
      </c>
      <c r="C453" s="33">
        <v>1</v>
      </c>
      <c r="D453" s="33">
        <v>1</v>
      </c>
      <c r="E453" s="33" t="s">
        <v>2487</v>
      </c>
      <c r="F453" s="37">
        <v>43381</v>
      </c>
      <c r="G453" s="37" t="s">
        <v>4033</v>
      </c>
      <c r="H453" s="37" t="s">
        <v>4724</v>
      </c>
      <c r="I453" s="36">
        <v>1.5972222222222224E-2</v>
      </c>
      <c r="J453" s="177">
        <v>2.6620370370370372E-4</v>
      </c>
      <c r="K453" s="39">
        <v>23</v>
      </c>
      <c r="L453" s="33" t="s">
        <v>1167</v>
      </c>
      <c r="M453" s="33" t="s">
        <v>344</v>
      </c>
      <c r="N453" s="33" t="s">
        <v>102</v>
      </c>
      <c r="O453" s="33" t="s">
        <v>115</v>
      </c>
      <c r="P453" s="33">
        <v>2</v>
      </c>
      <c r="Q453" s="33"/>
      <c r="R453" s="33">
        <v>0</v>
      </c>
      <c r="S453" s="33"/>
      <c r="T453" t="s">
        <v>176</v>
      </c>
      <c r="U453" s="33" t="s">
        <v>176</v>
      </c>
      <c r="V453" s="33" t="s">
        <v>122</v>
      </c>
      <c r="W453" s="33" t="s">
        <v>115</v>
      </c>
      <c r="X453" s="33" t="s">
        <v>115</v>
      </c>
      <c r="Y453" s="33" t="s">
        <v>115</v>
      </c>
      <c r="Z453" s="33" t="s">
        <v>115</v>
      </c>
      <c r="AA453" s="33" t="s">
        <v>115</v>
      </c>
      <c r="AB453" s="35" t="s">
        <v>115</v>
      </c>
      <c r="AC453" s="35"/>
      <c r="AD453" s="39">
        <v>0</v>
      </c>
      <c r="AE453" s="39">
        <v>0</v>
      </c>
      <c r="AF453" s="39">
        <v>0</v>
      </c>
      <c r="AG453" s="39">
        <v>0</v>
      </c>
      <c r="AH453" s="39">
        <v>20</v>
      </c>
      <c r="AI453" s="33">
        <v>0</v>
      </c>
      <c r="AJ453" s="33">
        <f t="shared" si="7"/>
        <v>20</v>
      </c>
      <c r="AK453" s="33"/>
      <c r="AL453" s="33"/>
      <c r="AM453" s="33"/>
      <c r="AN453" s="33"/>
    </row>
    <row r="454" spans="1:47" x14ac:dyDescent="0.2">
      <c r="A454" t="s">
        <v>1166</v>
      </c>
      <c r="B454" t="s">
        <v>1171</v>
      </c>
      <c r="C454">
        <v>2</v>
      </c>
      <c r="D454">
        <v>1</v>
      </c>
      <c r="E454" t="s">
        <v>2487</v>
      </c>
      <c r="F454" s="1">
        <v>43381</v>
      </c>
      <c r="G454" s="37" t="s">
        <v>4033</v>
      </c>
      <c r="H454" s="37" t="s">
        <v>4724</v>
      </c>
      <c r="I454" s="2">
        <v>1.5972222222222224E-2</v>
      </c>
      <c r="J454" s="176">
        <v>2.6620370370370372E-4</v>
      </c>
      <c r="K454" s="6">
        <v>23</v>
      </c>
      <c r="L454" t="s">
        <v>101</v>
      </c>
      <c r="M454" s="7" t="s">
        <v>344</v>
      </c>
      <c r="N454" s="7" t="s">
        <v>102</v>
      </c>
      <c r="O454" s="7" t="s">
        <v>115</v>
      </c>
      <c r="P454" s="7">
        <v>1</v>
      </c>
      <c r="Q454" s="7"/>
      <c r="R454" s="7">
        <v>0</v>
      </c>
      <c r="S454" s="7"/>
      <c r="T454" t="s">
        <v>14</v>
      </c>
      <c r="U454" t="s">
        <v>2128</v>
      </c>
      <c r="V454" s="7" t="s">
        <v>122</v>
      </c>
      <c r="W454" s="7" t="s">
        <v>115</v>
      </c>
      <c r="X454" s="33" t="s">
        <v>115</v>
      </c>
      <c r="Y454" s="33" t="s">
        <v>115</v>
      </c>
      <c r="Z454" s="33" t="s">
        <v>115</v>
      </c>
      <c r="AA454" s="7" t="s">
        <v>115</v>
      </c>
      <c r="AB454" s="20" t="s">
        <v>115</v>
      </c>
      <c r="AC454" s="20"/>
      <c r="AD454" s="6">
        <v>0</v>
      </c>
      <c r="AE454" s="6">
        <v>0</v>
      </c>
      <c r="AF454" s="6">
        <v>0</v>
      </c>
      <c r="AG454" s="6">
        <v>0</v>
      </c>
      <c r="AH454" s="6">
        <v>0</v>
      </c>
      <c r="AI454">
        <v>0</v>
      </c>
      <c r="AJ454">
        <f t="shared" si="7"/>
        <v>0</v>
      </c>
      <c r="AL454" t="s">
        <v>1168</v>
      </c>
    </row>
    <row r="455" spans="1:47" x14ac:dyDescent="0.2">
      <c r="A455" t="s">
        <v>1169</v>
      </c>
      <c r="B455" t="s">
        <v>1170</v>
      </c>
      <c r="C455">
        <v>3</v>
      </c>
      <c r="D455">
        <v>1</v>
      </c>
      <c r="E455" t="s">
        <v>2487</v>
      </c>
      <c r="F455" s="1">
        <v>43381</v>
      </c>
      <c r="G455" s="37" t="s">
        <v>4033</v>
      </c>
      <c r="H455" s="37" t="s">
        <v>4724</v>
      </c>
      <c r="I455" s="2">
        <v>1.0416666666666666E-2</v>
      </c>
      <c r="J455" s="176">
        <v>1.7361111111111112E-4</v>
      </c>
      <c r="K455" s="6">
        <v>15</v>
      </c>
      <c r="L455" t="s">
        <v>101</v>
      </c>
      <c r="M455" s="7" t="s">
        <v>344</v>
      </c>
      <c r="N455" s="7" t="s">
        <v>1172</v>
      </c>
      <c r="O455" s="7" t="s">
        <v>23</v>
      </c>
      <c r="P455" s="7">
        <v>1</v>
      </c>
      <c r="Q455" s="7"/>
      <c r="R455" s="7">
        <v>1</v>
      </c>
      <c r="S455" s="7"/>
      <c r="T455" t="s">
        <v>14</v>
      </c>
      <c r="U455" t="s">
        <v>2110</v>
      </c>
      <c r="V455" s="7" t="s">
        <v>333</v>
      </c>
      <c r="W455" s="7" t="s">
        <v>3975</v>
      </c>
      <c r="X455" s="44" t="s">
        <v>23</v>
      </c>
      <c r="Y455" s="44" t="s">
        <v>3999</v>
      </c>
      <c r="Z455" s="44" t="s">
        <v>4016</v>
      </c>
      <c r="AA455">
        <v>3</v>
      </c>
      <c r="AB455" s="20">
        <v>63.718719999999998</v>
      </c>
      <c r="AC455" s="20">
        <v>148.9863</v>
      </c>
      <c r="AD455" s="6">
        <v>0</v>
      </c>
      <c r="AE455" s="6">
        <v>0</v>
      </c>
      <c r="AF455" s="6">
        <v>0</v>
      </c>
      <c r="AG455" s="6">
        <v>0</v>
      </c>
      <c r="AH455" s="6">
        <v>0</v>
      </c>
      <c r="AI455">
        <v>0</v>
      </c>
      <c r="AJ455">
        <f t="shared" si="7"/>
        <v>0</v>
      </c>
      <c r="AL455" t="s">
        <v>4994</v>
      </c>
    </row>
    <row r="456" spans="1:47" s="33" customFormat="1" x14ac:dyDescent="0.2">
      <c r="A456" t="s">
        <v>1174</v>
      </c>
      <c r="B456" t="s">
        <v>1175</v>
      </c>
      <c r="C456">
        <v>4</v>
      </c>
      <c r="D456">
        <v>1</v>
      </c>
      <c r="E456" t="s">
        <v>2487</v>
      </c>
      <c r="F456" s="1">
        <v>43381</v>
      </c>
      <c r="G456" s="37" t="s">
        <v>4033</v>
      </c>
      <c r="H456" s="37" t="s">
        <v>4724</v>
      </c>
      <c r="I456" s="2">
        <v>2.2916666666666669E-2</v>
      </c>
      <c r="J456" s="176">
        <v>3.8194444444444446E-4</v>
      </c>
      <c r="K456" s="6">
        <v>33</v>
      </c>
      <c r="L456" t="s">
        <v>101</v>
      </c>
      <c r="M456" s="7" t="s">
        <v>344</v>
      </c>
      <c r="N456" s="7" t="s">
        <v>111</v>
      </c>
      <c r="O456" s="7" t="s">
        <v>23</v>
      </c>
      <c r="P456" s="7">
        <v>0</v>
      </c>
      <c r="Q456" s="7"/>
      <c r="R456" s="7">
        <v>1</v>
      </c>
      <c r="S456" s="7"/>
      <c r="T456" t="s">
        <v>176</v>
      </c>
      <c r="U456" t="s">
        <v>176</v>
      </c>
      <c r="V456" s="7" t="s">
        <v>24</v>
      </c>
      <c r="W456" s="7" t="s">
        <v>709</v>
      </c>
      <c r="X456" s="44" t="s">
        <v>23</v>
      </c>
      <c r="Y456" s="44" t="s">
        <v>4004</v>
      </c>
      <c r="Z456" s="44" t="s">
        <v>4005</v>
      </c>
      <c r="AA456" s="7" t="s">
        <v>24</v>
      </c>
      <c r="AB456" s="20">
        <v>63.719540000000002</v>
      </c>
      <c r="AC456" s="20">
        <v>148.98489000000001</v>
      </c>
      <c r="AD456" s="6">
        <v>0</v>
      </c>
      <c r="AE456" s="6">
        <v>0</v>
      </c>
      <c r="AF456" s="6">
        <v>0</v>
      </c>
      <c r="AG456" s="6">
        <v>0</v>
      </c>
      <c r="AH456" s="6">
        <v>0</v>
      </c>
      <c r="AI456">
        <v>0</v>
      </c>
      <c r="AJ456">
        <f t="shared" si="7"/>
        <v>0</v>
      </c>
      <c r="AK456"/>
      <c r="AL456" t="s">
        <v>2032</v>
      </c>
      <c r="AM456"/>
      <c r="AN456"/>
      <c r="AO456"/>
      <c r="AP456"/>
      <c r="AQ456"/>
      <c r="AR456"/>
      <c r="AS456"/>
      <c r="AT456"/>
      <c r="AU456"/>
    </row>
    <row r="457" spans="1:47" x14ac:dyDescent="0.2">
      <c r="A457" s="33" t="s">
        <v>1176</v>
      </c>
      <c r="B457" s="33" t="s">
        <v>1177</v>
      </c>
      <c r="C457" s="33">
        <v>5</v>
      </c>
      <c r="D457" s="33">
        <v>1</v>
      </c>
      <c r="E457" s="33" t="s">
        <v>2487</v>
      </c>
      <c r="F457" s="37">
        <v>43381</v>
      </c>
      <c r="G457" s="37" t="s">
        <v>4033</v>
      </c>
      <c r="H457" s="37" t="s">
        <v>4724</v>
      </c>
      <c r="I457" s="36">
        <v>7.6388888888888886E-3</v>
      </c>
      <c r="J457" s="177">
        <v>1.273148148148148E-4</v>
      </c>
      <c r="K457" s="39">
        <v>11</v>
      </c>
      <c r="L457" s="33" t="s">
        <v>101</v>
      </c>
      <c r="M457" s="33" t="s">
        <v>2498</v>
      </c>
      <c r="N457" s="33" t="s">
        <v>102</v>
      </c>
      <c r="O457" s="33" t="s">
        <v>115</v>
      </c>
      <c r="P457" s="33">
        <v>1</v>
      </c>
      <c r="Q457" s="33">
        <v>2</v>
      </c>
      <c r="R457" s="33">
        <v>0</v>
      </c>
      <c r="S457" s="33"/>
      <c r="T457" t="s">
        <v>14</v>
      </c>
      <c r="U457" s="33" t="s">
        <v>2128</v>
      </c>
      <c r="V457" s="33" t="s">
        <v>122</v>
      </c>
      <c r="W457" s="33" t="s">
        <v>115</v>
      </c>
      <c r="X457" s="33" t="s">
        <v>115</v>
      </c>
      <c r="Y457" s="33" t="s">
        <v>115</v>
      </c>
      <c r="Z457" s="33" t="s">
        <v>115</v>
      </c>
      <c r="AA457" s="33" t="s">
        <v>115</v>
      </c>
      <c r="AB457" s="35" t="s">
        <v>115</v>
      </c>
      <c r="AC457" s="35"/>
      <c r="AD457" s="39">
        <v>0</v>
      </c>
      <c r="AE457" s="39">
        <v>0</v>
      </c>
      <c r="AF457" s="39">
        <v>0</v>
      </c>
      <c r="AG457" s="39">
        <v>0</v>
      </c>
      <c r="AH457" s="39">
        <v>11</v>
      </c>
      <c r="AI457" s="33">
        <v>0</v>
      </c>
      <c r="AJ457" s="33">
        <f t="shared" si="7"/>
        <v>11</v>
      </c>
      <c r="AK457" s="33"/>
      <c r="AL457" s="33"/>
      <c r="AM457" s="33"/>
      <c r="AN457" s="33"/>
    </row>
    <row r="458" spans="1:47" x14ac:dyDescent="0.2">
      <c r="A458" t="s">
        <v>1178</v>
      </c>
      <c r="B458" t="s">
        <v>1179</v>
      </c>
      <c r="C458">
        <v>6</v>
      </c>
      <c r="D458">
        <v>1</v>
      </c>
      <c r="E458" t="s">
        <v>2487</v>
      </c>
      <c r="F458" s="1">
        <v>43381</v>
      </c>
      <c r="G458" s="37" t="s">
        <v>4033</v>
      </c>
      <c r="H458" s="37" t="s">
        <v>4724</v>
      </c>
      <c r="I458" s="2">
        <v>2.4305555555555556E-2</v>
      </c>
      <c r="J458" s="176">
        <v>4.0509259259259258E-4</v>
      </c>
      <c r="K458" s="6">
        <v>35</v>
      </c>
      <c r="L458" t="s">
        <v>101</v>
      </c>
      <c r="M458" s="7" t="s">
        <v>2498</v>
      </c>
      <c r="N458" s="7" t="s">
        <v>111</v>
      </c>
      <c r="O458" s="7" t="s">
        <v>23</v>
      </c>
      <c r="P458" s="7">
        <v>0</v>
      </c>
      <c r="Q458" s="7"/>
      <c r="R458" s="7">
        <v>1</v>
      </c>
      <c r="S458" s="7"/>
      <c r="T458" t="s">
        <v>176</v>
      </c>
      <c r="U458" t="s">
        <v>176</v>
      </c>
      <c r="V458" s="7" t="s">
        <v>24</v>
      </c>
      <c r="W458" s="7" t="s">
        <v>487</v>
      </c>
      <c r="X458" s="33" t="s">
        <v>23</v>
      </c>
      <c r="Y458" s="33" t="s">
        <v>3997</v>
      </c>
      <c r="Z458" s="33" t="s">
        <v>4001</v>
      </c>
      <c r="AA458" s="7" t="s">
        <v>24</v>
      </c>
      <c r="AB458" s="20">
        <v>63.719549999999998</v>
      </c>
      <c r="AC458" s="20">
        <v>148.98508000000001</v>
      </c>
      <c r="AD458" s="6">
        <v>0</v>
      </c>
      <c r="AE458" s="6">
        <v>0</v>
      </c>
      <c r="AF458" s="6">
        <v>0</v>
      </c>
      <c r="AG458" s="6">
        <v>0</v>
      </c>
      <c r="AH458" s="6">
        <v>0</v>
      </c>
      <c r="AI458">
        <v>0</v>
      </c>
      <c r="AJ458">
        <f t="shared" si="7"/>
        <v>0</v>
      </c>
      <c r="AL458" t="s">
        <v>1180</v>
      </c>
      <c r="AO458" s="33"/>
      <c r="AP458" s="33"/>
      <c r="AQ458" s="34" t="s">
        <v>4993</v>
      </c>
      <c r="AR458" s="33"/>
      <c r="AS458" s="33"/>
      <c r="AT458" s="33"/>
      <c r="AU458" s="33"/>
    </row>
    <row r="459" spans="1:47" x14ac:dyDescent="0.2">
      <c r="A459" t="s">
        <v>1181</v>
      </c>
      <c r="B459" t="s">
        <v>1184</v>
      </c>
      <c r="C459">
        <v>1</v>
      </c>
      <c r="D459">
        <v>1</v>
      </c>
      <c r="E459" t="s">
        <v>521</v>
      </c>
      <c r="F459" s="1">
        <v>43381</v>
      </c>
      <c r="G459" s="37" t="s">
        <v>4033</v>
      </c>
      <c r="H459" s="37" t="s">
        <v>4724</v>
      </c>
      <c r="I459" s="2">
        <v>1.1805555555555555E-2</v>
      </c>
      <c r="J459" s="176">
        <v>1.9675925925925926E-4</v>
      </c>
      <c r="K459" s="6">
        <v>17</v>
      </c>
      <c r="L459" t="s">
        <v>101</v>
      </c>
      <c r="M459" s="7" t="s">
        <v>2488</v>
      </c>
      <c r="N459" s="7" t="s">
        <v>111</v>
      </c>
      <c r="O459" s="7" t="s">
        <v>23</v>
      </c>
      <c r="P459" s="7">
        <v>0</v>
      </c>
      <c r="Q459" s="7"/>
      <c r="R459" s="7">
        <v>2</v>
      </c>
      <c r="S459" s="7"/>
      <c r="T459" t="s">
        <v>176</v>
      </c>
      <c r="U459" t="s">
        <v>176</v>
      </c>
      <c r="V459" s="7" t="s">
        <v>24</v>
      </c>
      <c r="W459" s="7" t="s">
        <v>709</v>
      </c>
      <c r="X459" s="44" t="s">
        <v>23</v>
      </c>
      <c r="Y459" s="44" t="s">
        <v>4004</v>
      </c>
      <c r="Z459" s="44" t="s">
        <v>4005</v>
      </c>
      <c r="AA459" s="7" t="s">
        <v>24</v>
      </c>
      <c r="AB459" s="20" t="s">
        <v>246</v>
      </c>
      <c r="AC459" s="20"/>
      <c r="AD459" s="6">
        <v>0</v>
      </c>
      <c r="AE459" s="6">
        <v>0</v>
      </c>
      <c r="AF459" s="6">
        <v>0</v>
      </c>
      <c r="AG459" s="6">
        <v>0</v>
      </c>
      <c r="AH459" s="6">
        <v>0</v>
      </c>
      <c r="AI459">
        <v>0</v>
      </c>
      <c r="AJ459">
        <f t="shared" si="7"/>
        <v>0</v>
      </c>
      <c r="AL459" t="s">
        <v>4995</v>
      </c>
      <c r="AO459" s="33"/>
      <c r="AP459" s="33"/>
      <c r="AQ459" s="34"/>
      <c r="AR459" s="33"/>
      <c r="AS459" s="33"/>
      <c r="AT459" s="33"/>
      <c r="AU459" s="33"/>
    </row>
    <row r="460" spans="1:47" x14ac:dyDescent="0.2">
      <c r="A460" s="33" t="s">
        <v>1183</v>
      </c>
      <c r="B460" s="33" t="s">
        <v>1185</v>
      </c>
      <c r="C460" s="33">
        <v>2</v>
      </c>
      <c r="D460" s="33">
        <v>1</v>
      </c>
      <c r="E460" s="33" t="s">
        <v>521</v>
      </c>
      <c r="F460" s="37">
        <v>43381</v>
      </c>
      <c r="G460" s="37" t="s">
        <v>4033</v>
      </c>
      <c r="H460" s="37" t="s">
        <v>4724</v>
      </c>
      <c r="I460" s="36">
        <v>2.2916666666666669E-2</v>
      </c>
      <c r="J460" s="177">
        <v>3.8194444444444446E-4</v>
      </c>
      <c r="K460" s="39">
        <v>33</v>
      </c>
      <c r="L460" s="33" t="s">
        <v>101</v>
      </c>
      <c r="M460" s="7" t="s">
        <v>2488</v>
      </c>
      <c r="N460" s="33" t="s">
        <v>111</v>
      </c>
      <c r="O460" s="33" t="s">
        <v>23</v>
      </c>
      <c r="P460" s="33">
        <v>1</v>
      </c>
      <c r="Q460" s="33"/>
      <c r="R460" s="33">
        <v>1</v>
      </c>
      <c r="S460" s="33"/>
      <c r="T460" t="s">
        <v>176</v>
      </c>
      <c r="U460" s="33" t="s">
        <v>176</v>
      </c>
      <c r="V460" s="33" t="s">
        <v>122</v>
      </c>
      <c r="W460" s="33" t="s">
        <v>3963</v>
      </c>
      <c r="X460" s="33" t="s">
        <v>23</v>
      </c>
      <c r="Y460" s="33" t="s">
        <v>3997</v>
      </c>
      <c r="Z460" s="33" t="s">
        <v>4007</v>
      </c>
      <c r="AA460" s="33">
        <v>2</v>
      </c>
      <c r="AB460" s="35">
        <v>63.719540000000002</v>
      </c>
      <c r="AC460" s="35">
        <v>148.98946000000001</v>
      </c>
      <c r="AD460" s="39">
        <v>0</v>
      </c>
      <c r="AE460" s="39">
        <v>0</v>
      </c>
      <c r="AF460" s="39">
        <v>0</v>
      </c>
      <c r="AG460" s="39">
        <v>0</v>
      </c>
      <c r="AH460" s="39">
        <v>13</v>
      </c>
      <c r="AI460" s="33">
        <v>0</v>
      </c>
      <c r="AJ460" s="33">
        <f t="shared" si="7"/>
        <v>13</v>
      </c>
      <c r="AK460" s="33"/>
      <c r="AL460" s="33"/>
      <c r="AM460" s="33"/>
      <c r="AN460" s="33"/>
      <c r="AO460" s="33"/>
      <c r="AP460" s="33"/>
      <c r="AQ460" s="34"/>
      <c r="AR460" s="33"/>
      <c r="AS460" s="33"/>
      <c r="AT460" s="33"/>
      <c r="AU460" s="33"/>
    </row>
    <row r="461" spans="1:47" hidden="1" x14ac:dyDescent="0.2">
      <c r="A461" t="s">
        <v>1183</v>
      </c>
      <c r="B461" t="s">
        <v>1185</v>
      </c>
      <c r="C461">
        <v>2</v>
      </c>
      <c r="D461">
        <v>2</v>
      </c>
      <c r="E461" t="s">
        <v>521</v>
      </c>
      <c r="F461" s="1">
        <v>43381</v>
      </c>
      <c r="G461" s="37" t="s">
        <v>4033</v>
      </c>
      <c r="H461" s="37" t="s">
        <v>4724</v>
      </c>
      <c r="I461" s="2">
        <v>2.2916666666666669E-2</v>
      </c>
      <c r="J461" s="176">
        <v>3.8194444444444446E-4</v>
      </c>
      <c r="K461" s="6">
        <v>33</v>
      </c>
      <c r="L461" t="s">
        <v>101</v>
      </c>
      <c r="M461" s="7" t="s">
        <v>2488</v>
      </c>
      <c r="N461" s="7" t="s">
        <v>156</v>
      </c>
      <c r="O461" s="7" t="s">
        <v>23</v>
      </c>
      <c r="P461" s="7">
        <v>1</v>
      </c>
      <c r="Q461" s="7">
        <v>3</v>
      </c>
      <c r="R461" s="7">
        <v>1</v>
      </c>
      <c r="S461" s="7"/>
      <c r="T461" t="s">
        <v>14</v>
      </c>
      <c r="U461" t="s">
        <v>2128</v>
      </c>
      <c r="V461" s="7" t="s">
        <v>122</v>
      </c>
      <c r="W461" t="s">
        <v>2061</v>
      </c>
      <c r="X461" s="33" t="s">
        <v>23</v>
      </c>
      <c r="Y461" s="33" t="s">
        <v>3999</v>
      </c>
      <c r="Z461" s="33" t="s">
        <v>4006</v>
      </c>
      <c r="AA461" s="7">
        <v>14</v>
      </c>
      <c r="AB461" s="20">
        <v>63.719450000000002</v>
      </c>
      <c r="AC461" s="20">
        <v>148.98935</v>
      </c>
      <c r="AD461" s="6">
        <v>0</v>
      </c>
      <c r="AE461" s="6">
        <v>0</v>
      </c>
      <c r="AF461" s="6">
        <v>0</v>
      </c>
      <c r="AG461" s="6">
        <v>0</v>
      </c>
      <c r="AH461" s="6">
        <v>0</v>
      </c>
      <c r="AI461">
        <v>0</v>
      </c>
      <c r="AJ461">
        <f t="shared" si="7"/>
        <v>0</v>
      </c>
    </row>
    <row r="462" spans="1:47" s="33" customFormat="1" x14ac:dyDescent="0.2">
      <c r="A462" t="s">
        <v>1186</v>
      </c>
      <c r="B462" t="s">
        <v>1187</v>
      </c>
      <c r="C462">
        <v>3</v>
      </c>
      <c r="D462">
        <v>1</v>
      </c>
      <c r="E462" t="s">
        <v>521</v>
      </c>
      <c r="F462" s="1">
        <v>43381</v>
      </c>
      <c r="G462" s="37" t="s">
        <v>4033</v>
      </c>
      <c r="H462" s="37" t="s">
        <v>4724</v>
      </c>
      <c r="I462" s="2">
        <v>2.2222222222222223E-2</v>
      </c>
      <c r="J462" s="176">
        <v>3.7037037037037035E-4</v>
      </c>
      <c r="K462" s="6">
        <v>32</v>
      </c>
      <c r="L462" t="s">
        <v>101</v>
      </c>
      <c r="M462" s="7" t="s">
        <v>2488</v>
      </c>
      <c r="N462" s="7" t="s">
        <v>111</v>
      </c>
      <c r="O462" s="7" t="s">
        <v>23</v>
      </c>
      <c r="P462" s="7">
        <v>0</v>
      </c>
      <c r="Q462" s="7"/>
      <c r="R462" s="7">
        <v>1</v>
      </c>
      <c r="S462" s="7"/>
      <c r="T462" t="s">
        <v>14</v>
      </c>
      <c r="U462" t="s">
        <v>2128</v>
      </c>
      <c r="V462" s="7" t="s">
        <v>122</v>
      </c>
      <c r="W462" t="s">
        <v>2061</v>
      </c>
      <c r="X462" s="33" t="s">
        <v>23</v>
      </c>
      <c r="Y462" s="33" t="s">
        <v>3999</v>
      </c>
      <c r="Z462" s="33" t="s">
        <v>4006</v>
      </c>
      <c r="AA462">
        <v>14</v>
      </c>
      <c r="AB462" s="19">
        <v>63.719450000000002</v>
      </c>
      <c r="AC462" s="19">
        <v>148.98935</v>
      </c>
      <c r="AD462" s="6">
        <v>0</v>
      </c>
      <c r="AE462" s="6">
        <v>0</v>
      </c>
      <c r="AF462" s="6">
        <v>0</v>
      </c>
      <c r="AG462" s="6">
        <v>0</v>
      </c>
      <c r="AH462" s="6">
        <v>0</v>
      </c>
      <c r="AI462">
        <v>0</v>
      </c>
      <c r="AJ462">
        <f t="shared" si="7"/>
        <v>0</v>
      </c>
      <c r="AK462"/>
      <c r="AL462" t="s">
        <v>4996</v>
      </c>
      <c r="AM462"/>
      <c r="AN462"/>
      <c r="AQ462" s="34"/>
    </row>
    <row r="463" spans="1:47" x14ac:dyDescent="0.2">
      <c r="A463" s="33" t="s">
        <v>1189</v>
      </c>
      <c r="B463" s="33" t="s">
        <v>1190</v>
      </c>
      <c r="C463" s="33">
        <v>1</v>
      </c>
      <c r="D463" s="33">
        <v>1</v>
      </c>
      <c r="E463" s="33" t="s">
        <v>3171</v>
      </c>
      <c r="F463" s="37">
        <v>43381</v>
      </c>
      <c r="G463" s="37" t="s">
        <v>4033</v>
      </c>
      <c r="H463" s="37" t="s">
        <v>4724</v>
      </c>
      <c r="I463" s="36">
        <v>2.361111111111111E-2</v>
      </c>
      <c r="J463" s="177">
        <v>3.9351851851851852E-4</v>
      </c>
      <c r="K463" s="39">
        <v>34</v>
      </c>
      <c r="L463" s="33" t="s">
        <v>101</v>
      </c>
      <c r="M463" s="33" t="s">
        <v>149</v>
      </c>
      <c r="N463" s="33" t="s">
        <v>187</v>
      </c>
      <c r="O463" s="33" t="s">
        <v>23</v>
      </c>
      <c r="P463" s="33">
        <v>1</v>
      </c>
      <c r="Q463" s="33"/>
      <c r="R463" s="33">
        <v>1</v>
      </c>
      <c r="S463" s="33"/>
      <c r="T463" t="s">
        <v>176</v>
      </c>
      <c r="U463" s="33" t="s">
        <v>176</v>
      </c>
      <c r="V463" s="33" t="s">
        <v>122</v>
      </c>
      <c r="W463" s="33" t="s">
        <v>1057</v>
      </c>
      <c r="X463" s="33" t="s">
        <v>23</v>
      </c>
      <c r="Y463" s="33" t="s">
        <v>3999</v>
      </c>
      <c r="Z463" s="33" t="s">
        <v>4005</v>
      </c>
      <c r="AA463" s="33">
        <v>5</v>
      </c>
      <c r="AB463" s="35">
        <v>63.7239</v>
      </c>
      <c r="AC463" s="35">
        <v>148.94981000000001</v>
      </c>
      <c r="AD463" s="39">
        <v>0</v>
      </c>
      <c r="AE463" s="39">
        <v>0</v>
      </c>
      <c r="AF463" s="39">
        <v>0</v>
      </c>
      <c r="AG463" s="39">
        <v>0</v>
      </c>
      <c r="AH463" s="39">
        <v>2</v>
      </c>
      <c r="AI463" s="33">
        <v>0</v>
      </c>
      <c r="AJ463" s="33">
        <f t="shared" si="7"/>
        <v>2</v>
      </c>
      <c r="AK463" s="33"/>
      <c r="AL463" s="33"/>
      <c r="AM463" s="33"/>
      <c r="AN463" s="33"/>
    </row>
    <row r="464" spans="1:47" x14ac:dyDescent="0.2">
      <c r="A464" t="s">
        <v>1192</v>
      </c>
      <c r="B464" t="s">
        <v>1193</v>
      </c>
      <c r="C464">
        <v>2</v>
      </c>
      <c r="D464">
        <v>1</v>
      </c>
      <c r="E464" s="33" t="s">
        <v>3171</v>
      </c>
      <c r="F464" s="1">
        <v>43381</v>
      </c>
      <c r="G464" s="37" t="s">
        <v>4033</v>
      </c>
      <c r="H464" s="37" t="s">
        <v>4724</v>
      </c>
      <c r="I464" s="2">
        <v>5.5555555555555558E-3</v>
      </c>
      <c r="J464" s="176">
        <v>9.2592592592592588E-5</v>
      </c>
      <c r="K464" s="6">
        <v>8</v>
      </c>
      <c r="L464" t="s">
        <v>640</v>
      </c>
      <c r="M464" s="7" t="s">
        <v>149</v>
      </c>
      <c r="N464" s="7" t="s">
        <v>102</v>
      </c>
      <c r="O464" s="7" t="s">
        <v>23</v>
      </c>
      <c r="P464" s="7">
        <v>1</v>
      </c>
      <c r="Q464" s="7"/>
      <c r="R464" s="7">
        <v>0</v>
      </c>
      <c r="S464" s="7"/>
      <c r="T464" t="s">
        <v>598</v>
      </c>
      <c r="U464" s="7" t="s">
        <v>1012</v>
      </c>
      <c r="V464" s="7" t="s">
        <v>487</v>
      </c>
      <c r="W464" s="7" t="s">
        <v>115</v>
      </c>
      <c r="X464" s="33" t="s">
        <v>115</v>
      </c>
      <c r="Y464" s="33" t="s">
        <v>115</v>
      </c>
      <c r="Z464" s="33" t="s">
        <v>115</v>
      </c>
      <c r="AA464" s="7" t="s">
        <v>115</v>
      </c>
      <c r="AB464" s="20" t="s">
        <v>115</v>
      </c>
      <c r="AC464" s="20"/>
      <c r="AD464" s="6">
        <v>5</v>
      </c>
      <c r="AE464" s="6">
        <v>0</v>
      </c>
      <c r="AF464" s="6">
        <v>0</v>
      </c>
      <c r="AG464" s="6">
        <v>5</v>
      </c>
      <c r="AH464" s="6">
        <v>0</v>
      </c>
      <c r="AI464">
        <v>0</v>
      </c>
      <c r="AJ464">
        <f t="shared" si="7"/>
        <v>5</v>
      </c>
    </row>
    <row r="465" spans="1:47" x14ac:dyDescent="0.2">
      <c r="A465" t="s">
        <v>1194</v>
      </c>
      <c r="B465" t="s">
        <v>1195</v>
      </c>
      <c r="C465">
        <v>3</v>
      </c>
      <c r="D465">
        <v>1</v>
      </c>
      <c r="E465" s="33" t="s">
        <v>3171</v>
      </c>
      <c r="F465" s="1">
        <v>43381</v>
      </c>
      <c r="G465" s="37" t="s">
        <v>4033</v>
      </c>
      <c r="H465" s="37" t="s">
        <v>4724</v>
      </c>
      <c r="I465" s="2">
        <v>1.1111111111111112E-2</v>
      </c>
      <c r="J465" s="176">
        <v>1.8518518518518518E-4</v>
      </c>
      <c r="K465" s="6">
        <v>16</v>
      </c>
      <c r="L465" t="s">
        <v>640</v>
      </c>
      <c r="M465" s="7" t="s">
        <v>149</v>
      </c>
      <c r="N465" s="7" t="s">
        <v>187</v>
      </c>
      <c r="O465" s="7" t="s">
        <v>1196</v>
      </c>
      <c r="P465" s="7">
        <v>1</v>
      </c>
      <c r="Q465" s="7"/>
      <c r="R465" s="7">
        <v>1</v>
      </c>
      <c r="S465" s="7"/>
      <c r="T465" t="s">
        <v>14</v>
      </c>
      <c r="U465" t="s">
        <v>2128</v>
      </c>
      <c r="V465" s="7" t="s">
        <v>122</v>
      </c>
      <c r="W465" s="7" t="s">
        <v>1217</v>
      </c>
      <c r="X465" s="44" t="s">
        <v>4013</v>
      </c>
      <c r="Y465" s="44" t="s">
        <v>3997</v>
      </c>
      <c r="Z465" s="44" t="s">
        <v>4005</v>
      </c>
      <c r="AA465">
        <v>5</v>
      </c>
      <c r="AB465" s="20">
        <v>63.724020000000003</v>
      </c>
      <c r="AC465" s="20">
        <v>148.95114000000001</v>
      </c>
      <c r="AD465" s="6">
        <v>0</v>
      </c>
      <c r="AE465" s="6">
        <v>0</v>
      </c>
      <c r="AF465" s="6">
        <v>0</v>
      </c>
      <c r="AG465" s="6">
        <v>0</v>
      </c>
      <c r="AH465" s="6">
        <v>0</v>
      </c>
      <c r="AI465">
        <v>0</v>
      </c>
      <c r="AJ465">
        <f t="shared" si="7"/>
        <v>0</v>
      </c>
      <c r="AL465" t="s">
        <v>1197</v>
      </c>
      <c r="AO465" s="33"/>
      <c r="AP465" s="33"/>
      <c r="AQ465" s="34"/>
      <c r="AR465" s="33"/>
      <c r="AS465" s="33"/>
      <c r="AT465" s="33"/>
      <c r="AU465" s="33"/>
    </row>
    <row r="466" spans="1:47" s="33" customFormat="1" x14ac:dyDescent="0.2">
      <c r="A466" t="s">
        <v>1198</v>
      </c>
      <c r="B466" t="s">
        <v>1199</v>
      </c>
      <c r="C466">
        <v>4</v>
      </c>
      <c r="D466">
        <v>1</v>
      </c>
      <c r="E466" s="33" t="s">
        <v>3171</v>
      </c>
      <c r="F466" s="1">
        <v>43381</v>
      </c>
      <c r="G466" s="37" t="s">
        <v>4033</v>
      </c>
      <c r="H466" s="37" t="s">
        <v>4724</v>
      </c>
      <c r="I466" s="2">
        <v>2.2916666666666669E-2</v>
      </c>
      <c r="J466" s="176">
        <v>3.8194444444444446E-4</v>
      </c>
      <c r="K466" s="6">
        <v>33</v>
      </c>
      <c r="L466" t="s">
        <v>640</v>
      </c>
      <c r="M466" s="7" t="s">
        <v>149</v>
      </c>
      <c r="N466" s="7" t="s">
        <v>111</v>
      </c>
      <c r="O466" s="7" t="s">
        <v>23</v>
      </c>
      <c r="P466" s="7">
        <v>1</v>
      </c>
      <c r="Q466" s="7"/>
      <c r="R466" s="7">
        <v>1</v>
      </c>
      <c r="S466" s="7"/>
      <c r="T466" t="s">
        <v>176</v>
      </c>
      <c r="U466" t="s">
        <v>176</v>
      </c>
      <c r="V466" s="7" t="s">
        <v>122</v>
      </c>
      <c r="W466" s="7" t="s">
        <v>1057</v>
      </c>
      <c r="X466" s="44" t="s">
        <v>23</v>
      </c>
      <c r="Y466" s="44" t="s">
        <v>3999</v>
      </c>
      <c r="Z466" s="44" t="s">
        <v>4005</v>
      </c>
      <c r="AA466">
        <v>2</v>
      </c>
      <c r="AB466" s="20">
        <v>63.723999999999997</v>
      </c>
      <c r="AC466" s="20">
        <v>148.94900999999999</v>
      </c>
      <c r="AD466" s="6">
        <v>0</v>
      </c>
      <c r="AE466" s="6">
        <v>0</v>
      </c>
      <c r="AF466" s="6">
        <v>0</v>
      </c>
      <c r="AG466" s="6">
        <v>0</v>
      </c>
      <c r="AH466" s="6">
        <v>0</v>
      </c>
      <c r="AI466">
        <v>0</v>
      </c>
      <c r="AJ466">
        <f t="shared" si="7"/>
        <v>0</v>
      </c>
      <c r="AK466"/>
      <c r="AL466" t="s">
        <v>1197</v>
      </c>
      <c r="AM466"/>
      <c r="AN466"/>
      <c r="AO466"/>
      <c r="AP466"/>
      <c r="AQ466"/>
      <c r="AR466"/>
      <c r="AS466"/>
      <c r="AT466"/>
      <c r="AU466"/>
    </row>
    <row r="467" spans="1:47" x14ac:dyDescent="0.2">
      <c r="A467" s="33" t="s">
        <v>1200</v>
      </c>
      <c r="B467" s="33" t="s">
        <v>1201</v>
      </c>
      <c r="C467" s="33">
        <v>5</v>
      </c>
      <c r="D467" s="33">
        <v>1</v>
      </c>
      <c r="E467" s="33" t="s">
        <v>3171</v>
      </c>
      <c r="F467" s="37">
        <v>43381</v>
      </c>
      <c r="G467" s="37" t="s">
        <v>4033</v>
      </c>
      <c r="H467" s="37" t="s">
        <v>4724</v>
      </c>
      <c r="I467" s="36">
        <v>2.8472222222222222E-2</v>
      </c>
      <c r="J467" s="177">
        <v>4.7453703703703704E-4</v>
      </c>
      <c r="K467" s="39">
        <v>41</v>
      </c>
      <c r="L467" s="33" t="s">
        <v>640</v>
      </c>
      <c r="M467" s="33" t="s">
        <v>149</v>
      </c>
      <c r="N467" s="33" t="s">
        <v>102</v>
      </c>
      <c r="O467" s="33" t="s">
        <v>115</v>
      </c>
      <c r="P467" s="33">
        <v>1</v>
      </c>
      <c r="Q467" s="33"/>
      <c r="R467" s="33">
        <v>0</v>
      </c>
      <c r="S467" s="33"/>
      <c r="T467" t="s">
        <v>176</v>
      </c>
      <c r="U467" s="33" t="s">
        <v>176</v>
      </c>
      <c r="V467" s="33" t="s">
        <v>122</v>
      </c>
      <c r="W467" s="33" t="s">
        <v>115</v>
      </c>
      <c r="X467" s="33" t="s">
        <v>115</v>
      </c>
      <c r="Y467" s="33" t="s">
        <v>115</v>
      </c>
      <c r="Z467" s="33" t="s">
        <v>115</v>
      </c>
      <c r="AA467" s="33" t="s">
        <v>115</v>
      </c>
      <c r="AB467" s="35" t="s">
        <v>115</v>
      </c>
      <c r="AC467" s="35"/>
      <c r="AD467" s="39">
        <v>0</v>
      </c>
      <c r="AE467" s="39">
        <v>0</v>
      </c>
      <c r="AF467" s="39">
        <v>0</v>
      </c>
      <c r="AG467" s="39">
        <v>0</v>
      </c>
      <c r="AH467" s="39">
        <v>29</v>
      </c>
      <c r="AI467" s="33">
        <v>0</v>
      </c>
      <c r="AJ467" s="33">
        <f t="shared" si="7"/>
        <v>29</v>
      </c>
      <c r="AK467" s="33"/>
      <c r="AL467" s="33"/>
      <c r="AM467" s="33"/>
      <c r="AN467" s="33"/>
    </row>
    <row r="468" spans="1:47" s="33" customFormat="1" x14ac:dyDescent="0.2">
      <c r="A468" s="33" t="s">
        <v>1202</v>
      </c>
      <c r="B468" s="33" t="s">
        <v>1203</v>
      </c>
      <c r="C468" s="33">
        <v>6</v>
      </c>
      <c r="D468" s="33">
        <v>1</v>
      </c>
      <c r="E468" s="33" t="s">
        <v>3171</v>
      </c>
      <c r="F468" s="37">
        <v>43381</v>
      </c>
      <c r="G468" s="37" t="s">
        <v>4033</v>
      </c>
      <c r="H468" s="37" t="s">
        <v>4724</v>
      </c>
      <c r="I468" s="36">
        <v>1.7361111111111112E-2</v>
      </c>
      <c r="J468" s="177">
        <v>2.8935185185185189E-4</v>
      </c>
      <c r="K468" s="39">
        <v>25</v>
      </c>
      <c r="L468" s="33" t="s">
        <v>640</v>
      </c>
      <c r="M468" s="33" t="s">
        <v>149</v>
      </c>
      <c r="N468" s="33" t="s">
        <v>102</v>
      </c>
      <c r="O468" s="33" t="s">
        <v>115</v>
      </c>
      <c r="P468" s="33">
        <v>1</v>
      </c>
      <c r="R468" s="33">
        <v>0</v>
      </c>
      <c r="T468" t="s">
        <v>176</v>
      </c>
      <c r="U468" s="33" t="s">
        <v>176</v>
      </c>
      <c r="V468" s="33" t="s">
        <v>122</v>
      </c>
      <c r="W468" s="33" t="s">
        <v>115</v>
      </c>
      <c r="X468" s="33" t="s">
        <v>115</v>
      </c>
      <c r="Y468" s="33" t="s">
        <v>115</v>
      </c>
      <c r="Z468" s="33" t="s">
        <v>115</v>
      </c>
      <c r="AA468" s="33" t="s">
        <v>115</v>
      </c>
      <c r="AB468" s="35" t="s">
        <v>115</v>
      </c>
      <c r="AC468" s="35"/>
      <c r="AD468" s="39">
        <v>0</v>
      </c>
      <c r="AE468" s="39">
        <v>0</v>
      </c>
      <c r="AF468" s="39">
        <v>0</v>
      </c>
      <c r="AG468" s="39">
        <v>0</v>
      </c>
      <c r="AH468" s="39">
        <v>2</v>
      </c>
      <c r="AI468" s="33">
        <v>0</v>
      </c>
      <c r="AJ468" s="33">
        <f t="shared" si="7"/>
        <v>2</v>
      </c>
      <c r="AO468"/>
      <c r="AP468"/>
      <c r="AQ468"/>
      <c r="AR468"/>
      <c r="AS468"/>
      <c r="AT468"/>
      <c r="AU468"/>
    </row>
    <row r="469" spans="1:47" x14ac:dyDescent="0.2">
      <c r="A469" t="s">
        <v>1204</v>
      </c>
      <c r="B469" t="s">
        <v>1205</v>
      </c>
      <c r="C469">
        <v>7</v>
      </c>
      <c r="D469">
        <v>1</v>
      </c>
      <c r="E469" s="33" t="s">
        <v>3171</v>
      </c>
      <c r="F469" s="1">
        <v>43381</v>
      </c>
      <c r="G469" s="37" t="s">
        <v>4033</v>
      </c>
      <c r="H469" s="37" t="s">
        <v>4724</v>
      </c>
      <c r="I469" s="2">
        <v>2.2916666666666669E-2</v>
      </c>
      <c r="J469" s="176">
        <v>3.8194444444444446E-4</v>
      </c>
      <c r="K469" s="6">
        <v>33</v>
      </c>
      <c r="L469" t="s">
        <v>640</v>
      </c>
      <c r="M469" s="7" t="s">
        <v>149</v>
      </c>
      <c r="N469" s="7" t="s">
        <v>111</v>
      </c>
      <c r="O469" s="7" t="s">
        <v>23</v>
      </c>
      <c r="P469" s="7">
        <v>0</v>
      </c>
      <c r="Q469" s="7"/>
      <c r="R469" s="7">
        <v>1</v>
      </c>
      <c r="S469" s="7"/>
      <c r="T469" t="s">
        <v>176</v>
      </c>
      <c r="U469" t="s">
        <v>176</v>
      </c>
      <c r="V469" s="7" t="s">
        <v>122</v>
      </c>
      <c r="W469" s="7" t="s">
        <v>1057</v>
      </c>
      <c r="X469" s="44" t="s">
        <v>23</v>
      </c>
      <c r="Y469" s="44" t="s">
        <v>3999</v>
      </c>
      <c r="Z469" s="44" t="s">
        <v>4005</v>
      </c>
      <c r="AA469">
        <v>7</v>
      </c>
      <c r="AB469" s="20">
        <v>63.724110000000003</v>
      </c>
      <c r="AC469" s="20">
        <v>148.95033000000001</v>
      </c>
      <c r="AD469" s="6">
        <v>0</v>
      </c>
      <c r="AE469" s="6">
        <v>0</v>
      </c>
      <c r="AF469" s="6">
        <v>0</v>
      </c>
      <c r="AG469" s="6">
        <v>0</v>
      </c>
      <c r="AH469" s="6">
        <v>0</v>
      </c>
      <c r="AI469">
        <v>0</v>
      </c>
      <c r="AJ469">
        <f t="shared" si="7"/>
        <v>0</v>
      </c>
      <c r="AL469" t="s">
        <v>1206</v>
      </c>
    </row>
    <row r="470" spans="1:47" x14ac:dyDescent="0.2">
      <c r="A470" s="33" t="s">
        <v>1207</v>
      </c>
      <c r="B470" s="33" t="s">
        <v>1208</v>
      </c>
      <c r="C470" s="33">
        <v>8</v>
      </c>
      <c r="D470" s="33">
        <v>1</v>
      </c>
      <c r="E470" s="33" t="s">
        <v>3171</v>
      </c>
      <c r="F470" s="37">
        <v>43381</v>
      </c>
      <c r="G470" s="37" t="s">
        <v>4033</v>
      </c>
      <c r="H470" s="37" t="s">
        <v>4724</v>
      </c>
      <c r="I470" s="36">
        <v>5.4166666666666669E-2</v>
      </c>
      <c r="J470" s="177">
        <v>9.0277777777777784E-4</v>
      </c>
      <c r="K470" s="39">
        <v>78</v>
      </c>
      <c r="L470" s="33" t="s">
        <v>640</v>
      </c>
      <c r="M470" s="33" t="s">
        <v>149</v>
      </c>
      <c r="N470" s="33" t="s">
        <v>187</v>
      </c>
      <c r="O470" s="33" t="s">
        <v>23</v>
      </c>
      <c r="P470" s="33">
        <v>1</v>
      </c>
      <c r="Q470" s="33"/>
      <c r="R470" s="33">
        <v>1</v>
      </c>
      <c r="S470" s="33"/>
      <c r="T470" t="s">
        <v>176</v>
      </c>
      <c r="U470" s="33" t="s">
        <v>176</v>
      </c>
      <c r="V470" s="33" t="s">
        <v>122</v>
      </c>
      <c r="W470" s="33" t="s">
        <v>1057</v>
      </c>
      <c r="X470" s="33" t="s">
        <v>23</v>
      </c>
      <c r="Y470" s="33" t="s">
        <v>3999</v>
      </c>
      <c r="Z470" s="33" t="s">
        <v>4005</v>
      </c>
      <c r="AA470" s="33">
        <v>9</v>
      </c>
      <c r="AB470" s="35">
        <v>63.723779999999998</v>
      </c>
      <c r="AC470" s="35">
        <v>148.95067</v>
      </c>
      <c r="AD470" s="39">
        <v>0</v>
      </c>
      <c r="AE470" s="39">
        <v>0</v>
      </c>
      <c r="AF470" s="39">
        <v>0</v>
      </c>
      <c r="AG470" s="39">
        <v>0</v>
      </c>
      <c r="AH470" s="39">
        <v>30</v>
      </c>
      <c r="AI470" s="33">
        <v>0</v>
      </c>
      <c r="AJ470" s="33">
        <f t="shared" si="7"/>
        <v>30</v>
      </c>
      <c r="AK470" s="33"/>
      <c r="AL470" s="33"/>
      <c r="AM470" s="33"/>
      <c r="AN470" s="33"/>
      <c r="AO470" s="33"/>
      <c r="AP470" s="33"/>
      <c r="AQ470" s="34"/>
      <c r="AR470" s="33"/>
      <c r="AS470" s="33"/>
      <c r="AT470" s="33"/>
      <c r="AU470" s="33"/>
    </row>
    <row r="471" spans="1:47" x14ac:dyDescent="0.2">
      <c r="A471" s="33" t="s">
        <v>1209</v>
      </c>
      <c r="B471" s="33" t="s">
        <v>1210</v>
      </c>
      <c r="C471" s="33">
        <v>9</v>
      </c>
      <c r="D471" s="33">
        <v>1</v>
      </c>
      <c r="E471" s="33" t="s">
        <v>3171</v>
      </c>
      <c r="F471" s="37">
        <v>43381</v>
      </c>
      <c r="G471" s="37" t="s">
        <v>4033</v>
      </c>
      <c r="H471" s="37" t="s">
        <v>4724</v>
      </c>
      <c r="I471" s="36">
        <v>9.7222222222222224E-3</v>
      </c>
      <c r="J471" s="177">
        <v>1.6203703703703703E-4</v>
      </c>
      <c r="K471" s="39">
        <v>14</v>
      </c>
      <c r="L471" s="33" t="s">
        <v>640</v>
      </c>
      <c r="M471" s="33" t="s">
        <v>149</v>
      </c>
      <c r="N471" s="33" t="s">
        <v>102</v>
      </c>
      <c r="O471" s="33" t="s">
        <v>115</v>
      </c>
      <c r="P471" s="33" t="s">
        <v>24</v>
      </c>
      <c r="Q471" s="33"/>
      <c r="R471" s="33">
        <v>0</v>
      </c>
      <c r="S471" s="33"/>
      <c r="T471" t="s">
        <v>176</v>
      </c>
      <c r="U471" s="33" t="s">
        <v>176</v>
      </c>
      <c r="V471" s="33" t="s">
        <v>115</v>
      </c>
      <c r="W471" s="33" t="s">
        <v>115</v>
      </c>
      <c r="X471" s="33" t="s">
        <v>115</v>
      </c>
      <c r="Y471" s="33" t="s">
        <v>115</v>
      </c>
      <c r="Z471" s="33" t="s">
        <v>115</v>
      </c>
      <c r="AA471" s="33" t="s">
        <v>115</v>
      </c>
      <c r="AB471" s="35" t="s">
        <v>115</v>
      </c>
      <c r="AC471" s="35"/>
      <c r="AD471" s="39">
        <v>0</v>
      </c>
      <c r="AE471" s="39">
        <v>0</v>
      </c>
      <c r="AF471" s="39">
        <v>0</v>
      </c>
      <c r="AG471" s="39">
        <v>0</v>
      </c>
      <c r="AH471" s="39">
        <v>14</v>
      </c>
      <c r="AI471" s="33">
        <v>0</v>
      </c>
      <c r="AJ471" s="33">
        <f t="shared" si="7"/>
        <v>14</v>
      </c>
      <c r="AK471" s="33"/>
      <c r="AL471" s="33"/>
      <c r="AM471" s="33"/>
      <c r="AN471" s="33"/>
    </row>
    <row r="472" spans="1:47" s="33" customFormat="1" x14ac:dyDescent="0.2">
      <c r="A472" s="33" t="s">
        <v>1211</v>
      </c>
      <c r="B472" s="33" t="s">
        <v>1212</v>
      </c>
      <c r="C472" s="33">
        <v>10</v>
      </c>
      <c r="D472" s="33">
        <v>1</v>
      </c>
      <c r="E472" s="33" t="s">
        <v>3171</v>
      </c>
      <c r="F472" s="37">
        <v>43381</v>
      </c>
      <c r="G472" s="37" t="s">
        <v>4033</v>
      </c>
      <c r="H472" s="37" t="s">
        <v>4724</v>
      </c>
      <c r="I472" s="36">
        <v>3.6111111111111115E-2</v>
      </c>
      <c r="J472" s="177">
        <v>6.018518518518519E-4</v>
      </c>
      <c r="K472" s="39">
        <v>52</v>
      </c>
      <c r="L472" s="33" t="s">
        <v>640</v>
      </c>
      <c r="M472" s="33" t="s">
        <v>149</v>
      </c>
      <c r="N472" s="33" t="s">
        <v>102</v>
      </c>
      <c r="O472" s="33" t="s">
        <v>115</v>
      </c>
      <c r="P472" s="33">
        <v>1</v>
      </c>
      <c r="R472" s="33">
        <v>0</v>
      </c>
      <c r="T472" t="s">
        <v>176</v>
      </c>
      <c r="U472" s="33" t="s">
        <v>176</v>
      </c>
      <c r="V472" s="33" t="s">
        <v>122</v>
      </c>
      <c r="W472" s="33" t="s">
        <v>115</v>
      </c>
      <c r="X472" s="33" t="s">
        <v>115</v>
      </c>
      <c r="Y472" s="33" t="s">
        <v>115</v>
      </c>
      <c r="Z472" s="33" t="s">
        <v>115</v>
      </c>
      <c r="AA472" s="33" t="s">
        <v>115</v>
      </c>
      <c r="AB472" s="35" t="s">
        <v>115</v>
      </c>
      <c r="AC472" s="35"/>
      <c r="AD472" s="39">
        <v>0</v>
      </c>
      <c r="AE472" s="39">
        <v>0</v>
      </c>
      <c r="AF472" s="39">
        <v>0</v>
      </c>
      <c r="AG472" s="39">
        <v>0</v>
      </c>
      <c r="AH472" s="39">
        <v>16</v>
      </c>
      <c r="AI472" s="33">
        <v>0</v>
      </c>
      <c r="AJ472" s="33">
        <f t="shared" si="7"/>
        <v>16</v>
      </c>
      <c r="AO472"/>
      <c r="AP472"/>
      <c r="AQ472"/>
      <c r="AR472"/>
      <c r="AS472"/>
      <c r="AT472"/>
      <c r="AU472"/>
    </row>
    <row r="473" spans="1:47" x14ac:dyDescent="0.2">
      <c r="A473" t="s">
        <v>1213</v>
      </c>
      <c r="B473" t="s">
        <v>1214</v>
      </c>
      <c r="C473">
        <v>11</v>
      </c>
      <c r="D473">
        <v>1</v>
      </c>
      <c r="E473" t="s">
        <v>201</v>
      </c>
      <c r="F473" s="1">
        <v>43381</v>
      </c>
      <c r="G473" s="37" t="s">
        <v>4033</v>
      </c>
      <c r="H473" s="37" t="s">
        <v>4724</v>
      </c>
      <c r="I473" s="2">
        <v>1.1111111111111112E-2</v>
      </c>
      <c r="J473" s="176">
        <v>1.8518518518518518E-4</v>
      </c>
      <c r="K473" s="6">
        <v>16</v>
      </c>
      <c r="L473" t="s">
        <v>640</v>
      </c>
      <c r="M473" s="7" t="s">
        <v>1215</v>
      </c>
      <c r="N473" s="7" t="s">
        <v>111</v>
      </c>
      <c r="O473" s="7" t="s">
        <v>23</v>
      </c>
      <c r="P473" s="7">
        <v>1</v>
      </c>
      <c r="Q473" s="7"/>
      <c r="R473" s="7">
        <v>1</v>
      </c>
      <c r="S473" s="7"/>
      <c r="T473" t="s">
        <v>176</v>
      </c>
      <c r="U473" t="s">
        <v>176</v>
      </c>
      <c r="V473" s="7" t="s">
        <v>122</v>
      </c>
      <c r="W473" s="7" t="s">
        <v>3963</v>
      </c>
      <c r="X473" s="44" t="s">
        <v>23</v>
      </c>
      <c r="Y473" s="44" t="s">
        <v>3997</v>
      </c>
      <c r="Z473" s="44" t="s">
        <v>4007</v>
      </c>
      <c r="AA473">
        <v>1</v>
      </c>
      <c r="AB473" s="20">
        <v>63.723610000000001</v>
      </c>
      <c r="AC473" s="20">
        <v>148.95204000000001</v>
      </c>
      <c r="AD473" s="6">
        <v>0</v>
      </c>
      <c r="AE473" s="6">
        <v>0</v>
      </c>
      <c r="AF473" s="6">
        <v>0</v>
      </c>
      <c r="AG473" s="6">
        <v>0</v>
      </c>
      <c r="AH473" s="6">
        <v>0</v>
      </c>
      <c r="AI473">
        <v>0</v>
      </c>
      <c r="AJ473">
        <f t="shared" si="7"/>
        <v>0</v>
      </c>
      <c r="AL473" t="s">
        <v>1216</v>
      </c>
    </row>
    <row r="474" spans="1:47" s="33" customFormat="1" x14ac:dyDescent="0.2">
      <c r="A474" s="33" t="s">
        <v>1218</v>
      </c>
      <c r="B474" s="33" t="s">
        <v>1219</v>
      </c>
      <c r="C474" s="33">
        <v>12</v>
      </c>
      <c r="D474" s="33">
        <v>1</v>
      </c>
      <c r="E474" s="33" t="s">
        <v>201</v>
      </c>
      <c r="F474" s="37">
        <v>43381</v>
      </c>
      <c r="G474" s="37" t="s">
        <v>4033</v>
      </c>
      <c r="H474" s="37" t="s">
        <v>4724</v>
      </c>
      <c r="I474" s="36">
        <v>9.0277777777777787E-3</v>
      </c>
      <c r="J474" s="177">
        <v>1.5046296296296297E-4</v>
      </c>
      <c r="K474" s="39">
        <v>13</v>
      </c>
      <c r="L474" s="33" t="s">
        <v>640</v>
      </c>
      <c r="M474" s="33" t="s">
        <v>1215</v>
      </c>
      <c r="N474" s="33" t="s">
        <v>102</v>
      </c>
      <c r="O474" s="33" t="s">
        <v>115</v>
      </c>
      <c r="P474" s="33">
        <v>2</v>
      </c>
      <c r="R474" s="33">
        <v>0</v>
      </c>
      <c r="T474" t="s">
        <v>176</v>
      </c>
      <c r="U474" s="33" t="s">
        <v>176</v>
      </c>
      <c r="V474" s="33" t="s">
        <v>122</v>
      </c>
      <c r="W474" s="33" t="s">
        <v>115</v>
      </c>
      <c r="X474" s="33" t="s">
        <v>115</v>
      </c>
      <c r="Y474" s="33" t="s">
        <v>115</v>
      </c>
      <c r="Z474" s="33" t="s">
        <v>115</v>
      </c>
      <c r="AA474" s="33" t="s">
        <v>115</v>
      </c>
      <c r="AB474" s="35" t="s">
        <v>115</v>
      </c>
      <c r="AC474" s="35"/>
      <c r="AD474" s="39">
        <v>0</v>
      </c>
      <c r="AE474" s="39">
        <v>0</v>
      </c>
      <c r="AF474" s="39">
        <v>0</v>
      </c>
      <c r="AG474" s="39">
        <v>0</v>
      </c>
      <c r="AH474" s="39">
        <v>10</v>
      </c>
      <c r="AI474" s="33">
        <v>0</v>
      </c>
      <c r="AJ474" s="33">
        <f t="shared" si="7"/>
        <v>10</v>
      </c>
      <c r="AQ474" s="34"/>
    </row>
    <row r="475" spans="1:47" x14ac:dyDescent="0.2">
      <c r="A475" s="33" t="s">
        <v>1220</v>
      </c>
      <c r="B475" s="33" t="s">
        <v>1221</v>
      </c>
      <c r="C475" s="33">
        <v>13</v>
      </c>
      <c r="D475" s="33">
        <v>1</v>
      </c>
      <c r="E475" s="33" t="s">
        <v>201</v>
      </c>
      <c r="F475" s="37">
        <v>43381</v>
      </c>
      <c r="G475" s="37" t="s">
        <v>4033</v>
      </c>
      <c r="H475" s="37" t="s">
        <v>4724</v>
      </c>
      <c r="I475" s="36">
        <v>2.0833333333333332E-2</v>
      </c>
      <c r="J475" s="177">
        <v>3.4722222222222224E-4</v>
      </c>
      <c r="K475" s="39">
        <v>30</v>
      </c>
      <c r="L475" s="33" t="s">
        <v>640</v>
      </c>
      <c r="M475" s="33" t="s">
        <v>1215</v>
      </c>
      <c r="N475" s="33" t="s">
        <v>187</v>
      </c>
      <c r="O475" s="33" t="s">
        <v>23</v>
      </c>
      <c r="P475" s="33">
        <v>1</v>
      </c>
      <c r="Q475" s="33"/>
      <c r="R475" s="33">
        <v>1</v>
      </c>
      <c r="S475" s="33"/>
      <c r="T475" t="s">
        <v>598</v>
      </c>
      <c r="U475" s="33" t="s">
        <v>2107</v>
      </c>
      <c r="V475" s="33" t="s">
        <v>122</v>
      </c>
      <c r="W475" s="33" t="s">
        <v>3963</v>
      </c>
      <c r="X475" s="44" t="s">
        <v>23</v>
      </c>
      <c r="Y475" s="44" t="s">
        <v>3997</v>
      </c>
      <c r="Z475" s="44" t="s">
        <v>4007</v>
      </c>
      <c r="AA475" s="33">
        <v>2</v>
      </c>
      <c r="AB475" s="35">
        <v>63.724409999999999</v>
      </c>
      <c r="AC475" s="35">
        <v>148.95231999999999</v>
      </c>
      <c r="AD475" s="39">
        <v>0</v>
      </c>
      <c r="AE475" s="39">
        <v>0</v>
      </c>
      <c r="AF475" s="39">
        <v>0</v>
      </c>
      <c r="AG475" s="39">
        <v>0</v>
      </c>
      <c r="AH475" s="39">
        <v>4</v>
      </c>
      <c r="AI475" s="33">
        <v>0</v>
      </c>
      <c r="AJ475" s="33">
        <f t="shared" si="7"/>
        <v>4</v>
      </c>
      <c r="AK475" s="33"/>
      <c r="AL475" s="33" t="s">
        <v>1222</v>
      </c>
      <c r="AM475" s="33"/>
      <c r="AN475" s="33"/>
    </row>
    <row r="476" spans="1:47" x14ac:dyDescent="0.2">
      <c r="A476" t="s">
        <v>1223</v>
      </c>
      <c r="B476" t="s">
        <v>1224</v>
      </c>
      <c r="C476">
        <v>1</v>
      </c>
      <c r="D476">
        <v>1</v>
      </c>
      <c r="E476" t="s">
        <v>201</v>
      </c>
      <c r="F476" s="1">
        <v>43382</v>
      </c>
      <c r="G476" s="37" t="s">
        <v>4033</v>
      </c>
      <c r="H476" s="37" t="s">
        <v>4724</v>
      </c>
      <c r="I476" s="2">
        <v>9.7222222222222224E-3</v>
      </c>
      <c r="J476" s="176">
        <v>1.6203703703703703E-4</v>
      </c>
      <c r="K476" s="6">
        <v>14</v>
      </c>
      <c r="L476" t="s">
        <v>1278</v>
      </c>
      <c r="M476" s="7" t="s">
        <v>1215</v>
      </c>
      <c r="N476" s="7" t="s">
        <v>221</v>
      </c>
      <c r="O476" s="7" t="s">
        <v>23</v>
      </c>
      <c r="P476" s="7" t="s">
        <v>24</v>
      </c>
      <c r="Q476" s="7"/>
      <c r="R476" s="7" t="s">
        <v>24</v>
      </c>
      <c r="S476" s="7"/>
      <c r="T476" t="s">
        <v>176</v>
      </c>
      <c r="U476" t="s">
        <v>176</v>
      </c>
      <c r="V476" s="7" t="s">
        <v>115</v>
      </c>
      <c r="W476" s="7" t="s">
        <v>558</v>
      </c>
      <c r="X476" s="7"/>
      <c r="Y476" s="7"/>
      <c r="Z476" s="7"/>
      <c r="AA476" s="7" t="s">
        <v>24</v>
      </c>
      <c r="AB476" s="20">
        <v>63.723520000000001</v>
      </c>
      <c r="AC476" s="20">
        <v>148.95076</v>
      </c>
      <c r="AD476" s="6">
        <v>14</v>
      </c>
      <c r="AE476" s="6">
        <v>0</v>
      </c>
      <c r="AF476" s="6">
        <v>14</v>
      </c>
      <c r="AG476" s="6">
        <v>0</v>
      </c>
      <c r="AH476" s="6">
        <v>0</v>
      </c>
      <c r="AI476">
        <v>0</v>
      </c>
      <c r="AJ476">
        <f t="shared" si="7"/>
        <v>14</v>
      </c>
      <c r="AL476" t="s">
        <v>1225</v>
      </c>
    </row>
    <row r="477" spans="1:47" x14ac:dyDescent="0.2">
      <c r="A477" s="33" t="s">
        <v>1226</v>
      </c>
      <c r="B477" s="33" t="s">
        <v>1227</v>
      </c>
      <c r="C477" s="33">
        <v>2</v>
      </c>
      <c r="D477" s="33">
        <v>1</v>
      </c>
      <c r="E477" s="33" t="s">
        <v>3171</v>
      </c>
      <c r="F477" s="37">
        <v>43382</v>
      </c>
      <c r="G477" s="37" t="s">
        <v>4033</v>
      </c>
      <c r="H477" s="37" t="s">
        <v>4724</v>
      </c>
      <c r="I477" s="36">
        <v>1.2499999999999999E-2</v>
      </c>
      <c r="J477" s="177">
        <v>2.0833333333333335E-4</v>
      </c>
      <c r="K477" s="39">
        <v>18</v>
      </c>
      <c r="L477" s="33" t="s">
        <v>1278</v>
      </c>
      <c r="M477" s="33" t="s">
        <v>149</v>
      </c>
      <c r="N477" s="33" t="s">
        <v>102</v>
      </c>
      <c r="O477" s="33" t="s">
        <v>115</v>
      </c>
      <c r="P477" s="33">
        <v>1</v>
      </c>
      <c r="Q477" s="33">
        <v>4</v>
      </c>
      <c r="R477" s="33">
        <v>0</v>
      </c>
      <c r="S477" s="33"/>
      <c r="T477" t="s">
        <v>14</v>
      </c>
      <c r="U477" s="33" t="s">
        <v>2130</v>
      </c>
      <c r="V477" s="33" t="s">
        <v>122</v>
      </c>
      <c r="W477" s="33" t="s">
        <v>115</v>
      </c>
      <c r="X477" s="33" t="s">
        <v>115</v>
      </c>
      <c r="Y477" s="33" t="s">
        <v>115</v>
      </c>
      <c r="Z477" s="33" t="s">
        <v>115</v>
      </c>
      <c r="AA477" s="33" t="s">
        <v>115</v>
      </c>
      <c r="AB477" s="35" t="s">
        <v>115</v>
      </c>
      <c r="AC477" s="35"/>
      <c r="AD477" s="39">
        <v>0</v>
      </c>
      <c r="AE477" s="39">
        <v>0</v>
      </c>
      <c r="AF477" s="39">
        <v>0</v>
      </c>
      <c r="AG477" s="39">
        <v>0</v>
      </c>
      <c r="AH477" s="39">
        <v>15</v>
      </c>
      <c r="AI477" s="33">
        <v>0</v>
      </c>
      <c r="AJ477" s="33">
        <f t="shared" si="7"/>
        <v>15</v>
      </c>
      <c r="AK477" s="33"/>
      <c r="AL477" s="33"/>
      <c r="AM477" s="33"/>
      <c r="AN477" s="33"/>
      <c r="AO477" s="33"/>
      <c r="AP477" s="33"/>
      <c r="AQ477" s="34"/>
      <c r="AR477" s="33"/>
      <c r="AS477" s="33"/>
      <c r="AT477" s="33"/>
      <c r="AU477" s="33"/>
    </row>
    <row r="478" spans="1:47" s="33" customFormat="1" x14ac:dyDescent="0.2">
      <c r="A478" t="s">
        <v>1229</v>
      </c>
      <c r="B478" t="s">
        <v>1228</v>
      </c>
      <c r="C478">
        <v>3</v>
      </c>
      <c r="D478">
        <v>1</v>
      </c>
      <c r="E478" t="s">
        <v>201</v>
      </c>
      <c r="F478" s="1">
        <v>43382</v>
      </c>
      <c r="G478" s="37" t="s">
        <v>4033</v>
      </c>
      <c r="H478" s="37" t="s">
        <v>4724</v>
      </c>
      <c r="I478" s="2">
        <v>1.1111111111111112E-2</v>
      </c>
      <c r="J478" s="176">
        <v>1.8518518518518518E-4</v>
      </c>
      <c r="K478" s="6">
        <v>16</v>
      </c>
      <c r="L478" t="s">
        <v>1278</v>
      </c>
      <c r="M478" s="7" t="s">
        <v>1215</v>
      </c>
      <c r="N478" s="7" t="s">
        <v>111</v>
      </c>
      <c r="O478" s="7" t="s">
        <v>23</v>
      </c>
      <c r="P478" s="7">
        <v>0</v>
      </c>
      <c r="Q478" s="7"/>
      <c r="R478" s="7">
        <v>1</v>
      </c>
      <c r="S478" s="7"/>
      <c r="T478" t="s">
        <v>176</v>
      </c>
      <c r="U478" t="s">
        <v>176</v>
      </c>
      <c r="V478" s="7" t="s">
        <v>24</v>
      </c>
      <c r="W478" s="7" t="s">
        <v>3963</v>
      </c>
      <c r="X478" s="44" t="s">
        <v>23</v>
      </c>
      <c r="Y478" s="44" t="s">
        <v>3997</v>
      </c>
      <c r="Z478" s="44" t="s">
        <v>4007</v>
      </c>
      <c r="AA478" s="7" t="s">
        <v>24</v>
      </c>
      <c r="AB478" s="20">
        <v>63.724490000000003</v>
      </c>
      <c r="AC478" s="20">
        <v>148.94810000000001</v>
      </c>
      <c r="AD478" s="6">
        <v>0</v>
      </c>
      <c r="AE478" s="6">
        <v>0</v>
      </c>
      <c r="AF478" s="6">
        <v>0</v>
      </c>
      <c r="AG478" s="6">
        <v>0</v>
      </c>
      <c r="AH478" s="6">
        <v>0</v>
      </c>
      <c r="AI478">
        <v>0</v>
      </c>
      <c r="AJ478">
        <f t="shared" si="7"/>
        <v>0</v>
      </c>
      <c r="AK478"/>
      <c r="AL478" t="s">
        <v>1230</v>
      </c>
      <c r="AM478"/>
      <c r="AN478"/>
      <c r="AQ478" s="34"/>
    </row>
    <row r="479" spans="1:47" s="33" customFormat="1" x14ac:dyDescent="0.2">
      <c r="A479" t="s">
        <v>1231</v>
      </c>
      <c r="B479" t="s">
        <v>1232</v>
      </c>
      <c r="C479">
        <v>4</v>
      </c>
      <c r="D479">
        <v>1</v>
      </c>
      <c r="E479" s="33" t="s">
        <v>3171</v>
      </c>
      <c r="F479" s="1">
        <v>43382</v>
      </c>
      <c r="G479" s="37" t="s">
        <v>4033</v>
      </c>
      <c r="H479" s="37" t="s">
        <v>4724</v>
      </c>
      <c r="I479" s="2">
        <v>6.9444444444444441E-3</v>
      </c>
      <c r="J479" s="176">
        <v>1.1574074074074073E-4</v>
      </c>
      <c r="K479" s="6">
        <v>10</v>
      </c>
      <c r="L479" t="s">
        <v>1278</v>
      </c>
      <c r="M479" s="7" t="s">
        <v>149</v>
      </c>
      <c r="N479" s="7" t="s">
        <v>111</v>
      </c>
      <c r="O479" s="7" t="s">
        <v>23</v>
      </c>
      <c r="P479" s="7">
        <v>0</v>
      </c>
      <c r="Q479" s="7"/>
      <c r="R479" s="7">
        <v>1</v>
      </c>
      <c r="S479" s="7"/>
      <c r="T479" t="s">
        <v>176</v>
      </c>
      <c r="U479" t="s">
        <v>176</v>
      </c>
      <c r="V479" s="7" t="s">
        <v>24</v>
      </c>
      <c r="W479" s="7" t="s">
        <v>1233</v>
      </c>
      <c r="X479" s="44" t="s">
        <v>23</v>
      </c>
      <c r="Y479" s="44" t="s">
        <v>3997</v>
      </c>
      <c r="Z479" s="44" t="s">
        <v>4016</v>
      </c>
      <c r="AA479" s="7" t="s">
        <v>24</v>
      </c>
      <c r="AB479" s="20">
        <v>63.724910000000001</v>
      </c>
      <c r="AC479" s="20">
        <v>148.94807</v>
      </c>
      <c r="AD479" s="6">
        <v>0</v>
      </c>
      <c r="AE479" s="6">
        <v>0</v>
      </c>
      <c r="AF479" s="6">
        <v>0</v>
      </c>
      <c r="AG479" s="6">
        <v>0</v>
      </c>
      <c r="AH479" s="6">
        <v>0</v>
      </c>
      <c r="AI479">
        <v>0</v>
      </c>
      <c r="AJ479">
        <f t="shared" si="7"/>
        <v>0</v>
      </c>
      <c r="AK479"/>
      <c r="AL479"/>
      <c r="AM479"/>
      <c r="AN479"/>
      <c r="AO479"/>
      <c r="AP479"/>
      <c r="AQ479"/>
      <c r="AR479"/>
      <c r="AS479"/>
      <c r="AT479"/>
      <c r="AU479"/>
    </row>
    <row r="480" spans="1:47" x14ac:dyDescent="0.2">
      <c r="A480" t="s">
        <v>1234</v>
      </c>
      <c r="B480" t="s">
        <v>1235</v>
      </c>
      <c r="C480">
        <v>5</v>
      </c>
      <c r="D480">
        <v>1</v>
      </c>
      <c r="E480" s="33" t="s">
        <v>3171</v>
      </c>
      <c r="F480" s="1">
        <v>43382</v>
      </c>
      <c r="G480" s="37" t="s">
        <v>4033</v>
      </c>
      <c r="H480" s="37" t="s">
        <v>4724</v>
      </c>
      <c r="I480" s="2">
        <v>9.7222222222222224E-3</v>
      </c>
      <c r="J480" s="176">
        <v>1.6203703703703703E-4</v>
      </c>
      <c r="K480" s="6">
        <v>14</v>
      </c>
      <c r="L480" t="s">
        <v>1278</v>
      </c>
      <c r="M480" s="7" t="s">
        <v>149</v>
      </c>
      <c r="N480" s="7" t="s">
        <v>111</v>
      </c>
      <c r="O480" s="7" t="s">
        <v>23</v>
      </c>
      <c r="P480" s="7">
        <v>0</v>
      </c>
      <c r="Q480" s="7"/>
      <c r="R480" s="7">
        <v>1</v>
      </c>
      <c r="S480" s="7"/>
      <c r="T480" t="s">
        <v>176</v>
      </c>
      <c r="U480" t="s">
        <v>176</v>
      </c>
      <c r="V480" s="7" t="s">
        <v>24</v>
      </c>
      <c r="W480" s="7" t="s">
        <v>1057</v>
      </c>
      <c r="X480" s="44" t="s">
        <v>23</v>
      </c>
      <c r="Y480" s="44" t="s">
        <v>3999</v>
      </c>
      <c r="Z480" s="44" t="s">
        <v>4005</v>
      </c>
      <c r="AA480" s="7" t="s">
        <v>24</v>
      </c>
      <c r="AB480" s="20">
        <v>63.724910000000001</v>
      </c>
      <c r="AC480" s="20">
        <v>148.94807</v>
      </c>
      <c r="AD480" s="6">
        <v>0</v>
      </c>
      <c r="AE480" s="6">
        <v>0</v>
      </c>
      <c r="AF480" s="6">
        <v>0</v>
      </c>
      <c r="AG480" s="6">
        <v>0</v>
      </c>
      <c r="AH480" s="6">
        <v>0</v>
      </c>
      <c r="AI480">
        <v>0</v>
      </c>
      <c r="AJ480">
        <f t="shared" si="7"/>
        <v>0</v>
      </c>
      <c r="AL480" t="s">
        <v>1236</v>
      </c>
      <c r="AO480" s="7"/>
      <c r="AP480" s="7"/>
      <c r="AQ480" s="7"/>
      <c r="AR480" s="7"/>
      <c r="AS480" s="7"/>
      <c r="AT480" s="7"/>
      <c r="AU480" s="7"/>
    </row>
    <row r="481" spans="1:47" s="33" customFormat="1" x14ac:dyDescent="0.2">
      <c r="A481" s="33" t="s">
        <v>1238</v>
      </c>
      <c r="B481" s="33" t="s">
        <v>1239</v>
      </c>
      <c r="C481" s="33">
        <v>6</v>
      </c>
      <c r="D481" s="33">
        <v>1</v>
      </c>
      <c r="E481" s="33" t="s">
        <v>201</v>
      </c>
      <c r="F481" s="37">
        <v>43382</v>
      </c>
      <c r="G481" s="37" t="s">
        <v>4033</v>
      </c>
      <c r="H481" s="37" t="s">
        <v>4724</v>
      </c>
      <c r="I481" s="36">
        <v>1.7361111111111112E-2</v>
      </c>
      <c r="J481" s="177">
        <v>2.8935185185185189E-4</v>
      </c>
      <c r="K481" s="39">
        <v>25</v>
      </c>
      <c r="L481" s="33" t="s">
        <v>1278</v>
      </c>
      <c r="M481" s="33" t="s">
        <v>1215</v>
      </c>
      <c r="N481" s="33" t="s">
        <v>102</v>
      </c>
      <c r="O481" s="33" t="s">
        <v>115</v>
      </c>
      <c r="P481" s="33" t="s">
        <v>24</v>
      </c>
      <c r="R481" s="33">
        <v>0</v>
      </c>
      <c r="T481" t="s">
        <v>176</v>
      </c>
      <c r="U481" s="33" t="s">
        <v>176</v>
      </c>
      <c r="V481" s="33" t="s">
        <v>115</v>
      </c>
      <c r="W481" s="33" t="s">
        <v>115</v>
      </c>
      <c r="X481" s="33" t="s">
        <v>115</v>
      </c>
      <c r="Y481" s="33" t="s">
        <v>115</v>
      </c>
      <c r="Z481" s="33" t="s">
        <v>115</v>
      </c>
      <c r="AA481" s="33" t="s">
        <v>115</v>
      </c>
      <c r="AB481" s="35" t="s">
        <v>115</v>
      </c>
      <c r="AC481" s="35"/>
      <c r="AD481" s="39">
        <v>0</v>
      </c>
      <c r="AE481" s="39">
        <v>0</v>
      </c>
      <c r="AF481" s="39">
        <v>0</v>
      </c>
      <c r="AG481" s="39">
        <v>0</v>
      </c>
      <c r="AH481" s="39">
        <v>22</v>
      </c>
      <c r="AI481" s="33">
        <v>0</v>
      </c>
      <c r="AJ481" s="33">
        <f t="shared" si="7"/>
        <v>22</v>
      </c>
      <c r="AO481"/>
      <c r="AP481"/>
      <c r="AQ481"/>
      <c r="AR481"/>
      <c r="AS481"/>
      <c r="AT481"/>
      <c r="AU481"/>
    </row>
    <row r="482" spans="1:47" s="33" customFormat="1" x14ac:dyDescent="0.2">
      <c r="A482" t="s">
        <v>1240</v>
      </c>
      <c r="B482" t="s">
        <v>1241</v>
      </c>
      <c r="C482">
        <v>7</v>
      </c>
      <c r="D482">
        <v>1</v>
      </c>
      <c r="E482" s="33" t="s">
        <v>3171</v>
      </c>
      <c r="F482" s="1">
        <v>43382</v>
      </c>
      <c r="G482" s="37" t="s">
        <v>4033</v>
      </c>
      <c r="H482" s="37" t="s">
        <v>4724</v>
      </c>
      <c r="I482" s="2">
        <v>9.7222222222222224E-3</v>
      </c>
      <c r="J482" s="176">
        <v>1.6203703703703703E-4</v>
      </c>
      <c r="K482" s="6">
        <v>14</v>
      </c>
      <c r="L482" t="s">
        <v>1278</v>
      </c>
      <c r="M482" s="7" t="s">
        <v>149</v>
      </c>
      <c r="N482" s="7" t="s">
        <v>102</v>
      </c>
      <c r="O482" s="7" t="s">
        <v>23</v>
      </c>
      <c r="P482" s="7">
        <v>0</v>
      </c>
      <c r="Q482" s="7"/>
      <c r="R482" s="7">
        <v>0</v>
      </c>
      <c r="S482" s="7"/>
      <c r="T482" s="7"/>
      <c r="U482" s="7" t="s">
        <v>115</v>
      </c>
      <c r="V482" s="7" t="s">
        <v>115</v>
      </c>
      <c r="W482" s="7" t="s">
        <v>115</v>
      </c>
      <c r="X482" s="33" t="s">
        <v>115</v>
      </c>
      <c r="Y482" s="33" t="s">
        <v>115</v>
      </c>
      <c r="Z482" s="33" t="s">
        <v>115</v>
      </c>
      <c r="AA482" s="7" t="s">
        <v>115</v>
      </c>
      <c r="AB482" s="20" t="s">
        <v>115</v>
      </c>
      <c r="AC482" s="20"/>
      <c r="AD482" s="6">
        <v>14</v>
      </c>
      <c r="AE482" s="6">
        <v>0</v>
      </c>
      <c r="AF482" s="6">
        <v>14</v>
      </c>
      <c r="AG482" s="6">
        <v>0</v>
      </c>
      <c r="AH482" s="6">
        <v>0</v>
      </c>
      <c r="AI482">
        <v>0</v>
      </c>
      <c r="AJ482">
        <f t="shared" si="7"/>
        <v>14</v>
      </c>
      <c r="AK482" t="s">
        <v>375</v>
      </c>
      <c r="AL482" t="s">
        <v>4997</v>
      </c>
      <c r="AM482">
        <v>1</v>
      </c>
      <c r="AN482">
        <v>0</v>
      </c>
      <c r="AQ482" s="34"/>
    </row>
    <row r="483" spans="1:47" s="33" customFormat="1" x14ac:dyDescent="0.2">
      <c r="A483" s="33" t="s">
        <v>1242</v>
      </c>
      <c r="B483" s="33" t="s">
        <v>1243</v>
      </c>
      <c r="C483" s="33">
        <v>8</v>
      </c>
      <c r="D483" s="33">
        <v>1</v>
      </c>
      <c r="E483" s="33" t="s">
        <v>3171</v>
      </c>
      <c r="F483" s="37">
        <v>43382</v>
      </c>
      <c r="G483" s="37" t="s">
        <v>4033</v>
      </c>
      <c r="H483" s="37" t="s">
        <v>4724</v>
      </c>
      <c r="I483" s="36">
        <v>2.0833333333333333E-3</v>
      </c>
      <c r="J483" s="177">
        <v>3.4722222222222222E-5</v>
      </c>
      <c r="K483" s="39">
        <v>3</v>
      </c>
      <c r="L483" s="33" t="s">
        <v>1278</v>
      </c>
      <c r="M483" s="33" t="s">
        <v>149</v>
      </c>
      <c r="N483" s="33" t="s">
        <v>102</v>
      </c>
      <c r="O483" s="33" t="s">
        <v>115</v>
      </c>
      <c r="P483" s="33">
        <v>1</v>
      </c>
      <c r="R483" s="33">
        <v>0</v>
      </c>
      <c r="T483" t="s">
        <v>176</v>
      </c>
      <c r="U483" s="33" t="s">
        <v>176</v>
      </c>
      <c r="V483" s="33" t="s">
        <v>122</v>
      </c>
      <c r="W483" s="33" t="s">
        <v>115</v>
      </c>
      <c r="X483" s="33" t="s">
        <v>115</v>
      </c>
      <c r="Y483" s="33" t="s">
        <v>115</v>
      </c>
      <c r="Z483" s="33" t="s">
        <v>115</v>
      </c>
      <c r="AA483" s="33" t="s">
        <v>115</v>
      </c>
      <c r="AB483" s="35" t="s">
        <v>115</v>
      </c>
      <c r="AC483" s="35"/>
      <c r="AD483" s="39">
        <v>0</v>
      </c>
      <c r="AE483" s="39">
        <v>0</v>
      </c>
      <c r="AF483" s="39">
        <v>0</v>
      </c>
      <c r="AG483" s="39">
        <v>0</v>
      </c>
      <c r="AH483" s="39">
        <v>10</v>
      </c>
      <c r="AI483" s="33">
        <v>0</v>
      </c>
      <c r="AJ483" s="33">
        <f t="shared" si="7"/>
        <v>10</v>
      </c>
      <c r="AL483" s="33" t="s">
        <v>4998</v>
      </c>
      <c r="AQ483" s="34"/>
    </row>
    <row r="484" spans="1:47" x14ac:dyDescent="0.2">
      <c r="A484" s="33" t="s">
        <v>1244</v>
      </c>
      <c r="B484" s="33" t="s">
        <v>1245</v>
      </c>
      <c r="C484" s="33">
        <v>9</v>
      </c>
      <c r="D484" s="33">
        <v>1</v>
      </c>
      <c r="E484" s="33" t="s">
        <v>3171</v>
      </c>
      <c r="F484" s="37">
        <v>43382</v>
      </c>
      <c r="G484" s="37" t="s">
        <v>4033</v>
      </c>
      <c r="H484" s="37" t="s">
        <v>4724</v>
      </c>
      <c r="I484" s="36">
        <v>8.3333333333333332E-3</v>
      </c>
      <c r="J484" s="177">
        <v>1.3888888888888889E-4</v>
      </c>
      <c r="K484" s="39">
        <v>12</v>
      </c>
      <c r="L484" s="33" t="s">
        <v>1278</v>
      </c>
      <c r="M484" s="33" t="s">
        <v>149</v>
      </c>
      <c r="N484" s="33" t="s">
        <v>102</v>
      </c>
      <c r="O484" s="33" t="s">
        <v>115</v>
      </c>
      <c r="P484" s="33">
        <v>1</v>
      </c>
      <c r="Q484" s="33"/>
      <c r="R484" s="33">
        <v>0</v>
      </c>
      <c r="S484" s="33"/>
      <c r="T484" t="s">
        <v>176</v>
      </c>
      <c r="U484" s="33" t="s">
        <v>176</v>
      </c>
      <c r="V484" s="33" t="s">
        <v>122</v>
      </c>
      <c r="W484" s="33" t="s">
        <v>115</v>
      </c>
      <c r="X484" s="33" t="s">
        <v>115</v>
      </c>
      <c r="Y484" s="33" t="s">
        <v>115</v>
      </c>
      <c r="Z484" s="33" t="s">
        <v>115</v>
      </c>
      <c r="AA484" s="33" t="s">
        <v>115</v>
      </c>
      <c r="AB484" s="35" t="s">
        <v>115</v>
      </c>
      <c r="AC484" s="35"/>
      <c r="AD484" s="39">
        <v>0</v>
      </c>
      <c r="AE484" s="39">
        <v>0</v>
      </c>
      <c r="AF484" s="39">
        <v>0</v>
      </c>
      <c r="AG484" s="39">
        <v>0</v>
      </c>
      <c r="AH484" s="39">
        <v>9</v>
      </c>
      <c r="AI484" s="33">
        <v>0</v>
      </c>
      <c r="AJ484" s="33">
        <f t="shared" si="7"/>
        <v>9</v>
      </c>
      <c r="AK484" s="33"/>
      <c r="AL484" s="33"/>
      <c r="AM484" s="33"/>
      <c r="AN484" s="33"/>
    </row>
    <row r="485" spans="1:47" s="33" customFormat="1" x14ac:dyDescent="0.2">
      <c r="A485" t="s">
        <v>1246</v>
      </c>
      <c r="B485" t="s">
        <v>1247</v>
      </c>
      <c r="C485">
        <v>10</v>
      </c>
      <c r="D485">
        <v>1</v>
      </c>
      <c r="E485" s="33" t="s">
        <v>3171</v>
      </c>
      <c r="F485" s="1">
        <v>43382</v>
      </c>
      <c r="G485" s="37" t="s">
        <v>4033</v>
      </c>
      <c r="H485" s="37" t="s">
        <v>4724</v>
      </c>
      <c r="I485" s="2">
        <v>3.472222222222222E-3</v>
      </c>
      <c r="J485" s="176">
        <v>5.7870370370370366E-5</v>
      </c>
      <c r="K485" s="6">
        <v>5</v>
      </c>
      <c r="L485" t="s">
        <v>1278</v>
      </c>
      <c r="M485" s="7" t="s">
        <v>149</v>
      </c>
      <c r="N485" s="7" t="s">
        <v>102</v>
      </c>
      <c r="O485" s="7" t="s">
        <v>23</v>
      </c>
      <c r="P485" s="7" t="s">
        <v>24</v>
      </c>
      <c r="Q485" s="7"/>
      <c r="R485" s="7">
        <v>0</v>
      </c>
      <c r="S485" s="7"/>
      <c r="T485" t="s">
        <v>176</v>
      </c>
      <c r="U485" t="s">
        <v>176</v>
      </c>
      <c r="V485" s="7" t="s">
        <v>115</v>
      </c>
      <c r="W485" s="7" t="s">
        <v>115</v>
      </c>
      <c r="X485" s="33" t="s">
        <v>115</v>
      </c>
      <c r="Y485" s="33" t="s">
        <v>115</v>
      </c>
      <c r="Z485" s="33" t="s">
        <v>115</v>
      </c>
      <c r="AA485" s="7" t="s">
        <v>115</v>
      </c>
      <c r="AB485" s="20" t="s">
        <v>115</v>
      </c>
      <c r="AC485" s="20"/>
      <c r="AD485" s="6">
        <v>5</v>
      </c>
      <c r="AE485" s="6">
        <v>0</v>
      </c>
      <c r="AF485" s="6">
        <v>5</v>
      </c>
      <c r="AG485" s="6">
        <v>0</v>
      </c>
      <c r="AH485" s="6">
        <v>0</v>
      </c>
      <c r="AI485">
        <v>0</v>
      </c>
      <c r="AJ485">
        <f t="shared" si="7"/>
        <v>5</v>
      </c>
      <c r="AK485" t="s">
        <v>375</v>
      </c>
      <c r="AL485" s="5" t="s">
        <v>4997</v>
      </c>
      <c r="AM485">
        <v>2</v>
      </c>
      <c r="AN485">
        <v>0</v>
      </c>
      <c r="AO485"/>
      <c r="AP485"/>
      <c r="AQ485"/>
      <c r="AR485"/>
      <c r="AS485"/>
      <c r="AT485"/>
      <c r="AU485"/>
    </row>
    <row r="486" spans="1:47" s="33" customFormat="1" x14ac:dyDescent="0.2">
      <c r="A486" s="33" t="s">
        <v>1248</v>
      </c>
      <c r="B486" s="33" t="s">
        <v>1249</v>
      </c>
      <c r="C486" s="33">
        <v>11</v>
      </c>
      <c r="D486" s="33">
        <v>1</v>
      </c>
      <c r="E486" s="33" t="s">
        <v>3171</v>
      </c>
      <c r="F486" s="37">
        <v>43382</v>
      </c>
      <c r="G486" s="37" t="s">
        <v>4033</v>
      </c>
      <c r="H486" s="37" t="s">
        <v>4724</v>
      </c>
      <c r="I486" s="36">
        <v>2.013888888888889E-2</v>
      </c>
      <c r="J486" s="177">
        <v>3.3564814814814812E-4</v>
      </c>
      <c r="K486" s="39">
        <v>29</v>
      </c>
      <c r="L486" s="33" t="s">
        <v>1278</v>
      </c>
      <c r="M486" s="33" t="s">
        <v>149</v>
      </c>
      <c r="N486" s="33" t="s">
        <v>102</v>
      </c>
      <c r="O486" s="33" t="s">
        <v>115</v>
      </c>
      <c r="P486" s="33" t="s">
        <v>24</v>
      </c>
      <c r="R486" s="33">
        <v>0</v>
      </c>
      <c r="T486" t="s">
        <v>176</v>
      </c>
      <c r="U486" s="33" t="s">
        <v>176</v>
      </c>
      <c r="V486" s="33" t="s">
        <v>115</v>
      </c>
      <c r="W486" s="33" t="s">
        <v>115</v>
      </c>
      <c r="X486" s="33" t="s">
        <v>115</v>
      </c>
      <c r="Y486" s="33" t="s">
        <v>115</v>
      </c>
      <c r="Z486" s="33" t="s">
        <v>115</v>
      </c>
      <c r="AA486" s="33" t="s">
        <v>115</v>
      </c>
      <c r="AB486" s="35" t="s">
        <v>115</v>
      </c>
      <c r="AC486" s="35"/>
      <c r="AD486" s="39">
        <v>0</v>
      </c>
      <c r="AE486" s="39">
        <v>0</v>
      </c>
      <c r="AF486" s="39">
        <v>0</v>
      </c>
      <c r="AG486" s="39">
        <v>0</v>
      </c>
      <c r="AH486" s="39">
        <v>21</v>
      </c>
      <c r="AI486" s="33">
        <v>0</v>
      </c>
      <c r="AJ486" s="33">
        <f t="shared" si="7"/>
        <v>21</v>
      </c>
      <c r="AO486"/>
      <c r="AP486"/>
      <c r="AQ486"/>
      <c r="AR486"/>
      <c r="AS486"/>
      <c r="AT486"/>
      <c r="AU486"/>
    </row>
    <row r="487" spans="1:47" x14ac:dyDescent="0.2">
      <c r="A487" t="s">
        <v>1250</v>
      </c>
      <c r="B487" t="s">
        <v>1251</v>
      </c>
      <c r="C487">
        <v>12</v>
      </c>
      <c r="D487">
        <v>1</v>
      </c>
      <c r="E487" s="33" t="s">
        <v>3171</v>
      </c>
      <c r="F487" s="1">
        <v>43382</v>
      </c>
      <c r="G487" s="37" t="s">
        <v>4033</v>
      </c>
      <c r="H487" s="37" t="s">
        <v>4724</v>
      </c>
      <c r="I487" s="2">
        <v>2.4305555555555556E-2</v>
      </c>
      <c r="J487" s="176">
        <v>4.0509259259259258E-4</v>
      </c>
      <c r="K487" s="6">
        <v>35</v>
      </c>
      <c r="L487" t="s">
        <v>1278</v>
      </c>
      <c r="M487" s="7" t="s">
        <v>149</v>
      </c>
      <c r="N487" s="7" t="s">
        <v>102</v>
      </c>
      <c r="O487" s="7" t="s">
        <v>23</v>
      </c>
      <c r="P487" s="7" t="s">
        <v>24</v>
      </c>
      <c r="Q487" s="7"/>
      <c r="R487" s="7">
        <v>0</v>
      </c>
      <c r="S487" s="7"/>
      <c r="T487" t="s">
        <v>176</v>
      </c>
      <c r="U487" t="s">
        <v>176</v>
      </c>
      <c r="V487" s="7" t="s">
        <v>115</v>
      </c>
      <c r="W487" s="7" t="s">
        <v>115</v>
      </c>
      <c r="X487" s="33" t="s">
        <v>115</v>
      </c>
      <c r="Y487" s="33" t="s">
        <v>115</v>
      </c>
      <c r="Z487" s="33" t="s">
        <v>115</v>
      </c>
      <c r="AA487" s="7" t="s">
        <v>115</v>
      </c>
      <c r="AB487" s="20" t="s">
        <v>115</v>
      </c>
      <c r="AC487" s="20"/>
      <c r="AD487" s="6">
        <v>13</v>
      </c>
      <c r="AE487" s="6">
        <v>0</v>
      </c>
      <c r="AF487" s="6">
        <v>13</v>
      </c>
      <c r="AG487" s="6">
        <v>0</v>
      </c>
      <c r="AH487" s="6">
        <v>0</v>
      </c>
      <c r="AI487">
        <v>0</v>
      </c>
      <c r="AJ487">
        <f t="shared" si="7"/>
        <v>13</v>
      </c>
      <c r="AK487" t="s">
        <v>375</v>
      </c>
      <c r="AL487" s="5" t="s">
        <v>4997</v>
      </c>
      <c r="AM487">
        <v>4</v>
      </c>
      <c r="AN487">
        <v>0</v>
      </c>
    </row>
    <row r="488" spans="1:47" x14ac:dyDescent="0.2">
      <c r="A488" t="s">
        <v>1252</v>
      </c>
      <c r="B488" t="s">
        <v>1253</v>
      </c>
      <c r="C488">
        <v>13</v>
      </c>
      <c r="D488">
        <v>1</v>
      </c>
      <c r="E488" s="33" t="s">
        <v>3171</v>
      </c>
      <c r="F488" s="1">
        <v>43382</v>
      </c>
      <c r="G488" s="37" t="s">
        <v>4033</v>
      </c>
      <c r="H488" s="37" t="s">
        <v>4724</v>
      </c>
      <c r="I488" s="2">
        <v>1.8749999999999999E-2</v>
      </c>
      <c r="J488" s="176">
        <v>3.1250000000000001E-4</v>
      </c>
      <c r="K488" s="6">
        <v>27</v>
      </c>
      <c r="L488" t="s">
        <v>1278</v>
      </c>
      <c r="M488" s="7" t="s">
        <v>149</v>
      </c>
      <c r="N488" s="7" t="s">
        <v>102</v>
      </c>
      <c r="O488" s="7" t="s">
        <v>23</v>
      </c>
      <c r="P488">
        <v>1</v>
      </c>
      <c r="R488" s="7">
        <v>0</v>
      </c>
      <c r="S488" s="7"/>
      <c r="T488" t="s">
        <v>176</v>
      </c>
      <c r="U488" t="s">
        <v>176</v>
      </c>
      <c r="V488" s="7" t="s">
        <v>1254</v>
      </c>
      <c r="W488" s="7" t="s">
        <v>115</v>
      </c>
      <c r="X488" s="33" t="s">
        <v>115</v>
      </c>
      <c r="Y488" s="33" t="s">
        <v>115</v>
      </c>
      <c r="Z488" s="33" t="s">
        <v>115</v>
      </c>
      <c r="AA488" s="7" t="s">
        <v>115</v>
      </c>
      <c r="AB488" s="20" t="s">
        <v>115</v>
      </c>
      <c r="AC488" s="20"/>
      <c r="AD488" s="6">
        <v>27</v>
      </c>
      <c r="AE488" s="6">
        <v>0</v>
      </c>
      <c r="AF488" s="6">
        <v>0</v>
      </c>
      <c r="AG488" s="6">
        <v>27</v>
      </c>
      <c r="AH488" s="6">
        <v>0</v>
      </c>
      <c r="AI488">
        <v>0</v>
      </c>
      <c r="AJ488">
        <f t="shared" si="7"/>
        <v>27</v>
      </c>
      <c r="AK488" t="s">
        <v>16</v>
      </c>
      <c r="AM488">
        <v>0</v>
      </c>
      <c r="AN488">
        <v>5</v>
      </c>
    </row>
    <row r="489" spans="1:47" s="33" customFormat="1" x14ac:dyDescent="0.2">
      <c r="A489" t="s">
        <v>1255</v>
      </c>
      <c r="B489" t="s">
        <v>1256</v>
      </c>
      <c r="C489">
        <v>14</v>
      </c>
      <c r="D489">
        <v>1</v>
      </c>
      <c r="E489" s="33" t="s">
        <v>3171</v>
      </c>
      <c r="F489" s="1">
        <v>43382</v>
      </c>
      <c r="G489" s="37" t="s">
        <v>4033</v>
      </c>
      <c r="H489" s="37" t="s">
        <v>4724</v>
      </c>
      <c r="I489" s="2">
        <v>0.10069444444444443</v>
      </c>
      <c r="J489" s="176">
        <v>1.6782407407407406E-3</v>
      </c>
      <c r="K489" s="6">
        <v>145</v>
      </c>
      <c r="L489" t="s">
        <v>1278</v>
      </c>
      <c r="M489" s="7" t="s">
        <v>149</v>
      </c>
      <c r="N489" s="7" t="s">
        <v>102</v>
      </c>
      <c r="O489" s="7" t="s">
        <v>23</v>
      </c>
      <c r="P489">
        <v>1</v>
      </c>
      <c r="Q489"/>
      <c r="R489" s="7">
        <v>0</v>
      </c>
      <c r="S489" s="7"/>
      <c r="T489" t="s">
        <v>176</v>
      </c>
      <c r="U489" s="7" t="s">
        <v>1131</v>
      </c>
      <c r="V489" s="7" t="s">
        <v>1257</v>
      </c>
      <c r="W489" s="7" t="s">
        <v>126</v>
      </c>
      <c r="X489" s="33" t="s">
        <v>115</v>
      </c>
      <c r="Y489" s="33" t="s">
        <v>115</v>
      </c>
      <c r="Z489" s="33" t="s">
        <v>115</v>
      </c>
      <c r="AA489" s="7" t="s">
        <v>126</v>
      </c>
      <c r="AB489" s="20" t="s">
        <v>115</v>
      </c>
      <c r="AC489" s="20"/>
      <c r="AD489" s="6">
        <f>14+18+13</f>
        <v>45</v>
      </c>
      <c r="AE489" s="6">
        <f>15+21+2</f>
        <v>38</v>
      </c>
      <c r="AF489" s="6">
        <v>0</v>
      </c>
      <c r="AG489" s="6">
        <f>14+15+18+21+13+2</f>
        <v>83</v>
      </c>
      <c r="AH489" s="6">
        <v>0</v>
      </c>
      <c r="AI489">
        <v>0</v>
      </c>
      <c r="AJ489">
        <f t="shared" si="7"/>
        <v>83</v>
      </c>
      <c r="AK489" t="s">
        <v>375</v>
      </c>
      <c r="AL489"/>
      <c r="AM489">
        <v>3</v>
      </c>
      <c r="AN489">
        <v>0</v>
      </c>
      <c r="AO489"/>
      <c r="AP489"/>
      <c r="AQ489"/>
      <c r="AR489"/>
      <c r="AS489"/>
      <c r="AT489"/>
      <c r="AU489"/>
    </row>
    <row r="490" spans="1:47" x14ac:dyDescent="0.2">
      <c r="A490" t="s">
        <v>1258</v>
      </c>
      <c r="B490" t="s">
        <v>1259</v>
      </c>
      <c r="C490">
        <v>1</v>
      </c>
      <c r="D490">
        <v>1</v>
      </c>
      <c r="E490" t="s">
        <v>100</v>
      </c>
      <c r="F490" s="1">
        <v>43382</v>
      </c>
      <c r="G490" s="37" t="s">
        <v>4033</v>
      </c>
      <c r="H490" s="37" t="s">
        <v>4724</v>
      </c>
      <c r="I490" s="2">
        <v>4.8611111111111112E-3</v>
      </c>
      <c r="J490" s="176">
        <v>8.1018518518518516E-5</v>
      </c>
      <c r="K490" s="6">
        <v>7</v>
      </c>
      <c r="L490" t="s">
        <v>1278</v>
      </c>
      <c r="M490" s="7" t="s">
        <v>176</v>
      </c>
      <c r="N490" s="7" t="s">
        <v>107</v>
      </c>
      <c r="O490" s="7" t="s">
        <v>115</v>
      </c>
      <c r="P490">
        <v>1</v>
      </c>
      <c r="R490" s="7">
        <v>0</v>
      </c>
      <c r="S490" s="7"/>
      <c r="T490" t="s">
        <v>461</v>
      </c>
      <c r="U490" s="7" t="s">
        <v>461</v>
      </c>
      <c r="V490" s="7" t="s">
        <v>24</v>
      </c>
      <c r="W490" s="7" t="s">
        <v>115</v>
      </c>
      <c r="X490" s="33" t="s">
        <v>115</v>
      </c>
      <c r="Y490" s="33" t="s">
        <v>115</v>
      </c>
      <c r="Z490" s="33" t="s">
        <v>115</v>
      </c>
      <c r="AA490" s="7" t="s">
        <v>115</v>
      </c>
      <c r="AB490" s="20" t="s">
        <v>115</v>
      </c>
      <c r="AC490" s="20"/>
      <c r="AD490" s="6">
        <v>0</v>
      </c>
      <c r="AE490" s="6">
        <v>0</v>
      </c>
      <c r="AF490" s="6">
        <v>0</v>
      </c>
      <c r="AG490" s="6">
        <v>0</v>
      </c>
      <c r="AH490" s="6">
        <v>0</v>
      </c>
      <c r="AI490">
        <v>0</v>
      </c>
      <c r="AJ490">
        <f t="shared" si="7"/>
        <v>0</v>
      </c>
      <c r="AL490" t="s">
        <v>1260</v>
      </c>
    </row>
    <row r="491" spans="1:47" x14ac:dyDescent="0.2">
      <c r="A491" t="s">
        <v>1279</v>
      </c>
      <c r="B491" t="s">
        <v>1280</v>
      </c>
      <c r="C491">
        <v>1</v>
      </c>
      <c r="D491">
        <v>1</v>
      </c>
      <c r="E491" t="s">
        <v>324</v>
      </c>
      <c r="F491" s="1">
        <v>43384</v>
      </c>
      <c r="G491" s="37" t="s">
        <v>4033</v>
      </c>
      <c r="H491" s="37" t="s">
        <v>4724</v>
      </c>
      <c r="I491" s="2">
        <v>6.9444444444444447E-4</v>
      </c>
      <c r="J491" s="176">
        <v>1.1574074074074073E-5</v>
      </c>
      <c r="K491" s="6">
        <v>1</v>
      </c>
      <c r="L491" t="s">
        <v>884</v>
      </c>
      <c r="M491" s="7" t="s">
        <v>337</v>
      </c>
      <c r="N491" s="7" t="s">
        <v>107</v>
      </c>
      <c r="O491" s="7" t="s">
        <v>23</v>
      </c>
      <c r="P491" s="7">
        <v>1</v>
      </c>
      <c r="Q491" s="7"/>
      <c r="R491" s="7">
        <v>0</v>
      </c>
      <c r="T491" t="s">
        <v>598</v>
      </c>
      <c r="U491" s="7" t="s">
        <v>2107</v>
      </c>
      <c r="V491" s="7" t="s">
        <v>24</v>
      </c>
      <c r="W491" s="7" t="s">
        <v>115</v>
      </c>
      <c r="X491" s="33" t="s">
        <v>115</v>
      </c>
      <c r="Y491" s="33" t="s">
        <v>115</v>
      </c>
      <c r="Z491" s="33" t="s">
        <v>115</v>
      </c>
      <c r="AA491" s="7" t="s">
        <v>115</v>
      </c>
      <c r="AB491" s="20" t="s">
        <v>115</v>
      </c>
      <c r="AC491" s="20"/>
      <c r="AD491" s="7">
        <v>0</v>
      </c>
      <c r="AE491" s="6">
        <v>0</v>
      </c>
      <c r="AF491" s="6">
        <v>0</v>
      </c>
      <c r="AG491" s="6">
        <v>0</v>
      </c>
      <c r="AH491" s="6">
        <v>0</v>
      </c>
      <c r="AI491">
        <v>0</v>
      </c>
      <c r="AJ491">
        <f t="shared" si="7"/>
        <v>0</v>
      </c>
      <c r="AL491" t="s">
        <v>1281</v>
      </c>
    </row>
    <row r="492" spans="1:47" x14ac:dyDescent="0.2">
      <c r="A492" t="s">
        <v>1282</v>
      </c>
      <c r="B492" t="s">
        <v>1283</v>
      </c>
      <c r="C492">
        <v>2</v>
      </c>
      <c r="D492">
        <v>1</v>
      </c>
      <c r="E492" t="s">
        <v>324</v>
      </c>
      <c r="F492" s="1">
        <v>43384</v>
      </c>
      <c r="G492" s="37" t="s">
        <v>4033</v>
      </c>
      <c r="H492" s="37" t="s">
        <v>4724</v>
      </c>
      <c r="I492" s="2">
        <v>4.8611111111111112E-3</v>
      </c>
      <c r="J492" s="176">
        <v>8.1018518518518516E-5</v>
      </c>
      <c r="K492" s="6">
        <v>7</v>
      </c>
      <c r="M492" s="7" t="s">
        <v>337</v>
      </c>
      <c r="N492" s="7" t="s">
        <v>111</v>
      </c>
      <c r="O492" s="7" t="s">
        <v>115</v>
      </c>
      <c r="P492" s="7">
        <v>0</v>
      </c>
      <c r="Q492" s="7"/>
      <c r="R492" s="7">
        <v>1</v>
      </c>
      <c r="T492" t="s">
        <v>598</v>
      </c>
      <c r="U492" s="7" t="s">
        <v>2107</v>
      </c>
      <c r="V492" s="7" t="s">
        <v>24</v>
      </c>
      <c r="W492" s="7" t="s">
        <v>3980</v>
      </c>
      <c r="X492" s="33" t="s">
        <v>4013</v>
      </c>
      <c r="Y492" s="33" t="s">
        <v>3997</v>
      </c>
      <c r="Z492" s="33" t="s">
        <v>4007</v>
      </c>
      <c r="AA492" s="7" t="s">
        <v>24</v>
      </c>
      <c r="AB492" s="20">
        <v>63.725389999999997</v>
      </c>
      <c r="AC492" s="20">
        <v>148.88972000000001</v>
      </c>
      <c r="AD492" s="6">
        <v>0</v>
      </c>
      <c r="AE492" s="6">
        <v>0</v>
      </c>
      <c r="AF492" s="6">
        <v>0</v>
      </c>
      <c r="AG492" s="6">
        <v>0</v>
      </c>
      <c r="AH492" s="6">
        <v>0</v>
      </c>
      <c r="AI492">
        <v>0</v>
      </c>
      <c r="AJ492">
        <f t="shared" si="7"/>
        <v>0</v>
      </c>
      <c r="AL492" t="s">
        <v>1285</v>
      </c>
      <c r="AO492" s="33"/>
      <c r="AP492" s="33"/>
      <c r="AQ492" s="34"/>
      <c r="AR492" s="33"/>
      <c r="AS492" s="33"/>
      <c r="AT492" s="33"/>
      <c r="AU492" s="33"/>
    </row>
    <row r="493" spans="1:47" s="33" customFormat="1" x14ac:dyDescent="0.2">
      <c r="A493" t="s">
        <v>1289</v>
      </c>
      <c r="B493" t="s">
        <v>1290</v>
      </c>
      <c r="C493">
        <v>4</v>
      </c>
      <c r="D493">
        <v>1</v>
      </c>
      <c r="E493" t="s">
        <v>324</v>
      </c>
      <c r="F493" s="1">
        <v>43384</v>
      </c>
      <c r="G493" s="37" t="s">
        <v>4033</v>
      </c>
      <c r="H493" s="37" t="s">
        <v>4724</v>
      </c>
      <c r="I493" s="2">
        <v>2.013888888888889E-2</v>
      </c>
      <c r="J493" s="176">
        <v>3.3564814814814812E-4</v>
      </c>
      <c r="K493" s="6">
        <v>29</v>
      </c>
      <c r="L493" t="s">
        <v>398</v>
      </c>
      <c r="M493" s="7" t="s">
        <v>176</v>
      </c>
      <c r="N493" s="7" t="s">
        <v>115</v>
      </c>
      <c r="O493" s="7" t="s">
        <v>12</v>
      </c>
      <c r="P493" s="7">
        <v>0</v>
      </c>
      <c r="Q493" s="7"/>
      <c r="R493" s="7">
        <v>1</v>
      </c>
      <c r="S493"/>
      <c r="T493" t="s">
        <v>14</v>
      </c>
      <c r="U493" t="s">
        <v>2130</v>
      </c>
      <c r="V493" s="7" t="s">
        <v>24</v>
      </c>
      <c r="W493" s="7" t="s">
        <v>1291</v>
      </c>
      <c r="X493" s="33" t="s">
        <v>12</v>
      </c>
      <c r="Y493" s="33" t="s">
        <v>4004</v>
      </c>
      <c r="Z493" s="33" t="s">
        <v>4005</v>
      </c>
      <c r="AA493" s="7" t="s">
        <v>24</v>
      </c>
      <c r="AB493" s="20">
        <v>63.724260000000001</v>
      </c>
      <c r="AC493" s="20">
        <v>148.88929999999999</v>
      </c>
      <c r="AD493" s="6">
        <v>0</v>
      </c>
      <c r="AE493" s="6">
        <v>0</v>
      </c>
      <c r="AF493" s="6">
        <v>0</v>
      </c>
      <c r="AG493" s="6">
        <v>0</v>
      </c>
      <c r="AH493" s="6">
        <v>0</v>
      </c>
      <c r="AI493">
        <v>0</v>
      </c>
      <c r="AJ493">
        <f t="shared" si="7"/>
        <v>0</v>
      </c>
      <c r="AK493"/>
      <c r="AL493" t="s">
        <v>1292</v>
      </c>
      <c r="AM493"/>
      <c r="AN493"/>
      <c r="AO493"/>
      <c r="AP493"/>
      <c r="AQ493"/>
      <c r="AR493"/>
      <c r="AS493"/>
      <c r="AT493"/>
      <c r="AU493"/>
    </row>
    <row r="494" spans="1:47" x14ac:dyDescent="0.2">
      <c r="A494" t="s">
        <v>1293</v>
      </c>
      <c r="B494" t="s">
        <v>1294</v>
      </c>
      <c r="C494">
        <v>5</v>
      </c>
      <c r="D494">
        <v>1</v>
      </c>
      <c r="E494" t="s">
        <v>324</v>
      </c>
      <c r="F494" s="1">
        <v>43384</v>
      </c>
      <c r="G494" s="37" t="s">
        <v>4033</v>
      </c>
      <c r="H494" s="37" t="s">
        <v>4724</v>
      </c>
      <c r="I494" s="2">
        <v>1.3194444444444444E-2</v>
      </c>
      <c r="J494" s="176">
        <v>2.199074074074074E-4</v>
      </c>
      <c r="K494" s="6">
        <v>19</v>
      </c>
      <c r="L494" t="s">
        <v>398</v>
      </c>
      <c r="M494" s="7" t="s">
        <v>337</v>
      </c>
      <c r="N494" s="7" t="s">
        <v>111</v>
      </c>
      <c r="O494" s="7" t="s">
        <v>23</v>
      </c>
      <c r="P494" s="7">
        <v>0</v>
      </c>
      <c r="Q494" s="7"/>
      <c r="R494" s="7">
        <v>1</v>
      </c>
      <c r="T494" t="s">
        <v>176</v>
      </c>
      <c r="U494" t="s">
        <v>176</v>
      </c>
      <c r="V494" s="7" t="s">
        <v>122</v>
      </c>
      <c r="W494" s="7" t="s">
        <v>3963</v>
      </c>
      <c r="X494" s="33" t="s">
        <v>23</v>
      </c>
      <c r="Y494" s="33" t="s">
        <v>3997</v>
      </c>
      <c r="Z494" s="33" t="s">
        <v>4007</v>
      </c>
      <c r="AA494">
        <v>101</v>
      </c>
      <c r="AB494" s="20">
        <v>63.72372</v>
      </c>
      <c r="AC494" s="20">
        <v>148.88693000000001</v>
      </c>
      <c r="AD494" s="6">
        <v>0</v>
      </c>
      <c r="AE494" s="6">
        <v>0</v>
      </c>
      <c r="AF494" s="6">
        <v>0</v>
      </c>
      <c r="AG494" s="6">
        <v>0</v>
      </c>
      <c r="AH494" s="6">
        <v>0</v>
      </c>
      <c r="AI494">
        <v>0</v>
      </c>
      <c r="AJ494">
        <f t="shared" si="7"/>
        <v>0</v>
      </c>
      <c r="AL494" t="s">
        <v>1295</v>
      </c>
    </row>
    <row r="495" spans="1:47" s="33" customFormat="1" x14ac:dyDescent="0.2">
      <c r="A495" t="s">
        <v>1296</v>
      </c>
      <c r="B495" t="s">
        <v>1297</v>
      </c>
      <c r="C495">
        <v>1</v>
      </c>
      <c r="D495">
        <v>1</v>
      </c>
      <c r="E495" t="s">
        <v>201</v>
      </c>
      <c r="F495" s="1">
        <v>43385</v>
      </c>
      <c r="G495" s="37" t="s">
        <v>4033</v>
      </c>
      <c r="H495" s="37" t="s">
        <v>4724</v>
      </c>
      <c r="I495" s="2">
        <v>7.6388888888888886E-3</v>
      </c>
      <c r="J495" s="176">
        <v>1.273148148148148E-4</v>
      </c>
      <c r="K495" s="6">
        <v>11</v>
      </c>
      <c r="L495" t="s">
        <v>398</v>
      </c>
      <c r="M495" s="7" t="s">
        <v>1215</v>
      </c>
      <c r="N495" s="7" t="s">
        <v>242</v>
      </c>
      <c r="O495" s="7" t="s">
        <v>23</v>
      </c>
      <c r="P495" s="7">
        <v>1</v>
      </c>
      <c r="Q495" s="7"/>
      <c r="R495" s="7">
        <v>1</v>
      </c>
      <c r="S495"/>
      <c r="T495" t="s">
        <v>176</v>
      </c>
      <c r="U495" t="s">
        <v>176</v>
      </c>
      <c r="V495" s="7" t="s">
        <v>24</v>
      </c>
      <c r="W495" t="s">
        <v>2061</v>
      </c>
      <c r="X495" s="44" t="s">
        <v>23</v>
      </c>
      <c r="Y495" s="44" t="s">
        <v>3999</v>
      </c>
      <c r="Z495" s="44" t="s">
        <v>4006</v>
      </c>
      <c r="AA495" s="7" t="s">
        <v>24</v>
      </c>
      <c r="AB495" s="20">
        <v>63.722709999999999</v>
      </c>
      <c r="AC495" s="20">
        <v>148.95956000000001</v>
      </c>
      <c r="AD495" s="6">
        <v>0</v>
      </c>
      <c r="AE495" s="6">
        <v>0</v>
      </c>
      <c r="AF495" s="6">
        <v>0</v>
      </c>
      <c r="AG495" s="6">
        <v>0</v>
      </c>
      <c r="AH495" s="6">
        <v>0</v>
      </c>
      <c r="AI495">
        <v>0</v>
      </c>
      <c r="AJ495">
        <f t="shared" si="7"/>
        <v>0</v>
      </c>
      <c r="AK495"/>
      <c r="AL495" t="s">
        <v>1298</v>
      </c>
      <c r="AM495"/>
      <c r="AN495"/>
      <c r="AO495"/>
      <c r="AP495"/>
      <c r="AQ495"/>
      <c r="AR495"/>
      <c r="AS495"/>
      <c r="AT495"/>
      <c r="AU495"/>
    </row>
    <row r="496" spans="1:47" s="33" customFormat="1" x14ac:dyDescent="0.2">
      <c r="A496" t="s">
        <v>1299</v>
      </c>
      <c r="B496" t="s">
        <v>1300</v>
      </c>
      <c r="C496">
        <v>1</v>
      </c>
      <c r="D496">
        <v>1</v>
      </c>
      <c r="E496" t="s">
        <v>2462</v>
      </c>
      <c r="F496" s="1">
        <v>43385</v>
      </c>
      <c r="G496" s="37" t="s">
        <v>4033</v>
      </c>
      <c r="H496" s="37" t="s">
        <v>4724</v>
      </c>
      <c r="I496" s="2">
        <v>1.1805555555555555E-2</v>
      </c>
      <c r="J496" s="176">
        <v>1.9675925925925926E-4</v>
      </c>
      <c r="K496" s="6">
        <v>17</v>
      </c>
      <c r="L496" t="s">
        <v>398</v>
      </c>
      <c r="M496" s="7" t="s">
        <v>363</v>
      </c>
      <c r="N496" s="7" t="s">
        <v>111</v>
      </c>
      <c r="O496" s="7" t="s">
        <v>23</v>
      </c>
      <c r="P496" s="7">
        <v>0</v>
      </c>
      <c r="Q496" s="7"/>
      <c r="R496" s="7">
        <v>1</v>
      </c>
      <c r="S496"/>
      <c r="T496" t="s">
        <v>176</v>
      </c>
      <c r="U496" t="s">
        <v>176</v>
      </c>
      <c r="V496" s="7" t="s">
        <v>24</v>
      </c>
      <c r="W496" s="7" t="s">
        <v>709</v>
      </c>
      <c r="X496" s="33" t="s">
        <v>23</v>
      </c>
      <c r="Y496" s="33" t="s">
        <v>4004</v>
      </c>
      <c r="Z496" s="33" t="s">
        <v>4005</v>
      </c>
      <c r="AA496" s="7" t="s">
        <v>24</v>
      </c>
      <c r="AB496" s="20">
        <v>63.733600000000003</v>
      </c>
      <c r="AC496" s="20">
        <v>148.89886000000001</v>
      </c>
      <c r="AD496" s="6">
        <v>0</v>
      </c>
      <c r="AE496" s="6">
        <v>0</v>
      </c>
      <c r="AF496" s="6">
        <v>0</v>
      </c>
      <c r="AG496" s="6">
        <v>0</v>
      </c>
      <c r="AH496" s="6">
        <v>0</v>
      </c>
      <c r="AI496">
        <v>0</v>
      </c>
      <c r="AJ496">
        <f t="shared" si="7"/>
        <v>0</v>
      </c>
      <c r="AK496"/>
      <c r="AL496"/>
      <c r="AM496"/>
      <c r="AN496"/>
      <c r="AQ496" s="34"/>
    </row>
    <row r="497" spans="1:47" x14ac:dyDescent="0.2">
      <c r="A497" s="33" t="s">
        <v>1301</v>
      </c>
      <c r="B497" s="33" t="s">
        <v>1302</v>
      </c>
      <c r="C497" s="33">
        <v>2</v>
      </c>
      <c r="D497" s="33">
        <v>1</v>
      </c>
      <c r="E497" s="33" t="s">
        <v>2462</v>
      </c>
      <c r="F497" s="37">
        <v>43385</v>
      </c>
      <c r="G497" s="37" t="s">
        <v>4033</v>
      </c>
      <c r="H497" s="37" t="s">
        <v>4724</v>
      </c>
      <c r="I497" s="36">
        <v>1.1805555555555555E-2</v>
      </c>
      <c r="J497" s="177">
        <v>1.9675925925925926E-4</v>
      </c>
      <c r="K497" s="39">
        <v>17</v>
      </c>
      <c r="L497" s="33" t="s">
        <v>398</v>
      </c>
      <c r="M497" s="33" t="s">
        <v>363</v>
      </c>
      <c r="N497" s="33" t="s">
        <v>102</v>
      </c>
      <c r="O497" s="33" t="s">
        <v>115</v>
      </c>
      <c r="P497" s="33">
        <v>1</v>
      </c>
      <c r="Q497" s="33">
        <v>4</v>
      </c>
      <c r="R497" s="33">
        <v>0</v>
      </c>
      <c r="S497" s="33"/>
      <c r="T497" t="s">
        <v>14</v>
      </c>
      <c r="U497" s="33" t="s">
        <v>2128</v>
      </c>
      <c r="V497" s="33" t="s">
        <v>122</v>
      </c>
      <c r="W497" s="33" t="s">
        <v>115</v>
      </c>
      <c r="X497" s="33" t="s">
        <v>115</v>
      </c>
      <c r="Y497" s="33" t="s">
        <v>115</v>
      </c>
      <c r="Z497" s="33" t="s">
        <v>115</v>
      </c>
      <c r="AA497" s="33" t="s">
        <v>115</v>
      </c>
      <c r="AB497" s="35" t="s">
        <v>115</v>
      </c>
      <c r="AC497" s="35"/>
      <c r="AD497" s="39">
        <v>0</v>
      </c>
      <c r="AE497" s="39">
        <v>0</v>
      </c>
      <c r="AF497" s="39">
        <v>0</v>
      </c>
      <c r="AG497" s="39">
        <v>0</v>
      </c>
      <c r="AH497" s="39">
        <v>13</v>
      </c>
      <c r="AI497" s="33">
        <v>0</v>
      </c>
      <c r="AJ497" s="33">
        <f t="shared" si="7"/>
        <v>13</v>
      </c>
      <c r="AK497" s="33"/>
      <c r="AL497" s="33"/>
      <c r="AM497" s="33"/>
      <c r="AN497" s="33"/>
    </row>
    <row r="498" spans="1:47" s="33" customFormat="1" x14ac:dyDescent="0.2">
      <c r="A498" t="s">
        <v>1303</v>
      </c>
      <c r="B498" t="s">
        <v>1304</v>
      </c>
      <c r="C498">
        <v>3</v>
      </c>
      <c r="D498">
        <v>1</v>
      </c>
      <c r="E498" t="s">
        <v>2462</v>
      </c>
      <c r="F498" s="1">
        <v>43385</v>
      </c>
      <c r="G498" s="37" t="s">
        <v>4033</v>
      </c>
      <c r="H498" s="37" t="s">
        <v>4724</v>
      </c>
      <c r="I498" s="2">
        <v>2.7777777777777776E-2</v>
      </c>
      <c r="J498" s="176">
        <v>4.6296296296296293E-4</v>
      </c>
      <c r="K498" s="6">
        <v>40</v>
      </c>
      <c r="L498" t="s">
        <v>398</v>
      </c>
      <c r="M498" s="7" t="s">
        <v>363</v>
      </c>
      <c r="N498" s="7" t="s">
        <v>111</v>
      </c>
      <c r="O498" s="7" t="s">
        <v>23</v>
      </c>
      <c r="P498" s="7">
        <v>0</v>
      </c>
      <c r="Q498" s="7"/>
      <c r="R498" s="7">
        <v>2</v>
      </c>
      <c r="S498" s="7" t="s">
        <v>2066</v>
      </c>
      <c r="T498" t="s">
        <v>14</v>
      </c>
      <c r="U498" t="s">
        <v>2128</v>
      </c>
      <c r="V498" s="7" t="s">
        <v>122</v>
      </c>
      <c r="W498" s="7" t="s">
        <v>333</v>
      </c>
      <c r="X498" s="44" t="s">
        <v>23</v>
      </c>
      <c r="Y498" s="44" t="s">
        <v>3999</v>
      </c>
      <c r="Z498" s="44" t="s">
        <v>4006</v>
      </c>
      <c r="AA498" s="7">
        <v>4</v>
      </c>
      <c r="AB498" s="20">
        <v>63.732779999999998</v>
      </c>
      <c r="AC498" s="20">
        <v>148.89912000000001</v>
      </c>
      <c r="AD498" s="6">
        <v>0</v>
      </c>
      <c r="AE498" s="6">
        <v>0</v>
      </c>
      <c r="AF498" s="6">
        <v>0</v>
      </c>
      <c r="AG498" s="6">
        <v>0</v>
      </c>
      <c r="AH498" s="6">
        <v>0</v>
      </c>
      <c r="AI498">
        <v>0</v>
      </c>
      <c r="AJ498">
        <f t="shared" si="7"/>
        <v>0</v>
      </c>
      <c r="AK498"/>
      <c r="AL498"/>
      <c r="AM498"/>
      <c r="AN498"/>
      <c r="AO498"/>
      <c r="AP498"/>
      <c r="AQ498"/>
      <c r="AR498"/>
      <c r="AS498"/>
      <c r="AT498"/>
      <c r="AU498"/>
    </row>
    <row r="499" spans="1:47" hidden="1" x14ac:dyDescent="0.2">
      <c r="A499" t="s">
        <v>1303</v>
      </c>
      <c r="B499" t="s">
        <v>1304</v>
      </c>
      <c r="C499">
        <v>3</v>
      </c>
      <c r="D499">
        <v>2</v>
      </c>
      <c r="E499" t="s">
        <v>2462</v>
      </c>
      <c r="F499" s="1">
        <v>43385</v>
      </c>
      <c r="G499" s="37" t="s">
        <v>4033</v>
      </c>
      <c r="H499" s="37" t="s">
        <v>4724</v>
      </c>
      <c r="I499" s="2">
        <v>2.7777777777777776E-2</v>
      </c>
      <c r="J499" s="176">
        <v>4.6296296296296293E-4</v>
      </c>
      <c r="K499" s="6">
        <v>40</v>
      </c>
      <c r="L499" t="s">
        <v>398</v>
      </c>
      <c r="M499" s="7" t="s">
        <v>363</v>
      </c>
      <c r="N499" s="7" t="s">
        <v>111</v>
      </c>
      <c r="O499" s="7" t="s">
        <v>23</v>
      </c>
      <c r="P499" s="7">
        <v>0</v>
      </c>
      <c r="Q499" s="7"/>
      <c r="R499" s="7">
        <v>1</v>
      </c>
      <c r="S499" s="7"/>
      <c r="T499" t="s">
        <v>14</v>
      </c>
      <c r="U499" t="s">
        <v>2128</v>
      </c>
      <c r="V499" s="7" t="s">
        <v>122</v>
      </c>
      <c r="W499" s="7" t="s">
        <v>2087</v>
      </c>
      <c r="X499" s="33" t="s">
        <v>23</v>
      </c>
      <c r="Y499" s="33" t="s">
        <v>3997</v>
      </c>
      <c r="Z499" s="33" t="s">
        <v>4006</v>
      </c>
      <c r="AA499" s="7">
        <v>11</v>
      </c>
      <c r="AB499" s="20">
        <v>63.732810000000001</v>
      </c>
      <c r="AC499" s="20">
        <v>148.89922999999999</v>
      </c>
      <c r="AD499" s="6">
        <v>0</v>
      </c>
      <c r="AE499" s="6">
        <v>0</v>
      </c>
      <c r="AF499" s="6">
        <v>0</v>
      </c>
      <c r="AG499" s="6">
        <v>0</v>
      </c>
      <c r="AH499" s="6">
        <v>0</v>
      </c>
      <c r="AI499">
        <v>0</v>
      </c>
      <c r="AJ499">
        <f t="shared" si="7"/>
        <v>0</v>
      </c>
    </row>
    <row r="500" spans="1:47" x14ac:dyDescent="0.2">
      <c r="A500" t="s">
        <v>1305</v>
      </c>
      <c r="B500" t="s">
        <v>1306</v>
      </c>
      <c r="C500">
        <v>4</v>
      </c>
      <c r="D500">
        <v>1</v>
      </c>
      <c r="E500" t="s">
        <v>2462</v>
      </c>
      <c r="F500" s="1">
        <v>43385</v>
      </c>
      <c r="G500" s="37" t="s">
        <v>4033</v>
      </c>
      <c r="H500" s="37" t="s">
        <v>4724</v>
      </c>
      <c r="I500" s="2">
        <v>2.2916666666666669E-2</v>
      </c>
      <c r="J500" s="176">
        <v>3.8194444444444446E-4</v>
      </c>
      <c r="K500" s="6">
        <v>33</v>
      </c>
      <c r="L500" t="s">
        <v>398</v>
      </c>
      <c r="M500" s="7" t="s">
        <v>363</v>
      </c>
      <c r="N500" s="7" t="s">
        <v>111</v>
      </c>
      <c r="O500" s="7" t="s">
        <v>1307</v>
      </c>
      <c r="P500" s="7">
        <v>0</v>
      </c>
      <c r="Q500" s="7"/>
      <c r="R500" s="7">
        <v>1</v>
      </c>
      <c r="S500" s="7"/>
      <c r="T500" t="s">
        <v>14</v>
      </c>
      <c r="U500" t="s">
        <v>2128</v>
      </c>
      <c r="V500" s="7" t="s">
        <v>122</v>
      </c>
      <c r="W500" s="7" t="s">
        <v>2063</v>
      </c>
      <c r="X500" s="33" t="s">
        <v>12</v>
      </c>
      <c r="Y500" s="33" t="s">
        <v>3997</v>
      </c>
      <c r="Z500" s="33" t="s">
        <v>4008</v>
      </c>
      <c r="AA500" s="7">
        <v>35</v>
      </c>
      <c r="AB500" s="20">
        <v>63.73254</v>
      </c>
      <c r="AC500" s="20">
        <v>148.89954</v>
      </c>
      <c r="AD500" s="6">
        <v>0</v>
      </c>
      <c r="AE500" s="6">
        <v>0</v>
      </c>
      <c r="AF500" s="6">
        <v>0</v>
      </c>
      <c r="AG500" s="6">
        <v>0</v>
      </c>
      <c r="AH500" s="6">
        <v>0</v>
      </c>
      <c r="AI500">
        <v>0</v>
      </c>
      <c r="AJ500">
        <f t="shared" si="7"/>
        <v>0</v>
      </c>
    </row>
    <row r="501" spans="1:47" hidden="1" x14ac:dyDescent="0.2">
      <c r="A501" t="s">
        <v>1305</v>
      </c>
      <c r="B501" t="s">
        <v>1306</v>
      </c>
      <c r="C501">
        <v>4</v>
      </c>
      <c r="D501">
        <v>2</v>
      </c>
      <c r="E501" t="s">
        <v>2462</v>
      </c>
      <c r="F501" s="1">
        <v>43385</v>
      </c>
      <c r="G501" s="37" t="s">
        <v>4033</v>
      </c>
      <c r="H501" s="37" t="s">
        <v>4724</v>
      </c>
      <c r="I501" s="2">
        <v>2.2916666666666669E-2</v>
      </c>
      <c r="J501" s="176">
        <v>3.8194444444444446E-4</v>
      </c>
      <c r="K501" s="6">
        <v>33</v>
      </c>
      <c r="L501" t="s">
        <v>398</v>
      </c>
      <c r="M501" s="7" t="s">
        <v>363</v>
      </c>
      <c r="N501" s="7" t="s">
        <v>111</v>
      </c>
      <c r="O501" s="7" t="s">
        <v>1307</v>
      </c>
      <c r="P501" s="7">
        <v>0</v>
      </c>
      <c r="Q501" s="7"/>
      <c r="R501" s="7">
        <v>1</v>
      </c>
      <c r="S501" s="7"/>
      <c r="T501" t="s">
        <v>14</v>
      </c>
      <c r="U501" t="s">
        <v>2128</v>
      </c>
      <c r="V501" s="7" t="s">
        <v>122</v>
      </c>
      <c r="W501" s="7" t="s">
        <v>2088</v>
      </c>
      <c r="X501" s="33" t="s">
        <v>23</v>
      </c>
      <c r="Y501" s="33" t="s">
        <v>3997</v>
      </c>
      <c r="Z501" s="33" t="s">
        <v>4002</v>
      </c>
      <c r="AA501" s="7">
        <v>45</v>
      </c>
      <c r="AB501" s="20">
        <v>63.73245</v>
      </c>
      <c r="AC501" s="20">
        <v>148.89957000000001</v>
      </c>
      <c r="AD501" s="6">
        <v>0</v>
      </c>
      <c r="AE501" s="6">
        <v>0</v>
      </c>
      <c r="AF501" s="6">
        <v>0</v>
      </c>
      <c r="AG501" s="6">
        <v>0</v>
      </c>
      <c r="AH501" s="6">
        <v>0</v>
      </c>
      <c r="AI501">
        <v>0</v>
      </c>
      <c r="AJ501">
        <f t="shared" si="7"/>
        <v>0</v>
      </c>
    </row>
    <row r="502" spans="1:47" x14ac:dyDescent="0.2">
      <c r="A502" t="s">
        <v>1308</v>
      </c>
      <c r="B502" t="s">
        <v>1309</v>
      </c>
      <c r="C502">
        <v>5</v>
      </c>
      <c r="D502">
        <v>1</v>
      </c>
      <c r="E502" t="s">
        <v>2462</v>
      </c>
      <c r="F502" s="1">
        <v>43385</v>
      </c>
      <c r="G502" s="37" t="s">
        <v>4033</v>
      </c>
      <c r="H502" s="37" t="s">
        <v>4724</v>
      </c>
      <c r="I502" s="2">
        <v>6.5972222222222224E-2</v>
      </c>
      <c r="J502" s="176">
        <v>1.0995370370370371E-3</v>
      </c>
      <c r="K502" s="6">
        <v>95</v>
      </c>
      <c r="L502" t="s">
        <v>398</v>
      </c>
      <c r="M502" s="7" t="s">
        <v>64</v>
      </c>
      <c r="N502" s="7" t="s">
        <v>1310</v>
      </c>
      <c r="O502" s="7" t="s">
        <v>23</v>
      </c>
      <c r="P502" s="7">
        <v>1</v>
      </c>
      <c r="Q502" s="7"/>
      <c r="R502" s="7">
        <v>0</v>
      </c>
      <c r="T502" t="s">
        <v>176</v>
      </c>
      <c r="U502" t="s">
        <v>176</v>
      </c>
      <c r="V502" s="7" t="s">
        <v>604</v>
      </c>
      <c r="W502" s="7" t="s">
        <v>115</v>
      </c>
      <c r="X502" s="33" t="s">
        <v>115</v>
      </c>
      <c r="Y502" s="33" t="s">
        <v>115</v>
      </c>
      <c r="Z502" s="33" t="s">
        <v>115</v>
      </c>
      <c r="AA502" s="7" t="s">
        <v>115</v>
      </c>
      <c r="AB502" s="20" t="s">
        <v>115</v>
      </c>
      <c r="AC502" s="20"/>
      <c r="AD502" s="6">
        <v>45</v>
      </c>
      <c r="AE502" s="6">
        <v>0</v>
      </c>
      <c r="AF502" s="6">
        <v>45</v>
      </c>
      <c r="AG502" s="6">
        <v>0</v>
      </c>
      <c r="AH502" s="6">
        <v>0</v>
      </c>
      <c r="AI502">
        <v>0</v>
      </c>
      <c r="AJ502">
        <f t="shared" si="7"/>
        <v>45</v>
      </c>
      <c r="AK502" t="s">
        <v>375</v>
      </c>
      <c r="AL502" s="6"/>
      <c r="AM502">
        <v>3</v>
      </c>
      <c r="AN502">
        <v>0</v>
      </c>
      <c r="AO502" s="33"/>
      <c r="AP502" s="33"/>
      <c r="AQ502" s="34"/>
      <c r="AR502" s="33"/>
      <c r="AS502" s="33"/>
      <c r="AT502" s="33"/>
      <c r="AU502" s="33"/>
    </row>
    <row r="503" spans="1:47" x14ac:dyDescent="0.2">
      <c r="A503" t="s">
        <v>1311</v>
      </c>
      <c r="B503" t="s">
        <v>1312</v>
      </c>
      <c r="C503">
        <v>6</v>
      </c>
      <c r="D503">
        <v>1</v>
      </c>
      <c r="E503" t="s">
        <v>2462</v>
      </c>
      <c r="F503" s="1">
        <v>43385</v>
      </c>
      <c r="G503" s="37" t="s">
        <v>4033</v>
      </c>
      <c r="H503" s="37" t="s">
        <v>4724</v>
      </c>
      <c r="I503" s="2">
        <v>2.013888888888889E-2</v>
      </c>
      <c r="J503" s="176">
        <v>3.3564814814814812E-4</v>
      </c>
      <c r="K503" s="6">
        <v>29</v>
      </c>
      <c r="L503" t="s">
        <v>398</v>
      </c>
      <c r="M503" s="7" t="s">
        <v>363</v>
      </c>
      <c r="N503" s="7" t="s">
        <v>102</v>
      </c>
      <c r="O503" s="7" t="s">
        <v>12</v>
      </c>
      <c r="P503" s="7">
        <v>0</v>
      </c>
      <c r="Q503" s="7"/>
      <c r="R503" s="7">
        <v>0</v>
      </c>
      <c r="U503" s="7" t="s">
        <v>115</v>
      </c>
      <c r="V503" s="7" t="s">
        <v>115</v>
      </c>
      <c r="W503" s="7" t="s">
        <v>115</v>
      </c>
      <c r="X503" s="33" t="s">
        <v>115</v>
      </c>
      <c r="Y503" s="33" t="s">
        <v>115</v>
      </c>
      <c r="Z503" s="33" t="s">
        <v>115</v>
      </c>
      <c r="AA503" s="7" t="s">
        <v>115</v>
      </c>
      <c r="AB503" s="20" t="s">
        <v>115</v>
      </c>
      <c r="AC503" s="20"/>
      <c r="AD503" s="6">
        <v>7</v>
      </c>
      <c r="AE503" s="6">
        <v>7</v>
      </c>
      <c r="AF503" s="6">
        <v>0</v>
      </c>
      <c r="AG503" s="6">
        <f>14</f>
        <v>14</v>
      </c>
      <c r="AH503" s="6">
        <v>0</v>
      </c>
      <c r="AI503">
        <v>0</v>
      </c>
      <c r="AJ503">
        <f t="shared" si="7"/>
        <v>14</v>
      </c>
      <c r="AK503" t="s">
        <v>375</v>
      </c>
      <c r="AM503">
        <v>1</v>
      </c>
      <c r="AN503">
        <v>0</v>
      </c>
    </row>
    <row r="504" spans="1:47" x14ac:dyDescent="0.2">
      <c r="A504" s="33" t="s">
        <v>1313</v>
      </c>
      <c r="B504" s="33" t="s">
        <v>1314</v>
      </c>
      <c r="C504" s="33">
        <v>7</v>
      </c>
      <c r="D504" s="33">
        <v>1</v>
      </c>
      <c r="E504" s="33" t="s">
        <v>2462</v>
      </c>
      <c r="F504" s="37">
        <v>43385</v>
      </c>
      <c r="G504" s="37" t="s">
        <v>4033</v>
      </c>
      <c r="H504" s="37" t="s">
        <v>4724</v>
      </c>
      <c r="I504" s="36">
        <v>2.8472222222222222E-2</v>
      </c>
      <c r="J504" s="177">
        <v>4.7453703703703704E-4</v>
      </c>
      <c r="K504" s="39">
        <v>41</v>
      </c>
      <c r="L504" s="33" t="s">
        <v>398</v>
      </c>
      <c r="M504" s="33" t="s">
        <v>64</v>
      </c>
      <c r="N504" s="33" t="s">
        <v>187</v>
      </c>
      <c r="O504" s="33" t="s">
        <v>23</v>
      </c>
      <c r="P504" s="33">
        <v>1</v>
      </c>
      <c r="Q504" s="33"/>
      <c r="R504" s="33">
        <v>1</v>
      </c>
      <c r="S504" s="33"/>
      <c r="T504" t="s">
        <v>176</v>
      </c>
      <c r="U504" s="33" t="s">
        <v>176</v>
      </c>
      <c r="V504" s="33" t="s">
        <v>122</v>
      </c>
      <c r="W504" s="33" t="s">
        <v>3963</v>
      </c>
      <c r="X504" s="33" t="s">
        <v>23</v>
      </c>
      <c r="Y504" s="33" t="s">
        <v>3997</v>
      </c>
      <c r="Z504" s="33" t="s">
        <v>4007</v>
      </c>
      <c r="AA504" s="33">
        <v>3</v>
      </c>
      <c r="AB504" s="35">
        <v>63.731409999999997</v>
      </c>
      <c r="AC504" s="35">
        <v>148.89959999999999</v>
      </c>
      <c r="AD504" s="39">
        <v>0</v>
      </c>
      <c r="AE504" s="39">
        <v>0</v>
      </c>
      <c r="AF504" s="39">
        <v>0</v>
      </c>
      <c r="AG504" s="39">
        <v>0</v>
      </c>
      <c r="AH504" s="39">
        <v>7</v>
      </c>
      <c r="AI504" s="33">
        <v>0</v>
      </c>
      <c r="AJ504" s="33">
        <f t="shared" si="7"/>
        <v>7</v>
      </c>
      <c r="AK504" s="33"/>
      <c r="AL504" s="33"/>
      <c r="AM504" s="33"/>
      <c r="AN504" s="33"/>
      <c r="AO504" s="33"/>
      <c r="AP504" s="33"/>
      <c r="AQ504" s="34"/>
      <c r="AR504" s="33"/>
      <c r="AS504" s="33"/>
      <c r="AT504" s="33"/>
      <c r="AU504" s="33"/>
    </row>
    <row r="505" spans="1:47" x14ac:dyDescent="0.2">
      <c r="A505" t="s">
        <v>1315</v>
      </c>
      <c r="B505" t="s">
        <v>1316</v>
      </c>
      <c r="C505">
        <v>8</v>
      </c>
      <c r="D505">
        <v>1</v>
      </c>
      <c r="E505" t="s">
        <v>2462</v>
      </c>
      <c r="F505" s="1">
        <v>43385</v>
      </c>
      <c r="G505" s="37" t="s">
        <v>4033</v>
      </c>
      <c r="H505" s="37" t="s">
        <v>4724</v>
      </c>
      <c r="I505" s="2">
        <v>2.5694444444444447E-2</v>
      </c>
      <c r="J505" s="176">
        <v>4.2824074074074075E-4</v>
      </c>
      <c r="K505" s="6">
        <v>37</v>
      </c>
      <c r="L505" t="s">
        <v>398</v>
      </c>
      <c r="M505" s="7" t="s">
        <v>64</v>
      </c>
      <c r="N505" s="7" t="s">
        <v>187</v>
      </c>
      <c r="O505" s="7" t="s">
        <v>12</v>
      </c>
      <c r="P505" s="7">
        <v>1</v>
      </c>
      <c r="Q505" s="7"/>
      <c r="R505" s="7">
        <v>1</v>
      </c>
      <c r="T505" t="s">
        <v>176</v>
      </c>
      <c r="U505" t="s">
        <v>176</v>
      </c>
      <c r="V505" s="7" t="s">
        <v>1317</v>
      </c>
      <c r="W505" s="7" t="s">
        <v>1318</v>
      </c>
      <c r="X505" s="33" t="s">
        <v>12</v>
      </c>
      <c r="Y505" s="33" t="s">
        <v>3997</v>
      </c>
      <c r="Z505" s="33" t="s">
        <v>4008</v>
      </c>
      <c r="AA505" s="7">
        <v>0</v>
      </c>
      <c r="AB505" s="20">
        <v>63.731270000000002</v>
      </c>
      <c r="AC505" s="20">
        <v>148.90007</v>
      </c>
      <c r="AD505" s="6">
        <v>12</v>
      </c>
      <c r="AE505" s="6">
        <v>0</v>
      </c>
      <c r="AF505" s="6">
        <v>0</v>
      </c>
      <c r="AG505" s="6">
        <v>12</v>
      </c>
      <c r="AH505" s="6">
        <v>0</v>
      </c>
      <c r="AI505">
        <v>0</v>
      </c>
      <c r="AJ505">
        <f t="shared" si="7"/>
        <v>12</v>
      </c>
      <c r="AK505" t="s">
        <v>1319</v>
      </c>
      <c r="AL505" t="s">
        <v>1321</v>
      </c>
      <c r="AM505">
        <v>5</v>
      </c>
      <c r="AN505">
        <v>0</v>
      </c>
    </row>
    <row r="506" spans="1:47" x14ac:dyDescent="0.2">
      <c r="A506" s="33" t="s">
        <v>1322</v>
      </c>
      <c r="B506" s="33" t="s">
        <v>1324</v>
      </c>
      <c r="C506" s="33">
        <v>9</v>
      </c>
      <c r="D506" s="33">
        <v>1</v>
      </c>
      <c r="E506" s="33" t="s">
        <v>2462</v>
      </c>
      <c r="F506" s="37">
        <v>43385</v>
      </c>
      <c r="G506" s="37" t="s">
        <v>4033</v>
      </c>
      <c r="H506" s="37" t="s">
        <v>4724</v>
      </c>
      <c r="I506" s="36">
        <v>4.8611111111111112E-3</v>
      </c>
      <c r="J506" s="177">
        <v>8.1018518518518516E-5</v>
      </c>
      <c r="K506" s="39">
        <v>7</v>
      </c>
      <c r="L506" s="33" t="s">
        <v>398</v>
      </c>
      <c r="M506" s="33" t="s">
        <v>363</v>
      </c>
      <c r="N506" s="33" t="s">
        <v>102</v>
      </c>
      <c r="O506" s="33" t="s">
        <v>115</v>
      </c>
      <c r="P506" s="33">
        <v>1</v>
      </c>
      <c r="Q506" s="33">
        <v>2</v>
      </c>
      <c r="R506" s="33">
        <v>0</v>
      </c>
      <c r="S506" s="33"/>
      <c r="T506" t="s">
        <v>14</v>
      </c>
      <c r="U506" s="33" t="s">
        <v>2129</v>
      </c>
      <c r="V506" s="33" t="s">
        <v>122</v>
      </c>
      <c r="W506" s="33" t="s">
        <v>115</v>
      </c>
      <c r="X506" s="33" t="s">
        <v>115</v>
      </c>
      <c r="Y506" s="33" t="s">
        <v>115</v>
      </c>
      <c r="Z506" s="33" t="s">
        <v>115</v>
      </c>
      <c r="AA506" s="33" t="s">
        <v>115</v>
      </c>
      <c r="AB506" s="35" t="s">
        <v>115</v>
      </c>
      <c r="AC506" s="35"/>
      <c r="AD506" s="39">
        <v>0</v>
      </c>
      <c r="AE506" s="39">
        <v>0</v>
      </c>
      <c r="AF506" s="39">
        <v>0</v>
      </c>
      <c r="AG506" s="39">
        <v>0</v>
      </c>
      <c r="AH506" s="39">
        <v>5</v>
      </c>
      <c r="AI506" s="33">
        <v>0</v>
      </c>
      <c r="AJ506" s="33">
        <f t="shared" si="7"/>
        <v>5</v>
      </c>
      <c r="AK506" s="33"/>
      <c r="AL506" s="33"/>
      <c r="AM506" s="33"/>
      <c r="AN506" s="33"/>
      <c r="AO506" s="33"/>
      <c r="AP506" s="33"/>
      <c r="AQ506" s="34"/>
      <c r="AR506" s="33"/>
      <c r="AS506" s="33"/>
      <c r="AT506" s="33"/>
      <c r="AU506" s="33"/>
    </row>
    <row r="507" spans="1:47" x14ac:dyDescent="0.2">
      <c r="A507" t="s">
        <v>1325</v>
      </c>
      <c r="B507" t="s">
        <v>1323</v>
      </c>
      <c r="C507">
        <v>2</v>
      </c>
      <c r="D507">
        <v>1</v>
      </c>
      <c r="E507" t="s">
        <v>201</v>
      </c>
      <c r="F507" s="1">
        <v>43385</v>
      </c>
      <c r="G507" s="37" t="s">
        <v>4033</v>
      </c>
      <c r="H507" s="37" t="s">
        <v>4724</v>
      </c>
      <c r="I507" s="2">
        <v>1.8749999999999999E-2</v>
      </c>
      <c r="J507" s="176">
        <v>3.1250000000000001E-4</v>
      </c>
      <c r="K507" s="6">
        <v>27</v>
      </c>
      <c r="L507" t="s">
        <v>398</v>
      </c>
      <c r="M507" s="7" t="s">
        <v>176</v>
      </c>
      <c r="N507" s="7" t="s">
        <v>111</v>
      </c>
      <c r="O507" s="7" t="s">
        <v>23</v>
      </c>
      <c r="P507" s="7">
        <v>0</v>
      </c>
      <c r="Q507" s="7"/>
      <c r="R507" s="7">
        <v>1</v>
      </c>
      <c r="T507" t="s">
        <v>176</v>
      </c>
      <c r="U507" t="s">
        <v>176</v>
      </c>
      <c r="V507" s="7" t="s">
        <v>24</v>
      </c>
      <c r="W507" s="7" t="s">
        <v>1265</v>
      </c>
      <c r="X507" s="44" t="s">
        <v>23</v>
      </c>
      <c r="Y507" s="44" t="s">
        <v>4004</v>
      </c>
      <c r="Z507" s="44" t="s">
        <v>4005</v>
      </c>
      <c r="AA507" s="7" t="s">
        <v>24</v>
      </c>
      <c r="AB507" s="20">
        <v>63.723970000000001</v>
      </c>
      <c r="AC507" s="20">
        <v>148.94882000000001</v>
      </c>
      <c r="AD507" s="6">
        <v>0</v>
      </c>
      <c r="AE507" s="6">
        <v>0</v>
      </c>
      <c r="AF507" s="6">
        <v>0</v>
      </c>
      <c r="AG507" s="6">
        <v>0</v>
      </c>
      <c r="AH507" s="6">
        <v>0</v>
      </c>
      <c r="AI507">
        <v>0</v>
      </c>
      <c r="AJ507">
        <f t="shared" si="7"/>
        <v>0</v>
      </c>
    </row>
    <row r="508" spans="1:47" s="33" customFormat="1" x14ac:dyDescent="0.2">
      <c r="A508" s="33" t="s">
        <v>1326</v>
      </c>
      <c r="B508" s="33" t="s">
        <v>1327</v>
      </c>
      <c r="C508" s="33">
        <v>3</v>
      </c>
      <c r="D508" s="33">
        <v>1</v>
      </c>
      <c r="E508" s="33" t="s">
        <v>201</v>
      </c>
      <c r="F508" s="37">
        <v>43385</v>
      </c>
      <c r="G508" s="37" t="s">
        <v>4033</v>
      </c>
      <c r="H508" s="37" t="s">
        <v>4724</v>
      </c>
      <c r="I508" s="36">
        <v>3.7499999999999999E-2</v>
      </c>
      <c r="J508" s="177">
        <v>6.2500000000000001E-4</v>
      </c>
      <c r="K508" s="39">
        <v>54</v>
      </c>
      <c r="L508" s="33" t="s">
        <v>398</v>
      </c>
      <c r="M508" s="33" t="s">
        <v>1215</v>
      </c>
      <c r="N508" s="33" t="s">
        <v>187</v>
      </c>
      <c r="O508" s="33" t="s">
        <v>23</v>
      </c>
      <c r="P508" s="33">
        <v>1</v>
      </c>
      <c r="R508" s="33">
        <v>1</v>
      </c>
      <c r="T508" t="s">
        <v>14</v>
      </c>
      <c r="U508" s="33" t="s">
        <v>2128</v>
      </c>
      <c r="V508" s="33" t="s">
        <v>122</v>
      </c>
      <c r="W508" s="33" t="s">
        <v>1328</v>
      </c>
      <c r="X508" s="33" t="s">
        <v>23</v>
      </c>
      <c r="Y508" s="33" t="s">
        <v>4004</v>
      </c>
      <c r="Z508" s="33" t="s">
        <v>4005</v>
      </c>
      <c r="AA508" s="33">
        <v>2</v>
      </c>
      <c r="AB508" s="35">
        <v>63.72354</v>
      </c>
      <c r="AC508" s="35">
        <v>148.94923</v>
      </c>
      <c r="AD508" s="39">
        <v>0</v>
      </c>
      <c r="AE508" s="39">
        <v>0</v>
      </c>
      <c r="AF508" s="39">
        <v>0</v>
      </c>
      <c r="AG508" s="39">
        <v>0</v>
      </c>
      <c r="AH508" s="39">
        <v>21</v>
      </c>
      <c r="AI508" s="33">
        <v>0</v>
      </c>
      <c r="AJ508" s="33">
        <f t="shared" si="7"/>
        <v>21</v>
      </c>
      <c r="AL508" s="33" t="s">
        <v>2145</v>
      </c>
      <c r="AQ508" s="34"/>
    </row>
    <row r="509" spans="1:47" hidden="1" x14ac:dyDescent="0.2">
      <c r="A509" t="s">
        <v>1326</v>
      </c>
      <c r="B509" t="s">
        <v>1327</v>
      </c>
      <c r="C509">
        <v>3</v>
      </c>
      <c r="D509">
        <v>2</v>
      </c>
      <c r="E509" t="s">
        <v>201</v>
      </c>
      <c r="F509" s="1">
        <v>43385</v>
      </c>
      <c r="G509" s="37" t="s">
        <v>4033</v>
      </c>
      <c r="H509" s="37" t="s">
        <v>4724</v>
      </c>
      <c r="I509" s="2">
        <v>3.7499999999999999E-2</v>
      </c>
      <c r="J509" s="176">
        <v>6.2500000000000001E-4</v>
      </c>
      <c r="K509" s="6">
        <v>54</v>
      </c>
      <c r="L509" t="s">
        <v>398</v>
      </c>
      <c r="M509" s="7" t="s">
        <v>1215</v>
      </c>
      <c r="N509" s="7" t="s">
        <v>102</v>
      </c>
      <c r="O509" s="7" t="s">
        <v>23</v>
      </c>
      <c r="P509" s="7">
        <v>1</v>
      </c>
      <c r="Q509" s="7">
        <v>2</v>
      </c>
      <c r="R509" s="7">
        <v>0</v>
      </c>
      <c r="T509" t="s">
        <v>14</v>
      </c>
      <c r="U509" t="s">
        <v>2130</v>
      </c>
      <c r="V509" s="7" t="s">
        <v>122</v>
      </c>
      <c r="W509" s="7" t="s">
        <v>115</v>
      </c>
      <c r="X509" s="33" t="s">
        <v>115</v>
      </c>
      <c r="Y509" s="33" t="s">
        <v>115</v>
      </c>
      <c r="Z509" s="33" t="s">
        <v>115</v>
      </c>
      <c r="AA509" t="s">
        <v>115</v>
      </c>
      <c r="AB509" s="19" t="s">
        <v>115</v>
      </c>
      <c r="AD509" s="6">
        <v>0</v>
      </c>
      <c r="AE509" s="6">
        <v>0</v>
      </c>
      <c r="AF509" s="6">
        <v>0</v>
      </c>
      <c r="AG509" s="6">
        <v>0</v>
      </c>
      <c r="AH509" s="6">
        <v>0</v>
      </c>
      <c r="AI509">
        <v>0</v>
      </c>
      <c r="AJ509">
        <f t="shared" si="7"/>
        <v>0</v>
      </c>
      <c r="AL509" t="s">
        <v>1329</v>
      </c>
    </row>
    <row r="510" spans="1:47" x14ac:dyDescent="0.2">
      <c r="A510" s="33" t="s">
        <v>1330</v>
      </c>
      <c r="B510" s="33" t="s">
        <v>1331</v>
      </c>
      <c r="C510" s="33">
        <v>4</v>
      </c>
      <c r="D510" s="33">
        <v>1</v>
      </c>
      <c r="E510" s="33" t="s">
        <v>201</v>
      </c>
      <c r="F510" s="37">
        <v>43385</v>
      </c>
      <c r="G510" s="37" t="s">
        <v>4033</v>
      </c>
      <c r="H510" s="37" t="s">
        <v>4724</v>
      </c>
      <c r="I510" s="36">
        <v>1.1111111111111112E-2</v>
      </c>
      <c r="J510" s="177">
        <v>1.8518518518518518E-4</v>
      </c>
      <c r="K510" s="39">
        <v>16</v>
      </c>
      <c r="L510" s="33" t="s">
        <v>398</v>
      </c>
      <c r="M510" s="33" t="s">
        <v>176</v>
      </c>
      <c r="N510" s="33" t="s">
        <v>187</v>
      </c>
      <c r="O510" s="33" t="s">
        <v>23</v>
      </c>
      <c r="P510" s="33">
        <v>1</v>
      </c>
      <c r="Q510" s="33"/>
      <c r="R510" s="33">
        <v>1</v>
      </c>
      <c r="S510" s="33"/>
      <c r="T510" t="s">
        <v>14</v>
      </c>
      <c r="U510" s="33" t="s">
        <v>14</v>
      </c>
      <c r="V510" s="33" t="s">
        <v>122</v>
      </c>
      <c r="W510" s="33" t="s">
        <v>1265</v>
      </c>
      <c r="X510" s="33" t="s">
        <v>23</v>
      </c>
      <c r="Y510" s="33" t="s">
        <v>4004</v>
      </c>
      <c r="Z510" s="33" t="s">
        <v>4005</v>
      </c>
      <c r="AA510" s="33">
        <v>7</v>
      </c>
      <c r="AB510" s="35">
        <v>63.722360000000002</v>
      </c>
      <c r="AC510" s="35">
        <v>148.94922</v>
      </c>
      <c r="AD510" s="39">
        <v>0</v>
      </c>
      <c r="AE510" s="39">
        <v>0</v>
      </c>
      <c r="AF510" s="39">
        <v>0</v>
      </c>
      <c r="AG510" s="39">
        <v>0</v>
      </c>
      <c r="AH510" s="39">
        <v>5</v>
      </c>
      <c r="AI510" s="33">
        <v>0</v>
      </c>
      <c r="AJ510" s="33">
        <f t="shared" si="7"/>
        <v>5</v>
      </c>
      <c r="AK510" s="33"/>
      <c r="AL510" s="33" t="s">
        <v>1333</v>
      </c>
      <c r="AM510" s="33"/>
      <c r="AN510" s="33"/>
    </row>
    <row r="511" spans="1:47" s="33" customFormat="1" x14ac:dyDescent="0.2">
      <c r="A511" s="33" t="s">
        <v>1334</v>
      </c>
      <c r="B511" s="33" t="s">
        <v>1335</v>
      </c>
      <c r="C511" s="33">
        <v>5</v>
      </c>
      <c r="D511" s="33">
        <v>1</v>
      </c>
      <c r="E511" s="33" t="s">
        <v>3171</v>
      </c>
      <c r="F511" s="37">
        <v>43385</v>
      </c>
      <c r="G511" s="37" t="s">
        <v>4033</v>
      </c>
      <c r="H511" s="37" t="s">
        <v>4724</v>
      </c>
      <c r="I511" s="36">
        <v>3.3333333333333333E-2</v>
      </c>
      <c r="J511" s="177">
        <v>5.5555555555555556E-4</v>
      </c>
      <c r="K511" s="39">
        <v>48</v>
      </c>
      <c r="L511" s="33" t="s">
        <v>398</v>
      </c>
      <c r="M511" s="33" t="s">
        <v>149</v>
      </c>
      <c r="N511" s="33" t="s">
        <v>102</v>
      </c>
      <c r="O511" s="33" t="s">
        <v>115</v>
      </c>
      <c r="P511" s="33">
        <v>1</v>
      </c>
      <c r="Q511" s="33">
        <v>4</v>
      </c>
      <c r="R511" s="33">
        <v>0</v>
      </c>
      <c r="T511" t="s">
        <v>14</v>
      </c>
      <c r="U511" s="33" t="s">
        <v>2128</v>
      </c>
      <c r="V511" s="33" t="s">
        <v>122</v>
      </c>
      <c r="W511" s="33" t="s">
        <v>115</v>
      </c>
      <c r="X511" s="33" t="s">
        <v>115</v>
      </c>
      <c r="Y511" s="33" t="s">
        <v>115</v>
      </c>
      <c r="Z511" s="33" t="s">
        <v>115</v>
      </c>
      <c r="AA511" s="33" t="s">
        <v>115</v>
      </c>
      <c r="AB511" s="35" t="s">
        <v>115</v>
      </c>
      <c r="AC511" s="35"/>
      <c r="AD511" s="39">
        <v>0</v>
      </c>
      <c r="AE511" s="39">
        <v>0</v>
      </c>
      <c r="AF511" s="39">
        <v>0</v>
      </c>
      <c r="AG511" s="39">
        <v>0</v>
      </c>
      <c r="AH511" s="39">
        <v>16</v>
      </c>
      <c r="AI511" s="33">
        <v>0</v>
      </c>
      <c r="AJ511" s="33">
        <f t="shared" si="7"/>
        <v>16</v>
      </c>
      <c r="AO511"/>
      <c r="AP511"/>
      <c r="AQ511"/>
      <c r="AR511"/>
      <c r="AS511"/>
      <c r="AT511"/>
      <c r="AU511"/>
    </row>
    <row r="512" spans="1:47" x14ac:dyDescent="0.2">
      <c r="A512" t="s">
        <v>1336</v>
      </c>
      <c r="B512" t="s">
        <v>1337</v>
      </c>
      <c r="C512">
        <v>6</v>
      </c>
      <c r="D512">
        <v>1</v>
      </c>
      <c r="E512" s="33" t="s">
        <v>3171</v>
      </c>
      <c r="F512" s="1">
        <v>43385</v>
      </c>
      <c r="G512" s="37" t="s">
        <v>4033</v>
      </c>
      <c r="H512" s="37" t="s">
        <v>4724</v>
      </c>
      <c r="I512" s="2">
        <v>1.1111111111111112E-2</v>
      </c>
      <c r="J512" s="176">
        <v>1.8518518518518518E-4</v>
      </c>
      <c r="K512" s="6">
        <v>16</v>
      </c>
      <c r="L512" t="s">
        <v>398</v>
      </c>
      <c r="M512" s="7" t="s">
        <v>149</v>
      </c>
      <c r="N512" s="7" t="s">
        <v>111</v>
      </c>
      <c r="O512" s="7" t="s">
        <v>23</v>
      </c>
      <c r="P512" s="7">
        <v>0</v>
      </c>
      <c r="Q512" s="7"/>
      <c r="R512" s="7">
        <v>1</v>
      </c>
      <c r="T512" t="s">
        <v>14</v>
      </c>
      <c r="U512" t="s">
        <v>2128</v>
      </c>
      <c r="V512" s="7" t="s">
        <v>122</v>
      </c>
      <c r="W512" s="7" t="s">
        <v>3963</v>
      </c>
      <c r="X512" s="44" t="s">
        <v>23</v>
      </c>
      <c r="Y512" s="44" t="s">
        <v>3997</v>
      </c>
      <c r="Z512" s="44" t="s">
        <v>4007</v>
      </c>
      <c r="AA512" s="7" t="s">
        <v>1332</v>
      </c>
      <c r="AB512" s="24">
        <v>63.722360000000002</v>
      </c>
      <c r="AC512" s="25" t="s">
        <v>2105</v>
      </c>
      <c r="AD512" s="6">
        <v>0</v>
      </c>
      <c r="AE512" s="6">
        <v>0</v>
      </c>
      <c r="AF512" s="6">
        <v>0</v>
      </c>
      <c r="AG512" s="6">
        <v>0</v>
      </c>
      <c r="AH512" s="6">
        <v>0</v>
      </c>
      <c r="AI512">
        <v>0</v>
      </c>
      <c r="AJ512">
        <f t="shared" si="7"/>
        <v>0</v>
      </c>
      <c r="AO512" s="7"/>
      <c r="AP512" s="7"/>
      <c r="AQ512" s="7"/>
      <c r="AR512" s="7"/>
      <c r="AS512" s="7"/>
      <c r="AT512" s="7"/>
      <c r="AU512" s="7"/>
    </row>
    <row r="513" spans="1:47" x14ac:dyDescent="0.2">
      <c r="A513" t="s">
        <v>1338</v>
      </c>
      <c r="B513" t="s">
        <v>1339</v>
      </c>
      <c r="C513">
        <v>7</v>
      </c>
      <c r="D513">
        <v>1</v>
      </c>
      <c r="E513" t="s">
        <v>201</v>
      </c>
      <c r="F513" s="1">
        <v>43385</v>
      </c>
      <c r="G513" s="37" t="s">
        <v>4033</v>
      </c>
      <c r="H513" s="37" t="s">
        <v>4724</v>
      </c>
      <c r="I513" s="2">
        <v>7.6388888888888886E-3</v>
      </c>
      <c r="J513" s="176">
        <v>1.273148148148148E-4</v>
      </c>
      <c r="K513" s="6">
        <v>11</v>
      </c>
      <c r="L513" t="s">
        <v>398</v>
      </c>
      <c r="M513" s="7" t="s">
        <v>1215</v>
      </c>
      <c r="N513" s="7" t="s">
        <v>102</v>
      </c>
      <c r="O513" s="7" t="s">
        <v>23</v>
      </c>
      <c r="P513" s="7">
        <v>1</v>
      </c>
      <c r="Q513" s="7"/>
      <c r="R513" s="7">
        <v>0</v>
      </c>
      <c r="T513" t="s">
        <v>176</v>
      </c>
      <c r="U513" t="s">
        <v>176</v>
      </c>
      <c r="V513" s="7" t="s">
        <v>134</v>
      </c>
      <c r="W513" s="7" t="s">
        <v>115</v>
      </c>
      <c r="X513" s="33" t="s">
        <v>115</v>
      </c>
      <c r="Y513" s="33" t="s">
        <v>115</v>
      </c>
      <c r="Z513" s="33" t="s">
        <v>115</v>
      </c>
      <c r="AA513" s="7" t="s">
        <v>115</v>
      </c>
      <c r="AB513" s="20" t="s">
        <v>115</v>
      </c>
      <c r="AC513" s="20"/>
      <c r="AD513" s="6">
        <v>0</v>
      </c>
      <c r="AE513" s="6">
        <v>6</v>
      </c>
      <c r="AF513" s="6">
        <v>0</v>
      </c>
      <c r="AG513" s="6">
        <v>6</v>
      </c>
      <c r="AH513" s="6">
        <v>0</v>
      </c>
      <c r="AI513">
        <v>0</v>
      </c>
      <c r="AJ513">
        <f t="shared" si="7"/>
        <v>6</v>
      </c>
      <c r="AO513" s="33"/>
      <c r="AP513" s="33"/>
      <c r="AQ513" s="34"/>
      <c r="AR513" s="33"/>
      <c r="AS513" s="33"/>
      <c r="AT513" s="33"/>
      <c r="AU513" s="33"/>
    </row>
    <row r="514" spans="1:47" x14ac:dyDescent="0.2">
      <c r="A514" t="s">
        <v>1340</v>
      </c>
      <c r="B514" t="s">
        <v>1341</v>
      </c>
      <c r="C514">
        <v>8</v>
      </c>
      <c r="D514">
        <v>1</v>
      </c>
      <c r="E514" t="s">
        <v>201</v>
      </c>
      <c r="F514" s="1">
        <v>43385</v>
      </c>
      <c r="G514" s="37" t="s">
        <v>4033</v>
      </c>
      <c r="H514" s="37" t="s">
        <v>4724</v>
      </c>
      <c r="I514" s="2">
        <v>1.2499999999999999E-2</v>
      </c>
      <c r="J514" s="176">
        <v>2.0833333333333335E-4</v>
      </c>
      <c r="K514" s="6">
        <v>18</v>
      </c>
      <c r="L514" t="s">
        <v>398</v>
      </c>
      <c r="M514" s="7" t="s">
        <v>1215</v>
      </c>
      <c r="N514" s="7" t="s">
        <v>102</v>
      </c>
      <c r="O514" s="7" t="s">
        <v>115</v>
      </c>
      <c r="P514" s="7">
        <v>1</v>
      </c>
      <c r="Q514" s="7"/>
      <c r="R514" s="7">
        <v>0</v>
      </c>
      <c r="T514" t="s">
        <v>14</v>
      </c>
      <c r="U514" t="s">
        <v>14</v>
      </c>
      <c r="V514" s="7" t="s">
        <v>122</v>
      </c>
      <c r="W514" s="7" t="s">
        <v>115</v>
      </c>
      <c r="X514" s="33" t="s">
        <v>115</v>
      </c>
      <c r="Y514" s="33" t="s">
        <v>115</v>
      </c>
      <c r="Z514" s="33" t="s">
        <v>115</v>
      </c>
      <c r="AA514" s="7" t="s">
        <v>115</v>
      </c>
      <c r="AB514" s="20" t="s">
        <v>115</v>
      </c>
      <c r="AC514" s="20"/>
      <c r="AD514" s="6">
        <v>0</v>
      </c>
      <c r="AE514" s="6">
        <v>0</v>
      </c>
      <c r="AF514" s="6">
        <v>0</v>
      </c>
      <c r="AG514" s="6">
        <v>0</v>
      </c>
      <c r="AH514" s="6">
        <v>0</v>
      </c>
      <c r="AI514">
        <v>0</v>
      </c>
      <c r="AJ514">
        <f t="shared" ref="AJ514:AJ577" si="8">SUM(AF514:AI514)</f>
        <v>0</v>
      </c>
      <c r="AL514" t="s">
        <v>1343</v>
      </c>
    </row>
    <row r="515" spans="1:47" x14ac:dyDescent="0.2">
      <c r="A515" t="s">
        <v>1344</v>
      </c>
      <c r="B515" t="s">
        <v>1345</v>
      </c>
      <c r="C515">
        <v>9</v>
      </c>
      <c r="D515">
        <v>1</v>
      </c>
      <c r="E515" t="s">
        <v>201</v>
      </c>
      <c r="F515" s="1">
        <v>43385</v>
      </c>
      <c r="G515" s="37" t="s">
        <v>4033</v>
      </c>
      <c r="H515" s="37" t="s">
        <v>4724</v>
      </c>
      <c r="I515" s="2">
        <v>2.4999999999999998E-2</v>
      </c>
      <c r="J515" s="176">
        <v>4.1666666666666669E-4</v>
      </c>
      <c r="K515" s="6">
        <v>36</v>
      </c>
      <c r="L515" t="s">
        <v>398</v>
      </c>
      <c r="M515" s="7" t="s">
        <v>1215</v>
      </c>
      <c r="N515" s="7" t="s">
        <v>111</v>
      </c>
      <c r="O515" s="7" t="s">
        <v>23</v>
      </c>
      <c r="P515" s="7">
        <v>0</v>
      </c>
      <c r="Q515" s="7"/>
      <c r="R515" s="7">
        <v>1</v>
      </c>
      <c r="T515" t="s">
        <v>14</v>
      </c>
      <c r="U515" s="7" t="s">
        <v>14</v>
      </c>
      <c r="V515" s="7" t="s">
        <v>122</v>
      </c>
      <c r="W515" s="7" t="s">
        <v>1035</v>
      </c>
      <c r="X515" s="44" t="s">
        <v>23</v>
      </c>
      <c r="Y515" s="44" t="s">
        <v>3997</v>
      </c>
      <c r="Z515" s="44" t="s">
        <v>4006</v>
      </c>
      <c r="AA515" s="7" t="s">
        <v>1332</v>
      </c>
      <c r="AB515" s="20">
        <v>63.722029999999997</v>
      </c>
      <c r="AC515" s="20">
        <v>148.94954999999999</v>
      </c>
      <c r="AD515" s="6">
        <v>0</v>
      </c>
      <c r="AE515" s="6">
        <v>0</v>
      </c>
      <c r="AF515" s="6">
        <v>0</v>
      </c>
      <c r="AG515" s="6">
        <v>0</v>
      </c>
      <c r="AH515" s="6">
        <v>0</v>
      </c>
      <c r="AI515">
        <v>0</v>
      </c>
      <c r="AJ515">
        <f t="shared" si="8"/>
        <v>0</v>
      </c>
    </row>
    <row r="516" spans="1:47" x14ac:dyDescent="0.2">
      <c r="A516" t="s">
        <v>1346</v>
      </c>
      <c r="B516" t="s">
        <v>1347</v>
      </c>
      <c r="C516">
        <v>10</v>
      </c>
      <c r="D516">
        <v>1</v>
      </c>
      <c r="E516" t="s">
        <v>201</v>
      </c>
      <c r="F516" s="1">
        <v>43385</v>
      </c>
      <c r="G516" s="37" t="s">
        <v>4033</v>
      </c>
      <c r="H516" s="37" t="s">
        <v>4724</v>
      </c>
      <c r="I516" s="2">
        <v>3.2638888888888891E-2</v>
      </c>
      <c r="J516" s="176">
        <v>5.4398148148148144E-4</v>
      </c>
      <c r="K516" s="6">
        <v>47</v>
      </c>
      <c r="L516" t="s">
        <v>398</v>
      </c>
      <c r="M516" s="7" t="s">
        <v>1215</v>
      </c>
      <c r="N516" s="7" t="s">
        <v>111</v>
      </c>
      <c r="O516" s="7" t="s">
        <v>23</v>
      </c>
      <c r="P516" s="7">
        <v>0</v>
      </c>
      <c r="Q516" s="7"/>
      <c r="R516" s="7">
        <v>1</v>
      </c>
      <c r="S516" s="7"/>
      <c r="T516" t="s">
        <v>176</v>
      </c>
      <c r="U516" t="s">
        <v>176</v>
      </c>
      <c r="V516" s="7" t="s">
        <v>24</v>
      </c>
      <c r="W516" s="7" t="s">
        <v>3964</v>
      </c>
      <c r="X516" s="44" t="s">
        <v>23</v>
      </c>
      <c r="Y516" s="44" t="s">
        <v>3997</v>
      </c>
      <c r="Z516" s="44" t="s">
        <v>4007</v>
      </c>
      <c r="AA516" s="7" t="s">
        <v>1332</v>
      </c>
      <c r="AB516" s="20">
        <v>63.722029999999997</v>
      </c>
      <c r="AC516" s="20">
        <v>148.94855000000001</v>
      </c>
      <c r="AD516" s="6">
        <v>0</v>
      </c>
      <c r="AE516" s="6">
        <v>0</v>
      </c>
      <c r="AF516" s="6">
        <v>0</v>
      </c>
      <c r="AG516" s="6">
        <v>0</v>
      </c>
      <c r="AH516" s="6">
        <v>0</v>
      </c>
      <c r="AI516">
        <v>0</v>
      </c>
      <c r="AJ516">
        <f t="shared" si="8"/>
        <v>0</v>
      </c>
    </row>
    <row r="517" spans="1:47" hidden="1" x14ac:dyDescent="0.2">
      <c r="A517" t="s">
        <v>1346</v>
      </c>
      <c r="B517" t="s">
        <v>1347</v>
      </c>
      <c r="C517">
        <v>10</v>
      </c>
      <c r="D517">
        <v>2</v>
      </c>
      <c r="E517" t="s">
        <v>201</v>
      </c>
      <c r="F517" s="1">
        <v>43385</v>
      </c>
      <c r="G517" s="37" t="s">
        <v>4033</v>
      </c>
      <c r="H517" s="37" t="s">
        <v>4724</v>
      </c>
      <c r="I517" s="2">
        <v>3.2638888888888891E-2</v>
      </c>
      <c r="J517" s="176">
        <v>5.4398148148148144E-4</v>
      </c>
      <c r="K517" s="6">
        <v>47</v>
      </c>
      <c r="L517" t="s">
        <v>398</v>
      </c>
      <c r="M517" s="7" t="s">
        <v>1215</v>
      </c>
      <c r="N517" s="7" t="s">
        <v>111</v>
      </c>
      <c r="O517" s="7" t="s">
        <v>23</v>
      </c>
      <c r="P517" s="7">
        <v>0</v>
      </c>
      <c r="Q517" s="7"/>
      <c r="R517" s="7">
        <v>1</v>
      </c>
      <c r="S517" s="7"/>
      <c r="T517" t="s">
        <v>176</v>
      </c>
      <c r="U517" t="s">
        <v>176</v>
      </c>
      <c r="V517" s="7" t="s">
        <v>24</v>
      </c>
      <c r="W517" s="7" t="s">
        <v>2090</v>
      </c>
      <c r="X517" s="44" t="s">
        <v>23</v>
      </c>
      <c r="Y517" s="44" t="s">
        <v>3999</v>
      </c>
      <c r="Z517" s="44" t="s">
        <v>4007</v>
      </c>
      <c r="AA517" s="7" t="s">
        <v>1332</v>
      </c>
      <c r="AB517" s="20">
        <v>63.722029999999997</v>
      </c>
      <c r="AC517" s="20">
        <v>148.94855000000001</v>
      </c>
      <c r="AD517" s="6">
        <v>0</v>
      </c>
      <c r="AE517" s="6">
        <v>0</v>
      </c>
      <c r="AF517" s="6">
        <v>0</v>
      </c>
      <c r="AG517" s="6">
        <v>0</v>
      </c>
      <c r="AH517" s="6">
        <v>0</v>
      </c>
      <c r="AI517">
        <v>0</v>
      </c>
      <c r="AJ517">
        <f t="shared" si="8"/>
        <v>0</v>
      </c>
      <c r="AL517" t="s">
        <v>2092</v>
      </c>
      <c r="AO517" s="33"/>
      <c r="AP517" s="33"/>
      <c r="AQ517" s="34"/>
      <c r="AR517" s="33"/>
      <c r="AS517" s="33"/>
      <c r="AT517" s="33"/>
      <c r="AU517" s="33"/>
    </row>
    <row r="518" spans="1:47" s="33" customFormat="1" hidden="1" x14ac:dyDescent="0.2">
      <c r="A518" t="s">
        <v>1346</v>
      </c>
      <c r="B518" t="s">
        <v>1347</v>
      </c>
      <c r="C518">
        <v>10</v>
      </c>
      <c r="D518">
        <v>3</v>
      </c>
      <c r="E518" t="s">
        <v>201</v>
      </c>
      <c r="F518" s="1">
        <v>43385</v>
      </c>
      <c r="G518" s="37" t="s">
        <v>4033</v>
      </c>
      <c r="H518" s="37" t="s">
        <v>4724</v>
      </c>
      <c r="I518" s="2">
        <v>3.2638888888888891E-2</v>
      </c>
      <c r="J518" s="176">
        <v>5.4398148148148144E-4</v>
      </c>
      <c r="K518" s="6">
        <v>47</v>
      </c>
      <c r="L518" t="s">
        <v>398</v>
      </c>
      <c r="M518" s="7" t="s">
        <v>1215</v>
      </c>
      <c r="N518" s="7" t="s">
        <v>111</v>
      </c>
      <c r="O518" s="7" t="s">
        <v>23</v>
      </c>
      <c r="P518" s="7">
        <v>0</v>
      </c>
      <c r="Q518" s="7"/>
      <c r="R518" s="7">
        <v>1</v>
      </c>
      <c r="S518" s="7"/>
      <c r="T518" t="s">
        <v>176</v>
      </c>
      <c r="U518" t="s">
        <v>176</v>
      </c>
      <c r="V518" s="7" t="s">
        <v>24</v>
      </c>
      <c r="W518" t="s">
        <v>2061</v>
      </c>
      <c r="X518" s="44" t="s">
        <v>23</v>
      </c>
      <c r="Y518" s="44" t="s">
        <v>3999</v>
      </c>
      <c r="Z518" s="44" t="s">
        <v>4006</v>
      </c>
      <c r="AA518" s="7" t="s">
        <v>1332</v>
      </c>
      <c r="AB518" s="20">
        <v>63.72204</v>
      </c>
      <c r="AC518" s="20">
        <v>148.94962000000001</v>
      </c>
      <c r="AD518" s="6">
        <v>0</v>
      </c>
      <c r="AE518" s="6">
        <v>0</v>
      </c>
      <c r="AF518" s="6">
        <v>0</v>
      </c>
      <c r="AG518" s="6">
        <v>0</v>
      </c>
      <c r="AH518" s="6">
        <v>0</v>
      </c>
      <c r="AI518">
        <v>0</v>
      </c>
      <c r="AJ518">
        <f t="shared" si="8"/>
        <v>0</v>
      </c>
      <c r="AK518"/>
      <c r="AL518"/>
      <c r="AM518"/>
      <c r="AN518"/>
      <c r="AO518"/>
      <c r="AP518"/>
      <c r="AQ518"/>
      <c r="AR518"/>
      <c r="AS518"/>
      <c r="AT518"/>
      <c r="AU518"/>
    </row>
    <row r="519" spans="1:47" x14ac:dyDescent="0.2">
      <c r="A519" s="33" t="s">
        <v>1348</v>
      </c>
      <c r="B519" s="33" t="s">
        <v>1349</v>
      </c>
      <c r="C519" s="33">
        <v>1</v>
      </c>
      <c r="D519" s="33">
        <v>1</v>
      </c>
      <c r="E519" s="33" t="s">
        <v>791</v>
      </c>
      <c r="F519" s="37">
        <v>43385</v>
      </c>
      <c r="G519" s="37" t="s">
        <v>4033</v>
      </c>
      <c r="H519" s="37" t="s">
        <v>4724</v>
      </c>
      <c r="I519" s="36">
        <v>2.013888888888889E-2</v>
      </c>
      <c r="J519" s="177">
        <v>3.3564814814814812E-4</v>
      </c>
      <c r="K519" s="39">
        <v>29</v>
      </c>
      <c r="L519" s="33" t="s">
        <v>398</v>
      </c>
      <c r="M519" s="33" t="s">
        <v>1095</v>
      </c>
      <c r="N519" s="33" t="s">
        <v>187</v>
      </c>
      <c r="O519" s="33" t="s">
        <v>23</v>
      </c>
      <c r="P519" s="33">
        <v>1</v>
      </c>
      <c r="Q519" s="33"/>
      <c r="R519" s="33">
        <v>1</v>
      </c>
      <c r="S519" s="33"/>
      <c r="T519" t="s">
        <v>14</v>
      </c>
      <c r="U519" s="33" t="s">
        <v>2128</v>
      </c>
      <c r="V519" s="33" t="s">
        <v>122</v>
      </c>
      <c r="W519" s="33" t="s">
        <v>3963</v>
      </c>
      <c r="X519" s="33" t="s">
        <v>23</v>
      </c>
      <c r="Y519" s="33" t="s">
        <v>3997</v>
      </c>
      <c r="Z519" s="33" t="s">
        <v>4002</v>
      </c>
      <c r="AA519" s="33">
        <v>1</v>
      </c>
      <c r="AB519" s="35">
        <v>63.723140000000001</v>
      </c>
      <c r="AC519" s="35">
        <v>148.96843999999999</v>
      </c>
      <c r="AD519" s="39">
        <v>0</v>
      </c>
      <c r="AE519" s="39">
        <v>0</v>
      </c>
      <c r="AF519" s="39">
        <v>0</v>
      </c>
      <c r="AG519" s="39">
        <v>0</v>
      </c>
      <c r="AH519" s="39">
        <v>12</v>
      </c>
      <c r="AI519" s="33">
        <v>0</v>
      </c>
      <c r="AJ519" s="33">
        <f t="shared" si="8"/>
        <v>12</v>
      </c>
      <c r="AK519" s="33"/>
      <c r="AL519" s="33"/>
      <c r="AM519" s="33"/>
      <c r="AN519" s="33"/>
    </row>
    <row r="520" spans="1:47" s="33" customFormat="1" x14ac:dyDescent="0.2">
      <c r="A520" t="s">
        <v>1348</v>
      </c>
      <c r="B520" t="s">
        <v>1349</v>
      </c>
      <c r="C520">
        <v>1</v>
      </c>
      <c r="D520">
        <v>1</v>
      </c>
      <c r="E520" t="s">
        <v>791</v>
      </c>
      <c r="F520" s="1">
        <v>43385</v>
      </c>
      <c r="G520" s="37" t="s">
        <v>4033</v>
      </c>
      <c r="H520" s="37" t="s">
        <v>4724</v>
      </c>
      <c r="I520" s="2">
        <v>2.013888888888889E-2</v>
      </c>
      <c r="J520" s="176">
        <v>3.3564814814814812E-4</v>
      </c>
      <c r="K520" s="6">
        <v>29</v>
      </c>
      <c r="L520" t="s">
        <v>398</v>
      </c>
      <c r="M520" s="7" t="s">
        <v>1095</v>
      </c>
      <c r="N520" s="7" t="s">
        <v>187</v>
      </c>
      <c r="O520" s="7" t="s">
        <v>23</v>
      </c>
      <c r="P520" s="7">
        <v>1</v>
      </c>
      <c r="Q520" s="7"/>
      <c r="R520" s="7">
        <v>1</v>
      </c>
      <c r="S520"/>
      <c r="T520" t="s">
        <v>14</v>
      </c>
      <c r="U520" t="s">
        <v>2128</v>
      </c>
      <c r="V520" s="7" t="s">
        <v>122</v>
      </c>
      <c r="W520" s="7" t="s">
        <v>3963</v>
      </c>
      <c r="X520" s="33" t="s">
        <v>23</v>
      </c>
      <c r="Y520" s="33" t="s">
        <v>3997</v>
      </c>
      <c r="Z520" s="33" t="s">
        <v>4002</v>
      </c>
      <c r="AA520" s="7">
        <v>1</v>
      </c>
      <c r="AB520" s="20">
        <v>63.723140000000001</v>
      </c>
      <c r="AC520" s="20">
        <v>148.96843999999999</v>
      </c>
      <c r="AD520" s="6">
        <v>0</v>
      </c>
      <c r="AE520" s="6">
        <v>0</v>
      </c>
      <c r="AF520" s="6">
        <v>0</v>
      </c>
      <c r="AG520" s="6">
        <v>0</v>
      </c>
      <c r="AH520" s="6">
        <v>3</v>
      </c>
      <c r="AI520">
        <v>0</v>
      </c>
      <c r="AJ520">
        <f t="shared" si="8"/>
        <v>3</v>
      </c>
      <c r="AK520"/>
      <c r="AL520"/>
      <c r="AM520"/>
      <c r="AN520"/>
      <c r="AO520"/>
      <c r="AP520"/>
      <c r="AQ520"/>
      <c r="AR520"/>
      <c r="AS520"/>
      <c r="AT520"/>
      <c r="AU520"/>
    </row>
    <row r="521" spans="1:47" x14ac:dyDescent="0.2">
      <c r="A521" s="33" t="s">
        <v>1350</v>
      </c>
      <c r="B521" s="33" t="s">
        <v>1351</v>
      </c>
      <c r="C521" s="33">
        <v>1</v>
      </c>
      <c r="D521" s="33">
        <v>1</v>
      </c>
      <c r="E521" s="33" t="s">
        <v>2487</v>
      </c>
      <c r="F521" s="37">
        <v>43388</v>
      </c>
      <c r="G521" s="37" t="s">
        <v>4033</v>
      </c>
      <c r="H521" s="37" t="s">
        <v>4724</v>
      </c>
      <c r="I521" s="36">
        <v>1.5972222222222224E-2</v>
      </c>
      <c r="J521" s="177">
        <v>2.6620370370370372E-4</v>
      </c>
      <c r="K521" s="39">
        <v>23</v>
      </c>
      <c r="L521" s="33" t="s">
        <v>398</v>
      </c>
      <c r="M521" s="33" t="s">
        <v>2498</v>
      </c>
      <c r="N521" s="33" t="s">
        <v>102</v>
      </c>
      <c r="O521" s="33" t="s">
        <v>115</v>
      </c>
      <c r="P521" s="33">
        <v>1</v>
      </c>
      <c r="Q521" s="33">
        <v>2</v>
      </c>
      <c r="R521" s="33">
        <v>0</v>
      </c>
      <c r="S521" s="33"/>
      <c r="T521" t="s">
        <v>14</v>
      </c>
      <c r="U521" s="33" t="s">
        <v>2128</v>
      </c>
      <c r="V521" s="33" t="s">
        <v>122</v>
      </c>
      <c r="W521" s="33" t="s">
        <v>24</v>
      </c>
      <c r="X521" s="33" t="s">
        <v>115</v>
      </c>
      <c r="Y521" s="33" t="s">
        <v>115</v>
      </c>
      <c r="Z521" s="33" t="s">
        <v>115</v>
      </c>
      <c r="AA521" s="33" t="s">
        <v>115</v>
      </c>
      <c r="AB521" s="35" t="s">
        <v>115</v>
      </c>
      <c r="AC521" s="35"/>
      <c r="AD521" s="39">
        <v>0</v>
      </c>
      <c r="AE521" s="39">
        <v>0</v>
      </c>
      <c r="AF521" s="39">
        <v>0</v>
      </c>
      <c r="AG521" s="39">
        <v>0</v>
      </c>
      <c r="AH521" s="39">
        <v>14</v>
      </c>
      <c r="AI521" s="33">
        <v>0</v>
      </c>
      <c r="AJ521" s="33">
        <f t="shared" si="8"/>
        <v>14</v>
      </c>
      <c r="AK521" s="33"/>
      <c r="AL521" s="33"/>
      <c r="AM521" s="33"/>
      <c r="AN521" s="33"/>
      <c r="AO521" s="33"/>
      <c r="AP521" s="33"/>
      <c r="AQ521" s="34" t="s">
        <v>3942</v>
      </c>
      <c r="AR521" s="33"/>
      <c r="AS521" s="33"/>
      <c r="AT521" s="33"/>
      <c r="AU521" s="33"/>
    </row>
    <row r="522" spans="1:47" x14ac:dyDescent="0.2">
      <c r="A522" s="33" t="s">
        <v>1352</v>
      </c>
      <c r="B522" s="33" t="s">
        <v>1353</v>
      </c>
      <c r="C522" s="33">
        <v>2</v>
      </c>
      <c r="D522" s="33">
        <v>1</v>
      </c>
      <c r="E522" s="33" t="s">
        <v>2487</v>
      </c>
      <c r="F522" s="37">
        <v>43388</v>
      </c>
      <c r="G522" s="37" t="s">
        <v>4033</v>
      </c>
      <c r="H522" s="37" t="s">
        <v>4724</v>
      </c>
      <c r="I522" s="36">
        <v>1.0416666666666666E-2</v>
      </c>
      <c r="J522" s="177">
        <v>1.7361111111111112E-4</v>
      </c>
      <c r="K522" s="39">
        <v>15</v>
      </c>
      <c r="L522" s="33" t="s">
        <v>398</v>
      </c>
      <c r="M522" s="33" t="s">
        <v>2498</v>
      </c>
      <c r="N522" s="33" t="s">
        <v>102</v>
      </c>
      <c r="O522" s="33" t="s">
        <v>115</v>
      </c>
      <c r="P522" s="33">
        <v>1</v>
      </c>
      <c r="Q522" s="33"/>
      <c r="R522" s="33">
        <v>0</v>
      </c>
      <c r="S522" s="33"/>
      <c r="T522" t="s">
        <v>461</v>
      </c>
      <c r="U522" s="33" t="s">
        <v>2125</v>
      </c>
      <c r="V522" s="33" t="s">
        <v>122</v>
      </c>
      <c r="W522" s="33" t="s">
        <v>115</v>
      </c>
      <c r="X522" s="33" t="s">
        <v>115</v>
      </c>
      <c r="Y522" s="33" t="s">
        <v>115</v>
      </c>
      <c r="Z522" s="33" t="s">
        <v>115</v>
      </c>
      <c r="AA522" s="33" t="s">
        <v>115</v>
      </c>
      <c r="AB522" s="35" t="s">
        <v>115</v>
      </c>
      <c r="AC522" s="35"/>
      <c r="AD522" s="39">
        <v>0</v>
      </c>
      <c r="AE522" s="39">
        <v>0</v>
      </c>
      <c r="AF522" s="39">
        <v>0</v>
      </c>
      <c r="AG522" s="39">
        <v>0</v>
      </c>
      <c r="AH522" s="39">
        <v>0</v>
      </c>
      <c r="AI522" s="33">
        <v>0</v>
      </c>
      <c r="AJ522" s="33">
        <f t="shared" si="8"/>
        <v>0</v>
      </c>
      <c r="AK522" s="33"/>
      <c r="AL522" s="33" t="s">
        <v>3952</v>
      </c>
      <c r="AM522" s="33"/>
      <c r="AN522" s="33"/>
      <c r="AO522" s="33"/>
      <c r="AP522" s="33"/>
      <c r="AQ522" s="34"/>
      <c r="AR522" s="33"/>
      <c r="AS522" s="33"/>
      <c r="AT522" s="33"/>
      <c r="AU522" s="33"/>
    </row>
    <row r="523" spans="1:47" hidden="1" x14ac:dyDescent="0.2">
      <c r="A523" t="s">
        <v>1352</v>
      </c>
      <c r="B523" t="s">
        <v>1353</v>
      </c>
      <c r="C523">
        <v>2</v>
      </c>
      <c r="D523">
        <v>2</v>
      </c>
      <c r="E523" t="s">
        <v>2487</v>
      </c>
      <c r="F523" s="1">
        <v>43388</v>
      </c>
      <c r="G523" s="37" t="s">
        <v>4033</v>
      </c>
      <c r="H523" s="37" t="s">
        <v>4724</v>
      </c>
      <c r="I523" s="2">
        <v>1.0416666666666666E-2</v>
      </c>
      <c r="J523" s="176">
        <v>1.7361111111111112E-4</v>
      </c>
      <c r="K523" s="6">
        <v>15</v>
      </c>
      <c r="L523" t="s">
        <v>398</v>
      </c>
      <c r="M523" s="7" t="s">
        <v>344</v>
      </c>
      <c r="N523" s="7" t="s">
        <v>102</v>
      </c>
      <c r="O523" s="7" t="s">
        <v>115</v>
      </c>
      <c r="P523">
        <v>1</v>
      </c>
      <c r="R523" s="7">
        <v>0</v>
      </c>
      <c r="T523" t="s">
        <v>461</v>
      </c>
      <c r="U523" t="s">
        <v>2125</v>
      </c>
      <c r="V523" s="7" t="s">
        <v>122</v>
      </c>
      <c r="W523" s="7" t="s">
        <v>115</v>
      </c>
      <c r="X523" s="33" t="s">
        <v>115</v>
      </c>
      <c r="Y523" s="33" t="s">
        <v>115</v>
      </c>
      <c r="Z523" s="33" t="s">
        <v>115</v>
      </c>
      <c r="AA523" s="7" t="s">
        <v>115</v>
      </c>
      <c r="AB523" s="20" t="s">
        <v>115</v>
      </c>
      <c r="AC523" s="20"/>
      <c r="AD523" s="6">
        <v>0</v>
      </c>
      <c r="AE523" s="6">
        <v>0</v>
      </c>
      <c r="AF523" s="6">
        <v>0</v>
      </c>
      <c r="AG523" s="6">
        <v>0</v>
      </c>
      <c r="AH523" s="39">
        <v>0</v>
      </c>
      <c r="AI523">
        <v>0</v>
      </c>
      <c r="AJ523">
        <f t="shared" si="8"/>
        <v>0</v>
      </c>
      <c r="AL523" t="s">
        <v>3952</v>
      </c>
      <c r="AO523" s="33"/>
      <c r="AP523" s="33"/>
      <c r="AQ523" s="34"/>
      <c r="AR523" s="33"/>
      <c r="AS523" s="33"/>
      <c r="AT523" s="33"/>
      <c r="AU523" s="33"/>
    </row>
    <row r="524" spans="1:47" s="33" customFormat="1" x14ac:dyDescent="0.2">
      <c r="A524" t="s">
        <v>1354</v>
      </c>
      <c r="B524" t="s">
        <v>1355</v>
      </c>
      <c r="C524">
        <v>3</v>
      </c>
      <c r="D524">
        <v>1</v>
      </c>
      <c r="E524" t="s">
        <v>2487</v>
      </c>
      <c r="F524" s="1">
        <v>43388</v>
      </c>
      <c r="G524" s="37" t="s">
        <v>4033</v>
      </c>
      <c r="H524" s="37" t="s">
        <v>4724</v>
      </c>
      <c r="I524" s="2">
        <v>2.7777777777777779E-3</v>
      </c>
      <c r="J524" s="176">
        <v>4.6296296296296294E-5</v>
      </c>
      <c r="K524" s="6">
        <v>4</v>
      </c>
      <c r="L524" t="s">
        <v>398</v>
      </c>
      <c r="M524" s="7" t="s">
        <v>176</v>
      </c>
      <c r="N524" s="7" t="s">
        <v>111</v>
      </c>
      <c r="O524" t="s">
        <v>23</v>
      </c>
      <c r="P524">
        <v>0</v>
      </c>
      <c r="Q524"/>
      <c r="R524" s="7">
        <v>1</v>
      </c>
      <c r="S524"/>
      <c r="T524" t="s">
        <v>461</v>
      </c>
      <c r="U524" t="s">
        <v>2125</v>
      </c>
      <c r="V524" s="7" t="s">
        <v>122</v>
      </c>
      <c r="W524" s="7" t="s">
        <v>1035</v>
      </c>
      <c r="X524" s="33" t="s">
        <v>23</v>
      </c>
      <c r="Y524" s="33" t="s">
        <v>3997</v>
      </c>
      <c r="Z524" s="33" t="s">
        <v>4006</v>
      </c>
      <c r="AA524">
        <v>6</v>
      </c>
      <c r="AB524" s="20">
        <v>63.72184</v>
      </c>
      <c r="AC524" s="20">
        <v>148.98740000000001</v>
      </c>
      <c r="AD524" s="6">
        <v>0</v>
      </c>
      <c r="AE524" s="6">
        <v>0</v>
      </c>
      <c r="AF524" s="6">
        <v>0</v>
      </c>
      <c r="AG524" s="6">
        <v>0</v>
      </c>
      <c r="AH524" s="39">
        <v>0</v>
      </c>
      <c r="AI524">
        <v>0</v>
      </c>
      <c r="AJ524">
        <f t="shared" si="8"/>
        <v>0</v>
      </c>
      <c r="AK524"/>
      <c r="AL524" t="s">
        <v>5002</v>
      </c>
      <c r="AM524"/>
      <c r="AN524"/>
      <c r="AQ524" s="34"/>
    </row>
    <row r="525" spans="1:47" s="33" customFormat="1" x14ac:dyDescent="0.2">
      <c r="A525" t="s">
        <v>1357</v>
      </c>
      <c r="B525" t="s">
        <v>1358</v>
      </c>
      <c r="C525">
        <v>4</v>
      </c>
      <c r="D525">
        <v>1</v>
      </c>
      <c r="E525" t="s">
        <v>2487</v>
      </c>
      <c r="F525" s="1">
        <v>43388</v>
      </c>
      <c r="G525" s="37" t="s">
        <v>4033</v>
      </c>
      <c r="H525" s="37" t="s">
        <v>4724</v>
      </c>
      <c r="I525" s="2">
        <v>4.1666666666666666E-3</v>
      </c>
      <c r="J525" s="176">
        <v>6.9444444444444444E-5</v>
      </c>
      <c r="K525" s="6">
        <v>6</v>
      </c>
      <c r="L525" t="s">
        <v>398</v>
      </c>
      <c r="M525" s="7" t="s">
        <v>176</v>
      </c>
      <c r="N525" s="7" t="s">
        <v>111</v>
      </c>
      <c r="O525" t="s">
        <v>23</v>
      </c>
      <c r="P525">
        <v>0</v>
      </c>
      <c r="Q525"/>
      <c r="R525" s="7">
        <v>1</v>
      </c>
      <c r="S525"/>
      <c r="T525" t="s">
        <v>461</v>
      </c>
      <c r="U525" t="s">
        <v>2125</v>
      </c>
      <c r="V525" s="7" t="s">
        <v>122</v>
      </c>
      <c r="W525" t="s">
        <v>2061</v>
      </c>
      <c r="X525" s="33" t="s">
        <v>23</v>
      </c>
      <c r="Y525" s="33" t="s">
        <v>3999</v>
      </c>
      <c r="Z525" s="33" t="s">
        <v>4006</v>
      </c>
      <c r="AA525">
        <v>22</v>
      </c>
      <c r="AB525" s="20">
        <v>63.721739999999997</v>
      </c>
      <c r="AC525" s="20">
        <v>148.98759000000001</v>
      </c>
      <c r="AD525" s="6">
        <v>0</v>
      </c>
      <c r="AE525" s="6">
        <v>0</v>
      </c>
      <c r="AF525" s="6">
        <v>0</v>
      </c>
      <c r="AG525" s="6">
        <v>0</v>
      </c>
      <c r="AH525" s="39">
        <v>0</v>
      </c>
      <c r="AI525">
        <v>0</v>
      </c>
      <c r="AJ525">
        <f t="shared" si="8"/>
        <v>0</v>
      </c>
      <c r="AK525"/>
      <c r="AL525" s="5" t="s">
        <v>5002</v>
      </c>
      <c r="AM525"/>
      <c r="AN525"/>
      <c r="AQ525" s="34"/>
    </row>
    <row r="526" spans="1:47" s="33" customFormat="1" x14ac:dyDescent="0.2">
      <c r="A526" s="33" t="s">
        <v>1359</v>
      </c>
      <c r="B526" s="33" t="s">
        <v>1360</v>
      </c>
      <c r="C526" s="33">
        <v>5</v>
      </c>
      <c r="D526" s="33">
        <v>1</v>
      </c>
      <c r="E526" s="33" t="s">
        <v>2487</v>
      </c>
      <c r="F526" s="37">
        <v>43388</v>
      </c>
      <c r="G526" s="37" t="s">
        <v>4033</v>
      </c>
      <c r="H526" s="37" t="s">
        <v>4724</v>
      </c>
      <c r="I526" s="36">
        <v>6.9444444444444441E-3</v>
      </c>
      <c r="J526" s="177">
        <v>1.1574074074074073E-4</v>
      </c>
      <c r="K526" s="39">
        <v>10</v>
      </c>
      <c r="L526" s="33" t="s">
        <v>398</v>
      </c>
      <c r="M526" s="33" t="s">
        <v>176</v>
      </c>
      <c r="N526" s="33" t="s">
        <v>102</v>
      </c>
      <c r="O526" s="33" t="s">
        <v>23</v>
      </c>
      <c r="P526" s="33">
        <v>1</v>
      </c>
      <c r="R526" s="33">
        <v>0</v>
      </c>
      <c r="T526" t="s">
        <v>461</v>
      </c>
      <c r="U526" s="33" t="s">
        <v>2125</v>
      </c>
      <c r="V526" s="33" t="s">
        <v>122</v>
      </c>
      <c r="W526" s="33" t="s">
        <v>115</v>
      </c>
      <c r="X526" s="33" t="s">
        <v>115</v>
      </c>
      <c r="Y526" s="33" t="s">
        <v>115</v>
      </c>
      <c r="Z526" s="33" t="s">
        <v>115</v>
      </c>
      <c r="AA526" s="33" t="s">
        <v>115</v>
      </c>
      <c r="AB526" s="35" t="s">
        <v>115</v>
      </c>
      <c r="AC526" s="35"/>
      <c r="AD526" s="39">
        <v>0</v>
      </c>
      <c r="AE526" s="39">
        <v>0</v>
      </c>
      <c r="AF526" s="39">
        <v>0</v>
      </c>
      <c r="AG526" s="39">
        <v>0</v>
      </c>
      <c r="AH526" s="39">
        <v>0</v>
      </c>
      <c r="AI526" s="33">
        <v>0</v>
      </c>
      <c r="AJ526" s="33">
        <f t="shared" si="8"/>
        <v>0</v>
      </c>
      <c r="AQ526" s="34"/>
    </row>
    <row r="527" spans="1:47" x14ac:dyDescent="0.2">
      <c r="A527" t="s">
        <v>1361</v>
      </c>
      <c r="B527" t="s">
        <v>1362</v>
      </c>
      <c r="C527">
        <v>6</v>
      </c>
      <c r="D527">
        <v>1</v>
      </c>
      <c r="E527" t="s">
        <v>2487</v>
      </c>
      <c r="F527" s="1">
        <v>43388</v>
      </c>
      <c r="G527" s="37" t="s">
        <v>4033</v>
      </c>
      <c r="H527" s="37" t="s">
        <v>4724</v>
      </c>
      <c r="I527" s="2">
        <v>6.2499999999999995E-3</v>
      </c>
      <c r="J527" s="176">
        <v>1.0416666666666667E-4</v>
      </c>
      <c r="K527" s="6">
        <v>9</v>
      </c>
      <c r="L527" t="s">
        <v>398</v>
      </c>
      <c r="M527" s="7" t="s">
        <v>176</v>
      </c>
      <c r="N527" s="7" t="s">
        <v>111</v>
      </c>
      <c r="O527" t="s">
        <v>23</v>
      </c>
      <c r="P527">
        <v>0</v>
      </c>
      <c r="R527" s="7">
        <v>1</v>
      </c>
      <c r="T527" t="s">
        <v>461</v>
      </c>
      <c r="U527" t="s">
        <v>2125</v>
      </c>
      <c r="V527" s="7" t="s">
        <v>122</v>
      </c>
      <c r="W527" s="7" t="s">
        <v>1035</v>
      </c>
      <c r="X527" s="44" t="s">
        <v>23</v>
      </c>
      <c r="Y527" s="44" t="s">
        <v>3997</v>
      </c>
      <c r="Z527" s="44" t="s">
        <v>4006</v>
      </c>
      <c r="AA527">
        <v>7</v>
      </c>
      <c r="AB527" s="20">
        <v>63.721829999999997</v>
      </c>
      <c r="AC527" s="20">
        <v>148.98707999999999</v>
      </c>
      <c r="AD527" s="6">
        <v>0</v>
      </c>
      <c r="AE527" s="6">
        <v>0</v>
      </c>
      <c r="AF527" s="6">
        <v>0</v>
      </c>
      <c r="AG527" s="6">
        <v>0</v>
      </c>
      <c r="AH527" s="39">
        <v>0</v>
      </c>
      <c r="AI527">
        <v>0</v>
      </c>
      <c r="AJ527">
        <f t="shared" si="8"/>
        <v>0</v>
      </c>
    </row>
    <row r="528" spans="1:47" x14ac:dyDescent="0.2">
      <c r="A528" s="33" t="s">
        <v>1363</v>
      </c>
      <c r="B528" s="33" t="s">
        <v>1364</v>
      </c>
      <c r="C528" s="33">
        <v>7</v>
      </c>
      <c r="D528" s="33">
        <v>1</v>
      </c>
      <c r="E528" s="33" t="s">
        <v>2487</v>
      </c>
      <c r="F528" s="37">
        <v>43388</v>
      </c>
      <c r="G528" s="37" t="s">
        <v>4033</v>
      </c>
      <c r="H528" s="37" t="s">
        <v>4724</v>
      </c>
      <c r="I528" s="36">
        <v>2.4999999999999998E-2</v>
      </c>
      <c r="J528" s="177">
        <v>4.1666666666666669E-4</v>
      </c>
      <c r="K528" s="39">
        <v>36</v>
      </c>
      <c r="L528" s="33" t="s">
        <v>398</v>
      </c>
      <c r="M528" s="33" t="s">
        <v>2498</v>
      </c>
      <c r="N528" s="33" t="s">
        <v>102</v>
      </c>
      <c r="O528" s="33" t="s">
        <v>115</v>
      </c>
      <c r="P528" s="33">
        <v>1</v>
      </c>
      <c r="Q528" s="33"/>
      <c r="R528" s="33">
        <v>0</v>
      </c>
      <c r="S528" s="33"/>
      <c r="T528" t="s">
        <v>461</v>
      </c>
      <c r="U528" s="33" t="s">
        <v>2125</v>
      </c>
      <c r="V528" s="33" t="s">
        <v>122</v>
      </c>
      <c r="W528" s="33" t="s">
        <v>115</v>
      </c>
      <c r="X528" s="33" t="s">
        <v>115</v>
      </c>
      <c r="Y528" s="33" t="s">
        <v>115</v>
      </c>
      <c r="Z528" s="33" t="s">
        <v>115</v>
      </c>
      <c r="AA528" s="33" t="s">
        <v>115</v>
      </c>
      <c r="AB528" s="35" t="s">
        <v>115</v>
      </c>
      <c r="AC528" s="35"/>
      <c r="AD528" s="39">
        <v>0</v>
      </c>
      <c r="AE528" s="39">
        <v>0</v>
      </c>
      <c r="AF528" s="39">
        <v>0</v>
      </c>
      <c r="AG528" s="39">
        <v>0</v>
      </c>
      <c r="AH528" s="39">
        <v>0</v>
      </c>
      <c r="AI528" s="33">
        <v>0</v>
      </c>
      <c r="AJ528" s="33">
        <f t="shared" si="8"/>
        <v>0</v>
      </c>
      <c r="AK528" s="33"/>
      <c r="AL528" s="33"/>
      <c r="AM528" s="33"/>
      <c r="AN528" s="33"/>
    </row>
    <row r="529" spans="1:47" x14ac:dyDescent="0.2">
      <c r="A529" s="33" t="s">
        <v>1365</v>
      </c>
      <c r="B529" s="33" t="s">
        <v>1366</v>
      </c>
      <c r="C529" s="33">
        <v>8</v>
      </c>
      <c r="D529" s="33">
        <v>1</v>
      </c>
      <c r="E529" s="33" t="s">
        <v>2487</v>
      </c>
      <c r="F529" s="37">
        <v>43388</v>
      </c>
      <c r="G529" s="37" t="s">
        <v>4033</v>
      </c>
      <c r="H529" s="37" t="s">
        <v>4724</v>
      </c>
      <c r="I529" s="36">
        <v>2.7083333333333334E-2</v>
      </c>
      <c r="J529" s="177">
        <v>4.5138888888888892E-4</v>
      </c>
      <c r="K529" s="39">
        <v>39</v>
      </c>
      <c r="L529" s="33" t="s">
        <v>398</v>
      </c>
      <c r="M529" s="33" t="s">
        <v>176</v>
      </c>
      <c r="N529" s="33" t="s">
        <v>102</v>
      </c>
      <c r="O529" s="33" t="s">
        <v>115</v>
      </c>
      <c r="P529" s="33">
        <v>1</v>
      </c>
      <c r="Q529" s="33"/>
      <c r="R529" s="33">
        <v>0</v>
      </c>
      <c r="S529" s="33"/>
      <c r="T529" t="s">
        <v>461</v>
      </c>
      <c r="U529" s="33" t="s">
        <v>2125</v>
      </c>
      <c r="V529" s="33" t="s">
        <v>122</v>
      </c>
      <c r="W529" s="33" t="s">
        <v>115</v>
      </c>
      <c r="X529" s="33" t="s">
        <v>115</v>
      </c>
      <c r="Y529" s="33" t="s">
        <v>115</v>
      </c>
      <c r="Z529" s="33" t="s">
        <v>115</v>
      </c>
      <c r="AA529" s="33" t="s">
        <v>115</v>
      </c>
      <c r="AB529" s="35" t="s">
        <v>115</v>
      </c>
      <c r="AC529" s="35"/>
      <c r="AD529" s="39">
        <v>0</v>
      </c>
      <c r="AE529" s="39">
        <v>0</v>
      </c>
      <c r="AF529" s="39">
        <v>0</v>
      </c>
      <c r="AG529" s="39">
        <v>0</v>
      </c>
      <c r="AH529" s="39">
        <v>0</v>
      </c>
      <c r="AI529" s="33">
        <v>0</v>
      </c>
      <c r="AJ529" s="33">
        <f t="shared" si="8"/>
        <v>0</v>
      </c>
      <c r="AK529" s="33"/>
      <c r="AL529" s="33"/>
      <c r="AM529" s="33"/>
      <c r="AN529" s="33"/>
      <c r="AO529" s="33"/>
      <c r="AP529" s="33"/>
      <c r="AQ529" s="34"/>
      <c r="AR529" s="33"/>
      <c r="AS529" s="33"/>
      <c r="AT529" s="33"/>
      <c r="AU529" s="33"/>
    </row>
    <row r="530" spans="1:47" x14ac:dyDescent="0.2">
      <c r="A530" t="s">
        <v>1367</v>
      </c>
      <c r="B530" t="s">
        <v>1368</v>
      </c>
      <c r="C530">
        <v>9</v>
      </c>
      <c r="D530">
        <v>1</v>
      </c>
      <c r="E530" t="s">
        <v>2487</v>
      </c>
      <c r="F530" s="1">
        <v>43388</v>
      </c>
      <c r="G530" s="37" t="s">
        <v>4033</v>
      </c>
      <c r="H530" s="37" t="s">
        <v>4724</v>
      </c>
      <c r="I530" s="2">
        <v>2.7777777777777779E-3</v>
      </c>
      <c r="J530" s="176">
        <v>4.6296296296296294E-5</v>
      </c>
      <c r="K530" s="6">
        <v>4</v>
      </c>
      <c r="L530" t="s">
        <v>398</v>
      </c>
      <c r="M530" s="7" t="s">
        <v>176</v>
      </c>
      <c r="N530" s="7" t="s">
        <v>111</v>
      </c>
      <c r="O530" t="s">
        <v>23</v>
      </c>
      <c r="P530">
        <v>0</v>
      </c>
      <c r="R530" s="7">
        <v>1</v>
      </c>
      <c r="T530" t="s">
        <v>461</v>
      </c>
      <c r="U530" t="s">
        <v>2125</v>
      </c>
      <c r="V530" s="7" t="s">
        <v>122</v>
      </c>
      <c r="W530" t="s">
        <v>2061</v>
      </c>
      <c r="X530" s="44" t="s">
        <v>23</v>
      </c>
      <c r="Y530" s="44" t="s">
        <v>3999</v>
      </c>
      <c r="Z530" s="44" t="s">
        <v>4006</v>
      </c>
      <c r="AA530">
        <v>16</v>
      </c>
      <c r="AB530" s="20">
        <v>63.72195</v>
      </c>
      <c r="AC530" s="20">
        <v>148.98760999999999</v>
      </c>
      <c r="AD530" s="6">
        <v>0</v>
      </c>
      <c r="AE530" s="6">
        <v>0</v>
      </c>
      <c r="AF530" s="6">
        <v>0</v>
      </c>
      <c r="AG530" s="6">
        <v>0</v>
      </c>
      <c r="AH530" s="39">
        <v>0</v>
      </c>
      <c r="AI530">
        <v>0</v>
      </c>
      <c r="AJ530">
        <f t="shared" si="8"/>
        <v>0</v>
      </c>
      <c r="AL530" s="5" t="s">
        <v>5002</v>
      </c>
    </row>
    <row r="531" spans="1:47" x14ac:dyDescent="0.2">
      <c r="A531" t="s">
        <v>1369</v>
      </c>
      <c r="B531" t="s">
        <v>1370</v>
      </c>
      <c r="C531">
        <v>10</v>
      </c>
      <c r="D531">
        <v>1</v>
      </c>
      <c r="E531" t="s">
        <v>2487</v>
      </c>
      <c r="F531" s="1">
        <v>43388</v>
      </c>
      <c r="G531" s="37" t="s">
        <v>4033</v>
      </c>
      <c r="H531" s="37" t="s">
        <v>4724</v>
      </c>
      <c r="I531" s="2">
        <v>1.7361111111111112E-2</v>
      </c>
      <c r="J531" s="176">
        <v>2.8935185185185189E-4</v>
      </c>
      <c r="K531" s="6">
        <v>25</v>
      </c>
      <c r="L531" t="s">
        <v>398</v>
      </c>
      <c r="M531" s="7" t="s">
        <v>344</v>
      </c>
      <c r="N531" s="7" t="s">
        <v>111</v>
      </c>
      <c r="O531" t="s">
        <v>23</v>
      </c>
      <c r="P531">
        <v>0</v>
      </c>
      <c r="R531" s="7">
        <v>1</v>
      </c>
      <c r="S531">
        <v>0</v>
      </c>
      <c r="T531" t="s">
        <v>461</v>
      </c>
      <c r="U531" t="s">
        <v>2125</v>
      </c>
      <c r="V531" s="7" t="s">
        <v>122</v>
      </c>
      <c r="W531" s="7" t="s">
        <v>709</v>
      </c>
      <c r="X531" s="44" t="s">
        <v>23</v>
      </c>
      <c r="Y531" s="44" t="s">
        <v>4004</v>
      </c>
      <c r="Z531" s="44" t="s">
        <v>4005</v>
      </c>
      <c r="AA531">
        <v>1</v>
      </c>
      <c r="AB531" s="20">
        <v>63.721919999999997</v>
      </c>
      <c r="AC531" s="20">
        <v>148.98732000000001</v>
      </c>
      <c r="AD531" s="6">
        <v>0</v>
      </c>
      <c r="AE531" s="6">
        <v>0</v>
      </c>
      <c r="AF531" s="6">
        <v>0</v>
      </c>
      <c r="AG531" s="6">
        <v>0</v>
      </c>
      <c r="AH531" s="39">
        <v>0</v>
      </c>
      <c r="AI531">
        <v>0</v>
      </c>
      <c r="AJ531">
        <f t="shared" si="8"/>
        <v>0</v>
      </c>
      <c r="AL531" t="s">
        <v>1371</v>
      </c>
    </row>
    <row r="532" spans="1:47" x14ac:dyDescent="0.2">
      <c r="A532" s="33" t="s">
        <v>1372</v>
      </c>
      <c r="B532" s="33" t="s">
        <v>1373</v>
      </c>
      <c r="C532" s="33">
        <v>11</v>
      </c>
      <c r="D532" s="33">
        <v>1</v>
      </c>
      <c r="E532" s="33" t="s">
        <v>2487</v>
      </c>
      <c r="F532" s="37">
        <v>43388</v>
      </c>
      <c r="G532" s="37" t="s">
        <v>4033</v>
      </c>
      <c r="H532" s="37" t="s">
        <v>4724</v>
      </c>
      <c r="I532" s="36">
        <v>4.8611111111111112E-2</v>
      </c>
      <c r="J532" s="177">
        <v>8.1018518518518516E-4</v>
      </c>
      <c r="K532" s="39">
        <v>70</v>
      </c>
      <c r="L532" s="33" t="s">
        <v>398</v>
      </c>
      <c r="M532" s="7" t="s">
        <v>2488</v>
      </c>
      <c r="N532" s="33" t="s">
        <v>102</v>
      </c>
      <c r="O532" s="33" t="s">
        <v>115</v>
      </c>
      <c r="P532" s="33">
        <v>1</v>
      </c>
      <c r="Q532" s="33"/>
      <c r="R532" s="33">
        <v>0</v>
      </c>
      <c r="S532" s="33">
        <v>0</v>
      </c>
      <c r="T532" t="s">
        <v>461</v>
      </c>
      <c r="U532" s="33" t="s">
        <v>2125</v>
      </c>
      <c r="V532" s="33" t="s">
        <v>122</v>
      </c>
      <c r="W532" s="33" t="s">
        <v>115</v>
      </c>
      <c r="X532" s="33" t="s">
        <v>115</v>
      </c>
      <c r="Y532" s="33" t="s">
        <v>115</v>
      </c>
      <c r="Z532" s="33" t="s">
        <v>115</v>
      </c>
      <c r="AA532" s="33" t="s">
        <v>115</v>
      </c>
      <c r="AB532" s="35" t="s">
        <v>115</v>
      </c>
      <c r="AC532" s="35"/>
      <c r="AD532" s="39">
        <v>0</v>
      </c>
      <c r="AE532" s="39">
        <v>0</v>
      </c>
      <c r="AF532" s="39">
        <v>0</v>
      </c>
      <c r="AG532" s="39">
        <v>0</v>
      </c>
      <c r="AH532" s="39">
        <v>0</v>
      </c>
      <c r="AI532" s="33">
        <v>0</v>
      </c>
      <c r="AJ532" s="33">
        <f t="shared" si="8"/>
        <v>0</v>
      </c>
      <c r="AK532" s="33"/>
      <c r="AL532" s="33"/>
      <c r="AM532" s="33"/>
      <c r="AN532" s="33"/>
    </row>
    <row r="533" spans="1:47" x14ac:dyDescent="0.2">
      <c r="A533" t="s">
        <v>1374</v>
      </c>
      <c r="B533" t="s">
        <v>1375</v>
      </c>
      <c r="C533">
        <v>12</v>
      </c>
      <c r="D533">
        <v>1</v>
      </c>
      <c r="E533" t="s">
        <v>2487</v>
      </c>
      <c r="F533" s="1">
        <v>43388</v>
      </c>
      <c r="G533" s="37" t="s">
        <v>4033</v>
      </c>
      <c r="H533" s="37" t="s">
        <v>4724</v>
      </c>
      <c r="I533" s="2">
        <v>6.9444444444444441E-3</v>
      </c>
      <c r="J533" s="176">
        <v>1.1574074074074073E-4</v>
      </c>
      <c r="K533" s="6">
        <v>10</v>
      </c>
      <c r="L533" t="s">
        <v>398</v>
      </c>
      <c r="M533" s="7" t="s">
        <v>2488</v>
      </c>
      <c r="N533" s="7" t="s">
        <v>111</v>
      </c>
      <c r="O533" t="s">
        <v>23</v>
      </c>
      <c r="P533">
        <v>0</v>
      </c>
      <c r="R533" s="7">
        <v>1</v>
      </c>
      <c r="T533" t="s">
        <v>461</v>
      </c>
      <c r="U533" t="s">
        <v>2125</v>
      </c>
      <c r="V533" s="7" t="s">
        <v>122</v>
      </c>
      <c r="W533" s="7" t="s">
        <v>1035</v>
      </c>
      <c r="X533" s="33" t="s">
        <v>23</v>
      </c>
      <c r="Y533" s="33" t="s">
        <v>3997</v>
      </c>
      <c r="Z533" s="33" t="s">
        <v>4006</v>
      </c>
      <c r="AA533">
        <v>31</v>
      </c>
      <c r="AB533" s="20">
        <v>63.721730000000001</v>
      </c>
      <c r="AC533" s="20">
        <v>148.98685</v>
      </c>
      <c r="AD533" s="6">
        <v>0</v>
      </c>
      <c r="AE533" s="6">
        <v>0</v>
      </c>
      <c r="AF533" s="6">
        <v>0</v>
      </c>
      <c r="AG533" s="6">
        <v>0</v>
      </c>
      <c r="AH533" s="39">
        <v>0</v>
      </c>
      <c r="AI533">
        <v>0</v>
      </c>
      <c r="AJ533">
        <f t="shared" si="8"/>
        <v>0</v>
      </c>
      <c r="AL533" t="s">
        <v>5003</v>
      </c>
    </row>
    <row r="534" spans="1:47" s="33" customFormat="1" x14ac:dyDescent="0.2">
      <c r="A534" t="s">
        <v>1382</v>
      </c>
      <c r="B534" t="s">
        <v>1378</v>
      </c>
      <c r="C534">
        <v>13</v>
      </c>
      <c r="D534">
        <v>1</v>
      </c>
      <c r="E534" t="s">
        <v>2487</v>
      </c>
      <c r="F534" s="1">
        <v>43388</v>
      </c>
      <c r="G534" s="37" t="s">
        <v>4033</v>
      </c>
      <c r="H534" s="37" t="s">
        <v>4724</v>
      </c>
      <c r="I534" s="2">
        <v>2.5694444444444447E-2</v>
      </c>
      <c r="J534" s="176">
        <v>4.2824074074074075E-4</v>
      </c>
      <c r="K534" s="6">
        <v>37</v>
      </c>
      <c r="L534" t="s">
        <v>398</v>
      </c>
      <c r="M534" s="7" t="s">
        <v>176</v>
      </c>
      <c r="N534" s="7" t="s">
        <v>111</v>
      </c>
      <c r="O534" t="s">
        <v>516</v>
      </c>
      <c r="P534">
        <v>0</v>
      </c>
      <c r="Q534"/>
      <c r="R534" s="7">
        <v>2</v>
      </c>
      <c r="S534" s="7" t="s">
        <v>1379</v>
      </c>
      <c r="T534" t="s">
        <v>461</v>
      </c>
      <c r="U534" t="s">
        <v>2125</v>
      </c>
      <c r="V534" s="7" t="s">
        <v>122</v>
      </c>
      <c r="W534" s="7" t="s">
        <v>3986</v>
      </c>
      <c r="X534" s="44" t="s">
        <v>516</v>
      </c>
      <c r="Y534" s="44" t="s">
        <v>3997</v>
      </c>
      <c r="Z534" s="44" t="s">
        <v>4001</v>
      </c>
      <c r="AA534">
        <v>25</v>
      </c>
      <c r="AB534" s="20">
        <v>63.722020000000001</v>
      </c>
      <c r="AC534" s="20">
        <v>148.98776000000001</v>
      </c>
      <c r="AD534" s="6">
        <v>0</v>
      </c>
      <c r="AE534" s="6">
        <v>0</v>
      </c>
      <c r="AF534" s="6">
        <v>0</v>
      </c>
      <c r="AG534" s="6">
        <v>0</v>
      </c>
      <c r="AH534" s="39">
        <v>0</v>
      </c>
      <c r="AI534">
        <v>0</v>
      </c>
      <c r="AJ534">
        <f t="shared" si="8"/>
        <v>0</v>
      </c>
      <c r="AK534"/>
      <c r="AL534" t="s">
        <v>1381</v>
      </c>
      <c r="AM534"/>
      <c r="AN534"/>
      <c r="AO534"/>
      <c r="AP534"/>
      <c r="AQ534"/>
      <c r="AR534"/>
      <c r="AS534"/>
      <c r="AT534"/>
      <c r="AU534"/>
    </row>
    <row r="535" spans="1:47" x14ac:dyDescent="0.2">
      <c r="A535" s="33" t="s">
        <v>1377</v>
      </c>
      <c r="B535" s="33" t="s">
        <v>1383</v>
      </c>
      <c r="C535" s="33">
        <v>14</v>
      </c>
      <c r="D535" s="33">
        <v>1</v>
      </c>
      <c r="E535" s="33" t="s">
        <v>2487</v>
      </c>
      <c r="F535" s="37">
        <v>43388</v>
      </c>
      <c r="G535" s="37" t="s">
        <v>4033</v>
      </c>
      <c r="H535" s="37" t="s">
        <v>4724</v>
      </c>
      <c r="I535" s="36">
        <v>4.0972222222222222E-2</v>
      </c>
      <c r="J535" s="177">
        <v>6.8287037037037025E-4</v>
      </c>
      <c r="K535" s="39">
        <v>59</v>
      </c>
      <c r="L535" s="33" t="s">
        <v>398</v>
      </c>
      <c r="M535" s="33" t="s">
        <v>344</v>
      </c>
      <c r="N535" s="33" t="s">
        <v>102</v>
      </c>
      <c r="O535" s="33" t="s">
        <v>115</v>
      </c>
      <c r="P535" s="33">
        <v>1</v>
      </c>
      <c r="Q535" s="33"/>
      <c r="R535" s="33">
        <v>0</v>
      </c>
      <c r="S535" s="33"/>
      <c r="T535" t="s">
        <v>461</v>
      </c>
      <c r="U535" s="33" t="s">
        <v>2125</v>
      </c>
      <c r="V535" s="33" t="s">
        <v>122</v>
      </c>
      <c r="W535" s="33" t="s">
        <v>115</v>
      </c>
      <c r="X535" s="33" t="s">
        <v>115</v>
      </c>
      <c r="Y535" s="33" t="s">
        <v>115</v>
      </c>
      <c r="Z535" s="33" t="s">
        <v>115</v>
      </c>
      <c r="AA535" s="33" t="s">
        <v>115</v>
      </c>
      <c r="AB535" s="35" t="s">
        <v>115</v>
      </c>
      <c r="AC535" s="35"/>
      <c r="AD535" s="39">
        <v>0</v>
      </c>
      <c r="AE535" s="39">
        <v>0</v>
      </c>
      <c r="AF535" s="39">
        <v>0</v>
      </c>
      <c r="AG535" s="39">
        <v>0</v>
      </c>
      <c r="AH535" s="39">
        <v>0</v>
      </c>
      <c r="AI535" s="33">
        <v>0</v>
      </c>
      <c r="AJ535" s="33">
        <f t="shared" si="8"/>
        <v>0</v>
      </c>
      <c r="AK535" s="33"/>
      <c r="AL535" s="33"/>
      <c r="AM535" s="33"/>
      <c r="AN535" s="33"/>
    </row>
    <row r="536" spans="1:47" s="33" customFormat="1" hidden="1" x14ac:dyDescent="0.2">
      <c r="A536" s="33" t="s">
        <v>1377</v>
      </c>
      <c r="B536" s="33" t="s">
        <v>1383</v>
      </c>
      <c r="C536" s="33">
        <v>14</v>
      </c>
      <c r="D536" s="33">
        <v>2</v>
      </c>
      <c r="E536" s="33" t="s">
        <v>2487</v>
      </c>
      <c r="F536" s="37">
        <v>43388</v>
      </c>
      <c r="G536" s="37" t="s">
        <v>4033</v>
      </c>
      <c r="H536" s="37" t="s">
        <v>4724</v>
      </c>
      <c r="I536" s="36">
        <v>4.0972222222222222E-2</v>
      </c>
      <c r="J536" s="177">
        <v>6.8287037037037025E-4</v>
      </c>
      <c r="K536" s="39">
        <v>59</v>
      </c>
      <c r="L536" s="33" t="s">
        <v>398</v>
      </c>
      <c r="M536" s="7" t="s">
        <v>2488</v>
      </c>
      <c r="N536" s="33" t="s">
        <v>102</v>
      </c>
      <c r="O536" s="33" t="s">
        <v>115</v>
      </c>
      <c r="P536" s="33">
        <v>1</v>
      </c>
      <c r="R536" s="33">
        <v>0</v>
      </c>
      <c r="T536" t="s">
        <v>461</v>
      </c>
      <c r="U536" s="33" t="s">
        <v>2125</v>
      </c>
      <c r="V536" s="33" t="s">
        <v>122</v>
      </c>
      <c r="W536" s="33" t="s">
        <v>115</v>
      </c>
      <c r="X536" s="33" t="s">
        <v>115</v>
      </c>
      <c r="Y536" s="33" t="s">
        <v>115</v>
      </c>
      <c r="Z536" s="33" t="s">
        <v>115</v>
      </c>
      <c r="AA536" s="33" t="s">
        <v>115</v>
      </c>
      <c r="AB536" s="35" t="s">
        <v>115</v>
      </c>
      <c r="AC536" s="35"/>
      <c r="AD536" s="39">
        <v>0</v>
      </c>
      <c r="AE536" s="39">
        <v>0</v>
      </c>
      <c r="AF536" s="39">
        <v>0</v>
      </c>
      <c r="AG536" s="39">
        <v>0</v>
      </c>
      <c r="AH536" s="39">
        <v>0</v>
      </c>
      <c r="AI536" s="33">
        <v>0</v>
      </c>
      <c r="AJ536" s="33">
        <f t="shared" si="8"/>
        <v>0</v>
      </c>
      <c r="AQ536" s="34"/>
    </row>
    <row r="537" spans="1:47" x14ac:dyDescent="0.2">
      <c r="A537" s="33" t="s">
        <v>1384</v>
      </c>
      <c r="B537" s="33" t="s">
        <v>1385</v>
      </c>
      <c r="C537" s="33">
        <v>15</v>
      </c>
      <c r="D537" s="33">
        <v>1</v>
      </c>
      <c r="E537" s="33" t="s">
        <v>2487</v>
      </c>
      <c r="F537" s="37">
        <v>43388</v>
      </c>
      <c r="G537" s="37" t="s">
        <v>4033</v>
      </c>
      <c r="H537" s="37" t="s">
        <v>4724</v>
      </c>
      <c r="I537" s="36">
        <v>2.6388888888888889E-2</v>
      </c>
      <c r="J537" s="177">
        <v>4.3981481481481481E-4</v>
      </c>
      <c r="K537" s="39">
        <v>38</v>
      </c>
      <c r="L537" s="33" t="s">
        <v>398</v>
      </c>
      <c r="M537" s="7" t="s">
        <v>2488</v>
      </c>
      <c r="N537" s="33" t="s">
        <v>102</v>
      </c>
      <c r="O537" s="33" t="s">
        <v>115</v>
      </c>
      <c r="P537" s="33">
        <v>1</v>
      </c>
      <c r="Q537" s="33"/>
      <c r="R537" s="33">
        <v>0</v>
      </c>
      <c r="S537" s="33"/>
      <c r="T537" t="s">
        <v>461</v>
      </c>
      <c r="U537" s="33" t="s">
        <v>2125</v>
      </c>
      <c r="V537" s="33" t="s">
        <v>122</v>
      </c>
      <c r="W537" s="33" t="s">
        <v>115</v>
      </c>
      <c r="X537" s="33" t="s">
        <v>115</v>
      </c>
      <c r="Y537" s="33" t="s">
        <v>115</v>
      </c>
      <c r="Z537" s="33" t="s">
        <v>115</v>
      </c>
      <c r="AA537" s="33" t="s">
        <v>115</v>
      </c>
      <c r="AB537" s="35" t="s">
        <v>115</v>
      </c>
      <c r="AC537" s="35"/>
      <c r="AD537" s="39">
        <v>0</v>
      </c>
      <c r="AE537" s="39">
        <v>0</v>
      </c>
      <c r="AF537" s="39">
        <v>0</v>
      </c>
      <c r="AG537" s="39">
        <v>0</v>
      </c>
      <c r="AH537" s="39">
        <v>0</v>
      </c>
      <c r="AI537" s="33">
        <v>0</v>
      </c>
      <c r="AJ537" s="33">
        <f t="shared" si="8"/>
        <v>0</v>
      </c>
      <c r="AK537" s="33"/>
      <c r="AL537" s="33"/>
      <c r="AM537" s="33"/>
      <c r="AN537" s="33"/>
    </row>
    <row r="538" spans="1:47" x14ac:dyDescent="0.2">
      <c r="A538" s="33" t="s">
        <v>1386</v>
      </c>
      <c r="B538" s="33" t="s">
        <v>1387</v>
      </c>
      <c r="C538" s="33">
        <v>16</v>
      </c>
      <c r="D538" s="33">
        <v>1</v>
      </c>
      <c r="E538" s="33" t="s">
        <v>2487</v>
      </c>
      <c r="F538" s="37">
        <v>43388</v>
      </c>
      <c r="G538" s="37" t="s">
        <v>4033</v>
      </c>
      <c r="H538" s="37" t="s">
        <v>4724</v>
      </c>
      <c r="I538" s="36">
        <v>3.888888888888889E-2</v>
      </c>
      <c r="J538" s="177">
        <v>6.4814814814814813E-4</v>
      </c>
      <c r="K538" s="39">
        <v>56</v>
      </c>
      <c r="L538" s="33" t="s">
        <v>398</v>
      </c>
      <c r="M538" s="33" t="s">
        <v>176</v>
      </c>
      <c r="N538" s="33" t="s">
        <v>102</v>
      </c>
      <c r="O538" s="33" t="s">
        <v>115</v>
      </c>
      <c r="P538" s="33">
        <v>1</v>
      </c>
      <c r="Q538" s="33"/>
      <c r="R538" s="33">
        <v>0</v>
      </c>
      <c r="S538" s="33"/>
      <c r="T538" t="s">
        <v>461</v>
      </c>
      <c r="U538" s="33" t="s">
        <v>2125</v>
      </c>
      <c r="V538" s="33" t="s">
        <v>122</v>
      </c>
      <c r="W538" s="33" t="s">
        <v>115</v>
      </c>
      <c r="X538" s="33" t="s">
        <v>115</v>
      </c>
      <c r="Y538" s="33" t="s">
        <v>115</v>
      </c>
      <c r="Z538" s="33" t="s">
        <v>115</v>
      </c>
      <c r="AA538" s="33" t="s">
        <v>115</v>
      </c>
      <c r="AB538" s="35" t="s">
        <v>115</v>
      </c>
      <c r="AC538" s="35"/>
      <c r="AD538" s="39">
        <v>0</v>
      </c>
      <c r="AE538" s="39">
        <v>0</v>
      </c>
      <c r="AF538" s="39">
        <v>0</v>
      </c>
      <c r="AG538" s="39">
        <v>0</v>
      </c>
      <c r="AH538" s="39">
        <v>0</v>
      </c>
      <c r="AI538" s="33">
        <v>0</v>
      </c>
      <c r="AJ538" s="33">
        <f t="shared" si="8"/>
        <v>0</v>
      </c>
      <c r="AK538" s="33"/>
      <c r="AL538" s="33"/>
      <c r="AM538" s="33"/>
      <c r="AN538" s="33"/>
    </row>
    <row r="539" spans="1:47" s="33" customFormat="1" x14ac:dyDescent="0.2">
      <c r="A539" s="33" t="s">
        <v>1388</v>
      </c>
      <c r="B539" s="33" t="s">
        <v>1389</v>
      </c>
      <c r="C539" s="33">
        <v>17</v>
      </c>
      <c r="D539" s="33">
        <v>1</v>
      </c>
      <c r="E539" s="33" t="s">
        <v>2487</v>
      </c>
      <c r="F539" s="37">
        <v>43388</v>
      </c>
      <c r="G539" s="37" t="s">
        <v>4033</v>
      </c>
      <c r="H539" s="37" t="s">
        <v>4724</v>
      </c>
      <c r="I539" s="36">
        <v>0.1125</v>
      </c>
      <c r="J539" s="177">
        <v>1.8750000000000001E-3</v>
      </c>
      <c r="K539" s="39">
        <v>162</v>
      </c>
      <c r="L539" s="33" t="s">
        <v>398</v>
      </c>
      <c r="M539" s="7" t="s">
        <v>2488</v>
      </c>
      <c r="N539" s="33" t="s">
        <v>102</v>
      </c>
      <c r="O539" s="33" t="s">
        <v>115</v>
      </c>
      <c r="P539" s="33">
        <v>2</v>
      </c>
      <c r="R539" s="33">
        <v>0</v>
      </c>
      <c r="T539" t="s">
        <v>461</v>
      </c>
      <c r="U539" s="33" t="s">
        <v>2125</v>
      </c>
      <c r="V539" s="33" t="s">
        <v>122</v>
      </c>
      <c r="W539" s="33" t="s">
        <v>115</v>
      </c>
      <c r="X539" s="33" t="s">
        <v>115</v>
      </c>
      <c r="Y539" s="33" t="s">
        <v>115</v>
      </c>
      <c r="Z539" s="33" t="s">
        <v>115</v>
      </c>
      <c r="AA539" s="33" t="s">
        <v>115</v>
      </c>
      <c r="AB539" s="35" t="s">
        <v>115</v>
      </c>
      <c r="AC539" s="35"/>
      <c r="AD539" s="39">
        <v>0</v>
      </c>
      <c r="AE539" s="39">
        <v>0</v>
      </c>
      <c r="AF539" s="39">
        <v>0</v>
      </c>
      <c r="AG539" s="39">
        <v>0</v>
      </c>
      <c r="AH539" s="39">
        <v>0</v>
      </c>
      <c r="AI539" s="33">
        <v>0</v>
      </c>
      <c r="AJ539" s="33">
        <f t="shared" si="8"/>
        <v>0</v>
      </c>
      <c r="AO539"/>
      <c r="AP539"/>
      <c r="AQ539"/>
      <c r="AR539"/>
      <c r="AS539"/>
      <c r="AT539"/>
      <c r="AU539"/>
    </row>
    <row r="540" spans="1:47" hidden="1" x14ac:dyDescent="0.2">
      <c r="A540" s="33" t="s">
        <v>1388</v>
      </c>
      <c r="B540" s="33" t="s">
        <v>1389</v>
      </c>
      <c r="C540" s="33">
        <v>17</v>
      </c>
      <c r="D540" s="33">
        <v>2</v>
      </c>
      <c r="E540" s="33" t="s">
        <v>2487</v>
      </c>
      <c r="F540" s="37">
        <v>43388</v>
      </c>
      <c r="G540" s="37" t="s">
        <v>4033</v>
      </c>
      <c r="H540" s="37" t="s">
        <v>4724</v>
      </c>
      <c r="I540" s="36">
        <v>0.1125</v>
      </c>
      <c r="J540" s="177">
        <v>1.8750000000000001E-3</v>
      </c>
      <c r="K540" s="39">
        <v>162</v>
      </c>
      <c r="L540" s="33" t="s">
        <v>398</v>
      </c>
      <c r="M540" s="33" t="s">
        <v>344</v>
      </c>
      <c r="N540" s="33" t="s">
        <v>102</v>
      </c>
      <c r="O540" s="33" t="s">
        <v>115</v>
      </c>
      <c r="P540" s="33">
        <v>2</v>
      </c>
      <c r="Q540" s="33"/>
      <c r="R540" s="33">
        <v>0</v>
      </c>
      <c r="S540" s="33"/>
      <c r="T540" t="s">
        <v>461</v>
      </c>
      <c r="U540" s="33" t="s">
        <v>2125</v>
      </c>
      <c r="V540" s="33" t="s">
        <v>122</v>
      </c>
      <c r="W540" s="33" t="s">
        <v>115</v>
      </c>
      <c r="X540" s="33" t="s">
        <v>115</v>
      </c>
      <c r="Y540" s="33" t="s">
        <v>115</v>
      </c>
      <c r="Z540" s="33" t="s">
        <v>115</v>
      </c>
      <c r="AA540" s="33" t="s">
        <v>115</v>
      </c>
      <c r="AB540" s="35" t="s">
        <v>115</v>
      </c>
      <c r="AC540" s="35"/>
      <c r="AD540" s="39">
        <v>0</v>
      </c>
      <c r="AE540" s="39">
        <v>0</v>
      </c>
      <c r="AF540" s="39">
        <v>0</v>
      </c>
      <c r="AG540" s="39">
        <v>0</v>
      </c>
      <c r="AH540" s="39">
        <v>0</v>
      </c>
      <c r="AI540" s="33">
        <v>0</v>
      </c>
      <c r="AJ540" s="33">
        <f t="shared" si="8"/>
        <v>0</v>
      </c>
      <c r="AK540" s="33"/>
      <c r="AL540" s="33"/>
      <c r="AM540" s="33"/>
      <c r="AN540" s="33"/>
      <c r="AO540" s="33"/>
      <c r="AP540" s="33"/>
      <c r="AQ540" s="34"/>
      <c r="AR540" s="33"/>
      <c r="AS540" s="33"/>
      <c r="AT540" s="33"/>
      <c r="AU540" s="33"/>
    </row>
    <row r="541" spans="1:47" s="33" customFormat="1" hidden="1" x14ac:dyDescent="0.2">
      <c r="A541" s="33" t="s">
        <v>1388</v>
      </c>
      <c r="B541" s="33" t="s">
        <v>1389</v>
      </c>
      <c r="C541" s="33">
        <v>17</v>
      </c>
      <c r="D541" s="33">
        <v>3</v>
      </c>
      <c r="E541" s="33" t="s">
        <v>2487</v>
      </c>
      <c r="F541" s="37">
        <v>43388</v>
      </c>
      <c r="G541" s="37" t="s">
        <v>4033</v>
      </c>
      <c r="H541" s="37" t="s">
        <v>4724</v>
      </c>
      <c r="I541" s="36">
        <v>0.1125</v>
      </c>
      <c r="J541" s="177">
        <v>1.8750000000000001E-3</v>
      </c>
      <c r="K541" s="39">
        <v>162</v>
      </c>
      <c r="L541" s="33" t="s">
        <v>398</v>
      </c>
      <c r="M541" s="33" t="s">
        <v>2498</v>
      </c>
      <c r="N541" s="33" t="s">
        <v>102</v>
      </c>
      <c r="O541" s="33" t="s">
        <v>115</v>
      </c>
      <c r="P541" s="33">
        <v>1</v>
      </c>
      <c r="R541" s="33">
        <v>0</v>
      </c>
      <c r="T541" t="s">
        <v>461</v>
      </c>
      <c r="U541" s="33" t="s">
        <v>2125</v>
      </c>
      <c r="V541" s="33" t="s">
        <v>122</v>
      </c>
      <c r="W541" s="33" t="s">
        <v>115</v>
      </c>
      <c r="X541" s="33" t="s">
        <v>115</v>
      </c>
      <c r="Y541" s="33" t="s">
        <v>115</v>
      </c>
      <c r="Z541" s="33" t="s">
        <v>115</v>
      </c>
      <c r="AA541" s="33" t="s">
        <v>115</v>
      </c>
      <c r="AB541" s="35" t="s">
        <v>115</v>
      </c>
      <c r="AC541" s="35"/>
      <c r="AD541" s="39">
        <v>0</v>
      </c>
      <c r="AE541" s="39">
        <v>0</v>
      </c>
      <c r="AF541" s="39">
        <v>0</v>
      </c>
      <c r="AG541" s="39">
        <v>0</v>
      </c>
      <c r="AH541" s="39">
        <v>0</v>
      </c>
      <c r="AI541" s="33">
        <v>0</v>
      </c>
      <c r="AJ541" s="33">
        <f t="shared" si="8"/>
        <v>0</v>
      </c>
      <c r="AO541"/>
      <c r="AP541"/>
      <c r="AQ541"/>
      <c r="AR541"/>
      <c r="AS541"/>
      <c r="AT541"/>
      <c r="AU541"/>
    </row>
    <row r="542" spans="1:47" s="33" customFormat="1" x14ac:dyDescent="0.2">
      <c r="A542" t="s">
        <v>1390</v>
      </c>
      <c r="B542" t="s">
        <v>1391</v>
      </c>
      <c r="C542">
        <v>18</v>
      </c>
      <c r="D542">
        <v>1</v>
      </c>
      <c r="E542" t="s">
        <v>2487</v>
      </c>
      <c r="F542" s="1">
        <v>43388</v>
      </c>
      <c r="G542" s="37" t="s">
        <v>4033</v>
      </c>
      <c r="H542" s="37" t="s">
        <v>4724</v>
      </c>
      <c r="I542" s="2">
        <v>9.0277777777777787E-3</v>
      </c>
      <c r="J542" s="176">
        <v>1.5046296296296297E-4</v>
      </c>
      <c r="K542" s="6">
        <v>13</v>
      </c>
      <c r="L542" t="s">
        <v>398</v>
      </c>
      <c r="M542" s="7" t="s">
        <v>2488</v>
      </c>
      <c r="N542" s="7" t="s">
        <v>111</v>
      </c>
      <c r="O542" t="s">
        <v>115</v>
      </c>
      <c r="P542">
        <v>0</v>
      </c>
      <c r="Q542"/>
      <c r="R542" s="7">
        <v>1</v>
      </c>
      <c r="S542"/>
      <c r="T542" t="s">
        <v>461</v>
      </c>
      <c r="U542" t="s">
        <v>2125</v>
      </c>
      <c r="V542" s="7" t="s">
        <v>122</v>
      </c>
      <c r="W542" t="s">
        <v>2061</v>
      </c>
      <c r="X542" s="33" t="s">
        <v>23</v>
      </c>
      <c r="Y542" s="33" t="s">
        <v>3999</v>
      </c>
      <c r="Z542" s="33" t="s">
        <v>4006</v>
      </c>
      <c r="AA542">
        <v>45</v>
      </c>
      <c r="AB542" s="20">
        <v>63.721649999999997</v>
      </c>
      <c r="AC542" s="20">
        <v>148.98674</v>
      </c>
      <c r="AD542" s="6">
        <v>0</v>
      </c>
      <c r="AE542" s="6">
        <v>0</v>
      </c>
      <c r="AF542" s="6">
        <v>0</v>
      </c>
      <c r="AG542" s="6">
        <v>0</v>
      </c>
      <c r="AH542" s="39">
        <v>0</v>
      </c>
      <c r="AI542">
        <v>0</v>
      </c>
      <c r="AJ542">
        <f t="shared" si="8"/>
        <v>0</v>
      </c>
      <c r="AK542"/>
      <c r="AL542" s="5" t="s">
        <v>5002</v>
      </c>
      <c r="AM542"/>
      <c r="AN542"/>
      <c r="AO542"/>
      <c r="AP542"/>
      <c r="AQ542"/>
      <c r="AR542"/>
      <c r="AS542"/>
      <c r="AT542"/>
      <c r="AU542"/>
    </row>
    <row r="543" spans="1:47" x14ac:dyDescent="0.2">
      <c r="A543" s="33" t="s">
        <v>1392</v>
      </c>
      <c r="B543" s="33" t="s">
        <v>1393</v>
      </c>
      <c r="C543" s="33">
        <v>19</v>
      </c>
      <c r="D543" s="33">
        <v>1</v>
      </c>
      <c r="E543" s="33" t="s">
        <v>2487</v>
      </c>
      <c r="F543" s="37">
        <v>43388</v>
      </c>
      <c r="G543" s="37" t="s">
        <v>4033</v>
      </c>
      <c r="H543" s="37" t="s">
        <v>4724</v>
      </c>
      <c r="I543" s="36">
        <v>3.6805555555555557E-2</v>
      </c>
      <c r="J543" s="177">
        <v>6.134259259259259E-4</v>
      </c>
      <c r="K543" s="39">
        <v>53</v>
      </c>
      <c r="L543" s="33" t="s">
        <v>398</v>
      </c>
      <c r="M543" s="7" t="s">
        <v>2488</v>
      </c>
      <c r="N543" s="33" t="s">
        <v>102</v>
      </c>
      <c r="O543" s="33" t="s">
        <v>115</v>
      </c>
      <c r="P543" s="33">
        <v>1</v>
      </c>
      <c r="Q543" s="33"/>
      <c r="R543" s="33">
        <v>0</v>
      </c>
      <c r="S543" s="33"/>
      <c r="T543" t="s">
        <v>461</v>
      </c>
      <c r="U543" s="33" t="s">
        <v>2125</v>
      </c>
      <c r="V543" s="33" t="s">
        <v>122</v>
      </c>
      <c r="W543" s="33" t="s">
        <v>115</v>
      </c>
      <c r="X543" s="33" t="s">
        <v>115</v>
      </c>
      <c r="Y543" s="33" t="s">
        <v>115</v>
      </c>
      <c r="Z543" s="33" t="s">
        <v>115</v>
      </c>
      <c r="AA543" s="33" t="s">
        <v>115</v>
      </c>
      <c r="AB543" s="35" t="s">
        <v>115</v>
      </c>
      <c r="AC543" s="35"/>
      <c r="AD543" s="39">
        <v>0</v>
      </c>
      <c r="AE543" s="39">
        <v>0</v>
      </c>
      <c r="AF543" s="39">
        <v>0</v>
      </c>
      <c r="AG543" s="39">
        <v>0</v>
      </c>
      <c r="AH543" s="39">
        <v>0</v>
      </c>
      <c r="AI543" s="33">
        <v>0</v>
      </c>
      <c r="AJ543" s="33">
        <f t="shared" si="8"/>
        <v>0</v>
      </c>
      <c r="AK543" s="33"/>
      <c r="AL543" s="33"/>
      <c r="AM543" s="33"/>
      <c r="AN543" s="33"/>
      <c r="AO543" s="33"/>
      <c r="AP543" s="33"/>
      <c r="AQ543" s="34"/>
      <c r="AR543" s="33"/>
      <c r="AS543" s="33"/>
      <c r="AT543" s="33"/>
      <c r="AU543" s="33"/>
    </row>
    <row r="544" spans="1:47" x14ac:dyDescent="0.2">
      <c r="A544" t="s">
        <v>1394</v>
      </c>
      <c r="B544" t="s">
        <v>1395</v>
      </c>
      <c r="C544">
        <v>20</v>
      </c>
      <c r="D544">
        <v>1</v>
      </c>
      <c r="E544" t="s">
        <v>2487</v>
      </c>
      <c r="F544" s="1">
        <v>43388</v>
      </c>
      <c r="G544" s="37" t="s">
        <v>4033</v>
      </c>
      <c r="H544" s="37" t="s">
        <v>4724</v>
      </c>
      <c r="I544" s="2">
        <v>1.0416666666666666E-2</v>
      </c>
      <c r="J544" s="176">
        <v>1.7361111111111112E-4</v>
      </c>
      <c r="K544" s="6">
        <v>15</v>
      </c>
      <c r="L544" t="s">
        <v>398</v>
      </c>
      <c r="M544" s="7" t="s">
        <v>2488</v>
      </c>
      <c r="N544" s="7" t="s">
        <v>111</v>
      </c>
      <c r="O544" t="s">
        <v>23</v>
      </c>
      <c r="P544">
        <v>0</v>
      </c>
      <c r="R544" s="7">
        <v>1</v>
      </c>
      <c r="T544" t="s">
        <v>461</v>
      </c>
      <c r="U544" t="s">
        <v>2125</v>
      </c>
      <c r="V544" s="7" t="s">
        <v>122</v>
      </c>
      <c r="W544" s="7" t="s">
        <v>695</v>
      </c>
      <c r="X544" s="33" t="s">
        <v>23</v>
      </c>
      <c r="Y544" s="33" t="s">
        <v>3999</v>
      </c>
      <c r="Z544" s="33" t="s">
        <v>4001</v>
      </c>
      <c r="AA544">
        <v>6</v>
      </c>
      <c r="AB544" s="20">
        <v>63.721870000000003</v>
      </c>
      <c r="AC544" s="20">
        <v>148.98738</v>
      </c>
      <c r="AD544" s="6">
        <v>0</v>
      </c>
      <c r="AE544" s="6">
        <v>0</v>
      </c>
      <c r="AF544" s="6">
        <v>0</v>
      </c>
      <c r="AG544" s="6">
        <v>0</v>
      </c>
      <c r="AH544" s="39">
        <v>0</v>
      </c>
      <c r="AI544">
        <v>0</v>
      </c>
      <c r="AJ544">
        <f t="shared" si="8"/>
        <v>0</v>
      </c>
      <c r="AL544" s="5" t="s">
        <v>5004</v>
      </c>
    </row>
    <row r="545" spans="1:47" s="33" customFormat="1" hidden="1" x14ac:dyDescent="0.2">
      <c r="A545" t="s">
        <v>1394</v>
      </c>
      <c r="B545" t="s">
        <v>1395</v>
      </c>
      <c r="C545">
        <v>20</v>
      </c>
      <c r="D545">
        <v>2</v>
      </c>
      <c r="E545" t="s">
        <v>2487</v>
      </c>
      <c r="F545" s="1">
        <v>43388</v>
      </c>
      <c r="G545" s="37" t="s">
        <v>4033</v>
      </c>
      <c r="H545" s="37" t="s">
        <v>4724</v>
      </c>
      <c r="I545" s="2">
        <v>1.0416666666666666E-2</v>
      </c>
      <c r="J545" s="176">
        <v>1.7361111111111112E-4</v>
      </c>
      <c r="K545" s="6">
        <v>15</v>
      </c>
      <c r="L545" t="s">
        <v>398</v>
      </c>
      <c r="M545" s="7" t="s">
        <v>176</v>
      </c>
      <c r="N545" s="7" t="s">
        <v>111</v>
      </c>
      <c r="O545" t="s">
        <v>23</v>
      </c>
      <c r="P545">
        <v>0</v>
      </c>
      <c r="Q545"/>
      <c r="R545" s="7">
        <v>1</v>
      </c>
      <c r="S545"/>
      <c r="T545" t="s">
        <v>461</v>
      </c>
      <c r="U545" t="s">
        <v>2125</v>
      </c>
      <c r="V545" s="7" t="s">
        <v>122</v>
      </c>
      <c r="W545" t="s">
        <v>2061</v>
      </c>
      <c r="X545" s="44" t="s">
        <v>23</v>
      </c>
      <c r="Y545" s="44" t="s">
        <v>3999</v>
      </c>
      <c r="Z545" s="44" t="s">
        <v>4006</v>
      </c>
      <c r="AA545">
        <v>8</v>
      </c>
      <c r="AB545" s="20">
        <v>63.72184</v>
      </c>
      <c r="AC545" s="20">
        <v>148.98740000000001</v>
      </c>
      <c r="AD545" s="6">
        <v>0</v>
      </c>
      <c r="AE545" s="6">
        <v>0</v>
      </c>
      <c r="AF545" s="6">
        <v>0</v>
      </c>
      <c r="AG545" s="6">
        <v>0</v>
      </c>
      <c r="AH545" s="39">
        <v>0</v>
      </c>
      <c r="AI545">
        <v>0</v>
      </c>
      <c r="AJ545">
        <f t="shared" si="8"/>
        <v>0</v>
      </c>
      <c r="AK545"/>
      <c r="AL545" s="5" t="s">
        <v>5004</v>
      </c>
      <c r="AM545"/>
      <c r="AN545"/>
      <c r="AO545"/>
      <c r="AP545"/>
      <c r="AQ545"/>
      <c r="AR545"/>
      <c r="AS545"/>
      <c r="AT545"/>
      <c r="AU545"/>
    </row>
    <row r="546" spans="1:47" x14ac:dyDescent="0.2">
      <c r="A546" s="33" t="s">
        <v>1397</v>
      </c>
      <c r="B546" s="33" t="s">
        <v>1398</v>
      </c>
      <c r="C546" s="33">
        <v>21</v>
      </c>
      <c r="D546" s="33">
        <v>1</v>
      </c>
      <c r="E546" s="33" t="s">
        <v>2487</v>
      </c>
      <c r="F546" s="37">
        <v>43388</v>
      </c>
      <c r="G546" s="37" t="s">
        <v>4033</v>
      </c>
      <c r="H546" s="37" t="s">
        <v>4724</v>
      </c>
      <c r="I546" s="36">
        <v>4.027777777777778E-2</v>
      </c>
      <c r="J546" s="177">
        <v>6.7129629629629625E-4</v>
      </c>
      <c r="K546" s="39">
        <v>58</v>
      </c>
      <c r="L546" s="33" t="s">
        <v>398</v>
      </c>
      <c r="M546" s="33" t="s">
        <v>176</v>
      </c>
      <c r="N546" s="33" t="s">
        <v>102</v>
      </c>
      <c r="O546" s="33" t="s">
        <v>115</v>
      </c>
      <c r="P546" s="33">
        <v>1</v>
      </c>
      <c r="Q546" s="33"/>
      <c r="R546" s="33">
        <v>0</v>
      </c>
      <c r="S546" s="33"/>
      <c r="T546" t="s">
        <v>461</v>
      </c>
      <c r="U546" s="33" t="s">
        <v>2125</v>
      </c>
      <c r="V546" s="33" t="s">
        <v>122</v>
      </c>
      <c r="W546" s="33" t="s">
        <v>115</v>
      </c>
      <c r="X546" s="33" t="s">
        <v>115</v>
      </c>
      <c r="Y546" s="33" t="s">
        <v>115</v>
      </c>
      <c r="Z546" s="33" t="s">
        <v>115</v>
      </c>
      <c r="AA546" s="33" t="s">
        <v>115</v>
      </c>
      <c r="AB546" s="35" t="s">
        <v>115</v>
      </c>
      <c r="AC546" s="35"/>
      <c r="AD546" s="39">
        <v>0</v>
      </c>
      <c r="AE546" s="39">
        <v>0</v>
      </c>
      <c r="AF546" s="39">
        <v>0</v>
      </c>
      <c r="AG546" s="39">
        <v>0</v>
      </c>
      <c r="AH546" s="39">
        <v>0</v>
      </c>
      <c r="AI546" s="33">
        <v>0</v>
      </c>
      <c r="AJ546" s="33">
        <f t="shared" si="8"/>
        <v>0</v>
      </c>
      <c r="AK546" s="33"/>
      <c r="AL546" s="33"/>
      <c r="AM546" s="33"/>
      <c r="AN546" s="33"/>
    </row>
    <row r="547" spans="1:47" x14ac:dyDescent="0.2">
      <c r="A547" s="33" t="s">
        <v>1399</v>
      </c>
      <c r="B547" s="33" t="s">
        <v>1400</v>
      </c>
      <c r="C547" s="33">
        <v>22</v>
      </c>
      <c r="D547" s="33">
        <v>1</v>
      </c>
      <c r="E547" s="33" t="s">
        <v>2487</v>
      </c>
      <c r="F547" s="37">
        <v>43388</v>
      </c>
      <c r="G547" s="37" t="s">
        <v>4033</v>
      </c>
      <c r="H547" s="37" t="s">
        <v>4724</v>
      </c>
      <c r="I547" s="36">
        <v>1.5277777777777777E-2</v>
      </c>
      <c r="J547" s="177">
        <v>2.5462962962962961E-4</v>
      </c>
      <c r="K547" s="39">
        <v>22</v>
      </c>
      <c r="L547" s="33" t="s">
        <v>398</v>
      </c>
      <c r="M547" s="33" t="s">
        <v>2498</v>
      </c>
      <c r="N547" s="33" t="s">
        <v>102</v>
      </c>
      <c r="O547" s="33" t="s">
        <v>115</v>
      </c>
      <c r="P547" s="33">
        <v>1</v>
      </c>
      <c r="Q547" s="33"/>
      <c r="R547" s="33">
        <v>0</v>
      </c>
      <c r="S547" s="33"/>
      <c r="T547" t="s">
        <v>461</v>
      </c>
      <c r="U547" s="33" t="s">
        <v>2125</v>
      </c>
      <c r="V547" s="33" t="s">
        <v>122</v>
      </c>
      <c r="W547" s="33" t="s">
        <v>115</v>
      </c>
      <c r="X547" s="33" t="s">
        <v>115</v>
      </c>
      <c r="Y547" s="33" t="s">
        <v>115</v>
      </c>
      <c r="Z547" s="33" t="s">
        <v>115</v>
      </c>
      <c r="AA547" s="33" t="s">
        <v>115</v>
      </c>
      <c r="AB547" s="35" t="s">
        <v>115</v>
      </c>
      <c r="AC547" s="35"/>
      <c r="AD547" s="39">
        <v>0</v>
      </c>
      <c r="AE547" s="39">
        <v>0</v>
      </c>
      <c r="AF547" s="39">
        <v>0</v>
      </c>
      <c r="AG547" s="39">
        <v>0</v>
      </c>
      <c r="AH547" s="39">
        <v>0</v>
      </c>
      <c r="AI547" s="33">
        <v>0</v>
      </c>
      <c r="AJ547" s="33">
        <f t="shared" si="8"/>
        <v>0</v>
      </c>
      <c r="AK547" s="33"/>
      <c r="AL547" s="33"/>
      <c r="AM547" s="33"/>
      <c r="AN547" s="33"/>
      <c r="AO547" s="33"/>
      <c r="AP547" s="33"/>
      <c r="AQ547" s="34"/>
      <c r="AR547" s="33"/>
      <c r="AS547" s="33"/>
      <c r="AT547" s="33"/>
      <c r="AU547" s="33"/>
    </row>
    <row r="548" spans="1:47" s="33" customFormat="1" x14ac:dyDescent="0.2">
      <c r="A548" t="s">
        <v>1402</v>
      </c>
      <c r="B548" t="s">
        <v>1401</v>
      </c>
      <c r="C548">
        <v>23</v>
      </c>
      <c r="D548">
        <v>1</v>
      </c>
      <c r="E548" t="s">
        <v>2487</v>
      </c>
      <c r="F548" s="1">
        <v>43388</v>
      </c>
      <c r="G548" s="37" t="s">
        <v>4033</v>
      </c>
      <c r="H548" s="37" t="s">
        <v>4724</v>
      </c>
      <c r="I548" s="2">
        <v>1.6666666666666666E-2</v>
      </c>
      <c r="J548" s="176">
        <v>2.7777777777777778E-4</v>
      </c>
      <c r="K548" s="6">
        <v>24</v>
      </c>
      <c r="L548" t="s">
        <v>398</v>
      </c>
      <c r="M548" s="7" t="s">
        <v>176</v>
      </c>
      <c r="N548" s="7" t="s">
        <v>111</v>
      </c>
      <c r="O548" t="s">
        <v>23</v>
      </c>
      <c r="P548">
        <v>0</v>
      </c>
      <c r="Q548"/>
      <c r="R548" s="7">
        <v>1</v>
      </c>
      <c r="S548"/>
      <c r="T548" t="s">
        <v>461</v>
      </c>
      <c r="U548" t="s">
        <v>2125</v>
      </c>
      <c r="V548" s="7" t="s">
        <v>122</v>
      </c>
      <c r="W548" s="7" t="s">
        <v>1035</v>
      </c>
      <c r="X548" s="44" t="s">
        <v>23</v>
      </c>
      <c r="Y548" s="44" t="s">
        <v>3997</v>
      </c>
      <c r="Z548" s="44" t="s">
        <v>4006</v>
      </c>
      <c r="AA548">
        <v>10</v>
      </c>
      <c r="AB548" s="20">
        <v>63.721899999999998</v>
      </c>
      <c r="AC548" s="20">
        <v>148.98749000000001</v>
      </c>
      <c r="AD548" s="6">
        <v>0</v>
      </c>
      <c r="AE548" s="6">
        <v>0</v>
      </c>
      <c r="AF548" s="6">
        <v>0</v>
      </c>
      <c r="AG548" s="6">
        <v>0</v>
      </c>
      <c r="AH548" s="39">
        <v>0</v>
      </c>
      <c r="AI548">
        <v>0</v>
      </c>
      <c r="AJ548">
        <f t="shared" si="8"/>
        <v>0</v>
      </c>
      <c r="AK548"/>
      <c r="AL548"/>
      <c r="AM548"/>
      <c r="AN548"/>
      <c r="AQ548" s="34"/>
    </row>
    <row r="549" spans="1:47" s="33" customFormat="1" x14ac:dyDescent="0.2">
      <c r="A549" t="s">
        <v>1403</v>
      </c>
      <c r="B549" t="s">
        <v>1404</v>
      </c>
      <c r="C549">
        <v>24</v>
      </c>
      <c r="D549">
        <v>1</v>
      </c>
      <c r="E549" t="s">
        <v>2487</v>
      </c>
      <c r="F549" s="1">
        <v>43388</v>
      </c>
      <c r="G549" s="37" t="s">
        <v>4033</v>
      </c>
      <c r="H549" s="37" t="s">
        <v>4724</v>
      </c>
      <c r="I549" s="2">
        <v>1.8749999999999999E-2</v>
      </c>
      <c r="J549" s="176">
        <v>3.1250000000000001E-4</v>
      </c>
      <c r="K549" s="6">
        <v>27</v>
      </c>
      <c r="L549" t="s">
        <v>398</v>
      </c>
      <c r="M549" s="7" t="s">
        <v>2498</v>
      </c>
      <c r="N549" s="7" t="s">
        <v>111</v>
      </c>
      <c r="O549" t="s">
        <v>23</v>
      </c>
      <c r="P549">
        <v>0</v>
      </c>
      <c r="Q549"/>
      <c r="R549" s="7">
        <v>1</v>
      </c>
      <c r="S549"/>
      <c r="T549" t="s">
        <v>461</v>
      </c>
      <c r="U549" t="s">
        <v>2125</v>
      </c>
      <c r="V549" s="7" t="s">
        <v>122</v>
      </c>
      <c r="W549" s="7" t="s">
        <v>1035</v>
      </c>
      <c r="X549" s="33" t="s">
        <v>23</v>
      </c>
      <c r="Y549" s="33" t="s">
        <v>3997</v>
      </c>
      <c r="Z549" s="33" t="s">
        <v>4006</v>
      </c>
      <c r="AA549">
        <v>23</v>
      </c>
      <c r="AB549" s="20">
        <v>63.722029999999997</v>
      </c>
      <c r="AC549" s="20">
        <v>148.98781</v>
      </c>
      <c r="AD549" s="6">
        <v>0</v>
      </c>
      <c r="AE549" s="6">
        <v>0</v>
      </c>
      <c r="AF549" s="6">
        <v>0</v>
      </c>
      <c r="AG549" s="6">
        <v>0</v>
      </c>
      <c r="AH549" s="39">
        <v>0</v>
      </c>
      <c r="AI549">
        <v>0</v>
      </c>
      <c r="AJ549">
        <f t="shared" si="8"/>
        <v>0</v>
      </c>
      <c r="AK549"/>
      <c r="AL549"/>
      <c r="AM549"/>
      <c r="AN549"/>
      <c r="AQ549" s="34"/>
    </row>
    <row r="550" spans="1:47" s="33" customFormat="1" x14ac:dyDescent="0.2">
      <c r="A550" s="33" t="s">
        <v>1405</v>
      </c>
      <c r="B550" s="33" t="s">
        <v>1406</v>
      </c>
      <c r="C550" s="33">
        <v>25</v>
      </c>
      <c r="D550" s="33">
        <v>1</v>
      </c>
      <c r="E550" s="33" t="s">
        <v>2487</v>
      </c>
      <c r="F550" s="37">
        <v>43388</v>
      </c>
      <c r="G550" s="37" t="s">
        <v>4033</v>
      </c>
      <c r="H550" s="37" t="s">
        <v>4724</v>
      </c>
      <c r="I550" s="36">
        <v>1.3194444444444444E-2</v>
      </c>
      <c r="J550" s="177">
        <v>2.199074074074074E-4</v>
      </c>
      <c r="K550" s="39">
        <v>19</v>
      </c>
      <c r="L550" s="33" t="s">
        <v>398</v>
      </c>
      <c r="M550" s="7" t="s">
        <v>2488</v>
      </c>
      <c r="N550" s="33" t="s">
        <v>102</v>
      </c>
      <c r="O550" s="33" t="s">
        <v>115</v>
      </c>
      <c r="P550" s="33">
        <v>1</v>
      </c>
      <c r="R550" s="33">
        <v>0</v>
      </c>
      <c r="T550" t="s">
        <v>461</v>
      </c>
      <c r="U550" s="33" t="s">
        <v>2125</v>
      </c>
      <c r="V550" s="33" t="s">
        <v>122</v>
      </c>
      <c r="W550" s="33" t="s">
        <v>115</v>
      </c>
      <c r="X550" s="33" t="s">
        <v>115</v>
      </c>
      <c r="Y550" s="33" t="s">
        <v>115</v>
      </c>
      <c r="Z550" s="33" t="s">
        <v>115</v>
      </c>
      <c r="AA550" s="33" t="s">
        <v>115</v>
      </c>
      <c r="AB550" s="35" t="s">
        <v>115</v>
      </c>
      <c r="AC550" s="35"/>
      <c r="AD550" s="39">
        <v>0</v>
      </c>
      <c r="AE550" s="39">
        <v>0</v>
      </c>
      <c r="AF550" s="39">
        <v>0</v>
      </c>
      <c r="AG550" s="39">
        <v>0</v>
      </c>
      <c r="AH550" s="39">
        <v>0</v>
      </c>
      <c r="AI550" s="33">
        <v>0</v>
      </c>
      <c r="AJ550" s="33">
        <f t="shared" si="8"/>
        <v>0</v>
      </c>
      <c r="AO550"/>
      <c r="AP550"/>
      <c r="AQ550"/>
      <c r="AR550"/>
      <c r="AS550"/>
      <c r="AT550"/>
      <c r="AU550"/>
    </row>
    <row r="551" spans="1:47" s="33" customFormat="1" hidden="1" x14ac:dyDescent="0.2">
      <c r="A551" t="s">
        <v>1405</v>
      </c>
      <c r="B551" t="s">
        <v>1406</v>
      </c>
      <c r="C551">
        <v>25</v>
      </c>
      <c r="D551">
        <v>2</v>
      </c>
      <c r="E551" t="s">
        <v>2487</v>
      </c>
      <c r="F551" s="1">
        <v>43388</v>
      </c>
      <c r="G551" s="37" t="s">
        <v>4033</v>
      </c>
      <c r="H551" s="37" t="s">
        <v>4724</v>
      </c>
      <c r="I551" s="2">
        <v>1.3194444444444444E-2</v>
      </c>
      <c r="J551" s="176">
        <v>2.199074074074074E-4</v>
      </c>
      <c r="K551" s="6">
        <v>19</v>
      </c>
      <c r="L551" t="s">
        <v>398</v>
      </c>
      <c r="M551" s="7" t="s">
        <v>344</v>
      </c>
      <c r="N551" s="7" t="s">
        <v>102</v>
      </c>
      <c r="O551" t="s">
        <v>115</v>
      </c>
      <c r="P551">
        <v>1</v>
      </c>
      <c r="Q551"/>
      <c r="R551" s="7">
        <v>0</v>
      </c>
      <c r="S551"/>
      <c r="T551" t="s">
        <v>461</v>
      </c>
      <c r="U551" t="s">
        <v>2125</v>
      </c>
      <c r="V551" s="7" t="s">
        <v>122</v>
      </c>
      <c r="W551" s="7" t="s">
        <v>115</v>
      </c>
      <c r="X551" s="33" t="s">
        <v>115</v>
      </c>
      <c r="Y551" s="33" t="s">
        <v>115</v>
      </c>
      <c r="Z551" s="33" t="s">
        <v>115</v>
      </c>
      <c r="AA551" s="7" t="s">
        <v>115</v>
      </c>
      <c r="AB551" s="20" t="s">
        <v>115</v>
      </c>
      <c r="AC551" s="20"/>
      <c r="AD551" s="6">
        <v>0</v>
      </c>
      <c r="AE551" s="6">
        <v>0</v>
      </c>
      <c r="AF551" s="6">
        <v>0</v>
      </c>
      <c r="AG551" s="6">
        <v>0</v>
      </c>
      <c r="AH551" s="39">
        <v>0</v>
      </c>
      <c r="AI551">
        <v>0</v>
      </c>
      <c r="AJ551">
        <f t="shared" si="8"/>
        <v>0</v>
      </c>
      <c r="AK551"/>
      <c r="AL551"/>
      <c r="AM551"/>
      <c r="AN551"/>
      <c r="AQ551" s="34"/>
    </row>
    <row r="552" spans="1:47" s="33" customFormat="1" x14ac:dyDescent="0.2">
      <c r="A552" t="s">
        <v>1407</v>
      </c>
      <c r="B552" t="s">
        <v>1408</v>
      </c>
      <c r="C552">
        <v>26</v>
      </c>
      <c r="D552">
        <v>1</v>
      </c>
      <c r="E552" t="s">
        <v>2487</v>
      </c>
      <c r="F552" s="1">
        <v>43388</v>
      </c>
      <c r="G552" s="37" t="s">
        <v>4033</v>
      </c>
      <c r="H552" s="37" t="s">
        <v>4724</v>
      </c>
      <c r="I552" s="2">
        <v>8.7500000000000008E-2</v>
      </c>
      <c r="J552" s="176">
        <v>1.4583333333333334E-3</v>
      </c>
      <c r="K552" s="6">
        <v>126</v>
      </c>
      <c r="L552" t="s">
        <v>398</v>
      </c>
      <c r="M552" s="7" t="s">
        <v>176</v>
      </c>
      <c r="N552" s="7" t="s">
        <v>111</v>
      </c>
      <c r="O552" t="s">
        <v>23</v>
      </c>
      <c r="P552">
        <v>0</v>
      </c>
      <c r="Q552"/>
      <c r="R552" s="7">
        <v>1</v>
      </c>
      <c r="S552"/>
      <c r="T552" t="s">
        <v>461</v>
      </c>
      <c r="U552" t="s">
        <v>2125</v>
      </c>
      <c r="V552" s="7" t="s">
        <v>122</v>
      </c>
      <c r="W552" s="7" t="s">
        <v>1035</v>
      </c>
      <c r="X552" s="44" t="s">
        <v>23</v>
      </c>
      <c r="Y552" s="44" t="s">
        <v>3997</v>
      </c>
      <c r="Z552" s="44" t="s">
        <v>4006</v>
      </c>
      <c r="AA552">
        <v>60</v>
      </c>
      <c r="AB552" s="20">
        <v>63.72137</v>
      </c>
      <c r="AC552" s="20">
        <v>148.98742999999999</v>
      </c>
      <c r="AD552" s="6">
        <v>0</v>
      </c>
      <c r="AE552" s="6">
        <v>0</v>
      </c>
      <c r="AF552" s="6">
        <v>0</v>
      </c>
      <c r="AG552" s="6">
        <v>0</v>
      </c>
      <c r="AH552" s="39">
        <v>0</v>
      </c>
      <c r="AI552">
        <v>0</v>
      </c>
      <c r="AJ552">
        <f t="shared" si="8"/>
        <v>0</v>
      </c>
      <c r="AK552"/>
      <c r="AL552" s="5" t="s">
        <v>5002</v>
      </c>
      <c r="AM552"/>
      <c r="AN552"/>
      <c r="AO552"/>
      <c r="AP552"/>
      <c r="AQ552"/>
      <c r="AR552"/>
      <c r="AS552"/>
      <c r="AT552"/>
      <c r="AU552"/>
    </row>
    <row r="553" spans="1:47" s="33" customFormat="1" x14ac:dyDescent="0.2">
      <c r="A553" s="33" t="s">
        <v>1409</v>
      </c>
      <c r="B553" s="33" t="s">
        <v>1410</v>
      </c>
      <c r="C553" s="33">
        <v>27</v>
      </c>
      <c r="D553" s="33">
        <v>1</v>
      </c>
      <c r="E553" s="33" t="s">
        <v>2487</v>
      </c>
      <c r="F553" s="37">
        <v>43388</v>
      </c>
      <c r="G553" s="37" t="s">
        <v>4033</v>
      </c>
      <c r="H553" s="37" t="s">
        <v>4724</v>
      </c>
      <c r="I553" s="36">
        <v>0.14652777777777778</v>
      </c>
      <c r="J553" s="177">
        <v>2.4421296296296296E-3</v>
      </c>
      <c r="K553" s="39">
        <v>211</v>
      </c>
      <c r="L553" s="33" t="s">
        <v>398</v>
      </c>
      <c r="M553" s="7" t="s">
        <v>2488</v>
      </c>
      <c r="N553" s="33" t="s">
        <v>102</v>
      </c>
      <c r="O553" s="33" t="s">
        <v>115</v>
      </c>
      <c r="P553" s="33">
        <v>1</v>
      </c>
      <c r="R553" s="33">
        <v>0</v>
      </c>
      <c r="T553" t="s">
        <v>461</v>
      </c>
      <c r="U553" s="33" t="s">
        <v>2125</v>
      </c>
      <c r="V553" s="33" t="s">
        <v>122</v>
      </c>
      <c r="W553" s="33" t="s">
        <v>115</v>
      </c>
      <c r="X553" s="33" t="s">
        <v>115</v>
      </c>
      <c r="Y553" s="33" t="s">
        <v>115</v>
      </c>
      <c r="Z553" s="33" t="s">
        <v>115</v>
      </c>
      <c r="AA553" s="33" t="s">
        <v>115</v>
      </c>
      <c r="AB553" s="35" t="s">
        <v>115</v>
      </c>
      <c r="AC553" s="35"/>
      <c r="AD553" s="39">
        <v>0</v>
      </c>
      <c r="AE553" s="39">
        <v>0</v>
      </c>
      <c r="AF553" s="39">
        <v>0</v>
      </c>
      <c r="AG553" s="39">
        <v>0</v>
      </c>
      <c r="AH553" s="39">
        <v>0</v>
      </c>
      <c r="AI553" s="33">
        <v>0</v>
      </c>
      <c r="AJ553" s="33">
        <f t="shared" si="8"/>
        <v>0</v>
      </c>
      <c r="AO553" s="4"/>
      <c r="AP553" s="4"/>
      <c r="AQ553" s="4"/>
      <c r="AR553" s="4"/>
      <c r="AS553" s="4"/>
      <c r="AT553" s="4"/>
      <c r="AU553" s="4"/>
    </row>
    <row r="554" spans="1:47" s="33" customFormat="1" x14ac:dyDescent="0.2">
      <c r="A554" t="s">
        <v>1411</v>
      </c>
      <c r="B554" t="s">
        <v>1412</v>
      </c>
      <c r="C554">
        <v>28</v>
      </c>
      <c r="D554">
        <v>1</v>
      </c>
      <c r="E554" t="s">
        <v>2487</v>
      </c>
      <c r="F554" s="1">
        <v>43388</v>
      </c>
      <c r="G554" s="37" t="s">
        <v>4033</v>
      </c>
      <c r="H554" s="37" t="s">
        <v>4724</v>
      </c>
      <c r="I554" s="2">
        <v>1.1805555555555555E-2</v>
      </c>
      <c r="J554" s="176">
        <v>1.9675925925925926E-4</v>
      </c>
      <c r="K554" s="6">
        <v>17</v>
      </c>
      <c r="L554" t="s">
        <v>398</v>
      </c>
      <c r="M554" s="7" t="s">
        <v>176</v>
      </c>
      <c r="N554" s="7" t="s">
        <v>111</v>
      </c>
      <c r="O554" t="s">
        <v>23</v>
      </c>
      <c r="P554">
        <v>0</v>
      </c>
      <c r="Q554"/>
      <c r="R554" s="7">
        <v>1</v>
      </c>
      <c r="S554"/>
      <c r="T554" t="s">
        <v>461</v>
      </c>
      <c r="U554" t="s">
        <v>2125</v>
      </c>
      <c r="V554" s="7" t="s">
        <v>122</v>
      </c>
      <c r="W554" s="7" t="s">
        <v>1035</v>
      </c>
      <c r="X554" s="44" t="s">
        <v>23</v>
      </c>
      <c r="Y554" s="44" t="s">
        <v>3997</v>
      </c>
      <c r="Z554" s="44" t="s">
        <v>4006</v>
      </c>
      <c r="AA554">
        <v>37</v>
      </c>
      <c r="AB554" s="20">
        <v>63.721769999999999</v>
      </c>
      <c r="AC554" s="20">
        <v>148.98671999999999</v>
      </c>
      <c r="AD554" s="6">
        <v>0</v>
      </c>
      <c r="AE554" s="6">
        <v>0</v>
      </c>
      <c r="AF554" s="6">
        <v>0</v>
      </c>
      <c r="AG554" s="6">
        <v>0</v>
      </c>
      <c r="AH554" s="39">
        <v>0</v>
      </c>
      <c r="AI554">
        <v>0</v>
      </c>
      <c r="AJ554">
        <f t="shared" si="8"/>
        <v>0</v>
      </c>
      <c r="AK554"/>
      <c r="AL554" s="5" t="s">
        <v>5002</v>
      </c>
      <c r="AM554"/>
      <c r="AN554"/>
      <c r="AO554"/>
      <c r="AP554"/>
      <c r="AQ554"/>
      <c r="AR554"/>
      <c r="AS554"/>
      <c r="AT554"/>
      <c r="AU554"/>
    </row>
    <row r="555" spans="1:47" s="33" customFormat="1" x14ac:dyDescent="0.2">
      <c r="A555" s="33" t="s">
        <v>1413</v>
      </c>
      <c r="B555" s="33" t="s">
        <v>1414</v>
      </c>
      <c r="C555" s="33">
        <v>29</v>
      </c>
      <c r="D555" s="33">
        <v>1</v>
      </c>
      <c r="E555" s="33" t="s">
        <v>2487</v>
      </c>
      <c r="F555" s="37">
        <v>43388</v>
      </c>
      <c r="G555" s="37" t="s">
        <v>4033</v>
      </c>
      <c r="H555" s="37" t="s">
        <v>4724</v>
      </c>
      <c r="I555" s="36">
        <v>7.6388888888888886E-3</v>
      </c>
      <c r="J555" s="177">
        <v>1.273148148148148E-4</v>
      </c>
      <c r="K555" s="39">
        <v>11</v>
      </c>
      <c r="L555" s="33" t="s">
        <v>398</v>
      </c>
      <c r="M555" s="7" t="s">
        <v>2488</v>
      </c>
      <c r="N555" s="33" t="s">
        <v>102</v>
      </c>
      <c r="O555" s="33" t="s">
        <v>115</v>
      </c>
      <c r="P555" s="33">
        <v>1</v>
      </c>
      <c r="R555" s="33">
        <v>0</v>
      </c>
      <c r="T555" t="s">
        <v>461</v>
      </c>
      <c r="U555" s="33" t="s">
        <v>2125</v>
      </c>
      <c r="V555" s="33" t="s">
        <v>122</v>
      </c>
      <c r="W555" s="33" t="s">
        <v>115</v>
      </c>
      <c r="X555" s="33" t="s">
        <v>115</v>
      </c>
      <c r="Y555" s="33" t="s">
        <v>115</v>
      </c>
      <c r="Z555" s="33" t="s">
        <v>115</v>
      </c>
      <c r="AA555" s="33" t="s">
        <v>115</v>
      </c>
      <c r="AB555" s="35" t="s">
        <v>115</v>
      </c>
      <c r="AC555" s="35"/>
      <c r="AD555" s="39">
        <v>0</v>
      </c>
      <c r="AE555" s="39">
        <v>0</v>
      </c>
      <c r="AF555" s="39">
        <v>0</v>
      </c>
      <c r="AG555" s="39">
        <v>0</v>
      </c>
      <c r="AH555" s="39">
        <v>0</v>
      </c>
      <c r="AI555" s="33">
        <v>0</v>
      </c>
      <c r="AJ555" s="33">
        <f t="shared" si="8"/>
        <v>0</v>
      </c>
      <c r="AQ555" s="34"/>
    </row>
    <row r="556" spans="1:47" x14ac:dyDescent="0.2">
      <c r="A556" s="33" t="s">
        <v>1415</v>
      </c>
      <c r="B556" s="33" t="s">
        <v>1416</v>
      </c>
      <c r="C556" s="33">
        <v>30</v>
      </c>
      <c r="D556" s="33">
        <v>1</v>
      </c>
      <c r="E556" s="33" t="s">
        <v>2487</v>
      </c>
      <c r="F556" s="37">
        <v>43388</v>
      </c>
      <c r="G556" s="37" t="s">
        <v>4033</v>
      </c>
      <c r="H556" s="37" t="s">
        <v>4724</v>
      </c>
      <c r="I556" s="36">
        <v>2.9861111111111113E-2</v>
      </c>
      <c r="J556" s="177">
        <v>4.9768518518518521E-4</v>
      </c>
      <c r="K556" s="39">
        <v>43</v>
      </c>
      <c r="L556" s="33" t="s">
        <v>398</v>
      </c>
      <c r="M556" s="33" t="s">
        <v>2498</v>
      </c>
      <c r="N556" s="33" t="s">
        <v>102</v>
      </c>
      <c r="O556" s="33" t="s">
        <v>115</v>
      </c>
      <c r="P556" s="33">
        <v>1</v>
      </c>
      <c r="Q556" s="33"/>
      <c r="R556" s="33">
        <v>0</v>
      </c>
      <c r="S556" s="33"/>
      <c r="T556" t="s">
        <v>461</v>
      </c>
      <c r="U556" s="33" t="s">
        <v>2125</v>
      </c>
      <c r="V556" s="33" t="s">
        <v>122</v>
      </c>
      <c r="W556" s="33" t="s">
        <v>115</v>
      </c>
      <c r="X556" s="33" t="s">
        <v>115</v>
      </c>
      <c r="Y556" s="33" t="s">
        <v>115</v>
      </c>
      <c r="Z556" s="33" t="s">
        <v>115</v>
      </c>
      <c r="AA556" s="33" t="s">
        <v>115</v>
      </c>
      <c r="AB556" s="35" t="s">
        <v>115</v>
      </c>
      <c r="AC556" s="35"/>
      <c r="AD556" s="39">
        <v>0</v>
      </c>
      <c r="AE556" s="39">
        <v>0</v>
      </c>
      <c r="AF556" s="39">
        <v>0</v>
      </c>
      <c r="AG556" s="39">
        <v>0</v>
      </c>
      <c r="AH556" s="39">
        <v>0</v>
      </c>
      <c r="AI556" s="33">
        <v>0</v>
      </c>
      <c r="AJ556" s="33">
        <f t="shared" si="8"/>
        <v>0</v>
      </c>
      <c r="AK556" s="33"/>
      <c r="AL556" s="33"/>
      <c r="AM556" s="33"/>
      <c r="AN556" s="33"/>
    </row>
    <row r="557" spans="1:47" s="33" customFormat="1" hidden="1" x14ac:dyDescent="0.2">
      <c r="A557" s="33" t="s">
        <v>1415</v>
      </c>
      <c r="B557" s="33" t="s">
        <v>1416</v>
      </c>
      <c r="C557" s="33">
        <v>30</v>
      </c>
      <c r="D557" s="33">
        <v>2</v>
      </c>
      <c r="E557" s="33" t="s">
        <v>2487</v>
      </c>
      <c r="F557" s="37">
        <v>43388</v>
      </c>
      <c r="G557" s="37" t="s">
        <v>4033</v>
      </c>
      <c r="H557" s="37" t="s">
        <v>4724</v>
      </c>
      <c r="I557" s="36">
        <v>2.9861111111111113E-2</v>
      </c>
      <c r="J557" s="177">
        <v>4.9768518518518521E-4</v>
      </c>
      <c r="K557" s="39">
        <v>43</v>
      </c>
      <c r="L557" s="33" t="s">
        <v>398</v>
      </c>
      <c r="M557" s="7" t="s">
        <v>2488</v>
      </c>
      <c r="N557" s="33" t="s">
        <v>102</v>
      </c>
      <c r="O557" s="33" t="s">
        <v>115</v>
      </c>
      <c r="P557" s="33">
        <v>1</v>
      </c>
      <c r="R557" s="33">
        <v>0</v>
      </c>
      <c r="T557" t="s">
        <v>461</v>
      </c>
      <c r="U557" s="33" t="s">
        <v>2125</v>
      </c>
      <c r="V557" s="33" t="s">
        <v>122</v>
      </c>
      <c r="W557" s="33" t="s">
        <v>115</v>
      </c>
      <c r="X557" s="33" t="s">
        <v>115</v>
      </c>
      <c r="Y557" s="33" t="s">
        <v>115</v>
      </c>
      <c r="Z557" s="33" t="s">
        <v>115</v>
      </c>
      <c r="AA557" s="33" t="s">
        <v>115</v>
      </c>
      <c r="AB557" s="35" t="s">
        <v>115</v>
      </c>
      <c r="AC557" s="35"/>
      <c r="AD557" s="39">
        <v>0</v>
      </c>
      <c r="AE557" s="39">
        <v>0</v>
      </c>
      <c r="AF557" s="39">
        <v>0</v>
      </c>
      <c r="AG557" s="39">
        <v>0</v>
      </c>
      <c r="AH557" s="39">
        <v>0</v>
      </c>
      <c r="AI557" s="33">
        <v>0</v>
      </c>
      <c r="AJ557" s="33">
        <f t="shared" si="8"/>
        <v>0</v>
      </c>
      <c r="AO557"/>
      <c r="AP557"/>
      <c r="AQ557"/>
      <c r="AR557"/>
      <c r="AS557"/>
      <c r="AT557"/>
      <c r="AU557"/>
    </row>
    <row r="558" spans="1:47" x14ac:dyDescent="0.2">
      <c r="A558" s="33" t="s">
        <v>1417</v>
      </c>
      <c r="B558" s="33" t="s">
        <v>1418</v>
      </c>
      <c r="C558" s="33">
        <v>31</v>
      </c>
      <c r="D558" s="33">
        <v>1</v>
      </c>
      <c r="E558" s="33" t="s">
        <v>2487</v>
      </c>
      <c r="F558" s="37">
        <v>43388</v>
      </c>
      <c r="G558" s="37" t="s">
        <v>4033</v>
      </c>
      <c r="H558" s="37" t="s">
        <v>4724</v>
      </c>
      <c r="I558" s="36">
        <v>2.6388888888888889E-2</v>
      </c>
      <c r="J558" s="177">
        <v>4.3981481481481481E-4</v>
      </c>
      <c r="K558" s="39">
        <v>38</v>
      </c>
      <c r="L558" s="33" t="s">
        <v>398</v>
      </c>
      <c r="M558" s="7" t="s">
        <v>2488</v>
      </c>
      <c r="N558" s="33" t="s">
        <v>102</v>
      </c>
      <c r="O558" s="33" t="s">
        <v>23</v>
      </c>
      <c r="P558" s="33">
        <v>1</v>
      </c>
      <c r="Q558" s="33"/>
      <c r="R558" s="33">
        <v>1</v>
      </c>
      <c r="S558" s="33"/>
      <c r="T558" t="s">
        <v>461</v>
      </c>
      <c r="U558" s="33" t="s">
        <v>2125</v>
      </c>
      <c r="V558" s="33" t="s">
        <v>122</v>
      </c>
      <c r="W558" s="7" t="s">
        <v>1035</v>
      </c>
      <c r="X558" s="44" t="s">
        <v>23</v>
      </c>
      <c r="Y558" s="44" t="s">
        <v>3997</v>
      </c>
      <c r="Z558" s="44" t="s">
        <v>4006</v>
      </c>
      <c r="AA558" s="33">
        <v>20</v>
      </c>
      <c r="AB558" s="35">
        <v>63.721870000000003</v>
      </c>
      <c r="AC558" s="35">
        <v>148.98699999999999</v>
      </c>
      <c r="AD558" s="39">
        <v>0</v>
      </c>
      <c r="AE558" s="39">
        <v>0</v>
      </c>
      <c r="AF558" s="39">
        <v>0</v>
      </c>
      <c r="AG558" s="39">
        <v>0</v>
      </c>
      <c r="AH558" s="39">
        <v>0</v>
      </c>
      <c r="AI558" s="33">
        <v>0</v>
      </c>
      <c r="AJ558" s="33">
        <f t="shared" si="8"/>
        <v>0</v>
      </c>
      <c r="AK558" s="33"/>
      <c r="AL558" s="33"/>
      <c r="AM558" s="33"/>
      <c r="AN558" s="33"/>
      <c r="AO558" s="33"/>
      <c r="AP558" s="33"/>
      <c r="AQ558" s="34"/>
      <c r="AR558" s="33"/>
      <c r="AS558" s="33"/>
      <c r="AT558" s="33"/>
      <c r="AU558" s="33"/>
    </row>
    <row r="559" spans="1:47" x14ac:dyDescent="0.2">
      <c r="A559" s="33" t="s">
        <v>1419</v>
      </c>
      <c r="B559" s="33" t="s">
        <v>1420</v>
      </c>
      <c r="C559" s="33">
        <v>32</v>
      </c>
      <c r="D559" s="33">
        <v>1</v>
      </c>
      <c r="E559" s="33" t="s">
        <v>2487</v>
      </c>
      <c r="F559" s="37">
        <v>43388</v>
      </c>
      <c r="G559" s="37" t="s">
        <v>4033</v>
      </c>
      <c r="H559" s="37" t="s">
        <v>4724</v>
      </c>
      <c r="I559" s="36">
        <v>1.7361111111111112E-2</v>
      </c>
      <c r="J559" s="177">
        <v>2.8935185185185189E-4</v>
      </c>
      <c r="K559" s="39">
        <v>25</v>
      </c>
      <c r="L559" s="33" t="s">
        <v>398</v>
      </c>
      <c r="M559" s="7" t="s">
        <v>2488</v>
      </c>
      <c r="N559" s="33" t="s">
        <v>102</v>
      </c>
      <c r="O559" s="33" t="s">
        <v>115</v>
      </c>
      <c r="P559" s="33">
        <v>1</v>
      </c>
      <c r="Q559" s="33"/>
      <c r="R559" s="33">
        <v>0</v>
      </c>
      <c r="S559" s="33"/>
      <c r="T559" t="s">
        <v>461</v>
      </c>
      <c r="U559" s="33" t="s">
        <v>2125</v>
      </c>
      <c r="V559" s="33" t="s">
        <v>122</v>
      </c>
      <c r="W559" s="33" t="s">
        <v>115</v>
      </c>
      <c r="X559" s="33" t="s">
        <v>115</v>
      </c>
      <c r="Y559" s="33" t="s">
        <v>115</v>
      </c>
      <c r="Z559" s="33" t="s">
        <v>115</v>
      </c>
      <c r="AA559" s="33" t="s">
        <v>115</v>
      </c>
      <c r="AB559" s="35" t="s">
        <v>115</v>
      </c>
      <c r="AC559" s="35"/>
      <c r="AD559" s="39">
        <v>0</v>
      </c>
      <c r="AE559" s="39">
        <v>0</v>
      </c>
      <c r="AF559" s="39">
        <v>0</v>
      </c>
      <c r="AG559" s="39">
        <v>0</v>
      </c>
      <c r="AH559" s="39">
        <v>0</v>
      </c>
      <c r="AI559" s="33">
        <v>0</v>
      </c>
      <c r="AJ559" s="33">
        <f t="shared" si="8"/>
        <v>0</v>
      </c>
      <c r="AK559" s="33"/>
      <c r="AL559" s="33"/>
      <c r="AM559" s="33"/>
      <c r="AN559" s="33"/>
    </row>
    <row r="560" spans="1:47" s="33" customFormat="1" x14ac:dyDescent="0.2">
      <c r="A560" t="s">
        <v>1421</v>
      </c>
      <c r="B560" t="s">
        <v>1422</v>
      </c>
      <c r="C560">
        <v>33</v>
      </c>
      <c r="D560">
        <v>1</v>
      </c>
      <c r="E560" t="s">
        <v>2487</v>
      </c>
      <c r="F560" s="1">
        <v>43388</v>
      </c>
      <c r="G560" s="37" t="s">
        <v>4033</v>
      </c>
      <c r="H560" s="37" t="s">
        <v>4724</v>
      </c>
      <c r="I560" s="2">
        <v>1.5972222222222224E-2</v>
      </c>
      <c r="J560" s="176">
        <v>2.6620370370370372E-4</v>
      </c>
      <c r="K560" s="6">
        <v>23</v>
      </c>
      <c r="L560" t="s">
        <v>398</v>
      </c>
      <c r="M560" s="7" t="s">
        <v>2488</v>
      </c>
      <c r="N560" s="7" t="s">
        <v>111</v>
      </c>
      <c r="O560" t="s">
        <v>23</v>
      </c>
      <c r="P560">
        <v>0</v>
      </c>
      <c r="Q560"/>
      <c r="R560" s="7">
        <v>1</v>
      </c>
      <c r="S560"/>
      <c r="T560" t="s">
        <v>461</v>
      </c>
      <c r="U560" t="s">
        <v>2125</v>
      </c>
      <c r="V560" s="7" t="s">
        <v>122</v>
      </c>
      <c r="W560" s="7" t="s">
        <v>1057</v>
      </c>
      <c r="X560" s="33" t="s">
        <v>23</v>
      </c>
      <c r="Y560" s="33" t="s">
        <v>3999</v>
      </c>
      <c r="Z560" s="33" t="s">
        <v>4005</v>
      </c>
      <c r="AA560">
        <v>28</v>
      </c>
      <c r="AB560" s="20">
        <v>63.721710000000002</v>
      </c>
      <c r="AC560" s="20">
        <v>148.98701</v>
      </c>
      <c r="AD560" s="6">
        <v>0</v>
      </c>
      <c r="AE560" s="6">
        <v>0</v>
      </c>
      <c r="AF560" s="6">
        <v>0</v>
      </c>
      <c r="AG560" s="6">
        <v>0</v>
      </c>
      <c r="AH560" s="39">
        <v>0</v>
      </c>
      <c r="AI560">
        <v>0</v>
      </c>
      <c r="AJ560">
        <f t="shared" si="8"/>
        <v>0</v>
      </c>
      <c r="AK560"/>
      <c r="AL560"/>
      <c r="AM560"/>
      <c r="AN560"/>
      <c r="AO560"/>
      <c r="AP560"/>
      <c r="AQ560"/>
      <c r="AR560"/>
      <c r="AS560"/>
      <c r="AT560"/>
      <c r="AU560"/>
    </row>
    <row r="561" spans="1:47" s="33" customFormat="1" x14ac:dyDescent="0.2">
      <c r="A561" s="33" t="s">
        <v>1423</v>
      </c>
      <c r="B561" s="33" t="s">
        <v>1424</v>
      </c>
      <c r="C561" s="33">
        <v>34</v>
      </c>
      <c r="D561" s="33">
        <v>1</v>
      </c>
      <c r="E561" s="33" t="s">
        <v>2487</v>
      </c>
      <c r="F561" s="37">
        <v>43388</v>
      </c>
      <c r="G561" s="37" t="s">
        <v>4033</v>
      </c>
      <c r="H561" s="37" t="s">
        <v>4724</v>
      </c>
      <c r="I561" s="36">
        <v>4.027777777777778E-2</v>
      </c>
      <c r="J561" s="177">
        <v>6.7129629629629625E-4</v>
      </c>
      <c r="K561" s="39">
        <v>58</v>
      </c>
      <c r="L561" s="33" t="s">
        <v>398</v>
      </c>
      <c r="M561" s="7" t="s">
        <v>2488</v>
      </c>
      <c r="N561" s="33" t="s">
        <v>102</v>
      </c>
      <c r="O561" s="33" t="s">
        <v>115</v>
      </c>
      <c r="P561" s="33">
        <v>1</v>
      </c>
      <c r="R561" s="33">
        <v>0</v>
      </c>
      <c r="T561" t="s">
        <v>461</v>
      </c>
      <c r="U561" s="33" t="s">
        <v>2125</v>
      </c>
      <c r="V561" s="33" t="s">
        <v>122</v>
      </c>
      <c r="W561" s="33" t="s">
        <v>115</v>
      </c>
      <c r="X561" s="33" t="s">
        <v>115</v>
      </c>
      <c r="Y561" s="33" t="s">
        <v>115</v>
      </c>
      <c r="Z561" s="33" t="s">
        <v>115</v>
      </c>
      <c r="AA561" s="33" t="s">
        <v>115</v>
      </c>
      <c r="AB561" s="35" t="s">
        <v>115</v>
      </c>
      <c r="AC561" s="35"/>
      <c r="AD561" s="39">
        <v>0</v>
      </c>
      <c r="AE561" s="39">
        <v>0</v>
      </c>
      <c r="AF561" s="39">
        <v>0</v>
      </c>
      <c r="AG561" s="39">
        <v>0</v>
      </c>
      <c r="AH561" s="39">
        <v>0</v>
      </c>
      <c r="AI561" s="33">
        <v>0</v>
      </c>
      <c r="AJ561" s="33">
        <f t="shared" si="8"/>
        <v>0</v>
      </c>
      <c r="AQ561" s="34" t="s">
        <v>3949</v>
      </c>
    </row>
    <row r="562" spans="1:47" x14ac:dyDescent="0.2">
      <c r="A562" s="33" t="s">
        <v>1425</v>
      </c>
      <c r="B562" s="33" t="s">
        <v>1426</v>
      </c>
      <c r="C562" s="33">
        <v>35</v>
      </c>
      <c r="D562" s="33">
        <v>1</v>
      </c>
      <c r="E562" s="33" t="s">
        <v>2487</v>
      </c>
      <c r="F562" s="37">
        <v>43388</v>
      </c>
      <c r="G562" s="37" t="s">
        <v>4033</v>
      </c>
      <c r="H562" s="37" t="s">
        <v>4724</v>
      </c>
      <c r="I562" s="36">
        <v>6.1111111111111116E-2</v>
      </c>
      <c r="J562" s="177">
        <v>1.0185185185185186E-3</v>
      </c>
      <c r="K562" s="39">
        <v>88</v>
      </c>
      <c r="L562" s="33" t="s">
        <v>398</v>
      </c>
      <c r="M562" s="7" t="s">
        <v>2488</v>
      </c>
      <c r="N562" s="33" t="s">
        <v>102</v>
      </c>
      <c r="O562" s="33" t="s">
        <v>115</v>
      </c>
      <c r="P562" s="33">
        <v>1</v>
      </c>
      <c r="Q562" s="33"/>
      <c r="R562" s="33">
        <v>0</v>
      </c>
      <c r="S562" s="33"/>
      <c r="T562" t="s">
        <v>461</v>
      </c>
      <c r="U562" s="33" t="s">
        <v>2125</v>
      </c>
      <c r="V562" s="33" t="s">
        <v>122</v>
      </c>
      <c r="W562" s="33" t="s">
        <v>115</v>
      </c>
      <c r="X562" s="33" t="s">
        <v>115</v>
      </c>
      <c r="Y562" s="33" t="s">
        <v>115</v>
      </c>
      <c r="Z562" s="33" t="s">
        <v>115</v>
      </c>
      <c r="AA562" s="33" t="s">
        <v>115</v>
      </c>
      <c r="AB562" s="35" t="s">
        <v>115</v>
      </c>
      <c r="AC562" s="35"/>
      <c r="AD562" s="39">
        <v>0</v>
      </c>
      <c r="AE562" s="39">
        <v>0</v>
      </c>
      <c r="AF562" s="39">
        <v>0</v>
      </c>
      <c r="AG562" s="39">
        <v>0</v>
      </c>
      <c r="AH562" s="39">
        <v>0</v>
      </c>
      <c r="AI562" s="33">
        <v>0</v>
      </c>
      <c r="AJ562" s="33">
        <f t="shared" si="8"/>
        <v>0</v>
      </c>
      <c r="AK562" s="33"/>
      <c r="AL562" s="33"/>
      <c r="AM562" s="33"/>
      <c r="AN562" s="33"/>
      <c r="AO562" s="33"/>
      <c r="AP562" s="33"/>
      <c r="AQ562" s="34"/>
      <c r="AR562" s="33"/>
      <c r="AS562" s="33"/>
      <c r="AT562" s="33"/>
      <c r="AU562" s="33"/>
    </row>
    <row r="563" spans="1:47" x14ac:dyDescent="0.2">
      <c r="A563" t="s">
        <v>1427</v>
      </c>
      <c r="B563" t="s">
        <v>1428</v>
      </c>
      <c r="C563">
        <v>36</v>
      </c>
      <c r="D563">
        <v>1</v>
      </c>
      <c r="E563" t="s">
        <v>2487</v>
      </c>
      <c r="F563" s="1">
        <v>43388</v>
      </c>
      <c r="G563" s="37" t="s">
        <v>4033</v>
      </c>
      <c r="H563" s="37" t="s">
        <v>4724</v>
      </c>
      <c r="I563" s="2">
        <v>1.5277777777777777E-2</v>
      </c>
      <c r="J563" s="176">
        <v>2.5462962962962961E-4</v>
      </c>
      <c r="K563" s="6">
        <v>22</v>
      </c>
      <c r="L563" t="s">
        <v>398</v>
      </c>
      <c r="M563" s="7" t="s">
        <v>2488</v>
      </c>
      <c r="N563" s="7" t="s">
        <v>111</v>
      </c>
      <c r="O563" t="s">
        <v>23</v>
      </c>
      <c r="P563">
        <v>0</v>
      </c>
      <c r="R563" s="7">
        <v>1</v>
      </c>
      <c r="T563" t="s">
        <v>461</v>
      </c>
      <c r="U563" t="s">
        <v>2125</v>
      </c>
      <c r="V563" s="7" t="s">
        <v>122</v>
      </c>
      <c r="W563" s="7" t="s">
        <v>1057</v>
      </c>
      <c r="X563" s="33" t="s">
        <v>23</v>
      </c>
      <c r="Y563" s="33" t="s">
        <v>3999</v>
      </c>
      <c r="Z563" s="33" t="s">
        <v>4005</v>
      </c>
      <c r="AA563">
        <v>6</v>
      </c>
      <c r="AB563" s="20">
        <v>63.72184</v>
      </c>
      <c r="AC563" s="20">
        <v>148.9074</v>
      </c>
      <c r="AD563" s="6">
        <v>0</v>
      </c>
      <c r="AE563" s="6">
        <v>0</v>
      </c>
      <c r="AF563" s="6">
        <v>0</v>
      </c>
      <c r="AG563" s="6">
        <v>0</v>
      </c>
      <c r="AH563" s="39">
        <v>0</v>
      </c>
      <c r="AI563">
        <v>0</v>
      </c>
      <c r="AJ563">
        <f t="shared" si="8"/>
        <v>0</v>
      </c>
      <c r="AL563" s="5" t="s">
        <v>5005</v>
      </c>
    </row>
    <row r="564" spans="1:47" x14ac:dyDescent="0.2">
      <c r="A564" s="33" t="s">
        <v>1430</v>
      </c>
      <c r="B564" s="33" t="s">
        <v>1431</v>
      </c>
      <c r="C564" s="33">
        <v>37</v>
      </c>
      <c r="D564" s="33">
        <v>1</v>
      </c>
      <c r="E564" s="33" t="s">
        <v>2487</v>
      </c>
      <c r="F564" s="37">
        <v>43388</v>
      </c>
      <c r="G564" s="37" t="s">
        <v>4033</v>
      </c>
      <c r="H564" s="37" t="s">
        <v>4724</v>
      </c>
      <c r="I564" s="36">
        <v>1.1111111111111112E-2</v>
      </c>
      <c r="J564" s="177">
        <v>1.8518518518518518E-4</v>
      </c>
      <c r="K564" s="39">
        <v>16</v>
      </c>
      <c r="L564" s="33" t="s">
        <v>398</v>
      </c>
      <c r="M564" s="7" t="s">
        <v>2488</v>
      </c>
      <c r="N564" s="33" t="s">
        <v>102</v>
      </c>
      <c r="O564" s="33" t="s">
        <v>115</v>
      </c>
      <c r="P564" s="33">
        <v>1</v>
      </c>
      <c r="Q564" s="33"/>
      <c r="R564" s="33">
        <v>0</v>
      </c>
      <c r="S564" s="33"/>
      <c r="T564" t="s">
        <v>461</v>
      </c>
      <c r="U564" s="33" t="s">
        <v>2125</v>
      </c>
      <c r="V564" s="33" t="s">
        <v>122</v>
      </c>
      <c r="W564" s="33" t="s">
        <v>115</v>
      </c>
      <c r="X564" s="33" t="s">
        <v>115</v>
      </c>
      <c r="Y564" s="33" t="s">
        <v>115</v>
      </c>
      <c r="Z564" s="33" t="s">
        <v>115</v>
      </c>
      <c r="AA564" s="33" t="s">
        <v>115</v>
      </c>
      <c r="AB564" s="35" t="s">
        <v>115</v>
      </c>
      <c r="AC564" s="35"/>
      <c r="AD564" s="39">
        <v>0</v>
      </c>
      <c r="AE564" s="39">
        <v>0</v>
      </c>
      <c r="AF564" s="39">
        <v>0</v>
      </c>
      <c r="AG564" s="39">
        <v>0</v>
      </c>
      <c r="AH564" s="39">
        <v>0</v>
      </c>
      <c r="AI564" s="33">
        <v>0</v>
      </c>
      <c r="AJ564" s="33">
        <f t="shared" si="8"/>
        <v>0</v>
      </c>
      <c r="AK564" s="33"/>
      <c r="AL564" s="33"/>
      <c r="AM564" s="33"/>
      <c r="AN564" s="33"/>
    </row>
    <row r="565" spans="1:47" s="33" customFormat="1" x14ac:dyDescent="0.2">
      <c r="A565" s="33" t="s">
        <v>1432</v>
      </c>
      <c r="B565" s="33" t="s">
        <v>1433</v>
      </c>
      <c r="C565" s="33">
        <v>38</v>
      </c>
      <c r="D565" s="33">
        <v>1</v>
      </c>
      <c r="E565" s="33" t="s">
        <v>2487</v>
      </c>
      <c r="F565" s="37">
        <v>43388</v>
      </c>
      <c r="G565" s="37" t="s">
        <v>4033</v>
      </c>
      <c r="H565" s="37" t="s">
        <v>4724</v>
      </c>
      <c r="I565" s="36">
        <v>7.4305555555555555E-2</v>
      </c>
      <c r="J565" s="177">
        <v>1.2384259259259258E-3</v>
      </c>
      <c r="K565" s="39">
        <v>107</v>
      </c>
      <c r="L565" s="33" t="s">
        <v>398</v>
      </c>
      <c r="M565" s="7" t="s">
        <v>2488</v>
      </c>
      <c r="N565" s="33" t="s">
        <v>102</v>
      </c>
      <c r="O565" s="33" t="s">
        <v>115</v>
      </c>
      <c r="P565" s="33">
        <v>1</v>
      </c>
      <c r="R565" s="33">
        <v>0</v>
      </c>
      <c r="T565" t="s">
        <v>461</v>
      </c>
      <c r="U565" s="33" t="s">
        <v>2125</v>
      </c>
      <c r="V565" s="33" t="s">
        <v>122</v>
      </c>
      <c r="W565" s="33" t="s">
        <v>115</v>
      </c>
      <c r="X565" s="33" t="s">
        <v>115</v>
      </c>
      <c r="Y565" s="33" t="s">
        <v>115</v>
      </c>
      <c r="Z565" s="33" t="s">
        <v>115</v>
      </c>
      <c r="AA565" s="33" t="s">
        <v>115</v>
      </c>
      <c r="AB565" s="35" t="s">
        <v>115</v>
      </c>
      <c r="AC565" s="35"/>
      <c r="AD565" s="39">
        <v>0</v>
      </c>
      <c r="AE565" s="39">
        <v>0</v>
      </c>
      <c r="AF565" s="39">
        <v>0</v>
      </c>
      <c r="AG565" s="39">
        <v>0</v>
      </c>
      <c r="AH565" s="39">
        <v>0</v>
      </c>
      <c r="AI565" s="33">
        <v>0</v>
      </c>
      <c r="AJ565" s="33">
        <f t="shared" si="8"/>
        <v>0</v>
      </c>
      <c r="AO565"/>
      <c r="AP565"/>
      <c r="AQ565"/>
      <c r="AR565"/>
      <c r="AS565"/>
      <c r="AT565"/>
      <c r="AU565"/>
    </row>
    <row r="566" spans="1:47" x14ac:dyDescent="0.2">
      <c r="A566" s="33" t="s">
        <v>1434</v>
      </c>
      <c r="B566" s="33" t="s">
        <v>1435</v>
      </c>
      <c r="C566" s="33">
        <v>39</v>
      </c>
      <c r="D566" s="33">
        <v>1</v>
      </c>
      <c r="E566" s="33" t="s">
        <v>2487</v>
      </c>
      <c r="F566" s="37">
        <v>43388</v>
      </c>
      <c r="G566" s="37" t="s">
        <v>4033</v>
      </c>
      <c r="H566" s="37" t="s">
        <v>4724</v>
      </c>
      <c r="I566" s="36">
        <v>1.3888888888888888E-2</v>
      </c>
      <c r="J566" s="177">
        <v>2.3148148148148146E-4</v>
      </c>
      <c r="K566" s="39">
        <v>20</v>
      </c>
      <c r="L566" s="33" t="s">
        <v>398</v>
      </c>
      <c r="M566" s="7" t="s">
        <v>2488</v>
      </c>
      <c r="N566" s="33" t="s">
        <v>102</v>
      </c>
      <c r="O566" s="33" t="s">
        <v>115</v>
      </c>
      <c r="P566" s="33">
        <v>1</v>
      </c>
      <c r="Q566" s="33"/>
      <c r="R566" s="33">
        <v>0</v>
      </c>
      <c r="S566" s="33"/>
      <c r="T566" t="s">
        <v>461</v>
      </c>
      <c r="U566" s="33" t="s">
        <v>2125</v>
      </c>
      <c r="V566" s="33" t="s">
        <v>122</v>
      </c>
      <c r="W566" s="33" t="s">
        <v>115</v>
      </c>
      <c r="X566" s="33" t="s">
        <v>115</v>
      </c>
      <c r="Y566" s="33" t="s">
        <v>115</v>
      </c>
      <c r="Z566" s="33" t="s">
        <v>115</v>
      </c>
      <c r="AA566" s="33" t="s">
        <v>115</v>
      </c>
      <c r="AB566" s="35" t="s">
        <v>115</v>
      </c>
      <c r="AC566" s="35"/>
      <c r="AD566" s="39">
        <v>0</v>
      </c>
      <c r="AE566" s="39">
        <v>0</v>
      </c>
      <c r="AF566" s="39">
        <v>0</v>
      </c>
      <c r="AG566" s="39">
        <v>0</v>
      </c>
      <c r="AH566" s="39">
        <v>0</v>
      </c>
      <c r="AI566" s="33">
        <v>0</v>
      </c>
      <c r="AJ566" s="33">
        <f t="shared" si="8"/>
        <v>0</v>
      </c>
      <c r="AK566" s="33"/>
      <c r="AL566" s="33"/>
      <c r="AM566" s="33"/>
      <c r="AN566" s="33"/>
    </row>
    <row r="567" spans="1:47" s="33" customFormat="1" x14ac:dyDescent="0.2">
      <c r="A567" s="33" t="s">
        <v>1437</v>
      </c>
      <c r="B567" s="33" t="s">
        <v>1436</v>
      </c>
      <c r="C567" s="33">
        <v>40</v>
      </c>
      <c r="D567" s="33">
        <v>1</v>
      </c>
      <c r="E567" s="33" t="s">
        <v>2487</v>
      </c>
      <c r="F567" s="37">
        <v>43388</v>
      </c>
      <c r="G567" s="37" t="s">
        <v>4033</v>
      </c>
      <c r="H567" s="37" t="s">
        <v>4724</v>
      </c>
      <c r="I567" s="36">
        <v>0.16666666666666666</v>
      </c>
      <c r="J567" s="177">
        <v>2.7777777777777779E-3</v>
      </c>
      <c r="K567" s="39">
        <v>240</v>
      </c>
      <c r="L567" s="33" t="s">
        <v>398</v>
      </c>
      <c r="M567" s="7" t="s">
        <v>2488</v>
      </c>
      <c r="N567" s="33" t="s">
        <v>102</v>
      </c>
      <c r="O567" s="33" t="s">
        <v>115</v>
      </c>
      <c r="P567" s="33">
        <v>1</v>
      </c>
      <c r="R567" s="33">
        <v>0</v>
      </c>
      <c r="T567" t="s">
        <v>461</v>
      </c>
      <c r="U567" s="33" t="s">
        <v>2125</v>
      </c>
      <c r="V567" s="33" t="s">
        <v>122</v>
      </c>
      <c r="W567" s="33" t="s">
        <v>115</v>
      </c>
      <c r="X567" s="33" t="s">
        <v>115</v>
      </c>
      <c r="Y567" s="33" t="s">
        <v>115</v>
      </c>
      <c r="Z567" s="33" t="s">
        <v>115</v>
      </c>
      <c r="AA567" s="33" t="s">
        <v>115</v>
      </c>
      <c r="AB567" s="35" t="s">
        <v>115</v>
      </c>
      <c r="AC567" s="35"/>
      <c r="AD567" s="39">
        <v>0</v>
      </c>
      <c r="AE567" s="39">
        <v>0</v>
      </c>
      <c r="AF567" s="39">
        <v>0</v>
      </c>
      <c r="AG567" s="39">
        <v>0</v>
      </c>
      <c r="AH567" s="39">
        <v>0</v>
      </c>
      <c r="AI567" s="33">
        <v>0</v>
      </c>
      <c r="AJ567" s="33">
        <f t="shared" si="8"/>
        <v>0</v>
      </c>
      <c r="AQ567" s="34"/>
    </row>
    <row r="568" spans="1:47" x14ac:dyDescent="0.2">
      <c r="A568" s="33" t="s">
        <v>1438</v>
      </c>
      <c r="B568" s="33" t="s">
        <v>1439</v>
      </c>
      <c r="C568" s="33">
        <v>41</v>
      </c>
      <c r="D568" s="33">
        <v>1</v>
      </c>
      <c r="E568" s="33" t="s">
        <v>2487</v>
      </c>
      <c r="F568" s="37">
        <v>43388</v>
      </c>
      <c r="G568" s="37" t="s">
        <v>4033</v>
      </c>
      <c r="H568" s="37" t="s">
        <v>4724</v>
      </c>
      <c r="I568" s="36">
        <v>2.7777777777777776E-2</v>
      </c>
      <c r="J568" s="177">
        <v>4.6296296296296293E-4</v>
      </c>
      <c r="K568" s="39">
        <v>40</v>
      </c>
      <c r="L568" s="33" t="s">
        <v>398</v>
      </c>
      <c r="M568" s="33" t="s">
        <v>344</v>
      </c>
      <c r="N568" s="33" t="s">
        <v>187</v>
      </c>
      <c r="O568" s="33" t="s">
        <v>23</v>
      </c>
      <c r="P568" s="33">
        <v>2</v>
      </c>
      <c r="Q568" s="33"/>
      <c r="R568" s="33">
        <v>1</v>
      </c>
      <c r="S568" s="33"/>
      <c r="T568" t="s">
        <v>14</v>
      </c>
      <c r="U568" s="33" t="s">
        <v>2128</v>
      </c>
      <c r="V568" s="33" t="s">
        <v>122</v>
      </c>
      <c r="W568" s="33" t="s">
        <v>3963</v>
      </c>
      <c r="X568" s="33" t="s">
        <v>23</v>
      </c>
      <c r="Y568" s="33" t="s">
        <v>3997</v>
      </c>
      <c r="Z568" s="33" t="s">
        <v>4007</v>
      </c>
      <c r="AA568" s="33">
        <v>32</v>
      </c>
      <c r="AB568" s="35">
        <v>63.721510000000002</v>
      </c>
      <c r="AC568" s="35">
        <v>148.98741000000001</v>
      </c>
      <c r="AD568" s="39">
        <v>0</v>
      </c>
      <c r="AE568" s="39">
        <v>0</v>
      </c>
      <c r="AF568" s="39">
        <v>0</v>
      </c>
      <c r="AG568" s="39">
        <v>0</v>
      </c>
      <c r="AH568" s="39">
        <v>10</v>
      </c>
      <c r="AI568" s="33">
        <v>0</v>
      </c>
      <c r="AJ568" s="33">
        <f t="shared" si="8"/>
        <v>10</v>
      </c>
      <c r="AK568" s="33"/>
      <c r="AL568" s="33"/>
      <c r="AM568" s="33"/>
      <c r="AN568" s="33"/>
    </row>
    <row r="569" spans="1:47" s="33" customFormat="1" x14ac:dyDescent="0.2">
      <c r="A569" s="33" t="s">
        <v>1440</v>
      </c>
      <c r="B569" s="33" t="s">
        <v>1441</v>
      </c>
      <c r="C569" s="33">
        <v>42</v>
      </c>
      <c r="D569" s="33">
        <v>1</v>
      </c>
      <c r="E569" s="33" t="s">
        <v>2487</v>
      </c>
      <c r="F569" s="37">
        <v>43388</v>
      </c>
      <c r="G569" s="37" t="s">
        <v>4033</v>
      </c>
      <c r="H569" s="37" t="s">
        <v>4724</v>
      </c>
      <c r="I569" s="36">
        <v>3.1944444444444449E-2</v>
      </c>
      <c r="J569" s="177">
        <v>5.3240740740740744E-4</v>
      </c>
      <c r="K569" s="39">
        <v>46</v>
      </c>
      <c r="L569" s="33" t="s">
        <v>398</v>
      </c>
      <c r="M569" s="7" t="s">
        <v>2488</v>
      </c>
      <c r="N569" s="33" t="s">
        <v>102</v>
      </c>
      <c r="O569" s="33" t="s">
        <v>115</v>
      </c>
      <c r="P569" s="33">
        <v>1</v>
      </c>
      <c r="R569" s="33">
        <v>0</v>
      </c>
      <c r="T569" t="s">
        <v>461</v>
      </c>
      <c r="U569" s="33" t="s">
        <v>2125</v>
      </c>
      <c r="V569" s="33" t="s">
        <v>122</v>
      </c>
      <c r="W569" s="33" t="s">
        <v>115</v>
      </c>
      <c r="X569" s="33" t="s">
        <v>115</v>
      </c>
      <c r="Y569" s="33" t="s">
        <v>115</v>
      </c>
      <c r="Z569" s="33" t="s">
        <v>115</v>
      </c>
      <c r="AA569" s="33" t="s">
        <v>115</v>
      </c>
      <c r="AB569" s="35" t="s">
        <v>115</v>
      </c>
      <c r="AC569" s="35"/>
      <c r="AD569" s="39">
        <v>0</v>
      </c>
      <c r="AE569" s="39">
        <v>0</v>
      </c>
      <c r="AF569" s="39">
        <v>0</v>
      </c>
      <c r="AG569" s="39">
        <v>0</v>
      </c>
      <c r="AH569" s="39">
        <v>0</v>
      </c>
      <c r="AI569" s="33">
        <v>0</v>
      </c>
      <c r="AJ569" s="33">
        <f t="shared" si="8"/>
        <v>0</v>
      </c>
      <c r="AO569"/>
      <c r="AP569"/>
      <c r="AQ569"/>
      <c r="AR569"/>
      <c r="AS569"/>
      <c r="AT569"/>
      <c r="AU569"/>
    </row>
    <row r="570" spans="1:47" s="33" customFormat="1" x14ac:dyDescent="0.2">
      <c r="A570" t="s">
        <v>1442</v>
      </c>
      <c r="B570" t="s">
        <v>1443</v>
      </c>
      <c r="C570">
        <v>43</v>
      </c>
      <c r="D570">
        <v>1</v>
      </c>
      <c r="E570" t="s">
        <v>2487</v>
      </c>
      <c r="F570" s="1">
        <v>43388</v>
      </c>
      <c r="G570" s="37" t="s">
        <v>4033</v>
      </c>
      <c r="H570" s="37" t="s">
        <v>4724</v>
      </c>
      <c r="I570" s="2">
        <v>2.4999999999999998E-2</v>
      </c>
      <c r="J570" s="176">
        <v>4.1666666666666669E-4</v>
      </c>
      <c r="K570" s="6">
        <v>36</v>
      </c>
      <c r="L570" t="s">
        <v>398</v>
      </c>
      <c r="M570" s="7" t="s">
        <v>2488</v>
      </c>
      <c r="N570" s="7" t="s">
        <v>111</v>
      </c>
      <c r="O570" t="s">
        <v>23</v>
      </c>
      <c r="P570">
        <v>0</v>
      </c>
      <c r="Q570"/>
      <c r="R570" s="7">
        <v>1</v>
      </c>
      <c r="S570"/>
      <c r="T570" t="s">
        <v>461</v>
      </c>
      <c r="U570" t="s">
        <v>2125</v>
      </c>
      <c r="V570" s="7" t="s">
        <v>122</v>
      </c>
      <c r="W570" t="s">
        <v>2061</v>
      </c>
      <c r="X570" s="33" t="s">
        <v>23</v>
      </c>
      <c r="Y570" s="33" t="s">
        <v>3999</v>
      </c>
      <c r="Z570" s="33" t="s">
        <v>4006</v>
      </c>
      <c r="AA570">
        <v>46</v>
      </c>
      <c r="AB570" s="20">
        <v>63.721530000000001</v>
      </c>
      <c r="AC570" s="20">
        <v>148.98785000000001</v>
      </c>
      <c r="AD570" s="6">
        <v>0</v>
      </c>
      <c r="AE570" s="6">
        <v>0</v>
      </c>
      <c r="AF570" s="6">
        <v>0</v>
      </c>
      <c r="AG570" s="6">
        <v>0</v>
      </c>
      <c r="AH570" s="39">
        <v>0</v>
      </c>
      <c r="AI570">
        <v>0</v>
      </c>
      <c r="AJ570">
        <f t="shared" si="8"/>
        <v>0</v>
      </c>
      <c r="AK570"/>
      <c r="AL570" s="5" t="s">
        <v>5002</v>
      </c>
      <c r="AM570"/>
      <c r="AN570"/>
      <c r="AQ570" s="34" t="s">
        <v>5000</v>
      </c>
    </row>
    <row r="571" spans="1:47" s="33" customFormat="1" x14ac:dyDescent="0.2">
      <c r="A571" s="33" t="s">
        <v>1444</v>
      </c>
      <c r="B571" s="33" t="s">
        <v>1445</v>
      </c>
      <c r="C571" s="33">
        <v>44</v>
      </c>
      <c r="D571" s="33">
        <v>1</v>
      </c>
      <c r="E571" s="33" t="s">
        <v>2487</v>
      </c>
      <c r="F571" s="37">
        <v>43388</v>
      </c>
      <c r="G571" s="37" t="s">
        <v>4033</v>
      </c>
      <c r="H571" s="37" t="s">
        <v>4724</v>
      </c>
      <c r="I571" s="36">
        <v>1.5972222222222224E-2</v>
      </c>
      <c r="J571" s="177">
        <v>2.6620370370370372E-4</v>
      </c>
      <c r="K571" s="39">
        <v>23</v>
      </c>
      <c r="L571" s="33" t="s">
        <v>398</v>
      </c>
      <c r="M571" s="7" t="s">
        <v>2488</v>
      </c>
      <c r="N571" s="33" t="s">
        <v>102</v>
      </c>
      <c r="O571" s="33" t="s">
        <v>115</v>
      </c>
      <c r="P571" s="33">
        <v>1</v>
      </c>
      <c r="R571" s="33">
        <v>0</v>
      </c>
      <c r="T571" t="s">
        <v>461</v>
      </c>
      <c r="U571" s="33" t="s">
        <v>2125</v>
      </c>
      <c r="V571" s="33" t="s">
        <v>122</v>
      </c>
      <c r="W571" s="33" t="s">
        <v>115</v>
      </c>
      <c r="X571" s="33" t="s">
        <v>115</v>
      </c>
      <c r="Y571" s="33" t="s">
        <v>115</v>
      </c>
      <c r="Z571" s="33" t="s">
        <v>115</v>
      </c>
      <c r="AA571" s="33" t="s">
        <v>115</v>
      </c>
      <c r="AB571" s="35" t="s">
        <v>115</v>
      </c>
      <c r="AC571" s="35"/>
      <c r="AD571" s="39">
        <v>0</v>
      </c>
      <c r="AE571" s="39">
        <v>0</v>
      </c>
      <c r="AF571" s="39">
        <v>0</v>
      </c>
      <c r="AG571" s="39">
        <v>0</v>
      </c>
      <c r="AH571" s="39">
        <v>0</v>
      </c>
      <c r="AI571" s="33">
        <v>0</v>
      </c>
      <c r="AJ571" s="33">
        <f t="shared" si="8"/>
        <v>0</v>
      </c>
      <c r="AL571" s="38"/>
      <c r="AO571"/>
      <c r="AP571"/>
      <c r="AQ571"/>
      <c r="AR571"/>
      <c r="AS571"/>
      <c r="AT571"/>
      <c r="AU571"/>
    </row>
    <row r="572" spans="1:47" s="33" customFormat="1" x14ac:dyDescent="0.2">
      <c r="A572" t="s">
        <v>1446</v>
      </c>
      <c r="B572" t="s">
        <v>1447</v>
      </c>
      <c r="C572">
        <v>45</v>
      </c>
      <c r="D572">
        <v>1</v>
      </c>
      <c r="E572" t="s">
        <v>2487</v>
      </c>
      <c r="F572" s="1">
        <v>43388</v>
      </c>
      <c r="G572" s="37" t="s">
        <v>4033</v>
      </c>
      <c r="H572" s="37" t="s">
        <v>4724</v>
      </c>
      <c r="I572" s="2">
        <v>6.9444444444444441E-3</v>
      </c>
      <c r="J572" s="176">
        <v>1.1574074074074073E-4</v>
      </c>
      <c r="K572" s="6">
        <v>10</v>
      </c>
      <c r="L572" t="s">
        <v>398</v>
      </c>
      <c r="M572" s="7" t="s">
        <v>2488</v>
      </c>
      <c r="N572" s="7" t="s">
        <v>111</v>
      </c>
      <c r="O572" t="s">
        <v>23</v>
      </c>
      <c r="P572">
        <v>0</v>
      </c>
      <c r="Q572"/>
      <c r="R572" s="7">
        <v>1</v>
      </c>
      <c r="S572"/>
      <c r="T572" t="s">
        <v>461</v>
      </c>
      <c r="U572" t="s">
        <v>2125</v>
      </c>
      <c r="V572" s="7" t="s">
        <v>122</v>
      </c>
      <c r="W572" s="7" t="s">
        <v>3963</v>
      </c>
      <c r="X572" s="33" t="s">
        <v>23</v>
      </c>
      <c r="Y572" s="33" t="s">
        <v>3997</v>
      </c>
      <c r="Z572" s="33" t="s">
        <v>4007</v>
      </c>
      <c r="AA572">
        <v>10</v>
      </c>
      <c r="AB572" s="20">
        <v>63.721919999999997</v>
      </c>
      <c r="AC572" s="20">
        <v>148.98746</v>
      </c>
      <c r="AD572" s="6">
        <v>0</v>
      </c>
      <c r="AE572" s="6">
        <v>0</v>
      </c>
      <c r="AF572" s="6">
        <v>0</v>
      </c>
      <c r="AG572" s="6">
        <v>0</v>
      </c>
      <c r="AH572" s="39">
        <v>0</v>
      </c>
      <c r="AI572">
        <v>0</v>
      </c>
      <c r="AJ572">
        <f t="shared" si="8"/>
        <v>0</v>
      </c>
      <c r="AK572"/>
      <c r="AL572" s="5" t="s">
        <v>5002</v>
      </c>
      <c r="AM572"/>
      <c r="AN572"/>
      <c r="AO572"/>
      <c r="AP572"/>
      <c r="AQ572"/>
      <c r="AR572"/>
      <c r="AS572"/>
      <c r="AT572"/>
      <c r="AU572"/>
    </row>
    <row r="573" spans="1:47" s="33" customFormat="1" x14ac:dyDescent="0.2">
      <c r="A573" s="33" t="s">
        <v>1448</v>
      </c>
      <c r="B573" s="33" t="s">
        <v>1449</v>
      </c>
      <c r="C573" s="33">
        <v>46</v>
      </c>
      <c r="D573" s="33">
        <v>1</v>
      </c>
      <c r="E573" s="33" t="s">
        <v>2487</v>
      </c>
      <c r="F573" s="37">
        <v>43388</v>
      </c>
      <c r="G573" s="37" t="s">
        <v>4033</v>
      </c>
      <c r="H573" s="37" t="s">
        <v>4724</v>
      </c>
      <c r="I573" s="36">
        <v>0.19722222222222222</v>
      </c>
      <c r="J573" s="177">
        <v>3.2870370370370367E-3</v>
      </c>
      <c r="K573" s="39">
        <v>284</v>
      </c>
      <c r="L573" s="33" t="s">
        <v>398</v>
      </c>
      <c r="M573" s="7" t="s">
        <v>2488</v>
      </c>
      <c r="N573" s="33" t="s">
        <v>187</v>
      </c>
      <c r="O573" s="33" t="s">
        <v>23</v>
      </c>
      <c r="P573" s="33">
        <v>2</v>
      </c>
      <c r="R573" s="33">
        <v>1</v>
      </c>
      <c r="T573" t="s">
        <v>461</v>
      </c>
      <c r="U573" s="33" t="s">
        <v>2125</v>
      </c>
      <c r="V573" s="33" t="s">
        <v>122</v>
      </c>
      <c r="W573" s="33" t="s">
        <v>4015</v>
      </c>
      <c r="X573" s="33" t="s">
        <v>23</v>
      </c>
      <c r="Y573" s="33" t="s">
        <v>3999</v>
      </c>
      <c r="Z573" s="33" t="s">
        <v>4005</v>
      </c>
      <c r="AA573" s="33">
        <v>4</v>
      </c>
      <c r="AB573" s="35">
        <v>63.721969999999999</v>
      </c>
      <c r="AC573" s="35">
        <v>148.98725999999999</v>
      </c>
      <c r="AD573" s="39">
        <v>0</v>
      </c>
      <c r="AE573" s="39">
        <v>0</v>
      </c>
      <c r="AF573" s="39">
        <v>0</v>
      </c>
      <c r="AG573" s="39">
        <v>0</v>
      </c>
      <c r="AH573" s="39">
        <v>0</v>
      </c>
      <c r="AI573" s="33">
        <v>0</v>
      </c>
      <c r="AJ573" s="33">
        <f t="shared" si="8"/>
        <v>0</v>
      </c>
      <c r="AL573" s="33" t="s">
        <v>1451</v>
      </c>
      <c r="AQ573" s="34" t="s">
        <v>5001</v>
      </c>
    </row>
    <row r="574" spans="1:47" x14ac:dyDescent="0.2">
      <c r="A574" s="33" t="s">
        <v>1452</v>
      </c>
      <c r="B574" s="33" t="s">
        <v>1453</v>
      </c>
      <c r="C574" s="33">
        <v>47</v>
      </c>
      <c r="D574" s="33">
        <v>1</v>
      </c>
      <c r="E574" s="33" t="s">
        <v>2487</v>
      </c>
      <c r="F574" s="37">
        <v>43388</v>
      </c>
      <c r="G574" s="37" t="s">
        <v>4033</v>
      </c>
      <c r="H574" s="37" t="s">
        <v>4724</v>
      </c>
      <c r="I574" s="36">
        <v>0.1013888888888889</v>
      </c>
      <c r="J574" s="177">
        <v>1.689814814814815E-3</v>
      </c>
      <c r="K574" s="39">
        <v>146</v>
      </c>
      <c r="L574" s="33" t="s">
        <v>398</v>
      </c>
      <c r="M574" s="7" t="s">
        <v>2488</v>
      </c>
      <c r="N574" s="33" t="s">
        <v>102</v>
      </c>
      <c r="O574" s="33" t="s">
        <v>115</v>
      </c>
      <c r="P574" s="33">
        <v>1</v>
      </c>
      <c r="Q574" s="33"/>
      <c r="R574" s="33">
        <v>0</v>
      </c>
      <c r="S574" s="33"/>
      <c r="T574" t="s">
        <v>461</v>
      </c>
      <c r="U574" s="33" t="s">
        <v>2125</v>
      </c>
      <c r="V574" s="33" t="s">
        <v>122</v>
      </c>
      <c r="W574" s="33" t="s">
        <v>115</v>
      </c>
      <c r="X574" s="33" t="s">
        <v>115</v>
      </c>
      <c r="Y574" s="33" t="s">
        <v>115</v>
      </c>
      <c r="Z574" s="33" t="s">
        <v>115</v>
      </c>
      <c r="AA574" s="33" t="s">
        <v>115</v>
      </c>
      <c r="AB574" s="35" t="s">
        <v>115</v>
      </c>
      <c r="AC574" s="35"/>
      <c r="AD574" s="39">
        <v>0</v>
      </c>
      <c r="AE574" s="39">
        <v>0</v>
      </c>
      <c r="AF574" s="39">
        <v>0</v>
      </c>
      <c r="AG574" s="39">
        <v>0</v>
      </c>
      <c r="AH574" s="39">
        <v>0</v>
      </c>
      <c r="AI574" s="33">
        <v>0</v>
      </c>
      <c r="AJ574" s="33">
        <f t="shared" si="8"/>
        <v>0</v>
      </c>
      <c r="AK574" s="33"/>
      <c r="AL574" s="33"/>
      <c r="AM574" s="33"/>
      <c r="AN574" s="33"/>
      <c r="AO574" s="33"/>
      <c r="AP574" s="33"/>
      <c r="AQ574" s="34"/>
      <c r="AR574" s="33"/>
      <c r="AS574" s="33"/>
      <c r="AT574" s="33"/>
      <c r="AU574" s="33"/>
    </row>
    <row r="575" spans="1:47" s="33" customFormat="1" x14ac:dyDescent="0.2">
      <c r="A575" s="33" t="s">
        <v>1454</v>
      </c>
      <c r="B575" s="33" t="s">
        <v>1455</v>
      </c>
      <c r="C575" s="33">
        <v>48</v>
      </c>
      <c r="D575" s="33">
        <v>1</v>
      </c>
      <c r="E575" s="33" t="s">
        <v>2487</v>
      </c>
      <c r="F575" s="37">
        <v>43388</v>
      </c>
      <c r="G575" s="37" t="s">
        <v>4033</v>
      </c>
      <c r="H575" s="37" t="s">
        <v>4724</v>
      </c>
      <c r="I575" s="36">
        <v>3.8194444444444441E-2</v>
      </c>
      <c r="J575" s="177">
        <v>6.3657407407407402E-4</v>
      </c>
      <c r="K575" s="39">
        <v>55</v>
      </c>
      <c r="L575" s="33" t="s">
        <v>398</v>
      </c>
      <c r="M575" s="7" t="s">
        <v>2488</v>
      </c>
      <c r="N575" s="33" t="s">
        <v>102</v>
      </c>
      <c r="O575" s="33" t="s">
        <v>115</v>
      </c>
      <c r="P575" s="33">
        <v>1</v>
      </c>
      <c r="R575" s="33">
        <v>0</v>
      </c>
      <c r="T575" t="s">
        <v>461</v>
      </c>
      <c r="U575" s="33" t="s">
        <v>2125</v>
      </c>
      <c r="V575" s="33" t="s">
        <v>122</v>
      </c>
      <c r="W575" s="33" t="s">
        <v>115</v>
      </c>
      <c r="X575" s="33" t="s">
        <v>115</v>
      </c>
      <c r="Y575" s="33" t="s">
        <v>115</v>
      </c>
      <c r="Z575" s="33" t="s">
        <v>115</v>
      </c>
      <c r="AA575" s="33" t="s">
        <v>115</v>
      </c>
      <c r="AB575" s="35" t="s">
        <v>115</v>
      </c>
      <c r="AC575" s="35"/>
      <c r="AD575" s="39">
        <v>0</v>
      </c>
      <c r="AE575" s="39">
        <v>0</v>
      </c>
      <c r="AF575" s="39">
        <v>0</v>
      </c>
      <c r="AG575" s="39">
        <v>0</v>
      </c>
      <c r="AH575" s="39">
        <v>0</v>
      </c>
      <c r="AI575" s="33">
        <v>0</v>
      </c>
      <c r="AJ575" s="33">
        <f t="shared" si="8"/>
        <v>0</v>
      </c>
      <c r="AO575"/>
      <c r="AP575"/>
      <c r="AQ575"/>
      <c r="AR575"/>
      <c r="AS575"/>
      <c r="AT575"/>
      <c r="AU575"/>
    </row>
    <row r="576" spans="1:47" s="33" customFormat="1" x14ac:dyDescent="0.2">
      <c r="A576" s="33" t="s">
        <v>1456</v>
      </c>
      <c r="B576" s="33" t="s">
        <v>1457</v>
      </c>
      <c r="C576" s="33">
        <v>49</v>
      </c>
      <c r="D576" s="33">
        <v>1</v>
      </c>
      <c r="E576" s="33" t="s">
        <v>2487</v>
      </c>
      <c r="F576" s="37">
        <v>43388</v>
      </c>
      <c r="G576" s="37" t="s">
        <v>4033</v>
      </c>
      <c r="H576" s="37" t="s">
        <v>4724</v>
      </c>
      <c r="I576" s="36">
        <v>1.1805555555555555E-2</v>
      </c>
      <c r="J576" s="177">
        <v>1.9675925925925926E-4</v>
      </c>
      <c r="K576" s="39">
        <v>17</v>
      </c>
      <c r="L576" s="33" t="s">
        <v>398</v>
      </c>
      <c r="M576" s="7" t="s">
        <v>2488</v>
      </c>
      <c r="N576" s="33" t="s">
        <v>102</v>
      </c>
      <c r="O576" s="33" t="s">
        <v>115</v>
      </c>
      <c r="P576" s="33">
        <v>1</v>
      </c>
      <c r="R576" s="33">
        <v>0</v>
      </c>
      <c r="T576" t="s">
        <v>461</v>
      </c>
      <c r="U576" s="33" t="s">
        <v>2125</v>
      </c>
      <c r="V576" s="33" t="s">
        <v>122</v>
      </c>
      <c r="W576" s="33" t="s">
        <v>115</v>
      </c>
      <c r="X576" s="33" t="s">
        <v>115</v>
      </c>
      <c r="Y576" s="33" t="s">
        <v>115</v>
      </c>
      <c r="Z576" s="33" t="s">
        <v>115</v>
      </c>
      <c r="AA576" s="33" t="s">
        <v>115</v>
      </c>
      <c r="AB576" s="35" t="s">
        <v>115</v>
      </c>
      <c r="AC576" s="35"/>
      <c r="AD576" s="39">
        <v>0</v>
      </c>
      <c r="AE576" s="39">
        <v>0</v>
      </c>
      <c r="AF576" s="39">
        <v>0</v>
      </c>
      <c r="AG576" s="39">
        <v>0</v>
      </c>
      <c r="AH576" s="39">
        <v>0</v>
      </c>
      <c r="AI576" s="33">
        <v>0</v>
      </c>
      <c r="AJ576" s="33">
        <f t="shared" si="8"/>
        <v>0</v>
      </c>
      <c r="AO576"/>
      <c r="AP576"/>
      <c r="AQ576"/>
      <c r="AR576"/>
      <c r="AS576"/>
      <c r="AT576"/>
      <c r="AU576"/>
    </row>
    <row r="577" spans="1:47" x14ac:dyDescent="0.2">
      <c r="A577" s="33" t="s">
        <v>1458</v>
      </c>
      <c r="B577" s="33" t="s">
        <v>1459</v>
      </c>
      <c r="C577" s="33">
        <v>50</v>
      </c>
      <c r="D577" s="33">
        <v>1</v>
      </c>
      <c r="E577" s="33" t="s">
        <v>2487</v>
      </c>
      <c r="F577" s="37">
        <v>43388</v>
      </c>
      <c r="G577" s="37" t="s">
        <v>4033</v>
      </c>
      <c r="H577" s="37" t="s">
        <v>4724</v>
      </c>
      <c r="I577" s="36">
        <v>5.9027777777777783E-2</v>
      </c>
      <c r="J577" s="177">
        <v>9.8379629629629642E-4</v>
      </c>
      <c r="K577" s="39">
        <v>85</v>
      </c>
      <c r="L577" s="33" t="s">
        <v>398</v>
      </c>
      <c r="M577" s="7" t="s">
        <v>2488</v>
      </c>
      <c r="N577" s="33" t="s">
        <v>102</v>
      </c>
      <c r="O577" s="33" t="s">
        <v>115</v>
      </c>
      <c r="P577" s="33">
        <v>1</v>
      </c>
      <c r="Q577" s="33"/>
      <c r="R577" s="33">
        <v>0</v>
      </c>
      <c r="S577" s="33"/>
      <c r="T577" t="s">
        <v>461</v>
      </c>
      <c r="U577" s="33" t="s">
        <v>2125</v>
      </c>
      <c r="V577" s="33" t="s">
        <v>122</v>
      </c>
      <c r="W577" s="33" t="s">
        <v>115</v>
      </c>
      <c r="X577" s="33" t="s">
        <v>115</v>
      </c>
      <c r="Y577" s="33" t="s">
        <v>115</v>
      </c>
      <c r="Z577" s="33" t="s">
        <v>115</v>
      </c>
      <c r="AA577" s="33" t="s">
        <v>115</v>
      </c>
      <c r="AB577" s="35" t="s">
        <v>115</v>
      </c>
      <c r="AC577" s="35"/>
      <c r="AD577" s="39">
        <v>0</v>
      </c>
      <c r="AE577" s="39">
        <v>0</v>
      </c>
      <c r="AF577" s="39">
        <v>0</v>
      </c>
      <c r="AG577" s="39">
        <v>0</v>
      </c>
      <c r="AH577" s="39">
        <v>0</v>
      </c>
      <c r="AI577" s="33">
        <v>0</v>
      </c>
      <c r="AJ577" s="33">
        <f t="shared" si="8"/>
        <v>0</v>
      </c>
      <c r="AK577" s="33"/>
      <c r="AL577" s="33"/>
      <c r="AM577" s="33"/>
      <c r="AN577" s="33"/>
    </row>
    <row r="578" spans="1:47" s="33" customFormat="1" hidden="1" x14ac:dyDescent="0.2">
      <c r="A578" s="33" t="s">
        <v>1458</v>
      </c>
      <c r="B578" s="33" t="s">
        <v>1459</v>
      </c>
      <c r="C578" s="33">
        <v>50</v>
      </c>
      <c r="D578" s="33">
        <v>2</v>
      </c>
      <c r="E578" s="33" t="s">
        <v>2487</v>
      </c>
      <c r="F578" s="37">
        <v>43388</v>
      </c>
      <c r="G578" s="37" t="s">
        <v>4033</v>
      </c>
      <c r="H578" s="37" t="s">
        <v>4724</v>
      </c>
      <c r="I578" s="36">
        <v>5.9027777777777783E-2</v>
      </c>
      <c r="J578" s="177">
        <v>9.8379629629629642E-4</v>
      </c>
      <c r="K578" s="39">
        <v>85</v>
      </c>
      <c r="L578" s="33" t="s">
        <v>398</v>
      </c>
      <c r="M578" s="33" t="s">
        <v>241</v>
      </c>
      <c r="N578" s="33" t="s">
        <v>102</v>
      </c>
      <c r="O578" s="33" t="s">
        <v>115</v>
      </c>
      <c r="P578" s="33">
        <v>1</v>
      </c>
      <c r="R578" s="33">
        <v>0</v>
      </c>
      <c r="T578" t="s">
        <v>461</v>
      </c>
      <c r="U578" s="33" t="s">
        <v>2125</v>
      </c>
      <c r="V578" s="33" t="s">
        <v>122</v>
      </c>
      <c r="W578" s="33" t="s">
        <v>115</v>
      </c>
      <c r="X578" s="33" t="s">
        <v>115</v>
      </c>
      <c r="Y578" s="33" t="s">
        <v>115</v>
      </c>
      <c r="Z578" s="33" t="s">
        <v>115</v>
      </c>
      <c r="AA578" s="33" t="s">
        <v>115</v>
      </c>
      <c r="AB578" s="35" t="s">
        <v>115</v>
      </c>
      <c r="AC578" s="35"/>
      <c r="AD578" s="39">
        <v>0</v>
      </c>
      <c r="AE578" s="39">
        <v>0</v>
      </c>
      <c r="AF578" s="39">
        <v>0</v>
      </c>
      <c r="AG578" s="39">
        <v>0</v>
      </c>
      <c r="AH578" s="39">
        <v>0</v>
      </c>
      <c r="AI578" s="33">
        <v>0</v>
      </c>
      <c r="AJ578" s="33">
        <f t="shared" ref="AJ578:AJ641" si="9">SUM(AF578:AI578)</f>
        <v>0</v>
      </c>
      <c r="AL578" s="33" t="s">
        <v>1460</v>
      </c>
      <c r="AQ578" s="34"/>
    </row>
    <row r="579" spans="1:47" s="33" customFormat="1" x14ac:dyDescent="0.2">
      <c r="A579" t="s">
        <v>1461</v>
      </c>
      <c r="B579" t="s">
        <v>1462</v>
      </c>
      <c r="C579">
        <v>51</v>
      </c>
      <c r="D579">
        <v>1</v>
      </c>
      <c r="E579" t="s">
        <v>2487</v>
      </c>
      <c r="F579" s="1">
        <v>43388</v>
      </c>
      <c r="G579" s="37" t="s">
        <v>4033</v>
      </c>
      <c r="H579" s="37" t="s">
        <v>4724</v>
      </c>
      <c r="I579" s="2">
        <v>2.013888888888889E-2</v>
      </c>
      <c r="J579" s="176">
        <v>3.3564814814814812E-4</v>
      </c>
      <c r="K579" s="6">
        <v>29</v>
      </c>
      <c r="L579" t="s">
        <v>398</v>
      </c>
      <c r="M579" s="7" t="s">
        <v>2488</v>
      </c>
      <c r="N579" s="7" t="s">
        <v>111</v>
      </c>
      <c r="O579" t="s">
        <v>23</v>
      </c>
      <c r="P579">
        <v>0</v>
      </c>
      <c r="Q579"/>
      <c r="R579" s="7">
        <v>1</v>
      </c>
      <c r="S579"/>
      <c r="T579" t="s">
        <v>461</v>
      </c>
      <c r="U579" t="s">
        <v>2125</v>
      </c>
      <c r="V579" s="7" t="s">
        <v>122</v>
      </c>
      <c r="W579" s="7" t="s">
        <v>1035</v>
      </c>
      <c r="X579" s="33" t="s">
        <v>23</v>
      </c>
      <c r="Y579" s="33" t="s">
        <v>3997</v>
      </c>
      <c r="Z579" s="33" t="s">
        <v>4006</v>
      </c>
      <c r="AA579" s="7">
        <v>9</v>
      </c>
      <c r="AB579" s="20">
        <v>63.721829999999997</v>
      </c>
      <c r="AC579" s="20">
        <v>148.98733999999999</v>
      </c>
      <c r="AD579" s="6">
        <v>0</v>
      </c>
      <c r="AE579" s="6">
        <v>0</v>
      </c>
      <c r="AF579" s="6">
        <v>0</v>
      </c>
      <c r="AG579" s="6">
        <v>0</v>
      </c>
      <c r="AH579" s="39">
        <v>0</v>
      </c>
      <c r="AI579">
        <v>0</v>
      </c>
      <c r="AJ579">
        <f t="shared" si="9"/>
        <v>0</v>
      </c>
      <c r="AK579"/>
      <c r="AL579" t="s">
        <v>1463</v>
      </c>
      <c r="AM579"/>
      <c r="AN579"/>
      <c r="AO579"/>
      <c r="AP579"/>
      <c r="AQ579"/>
      <c r="AR579"/>
      <c r="AS579"/>
      <c r="AT579"/>
      <c r="AU579"/>
    </row>
    <row r="580" spans="1:47" s="33" customFormat="1" hidden="1" x14ac:dyDescent="0.2">
      <c r="A580" t="s">
        <v>1461</v>
      </c>
      <c r="B580" t="s">
        <v>1462</v>
      </c>
      <c r="C580">
        <v>51</v>
      </c>
      <c r="D580">
        <v>2</v>
      </c>
      <c r="E580" t="s">
        <v>2487</v>
      </c>
      <c r="F580" s="1">
        <v>43388</v>
      </c>
      <c r="G580" s="37" t="s">
        <v>4033</v>
      </c>
      <c r="H580" s="37" t="s">
        <v>4724</v>
      </c>
      <c r="I580" s="2">
        <v>2.013888888888889E-2</v>
      </c>
      <c r="J580" s="176">
        <v>3.3564814814814812E-4</v>
      </c>
      <c r="K580" s="6">
        <v>29</v>
      </c>
      <c r="L580" t="s">
        <v>398</v>
      </c>
      <c r="M580" s="7" t="s">
        <v>2488</v>
      </c>
      <c r="N580" s="7" t="s">
        <v>111</v>
      </c>
      <c r="O580" t="s">
        <v>23</v>
      </c>
      <c r="P580">
        <v>0</v>
      </c>
      <c r="Q580"/>
      <c r="R580" s="7">
        <v>1</v>
      </c>
      <c r="S580"/>
      <c r="T580" t="s">
        <v>461</v>
      </c>
      <c r="U580" t="s">
        <v>2125</v>
      </c>
      <c r="V580" s="7" t="s">
        <v>122</v>
      </c>
      <c r="W580" s="7" t="s">
        <v>2044</v>
      </c>
      <c r="X580" s="33" t="s">
        <v>23</v>
      </c>
      <c r="Y580" s="33" t="s">
        <v>3997</v>
      </c>
      <c r="Z580" s="33" t="s">
        <v>4005</v>
      </c>
      <c r="AA580" s="7">
        <v>4</v>
      </c>
      <c r="AB580" s="20">
        <v>63.72186</v>
      </c>
      <c r="AC580" s="20">
        <v>148.98733999999999</v>
      </c>
      <c r="AD580" s="6">
        <v>0</v>
      </c>
      <c r="AE580" s="6">
        <v>0</v>
      </c>
      <c r="AF580" s="6">
        <v>0</v>
      </c>
      <c r="AG580" s="6">
        <v>0</v>
      </c>
      <c r="AH580" s="39">
        <v>0</v>
      </c>
      <c r="AI580">
        <v>0</v>
      </c>
      <c r="AJ580">
        <f t="shared" si="9"/>
        <v>0</v>
      </c>
      <c r="AK580"/>
      <c r="AL580" t="s">
        <v>1463</v>
      </c>
      <c r="AM580"/>
      <c r="AN580"/>
      <c r="AQ580" s="34"/>
    </row>
    <row r="581" spans="1:47" s="33" customFormat="1" x14ac:dyDescent="0.2">
      <c r="A581" s="33" t="s">
        <v>1464</v>
      </c>
      <c r="B581" s="33" t="s">
        <v>1465</v>
      </c>
      <c r="C581" s="33">
        <v>52</v>
      </c>
      <c r="D581" s="33">
        <v>1</v>
      </c>
      <c r="E581" s="33" t="s">
        <v>2487</v>
      </c>
      <c r="F581" s="37">
        <v>43388</v>
      </c>
      <c r="G581" s="37" t="s">
        <v>4033</v>
      </c>
      <c r="H581" s="37" t="s">
        <v>4724</v>
      </c>
      <c r="I581" s="36">
        <v>2.2222222222222223E-2</v>
      </c>
      <c r="J581" s="177">
        <v>3.7037037037037035E-4</v>
      </c>
      <c r="K581" s="39">
        <v>32</v>
      </c>
      <c r="L581" s="33" t="s">
        <v>398</v>
      </c>
      <c r="M581" s="33" t="s">
        <v>241</v>
      </c>
      <c r="N581" s="33" t="s">
        <v>102</v>
      </c>
      <c r="O581" s="33" t="s">
        <v>115</v>
      </c>
      <c r="P581" s="33">
        <v>1</v>
      </c>
      <c r="R581" s="33">
        <v>0</v>
      </c>
      <c r="T581" t="s">
        <v>461</v>
      </c>
      <c r="U581" s="33" t="s">
        <v>2125</v>
      </c>
      <c r="V581" s="33" t="s">
        <v>122</v>
      </c>
      <c r="W581" s="33" t="s">
        <v>115</v>
      </c>
      <c r="X581" s="33" t="s">
        <v>115</v>
      </c>
      <c r="Y581" s="33" t="s">
        <v>115</v>
      </c>
      <c r="Z581" s="33" t="s">
        <v>115</v>
      </c>
      <c r="AA581" s="33" t="s">
        <v>115</v>
      </c>
      <c r="AB581" s="35" t="s">
        <v>115</v>
      </c>
      <c r="AC581" s="35"/>
      <c r="AD581" s="39">
        <v>0</v>
      </c>
      <c r="AE581" s="39">
        <v>0</v>
      </c>
      <c r="AF581" s="39">
        <v>0</v>
      </c>
      <c r="AG581" s="39">
        <v>0</v>
      </c>
      <c r="AH581" s="39">
        <v>0</v>
      </c>
      <c r="AI581" s="33">
        <v>0</v>
      </c>
      <c r="AJ581" s="33">
        <f t="shared" si="9"/>
        <v>0</v>
      </c>
      <c r="AO581"/>
      <c r="AP581"/>
      <c r="AQ581"/>
      <c r="AR581"/>
      <c r="AS581"/>
      <c r="AT581"/>
      <c r="AU581"/>
    </row>
    <row r="582" spans="1:47" s="33" customFormat="1" x14ac:dyDescent="0.2">
      <c r="A582" t="s">
        <v>1466</v>
      </c>
      <c r="B582" t="s">
        <v>1467</v>
      </c>
      <c r="C582">
        <v>53</v>
      </c>
      <c r="D582">
        <v>1</v>
      </c>
      <c r="E582" t="s">
        <v>2487</v>
      </c>
      <c r="F582" s="1">
        <v>43388</v>
      </c>
      <c r="G582" s="37" t="s">
        <v>4033</v>
      </c>
      <c r="H582" s="37" t="s">
        <v>4724</v>
      </c>
      <c r="I582" s="2">
        <v>8.3333333333333332E-3</v>
      </c>
      <c r="J582" s="176">
        <v>1.3888888888888889E-4</v>
      </c>
      <c r="K582" s="6">
        <v>12</v>
      </c>
      <c r="L582" t="s">
        <v>398</v>
      </c>
      <c r="M582" s="7" t="s">
        <v>241</v>
      </c>
      <c r="N582" s="7" t="s">
        <v>111</v>
      </c>
      <c r="O582" t="s">
        <v>115</v>
      </c>
      <c r="P582">
        <v>0</v>
      </c>
      <c r="Q582"/>
      <c r="R582" s="7">
        <v>1</v>
      </c>
      <c r="S582"/>
      <c r="T582" t="s">
        <v>461</v>
      </c>
      <c r="U582" t="s">
        <v>2125</v>
      </c>
      <c r="V582" s="7" t="s">
        <v>122</v>
      </c>
      <c r="W582" t="s">
        <v>2061</v>
      </c>
      <c r="X582" s="33" t="s">
        <v>23</v>
      </c>
      <c r="Y582" s="33" t="s">
        <v>3999</v>
      </c>
      <c r="Z582" s="33" t="s">
        <v>4006</v>
      </c>
      <c r="AA582">
        <v>37</v>
      </c>
      <c r="AB582" s="20">
        <v>63.721760000000003</v>
      </c>
      <c r="AC582" s="20">
        <v>148.98801</v>
      </c>
      <c r="AD582" s="6">
        <v>0</v>
      </c>
      <c r="AE582" s="6">
        <v>0</v>
      </c>
      <c r="AF582" s="6">
        <v>0</v>
      </c>
      <c r="AG582" s="6">
        <v>0</v>
      </c>
      <c r="AH582" s="39">
        <v>0</v>
      </c>
      <c r="AI582">
        <v>0</v>
      </c>
      <c r="AJ582">
        <f t="shared" si="9"/>
        <v>0</v>
      </c>
      <c r="AK582"/>
      <c r="AL582"/>
      <c r="AM582"/>
      <c r="AN582"/>
      <c r="AO582"/>
      <c r="AP582"/>
      <c r="AQ582"/>
      <c r="AR582"/>
      <c r="AS582"/>
      <c r="AT582"/>
      <c r="AU582"/>
    </row>
    <row r="583" spans="1:47" s="33" customFormat="1" x14ac:dyDescent="0.2">
      <c r="A583" s="33" t="s">
        <v>1468</v>
      </c>
      <c r="B583" s="33" t="s">
        <v>1469</v>
      </c>
      <c r="C583" s="33">
        <v>54</v>
      </c>
      <c r="D583" s="33">
        <v>1</v>
      </c>
      <c r="E583" s="33" t="s">
        <v>2487</v>
      </c>
      <c r="F583" s="37">
        <v>43388</v>
      </c>
      <c r="G583" s="37" t="s">
        <v>4033</v>
      </c>
      <c r="H583" s="37" t="s">
        <v>4724</v>
      </c>
      <c r="I583" s="36">
        <v>3.6111111111111115E-2</v>
      </c>
      <c r="J583" s="177">
        <v>6.018518518518519E-4</v>
      </c>
      <c r="K583" s="39">
        <v>52</v>
      </c>
      <c r="L583" s="33" t="s">
        <v>398</v>
      </c>
      <c r="M583" s="33" t="s">
        <v>241</v>
      </c>
      <c r="N583" s="33" t="s">
        <v>102</v>
      </c>
      <c r="O583" s="33" t="s">
        <v>115</v>
      </c>
      <c r="P583" s="33">
        <v>1</v>
      </c>
      <c r="R583" s="33">
        <v>0</v>
      </c>
      <c r="T583" t="s">
        <v>461</v>
      </c>
      <c r="U583" s="33" t="s">
        <v>2125</v>
      </c>
      <c r="V583" s="33" t="s">
        <v>122</v>
      </c>
      <c r="W583" s="33" t="s">
        <v>115</v>
      </c>
      <c r="X583" s="33" t="s">
        <v>115</v>
      </c>
      <c r="Y583" s="33" t="s">
        <v>115</v>
      </c>
      <c r="Z583" s="33" t="s">
        <v>115</v>
      </c>
      <c r="AA583" s="33" t="s">
        <v>115</v>
      </c>
      <c r="AB583" s="35" t="s">
        <v>115</v>
      </c>
      <c r="AC583" s="35"/>
      <c r="AD583" s="39">
        <v>0</v>
      </c>
      <c r="AE583" s="39">
        <v>0</v>
      </c>
      <c r="AF583" s="39">
        <v>0</v>
      </c>
      <c r="AG583" s="39">
        <v>0</v>
      </c>
      <c r="AH583" s="39">
        <v>0</v>
      </c>
      <c r="AI583" s="33">
        <v>0</v>
      </c>
      <c r="AJ583" s="33">
        <f t="shared" si="9"/>
        <v>0</v>
      </c>
      <c r="AO583"/>
      <c r="AP583"/>
      <c r="AQ583"/>
      <c r="AR583"/>
      <c r="AS583"/>
      <c r="AT583"/>
      <c r="AU583"/>
    </row>
    <row r="584" spans="1:47" x14ac:dyDescent="0.2">
      <c r="A584" s="33" t="s">
        <v>1470</v>
      </c>
      <c r="B584" s="33" t="s">
        <v>1471</v>
      </c>
      <c r="C584" s="33">
        <v>55</v>
      </c>
      <c r="D584" s="33">
        <v>1</v>
      </c>
      <c r="E584" s="33" t="s">
        <v>2487</v>
      </c>
      <c r="F584" s="37">
        <v>43388</v>
      </c>
      <c r="G584" s="37" t="s">
        <v>4033</v>
      </c>
      <c r="H584" s="37" t="s">
        <v>4724</v>
      </c>
      <c r="I584" s="36">
        <v>4.5833333333333337E-2</v>
      </c>
      <c r="J584" s="177">
        <v>7.6388888888888893E-4</v>
      </c>
      <c r="K584" s="39">
        <v>66</v>
      </c>
      <c r="L584" s="33" t="s">
        <v>398</v>
      </c>
      <c r="M584" s="33" t="s">
        <v>241</v>
      </c>
      <c r="N584" s="33" t="s">
        <v>102</v>
      </c>
      <c r="O584" s="33" t="s">
        <v>115</v>
      </c>
      <c r="P584" s="33">
        <v>1</v>
      </c>
      <c r="Q584" s="33"/>
      <c r="R584" s="33">
        <v>0</v>
      </c>
      <c r="S584" s="33"/>
      <c r="T584" t="s">
        <v>461</v>
      </c>
      <c r="U584" s="33" t="s">
        <v>2125</v>
      </c>
      <c r="V584" s="33" t="s">
        <v>122</v>
      </c>
      <c r="W584" s="33" t="s">
        <v>115</v>
      </c>
      <c r="X584" s="33" t="s">
        <v>115</v>
      </c>
      <c r="Y584" s="33" t="s">
        <v>115</v>
      </c>
      <c r="Z584" s="33" t="s">
        <v>115</v>
      </c>
      <c r="AA584" s="33" t="s">
        <v>115</v>
      </c>
      <c r="AB584" s="35" t="s">
        <v>115</v>
      </c>
      <c r="AC584" s="35"/>
      <c r="AD584" s="39">
        <v>0</v>
      </c>
      <c r="AE584" s="39">
        <v>0</v>
      </c>
      <c r="AF584" s="39">
        <v>0</v>
      </c>
      <c r="AG584" s="39">
        <v>0</v>
      </c>
      <c r="AH584" s="39">
        <v>0</v>
      </c>
      <c r="AI584" s="33">
        <v>0</v>
      </c>
      <c r="AJ584" s="33">
        <f t="shared" si="9"/>
        <v>0</v>
      </c>
      <c r="AK584" s="33"/>
      <c r="AL584" s="33"/>
      <c r="AM584" s="33"/>
      <c r="AN584" s="33"/>
    </row>
    <row r="585" spans="1:47" s="33" customFormat="1" x14ac:dyDescent="0.2">
      <c r="A585" t="s">
        <v>1472</v>
      </c>
      <c r="B585" t="s">
        <v>1473</v>
      </c>
      <c r="C585">
        <v>56</v>
      </c>
      <c r="D585">
        <v>1</v>
      </c>
      <c r="E585" t="s">
        <v>2487</v>
      </c>
      <c r="F585" s="1">
        <v>43388</v>
      </c>
      <c r="G585" s="37" t="s">
        <v>4033</v>
      </c>
      <c r="H585" s="37" t="s">
        <v>4724</v>
      </c>
      <c r="I585" s="2">
        <v>1.4583333333333332E-2</v>
      </c>
      <c r="J585" s="176">
        <v>2.4305555555555552E-4</v>
      </c>
      <c r="K585" s="6">
        <v>21</v>
      </c>
      <c r="L585" t="s">
        <v>398</v>
      </c>
      <c r="M585" s="7" t="s">
        <v>176</v>
      </c>
      <c r="N585"/>
      <c r="O585" t="s">
        <v>115</v>
      </c>
      <c r="P585">
        <v>0</v>
      </c>
      <c r="Q585"/>
      <c r="R585" s="7">
        <v>1</v>
      </c>
      <c r="S585"/>
      <c r="T585" t="s">
        <v>14</v>
      </c>
      <c r="U585" t="s">
        <v>2128</v>
      </c>
      <c r="V585" s="7" t="s">
        <v>122</v>
      </c>
      <c r="W585" s="7" t="s">
        <v>1035</v>
      </c>
      <c r="X585" s="44" t="s">
        <v>23</v>
      </c>
      <c r="Y585" s="44" t="s">
        <v>3997</v>
      </c>
      <c r="Z585" s="44" t="s">
        <v>4006</v>
      </c>
      <c r="AA585" s="7" t="s">
        <v>24</v>
      </c>
      <c r="AB585" s="20">
        <v>63.721649999999997</v>
      </c>
      <c r="AC585" s="20">
        <v>148.98887999999999</v>
      </c>
      <c r="AD585" s="6">
        <v>0</v>
      </c>
      <c r="AE585" s="6">
        <v>0</v>
      </c>
      <c r="AF585" s="6">
        <v>0</v>
      </c>
      <c r="AG585" s="6">
        <v>0</v>
      </c>
      <c r="AH585" s="6">
        <v>0</v>
      </c>
      <c r="AI585">
        <v>0</v>
      </c>
      <c r="AJ585">
        <f t="shared" si="9"/>
        <v>0</v>
      </c>
      <c r="AK585"/>
      <c r="AL585" t="s">
        <v>5006</v>
      </c>
      <c r="AM585"/>
      <c r="AN585"/>
      <c r="AO585"/>
      <c r="AP585"/>
      <c r="AQ585"/>
      <c r="AR585"/>
      <c r="AS585"/>
      <c r="AT585"/>
      <c r="AU585"/>
    </row>
    <row r="586" spans="1:47" x14ac:dyDescent="0.2">
      <c r="A586" s="33" t="s">
        <v>1475</v>
      </c>
      <c r="B586" s="33" t="s">
        <v>1476</v>
      </c>
      <c r="C586" s="33">
        <v>57</v>
      </c>
      <c r="D586" s="33">
        <v>1</v>
      </c>
      <c r="E586" s="33" t="s">
        <v>2487</v>
      </c>
      <c r="F586" s="37">
        <v>43388</v>
      </c>
      <c r="G586" s="37" t="s">
        <v>4033</v>
      </c>
      <c r="H586" s="37" t="s">
        <v>4724</v>
      </c>
      <c r="I586" s="36">
        <v>5.6250000000000001E-2</v>
      </c>
      <c r="J586" s="177">
        <v>9.3750000000000007E-4</v>
      </c>
      <c r="K586" s="39">
        <v>81</v>
      </c>
      <c r="L586" s="33" t="s">
        <v>398</v>
      </c>
      <c r="M586" s="7" t="s">
        <v>2488</v>
      </c>
      <c r="N586" s="33" t="s">
        <v>102</v>
      </c>
      <c r="O586" s="33" t="s">
        <v>115</v>
      </c>
      <c r="P586" s="33">
        <v>1</v>
      </c>
      <c r="Q586" s="33"/>
      <c r="R586" s="33">
        <v>0</v>
      </c>
      <c r="S586" s="33"/>
      <c r="T586" t="s">
        <v>461</v>
      </c>
      <c r="U586" s="33" t="s">
        <v>2125</v>
      </c>
      <c r="V586" s="33" t="s">
        <v>122</v>
      </c>
      <c r="W586" s="33" t="s">
        <v>115</v>
      </c>
      <c r="X586" s="33" t="s">
        <v>115</v>
      </c>
      <c r="Y586" s="33" t="s">
        <v>115</v>
      </c>
      <c r="Z586" s="33" t="s">
        <v>115</v>
      </c>
      <c r="AA586" s="33" t="s">
        <v>115</v>
      </c>
      <c r="AB586" s="35" t="s">
        <v>115</v>
      </c>
      <c r="AC586" s="35"/>
      <c r="AD586" s="39">
        <v>0</v>
      </c>
      <c r="AE586" s="39">
        <v>0</v>
      </c>
      <c r="AF586" s="39">
        <v>0</v>
      </c>
      <c r="AG586" s="39">
        <v>0</v>
      </c>
      <c r="AH586" s="6">
        <v>0</v>
      </c>
      <c r="AI586" s="33">
        <v>0</v>
      </c>
      <c r="AJ586" s="33">
        <f t="shared" si="9"/>
        <v>0</v>
      </c>
      <c r="AK586" s="33"/>
      <c r="AL586" s="33"/>
      <c r="AM586" s="33"/>
      <c r="AN586" s="33"/>
      <c r="AO586" s="33"/>
      <c r="AP586" s="33"/>
      <c r="AQ586" s="34"/>
      <c r="AR586" s="33"/>
      <c r="AS586" s="33"/>
      <c r="AT586" s="33"/>
      <c r="AU586" s="33"/>
    </row>
    <row r="587" spans="1:47" s="33" customFormat="1" x14ac:dyDescent="0.2">
      <c r="A587" s="33" t="s">
        <v>1477</v>
      </c>
      <c r="B587" s="33" t="s">
        <v>1478</v>
      </c>
      <c r="C587" s="33">
        <v>58</v>
      </c>
      <c r="D587" s="33">
        <v>1</v>
      </c>
      <c r="E587" s="33" t="s">
        <v>2487</v>
      </c>
      <c r="F587" s="37">
        <v>43388</v>
      </c>
      <c r="G587" s="37" t="s">
        <v>4033</v>
      </c>
      <c r="H587" s="37" t="s">
        <v>4724</v>
      </c>
      <c r="I587" s="36">
        <v>1.6666666666666666E-2</v>
      </c>
      <c r="J587" s="177">
        <v>2.7777777777777778E-4</v>
      </c>
      <c r="K587" s="39">
        <v>24</v>
      </c>
      <c r="L587" s="33" t="s">
        <v>398</v>
      </c>
      <c r="M587" s="33" t="s">
        <v>241</v>
      </c>
      <c r="N587" s="33" t="s">
        <v>102</v>
      </c>
      <c r="O587" s="33" t="s">
        <v>115</v>
      </c>
      <c r="P587" s="33">
        <v>1</v>
      </c>
      <c r="R587" s="33">
        <v>0</v>
      </c>
      <c r="T587" t="s">
        <v>461</v>
      </c>
      <c r="U587" s="33" t="s">
        <v>2125</v>
      </c>
      <c r="V587" s="33" t="s">
        <v>122</v>
      </c>
      <c r="W587" s="33" t="s">
        <v>115</v>
      </c>
      <c r="X587" s="33" t="s">
        <v>115</v>
      </c>
      <c r="Y587" s="33" t="s">
        <v>115</v>
      </c>
      <c r="Z587" s="33" t="s">
        <v>115</v>
      </c>
      <c r="AA587" s="33" t="s">
        <v>115</v>
      </c>
      <c r="AB587" s="35" t="s">
        <v>115</v>
      </c>
      <c r="AC587" s="35"/>
      <c r="AD587" s="39">
        <v>0</v>
      </c>
      <c r="AE587" s="39">
        <v>0</v>
      </c>
      <c r="AF587" s="39">
        <v>0</v>
      </c>
      <c r="AG587" s="39">
        <v>0</v>
      </c>
      <c r="AH587" s="6">
        <v>0</v>
      </c>
      <c r="AI587" s="33">
        <v>0</v>
      </c>
      <c r="AJ587" s="33">
        <f t="shared" si="9"/>
        <v>0</v>
      </c>
      <c r="AO587"/>
      <c r="AP587"/>
      <c r="AQ587"/>
      <c r="AR587"/>
      <c r="AS587"/>
      <c r="AT587"/>
      <c r="AU587"/>
    </row>
    <row r="588" spans="1:47" s="33" customFormat="1" x14ac:dyDescent="0.2">
      <c r="A588" s="33" t="s">
        <v>1479</v>
      </c>
      <c r="B588" s="33" t="s">
        <v>1480</v>
      </c>
      <c r="C588" s="33">
        <v>59</v>
      </c>
      <c r="D588" s="33">
        <v>1</v>
      </c>
      <c r="E588" s="33" t="s">
        <v>2487</v>
      </c>
      <c r="F588" s="37">
        <v>43388</v>
      </c>
      <c r="G588" s="37" t="s">
        <v>4033</v>
      </c>
      <c r="H588" s="37" t="s">
        <v>4724</v>
      </c>
      <c r="I588" s="36">
        <v>6.8749999999999992E-2</v>
      </c>
      <c r="J588" s="177">
        <v>1.1458333333333333E-3</v>
      </c>
      <c r="K588" s="39">
        <v>99</v>
      </c>
      <c r="L588" s="33" t="s">
        <v>398</v>
      </c>
      <c r="M588" s="7" t="s">
        <v>2488</v>
      </c>
      <c r="N588" s="33" t="s">
        <v>102</v>
      </c>
      <c r="O588" s="33" t="s">
        <v>115</v>
      </c>
      <c r="P588" s="33">
        <v>1</v>
      </c>
      <c r="R588" s="33">
        <v>0</v>
      </c>
      <c r="T588" t="s">
        <v>461</v>
      </c>
      <c r="U588" s="33" t="s">
        <v>2125</v>
      </c>
      <c r="V588" s="33" t="s">
        <v>122</v>
      </c>
      <c r="W588" s="33" t="s">
        <v>115</v>
      </c>
      <c r="X588" s="33" t="s">
        <v>115</v>
      </c>
      <c r="Y588" s="33" t="s">
        <v>115</v>
      </c>
      <c r="Z588" s="33" t="s">
        <v>115</v>
      </c>
      <c r="AA588" s="33" t="s">
        <v>115</v>
      </c>
      <c r="AB588" s="35" t="s">
        <v>115</v>
      </c>
      <c r="AC588" s="35"/>
      <c r="AD588" s="39">
        <v>0</v>
      </c>
      <c r="AE588" s="39">
        <v>0</v>
      </c>
      <c r="AF588" s="39">
        <v>0</v>
      </c>
      <c r="AG588" s="39">
        <v>0</v>
      </c>
      <c r="AH588" s="6">
        <v>0</v>
      </c>
      <c r="AI588" s="33">
        <v>0</v>
      </c>
      <c r="AJ588" s="33">
        <f t="shared" si="9"/>
        <v>0</v>
      </c>
      <c r="AO588"/>
      <c r="AP588"/>
      <c r="AQ588"/>
      <c r="AR588"/>
      <c r="AS588"/>
      <c r="AT588"/>
      <c r="AU588"/>
    </row>
    <row r="589" spans="1:47" s="33" customFormat="1" x14ac:dyDescent="0.2">
      <c r="A589" s="33" t="s">
        <v>1481</v>
      </c>
      <c r="B589" s="33" t="s">
        <v>1482</v>
      </c>
      <c r="C589" s="33">
        <v>60</v>
      </c>
      <c r="D589" s="33">
        <v>1</v>
      </c>
      <c r="E589" s="33" t="s">
        <v>2487</v>
      </c>
      <c r="F589" s="37">
        <v>43388</v>
      </c>
      <c r="G589" s="37" t="s">
        <v>4033</v>
      </c>
      <c r="H589" s="37" t="s">
        <v>4724</v>
      </c>
      <c r="I589" s="36">
        <v>8.3333333333333329E-2</v>
      </c>
      <c r="J589" s="177">
        <v>1.3888888888888889E-3</v>
      </c>
      <c r="K589" s="39">
        <v>120</v>
      </c>
      <c r="L589" s="33" t="s">
        <v>398</v>
      </c>
      <c r="M589" s="7" t="s">
        <v>2488</v>
      </c>
      <c r="N589" s="33" t="s">
        <v>102</v>
      </c>
      <c r="O589" s="33" t="s">
        <v>115</v>
      </c>
      <c r="P589" s="33">
        <v>1</v>
      </c>
      <c r="R589" s="33">
        <v>0</v>
      </c>
      <c r="T589" t="s">
        <v>461</v>
      </c>
      <c r="U589" s="33" t="s">
        <v>2125</v>
      </c>
      <c r="V589" s="33" t="s">
        <v>122</v>
      </c>
      <c r="W589" s="33" t="s">
        <v>115</v>
      </c>
      <c r="X589" s="33" t="s">
        <v>115</v>
      </c>
      <c r="Y589" s="33" t="s">
        <v>115</v>
      </c>
      <c r="Z589" s="33" t="s">
        <v>115</v>
      </c>
      <c r="AA589" s="33" t="s">
        <v>115</v>
      </c>
      <c r="AB589" s="35" t="s">
        <v>115</v>
      </c>
      <c r="AC589" s="35"/>
      <c r="AD589" s="33">
        <v>0</v>
      </c>
      <c r="AE589" s="39">
        <v>0</v>
      </c>
      <c r="AF589" s="39">
        <v>0</v>
      </c>
      <c r="AG589" s="39">
        <v>0</v>
      </c>
      <c r="AH589" s="6">
        <v>0</v>
      </c>
      <c r="AI589" s="33">
        <v>0</v>
      </c>
      <c r="AJ589" s="33">
        <f t="shared" si="9"/>
        <v>0</v>
      </c>
      <c r="AO589"/>
      <c r="AP589"/>
      <c r="AQ589"/>
      <c r="AR589"/>
      <c r="AS589"/>
      <c r="AT589"/>
      <c r="AU589"/>
    </row>
    <row r="590" spans="1:47" s="33" customFormat="1" x14ac:dyDescent="0.2">
      <c r="A590" s="33" t="s">
        <v>1483</v>
      </c>
      <c r="B590" s="33" t="s">
        <v>1484</v>
      </c>
      <c r="C590" s="33">
        <v>61</v>
      </c>
      <c r="D590" s="33">
        <v>1</v>
      </c>
      <c r="E590" s="33" t="s">
        <v>2487</v>
      </c>
      <c r="F590" s="37">
        <v>43388</v>
      </c>
      <c r="G590" s="37" t="s">
        <v>4033</v>
      </c>
      <c r="H590" s="37" t="s">
        <v>4724</v>
      </c>
      <c r="I590" s="36">
        <v>1.1111111111111112E-2</v>
      </c>
      <c r="J590" s="177">
        <v>1.8518518518518518E-4</v>
      </c>
      <c r="K590" s="39">
        <v>16</v>
      </c>
      <c r="L590" s="33" t="s">
        <v>398</v>
      </c>
      <c r="M590" s="33" t="s">
        <v>241</v>
      </c>
      <c r="N590" s="33" t="s">
        <v>102</v>
      </c>
      <c r="O590" s="33" t="s">
        <v>115</v>
      </c>
      <c r="P590" s="33">
        <v>1</v>
      </c>
      <c r="R590" s="33">
        <v>0</v>
      </c>
      <c r="T590" t="s">
        <v>461</v>
      </c>
      <c r="U590" s="33" t="s">
        <v>2125</v>
      </c>
      <c r="V590" s="33" t="s">
        <v>122</v>
      </c>
      <c r="W590" s="33" t="s">
        <v>115</v>
      </c>
      <c r="X590" s="33" t="s">
        <v>115</v>
      </c>
      <c r="Y590" s="33" t="s">
        <v>115</v>
      </c>
      <c r="Z590" s="33" t="s">
        <v>115</v>
      </c>
      <c r="AA590" s="33" t="s">
        <v>115</v>
      </c>
      <c r="AB590" s="35" t="s">
        <v>115</v>
      </c>
      <c r="AC590" s="35"/>
      <c r="AD590" s="33">
        <v>0</v>
      </c>
      <c r="AE590" s="39">
        <v>0</v>
      </c>
      <c r="AF590" s="39">
        <v>0</v>
      </c>
      <c r="AG590" s="39">
        <v>0</v>
      </c>
      <c r="AH590" s="6">
        <v>0</v>
      </c>
      <c r="AI590" s="33">
        <v>0</v>
      </c>
      <c r="AJ590" s="33">
        <f t="shared" si="9"/>
        <v>0</v>
      </c>
      <c r="AO590"/>
      <c r="AP590"/>
      <c r="AQ590"/>
      <c r="AR590"/>
      <c r="AS590"/>
      <c r="AT590"/>
      <c r="AU590"/>
    </row>
    <row r="591" spans="1:47" s="33" customFormat="1" x14ac:dyDescent="0.2">
      <c r="A591" s="33" t="s">
        <v>1485</v>
      </c>
      <c r="B591" s="33" t="s">
        <v>1486</v>
      </c>
      <c r="C591" s="33">
        <v>62</v>
      </c>
      <c r="D591" s="33">
        <v>1</v>
      </c>
      <c r="E591" s="33" t="s">
        <v>2487</v>
      </c>
      <c r="F591" s="37">
        <v>43388</v>
      </c>
      <c r="G591" s="37" t="s">
        <v>4033</v>
      </c>
      <c r="H591" s="37" t="s">
        <v>4724</v>
      </c>
      <c r="I591" s="36">
        <v>2.4999999999999998E-2</v>
      </c>
      <c r="J591" s="177">
        <v>4.1666666666666669E-4</v>
      </c>
      <c r="K591" s="39">
        <v>36</v>
      </c>
      <c r="L591" s="33" t="s">
        <v>398</v>
      </c>
      <c r="M591" s="33" t="s">
        <v>241</v>
      </c>
      <c r="N591" s="33" t="s">
        <v>102</v>
      </c>
      <c r="O591" s="33" t="s">
        <v>115</v>
      </c>
      <c r="P591" s="33">
        <v>1</v>
      </c>
      <c r="R591" s="33">
        <v>0</v>
      </c>
      <c r="T591" t="s">
        <v>461</v>
      </c>
      <c r="U591" s="33" t="s">
        <v>2125</v>
      </c>
      <c r="V591" s="33" t="s">
        <v>122</v>
      </c>
      <c r="W591" s="33" t="s">
        <v>115</v>
      </c>
      <c r="X591" s="33" t="s">
        <v>115</v>
      </c>
      <c r="Y591" s="33" t="s">
        <v>115</v>
      </c>
      <c r="Z591" s="33" t="s">
        <v>115</v>
      </c>
      <c r="AA591" s="33" t="s">
        <v>115</v>
      </c>
      <c r="AB591" s="35" t="s">
        <v>115</v>
      </c>
      <c r="AC591" s="35"/>
      <c r="AD591" s="39">
        <v>0</v>
      </c>
      <c r="AE591" s="39">
        <v>0</v>
      </c>
      <c r="AF591" s="39">
        <v>0</v>
      </c>
      <c r="AG591" s="39">
        <v>0</v>
      </c>
      <c r="AH591" s="6">
        <v>0</v>
      </c>
      <c r="AI591" s="33">
        <v>0</v>
      </c>
      <c r="AJ591" s="33">
        <f t="shared" si="9"/>
        <v>0</v>
      </c>
      <c r="AQ591" s="34"/>
    </row>
    <row r="592" spans="1:47" s="33" customFormat="1" x14ac:dyDescent="0.2">
      <c r="A592" s="33" t="s">
        <v>1487</v>
      </c>
      <c r="B592" s="33" t="s">
        <v>1488</v>
      </c>
      <c r="C592" s="33">
        <v>63</v>
      </c>
      <c r="D592" s="33">
        <v>1</v>
      </c>
      <c r="E592" s="33" t="s">
        <v>2487</v>
      </c>
      <c r="F592" s="37">
        <v>43388</v>
      </c>
      <c r="G592" s="37" t="s">
        <v>4033</v>
      </c>
      <c r="H592" s="37" t="s">
        <v>4724</v>
      </c>
      <c r="I592" s="36">
        <v>7.013888888888889E-2</v>
      </c>
      <c r="J592" s="177">
        <v>1.1689814814814816E-3</v>
      </c>
      <c r="K592" s="39">
        <v>101</v>
      </c>
      <c r="L592" s="33" t="s">
        <v>398</v>
      </c>
      <c r="M592" s="33" t="s">
        <v>241</v>
      </c>
      <c r="N592" s="33" t="s">
        <v>102</v>
      </c>
      <c r="O592" s="33" t="s">
        <v>115</v>
      </c>
      <c r="P592" s="33">
        <v>1</v>
      </c>
      <c r="R592" s="33">
        <v>0</v>
      </c>
      <c r="T592" t="s">
        <v>461</v>
      </c>
      <c r="U592" s="33" t="s">
        <v>2125</v>
      </c>
      <c r="V592" s="33" t="s">
        <v>122</v>
      </c>
      <c r="W592" s="33" t="s">
        <v>115</v>
      </c>
      <c r="X592" s="33" t="s">
        <v>115</v>
      </c>
      <c r="Y592" s="33" t="s">
        <v>115</v>
      </c>
      <c r="Z592" s="33" t="s">
        <v>115</v>
      </c>
      <c r="AA592" s="33" t="s">
        <v>115</v>
      </c>
      <c r="AB592" s="35" t="s">
        <v>115</v>
      </c>
      <c r="AC592" s="35"/>
      <c r="AD592" s="39">
        <v>0</v>
      </c>
      <c r="AE592" s="39">
        <v>0</v>
      </c>
      <c r="AF592" s="39">
        <v>0</v>
      </c>
      <c r="AG592" s="39">
        <v>0</v>
      </c>
      <c r="AH592" s="6">
        <v>0</v>
      </c>
      <c r="AI592" s="33">
        <v>0</v>
      </c>
      <c r="AJ592" s="33">
        <f t="shared" si="9"/>
        <v>0</v>
      </c>
      <c r="AO592"/>
      <c r="AP592"/>
      <c r="AQ592"/>
      <c r="AR592"/>
      <c r="AS592"/>
      <c r="AT592"/>
      <c r="AU592"/>
    </row>
    <row r="593" spans="1:47" x14ac:dyDescent="0.2">
      <c r="A593" t="s">
        <v>1489</v>
      </c>
      <c r="B593" t="s">
        <v>1490</v>
      </c>
      <c r="C593">
        <v>64</v>
      </c>
      <c r="D593">
        <v>1</v>
      </c>
      <c r="E593" t="s">
        <v>2487</v>
      </c>
      <c r="F593" s="1">
        <v>43388</v>
      </c>
      <c r="G593" s="37" t="s">
        <v>4033</v>
      </c>
      <c r="H593" s="37" t="s">
        <v>4724</v>
      </c>
      <c r="I593" s="2">
        <v>1.7361111111111112E-2</v>
      </c>
      <c r="J593" s="176">
        <v>2.8935185185185189E-4</v>
      </c>
      <c r="K593" s="6">
        <v>25</v>
      </c>
      <c r="L593" t="s">
        <v>398</v>
      </c>
      <c r="M593" s="7" t="s">
        <v>241</v>
      </c>
      <c r="N593" t="s">
        <v>111</v>
      </c>
      <c r="O593" t="s">
        <v>23</v>
      </c>
      <c r="P593">
        <v>0</v>
      </c>
      <c r="R593" s="7">
        <v>1</v>
      </c>
      <c r="T593" t="s">
        <v>461</v>
      </c>
      <c r="U593" t="s">
        <v>2125</v>
      </c>
      <c r="V593" s="7" t="s">
        <v>122</v>
      </c>
      <c r="W593" s="7" t="s">
        <v>1035</v>
      </c>
      <c r="X593" s="33" t="s">
        <v>23</v>
      </c>
      <c r="Y593" s="33" t="s">
        <v>3997</v>
      </c>
      <c r="Z593" s="33" t="s">
        <v>4006</v>
      </c>
      <c r="AA593" s="7" t="s">
        <v>24</v>
      </c>
      <c r="AB593" s="20">
        <v>63.721519999999998</v>
      </c>
      <c r="AC593" s="20">
        <v>148.98714000000001</v>
      </c>
      <c r="AD593" s="6">
        <v>0</v>
      </c>
      <c r="AE593" s="6">
        <v>0</v>
      </c>
      <c r="AF593" s="6">
        <v>0</v>
      </c>
      <c r="AG593" s="6">
        <v>0</v>
      </c>
      <c r="AH593" s="6">
        <v>0</v>
      </c>
      <c r="AI593">
        <v>0</v>
      </c>
      <c r="AJ593">
        <f t="shared" si="9"/>
        <v>0</v>
      </c>
    </row>
    <row r="594" spans="1:47" x14ac:dyDescent="0.2">
      <c r="A594" s="33" t="s">
        <v>1491</v>
      </c>
      <c r="B594" s="33" t="s">
        <v>1492</v>
      </c>
      <c r="C594" s="33">
        <v>65</v>
      </c>
      <c r="D594" s="33">
        <v>1</v>
      </c>
      <c r="E594" s="33" t="s">
        <v>2487</v>
      </c>
      <c r="F594" s="37">
        <v>43388</v>
      </c>
      <c r="G594" s="37" t="s">
        <v>4033</v>
      </c>
      <c r="H594" s="37" t="s">
        <v>4724</v>
      </c>
      <c r="I594" s="36">
        <v>0.10347222222222223</v>
      </c>
      <c r="J594" s="177">
        <v>1.7245370370370372E-3</v>
      </c>
      <c r="K594" s="39">
        <v>149</v>
      </c>
      <c r="L594" s="33" t="s">
        <v>398</v>
      </c>
      <c r="M594" s="7" t="s">
        <v>2488</v>
      </c>
      <c r="N594" s="33" t="s">
        <v>187</v>
      </c>
      <c r="O594" s="33" t="s">
        <v>23</v>
      </c>
      <c r="P594" s="33">
        <v>1</v>
      </c>
      <c r="Q594" s="33"/>
      <c r="R594" s="33">
        <v>1</v>
      </c>
      <c r="S594" s="33"/>
      <c r="T594" t="s">
        <v>461</v>
      </c>
      <c r="U594" s="33" t="s">
        <v>2125</v>
      </c>
      <c r="V594" s="33" t="s">
        <v>122</v>
      </c>
      <c r="W594" s="7" t="s">
        <v>1035</v>
      </c>
      <c r="X594" s="33" t="s">
        <v>23</v>
      </c>
      <c r="Y594" s="33" t="s">
        <v>3997</v>
      </c>
      <c r="Z594" s="33" t="s">
        <v>4006</v>
      </c>
      <c r="AA594" s="33" t="s">
        <v>24</v>
      </c>
      <c r="AB594" s="35">
        <v>63.72193</v>
      </c>
      <c r="AC594" s="35">
        <v>148.98715000000001</v>
      </c>
      <c r="AD594" s="39">
        <v>0</v>
      </c>
      <c r="AE594" s="39">
        <v>0</v>
      </c>
      <c r="AF594" s="39">
        <v>0</v>
      </c>
      <c r="AG594" s="39">
        <v>0</v>
      </c>
      <c r="AH594" s="6">
        <v>0</v>
      </c>
      <c r="AI594" s="33">
        <v>0</v>
      </c>
      <c r="AJ594" s="33">
        <f t="shared" si="9"/>
        <v>0</v>
      </c>
      <c r="AK594" s="33"/>
      <c r="AL594" s="33"/>
      <c r="AM594" s="33"/>
      <c r="AN594" s="33"/>
      <c r="AO594" s="33"/>
      <c r="AP594" s="33"/>
      <c r="AQ594" s="34"/>
      <c r="AR594" s="33"/>
      <c r="AS594" s="33"/>
      <c r="AT594" s="33"/>
      <c r="AU594" s="33"/>
    </row>
    <row r="595" spans="1:47" s="33" customFormat="1" x14ac:dyDescent="0.2">
      <c r="A595" s="33" t="s">
        <v>1493</v>
      </c>
      <c r="B595" s="33" t="s">
        <v>1494</v>
      </c>
      <c r="C595" s="33">
        <v>66</v>
      </c>
      <c r="D595" s="33">
        <v>1</v>
      </c>
      <c r="E595" s="33" t="s">
        <v>2487</v>
      </c>
      <c r="F595" s="37">
        <v>43388</v>
      </c>
      <c r="G595" s="37" t="s">
        <v>4033</v>
      </c>
      <c r="H595" s="37" t="s">
        <v>4724</v>
      </c>
      <c r="I595" s="36">
        <v>4.0972222222222222E-2</v>
      </c>
      <c r="J595" s="177">
        <v>6.8287037037037025E-4</v>
      </c>
      <c r="K595" s="39">
        <v>59</v>
      </c>
      <c r="L595" s="33" t="s">
        <v>398</v>
      </c>
      <c r="M595" s="7" t="s">
        <v>2488</v>
      </c>
      <c r="N595" s="33" t="s">
        <v>102</v>
      </c>
      <c r="O595" s="33" t="s">
        <v>115</v>
      </c>
      <c r="P595" s="33">
        <v>1</v>
      </c>
      <c r="R595" s="33">
        <v>0</v>
      </c>
      <c r="T595" t="s">
        <v>461</v>
      </c>
      <c r="U595" s="33" t="s">
        <v>2125</v>
      </c>
      <c r="V595" s="33" t="s">
        <v>122</v>
      </c>
      <c r="W595" s="33" t="s">
        <v>115</v>
      </c>
      <c r="X595" s="33" t="s">
        <v>115</v>
      </c>
      <c r="Y595" s="33" t="s">
        <v>115</v>
      </c>
      <c r="Z595" s="33" t="s">
        <v>115</v>
      </c>
      <c r="AA595" s="33" t="s">
        <v>115</v>
      </c>
      <c r="AB595" s="35" t="s">
        <v>115</v>
      </c>
      <c r="AC595" s="35"/>
      <c r="AD595" s="39">
        <v>0</v>
      </c>
      <c r="AE595" s="39">
        <v>0</v>
      </c>
      <c r="AF595" s="39">
        <v>0</v>
      </c>
      <c r="AG595" s="39">
        <v>0</v>
      </c>
      <c r="AH595" s="6">
        <v>0</v>
      </c>
      <c r="AI595" s="33">
        <v>0</v>
      </c>
      <c r="AJ595" s="33">
        <f t="shared" si="9"/>
        <v>0</v>
      </c>
      <c r="AQ595" s="34"/>
    </row>
    <row r="596" spans="1:47" x14ac:dyDescent="0.2">
      <c r="A596" s="33" t="s">
        <v>1495</v>
      </c>
      <c r="B596" s="33" t="s">
        <v>1496</v>
      </c>
      <c r="C596" s="33">
        <v>67</v>
      </c>
      <c r="D596" s="33">
        <v>1</v>
      </c>
      <c r="E596" s="33" t="s">
        <v>2487</v>
      </c>
      <c r="F596" s="37">
        <v>43388</v>
      </c>
      <c r="G596" s="37" t="s">
        <v>4033</v>
      </c>
      <c r="H596" s="37" t="s">
        <v>4724</v>
      </c>
      <c r="I596" s="36">
        <v>1.3888888888888888E-2</v>
      </c>
      <c r="J596" s="177">
        <v>2.3148148148148146E-4</v>
      </c>
      <c r="K596" s="39">
        <v>20</v>
      </c>
      <c r="L596" s="33" t="s">
        <v>398</v>
      </c>
      <c r="M596" s="7" t="s">
        <v>2488</v>
      </c>
      <c r="N596" s="33" t="s">
        <v>102</v>
      </c>
      <c r="O596" s="33" t="s">
        <v>115</v>
      </c>
      <c r="P596" s="33">
        <v>1</v>
      </c>
      <c r="Q596" s="33"/>
      <c r="R596" s="33">
        <v>0</v>
      </c>
      <c r="S596" s="33"/>
      <c r="T596" t="s">
        <v>461</v>
      </c>
      <c r="U596" s="33" t="s">
        <v>2125</v>
      </c>
      <c r="V596" s="33" t="s">
        <v>122</v>
      </c>
      <c r="W596" s="33" t="s">
        <v>115</v>
      </c>
      <c r="X596" s="33" t="s">
        <v>115</v>
      </c>
      <c r="Y596" s="33" t="s">
        <v>115</v>
      </c>
      <c r="Z596" s="33" t="s">
        <v>115</v>
      </c>
      <c r="AA596" s="33" t="s">
        <v>115</v>
      </c>
      <c r="AB596" s="35" t="s">
        <v>115</v>
      </c>
      <c r="AC596" s="35"/>
      <c r="AD596" s="39">
        <v>0</v>
      </c>
      <c r="AE596" s="39">
        <v>0</v>
      </c>
      <c r="AF596" s="39">
        <v>0</v>
      </c>
      <c r="AG596" s="39">
        <v>0</v>
      </c>
      <c r="AH596" s="6">
        <v>0</v>
      </c>
      <c r="AI596" s="33">
        <v>0</v>
      </c>
      <c r="AJ596" s="33">
        <f t="shared" si="9"/>
        <v>0</v>
      </c>
      <c r="AK596" s="33"/>
      <c r="AL596" s="33"/>
      <c r="AM596" s="33"/>
      <c r="AN596" s="33"/>
      <c r="AO596" s="33"/>
      <c r="AP596" s="33"/>
      <c r="AQ596" s="34"/>
      <c r="AR596" s="33"/>
      <c r="AS596" s="33"/>
      <c r="AT596" s="33"/>
      <c r="AU596" s="33"/>
    </row>
    <row r="597" spans="1:47" s="33" customFormat="1" x14ac:dyDescent="0.2">
      <c r="A597" s="33" t="s">
        <v>1497</v>
      </c>
      <c r="B597" s="33" t="s">
        <v>1498</v>
      </c>
      <c r="C597" s="33">
        <v>68</v>
      </c>
      <c r="D597" s="33">
        <v>1</v>
      </c>
      <c r="E597" s="33" t="s">
        <v>2487</v>
      </c>
      <c r="F597" s="37">
        <v>43388</v>
      </c>
      <c r="G597" s="37" t="s">
        <v>4033</v>
      </c>
      <c r="H597" s="37" t="s">
        <v>4724</v>
      </c>
      <c r="I597" s="36">
        <v>6.805555555555555E-2</v>
      </c>
      <c r="J597" s="177">
        <v>1.1342592592592591E-3</v>
      </c>
      <c r="K597" s="39">
        <v>98</v>
      </c>
      <c r="L597" s="33" t="s">
        <v>398</v>
      </c>
      <c r="M597" s="7" t="s">
        <v>2488</v>
      </c>
      <c r="N597" s="33" t="s">
        <v>102</v>
      </c>
      <c r="O597" s="33" t="s">
        <v>115</v>
      </c>
      <c r="P597" s="33">
        <v>1</v>
      </c>
      <c r="R597" s="33">
        <v>0</v>
      </c>
      <c r="T597" t="s">
        <v>461</v>
      </c>
      <c r="U597" s="33" t="s">
        <v>2125</v>
      </c>
      <c r="V597" s="33" t="s">
        <v>122</v>
      </c>
      <c r="W597" s="33" t="s">
        <v>115</v>
      </c>
      <c r="X597" s="33" t="s">
        <v>115</v>
      </c>
      <c r="Y597" s="33" t="s">
        <v>115</v>
      </c>
      <c r="Z597" s="33" t="s">
        <v>115</v>
      </c>
      <c r="AA597" s="33" t="s">
        <v>115</v>
      </c>
      <c r="AB597" s="35" t="s">
        <v>115</v>
      </c>
      <c r="AC597" s="35"/>
      <c r="AD597" s="39">
        <v>0</v>
      </c>
      <c r="AE597" s="39">
        <v>0</v>
      </c>
      <c r="AF597" s="39">
        <v>0</v>
      </c>
      <c r="AG597" s="39">
        <v>0</v>
      </c>
      <c r="AH597" s="6">
        <v>0</v>
      </c>
      <c r="AI597" s="33">
        <v>0</v>
      </c>
      <c r="AJ597" s="33">
        <f t="shared" si="9"/>
        <v>0</v>
      </c>
      <c r="AL597" s="33" t="s">
        <v>1499</v>
      </c>
      <c r="AQ597" s="34"/>
    </row>
    <row r="598" spans="1:47" s="33" customFormat="1" x14ac:dyDescent="0.2">
      <c r="A598" s="33" t="s">
        <v>1500</v>
      </c>
      <c r="B598" s="33" t="s">
        <v>1501</v>
      </c>
      <c r="C598" s="33">
        <v>1</v>
      </c>
      <c r="D598" s="33">
        <v>1</v>
      </c>
      <c r="E598" s="33" t="s">
        <v>324</v>
      </c>
      <c r="F598" s="37">
        <v>43389</v>
      </c>
      <c r="G598" s="37" t="s">
        <v>4033</v>
      </c>
      <c r="H598" s="37" t="s">
        <v>4724</v>
      </c>
      <c r="I598" s="36">
        <v>6.2499999999999995E-3</v>
      </c>
      <c r="J598" s="177">
        <v>1.0416666666666667E-4</v>
      </c>
      <c r="K598" s="39">
        <v>9</v>
      </c>
      <c r="L598" s="33" t="s">
        <v>884</v>
      </c>
      <c r="M598" s="33" t="s">
        <v>337</v>
      </c>
      <c r="N598" s="33" t="s">
        <v>102</v>
      </c>
      <c r="O598" s="33" t="s">
        <v>115</v>
      </c>
      <c r="P598" s="33">
        <v>1</v>
      </c>
      <c r="R598" s="33">
        <v>0</v>
      </c>
      <c r="T598" t="s">
        <v>176</v>
      </c>
      <c r="U598" s="33" t="s">
        <v>176</v>
      </c>
      <c r="V598" s="33" t="s">
        <v>122</v>
      </c>
      <c r="W598" s="33" t="s">
        <v>115</v>
      </c>
      <c r="X598" s="33" t="s">
        <v>115</v>
      </c>
      <c r="Y598" s="33" t="s">
        <v>115</v>
      </c>
      <c r="Z598" s="33" t="s">
        <v>115</v>
      </c>
      <c r="AA598" s="33" t="s">
        <v>115</v>
      </c>
      <c r="AB598" s="35" t="s">
        <v>115</v>
      </c>
      <c r="AC598" s="35"/>
      <c r="AD598" s="39">
        <v>0</v>
      </c>
      <c r="AE598" s="39">
        <v>0</v>
      </c>
      <c r="AF598" s="39">
        <v>0</v>
      </c>
      <c r="AG598" s="39">
        <v>0</v>
      </c>
      <c r="AH598" s="39">
        <v>9</v>
      </c>
      <c r="AI598" s="33">
        <v>0</v>
      </c>
      <c r="AJ598" s="33">
        <f t="shared" si="9"/>
        <v>9</v>
      </c>
      <c r="AL598" s="33" t="s">
        <v>1502</v>
      </c>
      <c r="AO598"/>
      <c r="AP598"/>
      <c r="AQ598"/>
      <c r="AR598"/>
      <c r="AS598"/>
      <c r="AT598"/>
      <c r="AU598"/>
    </row>
    <row r="599" spans="1:47" x14ac:dyDescent="0.2">
      <c r="A599" s="33" t="s">
        <v>1503</v>
      </c>
      <c r="B599" s="33" t="s">
        <v>1504</v>
      </c>
      <c r="C599" s="33">
        <v>2</v>
      </c>
      <c r="D599" s="33">
        <v>1</v>
      </c>
      <c r="E599" s="33" t="s">
        <v>324</v>
      </c>
      <c r="F599" s="37">
        <v>43389</v>
      </c>
      <c r="G599" s="37" t="s">
        <v>4033</v>
      </c>
      <c r="H599" s="37" t="s">
        <v>4724</v>
      </c>
      <c r="I599" s="36">
        <v>4.027777777777778E-2</v>
      </c>
      <c r="J599" s="177">
        <v>6.7129629629629625E-4</v>
      </c>
      <c r="K599" s="39">
        <v>58</v>
      </c>
      <c r="L599" s="33" t="s">
        <v>398</v>
      </c>
      <c r="M599" s="33" t="s">
        <v>337</v>
      </c>
      <c r="N599" s="33" t="s">
        <v>102</v>
      </c>
      <c r="O599" s="33" t="s">
        <v>115</v>
      </c>
      <c r="P599" s="33">
        <v>2</v>
      </c>
      <c r="Q599" s="33" t="s">
        <v>2291</v>
      </c>
      <c r="R599" s="33">
        <v>0</v>
      </c>
      <c r="S599" s="33"/>
      <c r="T599" t="s">
        <v>176</v>
      </c>
      <c r="U599" s="33" t="s">
        <v>176</v>
      </c>
      <c r="V599" s="33" t="s">
        <v>122</v>
      </c>
      <c r="W599" s="33" t="s">
        <v>115</v>
      </c>
      <c r="X599" s="33" t="s">
        <v>115</v>
      </c>
      <c r="Y599" s="33" t="s">
        <v>115</v>
      </c>
      <c r="Z599" s="33" t="s">
        <v>115</v>
      </c>
      <c r="AA599" s="33" t="s">
        <v>115</v>
      </c>
      <c r="AB599" s="35" t="s">
        <v>115</v>
      </c>
      <c r="AC599" s="35"/>
      <c r="AD599" s="39">
        <v>0</v>
      </c>
      <c r="AE599" s="39">
        <v>0</v>
      </c>
      <c r="AF599" s="39">
        <v>0</v>
      </c>
      <c r="AG599" s="39">
        <v>0</v>
      </c>
      <c r="AH599" s="39">
        <v>58</v>
      </c>
      <c r="AI599" s="33">
        <v>0</v>
      </c>
      <c r="AJ599" s="33">
        <f t="shared" si="9"/>
        <v>58</v>
      </c>
      <c r="AK599" s="33"/>
      <c r="AL599" s="33" t="s">
        <v>1502</v>
      </c>
      <c r="AM599" s="33"/>
      <c r="AN599" s="33"/>
    </row>
    <row r="600" spans="1:47" s="33" customFormat="1" x14ac:dyDescent="0.2">
      <c r="A600" t="s">
        <v>1503</v>
      </c>
      <c r="B600" t="s">
        <v>1504</v>
      </c>
      <c r="C600">
        <v>2</v>
      </c>
      <c r="D600">
        <v>1</v>
      </c>
      <c r="E600" t="s">
        <v>324</v>
      </c>
      <c r="F600" s="1">
        <v>43389</v>
      </c>
      <c r="G600" s="37" t="s">
        <v>4033</v>
      </c>
      <c r="H600" s="37" t="s">
        <v>4724</v>
      </c>
      <c r="I600" s="2">
        <v>4.027777777777778E-2</v>
      </c>
      <c r="J600" s="176">
        <v>6.7129629629629625E-4</v>
      </c>
      <c r="K600" s="6">
        <v>58</v>
      </c>
      <c r="L600" t="s">
        <v>398</v>
      </c>
      <c r="M600" s="7" t="s">
        <v>337</v>
      </c>
      <c r="N600" s="7" t="s">
        <v>102</v>
      </c>
      <c r="O600" s="7" t="s">
        <v>115</v>
      </c>
      <c r="P600">
        <v>2</v>
      </c>
      <c r="Q600" s="7" t="s">
        <v>2291</v>
      </c>
      <c r="R600" s="7">
        <v>0</v>
      </c>
      <c r="S600"/>
      <c r="T600" t="s">
        <v>176</v>
      </c>
      <c r="U600" t="s">
        <v>176</v>
      </c>
      <c r="V600" s="7" t="s">
        <v>122</v>
      </c>
      <c r="W600" s="7" t="s">
        <v>115</v>
      </c>
      <c r="X600" s="33" t="s">
        <v>115</v>
      </c>
      <c r="Y600" s="33" t="s">
        <v>115</v>
      </c>
      <c r="Z600" s="33" t="s">
        <v>115</v>
      </c>
      <c r="AA600" s="7" t="s">
        <v>115</v>
      </c>
      <c r="AB600" s="20" t="s">
        <v>115</v>
      </c>
      <c r="AC600" s="20"/>
      <c r="AD600" s="6">
        <v>0</v>
      </c>
      <c r="AE600" s="6">
        <v>0</v>
      </c>
      <c r="AF600" s="6">
        <v>0</v>
      </c>
      <c r="AG600" s="6">
        <v>0</v>
      </c>
      <c r="AH600" s="6">
        <v>58</v>
      </c>
      <c r="AI600">
        <v>0</v>
      </c>
      <c r="AJ600">
        <f t="shared" si="9"/>
        <v>58</v>
      </c>
      <c r="AK600"/>
      <c r="AL600" t="s">
        <v>1502</v>
      </c>
      <c r="AM600"/>
      <c r="AN600"/>
      <c r="AO600"/>
      <c r="AP600"/>
      <c r="AQ600"/>
      <c r="AR600"/>
      <c r="AS600"/>
      <c r="AT600"/>
      <c r="AU600"/>
    </row>
    <row r="601" spans="1:47" s="33" customFormat="1" x14ac:dyDescent="0.2">
      <c r="A601" s="33" t="s">
        <v>1505</v>
      </c>
      <c r="B601" s="33" t="s">
        <v>1506</v>
      </c>
      <c r="C601" s="33">
        <v>3</v>
      </c>
      <c r="D601" s="33">
        <v>1</v>
      </c>
      <c r="E601" s="33" t="s">
        <v>324</v>
      </c>
      <c r="F601" s="37">
        <v>43389</v>
      </c>
      <c r="G601" s="37" t="s">
        <v>4033</v>
      </c>
      <c r="H601" s="37" t="s">
        <v>4724</v>
      </c>
      <c r="I601" s="36">
        <v>2.361111111111111E-2</v>
      </c>
      <c r="J601" s="177">
        <v>3.9351851851851852E-4</v>
      </c>
      <c r="K601" s="39">
        <v>34</v>
      </c>
      <c r="L601" s="33" t="s">
        <v>398</v>
      </c>
      <c r="M601" s="33" t="s">
        <v>325</v>
      </c>
      <c r="N601" s="33" t="s">
        <v>102</v>
      </c>
      <c r="O601" s="33" t="s">
        <v>115</v>
      </c>
      <c r="P601" s="33">
        <v>2</v>
      </c>
      <c r="R601" s="33">
        <v>0</v>
      </c>
      <c r="T601" t="s">
        <v>176</v>
      </c>
      <c r="U601" s="33" t="s">
        <v>176</v>
      </c>
      <c r="V601" s="33" t="s">
        <v>122</v>
      </c>
      <c r="W601" s="33" t="s">
        <v>115</v>
      </c>
      <c r="X601" s="33" t="s">
        <v>115</v>
      </c>
      <c r="Y601" s="33" t="s">
        <v>115</v>
      </c>
      <c r="Z601" s="33" t="s">
        <v>115</v>
      </c>
      <c r="AA601" s="33" t="s">
        <v>115</v>
      </c>
      <c r="AB601" s="35" t="s">
        <v>115</v>
      </c>
      <c r="AC601" s="35"/>
      <c r="AD601" s="39">
        <v>0</v>
      </c>
      <c r="AE601" s="39">
        <v>0</v>
      </c>
      <c r="AF601" s="39">
        <v>0</v>
      </c>
      <c r="AG601" s="39">
        <v>0</v>
      </c>
      <c r="AH601" s="39">
        <v>26</v>
      </c>
      <c r="AI601" s="33">
        <v>0</v>
      </c>
      <c r="AJ601" s="33">
        <f t="shared" si="9"/>
        <v>26</v>
      </c>
      <c r="AL601" s="33" t="s">
        <v>1502</v>
      </c>
      <c r="AO601"/>
      <c r="AP601"/>
      <c r="AQ601"/>
      <c r="AR601"/>
      <c r="AS601"/>
      <c r="AT601"/>
      <c r="AU601"/>
    </row>
    <row r="602" spans="1:47" s="33" customFormat="1" x14ac:dyDescent="0.2">
      <c r="A602" s="33" t="s">
        <v>1507</v>
      </c>
      <c r="B602" s="33" t="s">
        <v>1508</v>
      </c>
      <c r="C602" s="33">
        <v>4</v>
      </c>
      <c r="D602" s="33">
        <v>1</v>
      </c>
      <c r="E602" s="33" t="s">
        <v>324</v>
      </c>
      <c r="F602" s="37">
        <v>43389</v>
      </c>
      <c r="G602" s="37" t="s">
        <v>4033</v>
      </c>
      <c r="H602" s="37" t="s">
        <v>4724</v>
      </c>
      <c r="I602" s="36">
        <v>2.2222222222222223E-2</v>
      </c>
      <c r="J602" s="177">
        <v>3.7037037037037035E-4</v>
      </c>
      <c r="K602" s="39">
        <v>32</v>
      </c>
      <c r="L602" s="33" t="s">
        <v>398</v>
      </c>
      <c r="M602" s="33" t="s">
        <v>325</v>
      </c>
      <c r="N602" s="33" t="s">
        <v>102</v>
      </c>
      <c r="O602" s="33" t="s">
        <v>115</v>
      </c>
      <c r="P602" s="33">
        <v>1</v>
      </c>
      <c r="Q602" s="33" t="s">
        <v>2286</v>
      </c>
      <c r="R602" s="33">
        <v>0</v>
      </c>
      <c r="T602" t="s">
        <v>176</v>
      </c>
      <c r="U602" s="33" t="s">
        <v>176</v>
      </c>
      <c r="V602" s="33" t="s">
        <v>122</v>
      </c>
      <c r="W602" s="33" t="s">
        <v>115</v>
      </c>
      <c r="X602" s="33" t="s">
        <v>115</v>
      </c>
      <c r="Y602" s="33" t="s">
        <v>115</v>
      </c>
      <c r="Z602" s="33" t="s">
        <v>115</v>
      </c>
      <c r="AA602" s="33" t="s">
        <v>115</v>
      </c>
      <c r="AB602" s="35" t="s">
        <v>115</v>
      </c>
      <c r="AC602" s="35"/>
      <c r="AD602" s="39">
        <v>0</v>
      </c>
      <c r="AE602" s="39">
        <v>0</v>
      </c>
      <c r="AF602" s="39">
        <v>0</v>
      </c>
      <c r="AG602" s="39">
        <v>0</v>
      </c>
      <c r="AH602" s="39">
        <v>32</v>
      </c>
      <c r="AI602" s="33">
        <v>0</v>
      </c>
      <c r="AJ602" s="33">
        <f t="shared" si="9"/>
        <v>32</v>
      </c>
      <c r="AL602" s="33" t="s">
        <v>1502</v>
      </c>
      <c r="AQ602" s="34"/>
    </row>
    <row r="603" spans="1:47" s="33" customFormat="1" x14ac:dyDescent="0.2">
      <c r="A603" s="33" t="s">
        <v>1509</v>
      </c>
      <c r="B603" s="33" t="s">
        <v>1510</v>
      </c>
      <c r="C603" s="33">
        <v>5</v>
      </c>
      <c r="D603" s="33">
        <v>1</v>
      </c>
      <c r="E603" s="33" t="s">
        <v>324</v>
      </c>
      <c r="F603" s="37">
        <v>43389</v>
      </c>
      <c r="G603" s="37" t="s">
        <v>4033</v>
      </c>
      <c r="H603" s="37" t="s">
        <v>4724</v>
      </c>
      <c r="I603" s="36">
        <v>7.3611111111111113E-2</v>
      </c>
      <c r="J603" s="177">
        <v>1.2268518518518518E-3</v>
      </c>
      <c r="K603" s="39">
        <v>106</v>
      </c>
      <c r="L603" s="33" t="s">
        <v>398</v>
      </c>
      <c r="M603" s="33" t="s">
        <v>325</v>
      </c>
      <c r="N603" s="33" t="s">
        <v>102</v>
      </c>
      <c r="O603" s="33" t="s">
        <v>115</v>
      </c>
      <c r="P603" s="33">
        <v>2</v>
      </c>
      <c r="Q603" s="33" t="s">
        <v>2295</v>
      </c>
      <c r="R603" s="33">
        <v>0</v>
      </c>
      <c r="T603" t="s">
        <v>176</v>
      </c>
      <c r="U603" s="33" t="s">
        <v>176</v>
      </c>
      <c r="V603" s="33" t="s">
        <v>122</v>
      </c>
      <c r="W603" s="33" t="s">
        <v>115</v>
      </c>
      <c r="X603" s="33" t="s">
        <v>115</v>
      </c>
      <c r="Y603" s="33" t="s">
        <v>115</v>
      </c>
      <c r="Z603" s="33" t="s">
        <v>115</v>
      </c>
      <c r="AA603" s="33" t="s">
        <v>115</v>
      </c>
      <c r="AB603" s="35" t="s">
        <v>115</v>
      </c>
      <c r="AC603" s="35"/>
      <c r="AD603" s="39">
        <v>0</v>
      </c>
      <c r="AE603" s="39">
        <v>0</v>
      </c>
      <c r="AF603" s="39">
        <v>0</v>
      </c>
      <c r="AG603" s="39">
        <v>0</v>
      </c>
      <c r="AH603" s="39">
        <v>106</v>
      </c>
      <c r="AI603" s="33">
        <v>0</v>
      </c>
      <c r="AJ603" s="33">
        <f t="shared" si="9"/>
        <v>106</v>
      </c>
      <c r="AL603" s="33" t="s">
        <v>1502</v>
      </c>
      <c r="AO603"/>
      <c r="AP603"/>
      <c r="AQ603"/>
      <c r="AR603"/>
      <c r="AS603"/>
      <c r="AT603"/>
      <c r="AU603"/>
    </row>
    <row r="604" spans="1:47" s="33" customFormat="1" x14ac:dyDescent="0.2">
      <c r="A604" s="33" t="s">
        <v>1511</v>
      </c>
      <c r="B604" s="33" t="s">
        <v>1512</v>
      </c>
      <c r="C604" s="33">
        <v>6</v>
      </c>
      <c r="D604" s="33">
        <v>1</v>
      </c>
      <c r="E604" s="33" t="s">
        <v>324</v>
      </c>
      <c r="F604" s="37">
        <v>43389</v>
      </c>
      <c r="G604" s="37" t="s">
        <v>4033</v>
      </c>
      <c r="H604" s="37" t="s">
        <v>4724</v>
      </c>
      <c r="I604" s="36">
        <v>1.3888888888888888E-2</v>
      </c>
      <c r="J604" s="177">
        <v>2.3148148148148146E-4</v>
      </c>
      <c r="K604" s="39">
        <v>20</v>
      </c>
      <c r="L604" s="33" t="s">
        <v>398</v>
      </c>
      <c r="M604" s="33" t="s">
        <v>325</v>
      </c>
      <c r="N604" s="33" t="s">
        <v>102</v>
      </c>
      <c r="O604" s="33" t="s">
        <v>115</v>
      </c>
      <c r="P604" s="33">
        <v>1</v>
      </c>
      <c r="R604" s="33">
        <v>0</v>
      </c>
      <c r="T604" t="s">
        <v>176</v>
      </c>
      <c r="U604" s="33" t="s">
        <v>176</v>
      </c>
      <c r="V604" s="33" t="s">
        <v>122</v>
      </c>
      <c r="W604" s="33" t="s">
        <v>115</v>
      </c>
      <c r="X604" s="33" t="s">
        <v>115</v>
      </c>
      <c r="Y604" s="33" t="s">
        <v>115</v>
      </c>
      <c r="Z604" s="33" t="s">
        <v>115</v>
      </c>
      <c r="AA604" s="33" t="s">
        <v>115</v>
      </c>
      <c r="AB604" s="35" t="s">
        <v>115</v>
      </c>
      <c r="AC604" s="35"/>
      <c r="AD604" s="39">
        <v>0</v>
      </c>
      <c r="AE604" s="39">
        <v>0</v>
      </c>
      <c r="AF604" s="39">
        <v>0</v>
      </c>
      <c r="AG604" s="39">
        <v>0</v>
      </c>
      <c r="AH604" s="39">
        <v>15</v>
      </c>
      <c r="AI604" s="33">
        <v>0</v>
      </c>
      <c r="AJ604" s="33">
        <f t="shared" si="9"/>
        <v>15</v>
      </c>
      <c r="AL604" s="33" t="s">
        <v>1502</v>
      </c>
      <c r="AO604" s="4"/>
      <c r="AP604" s="4"/>
      <c r="AQ604" s="4"/>
      <c r="AR604" s="4"/>
      <c r="AS604" s="4"/>
      <c r="AT604" s="4"/>
      <c r="AU604" s="4"/>
    </row>
    <row r="605" spans="1:47" s="33" customFormat="1" x14ac:dyDescent="0.2">
      <c r="A605" s="33" t="s">
        <v>1513</v>
      </c>
      <c r="B605" s="33" t="s">
        <v>1514</v>
      </c>
      <c r="C605" s="33">
        <v>7</v>
      </c>
      <c r="D605" s="33">
        <v>1</v>
      </c>
      <c r="E605" s="33" t="s">
        <v>324</v>
      </c>
      <c r="F605" s="37">
        <v>43389</v>
      </c>
      <c r="G605" s="37" t="s">
        <v>4033</v>
      </c>
      <c r="H605" s="37" t="s">
        <v>4724</v>
      </c>
      <c r="I605" s="36">
        <v>1.0416666666666666E-2</v>
      </c>
      <c r="J605" s="177">
        <v>1.7361111111111112E-4</v>
      </c>
      <c r="K605" s="39">
        <v>15</v>
      </c>
      <c r="L605" s="33" t="s">
        <v>398</v>
      </c>
      <c r="M605" s="33" t="s">
        <v>337</v>
      </c>
      <c r="N605" s="33" t="s">
        <v>102</v>
      </c>
      <c r="O605" s="33" t="s">
        <v>115</v>
      </c>
      <c r="P605" s="33">
        <v>1</v>
      </c>
      <c r="R605" s="33">
        <v>0</v>
      </c>
      <c r="T605" t="s">
        <v>176</v>
      </c>
      <c r="U605" s="33" t="s">
        <v>176</v>
      </c>
      <c r="V605" s="33" t="s">
        <v>122</v>
      </c>
      <c r="W605" s="33" t="s">
        <v>115</v>
      </c>
      <c r="X605" s="33" t="s">
        <v>115</v>
      </c>
      <c r="Y605" s="33" t="s">
        <v>115</v>
      </c>
      <c r="Z605" s="33" t="s">
        <v>115</v>
      </c>
      <c r="AA605" s="33" t="s">
        <v>115</v>
      </c>
      <c r="AB605" s="35" t="s">
        <v>115</v>
      </c>
      <c r="AC605" s="35"/>
      <c r="AD605" s="39">
        <v>0</v>
      </c>
      <c r="AE605" s="39">
        <v>0</v>
      </c>
      <c r="AF605" s="39">
        <v>0</v>
      </c>
      <c r="AG605" s="39">
        <v>0</v>
      </c>
      <c r="AH605" s="39">
        <v>15</v>
      </c>
      <c r="AI605" s="33">
        <v>0</v>
      </c>
      <c r="AJ605" s="33">
        <f t="shared" si="9"/>
        <v>15</v>
      </c>
      <c r="AL605" s="33" t="s">
        <v>1502</v>
      </c>
      <c r="AQ605" s="34"/>
    </row>
    <row r="606" spans="1:47" s="33" customFormat="1" x14ac:dyDescent="0.2">
      <c r="A606" s="33" t="s">
        <v>1515</v>
      </c>
      <c r="B606" s="33" t="s">
        <v>1516</v>
      </c>
      <c r="C606" s="33">
        <v>8</v>
      </c>
      <c r="D606" s="33">
        <v>1</v>
      </c>
      <c r="E606" s="33" t="s">
        <v>324</v>
      </c>
      <c r="F606" s="37">
        <v>43389</v>
      </c>
      <c r="G606" s="37" t="s">
        <v>4033</v>
      </c>
      <c r="H606" s="37" t="s">
        <v>4724</v>
      </c>
      <c r="I606" s="36">
        <v>2.7083333333333334E-2</v>
      </c>
      <c r="J606" s="177">
        <v>4.5138888888888892E-4</v>
      </c>
      <c r="K606" s="39">
        <v>39</v>
      </c>
      <c r="L606" s="33" t="s">
        <v>398</v>
      </c>
      <c r="M606" s="33" t="s">
        <v>325</v>
      </c>
      <c r="N606" s="33" t="s">
        <v>102</v>
      </c>
      <c r="O606" s="33" t="s">
        <v>115</v>
      </c>
      <c r="P606" s="33">
        <v>1</v>
      </c>
      <c r="Q606" s="33" t="s">
        <v>2286</v>
      </c>
      <c r="R606" s="33">
        <v>0</v>
      </c>
      <c r="T606" t="s">
        <v>176</v>
      </c>
      <c r="U606" s="33" t="s">
        <v>176</v>
      </c>
      <c r="V606" s="33" t="s">
        <v>122</v>
      </c>
      <c r="W606" s="33" t="s">
        <v>115</v>
      </c>
      <c r="X606" s="33" t="s">
        <v>115</v>
      </c>
      <c r="Y606" s="33" t="s">
        <v>115</v>
      </c>
      <c r="Z606" s="33" t="s">
        <v>115</v>
      </c>
      <c r="AA606" s="33" t="s">
        <v>115</v>
      </c>
      <c r="AB606" s="35" t="s">
        <v>115</v>
      </c>
      <c r="AC606" s="35"/>
      <c r="AD606" s="39">
        <v>0</v>
      </c>
      <c r="AE606" s="39">
        <v>0</v>
      </c>
      <c r="AF606" s="39">
        <v>0</v>
      </c>
      <c r="AG606" s="39">
        <v>0</v>
      </c>
      <c r="AH606" s="39">
        <v>39</v>
      </c>
      <c r="AI606" s="33">
        <v>0</v>
      </c>
      <c r="AJ606" s="33">
        <f t="shared" si="9"/>
        <v>39</v>
      </c>
      <c r="AL606" s="33" t="s">
        <v>1502</v>
      </c>
      <c r="AO606"/>
      <c r="AP606"/>
      <c r="AQ606"/>
      <c r="AR606"/>
      <c r="AS606"/>
      <c r="AT606"/>
      <c r="AU606"/>
    </row>
    <row r="607" spans="1:47" x14ac:dyDescent="0.2">
      <c r="A607" s="33" t="s">
        <v>1517</v>
      </c>
      <c r="B607" s="33" t="s">
        <v>1518</v>
      </c>
      <c r="C607" s="33">
        <v>9</v>
      </c>
      <c r="D607" s="33">
        <v>1</v>
      </c>
      <c r="E607" s="33" t="s">
        <v>324</v>
      </c>
      <c r="F607" s="37">
        <v>43389</v>
      </c>
      <c r="G607" s="37" t="s">
        <v>4033</v>
      </c>
      <c r="H607" s="37" t="s">
        <v>4724</v>
      </c>
      <c r="I607" s="36">
        <v>3.3333333333333333E-2</v>
      </c>
      <c r="J607" s="177">
        <v>5.5555555555555556E-4</v>
      </c>
      <c r="K607" s="39">
        <v>48</v>
      </c>
      <c r="L607" s="33" t="s">
        <v>398</v>
      </c>
      <c r="M607" s="33" t="s">
        <v>337</v>
      </c>
      <c r="N607" s="33" t="s">
        <v>102</v>
      </c>
      <c r="O607" s="33" t="s">
        <v>115</v>
      </c>
      <c r="P607" s="33" t="s">
        <v>24</v>
      </c>
      <c r="Q607" s="33"/>
      <c r="R607" s="33">
        <v>0</v>
      </c>
      <c r="S607" s="33"/>
      <c r="T607" t="s">
        <v>176</v>
      </c>
      <c r="U607" s="33" t="s">
        <v>176</v>
      </c>
      <c r="V607" s="33" t="s">
        <v>115</v>
      </c>
      <c r="W607" s="33" t="s">
        <v>115</v>
      </c>
      <c r="X607" s="33" t="s">
        <v>115</v>
      </c>
      <c r="Y607" s="33" t="s">
        <v>115</v>
      </c>
      <c r="Z607" s="33" t="s">
        <v>115</v>
      </c>
      <c r="AA607" s="33" t="s">
        <v>115</v>
      </c>
      <c r="AB607" s="35" t="s">
        <v>115</v>
      </c>
      <c r="AC607" s="35"/>
      <c r="AD607" s="39">
        <v>4</v>
      </c>
      <c r="AE607" s="39">
        <v>0</v>
      </c>
      <c r="AF607" s="39">
        <v>0</v>
      </c>
      <c r="AG607" s="39">
        <v>4</v>
      </c>
      <c r="AH607" s="39">
        <v>0</v>
      </c>
      <c r="AI607" s="33">
        <v>0</v>
      </c>
      <c r="AJ607" s="33">
        <f t="shared" si="9"/>
        <v>4</v>
      </c>
      <c r="AK607" s="33"/>
      <c r="AL607" s="33" t="s">
        <v>3981</v>
      </c>
      <c r="AM607" s="33"/>
      <c r="AN607" s="33"/>
      <c r="AO607" s="33"/>
      <c r="AP607" s="33"/>
      <c r="AQ607" s="34"/>
      <c r="AR607" s="33"/>
      <c r="AS607" s="33"/>
      <c r="AT607" s="33"/>
      <c r="AU607" s="33"/>
    </row>
    <row r="608" spans="1:47" s="33" customFormat="1" x14ac:dyDescent="0.2">
      <c r="A608" t="s">
        <v>1519</v>
      </c>
      <c r="B608" t="s">
        <v>1520</v>
      </c>
      <c r="C608">
        <v>10</v>
      </c>
      <c r="D608">
        <v>1</v>
      </c>
      <c r="E608" t="s">
        <v>324</v>
      </c>
      <c r="F608" s="1">
        <v>43389</v>
      </c>
      <c r="G608" s="37" t="s">
        <v>4033</v>
      </c>
      <c r="H608" s="37" t="s">
        <v>4724</v>
      </c>
      <c r="I608" s="2">
        <v>1.5277777777777777E-2</v>
      </c>
      <c r="J608" s="176">
        <v>2.5462962962962961E-4</v>
      </c>
      <c r="K608" s="6">
        <v>22</v>
      </c>
      <c r="L608" t="s">
        <v>398</v>
      </c>
      <c r="M608" s="7" t="s">
        <v>176</v>
      </c>
      <c r="N608"/>
      <c r="O608" s="7" t="s">
        <v>1196</v>
      </c>
      <c r="P608" s="7">
        <v>0</v>
      </c>
      <c r="Q608" s="7"/>
      <c r="R608" s="7">
        <v>1</v>
      </c>
      <c r="S608"/>
      <c r="T608" t="s">
        <v>14</v>
      </c>
      <c r="U608" s="7" t="s">
        <v>2129</v>
      </c>
      <c r="V608" s="7" t="s">
        <v>122</v>
      </c>
      <c r="W608" s="7" t="s">
        <v>1521</v>
      </c>
      <c r="X608" s="33" t="s">
        <v>1196</v>
      </c>
      <c r="Y608" s="33" t="s">
        <v>3997</v>
      </c>
      <c r="Z608" s="33" t="s">
        <v>4005</v>
      </c>
      <c r="AA608" s="7" t="s">
        <v>24</v>
      </c>
      <c r="AB608" s="20">
        <v>63.723840000000003</v>
      </c>
      <c r="AC608" s="20">
        <v>148.88453999999999</v>
      </c>
      <c r="AD608" s="6">
        <v>0</v>
      </c>
      <c r="AE608" s="6">
        <v>0</v>
      </c>
      <c r="AF608" s="6">
        <v>0</v>
      </c>
      <c r="AG608" s="6">
        <v>0</v>
      </c>
      <c r="AH608" s="6">
        <v>0</v>
      </c>
      <c r="AI608">
        <v>0</v>
      </c>
      <c r="AJ608">
        <f t="shared" si="9"/>
        <v>0</v>
      </c>
      <c r="AK608"/>
      <c r="AL608" t="s">
        <v>1522</v>
      </c>
      <c r="AM608"/>
      <c r="AN608"/>
      <c r="AO608"/>
      <c r="AP608"/>
      <c r="AQ608"/>
      <c r="AR608"/>
      <c r="AS608"/>
      <c r="AT608"/>
      <c r="AU608"/>
    </row>
    <row r="609" spans="1:47" s="33" customFormat="1" x14ac:dyDescent="0.2">
      <c r="A609" t="s">
        <v>1524</v>
      </c>
      <c r="B609" t="s">
        <v>1523</v>
      </c>
      <c r="C609">
        <v>1</v>
      </c>
      <c r="D609">
        <v>1</v>
      </c>
      <c r="E609" t="s">
        <v>100</v>
      </c>
      <c r="F609" s="1">
        <v>43389</v>
      </c>
      <c r="G609" s="37" t="s">
        <v>4033</v>
      </c>
      <c r="H609" s="37" t="s">
        <v>4724</v>
      </c>
      <c r="I609" s="2">
        <v>2.4305555555555556E-2</v>
      </c>
      <c r="J609" s="176">
        <v>4.0509259259259258E-4</v>
      </c>
      <c r="K609" s="6">
        <v>35</v>
      </c>
      <c r="L609" t="s">
        <v>398</v>
      </c>
      <c r="M609" s="7" t="s">
        <v>578</v>
      </c>
      <c r="N609" t="s">
        <v>102</v>
      </c>
      <c r="O609" s="7" t="s">
        <v>23</v>
      </c>
      <c r="P609" s="7">
        <v>0</v>
      </c>
      <c r="Q609" s="7"/>
      <c r="R609" s="7">
        <v>0</v>
      </c>
      <c r="S609"/>
      <c r="T609"/>
      <c r="U609" s="7" t="s">
        <v>115</v>
      </c>
      <c r="V609" s="7" t="s">
        <v>115</v>
      </c>
      <c r="W609" s="7" t="s">
        <v>115</v>
      </c>
      <c r="X609" s="33" t="s">
        <v>115</v>
      </c>
      <c r="Y609" s="33" t="s">
        <v>115</v>
      </c>
      <c r="Z609" s="33" t="s">
        <v>115</v>
      </c>
      <c r="AA609" s="7" t="s">
        <v>115</v>
      </c>
      <c r="AB609" s="20" t="s">
        <v>115</v>
      </c>
      <c r="AC609" s="20"/>
      <c r="AD609" s="6">
        <v>5</v>
      </c>
      <c r="AE609" s="6">
        <v>0</v>
      </c>
      <c r="AF609" s="6">
        <v>5</v>
      </c>
      <c r="AG609" s="6">
        <v>0</v>
      </c>
      <c r="AH609" s="6">
        <v>0</v>
      </c>
      <c r="AI609">
        <v>0</v>
      </c>
      <c r="AJ609">
        <f t="shared" si="9"/>
        <v>5</v>
      </c>
      <c r="AK609"/>
      <c r="AL609"/>
      <c r="AM609"/>
      <c r="AN609"/>
      <c r="AO609"/>
      <c r="AP609"/>
      <c r="AQ609"/>
      <c r="AR609"/>
      <c r="AS609"/>
      <c r="AT609"/>
      <c r="AU609"/>
    </row>
    <row r="610" spans="1:47" s="33" customFormat="1" x14ac:dyDescent="0.2">
      <c r="A610" t="s">
        <v>1525</v>
      </c>
      <c r="B610" t="s">
        <v>1526</v>
      </c>
      <c r="C610">
        <v>2</v>
      </c>
      <c r="D610">
        <v>1</v>
      </c>
      <c r="E610" t="s">
        <v>100</v>
      </c>
      <c r="F610" s="1">
        <v>43389</v>
      </c>
      <c r="G610" s="37" t="s">
        <v>4033</v>
      </c>
      <c r="H610" s="37" t="s">
        <v>4724</v>
      </c>
      <c r="I610" s="2">
        <v>2.013888888888889E-2</v>
      </c>
      <c r="J610" s="176">
        <v>3.3564814814814812E-4</v>
      </c>
      <c r="K610" s="6">
        <v>29</v>
      </c>
      <c r="L610" t="s">
        <v>398</v>
      </c>
      <c r="M610" s="7" t="s">
        <v>578</v>
      </c>
      <c r="N610" t="s">
        <v>102</v>
      </c>
      <c r="O610" s="7" t="s">
        <v>23</v>
      </c>
      <c r="P610" s="7">
        <v>0</v>
      </c>
      <c r="Q610" s="7"/>
      <c r="R610" s="7">
        <v>0</v>
      </c>
      <c r="S610"/>
      <c r="T610"/>
      <c r="U610" s="7" t="s">
        <v>115</v>
      </c>
      <c r="V610" s="7" t="s">
        <v>115</v>
      </c>
      <c r="W610" s="7" t="s">
        <v>115</v>
      </c>
      <c r="X610" s="33" t="s">
        <v>115</v>
      </c>
      <c r="Y610" s="33" t="s">
        <v>115</v>
      </c>
      <c r="Z610" s="33" t="s">
        <v>115</v>
      </c>
      <c r="AA610" s="7" t="s">
        <v>115</v>
      </c>
      <c r="AB610" s="20" t="s">
        <v>115</v>
      </c>
      <c r="AC610" s="20"/>
      <c r="AD610" s="6">
        <v>29</v>
      </c>
      <c r="AE610" s="6">
        <v>0</v>
      </c>
      <c r="AF610" s="6">
        <v>29</v>
      </c>
      <c r="AG610" s="6">
        <v>0</v>
      </c>
      <c r="AH610" s="6">
        <v>0</v>
      </c>
      <c r="AI610">
        <v>0</v>
      </c>
      <c r="AJ610">
        <f t="shared" si="9"/>
        <v>29</v>
      </c>
      <c r="AK610" t="s">
        <v>375</v>
      </c>
      <c r="AL610"/>
      <c r="AM610">
        <v>1</v>
      </c>
      <c r="AN610">
        <v>0</v>
      </c>
      <c r="AO610" s="7"/>
      <c r="AP610" s="7"/>
      <c r="AQ610" s="7"/>
      <c r="AR610" s="7"/>
      <c r="AS610" s="7"/>
      <c r="AT610" s="7"/>
      <c r="AU610" s="7"/>
    </row>
    <row r="611" spans="1:47" s="33" customFormat="1" x14ac:dyDescent="0.2">
      <c r="A611" t="s">
        <v>1527</v>
      </c>
      <c r="B611" t="s">
        <v>1528</v>
      </c>
      <c r="C611">
        <v>1</v>
      </c>
      <c r="D611">
        <v>1</v>
      </c>
      <c r="E611" t="s">
        <v>834</v>
      </c>
      <c r="F611" s="1">
        <v>43389</v>
      </c>
      <c r="G611" s="37" t="s">
        <v>4033</v>
      </c>
      <c r="H611" s="37" t="s">
        <v>4724</v>
      </c>
      <c r="I611" s="2">
        <v>2.4305555555555556E-2</v>
      </c>
      <c r="J611" s="176">
        <v>4.0509259259259258E-4</v>
      </c>
      <c r="K611" s="6">
        <v>35</v>
      </c>
      <c r="L611" t="s">
        <v>398</v>
      </c>
      <c r="M611" s="7" t="s">
        <v>466</v>
      </c>
      <c r="N611" t="s">
        <v>187</v>
      </c>
      <c r="O611" s="7" t="s">
        <v>23</v>
      </c>
      <c r="P611" s="7" t="s">
        <v>24</v>
      </c>
      <c r="Q611" s="7"/>
      <c r="R611" s="7">
        <v>1</v>
      </c>
      <c r="S611"/>
      <c r="T611" t="s">
        <v>176</v>
      </c>
      <c r="U611" t="s">
        <v>176</v>
      </c>
      <c r="V611" s="7" t="s">
        <v>24</v>
      </c>
      <c r="W611" s="7" t="s">
        <v>1057</v>
      </c>
      <c r="X611" s="44" t="s">
        <v>23</v>
      </c>
      <c r="Y611" s="44" t="s">
        <v>3999</v>
      </c>
      <c r="Z611" s="44" t="s">
        <v>4005</v>
      </c>
      <c r="AA611" s="7" t="s">
        <v>24</v>
      </c>
      <c r="AB611" s="20">
        <v>63.738300000000002</v>
      </c>
      <c r="AC611" s="20">
        <v>148.90355</v>
      </c>
      <c r="AD611" s="6">
        <v>26</v>
      </c>
      <c r="AE611" s="6">
        <v>0</v>
      </c>
      <c r="AF611" s="6">
        <v>26</v>
      </c>
      <c r="AG611" s="6">
        <v>0</v>
      </c>
      <c r="AH611" s="6">
        <v>0</v>
      </c>
      <c r="AI611">
        <v>0</v>
      </c>
      <c r="AJ611">
        <f t="shared" si="9"/>
        <v>26</v>
      </c>
      <c r="AK611" t="s">
        <v>375</v>
      </c>
      <c r="AL611"/>
      <c r="AM611">
        <v>3</v>
      </c>
      <c r="AN611">
        <v>0</v>
      </c>
      <c r="AQ611" s="34"/>
    </row>
    <row r="612" spans="1:47" x14ac:dyDescent="0.2">
      <c r="A612" t="s">
        <v>1529</v>
      </c>
      <c r="B612" t="s">
        <v>1530</v>
      </c>
      <c r="C612">
        <v>2</v>
      </c>
      <c r="D612">
        <v>1</v>
      </c>
      <c r="E612" t="s">
        <v>834</v>
      </c>
      <c r="F612" s="1">
        <v>43389</v>
      </c>
      <c r="G612" s="37" t="s">
        <v>4033</v>
      </c>
      <c r="H612" s="37" t="s">
        <v>4724</v>
      </c>
      <c r="I612" s="2">
        <v>1.4583333333333332E-2</v>
      </c>
      <c r="J612" s="176">
        <v>2.4305555555555552E-4</v>
      </c>
      <c r="K612" s="6">
        <v>21</v>
      </c>
      <c r="L612" t="s">
        <v>398</v>
      </c>
      <c r="M612" s="7" t="s">
        <v>466</v>
      </c>
      <c r="N612" t="s">
        <v>102</v>
      </c>
      <c r="O612" s="7" t="s">
        <v>23</v>
      </c>
      <c r="P612" s="7">
        <v>1</v>
      </c>
      <c r="Q612" s="7"/>
      <c r="R612" s="7">
        <v>0</v>
      </c>
      <c r="T612" t="s">
        <v>176</v>
      </c>
      <c r="U612" s="7" t="s">
        <v>2133</v>
      </c>
      <c r="V612" s="7" t="s">
        <v>1531</v>
      </c>
      <c r="W612" s="7" t="s">
        <v>115</v>
      </c>
      <c r="X612" s="33" t="s">
        <v>115</v>
      </c>
      <c r="Y612" s="33" t="s">
        <v>115</v>
      </c>
      <c r="Z612" s="33" t="s">
        <v>115</v>
      </c>
      <c r="AA612" s="7" t="s">
        <v>115</v>
      </c>
      <c r="AB612" s="20" t="s">
        <v>115</v>
      </c>
      <c r="AC612" s="20"/>
      <c r="AD612" s="6">
        <v>0</v>
      </c>
      <c r="AE612" s="6">
        <v>10</v>
      </c>
      <c r="AF612" s="6">
        <v>0</v>
      </c>
      <c r="AG612" s="6">
        <v>10</v>
      </c>
      <c r="AH612" s="6">
        <v>0</v>
      </c>
      <c r="AI612">
        <v>0</v>
      </c>
      <c r="AJ612">
        <f t="shared" si="9"/>
        <v>10</v>
      </c>
    </row>
    <row r="613" spans="1:47" x14ac:dyDescent="0.2">
      <c r="A613" s="33" t="s">
        <v>1532</v>
      </c>
      <c r="B613" s="33" t="s">
        <v>1533</v>
      </c>
      <c r="C613" s="33">
        <v>3</v>
      </c>
      <c r="D613" s="33">
        <v>1</v>
      </c>
      <c r="E613" s="33" t="s">
        <v>834</v>
      </c>
      <c r="F613" s="37">
        <v>43389</v>
      </c>
      <c r="G613" s="37" t="s">
        <v>4033</v>
      </c>
      <c r="H613" s="37" t="s">
        <v>4724</v>
      </c>
      <c r="I613" s="36">
        <v>4.8611111111111112E-2</v>
      </c>
      <c r="J613" s="177">
        <v>8.1018518518518516E-4</v>
      </c>
      <c r="K613" s="39">
        <v>70</v>
      </c>
      <c r="L613" s="33" t="s">
        <v>398</v>
      </c>
      <c r="M613" s="33" t="s">
        <v>466</v>
      </c>
      <c r="N613" s="33" t="s">
        <v>187</v>
      </c>
      <c r="O613" s="33" t="s">
        <v>23</v>
      </c>
      <c r="P613" s="33">
        <v>1</v>
      </c>
      <c r="Q613" s="33"/>
      <c r="R613" s="33">
        <v>1</v>
      </c>
      <c r="S613" s="33"/>
      <c r="T613" t="s">
        <v>176</v>
      </c>
      <c r="U613" s="33" t="s">
        <v>176</v>
      </c>
      <c r="V613" s="33" t="s">
        <v>2094</v>
      </c>
      <c r="W613" t="s">
        <v>2061</v>
      </c>
      <c r="X613" s="44" t="s">
        <v>23</v>
      </c>
      <c r="Y613" s="44" t="s">
        <v>3999</v>
      </c>
      <c r="Z613" s="44" t="s">
        <v>4006</v>
      </c>
      <c r="AA613" s="33">
        <v>7</v>
      </c>
      <c r="AB613" s="35">
        <v>63.738460000000003</v>
      </c>
      <c r="AC613" s="35">
        <v>148.90312</v>
      </c>
      <c r="AD613" s="39">
        <v>0</v>
      </c>
      <c r="AE613" s="39">
        <v>0</v>
      </c>
      <c r="AF613" s="39">
        <v>0</v>
      </c>
      <c r="AG613" s="39">
        <v>0</v>
      </c>
      <c r="AH613" s="39">
        <v>7</v>
      </c>
      <c r="AI613" s="33">
        <v>0</v>
      </c>
      <c r="AJ613" s="33">
        <f t="shared" si="9"/>
        <v>7</v>
      </c>
      <c r="AK613" s="33"/>
      <c r="AL613" s="33" t="s">
        <v>1534</v>
      </c>
      <c r="AM613" s="33"/>
      <c r="AN613" s="33"/>
    </row>
    <row r="614" spans="1:47" hidden="1" x14ac:dyDescent="0.2">
      <c r="A614" t="s">
        <v>1532</v>
      </c>
      <c r="B614" t="s">
        <v>1533</v>
      </c>
      <c r="C614">
        <v>3</v>
      </c>
      <c r="D614">
        <v>2</v>
      </c>
      <c r="E614" t="s">
        <v>834</v>
      </c>
      <c r="F614" s="1">
        <v>43389</v>
      </c>
      <c r="G614" s="37" t="s">
        <v>4033</v>
      </c>
      <c r="H614" s="37" t="s">
        <v>4724</v>
      </c>
      <c r="I614" s="2">
        <v>4.8611111111111112E-2</v>
      </c>
      <c r="J614" s="176">
        <v>8.1018518518518516E-4</v>
      </c>
      <c r="K614" s="6">
        <v>70</v>
      </c>
      <c r="L614" t="s">
        <v>398</v>
      </c>
      <c r="M614" s="7" t="s">
        <v>466</v>
      </c>
      <c r="N614" t="s">
        <v>102</v>
      </c>
      <c r="O614" s="7" t="s">
        <v>23</v>
      </c>
      <c r="P614" s="7">
        <v>1</v>
      </c>
      <c r="Q614" s="7"/>
      <c r="R614" s="7">
        <v>0</v>
      </c>
      <c r="T614" t="s">
        <v>14</v>
      </c>
      <c r="U614" s="7" t="s">
        <v>14</v>
      </c>
      <c r="V614" s="7" t="s">
        <v>122</v>
      </c>
      <c r="W614" s="7" t="s">
        <v>115</v>
      </c>
      <c r="X614" s="33" t="s">
        <v>115</v>
      </c>
      <c r="Y614" s="33" t="s">
        <v>115</v>
      </c>
      <c r="Z614" s="33" t="s">
        <v>115</v>
      </c>
      <c r="AA614" t="s">
        <v>115</v>
      </c>
      <c r="AB614" s="20" t="s">
        <v>115</v>
      </c>
      <c r="AC614" s="20"/>
      <c r="AD614" s="6">
        <v>0</v>
      </c>
      <c r="AE614" s="6">
        <v>0</v>
      </c>
      <c r="AF614" s="6">
        <v>0</v>
      </c>
      <c r="AG614" s="6">
        <v>0</v>
      </c>
      <c r="AH614" s="6">
        <v>0</v>
      </c>
      <c r="AI614">
        <v>0</v>
      </c>
      <c r="AJ614">
        <f t="shared" si="9"/>
        <v>0</v>
      </c>
      <c r="AL614" t="s">
        <v>1534</v>
      </c>
    </row>
    <row r="615" spans="1:47" s="33" customFormat="1" x14ac:dyDescent="0.2">
      <c r="A615" t="s">
        <v>1535</v>
      </c>
      <c r="B615" t="s">
        <v>1536</v>
      </c>
      <c r="C615">
        <v>3</v>
      </c>
      <c r="D615">
        <v>1</v>
      </c>
      <c r="E615" t="s">
        <v>100</v>
      </c>
      <c r="F615" s="1">
        <v>43389</v>
      </c>
      <c r="G615" s="37" t="s">
        <v>4033</v>
      </c>
      <c r="H615" s="37" t="s">
        <v>4724</v>
      </c>
      <c r="I615" s="2">
        <v>3.4722222222222224E-2</v>
      </c>
      <c r="J615" s="176">
        <v>5.7870370370370378E-4</v>
      </c>
      <c r="K615" s="6">
        <v>50</v>
      </c>
      <c r="L615" t="s">
        <v>398</v>
      </c>
      <c r="M615" s="7" t="s">
        <v>578</v>
      </c>
      <c r="N615" t="s">
        <v>102</v>
      </c>
      <c r="O615" s="7" t="s">
        <v>23</v>
      </c>
      <c r="P615" s="7">
        <v>1</v>
      </c>
      <c r="Q615" s="7"/>
      <c r="R615" s="7">
        <v>0</v>
      </c>
      <c r="S615"/>
      <c r="T615" t="s">
        <v>176</v>
      </c>
      <c r="U615" t="s">
        <v>176</v>
      </c>
      <c r="V615" s="7" t="s">
        <v>709</v>
      </c>
      <c r="W615" s="7" t="s">
        <v>115</v>
      </c>
      <c r="X615" s="33" t="s">
        <v>115</v>
      </c>
      <c r="Y615" s="33" t="s">
        <v>115</v>
      </c>
      <c r="Z615" s="33" t="s">
        <v>115</v>
      </c>
      <c r="AA615" s="7" t="s">
        <v>115</v>
      </c>
      <c r="AB615" s="20" t="s">
        <v>115</v>
      </c>
      <c r="AC615" s="20"/>
      <c r="AD615" s="6">
        <v>50</v>
      </c>
      <c r="AE615" s="6">
        <v>0</v>
      </c>
      <c r="AF615" s="6">
        <v>50</v>
      </c>
      <c r="AG615" s="6">
        <v>0</v>
      </c>
      <c r="AH615" s="6">
        <v>0</v>
      </c>
      <c r="AI615">
        <v>0</v>
      </c>
      <c r="AJ615">
        <f t="shared" si="9"/>
        <v>50</v>
      </c>
      <c r="AK615"/>
      <c r="AL615"/>
      <c r="AM615"/>
      <c r="AN615"/>
      <c r="AQ615" s="34"/>
    </row>
    <row r="616" spans="1:47" x14ac:dyDescent="0.2">
      <c r="A616" s="33" t="s">
        <v>1537</v>
      </c>
      <c r="B616" s="33" t="s">
        <v>1538</v>
      </c>
      <c r="C616" s="33">
        <v>4</v>
      </c>
      <c r="D616" s="33">
        <v>1</v>
      </c>
      <c r="E616" s="33" t="s">
        <v>100</v>
      </c>
      <c r="F616" s="37">
        <v>43389</v>
      </c>
      <c r="G616" s="37" t="s">
        <v>4033</v>
      </c>
      <c r="H616" s="37" t="s">
        <v>4724</v>
      </c>
      <c r="I616" s="36">
        <v>1.4583333333333332E-2</v>
      </c>
      <c r="J616" s="177">
        <v>2.4305555555555552E-4</v>
      </c>
      <c r="K616" s="39">
        <v>21</v>
      </c>
      <c r="L616" s="33" t="s">
        <v>398</v>
      </c>
      <c r="M616" s="33" t="s">
        <v>578</v>
      </c>
      <c r="N616" s="33" t="s">
        <v>102</v>
      </c>
      <c r="O616" s="33" t="s">
        <v>115</v>
      </c>
      <c r="P616" s="33">
        <v>1</v>
      </c>
      <c r="Q616" s="33"/>
      <c r="R616" s="33">
        <v>0</v>
      </c>
      <c r="S616" s="33"/>
      <c r="T616" t="s">
        <v>14</v>
      </c>
      <c r="U616" s="33" t="s">
        <v>2128</v>
      </c>
      <c r="V616" s="33" t="s">
        <v>122</v>
      </c>
      <c r="W616" s="33" t="s">
        <v>115</v>
      </c>
      <c r="X616" s="33" t="s">
        <v>115</v>
      </c>
      <c r="Y616" s="33" t="s">
        <v>115</v>
      </c>
      <c r="Z616" s="33" t="s">
        <v>115</v>
      </c>
      <c r="AA616" s="33" t="s">
        <v>115</v>
      </c>
      <c r="AB616" s="35" t="s">
        <v>115</v>
      </c>
      <c r="AC616" s="35"/>
      <c r="AD616" s="39">
        <v>0</v>
      </c>
      <c r="AE616" s="39">
        <v>0</v>
      </c>
      <c r="AF616" s="39">
        <v>0</v>
      </c>
      <c r="AG616" s="39">
        <v>0</v>
      </c>
      <c r="AH616" s="39">
        <v>15</v>
      </c>
      <c r="AI616" s="33">
        <v>0</v>
      </c>
      <c r="AJ616" s="33">
        <f t="shared" si="9"/>
        <v>15</v>
      </c>
      <c r="AK616" s="33"/>
      <c r="AL616" s="33"/>
      <c r="AM616" s="33"/>
      <c r="AN616" s="33"/>
    </row>
    <row r="617" spans="1:47" x14ac:dyDescent="0.2">
      <c r="A617" t="s">
        <v>1539</v>
      </c>
      <c r="B617" t="s">
        <v>1540</v>
      </c>
      <c r="C617">
        <v>5</v>
      </c>
      <c r="D617">
        <v>1</v>
      </c>
      <c r="E617" t="s">
        <v>100</v>
      </c>
      <c r="F617" s="1">
        <v>43389</v>
      </c>
      <c r="G617" s="37" t="s">
        <v>4033</v>
      </c>
      <c r="H617" s="37" t="s">
        <v>4724</v>
      </c>
      <c r="I617" s="2">
        <v>1.8055555555555557E-2</v>
      </c>
      <c r="J617" s="176">
        <v>3.0092592592592595E-4</v>
      </c>
      <c r="K617" s="6">
        <v>26</v>
      </c>
      <c r="L617" t="s">
        <v>398</v>
      </c>
      <c r="M617" s="7" t="s">
        <v>578</v>
      </c>
      <c r="N617" t="s">
        <v>107</v>
      </c>
      <c r="O617" s="7" t="s">
        <v>115</v>
      </c>
      <c r="P617" s="7">
        <v>1</v>
      </c>
      <c r="Q617" s="7"/>
      <c r="R617" s="7">
        <v>0</v>
      </c>
      <c r="T617" t="s">
        <v>176</v>
      </c>
      <c r="U617" t="s">
        <v>176</v>
      </c>
      <c r="V617" s="7" t="s">
        <v>24</v>
      </c>
      <c r="W617" s="7" t="s">
        <v>115</v>
      </c>
      <c r="X617" s="33" t="s">
        <v>115</v>
      </c>
      <c r="Y617" s="33" t="s">
        <v>115</v>
      </c>
      <c r="Z617" s="33" t="s">
        <v>115</v>
      </c>
      <c r="AA617" s="7" t="s">
        <v>115</v>
      </c>
      <c r="AB617" s="20" t="s">
        <v>115</v>
      </c>
      <c r="AC617" s="20"/>
      <c r="AD617" s="6">
        <v>0</v>
      </c>
      <c r="AE617" s="6">
        <v>0</v>
      </c>
      <c r="AF617" s="6">
        <v>0</v>
      </c>
      <c r="AG617" s="6">
        <v>0</v>
      </c>
      <c r="AH617" s="6">
        <v>0</v>
      </c>
      <c r="AI617">
        <v>0</v>
      </c>
      <c r="AJ617">
        <f t="shared" si="9"/>
        <v>0</v>
      </c>
      <c r="AO617" s="33"/>
      <c r="AP617" s="33"/>
      <c r="AQ617" s="34"/>
      <c r="AR617" s="33"/>
      <c r="AS617" s="33"/>
      <c r="AT617" s="33"/>
      <c r="AU617" s="33"/>
    </row>
    <row r="618" spans="1:47" s="33" customFormat="1" x14ac:dyDescent="0.2">
      <c r="A618" t="s">
        <v>1541</v>
      </c>
      <c r="B618" t="s">
        <v>1542</v>
      </c>
      <c r="C618">
        <v>6</v>
      </c>
      <c r="D618">
        <v>1</v>
      </c>
      <c r="E618" t="s">
        <v>100</v>
      </c>
      <c r="F618" s="1">
        <v>43389</v>
      </c>
      <c r="G618" s="37" t="s">
        <v>4033</v>
      </c>
      <c r="H618" s="37" t="s">
        <v>4724</v>
      </c>
      <c r="I618" s="2">
        <v>1.9444444444444445E-2</v>
      </c>
      <c r="J618" s="176">
        <v>3.2407407407407406E-4</v>
      </c>
      <c r="K618" s="6">
        <v>28</v>
      </c>
      <c r="L618" t="s">
        <v>398</v>
      </c>
      <c r="M618" s="7" t="s">
        <v>578</v>
      </c>
      <c r="N618" t="s">
        <v>102</v>
      </c>
      <c r="O618" s="7" t="s">
        <v>23</v>
      </c>
      <c r="P618" s="7">
        <v>0</v>
      </c>
      <c r="Q618" s="7"/>
      <c r="R618" s="7">
        <v>0</v>
      </c>
      <c r="S618"/>
      <c r="T618"/>
      <c r="U618" s="7" t="s">
        <v>115</v>
      </c>
      <c r="V618" s="7" t="s">
        <v>115</v>
      </c>
      <c r="W618" s="7" t="s">
        <v>115</v>
      </c>
      <c r="X618" s="33" t="s">
        <v>115</v>
      </c>
      <c r="Y618" s="33" t="s">
        <v>115</v>
      </c>
      <c r="Z618" s="33" t="s">
        <v>115</v>
      </c>
      <c r="AA618" s="7" t="s">
        <v>115</v>
      </c>
      <c r="AB618" s="20" t="s">
        <v>115</v>
      </c>
      <c r="AC618" s="20"/>
      <c r="AD618" s="6">
        <v>26</v>
      </c>
      <c r="AE618" s="6">
        <v>0</v>
      </c>
      <c r="AF618" s="6">
        <v>26</v>
      </c>
      <c r="AG618" s="6">
        <v>0</v>
      </c>
      <c r="AH618" s="6">
        <v>0</v>
      </c>
      <c r="AI618">
        <v>0</v>
      </c>
      <c r="AJ618">
        <f t="shared" si="9"/>
        <v>26</v>
      </c>
      <c r="AK618"/>
      <c r="AL618"/>
      <c r="AM618"/>
      <c r="AN618"/>
      <c r="AO618" s="4"/>
      <c r="AP618" s="4"/>
      <c r="AQ618" s="4"/>
      <c r="AR618" s="4"/>
      <c r="AS618" s="4"/>
      <c r="AT618" s="4"/>
      <c r="AU618" s="4"/>
    </row>
    <row r="619" spans="1:47" s="33" customFormat="1" x14ac:dyDescent="0.2">
      <c r="A619" t="s">
        <v>1543</v>
      </c>
      <c r="B619" t="s">
        <v>1544</v>
      </c>
      <c r="C619">
        <v>4</v>
      </c>
      <c r="D619">
        <v>1</v>
      </c>
      <c r="E619" t="s">
        <v>834</v>
      </c>
      <c r="F619" s="1">
        <v>43389</v>
      </c>
      <c r="G619" s="37" t="s">
        <v>4033</v>
      </c>
      <c r="H619" s="37" t="s">
        <v>4724</v>
      </c>
      <c r="I619" s="2">
        <v>3.9351851851851852E-4</v>
      </c>
      <c r="J619" s="176">
        <v>3.9351851851851852E-4</v>
      </c>
      <c r="K619" s="6">
        <v>34</v>
      </c>
      <c r="L619" t="s">
        <v>398</v>
      </c>
      <c r="M619" s="7" t="s">
        <v>466</v>
      </c>
      <c r="N619" t="s">
        <v>102</v>
      </c>
      <c r="O619" s="7" t="s">
        <v>115</v>
      </c>
      <c r="P619" s="7">
        <v>1</v>
      </c>
      <c r="Q619" s="7"/>
      <c r="R619" s="7">
        <v>0</v>
      </c>
      <c r="S619"/>
      <c r="T619" t="s">
        <v>176</v>
      </c>
      <c r="U619" t="s">
        <v>176</v>
      </c>
      <c r="V619" s="7" t="s">
        <v>333</v>
      </c>
      <c r="W619" s="7" t="s">
        <v>115</v>
      </c>
      <c r="X619" s="33" t="s">
        <v>115</v>
      </c>
      <c r="Y619" s="33" t="s">
        <v>115</v>
      </c>
      <c r="Z619" s="33" t="s">
        <v>115</v>
      </c>
      <c r="AA619" s="7" t="s">
        <v>115</v>
      </c>
      <c r="AB619" s="20" t="s">
        <v>115</v>
      </c>
      <c r="AC619" s="20"/>
      <c r="AD619" s="6">
        <v>0</v>
      </c>
      <c r="AE619" s="6">
        <v>0</v>
      </c>
      <c r="AF619" s="6">
        <v>0</v>
      </c>
      <c r="AG619" s="6">
        <v>0</v>
      </c>
      <c r="AH619" s="6">
        <v>0</v>
      </c>
      <c r="AI619">
        <v>0</v>
      </c>
      <c r="AJ619">
        <f t="shared" si="9"/>
        <v>0</v>
      </c>
      <c r="AK619"/>
      <c r="AL619" t="s">
        <v>5007</v>
      </c>
      <c r="AM619"/>
      <c r="AN619"/>
      <c r="AO619"/>
      <c r="AP619"/>
      <c r="AQ619"/>
      <c r="AR619"/>
      <c r="AS619"/>
      <c r="AT619"/>
      <c r="AU619"/>
    </row>
    <row r="620" spans="1:47" x14ac:dyDescent="0.2">
      <c r="A620" t="s">
        <v>1546</v>
      </c>
      <c r="B620" t="s">
        <v>1545</v>
      </c>
      <c r="C620">
        <v>5</v>
      </c>
      <c r="D620">
        <v>1</v>
      </c>
      <c r="E620" t="s">
        <v>834</v>
      </c>
      <c r="F620" s="1">
        <v>43389</v>
      </c>
      <c r="G620" s="37" t="s">
        <v>4033</v>
      </c>
      <c r="H620" s="37" t="s">
        <v>4724</v>
      </c>
      <c r="I620" s="2">
        <v>1.1805555555555555E-2</v>
      </c>
      <c r="J620" s="176">
        <v>1.9675925925925926E-4</v>
      </c>
      <c r="K620" s="6">
        <v>17</v>
      </c>
      <c r="L620" t="s">
        <v>398</v>
      </c>
      <c r="M620" s="7" t="s">
        <v>466</v>
      </c>
      <c r="N620" t="s">
        <v>111</v>
      </c>
      <c r="O620" s="7" t="s">
        <v>23</v>
      </c>
      <c r="P620" s="7">
        <v>0</v>
      </c>
      <c r="Q620" s="7"/>
      <c r="R620" s="7">
        <v>1</v>
      </c>
      <c r="T620" t="s">
        <v>176</v>
      </c>
      <c r="U620" t="s">
        <v>176</v>
      </c>
      <c r="V620" s="7" t="s">
        <v>24</v>
      </c>
      <c r="W620" s="7" t="s">
        <v>263</v>
      </c>
      <c r="X620" s="44" t="s">
        <v>23</v>
      </c>
      <c r="Y620" s="44" t="s">
        <v>4004</v>
      </c>
      <c r="Z620" s="44" t="s">
        <v>4005</v>
      </c>
      <c r="AA620" s="7" t="s">
        <v>24</v>
      </c>
      <c r="AB620" s="20">
        <v>63.739269999999998</v>
      </c>
      <c r="AC620" s="20">
        <v>148.98978</v>
      </c>
      <c r="AD620" s="6">
        <v>0</v>
      </c>
      <c r="AE620" s="6">
        <v>0</v>
      </c>
      <c r="AF620" s="6">
        <v>0</v>
      </c>
      <c r="AG620" s="6">
        <v>0</v>
      </c>
      <c r="AH620" s="6">
        <v>0</v>
      </c>
      <c r="AI620">
        <v>0</v>
      </c>
      <c r="AJ620">
        <f t="shared" si="9"/>
        <v>0</v>
      </c>
      <c r="AO620" s="33"/>
      <c r="AP620" s="33"/>
      <c r="AQ620" s="34"/>
      <c r="AR620" s="33"/>
      <c r="AS620" s="33"/>
      <c r="AT620" s="33"/>
      <c r="AU620" s="33"/>
    </row>
    <row r="621" spans="1:47" s="33" customFormat="1" x14ac:dyDescent="0.2">
      <c r="A621" s="33" t="s">
        <v>1547</v>
      </c>
      <c r="B621" s="33" t="s">
        <v>5009</v>
      </c>
      <c r="C621" s="33">
        <v>1</v>
      </c>
      <c r="D621" s="33">
        <v>1</v>
      </c>
      <c r="E621" s="33" t="s">
        <v>2601</v>
      </c>
      <c r="F621" s="37">
        <v>43390</v>
      </c>
      <c r="G621" s="37" t="s">
        <v>4033</v>
      </c>
      <c r="H621" s="37" t="s">
        <v>4724</v>
      </c>
      <c r="I621" s="36">
        <v>6.9444444444444441E-3</v>
      </c>
      <c r="J621" s="177">
        <v>1.1574074074074073E-4</v>
      </c>
      <c r="K621" s="39">
        <v>10</v>
      </c>
      <c r="L621" s="33" t="s">
        <v>398</v>
      </c>
      <c r="M621" s="33" t="s">
        <v>177</v>
      </c>
      <c r="N621" s="33" t="s">
        <v>102</v>
      </c>
      <c r="O621" s="33" t="s">
        <v>115</v>
      </c>
      <c r="P621" s="33">
        <v>1</v>
      </c>
      <c r="R621" s="33">
        <v>0</v>
      </c>
      <c r="T621" t="s">
        <v>14</v>
      </c>
      <c r="U621" s="33" t="s">
        <v>2128</v>
      </c>
      <c r="V621" s="33" t="s">
        <v>122</v>
      </c>
      <c r="W621" s="33" t="s">
        <v>115</v>
      </c>
      <c r="X621" s="33" t="s">
        <v>115</v>
      </c>
      <c r="Y621" s="33" t="s">
        <v>115</v>
      </c>
      <c r="Z621" s="33" t="s">
        <v>115</v>
      </c>
      <c r="AA621" s="33" t="s">
        <v>115</v>
      </c>
      <c r="AB621" s="35" t="s">
        <v>115</v>
      </c>
      <c r="AC621" s="35"/>
      <c r="AD621" s="39">
        <v>0</v>
      </c>
      <c r="AE621" s="39">
        <v>0</v>
      </c>
      <c r="AF621" s="39">
        <v>0</v>
      </c>
      <c r="AG621" s="39">
        <v>0</v>
      </c>
      <c r="AH621" s="39">
        <v>10</v>
      </c>
      <c r="AI621" s="33">
        <v>0</v>
      </c>
      <c r="AJ621" s="33">
        <f t="shared" si="9"/>
        <v>10</v>
      </c>
      <c r="AO621"/>
      <c r="AP621"/>
      <c r="AQ621"/>
      <c r="AR621"/>
      <c r="AS621"/>
      <c r="AT621"/>
      <c r="AU621"/>
    </row>
    <row r="622" spans="1:47" s="33" customFormat="1" x14ac:dyDescent="0.2">
      <c r="A622" s="33" t="s">
        <v>1548</v>
      </c>
      <c r="B622" s="33" t="s">
        <v>5010</v>
      </c>
      <c r="C622" s="33">
        <v>2</v>
      </c>
      <c r="D622" s="33">
        <v>1</v>
      </c>
      <c r="E622" s="33" t="s">
        <v>2601</v>
      </c>
      <c r="F622" s="37">
        <v>43390</v>
      </c>
      <c r="G622" s="37" t="s">
        <v>4033</v>
      </c>
      <c r="H622" s="37" t="s">
        <v>4724</v>
      </c>
      <c r="I622" s="36">
        <v>2.361111111111111E-2</v>
      </c>
      <c r="J622" s="177">
        <v>3.9351851851851852E-4</v>
      </c>
      <c r="K622" s="39">
        <v>34</v>
      </c>
      <c r="L622" s="33" t="s">
        <v>398</v>
      </c>
      <c r="M622" s="33" t="s">
        <v>177</v>
      </c>
      <c r="N622" s="33" t="s">
        <v>156</v>
      </c>
      <c r="O622" s="33" t="s">
        <v>23</v>
      </c>
      <c r="P622" s="33">
        <v>1</v>
      </c>
      <c r="R622" s="33">
        <v>1</v>
      </c>
      <c r="T622" t="s">
        <v>14</v>
      </c>
      <c r="U622" s="33" t="s">
        <v>2128</v>
      </c>
      <c r="V622" s="33" t="s">
        <v>122</v>
      </c>
      <c r="W622" s="33" t="s">
        <v>333</v>
      </c>
      <c r="X622" s="33" t="s">
        <v>84</v>
      </c>
      <c r="Y622" s="33" t="s">
        <v>3999</v>
      </c>
      <c r="Z622" s="33" t="s">
        <v>4006</v>
      </c>
      <c r="AA622" s="33">
        <v>6</v>
      </c>
      <c r="AB622" s="35">
        <v>63.725520000000003</v>
      </c>
      <c r="AC622" s="35">
        <v>148.95973000000001</v>
      </c>
      <c r="AD622" s="33">
        <v>0</v>
      </c>
      <c r="AE622" s="39">
        <v>0</v>
      </c>
      <c r="AF622" s="39">
        <v>0</v>
      </c>
      <c r="AG622" s="39">
        <v>0</v>
      </c>
      <c r="AH622" s="39">
        <v>12</v>
      </c>
      <c r="AI622" s="33">
        <v>0</v>
      </c>
      <c r="AJ622" s="33">
        <f t="shared" si="9"/>
        <v>12</v>
      </c>
      <c r="AO622"/>
      <c r="AP622"/>
      <c r="AQ622"/>
      <c r="AR622"/>
      <c r="AS622"/>
      <c r="AT622"/>
      <c r="AU622"/>
    </row>
    <row r="623" spans="1:47" s="33" customFormat="1" x14ac:dyDescent="0.2">
      <c r="A623" t="s">
        <v>1550</v>
      </c>
      <c r="B623" t="s">
        <v>5014</v>
      </c>
      <c r="C623">
        <v>3</v>
      </c>
      <c r="D623">
        <v>1</v>
      </c>
      <c r="E623" t="s">
        <v>2601</v>
      </c>
      <c r="F623" s="1">
        <v>43390</v>
      </c>
      <c r="G623" s="37" t="s">
        <v>4033</v>
      </c>
      <c r="H623" s="37" t="s">
        <v>4724</v>
      </c>
      <c r="I623" s="2">
        <v>1.5972222222222224E-2</v>
      </c>
      <c r="J623" s="176">
        <v>2.6620370370370372E-4</v>
      </c>
      <c r="K623" s="6">
        <v>23</v>
      </c>
      <c r="L623" t="s">
        <v>398</v>
      </c>
      <c r="M623" s="7" t="s">
        <v>176</v>
      </c>
      <c r="N623" t="s">
        <v>111</v>
      </c>
      <c r="O623" s="7" t="s">
        <v>23</v>
      </c>
      <c r="P623" s="7">
        <v>0</v>
      </c>
      <c r="Q623" s="7"/>
      <c r="R623" s="7">
        <v>1</v>
      </c>
      <c r="S623"/>
      <c r="T623" t="s">
        <v>176</v>
      </c>
      <c r="U623" t="s">
        <v>176</v>
      </c>
      <c r="V623" s="7" t="s">
        <v>24</v>
      </c>
      <c r="W623" s="7" t="s">
        <v>3963</v>
      </c>
      <c r="X623" s="44" t="s">
        <v>23</v>
      </c>
      <c r="Y623" s="7" t="s">
        <v>3997</v>
      </c>
      <c r="Z623" s="7" t="s">
        <v>4007</v>
      </c>
      <c r="AA623" s="7" t="s">
        <v>24</v>
      </c>
      <c r="AB623" s="20">
        <v>63.724910000000001</v>
      </c>
      <c r="AC623" s="20">
        <v>148.96313000000001</v>
      </c>
      <c r="AD623" s="6">
        <v>0</v>
      </c>
      <c r="AE623" s="6">
        <v>0</v>
      </c>
      <c r="AF623" s="6">
        <v>0</v>
      </c>
      <c r="AG623" s="6">
        <v>0</v>
      </c>
      <c r="AH623" s="6">
        <v>0</v>
      </c>
      <c r="AI623">
        <v>0</v>
      </c>
      <c r="AJ623">
        <f t="shared" si="9"/>
        <v>0</v>
      </c>
      <c r="AK623"/>
      <c r="AL623"/>
      <c r="AM623"/>
      <c r="AN623"/>
      <c r="AO623"/>
      <c r="AP623"/>
      <c r="AQ623"/>
      <c r="AR623"/>
      <c r="AS623"/>
      <c r="AT623"/>
      <c r="AU623"/>
    </row>
    <row r="624" spans="1:47" s="33" customFormat="1" x14ac:dyDescent="0.2">
      <c r="A624" t="s">
        <v>1552</v>
      </c>
      <c r="B624" t="s">
        <v>5011</v>
      </c>
      <c r="C624">
        <v>4</v>
      </c>
      <c r="D624">
        <v>1</v>
      </c>
      <c r="E624" t="s">
        <v>2601</v>
      </c>
      <c r="F624" s="1">
        <v>43390</v>
      </c>
      <c r="G624" s="37" t="s">
        <v>4033</v>
      </c>
      <c r="H624" s="37" t="s">
        <v>4724</v>
      </c>
      <c r="I624" s="2">
        <v>4.1666666666666666E-3</v>
      </c>
      <c r="J624" s="176">
        <v>6.9444444444444444E-5</v>
      </c>
      <c r="K624" s="6">
        <v>6</v>
      </c>
      <c r="L624" t="s">
        <v>398</v>
      </c>
      <c r="M624" s="7" t="s">
        <v>176</v>
      </c>
      <c r="N624" t="s">
        <v>102</v>
      </c>
      <c r="O624" s="7" t="s">
        <v>115</v>
      </c>
      <c r="P624" s="7">
        <v>1</v>
      </c>
      <c r="Q624" s="7"/>
      <c r="R624" s="7">
        <v>0</v>
      </c>
      <c r="S624"/>
      <c r="T624" t="s">
        <v>176</v>
      </c>
      <c r="U624" t="s">
        <v>176</v>
      </c>
      <c r="V624" s="7" t="s">
        <v>122</v>
      </c>
      <c r="W624" s="7" t="s">
        <v>115</v>
      </c>
      <c r="X624" s="33" t="s">
        <v>115</v>
      </c>
      <c r="Y624" s="33" t="s">
        <v>115</v>
      </c>
      <c r="Z624" s="33" t="s">
        <v>115</v>
      </c>
      <c r="AA624" s="7" t="s">
        <v>115</v>
      </c>
      <c r="AB624" s="20" t="s">
        <v>115</v>
      </c>
      <c r="AC624" s="20"/>
      <c r="AD624" s="6">
        <v>0</v>
      </c>
      <c r="AE624" s="6">
        <v>0</v>
      </c>
      <c r="AF624" s="6">
        <v>0</v>
      </c>
      <c r="AG624" s="6">
        <v>0</v>
      </c>
      <c r="AH624" s="6">
        <v>0</v>
      </c>
      <c r="AI624">
        <v>0</v>
      </c>
      <c r="AJ624">
        <f t="shared" si="9"/>
        <v>0</v>
      </c>
      <c r="AK624"/>
      <c r="AL624" t="s">
        <v>1553</v>
      </c>
      <c r="AM624"/>
      <c r="AN624"/>
      <c r="AO624"/>
      <c r="AP624"/>
      <c r="AQ624"/>
      <c r="AR624"/>
      <c r="AS624"/>
      <c r="AT624"/>
      <c r="AU624"/>
    </row>
    <row r="625" spans="1:47" s="33" customFormat="1" x14ac:dyDescent="0.2">
      <c r="A625" s="33" t="s">
        <v>1554</v>
      </c>
      <c r="B625" s="33" t="s">
        <v>5012</v>
      </c>
      <c r="C625" s="33">
        <v>5</v>
      </c>
      <c r="D625" s="33">
        <v>1</v>
      </c>
      <c r="E625" s="33" t="s">
        <v>2601</v>
      </c>
      <c r="F625" s="37">
        <v>43390</v>
      </c>
      <c r="G625" s="37" t="s">
        <v>4033</v>
      </c>
      <c r="H625" s="37" t="s">
        <v>4724</v>
      </c>
      <c r="I625" s="36">
        <v>7.6388888888888886E-3</v>
      </c>
      <c r="J625" s="177">
        <v>1.273148148148148E-4</v>
      </c>
      <c r="K625" s="39">
        <v>11</v>
      </c>
      <c r="L625" s="33" t="s">
        <v>398</v>
      </c>
      <c r="M625" s="33" t="s">
        <v>176</v>
      </c>
      <c r="N625" s="33" t="s">
        <v>102</v>
      </c>
      <c r="O625" s="33" t="s">
        <v>115</v>
      </c>
      <c r="P625" s="33">
        <v>1</v>
      </c>
      <c r="R625" s="33">
        <v>0</v>
      </c>
      <c r="T625" t="s">
        <v>176</v>
      </c>
      <c r="U625" s="33" t="s">
        <v>176</v>
      </c>
      <c r="V625" s="33" t="s">
        <v>122</v>
      </c>
      <c r="W625" s="33" t="s">
        <v>115</v>
      </c>
      <c r="X625" s="33" t="s">
        <v>115</v>
      </c>
      <c r="Y625" s="33" t="s">
        <v>115</v>
      </c>
      <c r="Z625" s="33" t="s">
        <v>115</v>
      </c>
      <c r="AA625" s="33" t="s">
        <v>115</v>
      </c>
      <c r="AB625" s="35" t="s">
        <v>115</v>
      </c>
      <c r="AC625" s="35"/>
      <c r="AD625" s="39">
        <v>0</v>
      </c>
      <c r="AE625" s="39">
        <v>0</v>
      </c>
      <c r="AF625" s="39">
        <v>0</v>
      </c>
      <c r="AG625" s="39">
        <v>0</v>
      </c>
      <c r="AH625" s="39">
        <v>5</v>
      </c>
      <c r="AI625" s="33">
        <v>0</v>
      </c>
      <c r="AJ625" s="33">
        <f t="shared" si="9"/>
        <v>5</v>
      </c>
      <c r="AO625"/>
      <c r="AP625"/>
      <c r="AQ625"/>
      <c r="AR625"/>
      <c r="AS625"/>
      <c r="AT625"/>
      <c r="AU625"/>
    </row>
    <row r="626" spans="1:47" s="33" customFormat="1" x14ac:dyDescent="0.2">
      <c r="A626" t="s">
        <v>1555</v>
      </c>
      <c r="B626" t="s">
        <v>1558</v>
      </c>
      <c r="C626">
        <v>1</v>
      </c>
      <c r="D626">
        <v>1</v>
      </c>
      <c r="E626" t="s">
        <v>201</v>
      </c>
      <c r="F626" s="1">
        <v>43390</v>
      </c>
      <c r="G626" s="37" t="s">
        <v>4033</v>
      </c>
      <c r="H626" s="37" t="s">
        <v>4724</v>
      </c>
      <c r="I626" s="2">
        <v>3.0555555555555555E-2</v>
      </c>
      <c r="J626" s="176">
        <v>5.0925925925925921E-4</v>
      </c>
      <c r="K626" s="6">
        <v>44</v>
      </c>
      <c r="L626" t="s">
        <v>398</v>
      </c>
      <c r="M626" s="7" t="s">
        <v>1215</v>
      </c>
      <c r="N626" t="s">
        <v>102</v>
      </c>
      <c r="O626" s="7" t="s">
        <v>23</v>
      </c>
      <c r="P626" s="7">
        <v>2</v>
      </c>
      <c r="Q626" s="7"/>
      <c r="R626" s="7">
        <v>0</v>
      </c>
      <c r="S626"/>
      <c r="T626" t="s">
        <v>176</v>
      </c>
      <c r="U626" t="s">
        <v>176</v>
      </c>
      <c r="V626" s="7" t="s">
        <v>948</v>
      </c>
      <c r="W626" s="7" t="s">
        <v>115</v>
      </c>
      <c r="X626" s="33" t="s">
        <v>115</v>
      </c>
      <c r="Y626" s="33" t="s">
        <v>115</v>
      </c>
      <c r="Z626" s="33" t="s">
        <v>115</v>
      </c>
      <c r="AA626" s="7" t="s">
        <v>115</v>
      </c>
      <c r="AB626" s="20" t="s">
        <v>115</v>
      </c>
      <c r="AC626" s="20"/>
      <c r="AD626" s="6">
        <v>0</v>
      </c>
      <c r="AE626" s="6">
        <v>44</v>
      </c>
      <c r="AF626" s="6">
        <v>0</v>
      </c>
      <c r="AG626" s="6">
        <v>44</v>
      </c>
      <c r="AH626" s="6">
        <v>0</v>
      </c>
      <c r="AI626">
        <v>0</v>
      </c>
      <c r="AJ626">
        <f t="shared" si="9"/>
        <v>44</v>
      </c>
      <c r="AK626" t="s">
        <v>188</v>
      </c>
      <c r="AL626"/>
      <c r="AM626"/>
      <c r="AN626"/>
      <c r="AO626"/>
      <c r="AP626"/>
      <c r="AQ626"/>
      <c r="AR626"/>
      <c r="AS626"/>
      <c r="AT626"/>
      <c r="AU626"/>
    </row>
    <row r="627" spans="1:47" s="33" customFormat="1" x14ac:dyDescent="0.2">
      <c r="A627" t="s">
        <v>1556</v>
      </c>
      <c r="B627" t="s">
        <v>1559</v>
      </c>
      <c r="C627">
        <v>2</v>
      </c>
      <c r="D627">
        <v>1</v>
      </c>
      <c r="E627" t="s">
        <v>201</v>
      </c>
      <c r="F627" s="1">
        <v>43390</v>
      </c>
      <c r="G627" s="37" t="s">
        <v>4033</v>
      </c>
      <c r="H627" s="37" t="s">
        <v>4724</v>
      </c>
      <c r="I627" s="2">
        <v>2.013888888888889E-2</v>
      </c>
      <c r="J627" s="176">
        <v>3.3564814814814812E-4</v>
      </c>
      <c r="K627" s="6">
        <v>29</v>
      </c>
      <c r="L627" t="s">
        <v>398</v>
      </c>
      <c r="M627" s="7" t="s">
        <v>1215</v>
      </c>
      <c r="N627" t="s">
        <v>102</v>
      </c>
      <c r="O627" s="7" t="s">
        <v>23</v>
      </c>
      <c r="P627" s="7">
        <v>1</v>
      </c>
      <c r="Q627" s="7"/>
      <c r="R627" s="7">
        <v>0</v>
      </c>
      <c r="S627"/>
      <c r="T627" t="s">
        <v>176</v>
      </c>
      <c r="U627" t="s">
        <v>176</v>
      </c>
      <c r="V627" s="7" t="s">
        <v>948</v>
      </c>
      <c r="W627" s="7" t="s">
        <v>115</v>
      </c>
      <c r="X627" s="33" t="s">
        <v>115</v>
      </c>
      <c r="Y627" s="33" t="s">
        <v>115</v>
      </c>
      <c r="Z627" s="33" t="s">
        <v>115</v>
      </c>
      <c r="AA627" s="7" t="s">
        <v>115</v>
      </c>
      <c r="AB627" s="20" t="s">
        <v>115</v>
      </c>
      <c r="AC627" s="20"/>
      <c r="AD627" s="6">
        <v>0</v>
      </c>
      <c r="AE627" s="6">
        <v>15</v>
      </c>
      <c r="AF627" s="6">
        <v>0</v>
      </c>
      <c r="AG627" s="6">
        <v>15</v>
      </c>
      <c r="AH627" s="6">
        <v>0</v>
      </c>
      <c r="AI627">
        <v>0</v>
      </c>
      <c r="AJ627">
        <f t="shared" si="9"/>
        <v>15</v>
      </c>
      <c r="AK627" t="s">
        <v>188</v>
      </c>
      <c r="AL627"/>
      <c r="AM627"/>
      <c r="AN627"/>
      <c r="AO627"/>
      <c r="AP627"/>
      <c r="AQ627"/>
      <c r="AR627"/>
      <c r="AS627"/>
      <c r="AT627"/>
      <c r="AU627"/>
    </row>
    <row r="628" spans="1:47" x14ac:dyDescent="0.2">
      <c r="A628" t="s">
        <v>1556</v>
      </c>
      <c r="B628" t="s">
        <v>1559</v>
      </c>
      <c r="C628">
        <v>2</v>
      </c>
      <c r="D628">
        <v>1</v>
      </c>
      <c r="E628" t="s">
        <v>201</v>
      </c>
      <c r="F628" s="1">
        <v>43390</v>
      </c>
      <c r="G628" s="37" t="s">
        <v>4033</v>
      </c>
      <c r="H628" s="37" t="s">
        <v>4724</v>
      </c>
      <c r="I628" s="2">
        <v>2.013888888888889E-2</v>
      </c>
      <c r="J628" s="176">
        <v>3.3564814814814812E-4</v>
      </c>
      <c r="K628" s="6">
        <v>29</v>
      </c>
      <c r="L628" t="s">
        <v>398</v>
      </c>
      <c r="M628" s="7" t="s">
        <v>1215</v>
      </c>
      <c r="N628" t="s">
        <v>2095</v>
      </c>
      <c r="O628" s="7" t="s">
        <v>23</v>
      </c>
      <c r="P628" s="7">
        <v>1</v>
      </c>
      <c r="Q628" s="7"/>
      <c r="R628" s="7">
        <v>0</v>
      </c>
      <c r="T628" t="s">
        <v>14</v>
      </c>
      <c r="U628" t="s">
        <v>2110</v>
      </c>
      <c r="V628" s="7" t="s">
        <v>948</v>
      </c>
      <c r="W628" s="7" t="s">
        <v>115</v>
      </c>
      <c r="X628" s="33" t="s">
        <v>115</v>
      </c>
      <c r="Y628" s="33" t="s">
        <v>115</v>
      </c>
      <c r="Z628" s="33" t="s">
        <v>115</v>
      </c>
      <c r="AA628" s="7" t="s">
        <v>115</v>
      </c>
      <c r="AB628" s="20" t="s">
        <v>115</v>
      </c>
      <c r="AC628" s="20"/>
      <c r="AD628" s="6">
        <v>0</v>
      </c>
      <c r="AE628" s="6">
        <v>15</v>
      </c>
      <c r="AF628" s="6">
        <v>0</v>
      </c>
      <c r="AG628" s="6">
        <v>15</v>
      </c>
      <c r="AH628" s="6">
        <v>0</v>
      </c>
      <c r="AI628">
        <v>0</v>
      </c>
      <c r="AJ628">
        <f t="shared" si="9"/>
        <v>15</v>
      </c>
      <c r="AK628" t="s">
        <v>188</v>
      </c>
      <c r="AO628" s="33"/>
      <c r="AP628" s="33"/>
      <c r="AQ628" s="34"/>
      <c r="AR628" s="33"/>
      <c r="AS628" s="33"/>
      <c r="AT628" s="33"/>
      <c r="AU628" s="33"/>
    </row>
    <row r="629" spans="1:47" x14ac:dyDescent="0.2">
      <c r="A629" t="s">
        <v>1560</v>
      </c>
      <c r="B629" t="s">
        <v>1561</v>
      </c>
      <c r="C629">
        <v>3</v>
      </c>
      <c r="D629">
        <v>1</v>
      </c>
      <c r="E629" t="s">
        <v>201</v>
      </c>
      <c r="F629" s="1">
        <v>43390</v>
      </c>
      <c r="G629" s="37" t="s">
        <v>4033</v>
      </c>
      <c r="H629" s="37" t="s">
        <v>4724</v>
      </c>
      <c r="I629" s="2">
        <v>2.2916666666666669E-2</v>
      </c>
      <c r="J629" s="176">
        <v>3.8194444444444446E-4</v>
      </c>
      <c r="K629" s="6">
        <v>33</v>
      </c>
      <c r="L629" t="s">
        <v>398</v>
      </c>
      <c r="M629" s="7" t="s">
        <v>1215</v>
      </c>
      <c r="N629" t="s">
        <v>102</v>
      </c>
      <c r="O629" s="7" t="s">
        <v>23</v>
      </c>
      <c r="P629" s="7" t="s">
        <v>24</v>
      </c>
      <c r="Q629" s="7"/>
      <c r="R629" s="7">
        <v>0</v>
      </c>
      <c r="U629" s="7" t="s">
        <v>115</v>
      </c>
      <c r="V629" s="7" t="s">
        <v>115</v>
      </c>
      <c r="W629" s="7" t="s">
        <v>115</v>
      </c>
      <c r="X629" s="33" t="s">
        <v>115</v>
      </c>
      <c r="Y629" s="33" t="s">
        <v>115</v>
      </c>
      <c r="Z629" s="33" t="s">
        <v>115</v>
      </c>
      <c r="AA629" s="7" t="s">
        <v>115</v>
      </c>
      <c r="AB629" s="20" t="s">
        <v>115</v>
      </c>
      <c r="AC629" s="20"/>
      <c r="AD629" s="6">
        <v>28</v>
      </c>
      <c r="AE629" s="6">
        <v>0</v>
      </c>
      <c r="AF629" s="6">
        <v>10</v>
      </c>
      <c r="AG629" s="6">
        <v>18</v>
      </c>
      <c r="AH629" s="6">
        <v>0</v>
      </c>
      <c r="AI629">
        <v>0</v>
      </c>
      <c r="AJ629">
        <f t="shared" si="9"/>
        <v>28</v>
      </c>
      <c r="AK629" t="s">
        <v>375</v>
      </c>
      <c r="AM629">
        <v>2</v>
      </c>
      <c r="AN629">
        <v>0</v>
      </c>
      <c r="AO629" s="33"/>
      <c r="AP629" s="33"/>
      <c r="AQ629" s="34"/>
      <c r="AR629" s="33"/>
      <c r="AS629" s="33"/>
      <c r="AT629" s="33"/>
      <c r="AU629" s="33"/>
    </row>
    <row r="630" spans="1:47" x14ac:dyDescent="0.2">
      <c r="A630" s="33" t="s">
        <v>1562</v>
      </c>
      <c r="B630" s="33" t="s">
        <v>1563</v>
      </c>
      <c r="C630" s="33">
        <v>4</v>
      </c>
      <c r="D630" s="33">
        <v>1</v>
      </c>
      <c r="E630" s="33" t="s">
        <v>3171</v>
      </c>
      <c r="F630" s="37">
        <v>43390</v>
      </c>
      <c r="G630" s="37" t="s">
        <v>4033</v>
      </c>
      <c r="H630" s="37" t="s">
        <v>4724</v>
      </c>
      <c r="I630" s="36">
        <v>8.3333333333333332E-3</v>
      </c>
      <c r="J630" s="177">
        <v>1.3888888888888889E-4</v>
      </c>
      <c r="K630" s="39">
        <v>12</v>
      </c>
      <c r="L630" s="33" t="s">
        <v>398</v>
      </c>
      <c r="M630" s="33" t="s">
        <v>149</v>
      </c>
      <c r="N630" s="33" t="s">
        <v>102</v>
      </c>
      <c r="O630" s="33" t="s">
        <v>115</v>
      </c>
      <c r="P630" s="33">
        <v>1</v>
      </c>
      <c r="Q630" s="33"/>
      <c r="R630" s="33">
        <v>0</v>
      </c>
      <c r="S630" s="33"/>
      <c r="T630" t="s">
        <v>176</v>
      </c>
      <c r="U630" s="33" t="s">
        <v>176</v>
      </c>
      <c r="V630" s="33" t="s">
        <v>122</v>
      </c>
      <c r="W630" s="33" t="s">
        <v>115</v>
      </c>
      <c r="X630" s="33" t="s">
        <v>115</v>
      </c>
      <c r="Y630" s="33" t="s">
        <v>115</v>
      </c>
      <c r="Z630" s="33" t="s">
        <v>115</v>
      </c>
      <c r="AA630" s="33" t="s">
        <v>115</v>
      </c>
      <c r="AB630" s="35" t="s">
        <v>115</v>
      </c>
      <c r="AC630" s="35"/>
      <c r="AD630" s="39">
        <v>0</v>
      </c>
      <c r="AE630" s="39">
        <v>0</v>
      </c>
      <c r="AF630" s="39">
        <v>0</v>
      </c>
      <c r="AG630" s="39">
        <v>0</v>
      </c>
      <c r="AH630" s="39">
        <v>9</v>
      </c>
      <c r="AI630" s="33">
        <v>0</v>
      </c>
      <c r="AJ630" s="33">
        <f t="shared" si="9"/>
        <v>9</v>
      </c>
      <c r="AK630" s="33"/>
      <c r="AL630" s="33" t="s">
        <v>1564</v>
      </c>
      <c r="AM630" s="33"/>
      <c r="AN630" s="33"/>
    </row>
    <row r="631" spans="1:47" x14ac:dyDescent="0.2">
      <c r="A631" t="s">
        <v>1567</v>
      </c>
      <c r="B631" t="s">
        <v>1576</v>
      </c>
      <c r="C631">
        <v>6</v>
      </c>
      <c r="D631">
        <v>1</v>
      </c>
      <c r="E631" s="33" t="s">
        <v>3171</v>
      </c>
      <c r="F631" s="1">
        <v>43390</v>
      </c>
      <c r="G631" s="37" t="s">
        <v>4033</v>
      </c>
      <c r="H631" s="37" t="s">
        <v>4724</v>
      </c>
      <c r="I631" s="2">
        <v>9.0277777777777787E-3</v>
      </c>
      <c r="J631" s="176">
        <v>1.5046296296296297E-4</v>
      </c>
      <c r="K631" s="6">
        <v>13</v>
      </c>
      <c r="L631" t="s">
        <v>398</v>
      </c>
      <c r="M631" s="7" t="s">
        <v>149</v>
      </c>
      <c r="N631" t="s">
        <v>102</v>
      </c>
      <c r="O631" s="7" t="s">
        <v>23</v>
      </c>
      <c r="P631" s="7">
        <v>1</v>
      </c>
      <c r="Q631" s="7"/>
      <c r="R631" s="7">
        <v>0</v>
      </c>
      <c r="T631" t="s">
        <v>176</v>
      </c>
      <c r="U631" s="7" t="s">
        <v>1569</v>
      </c>
      <c r="V631" s="7" t="s">
        <v>948</v>
      </c>
      <c r="W631" s="7" t="s">
        <v>115</v>
      </c>
      <c r="X631" s="33" t="s">
        <v>115</v>
      </c>
      <c r="Y631" s="33" t="s">
        <v>115</v>
      </c>
      <c r="Z631" s="33" t="s">
        <v>115</v>
      </c>
      <c r="AA631" s="7" t="s">
        <v>115</v>
      </c>
      <c r="AB631" s="20" t="s">
        <v>115</v>
      </c>
      <c r="AC631" s="20"/>
      <c r="AD631" s="6">
        <v>0</v>
      </c>
      <c r="AE631" s="6">
        <v>10</v>
      </c>
      <c r="AF631" s="6">
        <v>0</v>
      </c>
      <c r="AG631" s="6">
        <v>10</v>
      </c>
      <c r="AH631" s="6">
        <v>0</v>
      </c>
      <c r="AI631">
        <v>0</v>
      </c>
      <c r="AJ631">
        <f t="shared" si="9"/>
        <v>10</v>
      </c>
      <c r="AO631" s="33"/>
      <c r="AP631" s="33"/>
      <c r="AQ631" s="34" t="s">
        <v>3950</v>
      </c>
      <c r="AR631" s="33"/>
      <c r="AS631" s="33"/>
      <c r="AT631" s="33"/>
      <c r="AU631" s="33"/>
    </row>
    <row r="632" spans="1:47" s="33" customFormat="1" x14ac:dyDescent="0.2">
      <c r="A632" t="s">
        <v>1570</v>
      </c>
      <c r="B632" t="s">
        <v>1577</v>
      </c>
      <c r="C632">
        <v>7</v>
      </c>
      <c r="D632">
        <v>1</v>
      </c>
      <c r="E632" s="33" t="s">
        <v>3171</v>
      </c>
      <c r="F632" s="1">
        <v>43390</v>
      </c>
      <c r="G632" s="37" t="s">
        <v>4033</v>
      </c>
      <c r="H632" s="37" t="s">
        <v>4724</v>
      </c>
      <c r="I632" s="2">
        <v>2.8472222222222222E-2</v>
      </c>
      <c r="J632" s="176">
        <v>4.7453703703703704E-4</v>
      </c>
      <c r="K632" s="6">
        <v>41</v>
      </c>
      <c r="L632" t="s">
        <v>398</v>
      </c>
      <c r="M632" s="7" t="s">
        <v>149</v>
      </c>
      <c r="N632" t="s">
        <v>102</v>
      </c>
      <c r="O632" s="7" t="s">
        <v>23</v>
      </c>
      <c r="P632" s="7" t="s">
        <v>24</v>
      </c>
      <c r="Q632" s="7"/>
      <c r="R632" s="7">
        <v>0</v>
      </c>
      <c r="S632"/>
      <c r="T632"/>
      <c r="U632" s="7" t="s">
        <v>115</v>
      </c>
      <c r="V632" s="7" t="s">
        <v>115</v>
      </c>
      <c r="W632" s="7" t="s">
        <v>115</v>
      </c>
      <c r="X632" s="33" t="s">
        <v>115</v>
      </c>
      <c r="Y632" s="33" t="s">
        <v>115</v>
      </c>
      <c r="Z632" s="33" t="s">
        <v>115</v>
      </c>
      <c r="AA632" s="7" t="s">
        <v>115</v>
      </c>
      <c r="AB632" s="20" t="s">
        <v>115</v>
      </c>
      <c r="AC632" s="20"/>
      <c r="AD632" s="6">
        <v>5</v>
      </c>
      <c r="AE632" s="6">
        <v>26</v>
      </c>
      <c r="AF632" s="6">
        <v>0</v>
      </c>
      <c r="AG632" s="6">
        <v>31</v>
      </c>
      <c r="AH632" s="6">
        <v>0</v>
      </c>
      <c r="AI632">
        <v>0</v>
      </c>
      <c r="AJ632">
        <f t="shared" si="9"/>
        <v>31</v>
      </c>
      <c r="AK632"/>
      <c r="AL632"/>
      <c r="AM632"/>
      <c r="AN632"/>
      <c r="AO632"/>
      <c r="AP632"/>
      <c r="AQ632"/>
      <c r="AR632"/>
      <c r="AS632"/>
      <c r="AT632"/>
      <c r="AU632"/>
    </row>
    <row r="633" spans="1:47" x14ac:dyDescent="0.2">
      <c r="A633" t="s">
        <v>1572</v>
      </c>
      <c r="B633" t="s">
        <v>1568</v>
      </c>
      <c r="C633">
        <v>8</v>
      </c>
      <c r="D633">
        <v>1</v>
      </c>
      <c r="E633" t="s">
        <v>201</v>
      </c>
      <c r="F633" s="1">
        <v>43390</v>
      </c>
      <c r="G633" s="37" t="s">
        <v>4033</v>
      </c>
      <c r="H633" s="37" t="s">
        <v>4724</v>
      </c>
      <c r="I633" s="2">
        <v>1.5277777777777777E-2</v>
      </c>
      <c r="J633" s="176">
        <v>2.5462962962962961E-4</v>
      </c>
      <c r="K633" s="6">
        <v>22</v>
      </c>
      <c r="L633" t="s">
        <v>398</v>
      </c>
      <c r="M633" s="7" t="s">
        <v>1215</v>
      </c>
      <c r="N633" t="s">
        <v>111</v>
      </c>
      <c r="O633" s="7" t="s">
        <v>23</v>
      </c>
      <c r="P633" s="7">
        <v>0</v>
      </c>
      <c r="Q633" s="7"/>
      <c r="R633" s="7">
        <v>1</v>
      </c>
      <c r="T633" t="s">
        <v>176</v>
      </c>
      <c r="U633" t="s">
        <v>176</v>
      </c>
      <c r="V633" s="7" t="s">
        <v>24</v>
      </c>
      <c r="W633" s="7" t="s">
        <v>709</v>
      </c>
      <c r="X633" s="44" t="s">
        <v>23</v>
      </c>
      <c r="Y633" s="44" t="s">
        <v>4004</v>
      </c>
      <c r="Z633" s="44" t="s">
        <v>4005</v>
      </c>
      <c r="AA633" s="7" t="s">
        <v>24</v>
      </c>
      <c r="AB633" s="20">
        <v>63.722830000000002</v>
      </c>
      <c r="AC633" s="20">
        <v>148.95454000000001</v>
      </c>
      <c r="AD633" s="6">
        <v>0</v>
      </c>
      <c r="AE633" s="6">
        <v>0</v>
      </c>
      <c r="AF633" s="6">
        <v>0</v>
      </c>
      <c r="AG633" s="6">
        <v>0</v>
      </c>
      <c r="AH633" s="6">
        <v>0</v>
      </c>
      <c r="AI633">
        <v>0</v>
      </c>
      <c r="AJ633">
        <f t="shared" si="9"/>
        <v>0</v>
      </c>
      <c r="AO633" s="4"/>
      <c r="AP633" s="4"/>
      <c r="AQ633" s="4"/>
      <c r="AR633" s="4"/>
      <c r="AS633" s="4"/>
      <c r="AT633" s="4"/>
      <c r="AU633" s="4"/>
    </row>
    <row r="634" spans="1:47" x14ac:dyDescent="0.2">
      <c r="A634" t="s">
        <v>1574</v>
      </c>
      <c r="B634" t="s">
        <v>1571</v>
      </c>
      <c r="C634">
        <v>9</v>
      </c>
      <c r="D634">
        <v>1</v>
      </c>
      <c r="E634" t="s">
        <v>201</v>
      </c>
      <c r="F634" s="1">
        <v>43390</v>
      </c>
      <c r="G634" s="37" t="s">
        <v>4033</v>
      </c>
      <c r="H634" s="37" t="s">
        <v>4724</v>
      </c>
      <c r="I634" s="2">
        <v>2.2222222222222223E-2</v>
      </c>
      <c r="J634" s="176">
        <v>3.7037037037037035E-4</v>
      </c>
      <c r="K634" s="6">
        <v>32</v>
      </c>
      <c r="L634" t="s">
        <v>398</v>
      </c>
      <c r="M634" s="7" t="s">
        <v>1215</v>
      </c>
      <c r="N634" t="s">
        <v>102</v>
      </c>
      <c r="O634" s="7" t="s">
        <v>23</v>
      </c>
      <c r="P634" s="7" t="s">
        <v>24</v>
      </c>
      <c r="Q634" s="7"/>
      <c r="R634" s="7">
        <v>0</v>
      </c>
      <c r="U634" s="7" t="s">
        <v>115</v>
      </c>
      <c r="V634" s="7" t="s">
        <v>115</v>
      </c>
      <c r="W634" s="7" t="s">
        <v>115</v>
      </c>
      <c r="X634" s="33" t="s">
        <v>115</v>
      </c>
      <c r="Y634" s="33" t="s">
        <v>115</v>
      </c>
      <c r="Z634" s="33" t="s">
        <v>115</v>
      </c>
      <c r="AA634" s="7" t="s">
        <v>115</v>
      </c>
      <c r="AB634" s="20" t="s">
        <v>115</v>
      </c>
      <c r="AC634" s="20"/>
      <c r="AD634" s="6">
        <v>25</v>
      </c>
      <c r="AE634" s="6">
        <v>0</v>
      </c>
      <c r="AF634" s="6">
        <v>10</v>
      </c>
      <c r="AG634" s="6">
        <v>15</v>
      </c>
      <c r="AH634" s="6">
        <v>0</v>
      </c>
      <c r="AI634">
        <v>0</v>
      </c>
      <c r="AJ634">
        <f t="shared" si="9"/>
        <v>25</v>
      </c>
    </row>
    <row r="635" spans="1:47" x14ac:dyDescent="0.2">
      <c r="A635" t="s">
        <v>1578</v>
      </c>
      <c r="B635" t="s">
        <v>1573</v>
      </c>
      <c r="C635">
        <v>10</v>
      </c>
      <c r="D635">
        <v>1</v>
      </c>
      <c r="E635" t="s">
        <v>201</v>
      </c>
      <c r="F635" s="1">
        <v>43390</v>
      </c>
      <c r="G635" s="37" t="s">
        <v>4033</v>
      </c>
      <c r="H635" s="37" t="s">
        <v>4724</v>
      </c>
      <c r="I635" s="2">
        <v>8.3333333333333332E-3</v>
      </c>
      <c r="J635" s="176">
        <v>1.3888888888888889E-4</v>
      </c>
      <c r="K635" s="6">
        <v>12</v>
      </c>
      <c r="L635" t="s">
        <v>398</v>
      </c>
      <c r="M635" s="7" t="s">
        <v>1215</v>
      </c>
      <c r="N635" t="s">
        <v>102</v>
      </c>
      <c r="O635" s="7" t="s">
        <v>23</v>
      </c>
      <c r="P635" s="7">
        <v>1</v>
      </c>
      <c r="Q635" s="7"/>
      <c r="R635" s="7">
        <v>0</v>
      </c>
      <c r="T635" t="s">
        <v>176</v>
      </c>
      <c r="U635" t="s">
        <v>176</v>
      </c>
      <c r="V635" s="7" t="s">
        <v>487</v>
      </c>
      <c r="W635" s="7" t="s">
        <v>115</v>
      </c>
      <c r="X635" s="33" t="s">
        <v>115</v>
      </c>
      <c r="Y635" s="33" t="s">
        <v>115</v>
      </c>
      <c r="Z635" s="33" t="s">
        <v>115</v>
      </c>
      <c r="AA635" s="7" t="s">
        <v>115</v>
      </c>
      <c r="AB635" s="20" t="s">
        <v>115</v>
      </c>
      <c r="AC635" s="20"/>
      <c r="AD635" s="6">
        <v>12</v>
      </c>
      <c r="AE635" s="6">
        <v>0</v>
      </c>
      <c r="AF635" s="6">
        <v>5</v>
      </c>
      <c r="AG635" s="6">
        <v>7</v>
      </c>
      <c r="AH635" s="6">
        <v>0</v>
      </c>
      <c r="AI635">
        <v>0</v>
      </c>
      <c r="AJ635">
        <f t="shared" si="9"/>
        <v>12</v>
      </c>
      <c r="AO635" s="33"/>
      <c r="AP635" s="33"/>
      <c r="AQ635" s="34"/>
      <c r="AR635" s="33"/>
      <c r="AS635" s="33"/>
      <c r="AT635" s="33"/>
      <c r="AU635" s="33"/>
    </row>
    <row r="636" spans="1:47" s="33" customFormat="1" x14ac:dyDescent="0.2">
      <c r="A636" s="33" t="s">
        <v>1579</v>
      </c>
      <c r="B636" s="33" t="s">
        <v>1575</v>
      </c>
      <c r="C636" s="33">
        <v>11</v>
      </c>
      <c r="D636" s="33">
        <v>1</v>
      </c>
      <c r="E636" s="33" t="s">
        <v>201</v>
      </c>
      <c r="F636" s="37">
        <v>43390</v>
      </c>
      <c r="G636" s="37" t="s">
        <v>4033</v>
      </c>
      <c r="H636" s="37" t="s">
        <v>4724</v>
      </c>
      <c r="I636" s="36">
        <v>3.5416666666666666E-2</v>
      </c>
      <c r="J636" s="177">
        <v>5.9027777777777778E-4</v>
      </c>
      <c r="K636" s="39">
        <v>51</v>
      </c>
      <c r="L636" s="33" t="s">
        <v>398</v>
      </c>
      <c r="M636" s="33" t="s">
        <v>1215</v>
      </c>
      <c r="N636" s="33" t="s">
        <v>102</v>
      </c>
      <c r="O636" s="33" t="s">
        <v>23</v>
      </c>
      <c r="P636" s="33">
        <v>1</v>
      </c>
      <c r="R636" s="33">
        <v>0</v>
      </c>
      <c r="T636" t="s">
        <v>14</v>
      </c>
      <c r="U636" s="33" t="s">
        <v>2128</v>
      </c>
      <c r="V636" s="33" t="s">
        <v>122</v>
      </c>
      <c r="W636" s="33" t="s">
        <v>115</v>
      </c>
      <c r="X636" s="33" t="s">
        <v>115</v>
      </c>
      <c r="Y636" s="33" t="s">
        <v>115</v>
      </c>
      <c r="Z636" s="33" t="s">
        <v>115</v>
      </c>
      <c r="AA636" s="33" t="s">
        <v>115</v>
      </c>
      <c r="AB636" s="35" t="s">
        <v>115</v>
      </c>
      <c r="AC636" s="35"/>
      <c r="AD636" s="39">
        <v>13</v>
      </c>
      <c r="AE636" s="39">
        <v>0</v>
      </c>
      <c r="AF636" s="39">
        <v>0</v>
      </c>
      <c r="AG636" s="39">
        <v>13</v>
      </c>
      <c r="AH636" s="39">
        <v>10</v>
      </c>
      <c r="AI636" s="33">
        <v>0</v>
      </c>
      <c r="AJ636" s="33">
        <f t="shared" si="9"/>
        <v>23</v>
      </c>
      <c r="AO636" s="4"/>
      <c r="AP636" s="4"/>
      <c r="AQ636" s="4"/>
      <c r="AR636" s="4"/>
      <c r="AS636" s="4"/>
      <c r="AT636" s="4"/>
      <c r="AU636" s="4"/>
    </row>
    <row r="637" spans="1:47" s="33" customFormat="1" x14ac:dyDescent="0.2">
      <c r="A637" s="33" t="s">
        <v>1580</v>
      </c>
      <c r="B637" s="33" t="s">
        <v>5013</v>
      </c>
      <c r="C637" s="33">
        <v>6</v>
      </c>
      <c r="D637" s="33">
        <v>1</v>
      </c>
      <c r="E637" s="33" t="s">
        <v>2601</v>
      </c>
      <c r="F637" s="37">
        <v>43390</v>
      </c>
      <c r="G637" s="37" t="s">
        <v>4033</v>
      </c>
      <c r="H637" s="37" t="s">
        <v>4724</v>
      </c>
      <c r="I637" s="36">
        <v>7.6388888888888886E-3</v>
      </c>
      <c r="J637" s="177">
        <v>1.273148148148148E-4</v>
      </c>
      <c r="K637" s="39">
        <v>11</v>
      </c>
      <c r="L637" s="33" t="s">
        <v>398</v>
      </c>
      <c r="M637" s="33" t="s">
        <v>173</v>
      </c>
      <c r="N637" s="33" t="s">
        <v>102</v>
      </c>
      <c r="O637" s="33" t="s">
        <v>115</v>
      </c>
      <c r="P637" s="33">
        <v>1</v>
      </c>
      <c r="R637" s="33">
        <v>0</v>
      </c>
      <c r="T637" t="s">
        <v>14</v>
      </c>
      <c r="U637" s="33" t="s">
        <v>2128</v>
      </c>
      <c r="V637" s="33" t="s">
        <v>122</v>
      </c>
      <c r="W637" s="33" t="s">
        <v>115</v>
      </c>
      <c r="X637" s="33" t="s">
        <v>115</v>
      </c>
      <c r="Y637" s="33" t="s">
        <v>115</v>
      </c>
      <c r="Z637" s="33" t="s">
        <v>115</v>
      </c>
      <c r="AA637" s="33" t="s">
        <v>115</v>
      </c>
      <c r="AB637" s="35" t="s">
        <v>115</v>
      </c>
      <c r="AC637" s="35"/>
      <c r="AD637" s="39">
        <v>0</v>
      </c>
      <c r="AE637" s="39">
        <v>0</v>
      </c>
      <c r="AF637" s="39">
        <v>0</v>
      </c>
      <c r="AG637" s="39">
        <v>0</v>
      </c>
      <c r="AH637" s="39">
        <v>10</v>
      </c>
      <c r="AI637" s="33">
        <v>0</v>
      </c>
      <c r="AJ637" s="33">
        <f t="shared" si="9"/>
        <v>10</v>
      </c>
      <c r="AO637"/>
      <c r="AP637"/>
      <c r="AQ637"/>
      <c r="AR637"/>
      <c r="AS637"/>
      <c r="AT637"/>
      <c r="AU637"/>
    </row>
    <row r="638" spans="1:47" x14ac:dyDescent="0.2">
      <c r="A638" t="s">
        <v>1581</v>
      </c>
      <c r="B638" t="s">
        <v>5015</v>
      </c>
      <c r="C638">
        <v>7</v>
      </c>
      <c r="D638">
        <v>1</v>
      </c>
      <c r="E638" t="s">
        <v>2601</v>
      </c>
      <c r="F638" s="1">
        <v>43390</v>
      </c>
      <c r="G638" s="37" t="s">
        <v>4033</v>
      </c>
      <c r="H638" s="37" t="s">
        <v>4724</v>
      </c>
      <c r="I638" s="2">
        <v>9.7222222222222224E-3</v>
      </c>
      <c r="J638" s="176">
        <v>1.6203703703703703E-4</v>
      </c>
      <c r="K638" s="6">
        <v>14</v>
      </c>
      <c r="L638" t="s">
        <v>398</v>
      </c>
      <c r="M638" s="7" t="s">
        <v>173</v>
      </c>
      <c r="N638" t="s">
        <v>111</v>
      </c>
      <c r="O638" s="7" t="s">
        <v>23</v>
      </c>
      <c r="P638" s="7">
        <v>0</v>
      </c>
      <c r="Q638" s="7"/>
      <c r="R638" s="7">
        <v>1</v>
      </c>
      <c r="T638" t="s">
        <v>14</v>
      </c>
      <c r="U638" t="s">
        <v>2128</v>
      </c>
      <c r="V638" s="7" t="s">
        <v>122</v>
      </c>
      <c r="W638" s="7" t="s">
        <v>1057</v>
      </c>
      <c r="X638" s="44" t="s">
        <v>23</v>
      </c>
      <c r="Y638" s="44" t="s">
        <v>3999</v>
      </c>
      <c r="Z638" s="44" t="s">
        <v>4005</v>
      </c>
      <c r="AA638">
        <v>8</v>
      </c>
      <c r="AB638" s="20">
        <v>63.725540000000002</v>
      </c>
      <c r="AC638" s="20">
        <v>148.9563</v>
      </c>
      <c r="AD638" s="6">
        <v>0</v>
      </c>
      <c r="AE638" s="6">
        <v>0</v>
      </c>
      <c r="AF638" s="6">
        <v>0</v>
      </c>
      <c r="AG638" s="6">
        <v>0</v>
      </c>
      <c r="AH638" s="6">
        <v>0</v>
      </c>
      <c r="AI638">
        <v>0</v>
      </c>
      <c r="AJ638">
        <f t="shared" si="9"/>
        <v>0</v>
      </c>
    </row>
    <row r="639" spans="1:47" x14ac:dyDescent="0.2">
      <c r="A639" t="s">
        <v>1582</v>
      </c>
      <c r="B639" t="s">
        <v>5008</v>
      </c>
      <c r="C639">
        <v>8</v>
      </c>
      <c r="D639">
        <v>1</v>
      </c>
      <c r="E639" t="s">
        <v>2601</v>
      </c>
      <c r="F639" s="1">
        <v>43390</v>
      </c>
      <c r="G639" s="37" t="s">
        <v>4033</v>
      </c>
      <c r="H639" s="37" t="s">
        <v>4724</v>
      </c>
      <c r="I639" s="2">
        <v>2.8472222222222222E-2</v>
      </c>
      <c r="J639" s="176">
        <v>4.7453703703703704E-4</v>
      </c>
      <c r="K639" s="6">
        <v>41</v>
      </c>
      <c r="L639" t="s">
        <v>398</v>
      </c>
      <c r="M639" s="7" t="s">
        <v>173</v>
      </c>
      <c r="N639" t="s">
        <v>102</v>
      </c>
      <c r="O639" s="7" t="s">
        <v>23</v>
      </c>
      <c r="P639" s="7" t="s">
        <v>24</v>
      </c>
      <c r="Q639" s="7"/>
      <c r="R639" s="7">
        <v>0</v>
      </c>
      <c r="U639" s="7" t="s">
        <v>115</v>
      </c>
      <c r="V639" s="7" t="s">
        <v>115</v>
      </c>
      <c r="W639" s="7" t="s">
        <v>115</v>
      </c>
      <c r="X639" s="33" t="s">
        <v>115</v>
      </c>
      <c r="Y639" s="33" t="s">
        <v>115</v>
      </c>
      <c r="Z639" s="33" t="s">
        <v>115</v>
      </c>
      <c r="AA639" s="7" t="s">
        <v>115</v>
      </c>
      <c r="AB639" s="20" t="s">
        <v>115</v>
      </c>
      <c r="AC639" s="20"/>
      <c r="AD639" s="6">
        <v>0</v>
      </c>
      <c r="AE639" s="6">
        <v>30</v>
      </c>
      <c r="AF639" s="6">
        <v>0</v>
      </c>
      <c r="AG639" s="6">
        <v>30</v>
      </c>
      <c r="AH639" s="6">
        <v>0</v>
      </c>
      <c r="AI639">
        <v>0</v>
      </c>
      <c r="AJ639">
        <f t="shared" si="9"/>
        <v>30</v>
      </c>
    </row>
    <row r="640" spans="1:47" s="33" customFormat="1" x14ac:dyDescent="0.2">
      <c r="A640" t="s">
        <v>1583</v>
      </c>
      <c r="B640" t="s">
        <v>1584</v>
      </c>
      <c r="C640">
        <v>1</v>
      </c>
      <c r="D640">
        <v>1</v>
      </c>
      <c r="E640" t="s">
        <v>791</v>
      </c>
      <c r="F640" s="1">
        <v>43390</v>
      </c>
      <c r="G640" s="37" t="s">
        <v>4033</v>
      </c>
      <c r="H640" s="37" t="s">
        <v>4724</v>
      </c>
      <c r="I640" s="2">
        <v>2.1527777777777781E-2</v>
      </c>
      <c r="J640" s="176">
        <v>3.5879629629629635E-4</v>
      </c>
      <c r="K640" s="6">
        <v>31</v>
      </c>
      <c r="L640" t="s">
        <v>398</v>
      </c>
      <c r="M640" s="7" t="s">
        <v>927</v>
      </c>
      <c r="N640" t="s">
        <v>156</v>
      </c>
      <c r="O640" s="7" t="s">
        <v>23</v>
      </c>
      <c r="P640" s="7">
        <v>2</v>
      </c>
      <c r="Q640" s="7"/>
      <c r="R640" s="7">
        <v>1</v>
      </c>
      <c r="S640"/>
      <c r="T640" t="s">
        <v>176</v>
      </c>
      <c r="U640" s="7" t="s">
        <v>1585</v>
      </c>
      <c r="V640" s="7" t="s">
        <v>1586</v>
      </c>
      <c r="W640" s="7" t="s">
        <v>3963</v>
      </c>
      <c r="X640" s="33" t="s">
        <v>23</v>
      </c>
      <c r="Y640" s="33" t="s">
        <v>3997</v>
      </c>
      <c r="Z640" s="33" t="s">
        <v>4002</v>
      </c>
      <c r="AA640" s="7" t="s">
        <v>24</v>
      </c>
      <c r="AB640" s="20">
        <v>63.723950000000002</v>
      </c>
      <c r="AC640" s="20">
        <v>148.96271999999999</v>
      </c>
      <c r="AD640" s="6">
        <v>10</v>
      </c>
      <c r="AE640" s="6">
        <v>0</v>
      </c>
      <c r="AF640" s="6">
        <v>0</v>
      </c>
      <c r="AG640" s="6">
        <v>10</v>
      </c>
      <c r="AH640" s="6">
        <v>0</v>
      </c>
      <c r="AI640">
        <v>0</v>
      </c>
      <c r="AJ640">
        <f t="shared" si="9"/>
        <v>10</v>
      </c>
      <c r="AK640"/>
      <c r="AL640" t="s">
        <v>1587</v>
      </c>
      <c r="AM640"/>
      <c r="AN640"/>
      <c r="AQ640" s="34"/>
    </row>
    <row r="641" spans="1:47" s="33" customFormat="1" x14ac:dyDescent="0.2">
      <c r="A641" s="33" t="s">
        <v>1588</v>
      </c>
      <c r="B641" s="33" t="s">
        <v>1589</v>
      </c>
      <c r="C641" s="33">
        <v>1</v>
      </c>
      <c r="D641" s="33">
        <v>1</v>
      </c>
      <c r="E641" s="33" t="s">
        <v>2487</v>
      </c>
      <c r="F641" s="37">
        <v>43391</v>
      </c>
      <c r="G641" s="37" t="s">
        <v>4033</v>
      </c>
      <c r="H641" s="37" t="s">
        <v>4724</v>
      </c>
      <c r="I641" s="36">
        <v>8.3333333333333332E-3</v>
      </c>
      <c r="J641" s="177">
        <v>1.3888888888888889E-4</v>
      </c>
      <c r="K641" s="39">
        <v>12</v>
      </c>
      <c r="L641" s="33" t="s">
        <v>398</v>
      </c>
      <c r="M641" s="33" t="s">
        <v>176</v>
      </c>
      <c r="N641" s="33" t="s">
        <v>102</v>
      </c>
      <c r="O641" s="33" t="s">
        <v>115</v>
      </c>
      <c r="P641" s="33" t="s">
        <v>24</v>
      </c>
      <c r="R641" s="33">
        <v>0</v>
      </c>
      <c r="T641" t="s">
        <v>176</v>
      </c>
      <c r="U641" s="33" t="s">
        <v>176</v>
      </c>
      <c r="V641" s="33" t="s">
        <v>115</v>
      </c>
      <c r="W641" s="33" t="s">
        <v>115</v>
      </c>
      <c r="X641" s="33" t="s">
        <v>115</v>
      </c>
      <c r="Y641" s="33" t="s">
        <v>115</v>
      </c>
      <c r="Z641" s="33" t="s">
        <v>115</v>
      </c>
      <c r="AA641" s="33" t="s">
        <v>115</v>
      </c>
      <c r="AB641" s="35" t="s">
        <v>115</v>
      </c>
      <c r="AC641" s="35"/>
      <c r="AD641" s="39">
        <v>0</v>
      </c>
      <c r="AE641" s="39">
        <v>0</v>
      </c>
      <c r="AF641" s="39">
        <v>0</v>
      </c>
      <c r="AG641" s="39">
        <v>0</v>
      </c>
      <c r="AH641" s="39">
        <v>11</v>
      </c>
      <c r="AI641" s="33">
        <v>0</v>
      </c>
      <c r="AJ641" s="33">
        <f t="shared" si="9"/>
        <v>11</v>
      </c>
      <c r="AQ641" s="34"/>
    </row>
    <row r="642" spans="1:47" x14ac:dyDescent="0.2">
      <c r="A642" t="s">
        <v>1590</v>
      </c>
      <c r="B642" t="s">
        <v>1591</v>
      </c>
      <c r="C642">
        <v>2</v>
      </c>
      <c r="D642">
        <v>1</v>
      </c>
      <c r="E642" t="s">
        <v>2487</v>
      </c>
      <c r="F642" s="1">
        <v>43391</v>
      </c>
      <c r="G642" s="37" t="s">
        <v>4033</v>
      </c>
      <c r="H642" s="37" t="s">
        <v>4724</v>
      </c>
      <c r="I642" s="2">
        <v>1.9444444444444445E-2</v>
      </c>
      <c r="J642" s="176">
        <v>3.2407407407407406E-4</v>
      </c>
      <c r="K642" s="6">
        <v>28</v>
      </c>
      <c r="L642" t="s">
        <v>398</v>
      </c>
      <c r="M642" s="7" t="s">
        <v>344</v>
      </c>
      <c r="N642" t="s">
        <v>102</v>
      </c>
      <c r="O642" s="7" t="s">
        <v>23</v>
      </c>
      <c r="P642" s="7">
        <v>1</v>
      </c>
      <c r="Q642" s="7"/>
      <c r="R642" s="7">
        <v>0</v>
      </c>
      <c r="T642" t="s">
        <v>176</v>
      </c>
      <c r="U642" t="s">
        <v>176</v>
      </c>
      <c r="V642" s="7" t="s">
        <v>948</v>
      </c>
      <c r="W642" s="7" t="s">
        <v>115</v>
      </c>
      <c r="X642" s="33" t="s">
        <v>115</v>
      </c>
      <c r="Y642" s="33" t="s">
        <v>115</v>
      </c>
      <c r="Z642" s="33" t="s">
        <v>115</v>
      </c>
      <c r="AA642" s="7" t="s">
        <v>115</v>
      </c>
      <c r="AB642" s="20" t="s">
        <v>115</v>
      </c>
      <c r="AC642" s="20"/>
      <c r="AD642" s="6">
        <v>0</v>
      </c>
      <c r="AE642" s="6">
        <v>18</v>
      </c>
      <c r="AF642" s="6">
        <v>0</v>
      </c>
      <c r="AG642" s="6">
        <v>18</v>
      </c>
      <c r="AH642" s="6">
        <v>0</v>
      </c>
      <c r="AI642">
        <v>0</v>
      </c>
      <c r="AJ642">
        <f t="shared" ref="AJ642:AJ705" si="10">SUM(AF642:AI642)</f>
        <v>18</v>
      </c>
      <c r="AK642" t="s">
        <v>188</v>
      </c>
    </row>
    <row r="643" spans="1:47" x14ac:dyDescent="0.2">
      <c r="A643" s="33" t="s">
        <v>1592</v>
      </c>
      <c r="B643" s="33" t="s">
        <v>1593</v>
      </c>
      <c r="C643" s="33">
        <v>3</v>
      </c>
      <c r="D643" s="33">
        <v>1</v>
      </c>
      <c r="E643" s="33" t="s">
        <v>2487</v>
      </c>
      <c r="F643" s="37">
        <v>43391</v>
      </c>
      <c r="G643" s="37" t="s">
        <v>4033</v>
      </c>
      <c r="H643" s="37" t="s">
        <v>4724</v>
      </c>
      <c r="I643" s="36">
        <v>3.1944444444444449E-2</v>
      </c>
      <c r="J643" s="177">
        <v>5.3240740740740744E-4</v>
      </c>
      <c r="K643" s="39">
        <v>46</v>
      </c>
      <c r="L643" s="33" t="s">
        <v>398</v>
      </c>
      <c r="M643" s="33" t="s">
        <v>2498</v>
      </c>
      <c r="N643" s="33" t="s">
        <v>156</v>
      </c>
      <c r="O643" s="33" t="s">
        <v>23</v>
      </c>
      <c r="P643" s="33">
        <v>1</v>
      </c>
      <c r="Q643" s="33">
        <v>5</v>
      </c>
      <c r="R643" s="33">
        <v>1</v>
      </c>
      <c r="S643" s="33"/>
      <c r="T643" t="s">
        <v>14</v>
      </c>
      <c r="U643" s="33" t="s">
        <v>2128</v>
      </c>
      <c r="V643" s="33" t="s">
        <v>122</v>
      </c>
      <c r="W643" s="7" t="s">
        <v>1035</v>
      </c>
      <c r="X643" s="33" t="s">
        <v>23</v>
      </c>
      <c r="Y643" s="33" t="s">
        <v>3997</v>
      </c>
      <c r="Z643" s="33" t="s">
        <v>4006</v>
      </c>
      <c r="AA643" s="33">
        <v>10</v>
      </c>
      <c r="AB643" s="35">
        <v>63.721490000000003</v>
      </c>
      <c r="AC643" s="35">
        <v>148.98593</v>
      </c>
      <c r="AD643" s="39">
        <v>0</v>
      </c>
      <c r="AE643" s="39">
        <v>0</v>
      </c>
      <c r="AF643" s="39">
        <v>0</v>
      </c>
      <c r="AG643" s="39">
        <v>0</v>
      </c>
      <c r="AH643" s="39">
        <v>22</v>
      </c>
      <c r="AI643" s="33">
        <v>0</v>
      </c>
      <c r="AJ643" s="33">
        <f t="shared" si="10"/>
        <v>22</v>
      </c>
      <c r="AK643" s="33"/>
      <c r="AL643" s="33"/>
      <c r="AM643" s="33"/>
      <c r="AN643" s="33"/>
    </row>
    <row r="644" spans="1:47" x14ac:dyDescent="0.2">
      <c r="A644" s="33" t="s">
        <v>1594</v>
      </c>
      <c r="B644" s="33" t="s">
        <v>1595</v>
      </c>
      <c r="C644" s="33">
        <v>4</v>
      </c>
      <c r="D644" s="33">
        <v>1</v>
      </c>
      <c r="E644" s="33" t="s">
        <v>2487</v>
      </c>
      <c r="F644" s="37">
        <v>43391</v>
      </c>
      <c r="G644" s="37" t="s">
        <v>4033</v>
      </c>
      <c r="H644" s="37" t="s">
        <v>4724</v>
      </c>
      <c r="I644" s="36">
        <v>1.3194444444444444E-2</v>
      </c>
      <c r="J644" s="177">
        <v>2.199074074074074E-4</v>
      </c>
      <c r="K644" s="39">
        <v>19</v>
      </c>
      <c r="L644" s="33" t="s">
        <v>398</v>
      </c>
      <c r="M644" s="33" t="s">
        <v>2498</v>
      </c>
      <c r="N644" s="33" t="s">
        <v>156</v>
      </c>
      <c r="O644" s="33" t="s">
        <v>23</v>
      </c>
      <c r="P644" s="33">
        <v>1</v>
      </c>
      <c r="Q644" s="33">
        <v>2</v>
      </c>
      <c r="R644" s="33">
        <v>1</v>
      </c>
      <c r="S644" s="33"/>
      <c r="T644" t="s">
        <v>14</v>
      </c>
      <c r="U644" s="33" t="s">
        <v>2128</v>
      </c>
      <c r="V644" s="33" t="s">
        <v>122</v>
      </c>
      <c r="W644" s="33" t="s">
        <v>3963</v>
      </c>
      <c r="X644" s="33" t="s">
        <v>23</v>
      </c>
      <c r="Y644" s="33" t="s">
        <v>3997</v>
      </c>
      <c r="Z644" s="33" t="s">
        <v>4007</v>
      </c>
      <c r="AA644" s="33">
        <v>15</v>
      </c>
      <c r="AB644" s="35">
        <v>63.721530000000001</v>
      </c>
      <c r="AC644" s="35">
        <v>148.98598999999999</v>
      </c>
      <c r="AD644" s="39">
        <v>0</v>
      </c>
      <c r="AE644" s="39">
        <v>0</v>
      </c>
      <c r="AF644" s="39">
        <v>0</v>
      </c>
      <c r="AG644" s="39">
        <v>0</v>
      </c>
      <c r="AH644" s="39">
        <v>7</v>
      </c>
      <c r="AI644" s="33">
        <v>0</v>
      </c>
      <c r="AJ644" s="33">
        <f t="shared" si="10"/>
        <v>7</v>
      </c>
      <c r="AK644" s="33"/>
      <c r="AL644" s="33"/>
      <c r="AM644" s="33"/>
      <c r="AN644" s="33"/>
    </row>
    <row r="645" spans="1:47" x14ac:dyDescent="0.2">
      <c r="A645" s="33" t="s">
        <v>1596</v>
      </c>
      <c r="B645" s="33" t="s">
        <v>1597</v>
      </c>
      <c r="C645" s="33">
        <v>5</v>
      </c>
      <c r="D645" s="33">
        <v>1</v>
      </c>
      <c r="E645" s="33" t="s">
        <v>2487</v>
      </c>
      <c r="F645" s="37">
        <v>43391</v>
      </c>
      <c r="G645" s="37" t="s">
        <v>4033</v>
      </c>
      <c r="H645" s="37" t="s">
        <v>4724</v>
      </c>
      <c r="I645" s="36">
        <v>2.013888888888889E-2</v>
      </c>
      <c r="J645" s="177">
        <v>3.3564814814814812E-4</v>
      </c>
      <c r="K645" s="39">
        <v>29</v>
      </c>
      <c r="L645" s="33" t="s">
        <v>398</v>
      </c>
      <c r="M645" s="33" t="s">
        <v>2498</v>
      </c>
      <c r="N645" s="33" t="s">
        <v>102</v>
      </c>
      <c r="O645" s="33" t="s">
        <v>115</v>
      </c>
      <c r="P645" s="33">
        <v>1</v>
      </c>
      <c r="Q645" s="33"/>
      <c r="R645" s="33">
        <v>0</v>
      </c>
      <c r="S645" s="33"/>
      <c r="T645" t="s">
        <v>14</v>
      </c>
      <c r="U645" s="33" t="s">
        <v>2128</v>
      </c>
      <c r="V645" s="33" t="s">
        <v>122</v>
      </c>
      <c r="W645" s="33" t="s">
        <v>115</v>
      </c>
      <c r="X645" s="33" t="s">
        <v>115</v>
      </c>
      <c r="Y645" s="33" t="s">
        <v>115</v>
      </c>
      <c r="Z645" s="33" t="s">
        <v>115</v>
      </c>
      <c r="AA645" s="33" t="s">
        <v>115</v>
      </c>
      <c r="AB645" s="35" t="s">
        <v>115</v>
      </c>
      <c r="AC645" s="35"/>
      <c r="AD645" s="39">
        <v>0</v>
      </c>
      <c r="AE645" s="39">
        <v>0</v>
      </c>
      <c r="AF645" s="39">
        <v>0</v>
      </c>
      <c r="AG645" s="39">
        <v>0</v>
      </c>
      <c r="AH645" s="39">
        <v>20</v>
      </c>
      <c r="AI645" s="33">
        <v>0</v>
      </c>
      <c r="AJ645" s="33">
        <f t="shared" si="10"/>
        <v>20</v>
      </c>
      <c r="AK645" s="33"/>
      <c r="AL645" s="33"/>
      <c r="AM645" s="33"/>
      <c r="AN645" s="33"/>
    </row>
    <row r="646" spans="1:47" x14ac:dyDescent="0.2">
      <c r="A646" t="s">
        <v>1601</v>
      </c>
      <c r="B646" t="s">
        <v>1602</v>
      </c>
      <c r="C646">
        <v>1</v>
      </c>
      <c r="D646">
        <v>1</v>
      </c>
      <c r="E646" t="s">
        <v>2462</v>
      </c>
      <c r="F646" s="1">
        <v>43392</v>
      </c>
      <c r="G646" s="37" t="s">
        <v>4033</v>
      </c>
      <c r="H646" s="37" t="s">
        <v>4724</v>
      </c>
      <c r="I646" s="2">
        <v>1.2499999999999999E-2</v>
      </c>
      <c r="J646" s="176">
        <v>2.0833333333333335E-4</v>
      </c>
      <c r="K646" s="6">
        <v>18</v>
      </c>
      <c r="L646" t="s">
        <v>398</v>
      </c>
      <c r="M646" s="7" t="s">
        <v>64</v>
      </c>
      <c r="N646" s="7" t="s">
        <v>102</v>
      </c>
      <c r="O646" s="7" t="s">
        <v>23</v>
      </c>
      <c r="P646" s="7">
        <v>1</v>
      </c>
      <c r="Q646" s="7"/>
      <c r="R646" s="7">
        <v>0</v>
      </c>
      <c r="T646" t="s">
        <v>176</v>
      </c>
      <c r="U646" t="s">
        <v>176</v>
      </c>
      <c r="V646" s="7" t="s">
        <v>1603</v>
      </c>
      <c r="W646" s="7" t="s">
        <v>115</v>
      </c>
      <c r="X646" s="33" t="s">
        <v>115</v>
      </c>
      <c r="Y646" s="33" t="s">
        <v>115</v>
      </c>
      <c r="Z646" s="33" t="s">
        <v>115</v>
      </c>
      <c r="AA646" s="7" t="s">
        <v>115</v>
      </c>
      <c r="AB646" s="20" t="s">
        <v>115</v>
      </c>
      <c r="AC646" s="20"/>
      <c r="AD646" s="6">
        <v>0</v>
      </c>
      <c r="AE646" s="6">
        <v>10</v>
      </c>
      <c r="AF646" s="6">
        <v>0</v>
      </c>
      <c r="AG646" s="6">
        <v>10</v>
      </c>
      <c r="AH646" s="6">
        <v>0</v>
      </c>
      <c r="AI646">
        <v>0</v>
      </c>
      <c r="AJ646">
        <f t="shared" si="10"/>
        <v>10</v>
      </c>
      <c r="AK646" t="s">
        <v>188</v>
      </c>
      <c r="AL646" t="s">
        <v>1604</v>
      </c>
      <c r="AO646" s="33"/>
      <c r="AP646" s="33"/>
      <c r="AQ646" s="34"/>
      <c r="AR646" s="33"/>
      <c r="AS646" s="33"/>
      <c r="AT646" s="33"/>
      <c r="AU646" s="33"/>
    </row>
    <row r="647" spans="1:47" x14ac:dyDescent="0.2">
      <c r="A647" t="s">
        <v>1605</v>
      </c>
      <c r="B647" t="s">
        <v>1606</v>
      </c>
      <c r="C647">
        <v>2</v>
      </c>
      <c r="D647">
        <v>1</v>
      </c>
      <c r="E647" t="s">
        <v>2462</v>
      </c>
      <c r="F647" s="1">
        <v>43392</v>
      </c>
      <c r="G647" s="37" t="s">
        <v>4033</v>
      </c>
      <c r="H647" s="37" t="s">
        <v>4724</v>
      </c>
      <c r="I647" s="2">
        <v>1.1805555555555555E-2</v>
      </c>
      <c r="J647" s="176">
        <v>1.9675925925925926E-4</v>
      </c>
      <c r="K647" s="6">
        <v>17</v>
      </c>
      <c r="L647" t="s">
        <v>398</v>
      </c>
      <c r="M647" s="7" t="s">
        <v>64</v>
      </c>
      <c r="N647" s="7" t="s">
        <v>111</v>
      </c>
      <c r="O647" s="7" t="s">
        <v>12</v>
      </c>
      <c r="P647" s="7">
        <v>0</v>
      </c>
      <c r="Q647" s="7"/>
      <c r="R647" s="7">
        <v>1</v>
      </c>
      <c r="T647" t="s">
        <v>176</v>
      </c>
      <c r="U647" t="s">
        <v>176</v>
      </c>
      <c r="V647" s="7" t="s">
        <v>1603</v>
      </c>
      <c r="W647" s="7" t="s">
        <v>1318</v>
      </c>
      <c r="X647" s="33" t="s">
        <v>12</v>
      </c>
      <c r="Y647" s="33" t="s">
        <v>3997</v>
      </c>
      <c r="Z647" s="33" t="s">
        <v>4008</v>
      </c>
      <c r="AA647" s="7" t="s">
        <v>24</v>
      </c>
      <c r="AB647" s="20" t="s">
        <v>246</v>
      </c>
      <c r="AC647" s="20"/>
      <c r="AD647" s="6">
        <v>0</v>
      </c>
      <c r="AE647" s="6">
        <v>0</v>
      </c>
      <c r="AF647" s="6">
        <v>0</v>
      </c>
      <c r="AG647" s="6">
        <v>0</v>
      </c>
      <c r="AH647" s="6">
        <v>0</v>
      </c>
      <c r="AI647">
        <v>0</v>
      </c>
      <c r="AJ647">
        <f t="shared" si="10"/>
        <v>0</v>
      </c>
      <c r="AO647" s="33"/>
      <c r="AP647" s="33"/>
      <c r="AQ647" s="34"/>
      <c r="AR647" s="33"/>
      <c r="AS647" s="33"/>
      <c r="AT647" s="33"/>
      <c r="AU647" s="33"/>
    </row>
    <row r="648" spans="1:47" s="33" customFormat="1" x14ac:dyDescent="0.2">
      <c r="A648" t="s">
        <v>1607</v>
      </c>
      <c r="B648" t="s">
        <v>1608</v>
      </c>
      <c r="C648">
        <v>3</v>
      </c>
      <c r="D648">
        <v>1</v>
      </c>
      <c r="E648" t="s">
        <v>2462</v>
      </c>
      <c r="F648" s="1">
        <v>43392</v>
      </c>
      <c r="G648" s="37" t="s">
        <v>4033</v>
      </c>
      <c r="H648" s="37" t="s">
        <v>4724</v>
      </c>
      <c r="I648" s="2">
        <v>3.9583333333333331E-2</v>
      </c>
      <c r="J648" s="176">
        <v>6.5972222222222213E-4</v>
      </c>
      <c r="K648" s="6">
        <v>57</v>
      </c>
      <c r="L648"/>
      <c r="M648" s="7" t="s">
        <v>363</v>
      </c>
      <c r="N648" s="7" t="s">
        <v>102</v>
      </c>
      <c r="O648" s="7" t="s">
        <v>12</v>
      </c>
      <c r="P648" s="7">
        <v>4</v>
      </c>
      <c r="Q648"/>
      <c r="R648" s="7">
        <v>0</v>
      </c>
      <c r="S648"/>
      <c r="T648" t="s">
        <v>176</v>
      </c>
      <c r="U648" t="s">
        <v>176</v>
      </c>
      <c r="V648" s="7" t="s">
        <v>3979</v>
      </c>
      <c r="W648" s="7" t="s">
        <v>115</v>
      </c>
      <c r="X648" s="33" t="s">
        <v>115</v>
      </c>
      <c r="Y648" s="33" t="s">
        <v>115</v>
      </c>
      <c r="Z648" s="33" t="s">
        <v>115</v>
      </c>
      <c r="AA648" s="7" t="s">
        <v>115</v>
      </c>
      <c r="AB648" s="20" t="s">
        <v>115</v>
      </c>
      <c r="AC648" s="20"/>
      <c r="AD648" s="6">
        <v>57</v>
      </c>
      <c r="AE648" s="6">
        <v>0</v>
      </c>
      <c r="AF648" s="6">
        <v>0</v>
      </c>
      <c r="AG648" s="6">
        <v>57</v>
      </c>
      <c r="AH648" s="6">
        <v>0</v>
      </c>
      <c r="AI648">
        <v>0</v>
      </c>
      <c r="AJ648">
        <f t="shared" si="10"/>
        <v>57</v>
      </c>
      <c r="AK648" t="s">
        <v>123</v>
      </c>
      <c r="AL648"/>
      <c r="AM648"/>
      <c r="AN648"/>
      <c r="AO648"/>
      <c r="AP648"/>
      <c r="AQ648"/>
      <c r="AR648"/>
      <c r="AS648"/>
      <c r="AT648"/>
      <c r="AU648"/>
    </row>
    <row r="649" spans="1:47" x14ac:dyDescent="0.2">
      <c r="A649" t="s">
        <v>1609</v>
      </c>
      <c r="B649" t="s">
        <v>1610</v>
      </c>
      <c r="C649">
        <v>4</v>
      </c>
      <c r="D649">
        <v>1</v>
      </c>
      <c r="E649" t="s">
        <v>2462</v>
      </c>
      <c r="F649" s="1">
        <v>43392</v>
      </c>
      <c r="G649" s="37" t="s">
        <v>4033</v>
      </c>
      <c r="H649" s="37" t="s">
        <v>4724</v>
      </c>
      <c r="I649" s="2">
        <v>2.0833333333333332E-2</v>
      </c>
      <c r="J649" s="176">
        <v>3.4722222222222224E-4</v>
      </c>
      <c r="K649" s="6">
        <v>30</v>
      </c>
      <c r="M649" s="7" t="s">
        <v>64</v>
      </c>
      <c r="N649" s="7" t="s">
        <v>102</v>
      </c>
      <c r="O649" s="7" t="s">
        <v>23</v>
      </c>
      <c r="P649" s="7" t="s">
        <v>24</v>
      </c>
      <c r="Q649" s="7"/>
      <c r="R649" s="7">
        <v>0</v>
      </c>
      <c r="T649" t="s">
        <v>176</v>
      </c>
      <c r="U649" t="s">
        <v>176</v>
      </c>
      <c r="V649" s="7" t="s">
        <v>115</v>
      </c>
      <c r="W649" s="7" t="s">
        <v>115</v>
      </c>
      <c r="X649" s="33" t="s">
        <v>115</v>
      </c>
      <c r="Y649" s="33" t="s">
        <v>115</v>
      </c>
      <c r="Z649" s="33" t="s">
        <v>115</v>
      </c>
      <c r="AA649" s="7" t="s">
        <v>115</v>
      </c>
      <c r="AB649" s="20" t="s">
        <v>115</v>
      </c>
      <c r="AC649" s="20"/>
      <c r="AD649" s="6">
        <v>0</v>
      </c>
      <c r="AE649" s="6">
        <v>29</v>
      </c>
      <c r="AF649" s="6">
        <v>0</v>
      </c>
      <c r="AG649" s="6">
        <v>29</v>
      </c>
      <c r="AH649" s="6">
        <v>0</v>
      </c>
      <c r="AI649">
        <v>0</v>
      </c>
      <c r="AJ649">
        <f t="shared" si="10"/>
        <v>29</v>
      </c>
      <c r="AK649" t="s">
        <v>188</v>
      </c>
    </row>
    <row r="650" spans="1:47" x14ac:dyDescent="0.2">
      <c r="A650" t="s">
        <v>1611</v>
      </c>
      <c r="B650" t="s">
        <v>1612</v>
      </c>
      <c r="C650">
        <v>5</v>
      </c>
      <c r="D650">
        <v>1</v>
      </c>
      <c r="E650" t="s">
        <v>2462</v>
      </c>
      <c r="F650" s="1">
        <v>43392</v>
      </c>
      <c r="G650" s="37" t="s">
        <v>4033</v>
      </c>
      <c r="H650" s="37" t="s">
        <v>4724</v>
      </c>
      <c r="I650" s="2">
        <v>9.0277777777777787E-3</v>
      </c>
      <c r="J650" s="176">
        <v>1.5046296296296297E-4</v>
      </c>
      <c r="K650" s="6">
        <v>13</v>
      </c>
      <c r="M650" s="7" t="s">
        <v>64</v>
      </c>
      <c r="N650" s="7" t="s">
        <v>102</v>
      </c>
      <c r="O650" s="7" t="s">
        <v>12</v>
      </c>
      <c r="P650" s="7">
        <v>0</v>
      </c>
      <c r="Q650" s="7"/>
      <c r="R650" s="7">
        <v>0</v>
      </c>
      <c r="U650" s="7" t="s">
        <v>115</v>
      </c>
      <c r="V650" s="7" t="s">
        <v>115</v>
      </c>
      <c r="W650" s="7" t="s">
        <v>115</v>
      </c>
      <c r="X650" s="33" t="s">
        <v>115</v>
      </c>
      <c r="Y650" s="33" t="s">
        <v>115</v>
      </c>
      <c r="Z650" s="33" t="s">
        <v>115</v>
      </c>
      <c r="AA650" t="s">
        <v>115</v>
      </c>
      <c r="AB650" s="20" t="s">
        <v>115</v>
      </c>
      <c r="AC650" s="20"/>
      <c r="AD650" s="6">
        <v>13</v>
      </c>
      <c r="AE650" s="6">
        <v>0</v>
      </c>
      <c r="AF650" s="6">
        <v>0</v>
      </c>
      <c r="AG650" s="6">
        <v>13</v>
      </c>
      <c r="AH650" s="6">
        <v>0</v>
      </c>
      <c r="AI650">
        <v>0</v>
      </c>
      <c r="AJ650">
        <f t="shared" si="10"/>
        <v>13</v>
      </c>
    </row>
    <row r="651" spans="1:47" x14ac:dyDescent="0.2">
      <c r="A651" t="s">
        <v>1613</v>
      </c>
      <c r="B651" t="s">
        <v>1614</v>
      </c>
      <c r="C651">
        <v>6</v>
      </c>
      <c r="D651">
        <v>1</v>
      </c>
      <c r="E651" t="s">
        <v>2462</v>
      </c>
      <c r="F651" s="1">
        <v>43392</v>
      </c>
      <c r="G651" s="37" t="s">
        <v>4033</v>
      </c>
      <c r="H651" s="37" t="s">
        <v>4724</v>
      </c>
      <c r="I651" s="2">
        <v>6.2499999999999995E-3</v>
      </c>
      <c r="J651" s="176">
        <v>1.0416666666666667E-4</v>
      </c>
      <c r="K651" s="6">
        <v>9</v>
      </c>
      <c r="M651" s="7" t="s">
        <v>64</v>
      </c>
      <c r="N651" s="7" t="s">
        <v>102</v>
      </c>
      <c r="O651" s="7" t="s">
        <v>115</v>
      </c>
      <c r="P651" s="7">
        <v>0</v>
      </c>
      <c r="Q651" s="7"/>
      <c r="R651" s="7">
        <v>0</v>
      </c>
      <c r="S651">
        <v>0</v>
      </c>
      <c r="U651" t="s">
        <v>115</v>
      </c>
      <c r="V651" s="7" t="s">
        <v>115</v>
      </c>
      <c r="W651" s="7" t="s">
        <v>115</v>
      </c>
      <c r="X651" s="33" t="s">
        <v>115</v>
      </c>
      <c r="Y651" s="33" t="s">
        <v>115</v>
      </c>
      <c r="Z651" s="33" t="s">
        <v>115</v>
      </c>
      <c r="AA651" s="7" t="s">
        <v>115</v>
      </c>
      <c r="AB651" s="20" t="s">
        <v>115</v>
      </c>
      <c r="AC651" s="20"/>
      <c r="AD651" s="6">
        <v>0</v>
      </c>
      <c r="AE651" s="6">
        <v>0</v>
      </c>
      <c r="AF651" s="6">
        <v>0</v>
      </c>
      <c r="AG651">
        <v>0</v>
      </c>
      <c r="AH651" s="6">
        <v>0</v>
      </c>
      <c r="AI651" s="6">
        <v>9</v>
      </c>
      <c r="AJ651">
        <f t="shared" si="10"/>
        <v>9</v>
      </c>
      <c r="AL651" t="s">
        <v>1615</v>
      </c>
    </row>
    <row r="652" spans="1:47" x14ac:dyDescent="0.2">
      <c r="A652" t="s">
        <v>1616</v>
      </c>
      <c r="B652" t="s">
        <v>1617</v>
      </c>
      <c r="C652">
        <v>7</v>
      </c>
      <c r="D652">
        <v>1</v>
      </c>
      <c r="E652" t="s">
        <v>2462</v>
      </c>
      <c r="F652" s="1">
        <v>43392</v>
      </c>
      <c r="G652" s="37" t="s">
        <v>4033</v>
      </c>
      <c r="H652" s="37" t="s">
        <v>4724</v>
      </c>
      <c r="I652" s="2">
        <v>1.8055555555555557E-2</v>
      </c>
      <c r="J652" s="176">
        <v>3.0092592592592595E-4</v>
      </c>
      <c r="K652" s="6">
        <v>26</v>
      </c>
      <c r="M652" s="7" t="s">
        <v>363</v>
      </c>
      <c r="N652" s="7" t="s">
        <v>102</v>
      </c>
      <c r="O652" s="7" t="s">
        <v>115</v>
      </c>
      <c r="P652" s="7">
        <v>1</v>
      </c>
      <c r="Q652" s="7"/>
      <c r="R652" s="7">
        <v>0</v>
      </c>
      <c r="S652">
        <v>0</v>
      </c>
      <c r="T652" t="s">
        <v>1618</v>
      </c>
      <c r="U652" t="s">
        <v>1618</v>
      </c>
      <c r="V652" s="7" t="s">
        <v>1619</v>
      </c>
      <c r="W652" s="7" t="s">
        <v>115</v>
      </c>
      <c r="X652" s="33" t="s">
        <v>115</v>
      </c>
      <c r="Y652" s="33" t="s">
        <v>115</v>
      </c>
      <c r="Z652" s="33" t="s">
        <v>115</v>
      </c>
      <c r="AA652" s="7" t="s">
        <v>115</v>
      </c>
      <c r="AB652" s="20" t="s">
        <v>115</v>
      </c>
      <c r="AC652" s="20"/>
      <c r="AD652" s="6">
        <v>0</v>
      </c>
      <c r="AE652" s="6">
        <v>0</v>
      </c>
      <c r="AF652" s="6">
        <v>0</v>
      </c>
      <c r="AG652" s="6">
        <v>0</v>
      </c>
      <c r="AH652" s="6">
        <v>0</v>
      </c>
      <c r="AI652" s="6">
        <v>22</v>
      </c>
      <c r="AJ652">
        <f t="shared" si="10"/>
        <v>22</v>
      </c>
      <c r="AL652" t="s">
        <v>1620</v>
      </c>
    </row>
    <row r="653" spans="1:47" x14ac:dyDescent="0.2">
      <c r="A653" t="s">
        <v>1621</v>
      </c>
      <c r="B653" t="s">
        <v>1622</v>
      </c>
      <c r="C653">
        <v>8</v>
      </c>
      <c r="D653">
        <v>1</v>
      </c>
      <c r="E653" t="s">
        <v>2462</v>
      </c>
      <c r="F653" s="1">
        <v>43392</v>
      </c>
      <c r="G653" s="37" t="s">
        <v>4033</v>
      </c>
      <c r="H653" s="37" t="s">
        <v>4724</v>
      </c>
      <c r="I653" s="2">
        <v>1.3888888888888888E-2</v>
      </c>
      <c r="J653" s="176">
        <v>2.3148148148148146E-4</v>
      </c>
      <c r="K653" s="6">
        <v>20</v>
      </c>
      <c r="M653" s="7" t="s">
        <v>363</v>
      </c>
      <c r="N653" s="7" t="s">
        <v>102</v>
      </c>
      <c r="O653" s="7" t="s">
        <v>23</v>
      </c>
      <c r="P653" s="7">
        <v>0</v>
      </c>
      <c r="Q653" s="7"/>
      <c r="R653" s="7">
        <v>0</v>
      </c>
      <c r="U653" t="s">
        <v>115</v>
      </c>
      <c r="V653" s="7" t="s">
        <v>115</v>
      </c>
      <c r="W653" s="7" t="s">
        <v>115</v>
      </c>
      <c r="X653" s="33" t="s">
        <v>115</v>
      </c>
      <c r="Y653" s="33" t="s">
        <v>115</v>
      </c>
      <c r="Z653" s="33" t="s">
        <v>115</v>
      </c>
      <c r="AA653" s="7" t="s">
        <v>115</v>
      </c>
      <c r="AB653" s="20" t="s">
        <v>115</v>
      </c>
      <c r="AC653" s="20"/>
      <c r="AD653" s="6">
        <v>5</v>
      </c>
      <c r="AE653" s="6">
        <v>9</v>
      </c>
      <c r="AF653" s="6">
        <v>5</v>
      </c>
      <c r="AG653" s="6">
        <v>9</v>
      </c>
      <c r="AH653" s="6">
        <v>0</v>
      </c>
      <c r="AI653" s="6">
        <v>0</v>
      </c>
      <c r="AJ653">
        <f t="shared" si="10"/>
        <v>14</v>
      </c>
      <c r="AK653" t="s">
        <v>188</v>
      </c>
    </row>
    <row r="654" spans="1:47" x14ac:dyDescent="0.2">
      <c r="A654" t="s">
        <v>1623</v>
      </c>
      <c r="B654" t="s">
        <v>1624</v>
      </c>
      <c r="C654">
        <v>9</v>
      </c>
      <c r="D654">
        <v>1</v>
      </c>
      <c r="E654" t="s">
        <v>2462</v>
      </c>
      <c r="F654" s="1">
        <v>43392</v>
      </c>
      <c r="G654" s="37" t="s">
        <v>4033</v>
      </c>
      <c r="H654" s="37" t="s">
        <v>4724</v>
      </c>
      <c r="I654" s="2">
        <v>3.7499999999999999E-2</v>
      </c>
      <c r="J654" s="176">
        <v>6.2500000000000001E-4</v>
      </c>
      <c r="K654" s="6">
        <v>54</v>
      </c>
      <c r="M654" s="7" t="s">
        <v>363</v>
      </c>
      <c r="N654" s="7" t="s">
        <v>102</v>
      </c>
      <c r="O654" s="7" t="s">
        <v>1307</v>
      </c>
      <c r="P654" s="7">
        <v>1</v>
      </c>
      <c r="Q654" s="7"/>
      <c r="R654" s="7">
        <v>0</v>
      </c>
      <c r="T654" t="s">
        <v>598</v>
      </c>
      <c r="U654" t="s">
        <v>598</v>
      </c>
      <c r="V654" s="7" t="s">
        <v>1625</v>
      </c>
      <c r="W654" s="7" t="s">
        <v>115</v>
      </c>
      <c r="X654" s="33" t="s">
        <v>115</v>
      </c>
      <c r="Y654" s="33" t="s">
        <v>115</v>
      </c>
      <c r="Z654" s="33" t="s">
        <v>115</v>
      </c>
      <c r="AA654" s="7" t="s">
        <v>115</v>
      </c>
      <c r="AB654" s="20" t="s">
        <v>115</v>
      </c>
      <c r="AC654" s="20"/>
      <c r="AD654" s="6">
        <v>10</v>
      </c>
      <c r="AE654" s="6">
        <v>0</v>
      </c>
      <c r="AF654" s="6">
        <v>0</v>
      </c>
      <c r="AG654" s="6">
        <v>10</v>
      </c>
      <c r="AH654" s="6">
        <v>0</v>
      </c>
      <c r="AI654" s="6">
        <v>0</v>
      </c>
      <c r="AJ654">
        <f t="shared" si="10"/>
        <v>10</v>
      </c>
    </row>
    <row r="655" spans="1:47" s="33" customFormat="1" x14ac:dyDescent="0.2">
      <c r="A655" t="s">
        <v>1627</v>
      </c>
      <c r="B655" t="s">
        <v>1628</v>
      </c>
      <c r="C655">
        <v>10</v>
      </c>
      <c r="D655">
        <v>1</v>
      </c>
      <c r="E655" t="s">
        <v>2462</v>
      </c>
      <c r="F655" s="1">
        <v>43392</v>
      </c>
      <c r="G655" s="37" t="s">
        <v>4033</v>
      </c>
      <c r="H655" s="37" t="s">
        <v>4724</v>
      </c>
      <c r="I655" s="2">
        <v>1.3194444444444444E-2</v>
      </c>
      <c r="J655" s="176">
        <v>2.199074074074074E-4</v>
      </c>
      <c r="K655" s="6">
        <v>19</v>
      </c>
      <c r="L655"/>
      <c r="M655" s="7" t="s">
        <v>363</v>
      </c>
      <c r="N655" s="7" t="s">
        <v>102</v>
      </c>
      <c r="O655" s="7" t="s">
        <v>1307</v>
      </c>
      <c r="P655" s="7" t="s">
        <v>24</v>
      </c>
      <c r="Q655" s="7"/>
      <c r="R655" s="7" t="s">
        <v>24</v>
      </c>
      <c r="S655"/>
      <c r="T655" t="s">
        <v>176</v>
      </c>
      <c r="U655" t="s">
        <v>176</v>
      </c>
      <c r="V655" s="7" t="s">
        <v>115</v>
      </c>
      <c r="W655" s="7" t="s">
        <v>115</v>
      </c>
      <c r="X655" s="7"/>
      <c r="Y655" s="7"/>
      <c r="Z655" s="7"/>
      <c r="AA655" s="7" t="s">
        <v>115</v>
      </c>
      <c r="AB655" s="20" t="s">
        <v>115</v>
      </c>
      <c r="AC655" s="20"/>
      <c r="AD655" s="6">
        <f>6+13</f>
        <v>19</v>
      </c>
      <c r="AE655" s="6">
        <v>0</v>
      </c>
      <c r="AF655" s="6">
        <v>13</v>
      </c>
      <c r="AG655" s="6">
        <v>6</v>
      </c>
      <c r="AH655" s="6">
        <v>0</v>
      </c>
      <c r="AI655">
        <v>0</v>
      </c>
      <c r="AJ655">
        <f t="shared" si="10"/>
        <v>19</v>
      </c>
      <c r="AK655"/>
      <c r="AL655"/>
      <c r="AM655"/>
      <c r="AN655"/>
      <c r="AO655"/>
      <c r="AP655"/>
      <c r="AQ655"/>
      <c r="AR655"/>
      <c r="AS655"/>
      <c r="AT655"/>
      <c r="AU655"/>
    </row>
    <row r="656" spans="1:47" x14ac:dyDescent="0.2">
      <c r="A656" t="s">
        <v>1629</v>
      </c>
      <c r="B656" t="s">
        <v>1630</v>
      </c>
      <c r="C656">
        <v>11</v>
      </c>
      <c r="D656">
        <v>1</v>
      </c>
      <c r="E656" t="s">
        <v>2462</v>
      </c>
      <c r="F656" s="1">
        <v>43392</v>
      </c>
      <c r="G656" s="37" t="s">
        <v>4033</v>
      </c>
      <c r="H656" s="37" t="s">
        <v>4724</v>
      </c>
      <c r="I656" s="2">
        <v>3.9583333333333331E-2</v>
      </c>
      <c r="J656" s="176">
        <v>6.5972222222222213E-4</v>
      </c>
      <c r="K656" s="6">
        <v>57</v>
      </c>
      <c r="M656" s="7" t="s">
        <v>363</v>
      </c>
      <c r="N656" s="7" t="s">
        <v>102</v>
      </c>
      <c r="O656" s="7" t="s">
        <v>12</v>
      </c>
      <c r="P656" s="7">
        <v>2</v>
      </c>
      <c r="Q656" s="7"/>
      <c r="R656" s="7">
        <v>0</v>
      </c>
      <c r="T656" t="s">
        <v>176</v>
      </c>
      <c r="U656" t="s">
        <v>176</v>
      </c>
      <c r="V656" s="7" t="s">
        <v>1631</v>
      </c>
      <c r="W656" s="7" t="s">
        <v>115</v>
      </c>
      <c r="X656" s="33" t="s">
        <v>115</v>
      </c>
      <c r="Y656" s="33" t="s">
        <v>115</v>
      </c>
      <c r="Z656" s="33" t="s">
        <v>115</v>
      </c>
      <c r="AA656" s="7" t="s">
        <v>115</v>
      </c>
      <c r="AB656" s="20" t="s">
        <v>115</v>
      </c>
      <c r="AC656" s="20"/>
      <c r="AD656" s="6">
        <f>36+4</f>
        <v>40</v>
      </c>
      <c r="AE656" s="6">
        <v>0</v>
      </c>
      <c r="AF656" s="6">
        <v>36</v>
      </c>
      <c r="AG656" s="6">
        <v>4</v>
      </c>
      <c r="AH656" s="6">
        <v>0</v>
      </c>
      <c r="AI656">
        <v>0</v>
      </c>
      <c r="AJ656">
        <f t="shared" si="10"/>
        <v>40</v>
      </c>
      <c r="AK656" t="s">
        <v>375</v>
      </c>
      <c r="AM656">
        <v>4</v>
      </c>
      <c r="AN656">
        <v>0</v>
      </c>
    </row>
    <row r="657" spans="1:47" s="33" customFormat="1" x14ac:dyDescent="0.2">
      <c r="A657" t="s">
        <v>1632</v>
      </c>
      <c r="B657" t="s">
        <v>1633</v>
      </c>
      <c r="C657">
        <v>12</v>
      </c>
      <c r="D657">
        <v>1</v>
      </c>
      <c r="E657" t="s">
        <v>2462</v>
      </c>
      <c r="F657" s="1">
        <v>43392</v>
      </c>
      <c r="G657" s="37" t="s">
        <v>4033</v>
      </c>
      <c r="H657" s="37" t="s">
        <v>4724</v>
      </c>
      <c r="I657" s="2">
        <v>1.0416666666666666E-2</v>
      </c>
      <c r="J657" s="176">
        <v>1.7361111111111112E-4</v>
      </c>
      <c r="K657" s="6">
        <v>15</v>
      </c>
      <c r="L657"/>
      <c r="M657" s="7" t="s">
        <v>64</v>
      </c>
      <c r="N657" s="7" t="s">
        <v>102</v>
      </c>
      <c r="O657" s="7" t="s">
        <v>23</v>
      </c>
      <c r="P657" s="7">
        <v>0</v>
      </c>
      <c r="Q657" s="7"/>
      <c r="R657" s="7">
        <v>0</v>
      </c>
      <c r="S657"/>
      <c r="T657"/>
      <c r="U657" t="s">
        <v>115</v>
      </c>
      <c r="V657" s="7" t="s">
        <v>115</v>
      </c>
      <c r="W657" s="7" t="s">
        <v>115</v>
      </c>
      <c r="X657" s="33" t="s">
        <v>115</v>
      </c>
      <c r="Y657" s="33" t="s">
        <v>115</v>
      </c>
      <c r="Z657" s="33" t="s">
        <v>115</v>
      </c>
      <c r="AA657" s="7" t="s">
        <v>115</v>
      </c>
      <c r="AB657" s="20" t="s">
        <v>115</v>
      </c>
      <c r="AC657" s="20"/>
      <c r="AD657" s="6">
        <v>15</v>
      </c>
      <c r="AE657" s="6">
        <v>0</v>
      </c>
      <c r="AF657" s="6">
        <v>0</v>
      </c>
      <c r="AG657" s="6">
        <v>15</v>
      </c>
      <c r="AH657" s="6">
        <v>0</v>
      </c>
      <c r="AI657">
        <v>0</v>
      </c>
      <c r="AJ657">
        <f t="shared" si="10"/>
        <v>15</v>
      </c>
      <c r="AK657"/>
      <c r="AL657"/>
      <c r="AM657"/>
      <c r="AN657"/>
      <c r="AO657"/>
      <c r="AP657"/>
      <c r="AQ657"/>
      <c r="AR657"/>
      <c r="AS657"/>
      <c r="AT657"/>
      <c r="AU657"/>
    </row>
    <row r="658" spans="1:47" x14ac:dyDescent="0.2">
      <c r="A658" t="s">
        <v>1634</v>
      </c>
      <c r="B658" t="s">
        <v>1635</v>
      </c>
      <c r="C658">
        <v>13</v>
      </c>
      <c r="D658">
        <v>1</v>
      </c>
      <c r="E658" t="s">
        <v>2462</v>
      </c>
      <c r="F658" s="1">
        <v>43392</v>
      </c>
      <c r="G658" s="37" t="s">
        <v>4033</v>
      </c>
      <c r="H658" s="37" t="s">
        <v>4724</v>
      </c>
      <c r="I658" s="2">
        <v>1.8055555555555557E-2</v>
      </c>
      <c r="J658" s="176">
        <v>3.0092592592592595E-4</v>
      </c>
      <c r="K658" s="6">
        <v>26</v>
      </c>
      <c r="M658" s="7" t="s">
        <v>363</v>
      </c>
      <c r="N658" s="7" t="s">
        <v>102</v>
      </c>
      <c r="O658" s="7" t="s">
        <v>919</v>
      </c>
      <c r="P658" s="7">
        <v>0</v>
      </c>
      <c r="Q658" s="7"/>
      <c r="R658" s="7">
        <v>0</v>
      </c>
      <c r="U658" t="s">
        <v>115</v>
      </c>
      <c r="V658" s="7" t="s">
        <v>115</v>
      </c>
      <c r="W658" s="7" t="s">
        <v>115</v>
      </c>
      <c r="X658" s="33" t="s">
        <v>115</v>
      </c>
      <c r="Y658" s="33" t="s">
        <v>115</v>
      </c>
      <c r="Z658" s="33" t="s">
        <v>115</v>
      </c>
      <c r="AA658" s="7" t="s">
        <v>115</v>
      </c>
      <c r="AB658" s="20" t="s">
        <v>115</v>
      </c>
      <c r="AC658" s="20"/>
      <c r="AD658" s="6">
        <v>5</v>
      </c>
      <c r="AE658" s="6">
        <v>13</v>
      </c>
      <c r="AF658" s="6">
        <v>0</v>
      </c>
      <c r="AG658" s="6">
        <v>18</v>
      </c>
      <c r="AH658" s="6">
        <v>0</v>
      </c>
      <c r="AI658">
        <v>0</v>
      </c>
      <c r="AJ658">
        <f t="shared" si="10"/>
        <v>18</v>
      </c>
      <c r="AK658" t="s">
        <v>303</v>
      </c>
    </row>
    <row r="659" spans="1:47" s="33" customFormat="1" x14ac:dyDescent="0.2">
      <c r="A659" t="s">
        <v>1636</v>
      </c>
      <c r="B659" t="s">
        <v>1637</v>
      </c>
      <c r="C659">
        <v>14</v>
      </c>
      <c r="D659">
        <v>1</v>
      </c>
      <c r="E659" t="s">
        <v>2462</v>
      </c>
      <c r="F659" s="1">
        <v>43392</v>
      </c>
      <c r="G659" s="37" t="s">
        <v>4033</v>
      </c>
      <c r="H659" s="37" t="s">
        <v>4724</v>
      </c>
      <c r="I659" s="2">
        <v>2.2916666666666669E-2</v>
      </c>
      <c r="J659" s="176">
        <v>3.8194444444444446E-4</v>
      </c>
      <c r="K659" s="6">
        <v>33</v>
      </c>
      <c r="L659"/>
      <c r="M659" s="7" t="s">
        <v>363</v>
      </c>
      <c r="N659" s="7" t="s">
        <v>102</v>
      </c>
      <c r="O659" s="7" t="s">
        <v>12</v>
      </c>
      <c r="P659" s="7">
        <v>0</v>
      </c>
      <c r="Q659" s="7"/>
      <c r="R659" s="7">
        <v>0</v>
      </c>
      <c r="S659"/>
      <c r="T659"/>
      <c r="U659" t="s">
        <v>115</v>
      </c>
      <c r="V659" s="7" t="s">
        <v>115</v>
      </c>
      <c r="W659" s="7" t="s">
        <v>115</v>
      </c>
      <c r="X659" s="33" t="s">
        <v>115</v>
      </c>
      <c r="Y659" s="33" t="s">
        <v>115</v>
      </c>
      <c r="Z659" s="33" t="s">
        <v>115</v>
      </c>
      <c r="AA659" s="7" t="s">
        <v>115</v>
      </c>
      <c r="AB659" s="20" t="s">
        <v>115</v>
      </c>
      <c r="AC659" s="20"/>
      <c r="AD659" s="6">
        <v>29</v>
      </c>
      <c r="AE659" s="6">
        <v>0</v>
      </c>
      <c r="AF659" s="6">
        <v>0</v>
      </c>
      <c r="AG659" s="6">
        <v>29</v>
      </c>
      <c r="AH659" s="6">
        <v>0</v>
      </c>
      <c r="AI659">
        <v>0</v>
      </c>
      <c r="AJ659">
        <f t="shared" si="10"/>
        <v>29</v>
      </c>
      <c r="AK659" t="s">
        <v>188</v>
      </c>
      <c r="AL659"/>
      <c r="AM659"/>
      <c r="AN659"/>
      <c r="AQ659" s="34"/>
    </row>
    <row r="660" spans="1:47" s="33" customFormat="1" x14ac:dyDescent="0.2">
      <c r="A660" t="s">
        <v>1638</v>
      </c>
      <c r="B660" t="s">
        <v>1639</v>
      </c>
      <c r="C660">
        <v>15</v>
      </c>
      <c r="D660">
        <v>1</v>
      </c>
      <c r="E660" t="s">
        <v>2462</v>
      </c>
      <c r="F660" s="1">
        <v>43392</v>
      </c>
      <c r="G660" s="37" t="s">
        <v>4033</v>
      </c>
      <c r="H660" s="37" t="s">
        <v>4724</v>
      </c>
      <c r="I660" s="2">
        <v>2.9166666666666664E-2</v>
      </c>
      <c r="J660" s="176">
        <v>4.8611111111111104E-4</v>
      </c>
      <c r="K660" s="6">
        <v>42</v>
      </c>
      <c r="L660"/>
      <c r="M660" s="7" t="s">
        <v>363</v>
      </c>
      <c r="N660" s="7" t="s">
        <v>102</v>
      </c>
      <c r="O660" s="7" t="s">
        <v>23</v>
      </c>
      <c r="P660" s="7">
        <v>1</v>
      </c>
      <c r="Q660" s="7"/>
      <c r="R660" s="7">
        <v>0</v>
      </c>
      <c r="S660"/>
      <c r="T660" t="s">
        <v>176</v>
      </c>
      <c r="U660" t="s">
        <v>176</v>
      </c>
      <c r="V660" s="7" t="s">
        <v>3979</v>
      </c>
      <c r="W660" s="7" t="s">
        <v>115</v>
      </c>
      <c r="X660" s="33" t="s">
        <v>115</v>
      </c>
      <c r="Y660" s="33" t="s">
        <v>115</v>
      </c>
      <c r="Z660" s="33" t="s">
        <v>115</v>
      </c>
      <c r="AA660" s="7" t="s">
        <v>115</v>
      </c>
      <c r="AB660" s="20" t="s">
        <v>115</v>
      </c>
      <c r="AC660" s="20"/>
      <c r="AD660" s="6">
        <v>0</v>
      </c>
      <c r="AE660" s="6">
        <v>20</v>
      </c>
      <c r="AF660" s="6">
        <v>0</v>
      </c>
      <c r="AG660" s="6">
        <v>20</v>
      </c>
      <c r="AH660" s="6">
        <v>0</v>
      </c>
      <c r="AI660">
        <v>0</v>
      </c>
      <c r="AJ660">
        <f t="shared" si="10"/>
        <v>20</v>
      </c>
      <c r="AK660" t="s">
        <v>188</v>
      </c>
      <c r="AL660"/>
      <c r="AM660"/>
      <c r="AN660"/>
      <c r="AO660"/>
      <c r="AP660"/>
      <c r="AQ660"/>
      <c r="AR660"/>
      <c r="AS660"/>
      <c r="AT660"/>
      <c r="AU660"/>
    </row>
    <row r="661" spans="1:47" s="33" customFormat="1" x14ac:dyDescent="0.2">
      <c r="A661" t="s">
        <v>1640</v>
      </c>
      <c r="B661" t="s">
        <v>1641</v>
      </c>
      <c r="C661">
        <v>16</v>
      </c>
      <c r="D661">
        <v>1</v>
      </c>
      <c r="E661" t="s">
        <v>2462</v>
      </c>
      <c r="F661" s="1">
        <v>43392</v>
      </c>
      <c r="G661" s="37" t="s">
        <v>4033</v>
      </c>
      <c r="H661" s="37" t="s">
        <v>4724</v>
      </c>
      <c r="I661" s="2">
        <v>6.9444444444444441E-3</v>
      </c>
      <c r="J661" s="176">
        <v>1.1574074074074073E-4</v>
      </c>
      <c r="K661" s="6">
        <v>10</v>
      </c>
      <c r="L661"/>
      <c r="M661" s="7" t="s">
        <v>363</v>
      </c>
      <c r="N661" s="7" t="s">
        <v>102</v>
      </c>
      <c r="O661" s="7" t="s">
        <v>115</v>
      </c>
      <c r="P661" s="7">
        <v>1</v>
      </c>
      <c r="Q661" s="7"/>
      <c r="R661" s="7">
        <v>0</v>
      </c>
      <c r="S661"/>
      <c r="T661" t="s">
        <v>176</v>
      </c>
      <c r="U661" t="s">
        <v>176</v>
      </c>
      <c r="V661" s="7" t="s">
        <v>122</v>
      </c>
      <c r="W661" s="7" t="s">
        <v>115</v>
      </c>
      <c r="X661" s="33" t="s">
        <v>115</v>
      </c>
      <c r="Y661" s="33" t="s">
        <v>115</v>
      </c>
      <c r="Z661" s="33" t="s">
        <v>115</v>
      </c>
      <c r="AA661" s="7" t="s">
        <v>115</v>
      </c>
      <c r="AB661" s="20" t="s">
        <v>115</v>
      </c>
      <c r="AC661" s="20"/>
      <c r="AD661" s="6">
        <v>0</v>
      </c>
      <c r="AE661" s="6">
        <v>0</v>
      </c>
      <c r="AF661" s="6">
        <v>0</v>
      </c>
      <c r="AG661" s="6">
        <v>0</v>
      </c>
      <c r="AH661" s="6">
        <v>0</v>
      </c>
      <c r="AI661">
        <v>0</v>
      </c>
      <c r="AJ661">
        <f t="shared" si="10"/>
        <v>0</v>
      </c>
      <c r="AK661"/>
      <c r="AL661" t="s">
        <v>1642</v>
      </c>
      <c r="AM661"/>
      <c r="AN661"/>
      <c r="AO661"/>
      <c r="AP661"/>
      <c r="AQ661"/>
      <c r="AR661"/>
      <c r="AS661"/>
      <c r="AT661"/>
      <c r="AU661"/>
    </row>
    <row r="662" spans="1:47" x14ac:dyDescent="0.2">
      <c r="A662" t="s">
        <v>1643</v>
      </c>
      <c r="B662" t="s">
        <v>1644</v>
      </c>
      <c r="C662">
        <v>17</v>
      </c>
      <c r="D662">
        <v>1</v>
      </c>
      <c r="E662" t="s">
        <v>2462</v>
      </c>
      <c r="F662" s="1">
        <v>43392</v>
      </c>
      <c r="G662" s="37" t="s">
        <v>4033</v>
      </c>
      <c r="H662" s="37" t="s">
        <v>4724</v>
      </c>
      <c r="I662" s="2">
        <v>1.7361111111111112E-2</v>
      </c>
      <c r="J662" s="176">
        <v>2.8935185185185189E-4</v>
      </c>
      <c r="K662" s="6">
        <v>25</v>
      </c>
      <c r="M662" s="7" t="s">
        <v>363</v>
      </c>
      <c r="N662" s="7" t="s">
        <v>221</v>
      </c>
      <c r="O662" s="7" t="s">
        <v>23</v>
      </c>
      <c r="P662" s="7" t="s">
        <v>24</v>
      </c>
      <c r="Q662" s="7"/>
      <c r="R662" s="7" t="s">
        <v>24</v>
      </c>
      <c r="S662">
        <v>0</v>
      </c>
      <c r="T662" t="s">
        <v>176</v>
      </c>
      <c r="U662" t="s">
        <v>176</v>
      </c>
      <c r="V662" s="7" t="s">
        <v>115</v>
      </c>
      <c r="W662" s="7" t="s">
        <v>115</v>
      </c>
      <c r="X662" s="7"/>
      <c r="Y662" s="7"/>
      <c r="Z662" s="7"/>
      <c r="AA662" s="7" t="s">
        <v>115</v>
      </c>
      <c r="AB662" s="20" t="s">
        <v>115</v>
      </c>
      <c r="AC662" s="20"/>
      <c r="AD662" s="6">
        <v>15</v>
      </c>
      <c r="AE662" s="6">
        <v>0</v>
      </c>
      <c r="AF662" s="6">
        <v>10</v>
      </c>
      <c r="AG662" s="6">
        <v>5</v>
      </c>
      <c r="AH662" s="6">
        <v>0</v>
      </c>
      <c r="AI662">
        <v>0</v>
      </c>
      <c r="AJ662">
        <f t="shared" si="10"/>
        <v>15</v>
      </c>
      <c r="AK662" t="s">
        <v>188</v>
      </c>
      <c r="AL662" t="s">
        <v>1647</v>
      </c>
      <c r="AO662" s="33"/>
      <c r="AP662" s="33"/>
      <c r="AQ662" s="34"/>
      <c r="AR662" s="33"/>
      <c r="AS662" s="33"/>
      <c r="AT662" s="33"/>
      <c r="AU662" s="33"/>
    </row>
    <row r="663" spans="1:47" x14ac:dyDescent="0.2">
      <c r="A663" t="s">
        <v>1645</v>
      </c>
      <c r="B663" t="s">
        <v>1646</v>
      </c>
      <c r="C663">
        <v>18</v>
      </c>
      <c r="D663">
        <v>1</v>
      </c>
      <c r="E663" t="s">
        <v>2462</v>
      </c>
      <c r="F663" s="1">
        <v>43392</v>
      </c>
      <c r="G663" s="37" t="s">
        <v>4033</v>
      </c>
      <c r="H663" s="37" t="s">
        <v>4724</v>
      </c>
      <c r="I663" s="2">
        <v>6.9444444444444441E-3</v>
      </c>
      <c r="J663" s="176">
        <v>1.1574074074074073E-4</v>
      </c>
      <c r="K663" s="6">
        <v>10</v>
      </c>
      <c r="M663" s="7" t="s">
        <v>363</v>
      </c>
      <c r="N663" s="7" t="s">
        <v>221</v>
      </c>
      <c r="O663" s="7" t="s">
        <v>23</v>
      </c>
      <c r="P663" s="7" t="s">
        <v>24</v>
      </c>
      <c r="Q663" s="7"/>
      <c r="R663" s="7" t="s">
        <v>24</v>
      </c>
      <c r="T663" t="s">
        <v>176</v>
      </c>
      <c r="U663" t="s">
        <v>176</v>
      </c>
      <c r="V663" s="7" t="s">
        <v>115</v>
      </c>
      <c r="W663" s="7" t="s">
        <v>115</v>
      </c>
      <c r="X663" s="7"/>
      <c r="Y663" s="7"/>
      <c r="Z663" s="7"/>
      <c r="AA663" s="7" t="s">
        <v>115</v>
      </c>
      <c r="AB663" s="20" t="s">
        <v>115</v>
      </c>
      <c r="AC663" s="20"/>
      <c r="AD663" s="6">
        <v>10</v>
      </c>
      <c r="AE663" s="6">
        <v>0</v>
      </c>
      <c r="AF663" s="6">
        <v>10</v>
      </c>
      <c r="AG663" s="6">
        <v>0</v>
      </c>
      <c r="AH663" s="6">
        <v>0</v>
      </c>
      <c r="AI663">
        <v>0</v>
      </c>
      <c r="AJ663">
        <f t="shared" si="10"/>
        <v>10</v>
      </c>
      <c r="AO663" s="7"/>
      <c r="AP663" s="7"/>
      <c r="AQ663" s="7"/>
      <c r="AR663" s="7"/>
      <c r="AS663" s="7"/>
      <c r="AT663" s="7"/>
      <c r="AU663" s="7"/>
    </row>
    <row r="664" spans="1:47" x14ac:dyDescent="0.2">
      <c r="A664" t="s">
        <v>1648</v>
      </c>
      <c r="B664" t="s">
        <v>1649</v>
      </c>
      <c r="C664">
        <v>19</v>
      </c>
      <c r="D664">
        <v>1</v>
      </c>
      <c r="E664" t="s">
        <v>2462</v>
      </c>
      <c r="F664" s="1">
        <v>43392</v>
      </c>
      <c r="G664" s="37" t="s">
        <v>4033</v>
      </c>
      <c r="H664" s="37" t="s">
        <v>4724</v>
      </c>
      <c r="I664" s="2">
        <v>1.1111111111111112E-2</v>
      </c>
      <c r="J664" s="176">
        <v>1.8518518518518518E-4</v>
      </c>
      <c r="K664" s="6">
        <v>16</v>
      </c>
      <c r="M664" s="7" t="s">
        <v>363</v>
      </c>
      <c r="N664" s="7" t="s">
        <v>111</v>
      </c>
      <c r="O664" s="7" t="s">
        <v>23</v>
      </c>
      <c r="P664" s="7">
        <v>0</v>
      </c>
      <c r="Q664" s="7"/>
      <c r="R664" s="7">
        <v>1</v>
      </c>
      <c r="T664" t="s">
        <v>176</v>
      </c>
      <c r="U664" t="s">
        <v>176</v>
      </c>
      <c r="V664" s="7" t="s">
        <v>24</v>
      </c>
      <c r="W664" s="7" t="s">
        <v>4010</v>
      </c>
      <c r="X664" s="33" t="s">
        <v>23</v>
      </c>
      <c r="Y664" s="33" t="s">
        <v>3997</v>
      </c>
      <c r="Z664" s="33" t="s">
        <v>4005</v>
      </c>
      <c r="AA664" s="7" t="s">
        <v>24</v>
      </c>
      <c r="AB664" s="20">
        <v>63.735639999999997</v>
      </c>
      <c r="AC664" s="20">
        <v>148.89315999999999</v>
      </c>
      <c r="AD664" s="6">
        <v>0</v>
      </c>
      <c r="AE664" s="6">
        <v>0</v>
      </c>
      <c r="AF664" s="6">
        <v>0</v>
      </c>
      <c r="AG664" s="6">
        <v>0</v>
      </c>
      <c r="AH664" s="6">
        <v>0</v>
      </c>
      <c r="AI664">
        <v>0</v>
      </c>
      <c r="AJ664">
        <f t="shared" si="10"/>
        <v>0</v>
      </c>
      <c r="AO664" s="4"/>
      <c r="AP664" s="4"/>
      <c r="AQ664" s="4"/>
      <c r="AR664" s="4"/>
      <c r="AS664" s="4"/>
      <c r="AT664" s="4"/>
      <c r="AU664" s="4"/>
    </row>
    <row r="665" spans="1:47" x14ac:dyDescent="0.2">
      <c r="A665" s="33" t="s">
        <v>1651</v>
      </c>
      <c r="B665" s="33" t="s">
        <v>1652</v>
      </c>
      <c r="C665" s="33">
        <v>20</v>
      </c>
      <c r="D665" s="33">
        <v>1</v>
      </c>
      <c r="E665" s="33" t="s">
        <v>2462</v>
      </c>
      <c r="F665" s="37">
        <v>43392</v>
      </c>
      <c r="G665" s="37" t="s">
        <v>4033</v>
      </c>
      <c r="H665" s="37" t="s">
        <v>4724</v>
      </c>
      <c r="I665" s="36">
        <v>4.027777777777778E-2</v>
      </c>
      <c r="J665" s="177">
        <v>6.7129629629629625E-4</v>
      </c>
      <c r="K665" s="39">
        <v>58</v>
      </c>
      <c r="L665" s="33"/>
      <c r="M665" s="33" t="s">
        <v>64</v>
      </c>
      <c r="N665" s="33" t="s">
        <v>102</v>
      </c>
      <c r="O665" s="33" t="s">
        <v>115</v>
      </c>
      <c r="P665" s="33">
        <v>1</v>
      </c>
      <c r="Q665" s="33"/>
      <c r="R665" s="33">
        <v>0</v>
      </c>
      <c r="S665" s="33"/>
      <c r="T665" t="s">
        <v>598</v>
      </c>
      <c r="U665" s="33" t="s">
        <v>598</v>
      </c>
      <c r="V665" s="33" t="s">
        <v>122</v>
      </c>
      <c r="W665" s="33" t="s">
        <v>115</v>
      </c>
      <c r="X665" s="33" t="s">
        <v>115</v>
      </c>
      <c r="Y665" s="33" t="s">
        <v>115</v>
      </c>
      <c r="Z665" s="33" t="s">
        <v>115</v>
      </c>
      <c r="AA665" s="33" t="s">
        <v>115</v>
      </c>
      <c r="AB665" s="35" t="s">
        <v>115</v>
      </c>
      <c r="AC665" s="35"/>
      <c r="AD665" s="39">
        <v>0</v>
      </c>
      <c r="AE665" s="39">
        <v>0</v>
      </c>
      <c r="AF665" s="39">
        <v>0</v>
      </c>
      <c r="AG665" s="39">
        <v>0</v>
      </c>
      <c r="AH665" s="39">
        <v>15</v>
      </c>
      <c r="AI665" s="33">
        <v>0</v>
      </c>
      <c r="AJ665" s="33">
        <f t="shared" si="10"/>
        <v>15</v>
      </c>
      <c r="AK665" s="33"/>
      <c r="AL665" s="33"/>
      <c r="AM665" s="33"/>
      <c r="AN665" s="33"/>
    </row>
    <row r="666" spans="1:47" x14ac:dyDescent="0.2">
      <c r="A666" t="s">
        <v>1653</v>
      </c>
      <c r="B666" t="s">
        <v>1654</v>
      </c>
      <c r="C666">
        <v>21</v>
      </c>
      <c r="D666">
        <v>1</v>
      </c>
      <c r="E666" t="s">
        <v>2462</v>
      </c>
      <c r="F666" s="1">
        <v>43392</v>
      </c>
      <c r="G666" s="37" t="s">
        <v>4033</v>
      </c>
      <c r="H666" s="37" t="s">
        <v>4724</v>
      </c>
      <c r="I666" s="2">
        <v>3.7499999999999999E-2</v>
      </c>
      <c r="J666" s="176">
        <v>6.2500000000000001E-4</v>
      </c>
      <c r="K666" s="6">
        <v>54</v>
      </c>
      <c r="M666" s="7" t="s">
        <v>363</v>
      </c>
      <c r="N666" s="7" t="s">
        <v>102</v>
      </c>
      <c r="O666" s="7" t="s">
        <v>23</v>
      </c>
      <c r="P666" s="7">
        <v>0</v>
      </c>
      <c r="Q666" s="7"/>
      <c r="R666" s="7">
        <v>0</v>
      </c>
      <c r="S666">
        <v>0</v>
      </c>
      <c r="U666" t="s">
        <v>115</v>
      </c>
      <c r="V666" s="7" t="s">
        <v>115</v>
      </c>
      <c r="W666" s="7" t="s">
        <v>115</v>
      </c>
      <c r="X666" s="33" t="s">
        <v>115</v>
      </c>
      <c r="Y666" s="33" t="s">
        <v>115</v>
      </c>
      <c r="Z666" s="33" t="s">
        <v>115</v>
      </c>
      <c r="AA666" s="7" t="s">
        <v>115</v>
      </c>
      <c r="AB666" s="20" t="s">
        <v>115</v>
      </c>
      <c r="AC666" s="20"/>
      <c r="AD666" s="6">
        <v>7</v>
      </c>
      <c r="AE666" s="6">
        <v>0</v>
      </c>
      <c r="AF666" s="6">
        <v>7</v>
      </c>
      <c r="AG666" s="6">
        <v>0</v>
      </c>
      <c r="AH666" s="6">
        <v>0</v>
      </c>
      <c r="AI666">
        <v>0</v>
      </c>
      <c r="AJ666">
        <f t="shared" si="10"/>
        <v>7</v>
      </c>
      <c r="AK666" t="s">
        <v>375</v>
      </c>
      <c r="AL666" t="s">
        <v>5016</v>
      </c>
      <c r="AM666">
        <v>3</v>
      </c>
      <c r="AN666">
        <v>0</v>
      </c>
    </row>
    <row r="667" spans="1:47" x14ac:dyDescent="0.2">
      <c r="A667" t="s">
        <v>1655</v>
      </c>
      <c r="B667" t="s">
        <v>1656</v>
      </c>
      <c r="C667">
        <v>22</v>
      </c>
      <c r="D667">
        <v>1</v>
      </c>
      <c r="E667" t="s">
        <v>2462</v>
      </c>
      <c r="F667" s="1">
        <v>43392</v>
      </c>
      <c r="G667" s="37" t="s">
        <v>4033</v>
      </c>
      <c r="H667" s="37" t="s">
        <v>4724</v>
      </c>
      <c r="I667" s="2">
        <v>2.013888888888889E-2</v>
      </c>
      <c r="J667" s="176">
        <v>3.3564814814814812E-4</v>
      </c>
      <c r="K667" s="6">
        <v>29</v>
      </c>
      <c r="M667" s="7" t="s">
        <v>64</v>
      </c>
      <c r="N667" s="7" t="s">
        <v>111</v>
      </c>
      <c r="O667" s="7" t="s">
        <v>12</v>
      </c>
      <c r="P667" s="7">
        <v>0</v>
      </c>
      <c r="Q667" s="7"/>
      <c r="R667" s="7">
        <v>1</v>
      </c>
      <c r="S667">
        <v>0</v>
      </c>
      <c r="T667" t="s">
        <v>176</v>
      </c>
      <c r="U667" t="s">
        <v>176</v>
      </c>
      <c r="V667" s="7" t="s">
        <v>122</v>
      </c>
      <c r="W667" s="7" t="s">
        <v>3972</v>
      </c>
      <c r="X667" s="33" t="s">
        <v>12</v>
      </c>
      <c r="Y667" s="33" t="s">
        <v>3997</v>
      </c>
      <c r="Z667" s="33" t="s">
        <v>4005</v>
      </c>
      <c r="AA667">
        <v>1</v>
      </c>
      <c r="AB667" s="20">
        <v>63.736020000000003</v>
      </c>
      <c r="AC667" s="20">
        <v>148.89214000000001</v>
      </c>
      <c r="AD667" s="6">
        <v>0</v>
      </c>
      <c r="AE667" s="6">
        <v>0</v>
      </c>
      <c r="AF667" s="6">
        <v>0</v>
      </c>
      <c r="AG667" s="6">
        <v>0</v>
      </c>
      <c r="AH667" s="6">
        <v>0</v>
      </c>
      <c r="AI667">
        <v>0</v>
      </c>
      <c r="AJ667">
        <f t="shared" si="10"/>
        <v>0</v>
      </c>
    </row>
    <row r="668" spans="1:47" x14ac:dyDescent="0.2">
      <c r="A668" t="s">
        <v>1657</v>
      </c>
      <c r="B668" t="s">
        <v>1658</v>
      </c>
      <c r="C668">
        <v>23</v>
      </c>
      <c r="D668">
        <v>1</v>
      </c>
      <c r="E668" t="s">
        <v>2462</v>
      </c>
      <c r="F668" s="1">
        <v>43392</v>
      </c>
      <c r="G668" s="37" t="s">
        <v>4033</v>
      </c>
      <c r="H668" s="37" t="s">
        <v>4724</v>
      </c>
      <c r="I668" s="2">
        <v>9.0277777777777787E-3</v>
      </c>
      <c r="J668" s="176">
        <v>1.5046296296296297E-4</v>
      </c>
      <c r="K668" s="6">
        <v>13</v>
      </c>
      <c r="M668" s="7" t="s">
        <v>363</v>
      </c>
      <c r="N668" s="7" t="s">
        <v>102</v>
      </c>
      <c r="O668" s="7" t="s">
        <v>23</v>
      </c>
      <c r="P668" s="7">
        <v>0</v>
      </c>
      <c r="Q668" s="7"/>
      <c r="R668" s="7">
        <v>0</v>
      </c>
      <c r="U668" t="s">
        <v>115</v>
      </c>
      <c r="V668" s="7" t="s">
        <v>115</v>
      </c>
      <c r="W668" s="7" t="s">
        <v>115</v>
      </c>
      <c r="X668" s="33" t="s">
        <v>115</v>
      </c>
      <c r="Y668" s="33" t="s">
        <v>115</v>
      </c>
      <c r="Z668" s="33" t="s">
        <v>115</v>
      </c>
      <c r="AA668" s="7" t="s">
        <v>115</v>
      </c>
      <c r="AB668" s="20" t="s">
        <v>115</v>
      </c>
      <c r="AC668" s="20"/>
      <c r="AD668" s="6">
        <v>0</v>
      </c>
      <c r="AE668" s="6">
        <v>13</v>
      </c>
      <c r="AF668" s="6">
        <v>0</v>
      </c>
      <c r="AG668" s="6">
        <v>13</v>
      </c>
      <c r="AH668" s="6">
        <v>0</v>
      </c>
      <c r="AI668">
        <v>0</v>
      </c>
      <c r="AJ668">
        <f t="shared" si="10"/>
        <v>13</v>
      </c>
      <c r="AK668" t="s">
        <v>188</v>
      </c>
    </row>
    <row r="669" spans="1:47" x14ac:dyDescent="0.2">
      <c r="A669" t="s">
        <v>1659</v>
      </c>
      <c r="B669" t="s">
        <v>1660</v>
      </c>
      <c r="C669">
        <v>24</v>
      </c>
      <c r="D669">
        <v>1</v>
      </c>
      <c r="E669" t="s">
        <v>2462</v>
      </c>
      <c r="F669" s="1">
        <v>43392</v>
      </c>
      <c r="G669" s="37" t="s">
        <v>4033</v>
      </c>
      <c r="H669" s="37" t="s">
        <v>4724</v>
      </c>
      <c r="I669" s="2">
        <v>1.3888888888888888E-2</v>
      </c>
      <c r="J669" s="176">
        <v>2.3148148148148146E-4</v>
      </c>
      <c r="K669" s="6">
        <v>20</v>
      </c>
      <c r="M669" s="7" t="s">
        <v>64</v>
      </c>
      <c r="N669" s="7" t="s">
        <v>102</v>
      </c>
      <c r="O669" s="7" t="s">
        <v>1307</v>
      </c>
      <c r="P669" s="7" t="s">
        <v>24</v>
      </c>
      <c r="Q669" s="7"/>
      <c r="R669" s="7">
        <v>0</v>
      </c>
      <c r="U669" t="s">
        <v>115</v>
      </c>
      <c r="V669" s="7" t="s">
        <v>115</v>
      </c>
      <c r="W669" s="7" t="s">
        <v>115</v>
      </c>
      <c r="X669" s="33" t="s">
        <v>115</v>
      </c>
      <c r="Y669" s="33" t="s">
        <v>115</v>
      </c>
      <c r="Z669" s="33" t="s">
        <v>115</v>
      </c>
      <c r="AA669" s="7" t="s">
        <v>115</v>
      </c>
      <c r="AB669" s="20" t="s">
        <v>115</v>
      </c>
      <c r="AC669" s="20"/>
      <c r="AD669" s="6">
        <v>13</v>
      </c>
      <c r="AE669" s="6">
        <v>4</v>
      </c>
      <c r="AF669" s="6">
        <v>0</v>
      </c>
      <c r="AG669" s="6">
        <v>17</v>
      </c>
      <c r="AH669" s="6">
        <v>0</v>
      </c>
      <c r="AI669">
        <v>0</v>
      </c>
      <c r="AJ669">
        <f t="shared" si="10"/>
        <v>17</v>
      </c>
      <c r="AK669" t="s">
        <v>1042</v>
      </c>
      <c r="AM669">
        <v>1</v>
      </c>
      <c r="AN669">
        <v>0</v>
      </c>
      <c r="AO669" s="33"/>
      <c r="AP669" s="33"/>
      <c r="AQ669" s="34"/>
      <c r="AR669" s="33"/>
      <c r="AS669" s="33"/>
      <c r="AT669" s="33"/>
      <c r="AU669" s="33"/>
    </row>
    <row r="670" spans="1:47" x14ac:dyDescent="0.2">
      <c r="A670" t="s">
        <v>1661</v>
      </c>
      <c r="B670" t="s">
        <v>1662</v>
      </c>
      <c r="C670">
        <v>25</v>
      </c>
      <c r="D670">
        <v>1</v>
      </c>
      <c r="E670" t="s">
        <v>2462</v>
      </c>
      <c r="F670" s="1">
        <v>43392</v>
      </c>
      <c r="G670" s="37" t="s">
        <v>4033</v>
      </c>
      <c r="H670" s="37" t="s">
        <v>4724</v>
      </c>
      <c r="I670" s="2">
        <v>1.1111111111111112E-2</v>
      </c>
      <c r="J670" s="176">
        <v>1.8518518518518518E-4</v>
      </c>
      <c r="K670" s="6">
        <v>16</v>
      </c>
      <c r="M670" s="7" t="s">
        <v>363</v>
      </c>
      <c r="N670" s="7" t="s">
        <v>102</v>
      </c>
      <c r="O670" s="7" t="s">
        <v>12</v>
      </c>
      <c r="P670" s="7">
        <v>0</v>
      </c>
      <c r="Q670" s="7"/>
      <c r="R670" s="7">
        <v>0</v>
      </c>
      <c r="S670">
        <v>0</v>
      </c>
      <c r="U670" t="s">
        <v>115</v>
      </c>
      <c r="V670" s="7" t="s">
        <v>115</v>
      </c>
      <c r="W670" s="7" t="s">
        <v>115</v>
      </c>
      <c r="X670" s="33" t="s">
        <v>115</v>
      </c>
      <c r="Y670" s="33" t="s">
        <v>115</v>
      </c>
      <c r="Z670" s="33" t="s">
        <v>115</v>
      </c>
      <c r="AA670" s="7" t="s">
        <v>115</v>
      </c>
      <c r="AB670" s="20" t="s">
        <v>115</v>
      </c>
      <c r="AC670" s="20"/>
      <c r="AD670" s="6">
        <v>13</v>
      </c>
      <c r="AE670" s="6">
        <v>0</v>
      </c>
      <c r="AF670" s="6">
        <v>0</v>
      </c>
      <c r="AG670" s="6">
        <v>13</v>
      </c>
      <c r="AH670" s="6">
        <v>0</v>
      </c>
      <c r="AI670">
        <v>0</v>
      </c>
      <c r="AJ670">
        <f t="shared" si="10"/>
        <v>13</v>
      </c>
      <c r="AK670" t="s">
        <v>375</v>
      </c>
      <c r="AM670">
        <v>1</v>
      </c>
      <c r="AN670">
        <v>0</v>
      </c>
    </row>
    <row r="671" spans="1:47" x14ac:dyDescent="0.2">
      <c r="A671" t="s">
        <v>1663</v>
      </c>
      <c r="B671" t="s">
        <v>1664</v>
      </c>
      <c r="C671">
        <v>26</v>
      </c>
      <c r="D671">
        <v>1</v>
      </c>
      <c r="E671" t="s">
        <v>2462</v>
      </c>
      <c r="F671" s="1">
        <v>43392</v>
      </c>
      <c r="G671" s="37" t="s">
        <v>4033</v>
      </c>
      <c r="H671" s="37" t="s">
        <v>4724</v>
      </c>
      <c r="I671" s="2">
        <v>1.3194444444444444E-2</v>
      </c>
      <c r="J671" s="176">
        <v>2.199074074074074E-4</v>
      </c>
      <c r="K671" s="6">
        <v>19</v>
      </c>
      <c r="M671" s="7" t="s">
        <v>363</v>
      </c>
      <c r="N671" s="7" t="s">
        <v>102</v>
      </c>
      <c r="O671" s="7" t="s">
        <v>23</v>
      </c>
      <c r="P671" s="7">
        <v>1</v>
      </c>
      <c r="Q671" s="7"/>
      <c r="R671" s="7">
        <v>0</v>
      </c>
      <c r="T671" t="s">
        <v>176</v>
      </c>
      <c r="U671" t="s">
        <v>176</v>
      </c>
      <c r="V671" s="7" t="s">
        <v>2096</v>
      </c>
      <c r="W671" s="7" t="s">
        <v>115</v>
      </c>
      <c r="X671" s="33" t="s">
        <v>115</v>
      </c>
      <c r="Y671" s="33" t="s">
        <v>115</v>
      </c>
      <c r="Z671" s="33" t="s">
        <v>115</v>
      </c>
      <c r="AA671" s="7" t="s">
        <v>115</v>
      </c>
      <c r="AB671" s="20" t="s">
        <v>115</v>
      </c>
      <c r="AC671" s="20"/>
      <c r="AD671" s="6">
        <v>19</v>
      </c>
      <c r="AE671" s="6">
        <v>0</v>
      </c>
      <c r="AF671" s="6">
        <v>19</v>
      </c>
      <c r="AG671" s="6">
        <v>0</v>
      </c>
      <c r="AH671" s="6">
        <v>0</v>
      </c>
      <c r="AI671">
        <v>0</v>
      </c>
      <c r="AJ671">
        <f t="shared" si="10"/>
        <v>19</v>
      </c>
      <c r="AK671" t="s">
        <v>16</v>
      </c>
      <c r="AM671">
        <v>0</v>
      </c>
      <c r="AN671">
        <v>2</v>
      </c>
      <c r="AO671" s="33"/>
      <c r="AP671" s="33"/>
      <c r="AQ671" s="34"/>
      <c r="AR671" s="33"/>
      <c r="AS671" s="33"/>
      <c r="AT671" s="33"/>
      <c r="AU671" s="33"/>
    </row>
    <row r="672" spans="1:47" hidden="1" x14ac:dyDescent="0.2">
      <c r="A672" t="s">
        <v>1663</v>
      </c>
      <c r="B672" t="s">
        <v>1664</v>
      </c>
      <c r="C672">
        <v>26</v>
      </c>
      <c r="D672">
        <v>2</v>
      </c>
      <c r="E672" t="s">
        <v>2462</v>
      </c>
      <c r="F672" s="1">
        <v>43392</v>
      </c>
      <c r="G672" s="37" t="s">
        <v>4033</v>
      </c>
      <c r="H672" s="37" t="s">
        <v>4724</v>
      </c>
      <c r="I672" s="2">
        <v>1.3194444444444444E-2</v>
      </c>
      <c r="J672" s="176">
        <v>2.199074074074074E-4</v>
      </c>
      <c r="K672" s="6">
        <v>19</v>
      </c>
      <c r="M672" s="7" t="s">
        <v>363</v>
      </c>
      <c r="N672" s="7" t="s">
        <v>102</v>
      </c>
      <c r="O672" s="7" t="s">
        <v>23</v>
      </c>
      <c r="P672" s="7">
        <v>1</v>
      </c>
      <c r="Q672" s="7"/>
      <c r="R672" s="7">
        <v>0</v>
      </c>
      <c r="T672" t="s">
        <v>598</v>
      </c>
      <c r="U672" t="s">
        <v>1012</v>
      </c>
      <c r="V672" s="7" t="s">
        <v>263</v>
      </c>
      <c r="W672" s="7" t="s">
        <v>115</v>
      </c>
      <c r="X672" s="33" t="s">
        <v>115</v>
      </c>
      <c r="Y672" s="33" t="s">
        <v>115</v>
      </c>
      <c r="Z672" s="33" t="s">
        <v>115</v>
      </c>
      <c r="AA672" s="7" t="s">
        <v>115</v>
      </c>
      <c r="AB672" s="20" t="s">
        <v>115</v>
      </c>
      <c r="AC672" s="20"/>
      <c r="AD672" s="6">
        <v>0</v>
      </c>
      <c r="AE672" s="6">
        <v>0</v>
      </c>
      <c r="AF672" s="6">
        <v>0</v>
      </c>
      <c r="AG672" s="6">
        <v>0</v>
      </c>
      <c r="AH672" s="6">
        <v>0</v>
      </c>
      <c r="AI672">
        <v>0</v>
      </c>
      <c r="AJ672">
        <f t="shared" si="10"/>
        <v>0</v>
      </c>
      <c r="AK672" t="s">
        <v>16</v>
      </c>
      <c r="AM672">
        <v>0</v>
      </c>
      <c r="AN672">
        <v>2</v>
      </c>
      <c r="AO672" s="7"/>
      <c r="AP672" s="7"/>
      <c r="AQ672" s="7"/>
      <c r="AR672" s="7"/>
      <c r="AS672" s="7"/>
      <c r="AT672" s="7"/>
      <c r="AU672" s="7"/>
    </row>
    <row r="673" spans="1:47" x14ac:dyDescent="0.2">
      <c r="A673" t="s">
        <v>1665</v>
      </c>
      <c r="B673" t="s">
        <v>1666</v>
      </c>
      <c r="C673">
        <v>27</v>
      </c>
      <c r="D673">
        <v>1</v>
      </c>
      <c r="E673" t="s">
        <v>2462</v>
      </c>
      <c r="F673" s="1">
        <v>43392</v>
      </c>
      <c r="G673" s="37" t="s">
        <v>4033</v>
      </c>
      <c r="H673" s="37" t="s">
        <v>4724</v>
      </c>
      <c r="I673" s="2">
        <v>1.5277777777777777E-2</v>
      </c>
      <c r="J673" s="176">
        <v>2.5462962962962961E-4</v>
      </c>
      <c r="K673" s="6">
        <v>22</v>
      </c>
      <c r="M673" s="7" t="s">
        <v>363</v>
      </c>
      <c r="N673" s="7" t="s">
        <v>102</v>
      </c>
      <c r="O673" s="7" t="s">
        <v>1307</v>
      </c>
      <c r="P673" s="7" t="s">
        <v>24</v>
      </c>
      <c r="Q673" s="7"/>
      <c r="R673" s="7">
        <v>0</v>
      </c>
      <c r="U673" t="s">
        <v>115</v>
      </c>
      <c r="V673" s="7" t="s">
        <v>115</v>
      </c>
      <c r="W673" s="7" t="s">
        <v>115</v>
      </c>
      <c r="X673" s="33" t="s">
        <v>115</v>
      </c>
      <c r="Y673" s="33" t="s">
        <v>115</v>
      </c>
      <c r="Z673" s="33" t="s">
        <v>115</v>
      </c>
      <c r="AA673" s="7" t="s">
        <v>115</v>
      </c>
      <c r="AB673" s="20" t="s">
        <v>115</v>
      </c>
      <c r="AC673" s="20"/>
      <c r="AD673" s="6">
        <v>9</v>
      </c>
      <c r="AE673" s="6">
        <v>2</v>
      </c>
      <c r="AF673" s="6">
        <v>0</v>
      </c>
      <c r="AG673" s="6">
        <v>11</v>
      </c>
      <c r="AH673" s="6">
        <v>0</v>
      </c>
      <c r="AI673">
        <v>0</v>
      </c>
      <c r="AJ673">
        <f t="shared" si="10"/>
        <v>11</v>
      </c>
      <c r="AK673" t="s">
        <v>188</v>
      </c>
      <c r="AO673" s="33"/>
      <c r="AP673" s="33"/>
      <c r="AQ673" s="34"/>
      <c r="AR673" s="33"/>
      <c r="AS673" s="33"/>
      <c r="AT673" s="33"/>
      <c r="AU673" s="33"/>
    </row>
    <row r="674" spans="1:47" x14ac:dyDescent="0.2">
      <c r="A674" s="33" t="s">
        <v>1667</v>
      </c>
      <c r="B674" s="33" t="s">
        <v>1668</v>
      </c>
      <c r="C674" s="33">
        <v>28</v>
      </c>
      <c r="D674" s="33">
        <v>1</v>
      </c>
      <c r="E674" s="33" t="s">
        <v>2462</v>
      </c>
      <c r="F674" s="37">
        <v>43392</v>
      </c>
      <c r="G674" s="37" t="s">
        <v>4033</v>
      </c>
      <c r="H674" s="37" t="s">
        <v>4724</v>
      </c>
      <c r="I674" s="36">
        <v>9.7222222222222224E-3</v>
      </c>
      <c r="J674" s="177">
        <v>1.6203703703703703E-4</v>
      </c>
      <c r="K674" s="39">
        <v>14</v>
      </c>
      <c r="L674" s="33"/>
      <c r="M674" s="33" t="s">
        <v>363</v>
      </c>
      <c r="N674" s="33" t="s">
        <v>102</v>
      </c>
      <c r="O674" s="33" t="s">
        <v>115</v>
      </c>
      <c r="P674" s="33">
        <v>1</v>
      </c>
      <c r="Q674" s="33"/>
      <c r="R674" s="33">
        <v>0</v>
      </c>
      <c r="S674" s="33"/>
      <c r="T674" t="s">
        <v>176</v>
      </c>
      <c r="U674" s="33" t="s">
        <v>176</v>
      </c>
      <c r="V674" s="33" t="s">
        <v>122</v>
      </c>
      <c r="W674" s="33" t="s">
        <v>115</v>
      </c>
      <c r="X674" s="33" t="s">
        <v>115</v>
      </c>
      <c r="Y674" s="33" t="s">
        <v>115</v>
      </c>
      <c r="Z674" s="33" t="s">
        <v>115</v>
      </c>
      <c r="AA674" s="33" t="s">
        <v>115</v>
      </c>
      <c r="AB674" s="35" t="s">
        <v>115</v>
      </c>
      <c r="AC674" s="35"/>
      <c r="AD674" s="39">
        <v>0</v>
      </c>
      <c r="AE674" s="39">
        <v>0</v>
      </c>
      <c r="AF674" s="39">
        <v>0</v>
      </c>
      <c r="AG674" s="39">
        <v>0</v>
      </c>
      <c r="AH674" s="39">
        <v>8</v>
      </c>
      <c r="AI674" s="33">
        <v>0</v>
      </c>
      <c r="AJ674" s="33">
        <f t="shared" si="10"/>
        <v>8</v>
      </c>
      <c r="AK674" s="33"/>
      <c r="AL674" s="33"/>
      <c r="AM674" s="33"/>
      <c r="AN674" s="33"/>
    </row>
    <row r="675" spans="1:47" x14ac:dyDescent="0.2">
      <c r="A675" s="33" t="s">
        <v>1669</v>
      </c>
      <c r="B675" s="33" t="s">
        <v>1670</v>
      </c>
      <c r="C675" s="33">
        <v>1</v>
      </c>
      <c r="D675" s="33">
        <v>1</v>
      </c>
      <c r="E675" s="33" t="s">
        <v>324</v>
      </c>
      <c r="F675" s="37">
        <v>43395</v>
      </c>
      <c r="G675" s="37" t="s">
        <v>4033</v>
      </c>
      <c r="H675" s="37" t="s">
        <v>4724</v>
      </c>
      <c r="I675" s="36">
        <v>2.1527777777777781E-2</v>
      </c>
      <c r="J675" s="177">
        <v>3.5879629629629635E-4</v>
      </c>
      <c r="K675" s="39">
        <v>31</v>
      </c>
      <c r="L675" s="33"/>
      <c r="M675" s="33" t="s">
        <v>325</v>
      </c>
      <c r="N675" s="33" t="s">
        <v>102</v>
      </c>
      <c r="O675" s="33" t="s">
        <v>115</v>
      </c>
      <c r="P675" s="33">
        <v>1</v>
      </c>
      <c r="Q675" s="33" t="s">
        <v>2285</v>
      </c>
      <c r="R675" s="33">
        <v>0</v>
      </c>
      <c r="S675" s="33"/>
      <c r="T675" t="s">
        <v>176</v>
      </c>
      <c r="U675" s="33" t="s">
        <v>176</v>
      </c>
      <c r="V675" s="33" t="s">
        <v>1671</v>
      </c>
      <c r="W675" s="33" t="s">
        <v>115</v>
      </c>
      <c r="X675" s="33" t="s">
        <v>115</v>
      </c>
      <c r="Y675" s="33" t="s">
        <v>115</v>
      </c>
      <c r="Z675" s="33" t="s">
        <v>115</v>
      </c>
      <c r="AA675" s="33" t="s">
        <v>115</v>
      </c>
      <c r="AB675" s="35" t="s">
        <v>115</v>
      </c>
      <c r="AC675" s="35"/>
      <c r="AD675" s="39">
        <v>0</v>
      </c>
      <c r="AE675" s="39">
        <v>0</v>
      </c>
      <c r="AF675" s="39">
        <v>0</v>
      </c>
      <c r="AG675" s="39">
        <v>0</v>
      </c>
      <c r="AH675" s="39">
        <v>31</v>
      </c>
      <c r="AI675" s="39">
        <v>0</v>
      </c>
      <c r="AJ675" s="33">
        <f t="shared" si="10"/>
        <v>31</v>
      </c>
      <c r="AK675" s="33" t="s">
        <v>1672</v>
      </c>
      <c r="AL675" s="33"/>
      <c r="AM675" s="33"/>
      <c r="AN675" s="33"/>
      <c r="AO675" s="33"/>
      <c r="AP675" s="33"/>
      <c r="AQ675" s="34"/>
      <c r="AR675" s="33"/>
      <c r="AS675" s="33"/>
      <c r="AT675" s="33"/>
      <c r="AU675" s="33"/>
    </row>
    <row r="676" spans="1:47" x14ac:dyDescent="0.2">
      <c r="A676" s="33" t="s">
        <v>1673</v>
      </c>
      <c r="B676" s="33" t="s">
        <v>1674</v>
      </c>
      <c r="C676" s="33">
        <v>2</v>
      </c>
      <c r="D676" s="33">
        <v>1</v>
      </c>
      <c r="E676" s="33" t="s">
        <v>324</v>
      </c>
      <c r="F676" s="37">
        <v>43395</v>
      </c>
      <c r="G676" s="37" t="s">
        <v>4033</v>
      </c>
      <c r="H676" s="37" t="s">
        <v>4724</v>
      </c>
      <c r="I676" s="36">
        <v>1.6666666666666666E-2</v>
      </c>
      <c r="J676" s="177">
        <v>2.7777777777777778E-4</v>
      </c>
      <c r="K676" s="39">
        <v>24</v>
      </c>
      <c r="L676" s="33"/>
      <c r="M676" s="33" t="s">
        <v>325</v>
      </c>
      <c r="N676" s="33" t="s">
        <v>102</v>
      </c>
      <c r="O676" s="33" t="s">
        <v>115</v>
      </c>
      <c r="P676" s="33">
        <v>1</v>
      </c>
      <c r="Q676" s="33"/>
      <c r="R676" s="33">
        <v>0</v>
      </c>
      <c r="S676" s="33"/>
      <c r="T676" t="s">
        <v>176</v>
      </c>
      <c r="U676" s="33" t="s">
        <v>176</v>
      </c>
      <c r="V676" s="33" t="s">
        <v>1671</v>
      </c>
      <c r="W676" s="33" t="s">
        <v>115</v>
      </c>
      <c r="X676" s="33" t="s">
        <v>115</v>
      </c>
      <c r="Y676" s="33" t="s">
        <v>115</v>
      </c>
      <c r="Z676" s="33" t="s">
        <v>115</v>
      </c>
      <c r="AA676" s="33" t="s">
        <v>115</v>
      </c>
      <c r="AB676" s="35" t="s">
        <v>115</v>
      </c>
      <c r="AC676" s="35"/>
      <c r="AD676" s="39">
        <v>0</v>
      </c>
      <c r="AE676" s="39">
        <v>0</v>
      </c>
      <c r="AF676" s="39">
        <v>0</v>
      </c>
      <c r="AG676" s="39">
        <v>0</v>
      </c>
      <c r="AH676" s="39">
        <v>23</v>
      </c>
      <c r="AI676" s="39">
        <v>0</v>
      </c>
      <c r="AJ676" s="33">
        <f t="shared" si="10"/>
        <v>23</v>
      </c>
      <c r="AK676" s="33" t="s">
        <v>1672</v>
      </c>
      <c r="AL676" s="33"/>
      <c r="AM676" s="33"/>
      <c r="AN676" s="33"/>
    </row>
    <row r="677" spans="1:47" x14ac:dyDescent="0.2">
      <c r="A677" s="33" t="s">
        <v>1675</v>
      </c>
      <c r="B677" s="33" t="s">
        <v>1676</v>
      </c>
      <c r="C677" s="33">
        <v>3</v>
      </c>
      <c r="D677" s="33">
        <v>1</v>
      </c>
      <c r="E677" s="33" t="s">
        <v>324</v>
      </c>
      <c r="F677" s="37">
        <v>43395</v>
      </c>
      <c r="G677" s="37" t="s">
        <v>4033</v>
      </c>
      <c r="H677" s="37" t="s">
        <v>4724</v>
      </c>
      <c r="I677" s="36">
        <v>3.0555555555555555E-2</v>
      </c>
      <c r="J677" s="177">
        <v>5.0925925925925921E-4</v>
      </c>
      <c r="K677" s="39">
        <v>44</v>
      </c>
      <c r="L677" s="33"/>
      <c r="M677" s="33" t="s">
        <v>325</v>
      </c>
      <c r="N677" s="33" t="s">
        <v>102</v>
      </c>
      <c r="O677" s="33" t="s">
        <v>115</v>
      </c>
      <c r="P677" s="33">
        <v>1</v>
      </c>
      <c r="Q677" s="33" t="s">
        <v>2292</v>
      </c>
      <c r="R677" s="33">
        <v>0</v>
      </c>
      <c r="S677" s="33"/>
      <c r="T677" t="s">
        <v>176</v>
      </c>
      <c r="U677" s="33" t="s">
        <v>176</v>
      </c>
      <c r="V677" s="33" t="s">
        <v>1671</v>
      </c>
      <c r="W677" s="33" t="s">
        <v>115</v>
      </c>
      <c r="X677" s="33" t="s">
        <v>115</v>
      </c>
      <c r="Y677" s="33" t="s">
        <v>115</v>
      </c>
      <c r="Z677" s="33" t="s">
        <v>115</v>
      </c>
      <c r="AA677" s="33" t="s">
        <v>115</v>
      </c>
      <c r="AB677" s="35" t="s">
        <v>115</v>
      </c>
      <c r="AC677" s="35"/>
      <c r="AD677" s="39">
        <v>0</v>
      </c>
      <c r="AE677" s="39">
        <v>0</v>
      </c>
      <c r="AF677" s="39">
        <v>0</v>
      </c>
      <c r="AG677" s="39">
        <v>0</v>
      </c>
      <c r="AH677" s="39">
        <v>42</v>
      </c>
      <c r="AI677" s="39">
        <v>0</v>
      </c>
      <c r="AJ677" s="33">
        <f t="shared" si="10"/>
        <v>42</v>
      </c>
      <c r="AK677" s="33" t="s">
        <v>1672</v>
      </c>
      <c r="AL677" s="33"/>
      <c r="AM677" s="33"/>
      <c r="AN677" s="33"/>
    </row>
    <row r="678" spans="1:47" x14ac:dyDescent="0.2">
      <c r="A678" t="s">
        <v>1677</v>
      </c>
      <c r="B678" t="s">
        <v>1680</v>
      </c>
      <c r="C678">
        <v>4</v>
      </c>
      <c r="D678">
        <v>1</v>
      </c>
      <c r="E678" t="s">
        <v>324</v>
      </c>
      <c r="F678" s="1">
        <v>43395</v>
      </c>
      <c r="G678" s="37" t="s">
        <v>4033</v>
      </c>
      <c r="H678" s="37" t="s">
        <v>4724</v>
      </c>
      <c r="I678" s="2">
        <v>5.5555555555555558E-3</v>
      </c>
      <c r="J678" s="176">
        <v>9.2592592592592588E-5</v>
      </c>
      <c r="K678" s="6">
        <v>8</v>
      </c>
      <c r="M678" s="7" t="s">
        <v>325</v>
      </c>
      <c r="N678" s="7" t="s">
        <v>102</v>
      </c>
      <c r="O678" s="7" t="s">
        <v>23</v>
      </c>
      <c r="P678" s="7">
        <v>1</v>
      </c>
      <c r="Q678" s="7"/>
      <c r="R678" s="7">
        <v>0</v>
      </c>
      <c r="T678" t="s">
        <v>176</v>
      </c>
      <c r="U678" t="s">
        <v>176</v>
      </c>
      <c r="V678" s="7" t="s">
        <v>948</v>
      </c>
      <c r="W678" s="7" t="s">
        <v>115</v>
      </c>
      <c r="X678" s="33" t="s">
        <v>115</v>
      </c>
      <c r="Y678" s="33" t="s">
        <v>115</v>
      </c>
      <c r="Z678" s="33" t="s">
        <v>115</v>
      </c>
      <c r="AA678" s="7" t="s">
        <v>115</v>
      </c>
      <c r="AB678" s="20" t="s">
        <v>115</v>
      </c>
      <c r="AC678" s="20"/>
      <c r="AD678" s="6">
        <v>0</v>
      </c>
      <c r="AE678" s="6">
        <v>0</v>
      </c>
      <c r="AF678" s="6">
        <v>0</v>
      </c>
      <c r="AG678" s="6">
        <v>0</v>
      </c>
      <c r="AH678" s="6">
        <v>0</v>
      </c>
      <c r="AI678" s="6">
        <v>0</v>
      </c>
      <c r="AJ678">
        <f t="shared" si="10"/>
        <v>0</v>
      </c>
      <c r="AL678" t="s">
        <v>1678</v>
      </c>
    </row>
    <row r="679" spans="1:47" x14ac:dyDescent="0.2">
      <c r="A679" t="s">
        <v>1679</v>
      </c>
      <c r="B679" t="s">
        <v>1681</v>
      </c>
      <c r="C679">
        <v>5</v>
      </c>
      <c r="D679">
        <v>1</v>
      </c>
      <c r="E679" t="s">
        <v>324</v>
      </c>
      <c r="F679" s="1">
        <v>43395</v>
      </c>
      <c r="G679" s="37" t="s">
        <v>4033</v>
      </c>
      <c r="H679" s="37" t="s">
        <v>4724</v>
      </c>
      <c r="I679" s="2">
        <v>1.3888888888888888E-2</v>
      </c>
      <c r="J679" s="176">
        <v>2.3148148148148146E-4</v>
      </c>
      <c r="K679" s="6">
        <v>20</v>
      </c>
      <c r="M679" s="7" t="s">
        <v>325</v>
      </c>
      <c r="N679" s="7" t="s">
        <v>111</v>
      </c>
      <c r="O679" s="7" t="s">
        <v>23</v>
      </c>
      <c r="P679" s="7">
        <v>0</v>
      </c>
      <c r="Q679" s="7"/>
      <c r="R679" s="7">
        <v>1</v>
      </c>
      <c r="T679" t="s">
        <v>176</v>
      </c>
      <c r="U679" t="s">
        <v>176</v>
      </c>
      <c r="V679" s="7" t="s">
        <v>24</v>
      </c>
      <c r="W679" s="7" t="s">
        <v>1035</v>
      </c>
      <c r="X679" s="33" t="s">
        <v>23</v>
      </c>
      <c r="Y679" s="33" t="s">
        <v>3997</v>
      </c>
      <c r="Z679" s="33" t="s">
        <v>4006</v>
      </c>
      <c r="AA679" s="7" t="s">
        <v>24</v>
      </c>
      <c r="AB679" s="20">
        <v>63.72383</v>
      </c>
      <c r="AC679" s="20">
        <v>148.88605999999999</v>
      </c>
      <c r="AD679" s="6">
        <v>0</v>
      </c>
      <c r="AE679" s="6">
        <v>0</v>
      </c>
      <c r="AF679" s="6">
        <v>0</v>
      </c>
      <c r="AG679" s="6">
        <v>0</v>
      </c>
      <c r="AH679" s="6">
        <v>0</v>
      </c>
      <c r="AI679" s="6">
        <v>0</v>
      </c>
      <c r="AJ679">
        <f t="shared" si="10"/>
        <v>0</v>
      </c>
      <c r="AO679" s="4"/>
      <c r="AP679" s="4"/>
      <c r="AQ679" s="4"/>
      <c r="AR679" s="4"/>
      <c r="AS679" s="4"/>
      <c r="AT679" s="4"/>
      <c r="AU679" s="4"/>
    </row>
    <row r="680" spans="1:47" x14ac:dyDescent="0.2">
      <c r="A680" t="s">
        <v>1682</v>
      </c>
      <c r="B680" t="s">
        <v>1683</v>
      </c>
      <c r="C680">
        <v>6</v>
      </c>
      <c r="D680">
        <v>1</v>
      </c>
      <c r="E680" t="s">
        <v>324</v>
      </c>
      <c r="F680" s="1">
        <v>43395</v>
      </c>
      <c r="G680" s="37" t="s">
        <v>4033</v>
      </c>
      <c r="H680" s="37" t="s">
        <v>4724</v>
      </c>
      <c r="I680" s="2">
        <v>2.361111111111111E-2</v>
      </c>
      <c r="J680" s="176">
        <v>3.9351851851851852E-4</v>
      </c>
      <c r="K680" s="6">
        <v>34</v>
      </c>
      <c r="M680" s="7" t="s">
        <v>325</v>
      </c>
      <c r="N680" s="7" t="s">
        <v>102</v>
      </c>
      <c r="O680" s="7" t="s">
        <v>919</v>
      </c>
      <c r="P680" s="7">
        <v>1</v>
      </c>
      <c r="Q680" s="7"/>
      <c r="R680" s="7">
        <v>0</v>
      </c>
      <c r="T680" t="s">
        <v>176</v>
      </c>
      <c r="U680" t="s">
        <v>176</v>
      </c>
      <c r="V680" s="7" t="s">
        <v>948</v>
      </c>
      <c r="W680" s="7" t="s">
        <v>115</v>
      </c>
      <c r="X680" s="33" t="s">
        <v>115</v>
      </c>
      <c r="Y680" s="33" t="s">
        <v>115</v>
      </c>
      <c r="Z680" s="33" t="s">
        <v>115</v>
      </c>
      <c r="AA680" s="7" t="s">
        <v>115</v>
      </c>
      <c r="AB680" s="20" t="s">
        <v>115</v>
      </c>
      <c r="AC680" s="20"/>
      <c r="AD680" s="6">
        <v>4</v>
      </c>
      <c r="AE680" s="6">
        <v>0</v>
      </c>
      <c r="AF680" s="6">
        <v>0</v>
      </c>
      <c r="AG680" s="6">
        <v>4</v>
      </c>
      <c r="AH680" s="6">
        <v>0</v>
      </c>
      <c r="AI680" s="6">
        <v>0</v>
      </c>
      <c r="AJ680">
        <f t="shared" si="10"/>
        <v>4</v>
      </c>
      <c r="AL680" t="s">
        <v>1684</v>
      </c>
    </row>
    <row r="681" spans="1:47" s="33" customFormat="1" x14ac:dyDescent="0.2">
      <c r="A681" t="s">
        <v>1685</v>
      </c>
      <c r="B681" t="s">
        <v>1686</v>
      </c>
      <c r="C681">
        <v>7</v>
      </c>
      <c r="D681">
        <v>1</v>
      </c>
      <c r="E681" t="s">
        <v>324</v>
      </c>
      <c r="F681" s="1">
        <v>43395</v>
      </c>
      <c r="G681" s="37" t="s">
        <v>4033</v>
      </c>
      <c r="H681" s="37" t="s">
        <v>4724</v>
      </c>
      <c r="I681" s="2">
        <v>1.1111111111111112E-2</v>
      </c>
      <c r="J681" s="176">
        <v>1.8518518518518518E-4</v>
      </c>
      <c r="K681" s="6">
        <v>16</v>
      </c>
      <c r="L681"/>
      <c r="M681" s="7" t="s">
        <v>325</v>
      </c>
      <c r="N681" s="7" t="s">
        <v>111</v>
      </c>
      <c r="O681" s="7" t="s">
        <v>23</v>
      </c>
      <c r="P681" s="7">
        <v>0</v>
      </c>
      <c r="Q681" s="7"/>
      <c r="R681" s="7">
        <v>1</v>
      </c>
      <c r="S681"/>
      <c r="T681" t="s">
        <v>176</v>
      </c>
      <c r="U681" t="s">
        <v>176</v>
      </c>
      <c r="V681" s="7" t="s">
        <v>24</v>
      </c>
      <c r="W681" s="7" t="s">
        <v>1687</v>
      </c>
      <c r="X681" s="33" t="s">
        <v>23</v>
      </c>
      <c r="Y681" s="33" t="s">
        <v>4004</v>
      </c>
      <c r="Z681" s="33" t="s">
        <v>4014</v>
      </c>
      <c r="AA681" s="7" t="s">
        <v>24</v>
      </c>
      <c r="AB681" s="20">
        <v>63.723610000000001</v>
      </c>
      <c r="AC681" s="20">
        <v>148.88697999999999</v>
      </c>
      <c r="AD681" s="6">
        <v>0</v>
      </c>
      <c r="AE681" s="6">
        <v>0</v>
      </c>
      <c r="AF681" s="6">
        <v>0</v>
      </c>
      <c r="AG681" s="6">
        <v>0</v>
      </c>
      <c r="AH681" s="6">
        <v>0</v>
      </c>
      <c r="AI681" s="6">
        <v>0</v>
      </c>
      <c r="AJ681">
        <f t="shared" si="10"/>
        <v>0</v>
      </c>
      <c r="AK681"/>
      <c r="AL681" t="s">
        <v>5017</v>
      </c>
      <c r="AM681"/>
      <c r="AN681"/>
      <c r="AQ681" s="34"/>
    </row>
    <row r="682" spans="1:47" x14ac:dyDescent="0.2">
      <c r="A682" t="s">
        <v>1689</v>
      </c>
      <c r="B682" t="s">
        <v>1690</v>
      </c>
      <c r="C682">
        <v>8</v>
      </c>
      <c r="D682">
        <v>1</v>
      </c>
      <c r="E682" t="s">
        <v>324</v>
      </c>
      <c r="F682" s="1">
        <v>43395</v>
      </c>
      <c r="G682" s="37" t="s">
        <v>4033</v>
      </c>
      <c r="H682" s="37" t="s">
        <v>4724</v>
      </c>
      <c r="I682" s="2">
        <v>1.2499999999999999E-2</v>
      </c>
      <c r="J682" s="176">
        <v>2.0833333333333335E-4</v>
      </c>
      <c r="K682" s="6">
        <v>18</v>
      </c>
      <c r="M682" s="7" t="s">
        <v>325</v>
      </c>
      <c r="N682" s="7" t="s">
        <v>102</v>
      </c>
      <c r="O682" s="7" t="s">
        <v>23</v>
      </c>
      <c r="P682" s="7">
        <v>1</v>
      </c>
      <c r="Q682" s="7"/>
      <c r="R682" s="7">
        <v>0</v>
      </c>
      <c r="T682" t="s">
        <v>176</v>
      </c>
      <c r="U682" t="s">
        <v>176</v>
      </c>
      <c r="V682" s="7" t="s">
        <v>948</v>
      </c>
      <c r="W682" s="7" t="s">
        <v>115</v>
      </c>
      <c r="X682" s="33" t="s">
        <v>115</v>
      </c>
      <c r="Y682" s="33" t="s">
        <v>115</v>
      </c>
      <c r="Z682" s="33" t="s">
        <v>115</v>
      </c>
      <c r="AA682" s="7" t="s">
        <v>115</v>
      </c>
      <c r="AB682" s="20" t="s">
        <v>115</v>
      </c>
      <c r="AC682" s="20"/>
      <c r="AD682" s="6">
        <v>0</v>
      </c>
      <c r="AE682" s="6">
        <v>0</v>
      </c>
      <c r="AF682" s="6">
        <v>0</v>
      </c>
      <c r="AG682" s="6">
        <v>0</v>
      </c>
      <c r="AH682" s="6">
        <v>0</v>
      </c>
      <c r="AI682" s="6">
        <v>0</v>
      </c>
      <c r="AJ682">
        <f t="shared" si="10"/>
        <v>0</v>
      </c>
      <c r="AL682" t="s">
        <v>1691</v>
      </c>
    </row>
    <row r="683" spans="1:47" x14ac:dyDescent="0.2">
      <c r="A683" t="s">
        <v>1598</v>
      </c>
      <c r="B683" t="s">
        <v>1599</v>
      </c>
      <c r="C683">
        <v>1</v>
      </c>
      <c r="D683">
        <v>1</v>
      </c>
      <c r="E683" t="s">
        <v>791</v>
      </c>
      <c r="F683" s="1">
        <v>43391</v>
      </c>
      <c r="G683" s="37" t="s">
        <v>4033</v>
      </c>
      <c r="H683" s="37" t="s">
        <v>4724</v>
      </c>
      <c r="I683" s="2">
        <v>1.2499999999999999E-2</v>
      </c>
      <c r="J683" s="176">
        <v>2.0833333333333335E-4</v>
      </c>
      <c r="K683" s="6">
        <v>18</v>
      </c>
      <c r="L683" t="s">
        <v>398</v>
      </c>
      <c r="M683" s="7" t="s">
        <v>176</v>
      </c>
      <c r="O683" s="7" t="s">
        <v>23</v>
      </c>
      <c r="P683" s="7">
        <v>0</v>
      </c>
      <c r="Q683" s="7"/>
      <c r="R683" s="7">
        <v>1</v>
      </c>
      <c r="T683" t="s">
        <v>14</v>
      </c>
      <c r="U683" t="s">
        <v>2128</v>
      </c>
      <c r="V683" s="7" t="s">
        <v>24</v>
      </c>
      <c r="W683" s="7" t="s">
        <v>1035</v>
      </c>
      <c r="X683" s="33" t="s">
        <v>23</v>
      </c>
      <c r="Y683" s="33" t="s">
        <v>3997</v>
      </c>
      <c r="Z683" s="33" t="s">
        <v>4006</v>
      </c>
      <c r="AA683" s="7" t="s">
        <v>24</v>
      </c>
      <c r="AB683" s="20">
        <v>63.723109999999998</v>
      </c>
      <c r="AC683" s="20">
        <v>148.96836999999999</v>
      </c>
      <c r="AD683" s="6">
        <v>0</v>
      </c>
      <c r="AE683" s="6">
        <v>0</v>
      </c>
      <c r="AF683" s="6">
        <v>0</v>
      </c>
      <c r="AG683" s="6">
        <v>0</v>
      </c>
      <c r="AH683" s="6">
        <v>0</v>
      </c>
      <c r="AI683">
        <v>0</v>
      </c>
      <c r="AJ683">
        <f t="shared" si="10"/>
        <v>0</v>
      </c>
      <c r="AL683" t="s">
        <v>1600</v>
      </c>
      <c r="AO683" s="33"/>
      <c r="AP683" s="33"/>
      <c r="AQ683" s="34"/>
      <c r="AR683" s="33"/>
      <c r="AS683" s="33"/>
      <c r="AT683" s="33"/>
      <c r="AU683" s="33"/>
    </row>
    <row r="684" spans="1:47" x14ac:dyDescent="0.2">
      <c r="A684" t="s">
        <v>1692</v>
      </c>
      <c r="B684" t="s">
        <v>1693</v>
      </c>
      <c r="C684">
        <v>1</v>
      </c>
      <c r="D684">
        <v>1</v>
      </c>
      <c r="E684" t="s">
        <v>2487</v>
      </c>
      <c r="F684" s="1">
        <v>43396</v>
      </c>
      <c r="G684" s="37" t="s">
        <v>4033</v>
      </c>
      <c r="H684" s="37" t="s">
        <v>4724</v>
      </c>
      <c r="I684" s="2">
        <v>5.2083333333333336E-2</v>
      </c>
      <c r="J684" s="176">
        <v>8.6805555555555551E-4</v>
      </c>
      <c r="K684" s="6">
        <v>75</v>
      </c>
      <c r="L684" t="s">
        <v>1278</v>
      </c>
      <c r="M684" s="7" t="s">
        <v>2498</v>
      </c>
      <c r="N684" s="7" t="s">
        <v>102</v>
      </c>
      <c r="O684" s="7" t="s">
        <v>23</v>
      </c>
      <c r="P684" s="7">
        <v>1</v>
      </c>
      <c r="Q684" s="7"/>
      <c r="R684" s="7">
        <v>0</v>
      </c>
      <c r="T684" t="s">
        <v>1618</v>
      </c>
      <c r="U684" t="s">
        <v>2134</v>
      </c>
      <c r="V684" s="7" t="s">
        <v>1694</v>
      </c>
      <c r="W684" s="7" t="s">
        <v>115</v>
      </c>
      <c r="X684" s="33" t="s">
        <v>115</v>
      </c>
      <c r="Y684" s="33" t="s">
        <v>115</v>
      </c>
      <c r="Z684" s="33" t="s">
        <v>115</v>
      </c>
      <c r="AA684" s="7" t="s">
        <v>115</v>
      </c>
      <c r="AB684" s="20" t="s">
        <v>115</v>
      </c>
      <c r="AC684" s="20"/>
      <c r="AD684" s="6">
        <v>0</v>
      </c>
      <c r="AE684" s="6">
        <v>0</v>
      </c>
      <c r="AF684" s="6">
        <v>0</v>
      </c>
      <c r="AG684" s="6">
        <v>0</v>
      </c>
      <c r="AH684" s="6">
        <v>0</v>
      </c>
      <c r="AI684" s="6">
        <v>0</v>
      </c>
      <c r="AJ684">
        <f t="shared" si="10"/>
        <v>0</v>
      </c>
      <c r="AL684" t="s">
        <v>2152</v>
      </c>
      <c r="AO684" s="33"/>
      <c r="AP684" s="33"/>
      <c r="AQ684" s="34"/>
      <c r="AR684" s="33"/>
      <c r="AS684" s="33"/>
      <c r="AT684" s="33"/>
      <c r="AU684" s="33"/>
    </row>
    <row r="685" spans="1:47" x14ac:dyDescent="0.2">
      <c r="A685" s="33" t="s">
        <v>1695</v>
      </c>
      <c r="B685" s="33" t="s">
        <v>1696</v>
      </c>
      <c r="C685" s="33">
        <v>2</v>
      </c>
      <c r="D685" s="33">
        <v>1</v>
      </c>
      <c r="E685" s="33" t="s">
        <v>2487</v>
      </c>
      <c r="F685" s="37">
        <v>43396</v>
      </c>
      <c r="G685" s="37" t="s">
        <v>4033</v>
      </c>
      <c r="H685" s="37" t="s">
        <v>4724</v>
      </c>
      <c r="I685" s="36">
        <v>9.0277777777777787E-3</v>
      </c>
      <c r="J685" s="177">
        <v>1.5046296296296297E-4</v>
      </c>
      <c r="K685" s="39">
        <v>13</v>
      </c>
      <c r="L685" s="33"/>
      <c r="M685" s="33" t="s">
        <v>176</v>
      </c>
      <c r="N685" s="33" t="s">
        <v>102</v>
      </c>
      <c r="O685" s="33" t="s">
        <v>115</v>
      </c>
      <c r="P685" s="33" t="s">
        <v>24</v>
      </c>
      <c r="Q685" s="33"/>
      <c r="R685" s="33">
        <v>0</v>
      </c>
      <c r="S685" s="33"/>
      <c r="T685" t="s">
        <v>176</v>
      </c>
      <c r="U685" s="33" t="s">
        <v>176</v>
      </c>
      <c r="V685" s="33" t="s">
        <v>115</v>
      </c>
      <c r="W685" s="33" t="s">
        <v>115</v>
      </c>
      <c r="X685" s="33" t="s">
        <v>115</v>
      </c>
      <c r="Y685" s="33" t="s">
        <v>115</v>
      </c>
      <c r="Z685" s="33" t="s">
        <v>115</v>
      </c>
      <c r="AA685" s="33" t="s">
        <v>115</v>
      </c>
      <c r="AB685" s="35" t="s">
        <v>115</v>
      </c>
      <c r="AC685" s="35"/>
      <c r="AD685" s="39">
        <v>0</v>
      </c>
      <c r="AE685" s="39">
        <v>0</v>
      </c>
      <c r="AF685" s="39">
        <v>0</v>
      </c>
      <c r="AG685" s="39">
        <v>0</v>
      </c>
      <c r="AH685" s="39">
        <v>11</v>
      </c>
      <c r="AI685" s="39">
        <v>0</v>
      </c>
      <c r="AJ685" s="33">
        <f t="shared" si="10"/>
        <v>11</v>
      </c>
      <c r="AK685" s="33"/>
      <c r="AL685" s="33"/>
      <c r="AM685" s="33"/>
      <c r="AN685" s="33"/>
      <c r="AO685" s="33"/>
      <c r="AP685" s="33"/>
      <c r="AQ685" s="34"/>
      <c r="AR685" s="33"/>
      <c r="AS685" s="33"/>
      <c r="AT685" s="33"/>
      <c r="AU685" s="33"/>
    </row>
    <row r="686" spans="1:47" x14ac:dyDescent="0.2">
      <c r="A686" t="s">
        <v>1697</v>
      </c>
      <c r="B686" t="s">
        <v>1703</v>
      </c>
      <c r="C686">
        <v>1</v>
      </c>
      <c r="D686">
        <v>1</v>
      </c>
      <c r="E686" t="s">
        <v>213</v>
      </c>
      <c r="F686" s="1">
        <v>43396</v>
      </c>
      <c r="G686" s="37" t="s">
        <v>4033</v>
      </c>
      <c r="H686" s="37" t="s">
        <v>4724</v>
      </c>
      <c r="I686" s="2">
        <v>1.9444444444444445E-2</v>
      </c>
      <c r="J686" s="176">
        <v>3.2407407407407406E-4</v>
      </c>
      <c r="K686" s="6">
        <v>28</v>
      </c>
      <c r="M686" s="7" t="s">
        <v>1699</v>
      </c>
      <c r="N686" s="7" t="s">
        <v>102</v>
      </c>
      <c r="O686" s="7" t="s">
        <v>23</v>
      </c>
      <c r="P686" s="7" t="s">
        <v>24</v>
      </c>
      <c r="Q686" s="7"/>
      <c r="R686" s="7">
        <v>0</v>
      </c>
      <c r="T686" t="s">
        <v>176</v>
      </c>
      <c r="U686" t="s">
        <v>176</v>
      </c>
      <c r="V686" s="7" t="s">
        <v>115</v>
      </c>
      <c r="W686" s="7" t="s">
        <v>115</v>
      </c>
      <c r="X686" s="33" t="s">
        <v>115</v>
      </c>
      <c r="Y686" s="33" t="s">
        <v>115</v>
      </c>
      <c r="Z686" s="33" t="s">
        <v>115</v>
      </c>
      <c r="AA686" s="7" t="s">
        <v>115</v>
      </c>
      <c r="AB686" s="20" t="s">
        <v>115</v>
      </c>
      <c r="AC686" s="20"/>
      <c r="AD686" s="6">
        <v>0</v>
      </c>
      <c r="AE686" s="6">
        <v>16</v>
      </c>
      <c r="AF686" s="6">
        <v>0</v>
      </c>
      <c r="AG686" s="6">
        <v>16</v>
      </c>
      <c r="AH686" s="6">
        <v>0</v>
      </c>
      <c r="AI686" s="6">
        <v>0</v>
      </c>
      <c r="AJ686">
        <f t="shared" si="10"/>
        <v>16</v>
      </c>
      <c r="AK686" t="s">
        <v>188</v>
      </c>
      <c r="AL686" t="s">
        <v>5018</v>
      </c>
    </row>
    <row r="687" spans="1:47" x14ac:dyDescent="0.2">
      <c r="A687" s="33" t="s">
        <v>1700</v>
      </c>
      <c r="B687" s="33" t="s">
        <v>1698</v>
      </c>
      <c r="C687" s="33">
        <v>3</v>
      </c>
      <c r="D687" s="33">
        <v>1</v>
      </c>
      <c r="E687" s="33" t="s">
        <v>2487</v>
      </c>
      <c r="F687" s="37">
        <v>43396</v>
      </c>
      <c r="G687" s="37" t="s">
        <v>4033</v>
      </c>
      <c r="H687" s="37" t="s">
        <v>4724</v>
      </c>
      <c r="I687" s="36">
        <v>2.2222222222222223E-2</v>
      </c>
      <c r="J687" s="177">
        <v>3.7037037037037035E-4</v>
      </c>
      <c r="K687" s="39">
        <v>32</v>
      </c>
      <c r="L687" s="33"/>
      <c r="M687" s="33" t="s">
        <v>176</v>
      </c>
      <c r="N687" s="33" t="s">
        <v>102</v>
      </c>
      <c r="O687" s="33" t="s">
        <v>115</v>
      </c>
      <c r="P687" s="33">
        <v>1</v>
      </c>
      <c r="Q687" s="33">
        <v>2</v>
      </c>
      <c r="R687" s="33">
        <v>0</v>
      </c>
      <c r="S687" s="33">
        <v>0</v>
      </c>
      <c r="T687" t="s">
        <v>14</v>
      </c>
      <c r="U687" s="33" t="s">
        <v>2128</v>
      </c>
      <c r="V687" s="33" t="s">
        <v>122</v>
      </c>
      <c r="W687" s="33" t="s">
        <v>115</v>
      </c>
      <c r="X687" s="33" t="s">
        <v>115</v>
      </c>
      <c r="Y687" s="33" t="s">
        <v>115</v>
      </c>
      <c r="Z687" s="33" t="s">
        <v>115</v>
      </c>
      <c r="AA687" s="33" t="s">
        <v>115</v>
      </c>
      <c r="AB687" s="35" t="s">
        <v>115</v>
      </c>
      <c r="AC687" s="35"/>
      <c r="AD687" s="39">
        <v>0</v>
      </c>
      <c r="AE687" s="39">
        <v>0</v>
      </c>
      <c r="AF687" s="39">
        <v>0</v>
      </c>
      <c r="AG687" s="39">
        <v>0</v>
      </c>
      <c r="AH687" s="39">
        <v>32</v>
      </c>
      <c r="AI687" s="39">
        <v>0</v>
      </c>
      <c r="AJ687" s="33">
        <f t="shared" si="10"/>
        <v>32</v>
      </c>
      <c r="AK687" s="33"/>
      <c r="AL687" s="33"/>
      <c r="AM687" s="33"/>
      <c r="AN687" s="33"/>
    </row>
    <row r="688" spans="1:47" x14ac:dyDescent="0.2">
      <c r="A688" s="33" t="s">
        <v>1704</v>
      </c>
      <c r="B688" s="33" t="s">
        <v>1701</v>
      </c>
      <c r="C688" s="33">
        <v>4</v>
      </c>
      <c r="D688" s="33">
        <v>1</v>
      </c>
      <c r="E688" s="33" t="s">
        <v>2487</v>
      </c>
      <c r="F688" s="37">
        <v>43396</v>
      </c>
      <c r="G688" s="37" t="s">
        <v>4033</v>
      </c>
      <c r="H688" s="37" t="s">
        <v>4724</v>
      </c>
      <c r="I688" s="36">
        <v>4.8611111111111112E-3</v>
      </c>
      <c r="J688" s="177">
        <v>8.1018518518518516E-5</v>
      </c>
      <c r="K688" s="39">
        <v>7</v>
      </c>
      <c r="L688" s="33"/>
      <c r="M688" s="33" t="s">
        <v>176</v>
      </c>
      <c r="N688" s="33" t="s">
        <v>102</v>
      </c>
      <c r="O688" s="33" t="s">
        <v>115</v>
      </c>
      <c r="P688" s="33">
        <v>1</v>
      </c>
      <c r="Q688" s="33"/>
      <c r="R688" s="33">
        <v>0</v>
      </c>
      <c r="S688" s="33"/>
      <c r="T688" t="s">
        <v>176</v>
      </c>
      <c r="U688" s="33" t="s">
        <v>176</v>
      </c>
      <c r="V688" s="33" t="s">
        <v>122</v>
      </c>
      <c r="W688" s="33" t="s">
        <v>115</v>
      </c>
      <c r="X688" s="33" t="s">
        <v>115</v>
      </c>
      <c r="Y688" s="33" t="s">
        <v>115</v>
      </c>
      <c r="Z688" s="33" t="s">
        <v>115</v>
      </c>
      <c r="AA688" s="33" t="s">
        <v>115</v>
      </c>
      <c r="AB688" s="35" t="s">
        <v>115</v>
      </c>
      <c r="AC688" s="35"/>
      <c r="AD688" s="39">
        <v>0</v>
      </c>
      <c r="AE688" s="39">
        <v>0</v>
      </c>
      <c r="AF688" s="39">
        <v>0</v>
      </c>
      <c r="AG688" s="39">
        <v>0</v>
      </c>
      <c r="AH688" s="39">
        <v>7</v>
      </c>
      <c r="AI688" s="39">
        <v>0</v>
      </c>
      <c r="AJ688" s="33">
        <f t="shared" si="10"/>
        <v>7</v>
      </c>
      <c r="AK688" s="33"/>
      <c r="AL688" s="33" t="s">
        <v>1705</v>
      </c>
      <c r="AM688" s="33"/>
      <c r="AN688" s="33"/>
    </row>
    <row r="689" spans="1:47" x14ac:dyDescent="0.2">
      <c r="A689" s="33" t="s">
        <v>1706</v>
      </c>
      <c r="B689" s="33" t="s">
        <v>1707</v>
      </c>
      <c r="C689" s="33">
        <v>5</v>
      </c>
      <c r="D689" s="33">
        <v>1</v>
      </c>
      <c r="E689" s="33" t="s">
        <v>2487</v>
      </c>
      <c r="F689" s="37">
        <v>43396</v>
      </c>
      <c r="G689" s="37" t="s">
        <v>4033</v>
      </c>
      <c r="H689" s="37" t="s">
        <v>4724</v>
      </c>
      <c r="I689" s="36">
        <v>1.9444444444444445E-2</v>
      </c>
      <c r="J689" s="177">
        <v>3.2407407407407406E-4</v>
      </c>
      <c r="K689" s="39">
        <v>28</v>
      </c>
      <c r="L689" s="33"/>
      <c r="M689" s="33" t="s">
        <v>176</v>
      </c>
      <c r="N689" s="33" t="s">
        <v>24</v>
      </c>
      <c r="O689" s="33" t="s">
        <v>115</v>
      </c>
      <c r="P689" s="33">
        <v>0</v>
      </c>
      <c r="Q689" s="33"/>
      <c r="R689" s="33">
        <v>0</v>
      </c>
      <c r="S689" s="33"/>
      <c r="T689" t="s">
        <v>14</v>
      </c>
      <c r="U689" s="33" t="s">
        <v>2128</v>
      </c>
      <c r="V689" s="33" t="s">
        <v>24</v>
      </c>
      <c r="W689" s="7" t="s">
        <v>1035</v>
      </c>
      <c r="X689" s="33" t="s">
        <v>115</v>
      </c>
      <c r="Y689" s="33" t="s">
        <v>115</v>
      </c>
      <c r="Z689" s="33" t="s">
        <v>115</v>
      </c>
      <c r="AA689" s="33" t="s">
        <v>24</v>
      </c>
      <c r="AB689" s="35">
        <v>63.719949999999997</v>
      </c>
      <c r="AC689" s="35">
        <v>148.99030999999999</v>
      </c>
      <c r="AD689" s="39">
        <v>0</v>
      </c>
      <c r="AE689" s="39">
        <v>0</v>
      </c>
      <c r="AF689" s="39">
        <v>0</v>
      </c>
      <c r="AG689" s="39">
        <v>0</v>
      </c>
      <c r="AH689" s="39">
        <v>18</v>
      </c>
      <c r="AI689" s="39">
        <v>0</v>
      </c>
      <c r="AJ689" s="33">
        <f t="shared" si="10"/>
        <v>18</v>
      </c>
      <c r="AK689" s="33"/>
      <c r="AL689" s="33" t="s">
        <v>5019</v>
      </c>
      <c r="AM689" s="33"/>
      <c r="AN689" s="33"/>
      <c r="AO689" s="33"/>
      <c r="AP689" s="33"/>
      <c r="AQ689" s="34"/>
      <c r="AR689" s="33"/>
      <c r="AS689" s="33"/>
      <c r="AT689" s="33"/>
      <c r="AU689" s="33"/>
    </row>
    <row r="690" spans="1:47" s="33" customFormat="1" x14ac:dyDescent="0.2">
      <c r="A690" t="s">
        <v>1709</v>
      </c>
      <c r="B690" t="s">
        <v>1710</v>
      </c>
      <c r="C690">
        <v>2</v>
      </c>
      <c r="D690">
        <v>1</v>
      </c>
      <c r="E690" t="s">
        <v>213</v>
      </c>
      <c r="F690" s="1">
        <v>43396</v>
      </c>
      <c r="G690" s="37" t="s">
        <v>4033</v>
      </c>
      <c r="H690" s="37" t="s">
        <v>4724</v>
      </c>
      <c r="I690" s="2">
        <v>1.1805555555555555E-2</v>
      </c>
      <c r="J690" s="176">
        <v>1.9675925925925926E-4</v>
      </c>
      <c r="K690" s="6">
        <v>17</v>
      </c>
      <c r="L690"/>
      <c r="M690" s="7" t="s">
        <v>1711</v>
      </c>
      <c r="N690" s="7" t="s">
        <v>1310</v>
      </c>
      <c r="O690" s="7" t="s">
        <v>23</v>
      </c>
      <c r="P690" s="7">
        <v>1</v>
      </c>
      <c r="Q690" s="7"/>
      <c r="R690" s="7">
        <v>0</v>
      </c>
      <c r="S690"/>
      <c r="T690" t="s">
        <v>176</v>
      </c>
      <c r="U690" t="s">
        <v>1712</v>
      </c>
      <c r="V690" s="7" t="s">
        <v>1254</v>
      </c>
      <c r="W690" s="7" t="s">
        <v>115</v>
      </c>
      <c r="X690" s="33" t="s">
        <v>115</v>
      </c>
      <c r="Y690" s="33" t="s">
        <v>115</v>
      </c>
      <c r="Z690" s="33" t="s">
        <v>115</v>
      </c>
      <c r="AA690" s="7" t="s">
        <v>115</v>
      </c>
      <c r="AB690" s="20" t="s">
        <v>115</v>
      </c>
      <c r="AC690" s="20"/>
      <c r="AD690" s="6">
        <v>10</v>
      </c>
      <c r="AE690" s="6">
        <v>0</v>
      </c>
      <c r="AF690" s="6">
        <v>0</v>
      </c>
      <c r="AG690" s="6">
        <v>10</v>
      </c>
      <c r="AH690" s="6">
        <v>0</v>
      </c>
      <c r="AI690" s="6">
        <v>0</v>
      </c>
      <c r="AJ690">
        <f t="shared" si="10"/>
        <v>10</v>
      </c>
      <c r="AK690"/>
      <c r="AL690"/>
      <c r="AM690"/>
      <c r="AN690"/>
      <c r="AO690"/>
      <c r="AP690"/>
      <c r="AQ690"/>
      <c r="AR690"/>
      <c r="AS690"/>
      <c r="AT690"/>
      <c r="AU690"/>
    </row>
    <row r="691" spans="1:47" s="33" customFormat="1" x14ac:dyDescent="0.2">
      <c r="A691" t="s">
        <v>1713</v>
      </c>
      <c r="B691" t="s">
        <v>1702</v>
      </c>
      <c r="C691">
        <v>3</v>
      </c>
      <c r="D691">
        <v>1</v>
      </c>
      <c r="E691" t="s">
        <v>213</v>
      </c>
      <c r="F691" s="1">
        <v>43396</v>
      </c>
      <c r="G691" s="37" t="s">
        <v>4033</v>
      </c>
      <c r="H691" s="37" t="s">
        <v>4724</v>
      </c>
      <c r="I691" s="2">
        <v>9.7222222222222224E-3</v>
      </c>
      <c r="J691" s="176">
        <v>1.6203703703703703E-4</v>
      </c>
      <c r="K691" s="6">
        <v>14</v>
      </c>
      <c r="L691"/>
      <c r="M691" s="7" t="s">
        <v>1711</v>
      </c>
      <c r="N691" s="7" t="s">
        <v>107</v>
      </c>
      <c r="O691" s="7" t="s">
        <v>23</v>
      </c>
      <c r="P691" s="7">
        <v>1</v>
      </c>
      <c r="Q691" s="7"/>
      <c r="R691" s="7">
        <v>0</v>
      </c>
      <c r="S691"/>
      <c r="T691" t="s">
        <v>176</v>
      </c>
      <c r="U691" t="s">
        <v>1712</v>
      </c>
      <c r="V691" s="7" t="s">
        <v>24</v>
      </c>
      <c r="W691" s="7" t="s">
        <v>115</v>
      </c>
      <c r="X691" s="33" t="s">
        <v>115</v>
      </c>
      <c r="Y691" s="33" t="s">
        <v>115</v>
      </c>
      <c r="Z691" s="33" t="s">
        <v>115</v>
      </c>
      <c r="AA691" s="7" t="s">
        <v>115</v>
      </c>
      <c r="AB691" s="20" t="s">
        <v>115</v>
      </c>
      <c r="AC691" s="20"/>
      <c r="AD691" s="6">
        <v>0</v>
      </c>
      <c r="AE691" s="6">
        <v>0</v>
      </c>
      <c r="AF691" s="6">
        <v>0</v>
      </c>
      <c r="AG691" s="6">
        <v>0</v>
      </c>
      <c r="AH691" s="6">
        <v>0</v>
      </c>
      <c r="AI691" s="6">
        <v>0</v>
      </c>
      <c r="AJ691">
        <f t="shared" si="10"/>
        <v>0</v>
      </c>
      <c r="AK691"/>
      <c r="AL691" t="s">
        <v>1714</v>
      </c>
      <c r="AM691"/>
      <c r="AN691"/>
      <c r="AQ691" s="34"/>
    </row>
    <row r="692" spans="1:47" s="33" customFormat="1" x14ac:dyDescent="0.2">
      <c r="A692" t="s">
        <v>1717</v>
      </c>
      <c r="B692" t="s">
        <v>1715</v>
      </c>
      <c r="C692">
        <v>1</v>
      </c>
      <c r="D692">
        <v>1</v>
      </c>
      <c r="E692" t="s">
        <v>1716</v>
      </c>
      <c r="F692" s="1">
        <v>43396</v>
      </c>
      <c r="G692" s="37" t="s">
        <v>4033</v>
      </c>
      <c r="H692" s="37" t="s">
        <v>4724</v>
      </c>
      <c r="I692" s="2">
        <v>1.0416666666666666E-2</v>
      </c>
      <c r="J692" s="176">
        <v>1.7361111111111112E-4</v>
      </c>
      <c r="K692" s="6">
        <v>15</v>
      </c>
      <c r="L692"/>
      <c r="M692" s="7" t="s">
        <v>1718</v>
      </c>
      <c r="N692" s="7" t="s">
        <v>102</v>
      </c>
      <c r="O692" s="7" t="s">
        <v>23</v>
      </c>
      <c r="P692" s="7" t="s">
        <v>24</v>
      </c>
      <c r="Q692" s="7"/>
      <c r="R692" s="7">
        <v>0</v>
      </c>
      <c r="S692"/>
      <c r="T692"/>
      <c r="U692" t="s">
        <v>115</v>
      </c>
      <c r="V692" s="7" t="s">
        <v>115</v>
      </c>
      <c r="W692" s="7" t="s">
        <v>115</v>
      </c>
      <c r="X692" s="33" t="s">
        <v>115</v>
      </c>
      <c r="Y692" s="33" t="s">
        <v>115</v>
      </c>
      <c r="Z692" s="33" t="s">
        <v>115</v>
      </c>
      <c r="AA692" s="7" t="s">
        <v>115</v>
      </c>
      <c r="AB692" s="20" t="s">
        <v>115</v>
      </c>
      <c r="AC692" s="20"/>
      <c r="AD692" s="6">
        <v>0</v>
      </c>
      <c r="AE692" s="6">
        <v>15</v>
      </c>
      <c r="AF692" s="6">
        <v>0</v>
      </c>
      <c r="AG692" s="6">
        <v>15</v>
      </c>
      <c r="AH692" s="6">
        <v>0</v>
      </c>
      <c r="AI692" s="6">
        <v>0</v>
      </c>
      <c r="AJ692">
        <f t="shared" si="10"/>
        <v>15</v>
      </c>
      <c r="AK692" t="s">
        <v>188</v>
      </c>
      <c r="AL692"/>
      <c r="AM692"/>
      <c r="AN692"/>
      <c r="AQ692" s="34"/>
    </row>
    <row r="693" spans="1:47" s="33" customFormat="1" x14ac:dyDescent="0.2">
      <c r="A693" t="s">
        <v>1719</v>
      </c>
      <c r="B693" t="s">
        <v>1720</v>
      </c>
      <c r="C693">
        <v>6</v>
      </c>
      <c r="D693">
        <v>1</v>
      </c>
      <c r="E693" t="s">
        <v>2487</v>
      </c>
      <c r="F693" s="1">
        <v>43396</v>
      </c>
      <c r="G693" s="37" t="s">
        <v>4033</v>
      </c>
      <c r="H693" s="37" t="s">
        <v>4724</v>
      </c>
      <c r="I693" s="2">
        <v>3.888888888888889E-2</v>
      </c>
      <c r="J693" s="176">
        <v>6.4814814814814813E-4</v>
      </c>
      <c r="K693" s="6">
        <v>56</v>
      </c>
      <c r="L693"/>
      <c r="M693" s="7" t="s">
        <v>241</v>
      </c>
      <c r="N693" s="7" t="s">
        <v>102</v>
      </c>
      <c r="O693" s="7" t="s">
        <v>23</v>
      </c>
      <c r="P693" s="7">
        <v>1</v>
      </c>
      <c r="Q693" s="7"/>
      <c r="R693">
        <v>0</v>
      </c>
      <c r="S693"/>
      <c r="T693" t="s">
        <v>176</v>
      </c>
      <c r="U693" t="s">
        <v>176</v>
      </c>
      <c r="V693" s="7" t="s">
        <v>948</v>
      </c>
      <c r="W693" s="7" t="s">
        <v>115</v>
      </c>
      <c r="X693" s="33" t="s">
        <v>115</v>
      </c>
      <c r="Y693" s="33" t="s">
        <v>115</v>
      </c>
      <c r="Z693" s="33" t="s">
        <v>115</v>
      </c>
      <c r="AA693" s="7" t="s">
        <v>115</v>
      </c>
      <c r="AB693" s="20" t="s">
        <v>115</v>
      </c>
      <c r="AC693" s="20"/>
      <c r="AD693" s="6">
        <v>0</v>
      </c>
      <c r="AE693" s="6">
        <v>17</v>
      </c>
      <c r="AF693" s="6">
        <v>0</v>
      </c>
      <c r="AG693" s="6">
        <v>17</v>
      </c>
      <c r="AH693" s="6">
        <v>0</v>
      </c>
      <c r="AI693" s="6">
        <v>0</v>
      </c>
      <c r="AJ693">
        <f t="shared" si="10"/>
        <v>17</v>
      </c>
      <c r="AK693" t="s">
        <v>188</v>
      </c>
      <c r="AL693"/>
      <c r="AM693"/>
      <c r="AN693"/>
      <c r="AO693"/>
      <c r="AP693"/>
      <c r="AQ693"/>
      <c r="AR693"/>
      <c r="AS693"/>
      <c r="AT693"/>
      <c r="AU693"/>
    </row>
    <row r="694" spans="1:47" x14ac:dyDescent="0.2">
      <c r="A694" t="s">
        <v>1721</v>
      </c>
      <c r="B694" t="s">
        <v>1722</v>
      </c>
      <c r="C694">
        <v>7</v>
      </c>
      <c r="D694">
        <v>1</v>
      </c>
      <c r="E694" t="s">
        <v>2487</v>
      </c>
      <c r="F694" s="1">
        <v>43396</v>
      </c>
      <c r="G694" s="37" t="s">
        <v>4033</v>
      </c>
      <c r="H694" s="37" t="s">
        <v>4724</v>
      </c>
      <c r="I694" s="2">
        <v>3.6805555555555557E-2</v>
      </c>
      <c r="J694" s="176">
        <v>6.134259259259259E-4</v>
      </c>
      <c r="K694" s="6">
        <v>53</v>
      </c>
      <c r="M694" s="7" t="s">
        <v>241</v>
      </c>
      <c r="N694" s="7" t="s">
        <v>111</v>
      </c>
      <c r="O694" s="7" t="s">
        <v>23</v>
      </c>
      <c r="P694" s="7">
        <v>0</v>
      </c>
      <c r="Q694" s="7"/>
      <c r="R694">
        <v>1</v>
      </c>
      <c r="T694" t="s">
        <v>176</v>
      </c>
      <c r="U694" t="s">
        <v>176</v>
      </c>
      <c r="V694" s="7" t="s">
        <v>948</v>
      </c>
      <c r="W694" s="7" t="s">
        <v>1723</v>
      </c>
      <c r="X694" s="33" t="s">
        <v>23</v>
      </c>
      <c r="Y694" s="33" t="s">
        <v>3999</v>
      </c>
      <c r="Z694" s="33" t="s">
        <v>4006</v>
      </c>
      <c r="AA694" s="7">
        <v>10</v>
      </c>
      <c r="AB694" s="20">
        <v>63.720440000000004</v>
      </c>
      <c r="AC694" s="20">
        <v>148.98979</v>
      </c>
      <c r="AD694" s="6">
        <v>0</v>
      </c>
      <c r="AE694" s="6">
        <v>0</v>
      </c>
      <c r="AF694" s="6">
        <v>0</v>
      </c>
      <c r="AG694" s="6">
        <v>0</v>
      </c>
      <c r="AH694" s="6">
        <v>0</v>
      </c>
      <c r="AI694" s="6">
        <v>0</v>
      </c>
      <c r="AJ694">
        <f t="shared" si="10"/>
        <v>0</v>
      </c>
      <c r="AL694" t="s">
        <v>5020</v>
      </c>
    </row>
    <row r="695" spans="1:47" x14ac:dyDescent="0.2">
      <c r="A695" s="33" t="s">
        <v>1725</v>
      </c>
      <c r="B695" s="33" t="s">
        <v>1726</v>
      </c>
      <c r="C695" s="33">
        <v>8</v>
      </c>
      <c r="D695" s="33">
        <v>1</v>
      </c>
      <c r="E695" s="33" t="s">
        <v>2487</v>
      </c>
      <c r="F695" s="37">
        <v>43396</v>
      </c>
      <c r="G695" s="37" t="s">
        <v>4033</v>
      </c>
      <c r="H695" s="37" t="s">
        <v>4724</v>
      </c>
      <c r="I695" s="36">
        <v>2.2222222222222223E-2</v>
      </c>
      <c r="J695" s="177">
        <v>3.7037037037037035E-4</v>
      </c>
      <c r="K695" s="39">
        <v>32</v>
      </c>
      <c r="L695" s="33"/>
      <c r="M695" s="33" t="s">
        <v>241</v>
      </c>
      <c r="N695" s="33" t="s">
        <v>102</v>
      </c>
      <c r="O695" s="33" t="s">
        <v>115</v>
      </c>
      <c r="P695" s="33">
        <v>1</v>
      </c>
      <c r="Q695" s="33">
        <v>2</v>
      </c>
      <c r="R695" s="33">
        <v>0</v>
      </c>
      <c r="S695" s="33"/>
      <c r="T695" t="s">
        <v>14</v>
      </c>
      <c r="U695" s="33" t="s">
        <v>2128</v>
      </c>
      <c r="V695" s="33" t="s">
        <v>122</v>
      </c>
      <c r="W695" s="33" t="s">
        <v>115</v>
      </c>
      <c r="X695" s="33" t="s">
        <v>115</v>
      </c>
      <c r="Y695" s="33" t="s">
        <v>115</v>
      </c>
      <c r="Z695" s="33" t="s">
        <v>115</v>
      </c>
      <c r="AA695" s="33" t="s">
        <v>115</v>
      </c>
      <c r="AB695" s="35" t="s">
        <v>115</v>
      </c>
      <c r="AC695" s="35"/>
      <c r="AD695" s="39">
        <v>0</v>
      </c>
      <c r="AE695" s="39">
        <v>0</v>
      </c>
      <c r="AF695" s="39">
        <v>0</v>
      </c>
      <c r="AG695" s="39">
        <v>0</v>
      </c>
      <c r="AH695" s="39">
        <v>6</v>
      </c>
      <c r="AI695" s="39">
        <v>0</v>
      </c>
      <c r="AJ695" s="33">
        <f t="shared" si="10"/>
        <v>6</v>
      </c>
      <c r="AK695" s="33"/>
      <c r="AL695" s="33"/>
      <c r="AM695" s="33"/>
      <c r="AN695" s="33"/>
      <c r="AO695" s="33"/>
      <c r="AP695" s="33"/>
      <c r="AQ695" s="34"/>
      <c r="AR695" s="33"/>
      <c r="AS695" s="33"/>
      <c r="AT695" s="33"/>
      <c r="AU695" s="33"/>
    </row>
    <row r="696" spans="1:47" x14ac:dyDescent="0.2">
      <c r="A696" t="s">
        <v>1727</v>
      </c>
      <c r="B696" t="s">
        <v>1728</v>
      </c>
      <c r="C696">
        <v>9</v>
      </c>
      <c r="D696">
        <v>1</v>
      </c>
      <c r="E696" t="s">
        <v>2487</v>
      </c>
      <c r="F696" s="1">
        <v>43396</v>
      </c>
      <c r="G696" s="37" t="s">
        <v>4033</v>
      </c>
      <c r="H696" s="37" t="s">
        <v>4724</v>
      </c>
      <c r="I696" s="2">
        <v>4.1666666666666666E-3</v>
      </c>
      <c r="J696" s="176">
        <v>6.9444444444444444E-5</v>
      </c>
      <c r="K696" s="6">
        <v>6</v>
      </c>
      <c r="M696" s="7" t="s">
        <v>241</v>
      </c>
      <c r="N696" s="7" t="s">
        <v>102</v>
      </c>
      <c r="O696" s="7" t="s">
        <v>115</v>
      </c>
      <c r="P696" s="7">
        <v>1</v>
      </c>
      <c r="Q696" s="7"/>
      <c r="R696">
        <v>0</v>
      </c>
      <c r="T696" t="s">
        <v>176</v>
      </c>
      <c r="U696" t="s">
        <v>176</v>
      </c>
      <c r="V696" s="7" t="s">
        <v>122</v>
      </c>
      <c r="W696" s="7" t="s">
        <v>115</v>
      </c>
      <c r="X696" s="33" t="s">
        <v>115</v>
      </c>
      <c r="Y696" s="33" t="s">
        <v>115</v>
      </c>
      <c r="Z696" s="33" t="s">
        <v>115</v>
      </c>
      <c r="AA696" s="7" t="s">
        <v>115</v>
      </c>
      <c r="AB696" s="20" t="s">
        <v>115</v>
      </c>
      <c r="AC696" s="20"/>
      <c r="AD696" s="6">
        <v>0</v>
      </c>
      <c r="AE696" s="6">
        <v>0</v>
      </c>
      <c r="AF696" s="6">
        <v>0</v>
      </c>
      <c r="AG696" s="6">
        <v>0</v>
      </c>
      <c r="AH696" s="6">
        <v>0</v>
      </c>
      <c r="AI696" s="6">
        <v>0</v>
      </c>
      <c r="AJ696">
        <f t="shared" si="10"/>
        <v>0</v>
      </c>
      <c r="AL696" t="s">
        <v>1729</v>
      </c>
    </row>
    <row r="697" spans="1:47" x14ac:dyDescent="0.2">
      <c r="A697" s="33" t="s">
        <v>1730</v>
      </c>
      <c r="B697" s="33" t="s">
        <v>1731</v>
      </c>
      <c r="C697" s="33">
        <v>10</v>
      </c>
      <c r="D697" s="33">
        <v>1</v>
      </c>
      <c r="E697" s="33" t="s">
        <v>2487</v>
      </c>
      <c r="F697" s="37">
        <v>43396</v>
      </c>
      <c r="G697" s="37" t="s">
        <v>4033</v>
      </c>
      <c r="H697" s="37" t="s">
        <v>4724</v>
      </c>
      <c r="I697" s="36">
        <v>2.2916666666666669E-2</v>
      </c>
      <c r="J697" s="177">
        <v>3.8194444444444446E-4</v>
      </c>
      <c r="K697" s="39">
        <v>33</v>
      </c>
      <c r="L697" s="33"/>
      <c r="M697" s="33" t="s">
        <v>176</v>
      </c>
      <c r="N697" s="33" t="s">
        <v>102</v>
      </c>
      <c r="O697" s="33" t="s">
        <v>115</v>
      </c>
      <c r="P697" s="33">
        <v>2</v>
      </c>
      <c r="Q697" s="33" t="s">
        <v>2287</v>
      </c>
      <c r="R697" s="33">
        <v>0</v>
      </c>
      <c r="S697" s="33"/>
      <c r="T697" t="s">
        <v>14</v>
      </c>
      <c r="U697" s="33" t="s">
        <v>14</v>
      </c>
      <c r="V697" s="33" t="s">
        <v>122</v>
      </c>
      <c r="W697" s="33" t="s">
        <v>115</v>
      </c>
      <c r="X697" s="33" t="s">
        <v>115</v>
      </c>
      <c r="Y697" s="33" t="s">
        <v>115</v>
      </c>
      <c r="Z697" s="33" t="s">
        <v>115</v>
      </c>
      <c r="AA697" s="33" t="s">
        <v>115</v>
      </c>
      <c r="AB697" s="35" t="s">
        <v>115</v>
      </c>
      <c r="AC697" s="35"/>
      <c r="AD697" s="39">
        <v>0</v>
      </c>
      <c r="AE697" s="39">
        <v>0</v>
      </c>
      <c r="AF697" s="39">
        <v>0</v>
      </c>
      <c r="AG697" s="39">
        <v>0</v>
      </c>
      <c r="AH697" s="39">
        <v>13</v>
      </c>
      <c r="AI697" s="39">
        <v>0</v>
      </c>
      <c r="AJ697" s="33">
        <f t="shared" si="10"/>
        <v>13</v>
      </c>
      <c r="AK697" s="33"/>
      <c r="AL697" s="33" t="s">
        <v>1732</v>
      </c>
      <c r="AM697" s="33"/>
      <c r="AN697" s="33"/>
    </row>
    <row r="698" spans="1:47" x14ac:dyDescent="0.2">
      <c r="A698" s="33" t="s">
        <v>1733</v>
      </c>
      <c r="B698" s="33" t="s">
        <v>1734</v>
      </c>
      <c r="C698" s="33">
        <v>11</v>
      </c>
      <c r="D698" s="33">
        <v>1</v>
      </c>
      <c r="E698" s="33" t="s">
        <v>2487</v>
      </c>
      <c r="F698" s="37">
        <v>43396</v>
      </c>
      <c r="G698" s="37" t="s">
        <v>4033</v>
      </c>
      <c r="H698" s="37" t="s">
        <v>4724</v>
      </c>
      <c r="I698" s="36">
        <v>2.8472222222222222E-2</v>
      </c>
      <c r="J698" s="177">
        <v>4.7453703703703704E-4</v>
      </c>
      <c r="K698" s="39">
        <v>41</v>
      </c>
      <c r="L698" s="33"/>
      <c r="M698" s="33" t="s">
        <v>241</v>
      </c>
      <c r="N698" s="33" t="s">
        <v>102</v>
      </c>
      <c r="O698" s="33" t="s">
        <v>23</v>
      </c>
      <c r="P698" s="33">
        <v>1</v>
      </c>
      <c r="Q698" s="33"/>
      <c r="R698" s="33">
        <v>0</v>
      </c>
      <c r="S698" s="33"/>
      <c r="T698" t="s">
        <v>176</v>
      </c>
      <c r="U698" s="33" t="s">
        <v>176</v>
      </c>
      <c r="V698" s="33" t="s">
        <v>948</v>
      </c>
      <c r="W698" s="33" t="s">
        <v>115</v>
      </c>
      <c r="X698" s="33" t="s">
        <v>115</v>
      </c>
      <c r="Y698" s="33" t="s">
        <v>115</v>
      </c>
      <c r="Z698" s="33" t="s">
        <v>115</v>
      </c>
      <c r="AA698" s="33" t="s">
        <v>115</v>
      </c>
      <c r="AB698" s="35" t="s">
        <v>115</v>
      </c>
      <c r="AC698" s="35"/>
      <c r="AD698" s="39">
        <v>3</v>
      </c>
      <c r="AE698" s="39">
        <v>2</v>
      </c>
      <c r="AF698" s="39">
        <v>0</v>
      </c>
      <c r="AG698" s="39">
        <v>5</v>
      </c>
      <c r="AH698" s="39">
        <v>4</v>
      </c>
      <c r="AI698" s="39">
        <v>0</v>
      </c>
      <c r="AJ698" s="33">
        <f t="shared" si="10"/>
        <v>9</v>
      </c>
      <c r="AK698" s="33"/>
      <c r="AL698" s="33"/>
      <c r="AM698" s="33"/>
      <c r="AN698" s="33"/>
      <c r="AO698" s="33"/>
      <c r="AP698" s="33"/>
      <c r="AQ698" s="34"/>
      <c r="AR698" s="33"/>
      <c r="AS698" s="33"/>
      <c r="AT698" s="33"/>
      <c r="AU698" s="33"/>
    </row>
    <row r="699" spans="1:47" s="33" customFormat="1" x14ac:dyDescent="0.2">
      <c r="A699" t="s">
        <v>1735</v>
      </c>
      <c r="B699" t="s">
        <v>1736</v>
      </c>
      <c r="C699">
        <v>1</v>
      </c>
      <c r="D699">
        <v>1</v>
      </c>
      <c r="E699" t="s">
        <v>1737</v>
      </c>
      <c r="F699" s="1">
        <v>43396</v>
      </c>
      <c r="G699" s="37" t="s">
        <v>4033</v>
      </c>
      <c r="H699" s="37" t="s">
        <v>4724</v>
      </c>
      <c r="I699" s="2">
        <v>2.4305555555555556E-2</v>
      </c>
      <c r="J699" s="176">
        <v>4.0509259259259258E-4</v>
      </c>
      <c r="K699" s="6">
        <v>35</v>
      </c>
      <c r="L699"/>
      <c r="M699" s="7" t="s">
        <v>1738</v>
      </c>
      <c r="N699" s="7" t="s">
        <v>102</v>
      </c>
      <c r="O699" s="7" t="s">
        <v>23</v>
      </c>
      <c r="P699" s="7" t="s">
        <v>24</v>
      </c>
      <c r="Q699" s="7"/>
      <c r="R699">
        <v>0</v>
      </c>
      <c r="S699"/>
      <c r="T699" t="s">
        <v>176</v>
      </c>
      <c r="U699" t="s">
        <v>176</v>
      </c>
      <c r="V699" s="7" t="s">
        <v>115</v>
      </c>
      <c r="W699" s="7" t="s">
        <v>115</v>
      </c>
      <c r="X699" s="33" t="s">
        <v>115</v>
      </c>
      <c r="Y699" s="33" t="s">
        <v>115</v>
      </c>
      <c r="Z699" s="33" t="s">
        <v>115</v>
      </c>
      <c r="AA699" s="7" t="s">
        <v>115</v>
      </c>
      <c r="AB699" s="20" t="s">
        <v>115</v>
      </c>
      <c r="AC699" s="20"/>
      <c r="AD699" s="6">
        <v>14</v>
      </c>
      <c r="AE699" s="6">
        <v>0</v>
      </c>
      <c r="AF699" s="6">
        <v>14</v>
      </c>
      <c r="AG699" s="6">
        <v>0</v>
      </c>
      <c r="AH699" s="6">
        <v>0</v>
      </c>
      <c r="AI699" s="6">
        <v>0</v>
      </c>
      <c r="AJ699">
        <f t="shared" si="10"/>
        <v>14</v>
      </c>
      <c r="AK699" t="s">
        <v>188</v>
      </c>
      <c r="AL699"/>
      <c r="AM699"/>
      <c r="AN699"/>
      <c r="AO699"/>
      <c r="AP699"/>
      <c r="AQ699"/>
      <c r="AR699"/>
      <c r="AS699"/>
      <c r="AT699"/>
      <c r="AU699"/>
    </row>
    <row r="700" spans="1:47" s="33" customFormat="1" x14ac:dyDescent="0.2">
      <c r="A700" t="s">
        <v>1739</v>
      </c>
      <c r="B700" t="s">
        <v>1740</v>
      </c>
      <c r="C700">
        <v>1</v>
      </c>
      <c r="D700">
        <v>1</v>
      </c>
      <c r="E700" t="s">
        <v>1741</v>
      </c>
      <c r="F700" s="1">
        <v>43396</v>
      </c>
      <c r="G700" s="37" t="s">
        <v>4033</v>
      </c>
      <c r="H700" s="37" t="s">
        <v>4724</v>
      </c>
      <c r="I700" s="2">
        <v>2.9861111111111113E-2</v>
      </c>
      <c r="J700" s="176">
        <v>4.9768518518518521E-4</v>
      </c>
      <c r="K700" s="6">
        <v>43</v>
      </c>
      <c r="L700"/>
      <c r="M700" s="7" t="s">
        <v>1742</v>
      </c>
      <c r="N700" s="7" t="s">
        <v>102</v>
      </c>
      <c r="O700" s="7" t="s">
        <v>23</v>
      </c>
      <c r="P700" s="7">
        <v>2</v>
      </c>
      <c r="Q700" s="7"/>
      <c r="R700">
        <v>0</v>
      </c>
      <c r="S700"/>
      <c r="T700" t="s">
        <v>176</v>
      </c>
      <c r="U700" t="s">
        <v>176</v>
      </c>
      <c r="V700" s="7" t="s">
        <v>1743</v>
      </c>
      <c r="W700" s="7" t="s">
        <v>115</v>
      </c>
      <c r="X700" s="33" t="s">
        <v>115</v>
      </c>
      <c r="Y700" s="33" t="s">
        <v>115</v>
      </c>
      <c r="Z700" s="33" t="s">
        <v>115</v>
      </c>
      <c r="AA700" s="7" t="s">
        <v>115</v>
      </c>
      <c r="AB700" s="20" t="s">
        <v>115</v>
      </c>
      <c r="AC700" s="20"/>
      <c r="AD700" s="6">
        <v>41</v>
      </c>
      <c r="AE700" s="6">
        <v>0</v>
      </c>
      <c r="AF700" s="6">
        <v>41</v>
      </c>
      <c r="AG700" s="6">
        <v>0</v>
      </c>
      <c r="AH700" s="6">
        <v>0</v>
      </c>
      <c r="AI700" s="6">
        <v>0</v>
      </c>
      <c r="AJ700">
        <f t="shared" si="10"/>
        <v>41</v>
      </c>
      <c r="AK700" t="s">
        <v>375</v>
      </c>
      <c r="AL700" t="s">
        <v>1744</v>
      </c>
      <c r="AM700">
        <v>3</v>
      </c>
      <c r="AN700">
        <v>0</v>
      </c>
      <c r="AO700"/>
      <c r="AP700"/>
      <c r="AQ700"/>
      <c r="AR700"/>
      <c r="AS700"/>
      <c r="AT700"/>
      <c r="AU700"/>
    </row>
    <row r="701" spans="1:47" s="33" customFormat="1" x14ac:dyDescent="0.2">
      <c r="A701" s="33" t="s">
        <v>1745</v>
      </c>
      <c r="B701" s="33" t="s">
        <v>1746</v>
      </c>
      <c r="C701" s="33">
        <v>1</v>
      </c>
      <c r="D701" s="33">
        <v>1</v>
      </c>
      <c r="E701" s="33" t="s">
        <v>791</v>
      </c>
      <c r="F701" s="37">
        <v>43396</v>
      </c>
      <c r="G701" s="37" t="s">
        <v>4033</v>
      </c>
      <c r="H701" s="37" t="s">
        <v>4724</v>
      </c>
      <c r="I701" s="36">
        <v>1.8749999999999999E-2</v>
      </c>
      <c r="J701" s="177">
        <v>3.1250000000000001E-4</v>
      </c>
      <c r="K701" s="39">
        <v>27</v>
      </c>
      <c r="M701" s="33" t="s">
        <v>924</v>
      </c>
      <c r="N701" s="33" t="s">
        <v>102</v>
      </c>
      <c r="O701" s="33" t="s">
        <v>115</v>
      </c>
      <c r="P701" s="33" t="s">
        <v>24</v>
      </c>
      <c r="R701" s="33">
        <v>0</v>
      </c>
      <c r="T701" t="s">
        <v>176</v>
      </c>
      <c r="U701" s="33" t="s">
        <v>176</v>
      </c>
      <c r="V701" s="33" t="s">
        <v>115</v>
      </c>
      <c r="W701" s="33" t="s">
        <v>115</v>
      </c>
      <c r="X701" s="33" t="s">
        <v>115</v>
      </c>
      <c r="Y701" s="33" t="s">
        <v>115</v>
      </c>
      <c r="Z701" s="33" t="s">
        <v>115</v>
      </c>
      <c r="AA701" s="33" t="s">
        <v>115</v>
      </c>
      <c r="AB701" s="35" t="s">
        <v>115</v>
      </c>
      <c r="AC701" s="35"/>
      <c r="AD701" s="39">
        <v>0</v>
      </c>
      <c r="AE701" s="39">
        <v>0</v>
      </c>
      <c r="AF701" s="39">
        <v>0</v>
      </c>
      <c r="AG701" s="39">
        <v>0</v>
      </c>
      <c r="AH701" s="39">
        <v>27</v>
      </c>
      <c r="AI701" s="39">
        <v>0</v>
      </c>
      <c r="AJ701" s="33">
        <f t="shared" si="10"/>
        <v>27</v>
      </c>
      <c r="AQ701" s="34"/>
    </row>
    <row r="702" spans="1:47" s="33" customFormat="1" x14ac:dyDescent="0.2">
      <c r="A702" s="33" t="s">
        <v>1747</v>
      </c>
      <c r="B702" s="33" t="s">
        <v>1748</v>
      </c>
      <c r="C702" s="33">
        <v>2</v>
      </c>
      <c r="D702" s="33">
        <v>1</v>
      </c>
      <c r="E702" s="33" t="s">
        <v>791</v>
      </c>
      <c r="F702" s="37">
        <v>43396</v>
      </c>
      <c r="G702" s="37" t="s">
        <v>4033</v>
      </c>
      <c r="H702" s="37" t="s">
        <v>4724</v>
      </c>
      <c r="I702" s="36">
        <v>8.3333333333333332E-3</v>
      </c>
      <c r="J702" s="177">
        <v>1.3888888888888889E-4</v>
      </c>
      <c r="K702" s="39">
        <v>12</v>
      </c>
      <c r="M702" s="33" t="s">
        <v>927</v>
      </c>
      <c r="N702" s="33" t="s">
        <v>102</v>
      </c>
      <c r="O702" s="33" t="s">
        <v>115</v>
      </c>
      <c r="P702" s="33">
        <v>2</v>
      </c>
      <c r="R702" s="33">
        <v>0</v>
      </c>
      <c r="T702" t="s">
        <v>176</v>
      </c>
      <c r="U702" s="33" t="s">
        <v>176</v>
      </c>
      <c r="V702" s="33" t="s">
        <v>122</v>
      </c>
      <c r="W702" s="33" t="s">
        <v>115</v>
      </c>
      <c r="X702" s="33" t="s">
        <v>115</v>
      </c>
      <c r="Y702" s="33" t="s">
        <v>115</v>
      </c>
      <c r="Z702" s="33" t="s">
        <v>115</v>
      </c>
      <c r="AA702" s="33" t="s">
        <v>115</v>
      </c>
      <c r="AB702" s="35" t="s">
        <v>115</v>
      </c>
      <c r="AC702" s="35"/>
      <c r="AD702" s="39">
        <v>0</v>
      </c>
      <c r="AE702" s="39">
        <v>0</v>
      </c>
      <c r="AF702" s="39">
        <v>0</v>
      </c>
      <c r="AG702" s="39">
        <v>0</v>
      </c>
      <c r="AH702" s="39">
        <v>12</v>
      </c>
      <c r="AI702" s="33">
        <v>0</v>
      </c>
      <c r="AJ702" s="33">
        <f t="shared" si="10"/>
        <v>12</v>
      </c>
      <c r="AO702"/>
      <c r="AP702"/>
      <c r="AQ702"/>
      <c r="AR702"/>
      <c r="AS702"/>
      <c r="AT702"/>
      <c r="AU702"/>
    </row>
    <row r="703" spans="1:47" s="33" customFormat="1" x14ac:dyDescent="0.2">
      <c r="A703" s="33" t="s">
        <v>1749</v>
      </c>
      <c r="B703" s="33" t="s">
        <v>1750</v>
      </c>
      <c r="C703" s="33">
        <v>3</v>
      </c>
      <c r="D703" s="33">
        <v>1</v>
      </c>
      <c r="E703" s="33" t="s">
        <v>791</v>
      </c>
      <c r="F703" s="37">
        <v>43396</v>
      </c>
      <c r="G703" s="37" t="s">
        <v>4033</v>
      </c>
      <c r="H703" s="37" t="s">
        <v>4724</v>
      </c>
      <c r="I703" s="36">
        <v>1.8749999999999999E-2</v>
      </c>
      <c r="J703" s="177">
        <v>3.1250000000000001E-4</v>
      </c>
      <c r="K703" s="39">
        <v>27</v>
      </c>
      <c r="M703" s="33" t="s">
        <v>924</v>
      </c>
      <c r="N703" s="33" t="s">
        <v>102</v>
      </c>
      <c r="O703" s="33" t="s">
        <v>115</v>
      </c>
      <c r="P703" s="33">
        <v>0</v>
      </c>
      <c r="R703" s="33">
        <v>0</v>
      </c>
      <c r="U703" s="33" t="s">
        <v>115</v>
      </c>
      <c r="V703" s="33" t="s">
        <v>115</v>
      </c>
      <c r="W703" s="33" t="s">
        <v>115</v>
      </c>
      <c r="X703" s="33" t="s">
        <v>115</v>
      </c>
      <c r="Y703" s="33" t="s">
        <v>115</v>
      </c>
      <c r="Z703" s="33" t="s">
        <v>115</v>
      </c>
      <c r="AA703" s="33" t="s">
        <v>115</v>
      </c>
      <c r="AB703" s="35" t="s">
        <v>115</v>
      </c>
      <c r="AC703" s="35"/>
      <c r="AD703" s="39">
        <v>0</v>
      </c>
      <c r="AE703" s="39">
        <v>0</v>
      </c>
      <c r="AF703" s="39">
        <v>0</v>
      </c>
      <c r="AG703" s="39">
        <v>0</v>
      </c>
      <c r="AH703" s="39">
        <v>27</v>
      </c>
      <c r="AI703" s="39">
        <v>0</v>
      </c>
      <c r="AJ703" s="33">
        <f t="shared" si="10"/>
        <v>27</v>
      </c>
      <c r="AL703" s="33" t="s">
        <v>3973</v>
      </c>
      <c r="AO703"/>
      <c r="AP703"/>
      <c r="AQ703"/>
      <c r="AR703"/>
      <c r="AS703"/>
      <c r="AT703"/>
      <c r="AU703"/>
    </row>
    <row r="704" spans="1:47" s="33" customFormat="1" x14ac:dyDescent="0.2">
      <c r="A704" t="s">
        <v>1852</v>
      </c>
      <c r="B704" t="s">
        <v>1853</v>
      </c>
      <c r="C704">
        <v>26</v>
      </c>
      <c r="D704">
        <v>1</v>
      </c>
      <c r="E704" t="s">
        <v>3171</v>
      </c>
      <c r="F704" s="1">
        <v>43397</v>
      </c>
      <c r="G704" s="37" t="s">
        <v>4033</v>
      </c>
      <c r="H704" s="37" t="s">
        <v>4724</v>
      </c>
      <c r="I704" s="2">
        <v>1.3888888888888888E-2</v>
      </c>
      <c r="J704" s="176">
        <v>2.3148148148148146E-4</v>
      </c>
      <c r="K704" s="6">
        <v>20</v>
      </c>
      <c r="L704"/>
      <c r="M704" s="7" t="s">
        <v>670</v>
      </c>
      <c r="N704" s="7" t="s">
        <v>111</v>
      </c>
      <c r="O704" s="7" t="s">
        <v>23</v>
      </c>
      <c r="P704" s="7">
        <v>0</v>
      </c>
      <c r="Q704" s="7"/>
      <c r="R704">
        <v>1</v>
      </c>
      <c r="S704"/>
      <c r="T704" t="s">
        <v>176</v>
      </c>
      <c r="U704" t="s">
        <v>176</v>
      </c>
      <c r="V704" s="7" t="s">
        <v>1854</v>
      </c>
      <c r="W704" s="7" t="s">
        <v>263</v>
      </c>
      <c r="X704" s="44" t="s">
        <v>23</v>
      </c>
      <c r="Y704" s="44" t="s">
        <v>4004</v>
      </c>
      <c r="Z704" s="44" t="s">
        <v>4005</v>
      </c>
      <c r="AA704">
        <v>10</v>
      </c>
      <c r="AB704" s="20">
        <v>63.722700000000003</v>
      </c>
      <c r="AC704" s="20">
        <v>148.95214999999999</v>
      </c>
      <c r="AD704" s="6">
        <v>0</v>
      </c>
      <c r="AE704" s="6">
        <v>0</v>
      </c>
      <c r="AF704" s="6">
        <v>0</v>
      </c>
      <c r="AG704" s="6">
        <v>0</v>
      </c>
      <c r="AH704" s="6">
        <v>0</v>
      </c>
      <c r="AI704" s="6">
        <v>0</v>
      </c>
      <c r="AJ704">
        <f t="shared" si="10"/>
        <v>0</v>
      </c>
      <c r="AK704"/>
      <c r="AL704"/>
      <c r="AM704"/>
      <c r="AN704"/>
      <c r="AO704" s="4"/>
      <c r="AP704" s="4"/>
      <c r="AQ704" s="4"/>
      <c r="AR704" s="4"/>
      <c r="AS704" s="4"/>
      <c r="AT704" s="4"/>
      <c r="AU704" s="4"/>
    </row>
    <row r="705" spans="1:47" s="33" customFormat="1" x14ac:dyDescent="0.2">
      <c r="A705" s="33" t="s">
        <v>1751</v>
      </c>
      <c r="B705" s="33" t="s">
        <v>1752</v>
      </c>
      <c r="C705" s="33">
        <v>4</v>
      </c>
      <c r="D705" s="33">
        <v>1</v>
      </c>
      <c r="E705" s="33" t="s">
        <v>791</v>
      </c>
      <c r="F705" s="37">
        <v>43396</v>
      </c>
      <c r="G705" s="37" t="s">
        <v>4033</v>
      </c>
      <c r="H705" s="37" t="s">
        <v>4724</v>
      </c>
      <c r="I705" s="36">
        <v>1.1805555555555555E-2</v>
      </c>
      <c r="J705" s="177">
        <v>1.9675925925925926E-4</v>
      </c>
      <c r="K705" s="39">
        <v>17</v>
      </c>
      <c r="M705" s="33" t="s">
        <v>924</v>
      </c>
      <c r="N705" s="33" t="s">
        <v>102</v>
      </c>
      <c r="O705" s="33" t="s">
        <v>115</v>
      </c>
      <c r="P705" s="33">
        <v>0</v>
      </c>
      <c r="R705" s="33">
        <v>0</v>
      </c>
      <c r="U705" s="33" t="s">
        <v>115</v>
      </c>
      <c r="V705" s="33" t="s">
        <v>115</v>
      </c>
      <c r="W705" s="33" t="s">
        <v>115</v>
      </c>
      <c r="X705" s="33" t="s">
        <v>115</v>
      </c>
      <c r="Y705" s="33" t="s">
        <v>115</v>
      </c>
      <c r="Z705" s="33" t="s">
        <v>115</v>
      </c>
      <c r="AA705" s="33" t="s">
        <v>115</v>
      </c>
      <c r="AB705" s="35" t="s">
        <v>115</v>
      </c>
      <c r="AC705" s="35"/>
      <c r="AD705" s="39">
        <v>0</v>
      </c>
      <c r="AE705" s="39">
        <v>0</v>
      </c>
      <c r="AF705" s="39">
        <v>0</v>
      </c>
      <c r="AG705" s="39">
        <v>0</v>
      </c>
      <c r="AH705" s="39">
        <v>16</v>
      </c>
      <c r="AI705" s="39">
        <v>0</v>
      </c>
      <c r="AJ705" s="33">
        <f t="shared" si="10"/>
        <v>16</v>
      </c>
      <c r="AL705" s="33" t="s">
        <v>3973</v>
      </c>
      <c r="AQ705" s="34"/>
    </row>
    <row r="706" spans="1:47" x14ac:dyDescent="0.2">
      <c r="A706" s="33" t="s">
        <v>1753</v>
      </c>
      <c r="B706" s="33" t="s">
        <v>1754</v>
      </c>
      <c r="C706" s="33">
        <v>5</v>
      </c>
      <c r="D706" s="33">
        <v>1</v>
      </c>
      <c r="E706" s="33" t="s">
        <v>791</v>
      </c>
      <c r="F706" s="37">
        <v>43396</v>
      </c>
      <c r="G706" s="37" t="s">
        <v>4033</v>
      </c>
      <c r="H706" s="37" t="s">
        <v>4724</v>
      </c>
      <c r="I706" s="36">
        <v>7.6388888888888886E-3</v>
      </c>
      <c r="J706" s="177">
        <v>1.273148148148148E-4</v>
      </c>
      <c r="K706" s="39">
        <v>11</v>
      </c>
      <c r="L706" s="33"/>
      <c r="M706" s="33" t="s">
        <v>927</v>
      </c>
      <c r="N706" s="33" t="s">
        <v>102</v>
      </c>
      <c r="O706" s="33" t="s">
        <v>115</v>
      </c>
      <c r="P706" s="33">
        <v>1</v>
      </c>
      <c r="Q706" s="33"/>
      <c r="R706" s="33">
        <v>0</v>
      </c>
      <c r="S706" s="33"/>
      <c r="T706" t="s">
        <v>176</v>
      </c>
      <c r="U706" s="33" t="s">
        <v>176</v>
      </c>
      <c r="V706" s="33" t="s">
        <v>122</v>
      </c>
      <c r="W706" s="33" t="s">
        <v>115</v>
      </c>
      <c r="X706" s="33" t="s">
        <v>115</v>
      </c>
      <c r="Y706" s="33" t="s">
        <v>115</v>
      </c>
      <c r="Z706" s="33" t="s">
        <v>115</v>
      </c>
      <c r="AA706" s="33" t="s">
        <v>115</v>
      </c>
      <c r="AB706" s="35" t="s">
        <v>115</v>
      </c>
      <c r="AC706" s="35"/>
      <c r="AD706" s="39">
        <v>0</v>
      </c>
      <c r="AE706" s="39">
        <v>0</v>
      </c>
      <c r="AF706" s="39">
        <v>0</v>
      </c>
      <c r="AG706" s="39">
        <v>0</v>
      </c>
      <c r="AH706" s="39">
        <v>9</v>
      </c>
      <c r="AI706" s="39">
        <v>0</v>
      </c>
      <c r="AJ706" s="33">
        <f t="shared" ref="AJ706:AJ769" si="11">SUM(AF706:AI706)</f>
        <v>9</v>
      </c>
      <c r="AK706" s="33"/>
      <c r="AL706" s="33" t="s">
        <v>1755</v>
      </c>
      <c r="AM706" s="33"/>
      <c r="AN706" s="33"/>
    </row>
    <row r="707" spans="1:47" x14ac:dyDescent="0.2">
      <c r="A707" s="33" t="s">
        <v>1756</v>
      </c>
      <c r="B707" s="33" t="s">
        <v>1757</v>
      </c>
      <c r="C707" s="33">
        <v>6</v>
      </c>
      <c r="D707" s="33">
        <v>1</v>
      </c>
      <c r="E707" s="33" t="s">
        <v>791</v>
      </c>
      <c r="F707" s="37">
        <v>43396</v>
      </c>
      <c r="G707" s="37" t="s">
        <v>4033</v>
      </c>
      <c r="H707" s="37" t="s">
        <v>4724</v>
      </c>
      <c r="I707" s="36">
        <v>6.9444444444444441E-3</v>
      </c>
      <c r="J707" s="177">
        <v>1.1574074074074073E-4</v>
      </c>
      <c r="K707" s="39">
        <v>10</v>
      </c>
      <c r="L707" s="33"/>
      <c r="M707" s="33" t="s">
        <v>924</v>
      </c>
      <c r="N707" s="33" t="s">
        <v>102</v>
      </c>
      <c r="O707" s="33" t="s">
        <v>115</v>
      </c>
      <c r="P707" s="33" t="s">
        <v>24</v>
      </c>
      <c r="Q707" s="33"/>
      <c r="R707" s="33">
        <v>0</v>
      </c>
      <c r="S707" s="33"/>
      <c r="T707" s="33"/>
      <c r="U707" s="33" t="s">
        <v>115</v>
      </c>
      <c r="V707" s="33" t="s">
        <v>115</v>
      </c>
      <c r="W707" s="33" t="s">
        <v>115</v>
      </c>
      <c r="X707" s="33" t="s">
        <v>115</v>
      </c>
      <c r="Y707" s="33" t="s">
        <v>115</v>
      </c>
      <c r="Z707" s="33" t="s">
        <v>115</v>
      </c>
      <c r="AA707" s="33" t="s">
        <v>115</v>
      </c>
      <c r="AB707" s="35" t="s">
        <v>115</v>
      </c>
      <c r="AC707" s="35"/>
      <c r="AD707" s="39">
        <v>0</v>
      </c>
      <c r="AE707" s="39">
        <v>0</v>
      </c>
      <c r="AF707" s="39">
        <v>0</v>
      </c>
      <c r="AG707" s="39">
        <v>0</v>
      </c>
      <c r="AH707" s="39">
        <v>2</v>
      </c>
      <c r="AI707" s="39">
        <v>0</v>
      </c>
      <c r="AJ707" s="33">
        <f t="shared" si="11"/>
        <v>2</v>
      </c>
      <c r="AK707" s="33"/>
      <c r="AL707" s="33"/>
      <c r="AM707" s="33"/>
      <c r="AN707" s="33"/>
    </row>
    <row r="708" spans="1:47" x14ac:dyDescent="0.2">
      <c r="A708" s="33" t="s">
        <v>1758</v>
      </c>
      <c r="B708" s="33" t="s">
        <v>1759</v>
      </c>
      <c r="C708" s="33">
        <v>7</v>
      </c>
      <c r="D708" s="33">
        <v>1</v>
      </c>
      <c r="E708" s="33" t="s">
        <v>791</v>
      </c>
      <c r="F708" s="37">
        <v>43396</v>
      </c>
      <c r="G708" s="37" t="s">
        <v>4033</v>
      </c>
      <c r="H708" s="37" t="s">
        <v>4724</v>
      </c>
      <c r="I708" s="36">
        <v>2.9861111111111113E-2</v>
      </c>
      <c r="J708" s="177">
        <v>4.9768518518518521E-4</v>
      </c>
      <c r="K708" s="39">
        <v>43</v>
      </c>
      <c r="L708" s="33"/>
      <c r="M708" s="33" t="s">
        <v>924</v>
      </c>
      <c r="N708" s="33" t="s">
        <v>102</v>
      </c>
      <c r="O708" s="33" t="s">
        <v>115</v>
      </c>
      <c r="P708" s="33">
        <v>1</v>
      </c>
      <c r="Q708" s="33"/>
      <c r="R708" s="33">
        <v>0</v>
      </c>
      <c r="S708" s="33"/>
      <c r="T708" t="s">
        <v>598</v>
      </c>
      <c r="U708" s="33" t="s">
        <v>1012</v>
      </c>
      <c r="V708" s="33" t="s">
        <v>122</v>
      </c>
      <c r="W708" s="33" t="s">
        <v>115</v>
      </c>
      <c r="X708" s="33" t="s">
        <v>115</v>
      </c>
      <c r="Y708" s="33" t="s">
        <v>115</v>
      </c>
      <c r="Z708" s="33" t="s">
        <v>115</v>
      </c>
      <c r="AA708" s="33" t="s">
        <v>115</v>
      </c>
      <c r="AB708" s="35" t="s">
        <v>115</v>
      </c>
      <c r="AC708" s="35"/>
      <c r="AD708" s="39">
        <v>0</v>
      </c>
      <c r="AE708" s="39">
        <v>0</v>
      </c>
      <c r="AF708" s="39">
        <v>0</v>
      </c>
      <c r="AG708" s="39">
        <v>0</v>
      </c>
      <c r="AH708" s="39">
        <v>23</v>
      </c>
      <c r="AI708" s="39">
        <v>0</v>
      </c>
      <c r="AJ708" s="33">
        <f t="shared" si="11"/>
        <v>23</v>
      </c>
      <c r="AK708" s="33"/>
      <c r="AL708" s="33" t="s">
        <v>3974</v>
      </c>
      <c r="AM708" s="33"/>
      <c r="AN708" s="33"/>
      <c r="AO708" s="7"/>
      <c r="AP708" s="7"/>
      <c r="AQ708" s="7"/>
      <c r="AR708" s="7"/>
      <c r="AS708" s="7"/>
      <c r="AT708" s="7"/>
      <c r="AU708" s="7"/>
    </row>
    <row r="709" spans="1:47" x14ac:dyDescent="0.2">
      <c r="A709" t="s">
        <v>1760</v>
      </c>
      <c r="B709" t="s">
        <v>1761</v>
      </c>
      <c r="C709">
        <v>1</v>
      </c>
      <c r="D709">
        <v>1</v>
      </c>
      <c r="E709" t="s">
        <v>2462</v>
      </c>
      <c r="F709" s="1">
        <v>43397</v>
      </c>
      <c r="G709" s="37" t="s">
        <v>4033</v>
      </c>
      <c r="H709" s="37" t="s">
        <v>4724</v>
      </c>
      <c r="I709" s="2">
        <v>1.1111111111111112E-2</v>
      </c>
      <c r="J709" s="176">
        <v>1.8518518518518518E-4</v>
      </c>
      <c r="K709" s="6">
        <v>16</v>
      </c>
      <c r="L709" t="s">
        <v>398</v>
      </c>
      <c r="M709" s="7" t="s">
        <v>363</v>
      </c>
      <c r="N709" s="7" t="s">
        <v>102</v>
      </c>
      <c r="O709" s="7" t="s">
        <v>23</v>
      </c>
      <c r="P709" s="7">
        <v>1</v>
      </c>
      <c r="Q709" s="7"/>
      <c r="R709">
        <v>0</v>
      </c>
      <c r="T709" t="s">
        <v>176</v>
      </c>
      <c r="U709" t="s">
        <v>176</v>
      </c>
      <c r="V709" s="7" t="s">
        <v>948</v>
      </c>
      <c r="W709" s="7" t="s">
        <v>115</v>
      </c>
      <c r="X709" s="33" t="s">
        <v>115</v>
      </c>
      <c r="Y709" s="33" t="s">
        <v>115</v>
      </c>
      <c r="Z709" s="33" t="s">
        <v>115</v>
      </c>
      <c r="AA709" s="7" t="s">
        <v>115</v>
      </c>
      <c r="AB709" s="20" t="s">
        <v>115</v>
      </c>
      <c r="AC709" s="20"/>
      <c r="AD709" s="6">
        <v>0</v>
      </c>
      <c r="AE709" s="6">
        <v>6</v>
      </c>
      <c r="AF709" s="6">
        <v>0</v>
      </c>
      <c r="AG709" s="6">
        <v>6</v>
      </c>
      <c r="AH709" s="6">
        <v>0</v>
      </c>
      <c r="AI709" s="6">
        <v>0</v>
      </c>
      <c r="AJ709">
        <f t="shared" si="11"/>
        <v>6</v>
      </c>
      <c r="AK709" t="s">
        <v>188</v>
      </c>
    </row>
    <row r="710" spans="1:47" x14ac:dyDescent="0.2">
      <c r="A710" t="s">
        <v>1762</v>
      </c>
      <c r="B710" t="s">
        <v>1763</v>
      </c>
      <c r="C710">
        <v>2</v>
      </c>
      <c r="D710">
        <v>1</v>
      </c>
      <c r="E710" t="s">
        <v>2462</v>
      </c>
      <c r="F710" s="1">
        <v>43397</v>
      </c>
      <c r="G710" s="37" t="s">
        <v>4033</v>
      </c>
      <c r="H710" s="37" t="s">
        <v>4724</v>
      </c>
      <c r="I710" s="2">
        <v>1.1805555555555555E-2</v>
      </c>
      <c r="J710" s="176">
        <v>1.9675925925925926E-4</v>
      </c>
      <c r="K710" s="6">
        <v>17</v>
      </c>
      <c r="M710" s="7" t="s">
        <v>363</v>
      </c>
      <c r="N710" s="7" t="s">
        <v>111</v>
      </c>
      <c r="O710" s="7" t="s">
        <v>23</v>
      </c>
      <c r="P710" s="7">
        <v>0</v>
      </c>
      <c r="Q710" s="7"/>
      <c r="R710">
        <v>1</v>
      </c>
      <c r="T710" t="s">
        <v>176</v>
      </c>
      <c r="U710" t="s">
        <v>176</v>
      </c>
      <c r="V710" s="7" t="s">
        <v>948</v>
      </c>
      <c r="W710" s="7" t="s">
        <v>1035</v>
      </c>
      <c r="X710" s="33" t="s">
        <v>23</v>
      </c>
      <c r="Y710" s="33" t="s">
        <v>3997</v>
      </c>
      <c r="Z710" s="33" t="s">
        <v>4006</v>
      </c>
      <c r="AA710">
        <v>5</v>
      </c>
      <c r="AB710" s="20">
        <v>63.736159999999998</v>
      </c>
      <c r="AC710" s="20">
        <v>148.89746</v>
      </c>
      <c r="AD710" s="6">
        <v>0</v>
      </c>
      <c r="AE710" s="6">
        <v>0</v>
      </c>
      <c r="AF710" s="6">
        <v>0</v>
      </c>
      <c r="AG710" s="6">
        <v>0</v>
      </c>
      <c r="AH710" s="6">
        <v>0</v>
      </c>
      <c r="AI710" s="6">
        <v>0</v>
      </c>
      <c r="AJ710">
        <f t="shared" si="11"/>
        <v>0</v>
      </c>
    </row>
    <row r="711" spans="1:47" x14ac:dyDescent="0.2">
      <c r="A711" t="s">
        <v>1764</v>
      </c>
      <c r="B711" t="s">
        <v>1765</v>
      </c>
      <c r="C711">
        <v>1</v>
      </c>
      <c r="D711">
        <v>1</v>
      </c>
      <c r="E711" t="s">
        <v>100</v>
      </c>
      <c r="F711" s="1">
        <v>43397</v>
      </c>
      <c r="G711" s="37" t="s">
        <v>4033</v>
      </c>
      <c r="H711" s="37" t="s">
        <v>4724</v>
      </c>
      <c r="I711" s="2">
        <v>1.1805555555555555E-2</v>
      </c>
      <c r="J711" s="176">
        <v>1.9675925925925926E-4</v>
      </c>
      <c r="K711" s="6">
        <v>17</v>
      </c>
      <c r="M711" s="7" t="s">
        <v>578</v>
      </c>
      <c r="N711" s="7" t="s">
        <v>107</v>
      </c>
      <c r="O711" s="7" t="s">
        <v>23</v>
      </c>
      <c r="P711" s="7">
        <v>1</v>
      </c>
      <c r="Q711" s="7"/>
      <c r="R711">
        <v>0</v>
      </c>
      <c r="T711" t="s">
        <v>461</v>
      </c>
      <c r="U711" t="s">
        <v>461</v>
      </c>
      <c r="V711" s="7" t="s">
        <v>24</v>
      </c>
      <c r="W711" s="7" t="s">
        <v>115</v>
      </c>
      <c r="X711" s="33" t="s">
        <v>115</v>
      </c>
      <c r="Y711" s="33" t="s">
        <v>115</v>
      </c>
      <c r="Z711" s="33" t="s">
        <v>115</v>
      </c>
      <c r="AA711" s="7" t="s">
        <v>115</v>
      </c>
      <c r="AB711" s="20" t="s">
        <v>115</v>
      </c>
      <c r="AC711" s="20"/>
      <c r="AD711" s="6">
        <v>0</v>
      </c>
      <c r="AE711" s="6">
        <v>0</v>
      </c>
      <c r="AF711" s="6">
        <v>0</v>
      </c>
      <c r="AG711" s="6">
        <v>0</v>
      </c>
      <c r="AH711" s="6">
        <v>0</v>
      </c>
      <c r="AI711" s="6">
        <v>0</v>
      </c>
      <c r="AJ711">
        <f t="shared" si="11"/>
        <v>0</v>
      </c>
    </row>
    <row r="712" spans="1:47" s="33" customFormat="1" x14ac:dyDescent="0.2">
      <c r="A712" t="s">
        <v>1766</v>
      </c>
      <c r="B712" t="s">
        <v>1767</v>
      </c>
      <c r="C712">
        <v>2</v>
      </c>
      <c r="D712">
        <v>1</v>
      </c>
      <c r="E712" t="s">
        <v>100</v>
      </c>
      <c r="F712" s="1">
        <v>43397</v>
      </c>
      <c r="G712" s="37" t="s">
        <v>4033</v>
      </c>
      <c r="H712" s="37" t="s">
        <v>4724</v>
      </c>
      <c r="I712" s="2">
        <v>1.7361111111111112E-2</v>
      </c>
      <c r="J712" s="176">
        <v>2.8935185185185189E-4</v>
      </c>
      <c r="K712" s="6">
        <v>25</v>
      </c>
      <c r="L712"/>
      <c r="M712" s="7" t="s">
        <v>578</v>
      </c>
      <c r="N712" s="7" t="s">
        <v>107</v>
      </c>
      <c r="O712" s="7" t="s">
        <v>23</v>
      </c>
      <c r="P712" s="7">
        <v>0</v>
      </c>
      <c r="Q712" s="7"/>
      <c r="R712">
        <v>0</v>
      </c>
      <c r="S712"/>
      <c r="T712" t="s">
        <v>461</v>
      </c>
      <c r="U712" t="s">
        <v>461</v>
      </c>
      <c r="V712" s="7" t="s">
        <v>24</v>
      </c>
      <c r="W712" s="7" t="s">
        <v>115</v>
      </c>
      <c r="X712" s="33" t="s">
        <v>115</v>
      </c>
      <c r="Y712" s="33" t="s">
        <v>115</v>
      </c>
      <c r="Z712" s="33" t="s">
        <v>115</v>
      </c>
      <c r="AA712" s="7" t="s">
        <v>115</v>
      </c>
      <c r="AB712" s="20" t="s">
        <v>115</v>
      </c>
      <c r="AC712" s="20"/>
      <c r="AD712" s="6">
        <v>0</v>
      </c>
      <c r="AE712" s="6">
        <v>0</v>
      </c>
      <c r="AF712" s="6">
        <v>0</v>
      </c>
      <c r="AG712" s="6">
        <v>0</v>
      </c>
      <c r="AH712" s="6">
        <v>0</v>
      </c>
      <c r="AI712" s="6">
        <v>0</v>
      </c>
      <c r="AJ712">
        <f t="shared" si="11"/>
        <v>0</v>
      </c>
      <c r="AK712"/>
      <c r="AL712" t="s">
        <v>1768</v>
      </c>
      <c r="AM712"/>
      <c r="AN712"/>
      <c r="AO712"/>
      <c r="AP712"/>
      <c r="AQ712"/>
      <c r="AR712"/>
      <c r="AS712"/>
      <c r="AT712"/>
      <c r="AU712"/>
    </row>
    <row r="713" spans="1:47" s="33" customFormat="1" x14ac:dyDescent="0.2">
      <c r="A713" t="s">
        <v>1769</v>
      </c>
      <c r="B713" t="s">
        <v>1770</v>
      </c>
      <c r="C713">
        <v>3</v>
      </c>
      <c r="D713">
        <v>1</v>
      </c>
      <c r="E713" t="s">
        <v>100</v>
      </c>
      <c r="F713" s="1">
        <v>43397</v>
      </c>
      <c r="G713" s="37" t="s">
        <v>4033</v>
      </c>
      <c r="H713" s="37" t="s">
        <v>4724</v>
      </c>
      <c r="I713" s="2">
        <v>4.8611111111111112E-3</v>
      </c>
      <c r="J713" s="176">
        <v>8.1018518518518516E-5</v>
      </c>
      <c r="K713" s="6">
        <v>7</v>
      </c>
      <c r="L713"/>
      <c r="M713" s="7" t="s">
        <v>578</v>
      </c>
      <c r="N713" s="7" t="s">
        <v>107</v>
      </c>
      <c r="O713" s="7" t="s">
        <v>23</v>
      </c>
      <c r="P713" s="7">
        <v>0</v>
      </c>
      <c r="Q713" s="7"/>
      <c r="R713">
        <v>0</v>
      </c>
      <c r="S713"/>
      <c r="T713" t="s">
        <v>461</v>
      </c>
      <c r="U713" t="s">
        <v>461</v>
      </c>
      <c r="V713" s="7" t="s">
        <v>24</v>
      </c>
      <c r="W713" s="7" t="s">
        <v>115</v>
      </c>
      <c r="X713" s="33" t="s">
        <v>115</v>
      </c>
      <c r="Y713" s="33" t="s">
        <v>115</v>
      </c>
      <c r="Z713" s="33" t="s">
        <v>115</v>
      </c>
      <c r="AA713" s="7" t="s">
        <v>115</v>
      </c>
      <c r="AB713" s="20" t="s">
        <v>115</v>
      </c>
      <c r="AC713" s="20"/>
      <c r="AD713" s="7">
        <v>0</v>
      </c>
      <c r="AE713" s="6">
        <v>0</v>
      </c>
      <c r="AF713" s="6">
        <v>0</v>
      </c>
      <c r="AG713" s="6">
        <v>0</v>
      </c>
      <c r="AH713" s="6">
        <v>0</v>
      </c>
      <c r="AI713" s="6">
        <v>0</v>
      </c>
      <c r="AJ713">
        <f t="shared" si="11"/>
        <v>0</v>
      </c>
      <c r="AK713"/>
      <c r="AL713" t="s">
        <v>1768</v>
      </c>
      <c r="AM713"/>
      <c r="AN713"/>
      <c r="AQ713" s="34"/>
    </row>
    <row r="714" spans="1:47" s="33" customFormat="1" x14ac:dyDescent="0.2">
      <c r="A714" t="s">
        <v>1771</v>
      </c>
      <c r="B714" t="s">
        <v>1772</v>
      </c>
      <c r="C714">
        <v>4</v>
      </c>
      <c r="D714">
        <v>1</v>
      </c>
      <c r="E714" t="s">
        <v>100</v>
      </c>
      <c r="F714" s="1">
        <v>43397</v>
      </c>
      <c r="G714" s="37" t="s">
        <v>4033</v>
      </c>
      <c r="H714" s="37" t="s">
        <v>4724</v>
      </c>
      <c r="I714" s="2">
        <v>1.7361111111111112E-2</v>
      </c>
      <c r="J714" s="176">
        <v>2.8935185185185189E-4</v>
      </c>
      <c r="K714" s="6">
        <v>25</v>
      </c>
      <c r="L714"/>
      <c r="M714" s="7" t="s">
        <v>578</v>
      </c>
      <c r="N714" s="7" t="s">
        <v>102</v>
      </c>
      <c r="O714" s="7" t="s">
        <v>23</v>
      </c>
      <c r="P714" s="7" t="s">
        <v>24</v>
      </c>
      <c r="Q714" s="7"/>
      <c r="R714">
        <v>0</v>
      </c>
      <c r="S714"/>
      <c r="T714"/>
      <c r="U714" t="s">
        <v>115</v>
      </c>
      <c r="V714" s="7" t="s">
        <v>115</v>
      </c>
      <c r="W714" s="7" t="s">
        <v>115</v>
      </c>
      <c r="X714" s="33" t="s">
        <v>115</v>
      </c>
      <c r="Y714" s="33" t="s">
        <v>115</v>
      </c>
      <c r="Z714" s="33" t="s">
        <v>115</v>
      </c>
      <c r="AA714" s="7" t="s">
        <v>115</v>
      </c>
      <c r="AB714" s="20" t="s">
        <v>115</v>
      </c>
      <c r="AC714" s="20"/>
      <c r="AD714" s="6">
        <v>25</v>
      </c>
      <c r="AE714" s="6">
        <v>0</v>
      </c>
      <c r="AF714" s="6">
        <v>25</v>
      </c>
      <c r="AG714" s="6">
        <v>0</v>
      </c>
      <c r="AH714" s="6">
        <v>0</v>
      </c>
      <c r="AI714" s="6">
        <v>0</v>
      </c>
      <c r="AJ714">
        <f t="shared" si="11"/>
        <v>25</v>
      </c>
      <c r="AK714" t="s">
        <v>188</v>
      </c>
      <c r="AL714"/>
      <c r="AM714"/>
      <c r="AN714"/>
      <c r="AO714"/>
      <c r="AP714"/>
      <c r="AQ714"/>
      <c r="AR714"/>
      <c r="AS714"/>
      <c r="AT714"/>
      <c r="AU714"/>
    </row>
    <row r="715" spans="1:47" s="33" customFormat="1" x14ac:dyDescent="0.2">
      <c r="A715" t="s">
        <v>1773</v>
      </c>
      <c r="B715" t="s">
        <v>1774</v>
      </c>
      <c r="C715">
        <v>1</v>
      </c>
      <c r="D715">
        <v>1</v>
      </c>
      <c r="E715" t="s">
        <v>834</v>
      </c>
      <c r="F715" s="1">
        <v>43397</v>
      </c>
      <c r="G715" s="37" t="s">
        <v>4033</v>
      </c>
      <c r="H715" s="37" t="s">
        <v>4724</v>
      </c>
      <c r="I715" s="2">
        <v>1.7361111111111112E-2</v>
      </c>
      <c r="J715" s="176">
        <v>2.8935185185185189E-4</v>
      </c>
      <c r="K715" s="6">
        <v>25</v>
      </c>
      <c r="L715"/>
      <c r="M715" s="7" t="s">
        <v>466</v>
      </c>
      <c r="N715" s="7" t="s">
        <v>102</v>
      </c>
      <c r="O715" s="7" t="s">
        <v>23</v>
      </c>
      <c r="P715" s="7">
        <v>1</v>
      </c>
      <c r="Q715" s="7"/>
      <c r="R715">
        <v>0</v>
      </c>
      <c r="S715"/>
      <c r="T715" t="s">
        <v>176</v>
      </c>
      <c r="U715" t="s">
        <v>176</v>
      </c>
      <c r="V715" s="7" t="s">
        <v>1775</v>
      </c>
      <c r="W715" s="7" t="s">
        <v>115</v>
      </c>
      <c r="X715" s="33" t="s">
        <v>115</v>
      </c>
      <c r="Y715" s="33" t="s">
        <v>115</v>
      </c>
      <c r="Z715" s="33" t="s">
        <v>115</v>
      </c>
      <c r="AA715" s="7" t="s">
        <v>115</v>
      </c>
      <c r="AB715" s="20" t="s">
        <v>115</v>
      </c>
      <c r="AC715" s="20"/>
      <c r="AD715" s="6">
        <v>7</v>
      </c>
      <c r="AE715" s="6">
        <v>0</v>
      </c>
      <c r="AF715" s="6">
        <v>7</v>
      </c>
      <c r="AG715" s="6">
        <v>0</v>
      </c>
      <c r="AH715" s="6">
        <v>0</v>
      </c>
      <c r="AI715" s="6">
        <v>0</v>
      </c>
      <c r="AJ715">
        <f t="shared" si="11"/>
        <v>7</v>
      </c>
      <c r="AK715" t="s">
        <v>188</v>
      </c>
      <c r="AL715"/>
      <c r="AM715"/>
      <c r="AN715"/>
      <c r="AO715"/>
      <c r="AP715"/>
      <c r="AQ715"/>
      <c r="AR715"/>
      <c r="AS715"/>
      <c r="AT715"/>
      <c r="AU715"/>
    </row>
    <row r="716" spans="1:47" x14ac:dyDescent="0.2">
      <c r="A716" t="s">
        <v>1776</v>
      </c>
      <c r="B716" t="s">
        <v>1777</v>
      </c>
      <c r="C716">
        <v>2</v>
      </c>
      <c r="D716">
        <v>1</v>
      </c>
      <c r="E716" t="s">
        <v>834</v>
      </c>
      <c r="F716" s="1">
        <v>43397</v>
      </c>
      <c r="G716" s="37" t="s">
        <v>4033</v>
      </c>
      <c r="H716" s="37" t="s">
        <v>4724</v>
      </c>
      <c r="I716" s="2">
        <v>6.9444444444444441E-3</v>
      </c>
      <c r="J716" s="176">
        <v>1.1574074074074073E-4</v>
      </c>
      <c r="K716" s="6">
        <v>10</v>
      </c>
      <c r="M716" s="7" t="s">
        <v>466</v>
      </c>
      <c r="N716" s="7" t="s">
        <v>102</v>
      </c>
      <c r="O716" s="7" t="s">
        <v>23</v>
      </c>
      <c r="P716" s="7">
        <v>0</v>
      </c>
      <c r="Q716" s="7"/>
      <c r="R716">
        <v>0</v>
      </c>
      <c r="U716" t="s">
        <v>115</v>
      </c>
      <c r="V716" s="7" t="s">
        <v>115</v>
      </c>
      <c r="W716" s="7" t="s">
        <v>115</v>
      </c>
      <c r="X716" s="33" t="s">
        <v>115</v>
      </c>
      <c r="Y716" s="33" t="s">
        <v>115</v>
      </c>
      <c r="Z716" s="33" t="s">
        <v>115</v>
      </c>
      <c r="AA716" s="7" t="s">
        <v>115</v>
      </c>
      <c r="AB716" s="20" t="s">
        <v>115</v>
      </c>
      <c r="AC716" s="20"/>
      <c r="AD716" s="6">
        <v>0</v>
      </c>
      <c r="AE716" s="6">
        <v>8</v>
      </c>
      <c r="AF716" s="6">
        <v>0</v>
      </c>
      <c r="AG716" s="6">
        <v>8</v>
      </c>
      <c r="AH716" s="6">
        <v>0</v>
      </c>
      <c r="AI716" s="6">
        <v>0</v>
      </c>
      <c r="AJ716">
        <f t="shared" si="11"/>
        <v>8</v>
      </c>
      <c r="AK716" t="s">
        <v>188</v>
      </c>
    </row>
    <row r="717" spans="1:47" x14ac:dyDescent="0.2">
      <c r="A717" t="s">
        <v>1778</v>
      </c>
      <c r="B717" t="s">
        <v>1779</v>
      </c>
      <c r="C717">
        <v>5</v>
      </c>
      <c r="D717">
        <v>1</v>
      </c>
      <c r="E717" t="s">
        <v>100</v>
      </c>
      <c r="F717" s="1">
        <v>43397</v>
      </c>
      <c r="G717" s="37" t="s">
        <v>4033</v>
      </c>
      <c r="H717" s="37" t="s">
        <v>4724</v>
      </c>
      <c r="I717" s="2">
        <v>1.3888888888888888E-2</v>
      </c>
      <c r="J717" s="176">
        <v>2.3148148148148146E-4</v>
      </c>
      <c r="K717" s="6">
        <v>20</v>
      </c>
      <c r="M717" s="7" t="s">
        <v>578</v>
      </c>
      <c r="N717" s="7" t="s">
        <v>102</v>
      </c>
      <c r="O717" s="7" t="s">
        <v>23</v>
      </c>
      <c r="P717" s="7">
        <v>0</v>
      </c>
      <c r="Q717" s="7"/>
      <c r="R717">
        <v>0</v>
      </c>
      <c r="U717" t="s">
        <v>115</v>
      </c>
      <c r="V717" s="7" t="s">
        <v>115</v>
      </c>
      <c r="W717" s="7" t="s">
        <v>115</v>
      </c>
      <c r="X717" s="33" t="s">
        <v>115</v>
      </c>
      <c r="Y717" s="33" t="s">
        <v>115</v>
      </c>
      <c r="Z717" s="33" t="s">
        <v>115</v>
      </c>
      <c r="AA717" s="7" t="s">
        <v>115</v>
      </c>
      <c r="AB717" s="20" t="s">
        <v>115</v>
      </c>
      <c r="AC717" s="20"/>
      <c r="AD717" s="6">
        <v>10</v>
      </c>
      <c r="AE717" s="6">
        <v>6</v>
      </c>
      <c r="AF717" s="6">
        <v>10</v>
      </c>
      <c r="AG717" s="6">
        <v>6</v>
      </c>
      <c r="AH717" s="6">
        <v>0</v>
      </c>
      <c r="AI717" s="6">
        <v>0</v>
      </c>
      <c r="AJ717">
        <f t="shared" si="11"/>
        <v>16</v>
      </c>
      <c r="AK717" t="s">
        <v>188</v>
      </c>
      <c r="AO717" s="4"/>
      <c r="AP717" s="4"/>
      <c r="AQ717" s="4"/>
      <c r="AR717" s="4"/>
      <c r="AS717" s="4"/>
      <c r="AT717" s="4"/>
      <c r="AU717" s="4"/>
    </row>
    <row r="718" spans="1:47" s="33" customFormat="1" x14ac:dyDescent="0.2">
      <c r="A718" t="s">
        <v>1780</v>
      </c>
      <c r="B718" t="s">
        <v>1781</v>
      </c>
      <c r="C718">
        <v>3</v>
      </c>
      <c r="D718">
        <v>1</v>
      </c>
      <c r="E718" t="s">
        <v>834</v>
      </c>
      <c r="F718" s="1">
        <v>43397</v>
      </c>
      <c r="G718" s="37" t="s">
        <v>4033</v>
      </c>
      <c r="H718" s="37" t="s">
        <v>4724</v>
      </c>
      <c r="I718" s="2">
        <v>1.1111111111111112E-2</v>
      </c>
      <c r="J718" s="176">
        <v>1.8518518518518518E-4</v>
      </c>
      <c r="K718" s="6">
        <v>16</v>
      </c>
      <c r="L718"/>
      <c r="M718" s="7" t="s">
        <v>466</v>
      </c>
      <c r="N718" s="7" t="s">
        <v>1310</v>
      </c>
      <c r="O718" s="7" t="s">
        <v>23</v>
      </c>
      <c r="P718" s="7">
        <v>1</v>
      </c>
      <c r="Q718" s="7"/>
      <c r="R718">
        <v>0</v>
      </c>
      <c r="S718"/>
      <c r="T718" t="s">
        <v>14</v>
      </c>
      <c r="U718" t="s">
        <v>2128</v>
      </c>
      <c r="V718" s="7" t="s">
        <v>973</v>
      </c>
      <c r="W718" s="7" t="s">
        <v>115</v>
      </c>
      <c r="X718" s="33" t="s">
        <v>115</v>
      </c>
      <c r="Y718" s="33" t="s">
        <v>115</v>
      </c>
      <c r="Z718" s="33" t="s">
        <v>115</v>
      </c>
      <c r="AA718" s="7" t="s">
        <v>115</v>
      </c>
      <c r="AB718" s="20" t="s">
        <v>115</v>
      </c>
      <c r="AC718" s="20"/>
      <c r="AD718" s="6">
        <v>0</v>
      </c>
      <c r="AE718" s="6">
        <v>0</v>
      </c>
      <c r="AF718" s="6">
        <v>0</v>
      </c>
      <c r="AG718" s="6">
        <v>0</v>
      </c>
      <c r="AH718" s="6">
        <v>0</v>
      </c>
      <c r="AI718" s="6">
        <v>0</v>
      </c>
      <c r="AJ718">
        <f t="shared" si="11"/>
        <v>0</v>
      </c>
      <c r="AK718"/>
      <c r="AL718" t="s">
        <v>1092</v>
      </c>
      <c r="AM718"/>
      <c r="AN718"/>
      <c r="AO718"/>
      <c r="AP718"/>
      <c r="AQ718"/>
      <c r="AR718"/>
      <c r="AS718"/>
      <c r="AT718"/>
      <c r="AU718"/>
    </row>
    <row r="719" spans="1:47" x14ac:dyDescent="0.2">
      <c r="A719" t="s">
        <v>1782</v>
      </c>
      <c r="B719" t="s">
        <v>1783</v>
      </c>
      <c r="C719">
        <v>4</v>
      </c>
      <c r="D719">
        <v>1</v>
      </c>
      <c r="E719" t="s">
        <v>834</v>
      </c>
      <c r="F719" s="1">
        <v>43397</v>
      </c>
      <c r="G719" s="37" t="s">
        <v>4033</v>
      </c>
      <c r="H719" s="37" t="s">
        <v>4724</v>
      </c>
      <c r="I719" s="2">
        <v>2.0833333333333332E-2</v>
      </c>
      <c r="J719" s="176">
        <v>3.4722222222222224E-4</v>
      </c>
      <c r="K719" s="6">
        <v>30</v>
      </c>
      <c r="M719" s="7" t="s">
        <v>466</v>
      </c>
      <c r="N719" s="7" t="s">
        <v>102</v>
      </c>
      <c r="O719" s="7" t="s">
        <v>23</v>
      </c>
      <c r="P719" s="7" t="s">
        <v>1784</v>
      </c>
      <c r="Q719" s="7"/>
      <c r="R719">
        <v>0</v>
      </c>
      <c r="T719" t="s">
        <v>176</v>
      </c>
      <c r="U719" t="s">
        <v>176</v>
      </c>
      <c r="V719" s="7" t="s">
        <v>948</v>
      </c>
      <c r="W719" s="7" t="s">
        <v>115</v>
      </c>
      <c r="X719" s="33" t="s">
        <v>115</v>
      </c>
      <c r="Y719" s="33" t="s">
        <v>115</v>
      </c>
      <c r="Z719" s="33" t="s">
        <v>115</v>
      </c>
      <c r="AA719" s="7" t="s">
        <v>115</v>
      </c>
      <c r="AB719" s="20" t="s">
        <v>115</v>
      </c>
      <c r="AC719" s="20"/>
      <c r="AD719" s="6">
        <v>11</v>
      </c>
      <c r="AE719" s="6">
        <v>9</v>
      </c>
      <c r="AF719" s="6">
        <v>11</v>
      </c>
      <c r="AG719" s="6">
        <v>9</v>
      </c>
      <c r="AH719" s="6">
        <v>0</v>
      </c>
      <c r="AI719" s="6">
        <v>0</v>
      </c>
      <c r="AJ719">
        <f t="shared" si="11"/>
        <v>20</v>
      </c>
      <c r="AL719" t="s">
        <v>5021</v>
      </c>
      <c r="AO719" s="7"/>
      <c r="AP719" s="7"/>
      <c r="AQ719" s="7"/>
      <c r="AR719" s="7"/>
      <c r="AS719" s="7"/>
      <c r="AT719" s="7"/>
      <c r="AU719" s="7"/>
    </row>
    <row r="720" spans="1:47" s="33" customFormat="1" x14ac:dyDescent="0.2">
      <c r="A720" t="s">
        <v>1785</v>
      </c>
      <c r="B720" t="s">
        <v>1786</v>
      </c>
      <c r="C720">
        <v>5</v>
      </c>
      <c r="D720">
        <v>1</v>
      </c>
      <c r="E720" t="s">
        <v>834</v>
      </c>
      <c r="F720" s="1">
        <v>43397</v>
      </c>
      <c r="G720" s="37" t="s">
        <v>4033</v>
      </c>
      <c r="H720" s="37" t="s">
        <v>4724</v>
      </c>
      <c r="I720" s="2">
        <v>6.9444444444444441E-3</v>
      </c>
      <c r="J720" s="176">
        <v>1.1574074074074073E-4</v>
      </c>
      <c r="K720" s="6">
        <v>10</v>
      </c>
      <c r="L720"/>
      <c r="M720" s="7" t="s">
        <v>466</v>
      </c>
      <c r="N720" s="7" t="s">
        <v>1310</v>
      </c>
      <c r="O720" s="7" t="s">
        <v>23</v>
      </c>
      <c r="P720" s="7">
        <v>1</v>
      </c>
      <c r="Q720" s="7"/>
      <c r="R720">
        <v>0</v>
      </c>
      <c r="S720"/>
      <c r="T720" t="s">
        <v>14</v>
      </c>
      <c r="U720" t="s">
        <v>2128</v>
      </c>
      <c r="V720" s="7" t="s">
        <v>709</v>
      </c>
      <c r="W720" s="7" t="s">
        <v>115</v>
      </c>
      <c r="X720" s="33" t="s">
        <v>115</v>
      </c>
      <c r="Y720" s="33" t="s">
        <v>115</v>
      </c>
      <c r="Z720" s="33" t="s">
        <v>115</v>
      </c>
      <c r="AA720" s="7" t="s">
        <v>115</v>
      </c>
      <c r="AB720" s="20" t="s">
        <v>115</v>
      </c>
      <c r="AC720" s="20"/>
      <c r="AD720" s="6">
        <v>6</v>
      </c>
      <c r="AE720" s="6">
        <v>2</v>
      </c>
      <c r="AF720" s="6">
        <v>6</v>
      </c>
      <c r="AG720" s="6">
        <v>2</v>
      </c>
      <c r="AH720" s="6">
        <v>0</v>
      </c>
      <c r="AI720" s="6">
        <v>0</v>
      </c>
      <c r="AJ720">
        <f t="shared" si="11"/>
        <v>8</v>
      </c>
      <c r="AK720"/>
      <c r="AL720"/>
      <c r="AM720"/>
      <c r="AN720"/>
      <c r="AQ720" s="34"/>
    </row>
    <row r="721" spans="1:47" s="33" customFormat="1" x14ac:dyDescent="0.2">
      <c r="A721" s="33" t="s">
        <v>1787</v>
      </c>
      <c r="B721" s="33" t="s">
        <v>1788</v>
      </c>
      <c r="C721" s="33">
        <v>6</v>
      </c>
      <c r="D721" s="33">
        <v>1</v>
      </c>
      <c r="E721" s="33" t="s">
        <v>100</v>
      </c>
      <c r="F721" s="37">
        <v>43397</v>
      </c>
      <c r="G721" s="37" t="s">
        <v>4033</v>
      </c>
      <c r="H721" s="37" t="s">
        <v>4724</v>
      </c>
      <c r="I721" s="36">
        <v>1.8055555555555557E-2</v>
      </c>
      <c r="J721" s="177">
        <v>3.0092592592592595E-4</v>
      </c>
      <c r="K721" s="39">
        <v>26</v>
      </c>
      <c r="M721" s="33" t="s">
        <v>578</v>
      </c>
      <c r="N721" s="33" t="s">
        <v>102</v>
      </c>
      <c r="O721" s="33" t="s">
        <v>23</v>
      </c>
      <c r="P721" s="33" t="s">
        <v>24</v>
      </c>
      <c r="R721" s="33">
        <v>0</v>
      </c>
      <c r="U721" s="33" t="s">
        <v>115</v>
      </c>
      <c r="V721" s="33" t="s">
        <v>115</v>
      </c>
      <c r="W721" s="33" t="s">
        <v>115</v>
      </c>
      <c r="X721" s="33" t="s">
        <v>115</v>
      </c>
      <c r="Y721" s="33" t="s">
        <v>115</v>
      </c>
      <c r="Z721" s="33" t="s">
        <v>115</v>
      </c>
      <c r="AA721" s="33" t="s">
        <v>115</v>
      </c>
      <c r="AB721" s="35" t="s">
        <v>115</v>
      </c>
      <c r="AC721" s="35"/>
      <c r="AD721" s="39">
        <v>12</v>
      </c>
      <c r="AE721" s="39">
        <v>0</v>
      </c>
      <c r="AF721" s="39">
        <v>12</v>
      </c>
      <c r="AG721" s="39">
        <v>0</v>
      </c>
      <c r="AH721" s="39">
        <v>2</v>
      </c>
      <c r="AI721" s="39">
        <v>0</v>
      </c>
      <c r="AJ721" s="33">
        <f t="shared" si="11"/>
        <v>14</v>
      </c>
      <c r="AK721" s="33" t="s">
        <v>188</v>
      </c>
      <c r="AQ721" s="34"/>
    </row>
    <row r="722" spans="1:47" x14ac:dyDescent="0.2">
      <c r="A722" s="33" t="s">
        <v>1790</v>
      </c>
      <c r="B722" s="33" t="s">
        <v>1789</v>
      </c>
      <c r="C722" s="33">
        <v>6</v>
      </c>
      <c r="D722" s="33">
        <v>1</v>
      </c>
      <c r="E722" s="33" t="s">
        <v>834</v>
      </c>
      <c r="F722" s="37">
        <v>43397</v>
      </c>
      <c r="G722" s="37" t="s">
        <v>4033</v>
      </c>
      <c r="H722" s="37" t="s">
        <v>4724</v>
      </c>
      <c r="I722" s="36">
        <v>3.888888888888889E-2</v>
      </c>
      <c r="J722" s="177">
        <v>6.4814814814814813E-4</v>
      </c>
      <c r="K722" s="39">
        <v>56</v>
      </c>
      <c r="L722" s="33"/>
      <c r="M722" s="33" t="s">
        <v>466</v>
      </c>
      <c r="N722" s="33" t="s">
        <v>102</v>
      </c>
      <c r="O722" s="33" t="s">
        <v>23</v>
      </c>
      <c r="P722" s="33">
        <v>1</v>
      </c>
      <c r="Q722" s="33"/>
      <c r="R722" s="33">
        <v>0</v>
      </c>
      <c r="S722" s="33"/>
      <c r="T722" t="s">
        <v>176</v>
      </c>
      <c r="U722" s="33" t="s">
        <v>176</v>
      </c>
      <c r="V722" s="33" t="s">
        <v>2100</v>
      </c>
      <c r="W722" s="33" t="s">
        <v>115</v>
      </c>
      <c r="X722" s="33" t="s">
        <v>115</v>
      </c>
      <c r="Y722" s="33" t="s">
        <v>115</v>
      </c>
      <c r="Z722" s="33" t="s">
        <v>115</v>
      </c>
      <c r="AA722" s="33" t="s">
        <v>115</v>
      </c>
      <c r="AB722" s="35" t="s">
        <v>115</v>
      </c>
      <c r="AC722" s="35"/>
      <c r="AD722" s="39">
        <v>0</v>
      </c>
      <c r="AE722" s="39">
        <v>0</v>
      </c>
      <c r="AF722" s="39">
        <v>0</v>
      </c>
      <c r="AG722" s="39">
        <v>0</v>
      </c>
      <c r="AH722" s="39">
        <v>28</v>
      </c>
      <c r="AI722" s="39">
        <v>0</v>
      </c>
      <c r="AJ722" s="33">
        <f t="shared" si="11"/>
        <v>28</v>
      </c>
      <c r="AK722" s="33"/>
      <c r="AL722" s="33"/>
      <c r="AM722" s="33"/>
      <c r="AN722" s="33"/>
    </row>
    <row r="723" spans="1:47" hidden="1" x14ac:dyDescent="0.2">
      <c r="A723" t="s">
        <v>1790</v>
      </c>
      <c r="B723" t="s">
        <v>1789</v>
      </c>
      <c r="C723">
        <v>6</v>
      </c>
      <c r="D723">
        <v>2</v>
      </c>
      <c r="E723" t="s">
        <v>834</v>
      </c>
      <c r="F723" s="1">
        <v>43397</v>
      </c>
      <c r="G723" s="37" t="s">
        <v>4033</v>
      </c>
      <c r="H723" s="37" t="s">
        <v>4724</v>
      </c>
      <c r="I723" s="2">
        <v>3.888888888888889E-2</v>
      </c>
      <c r="J723" s="176">
        <v>6.4814814814814813E-4</v>
      </c>
      <c r="K723" s="6">
        <v>56</v>
      </c>
      <c r="M723" s="7" t="s">
        <v>466</v>
      </c>
      <c r="N723" s="7" t="s">
        <v>102</v>
      </c>
      <c r="O723" s="7" t="s">
        <v>23</v>
      </c>
      <c r="P723" s="7">
        <v>1</v>
      </c>
      <c r="Q723" s="7"/>
      <c r="R723">
        <v>0</v>
      </c>
      <c r="T723" t="s">
        <v>176</v>
      </c>
      <c r="U723" t="s">
        <v>176</v>
      </c>
      <c r="V723" s="7" t="s">
        <v>122</v>
      </c>
      <c r="W723" s="7" t="s">
        <v>115</v>
      </c>
      <c r="X723" s="33" t="s">
        <v>115</v>
      </c>
      <c r="Y723" s="33" t="s">
        <v>115</v>
      </c>
      <c r="Z723" s="33" t="s">
        <v>115</v>
      </c>
      <c r="AA723" s="7" t="s">
        <v>115</v>
      </c>
      <c r="AB723" s="20" t="s">
        <v>115</v>
      </c>
      <c r="AC723" s="20"/>
      <c r="AD723" s="6">
        <v>0</v>
      </c>
      <c r="AE723" s="6">
        <v>0</v>
      </c>
      <c r="AF723" s="6">
        <v>0</v>
      </c>
      <c r="AG723" s="6">
        <v>0</v>
      </c>
      <c r="AH723" s="6">
        <v>0</v>
      </c>
      <c r="AI723" s="6">
        <v>0</v>
      </c>
      <c r="AJ723">
        <f t="shared" si="11"/>
        <v>0</v>
      </c>
    </row>
    <row r="724" spans="1:47" x14ac:dyDescent="0.2">
      <c r="A724" t="s">
        <v>1791</v>
      </c>
      <c r="B724" t="s">
        <v>1792</v>
      </c>
      <c r="C724">
        <v>7</v>
      </c>
      <c r="D724">
        <v>1</v>
      </c>
      <c r="E724" t="s">
        <v>834</v>
      </c>
      <c r="F724" s="1">
        <v>43397</v>
      </c>
      <c r="G724" s="37" t="s">
        <v>4033</v>
      </c>
      <c r="H724" s="37" t="s">
        <v>4724</v>
      </c>
      <c r="I724" s="2">
        <v>2.2916666666666669E-2</v>
      </c>
      <c r="J724" s="176">
        <v>3.8194444444444446E-4</v>
      </c>
      <c r="K724" s="6">
        <v>33</v>
      </c>
      <c r="M724" s="7" t="s">
        <v>466</v>
      </c>
      <c r="N724" s="7" t="s">
        <v>102</v>
      </c>
      <c r="O724" s="7" t="s">
        <v>23</v>
      </c>
      <c r="P724" s="7">
        <v>0</v>
      </c>
      <c r="Q724" s="7"/>
      <c r="R724">
        <v>0</v>
      </c>
      <c r="U724" t="s">
        <v>115</v>
      </c>
      <c r="V724" s="7" t="s">
        <v>115</v>
      </c>
      <c r="W724" s="7" t="s">
        <v>115</v>
      </c>
      <c r="X724" s="33" t="s">
        <v>115</v>
      </c>
      <c r="Y724" s="33" t="s">
        <v>115</v>
      </c>
      <c r="Z724" s="33" t="s">
        <v>115</v>
      </c>
      <c r="AA724" s="7" t="s">
        <v>115</v>
      </c>
      <c r="AB724" s="20" t="s">
        <v>115</v>
      </c>
      <c r="AC724" s="20"/>
      <c r="AD724" s="6">
        <v>0</v>
      </c>
      <c r="AE724" s="6">
        <v>33</v>
      </c>
      <c r="AF724" s="6">
        <v>0</v>
      </c>
      <c r="AG724" s="6">
        <v>33</v>
      </c>
      <c r="AH724" s="6">
        <v>0</v>
      </c>
      <c r="AI724" s="6">
        <v>0</v>
      </c>
      <c r="AJ724">
        <f t="shared" si="11"/>
        <v>33</v>
      </c>
      <c r="AK724" t="s">
        <v>188</v>
      </c>
      <c r="AO724" s="7"/>
      <c r="AP724" s="7"/>
      <c r="AQ724" s="7"/>
      <c r="AR724" s="7"/>
      <c r="AS724" s="7"/>
      <c r="AT724" s="7"/>
      <c r="AU724" s="7"/>
    </row>
    <row r="725" spans="1:47" x14ac:dyDescent="0.2">
      <c r="A725" t="s">
        <v>1904</v>
      </c>
      <c r="B725" t="s">
        <v>1905</v>
      </c>
      <c r="C725">
        <v>1</v>
      </c>
      <c r="D725">
        <v>1</v>
      </c>
      <c r="E725" t="s">
        <v>2487</v>
      </c>
      <c r="F725" s="1">
        <v>43399</v>
      </c>
      <c r="G725" s="37" t="s">
        <v>4033</v>
      </c>
      <c r="H725" s="37" t="s">
        <v>4724</v>
      </c>
      <c r="I725" s="2">
        <v>1.8055555555555557E-2</v>
      </c>
      <c r="J725" s="176">
        <v>3.0092592592592595E-4</v>
      </c>
      <c r="K725" s="6">
        <v>26</v>
      </c>
      <c r="M725" s="7" t="s">
        <v>176</v>
      </c>
      <c r="N725" s="7" t="s">
        <v>111</v>
      </c>
      <c r="O725" s="7" t="s">
        <v>23</v>
      </c>
      <c r="P725" s="7">
        <v>0</v>
      </c>
      <c r="Q725" s="7"/>
      <c r="R725">
        <v>1</v>
      </c>
      <c r="T725" t="s">
        <v>14</v>
      </c>
      <c r="U725" t="s">
        <v>2128</v>
      </c>
      <c r="V725" s="7" t="s">
        <v>24</v>
      </c>
      <c r="W725" s="7" t="s">
        <v>1035</v>
      </c>
      <c r="X725" s="44" t="s">
        <v>23</v>
      </c>
      <c r="Y725" s="44" t="s">
        <v>3997</v>
      </c>
      <c r="Z725" s="44" t="s">
        <v>4006</v>
      </c>
      <c r="AA725" s="7" t="s">
        <v>24</v>
      </c>
      <c r="AB725" s="20">
        <v>63.719990000000003</v>
      </c>
      <c r="AC725" s="20">
        <v>148.98468</v>
      </c>
      <c r="AD725" s="6">
        <v>0</v>
      </c>
      <c r="AE725" s="6">
        <v>0</v>
      </c>
      <c r="AF725" s="6">
        <v>0</v>
      </c>
      <c r="AG725" s="6">
        <v>0</v>
      </c>
      <c r="AH725" s="6">
        <v>0</v>
      </c>
      <c r="AI725" s="6">
        <v>0</v>
      </c>
      <c r="AJ725">
        <f t="shared" si="11"/>
        <v>0</v>
      </c>
      <c r="AL725" t="s">
        <v>1906</v>
      </c>
      <c r="AO725" s="7"/>
      <c r="AP725" s="7"/>
      <c r="AQ725" s="7"/>
      <c r="AR725" s="7"/>
      <c r="AS725" s="7"/>
      <c r="AT725" s="7"/>
      <c r="AU725" s="7"/>
    </row>
    <row r="726" spans="1:47" x14ac:dyDescent="0.2">
      <c r="A726" t="s">
        <v>1793</v>
      </c>
      <c r="B726" t="s">
        <v>1794</v>
      </c>
      <c r="C726">
        <v>1</v>
      </c>
      <c r="D726">
        <v>1</v>
      </c>
      <c r="E726" s="33" t="s">
        <v>3171</v>
      </c>
      <c r="F726" s="1">
        <v>43397</v>
      </c>
      <c r="G726" s="37" t="s">
        <v>4033</v>
      </c>
      <c r="H726" s="37" t="s">
        <v>4724</v>
      </c>
      <c r="I726" s="2">
        <v>6.7361111111111108E-2</v>
      </c>
      <c r="J726" s="176">
        <v>1.1226851851851851E-3</v>
      </c>
      <c r="K726" s="6">
        <v>97</v>
      </c>
      <c r="M726" s="7" t="s">
        <v>149</v>
      </c>
      <c r="N726" s="7" t="s">
        <v>102</v>
      </c>
      <c r="O726" s="7" t="s">
        <v>23</v>
      </c>
      <c r="P726" s="7" t="s">
        <v>24</v>
      </c>
      <c r="Q726" s="7"/>
      <c r="R726">
        <v>0</v>
      </c>
      <c r="U726" t="s">
        <v>115</v>
      </c>
      <c r="V726" s="7" t="s">
        <v>115</v>
      </c>
      <c r="W726" s="7" t="s">
        <v>115</v>
      </c>
      <c r="X726" s="33" t="s">
        <v>115</v>
      </c>
      <c r="Y726" s="33" t="s">
        <v>115</v>
      </c>
      <c r="Z726" s="33" t="s">
        <v>115</v>
      </c>
      <c r="AA726" s="7" t="s">
        <v>115</v>
      </c>
      <c r="AB726" s="20" t="s">
        <v>115</v>
      </c>
      <c r="AC726" s="20"/>
      <c r="AD726" s="6">
        <v>20</v>
      </c>
      <c r="AE726" s="6">
        <v>17</v>
      </c>
      <c r="AF726" s="6">
        <v>20</v>
      </c>
      <c r="AG726" s="6">
        <v>17</v>
      </c>
      <c r="AH726" s="6">
        <v>0</v>
      </c>
      <c r="AI726" s="6">
        <v>0</v>
      </c>
      <c r="AJ726">
        <f t="shared" si="11"/>
        <v>37</v>
      </c>
      <c r="AK726" t="s">
        <v>16</v>
      </c>
      <c r="AM726">
        <v>0</v>
      </c>
      <c r="AN726">
        <v>1</v>
      </c>
      <c r="AO726" s="4"/>
      <c r="AP726" s="4"/>
      <c r="AQ726" s="4"/>
      <c r="AR726" s="4"/>
      <c r="AS726" s="4"/>
      <c r="AT726" s="4"/>
      <c r="AU726" s="4"/>
    </row>
    <row r="727" spans="1:47" x14ac:dyDescent="0.2">
      <c r="A727" t="s">
        <v>1795</v>
      </c>
      <c r="B727" t="s">
        <v>1796</v>
      </c>
      <c r="C727">
        <v>2</v>
      </c>
      <c r="D727">
        <v>1</v>
      </c>
      <c r="E727" s="33" t="s">
        <v>3171</v>
      </c>
      <c r="F727" s="1">
        <v>43397</v>
      </c>
      <c r="G727" s="37" t="s">
        <v>4033</v>
      </c>
      <c r="H727" s="37" t="s">
        <v>4724</v>
      </c>
      <c r="I727" s="2">
        <v>7.6388888888888886E-3</v>
      </c>
      <c r="J727" s="176">
        <v>1.273148148148148E-4</v>
      </c>
      <c r="K727" s="6">
        <v>11</v>
      </c>
      <c r="M727" s="7" t="s">
        <v>149</v>
      </c>
      <c r="N727" s="7" t="s">
        <v>102</v>
      </c>
      <c r="O727" s="7" t="s">
        <v>23</v>
      </c>
      <c r="P727" s="7">
        <v>0</v>
      </c>
      <c r="Q727" s="7"/>
      <c r="R727">
        <v>0</v>
      </c>
      <c r="S727">
        <v>0</v>
      </c>
      <c r="U727" t="s">
        <v>115</v>
      </c>
      <c r="V727" s="7" t="s">
        <v>115</v>
      </c>
      <c r="W727" s="7" t="s">
        <v>115</v>
      </c>
      <c r="X727" s="33" t="s">
        <v>115</v>
      </c>
      <c r="Y727" s="33" t="s">
        <v>115</v>
      </c>
      <c r="Z727" s="33" t="s">
        <v>115</v>
      </c>
      <c r="AA727" s="7" t="s">
        <v>115</v>
      </c>
      <c r="AB727" s="20" t="s">
        <v>115</v>
      </c>
      <c r="AC727" s="20"/>
      <c r="AD727" s="6">
        <v>8</v>
      </c>
      <c r="AE727" s="6">
        <v>0</v>
      </c>
      <c r="AF727" s="6">
        <v>8</v>
      </c>
      <c r="AG727" s="6">
        <v>0</v>
      </c>
      <c r="AH727" s="6">
        <v>0</v>
      </c>
      <c r="AI727" s="6">
        <v>0</v>
      </c>
      <c r="AJ727">
        <f t="shared" si="11"/>
        <v>8</v>
      </c>
      <c r="AK727" t="s">
        <v>188</v>
      </c>
    </row>
    <row r="728" spans="1:47" s="33" customFormat="1" x14ac:dyDescent="0.2">
      <c r="A728" t="s">
        <v>1797</v>
      </c>
      <c r="B728" t="s">
        <v>1798</v>
      </c>
      <c r="C728">
        <v>3</v>
      </c>
      <c r="D728">
        <v>1</v>
      </c>
      <c r="E728" s="33" t="s">
        <v>3171</v>
      </c>
      <c r="F728" s="1">
        <v>43397</v>
      </c>
      <c r="G728" s="37" t="s">
        <v>4033</v>
      </c>
      <c r="H728" s="37" t="s">
        <v>4724</v>
      </c>
      <c r="I728" s="2">
        <v>1.7361111111111112E-2</v>
      </c>
      <c r="J728" s="176">
        <v>2.8935185185185189E-4</v>
      </c>
      <c r="K728" s="6">
        <v>25</v>
      </c>
      <c r="L728"/>
      <c r="M728" s="7" t="s">
        <v>149</v>
      </c>
      <c r="N728" s="7" t="s">
        <v>102</v>
      </c>
      <c r="O728" s="7" t="s">
        <v>23</v>
      </c>
      <c r="P728" s="7" t="s">
        <v>24</v>
      </c>
      <c r="Q728" s="7"/>
      <c r="R728">
        <v>0</v>
      </c>
      <c r="S728"/>
      <c r="T728"/>
      <c r="U728" t="s">
        <v>115</v>
      </c>
      <c r="V728" s="7" t="s">
        <v>115</v>
      </c>
      <c r="W728" s="7" t="s">
        <v>115</v>
      </c>
      <c r="X728" s="33" t="s">
        <v>115</v>
      </c>
      <c r="Y728" s="33" t="s">
        <v>115</v>
      </c>
      <c r="Z728" s="33" t="s">
        <v>115</v>
      </c>
      <c r="AA728" s="7" t="s">
        <v>115</v>
      </c>
      <c r="AB728" s="20" t="s">
        <v>115</v>
      </c>
      <c r="AC728" s="20"/>
      <c r="AD728" s="6">
        <v>0</v>
      </c>
      <c r="AE728" s="6">
        <v>21</v>
      </c>
      <c r="AF728" s="6">
        <v>0</v>
      </c>
      <c r="AG728" s="6">
        <v>21</v>
      </c>
      <c r="AH728" s="6">
        <v>0</v>
      </c>
      <c r="AI728" s="6">
        <v>0</v>
      </c>
      <c r="AJ728">
        <f t="shared" si="11"/>
        <v>21</v>
      </c>
      <c r="AK728" t="s">
        <v>188</v>
      </c>
      <c r="AL728"/>
      <c r="AM728"/>
      <c r="AN728"/>
      <c r="AQ728" s="34"/>
    </row>
    <row r="729" spans="1:47" x14ac:dyDescent="0.2">
      <c r="A729" t="s">
        <v>1799</v>
      </c>
      <c r="B729" t="s">
        <v>1800</v>
      </c>
      <c r="C729">
        <v>4</v>
      </c>
      <c r="D729">
        <v>1</v>
      </c>
      <c r="E729" s="33" t="s">
        <v>3171</v>
      </c>
      <c r="F729" s="1">
        <v>43397</v>
      </c>
      <c r="G729" s="37" t="s">
        <v>4033</v>
      </c>
      <c r="H729" s="37" t="s">
        <v>4724</v>
      </c>
      <c r="I729" s="2">
        <v>1.4583333333333332E-2</v>
      </c>
      <c r="J729" s="176">
        <v>2.4305555555555552E-4</v>
      </c>
      <c r="K729" s="6">
        <v>21</v>
      </c>
      <c r="M729" s="7" t="s">
        <v>149</v>
      </c>
      <c r="N729" s="7" t="s">
        <v>102</v>
      </c>
      <c r="O729" s="7" t="s">
        <v>23</v>
      </c>
      <c r="P729" s="7">
        <v>0</v>
      </c>
      <c r="Q729" s="7"/>
      <c r="R729">
        <v>0</v>
      </c>
      <c r="U729" t="s">
        <v>115</v>
      </c>
      <c r="V729" s="7" t="s">
        <v>115</v>
      </c>
      <c r="W729" s="7" t="s">
        <v>115</v>
      </c>
      <c r="X729" s="33" t="s">
        <v>115</v>
      </c>
      <c r="Y729" s="33" t="s">
        <v>115</v>
      </c>
      <c r="Z729" s="33" t="s">
        <v>115</v>
      </c>
      <c r="AA729" s="7" t="s">
        <v>115</v>
      </c>
      <c r="AB729" s="20" t="s">
        <v>115</v>
      </c>
      <c r="AC729" s="20"/>
      <c r="AD729" s="6">
        <v>0</v>
      </c>
      <c r="AE729" s="6">
        <v>20</v>
      </c>
      <c r="AF729" s="6">
        <v>0</v>
      </c>
      <c r="AG729" s="6">
        <v>20</v>
      </c>
      <c r="AH729" s="6">
        <v>0</v>
      </c>
      <c r="AI729" s="6">
        <v>0</v>
      </c>
      <c r="AJ729">
        <f t="shared" si="11"/>
        <v>20</v>
      </c>
      <c r="AK729" t="s">
        <v>303</v>
      </c>
      <c r="AO729" s="33"/>
      <c r="AP729" s="33"/>
      <c r="AQ729" s="34"/>
      <c r="AR729" s="33"/>
      <c r="AS729" s="33"/>
      <c r="AT729" s="33"/>
      <c r="AU729" s="33"/>
    </row>
    <row r="730" spans="1:47" x14ac:dyDescent="0.2">
      <c r="A730" t="s">
        <v>1801</v>
      </c>
      <c r="B730" t="s">
        <v>1802</v>
      </c>
      <c r="C730">
        <v>5</v>
      </c>
      <c r="D730">
        <v>1</v>
      </c>
      <c r="E730" t="s">
        <v>3171</v>
      </c>
      <c r="F730" s="1">
        <v>43397</v>
      </c>
      <c r="G730" s="37" t="s">
        <v>4033</v>
      </c>
      <c r="H730" s="37" t="s">
        <v>4724</v>
      </c>
      <c r="I730" s="2">
        <v>4.1666666666666666E-3</v>
      </c>
      <c r="J730" s="176">
        <v>6.9444444444444444E-5</v>
      </c>
      <c r="K730" s="6">
        <v>6</v>
      </c>
      <c r="M730" s="7" t="s">
        <v>670</v>
      </c>
      <c r="N730" s="7" t="s">
        <v>102</v>
      </c>
      <c r="O730" s="7" t="s">
        <v>115</v>
      </c>
      <c r="P730" s="7">
        <v>1</v>
      </c>
      <c r="Q730" s="7"/>
      <c r="R730">
        <v>0</v>
      </c>
      <c r="T730" t="s">
        <v>14</v>
      </c>
      <c r="U730" t="s">
        <v>2128</v>
      </c>
      <c r="V730" s="7" t="s">
        <v>122</v>
      </c>
      <c r="W730" s="7" t="s">
        <v>115</v>
      </c>
      <c r="X730" s="33" t="s">
        <v>115</v>
      </c>
      <c r="Y730" s="33" t="s">
        <v>115</v>
      </c>
      <c r="Z730" s="33" t="s">
        <v>115</v>
      </c>
      <c r="AA730" s="7" t="s">
        <v>115</v>
      </c>
      <c r="AB730" s="20" t="s">
        <v>115</v>
      </c>
      <c r="AC730" s="20"/>
      <c r="AD730" s="6">
        <v>0</v>
      </c>
      <c r="AE730" s="6">
        <v>0</v>
      </c>
      <c r="AF730" s="6">
        <v>0</v>
      </c>
      <c r="AG730" s="6">
        <v>0</v>
      </c>
      <c r="AH730" s="6">
        <v>0</v>
      </c>
      <c r="AI730" s="6">
        <v>0</v>
      </c>
      <c r="AJ730">
        <f t="shared" si="11"/>
        <v>0</v>
      </c>
      <c r="AL730" t="s">
        <v>5022</v>
      </c>
    </row>
    <row r="731" spans="1:47" x14ac:dyDescent="0.2">
      <c r="A731" t="s">
        <v>1803</v>
      </c>
      <c r="B731" t="s">
        <v>1804</v>
      </c>
      <c r="C731">
        <v>6</v>
      </c>
      <c r="D731">
        <v>1</v>
      </c>
      <c r="E731" t="s">
        <v>3171</v>
      </c>
      <c r="F731" s="1">
        <v>43397</v>
      </c>
      <c r="G731" s="37" t="s">
        <v>4033</v>
      </c>
      <c r="H731" s="37" t="s">
        <v>4724</v>
      </c>
      <c r="I731" s="2">
        <v>1.9444444444444445E-2</v>
      </c>
      <c r="J731" s="176">
        <v>3.2407407407407406E-4</v>
      </c>
      <c r="K731" s="6">
        <v>28</v>
      </c>
      <c r="M731" s="7" t="s">
        <v>670</v>
      </c>
      <c r="N731" s="7" t="s">
        <v>111</v>
      </c>
      <c r="O731" s="7" t="s">
        <v>23</v>
      </c>
      <c r="P731" s="7">
        <v>0</v>
      </c>
      <c r="Q731" s="7"/>
      <c r="R731">
        <v>1</v>
      </c>
      <c r="T731" t="s">
        <v>14</v>
      </c>
      <c r="U731" t="s">
        <v>2128</v>
      </c>
      <c r="V731" s="7" t="s">
        <v>122</v>
      </c>
      <c r="W731" s="7" t="s">
        <v>1805</v>
      </c>
      <c r="X731" s="44" t="s">
        <v>23</v>
      </c>
      <c r="Y731" s="44" t="s">
        <v>3999</v>
      </c>
      <c r="Z731" s="44" t="s">
        <v>4006</v>
      </c>
      <c r="AA731">
        <v>8</v>
      </c>
      <c r="AB731" s="20">
        <v>63.723059999999997</v>
      </c>
      <c r="AC731" s="20">
        <v>148.95411999999999</v>
      </c>
      <c r="AD731" s="6">
        <v>0</v>
      </c>
      <c r="AE731" s="6">
        <v>0</v>
      </c>
      <c r="AF731" s="6">
        <v>0</v>
      </c>
      <c r="AG731" s="6">
        <v>0</v>
      </c>
      <c r="AH731" s="6">
        <v>0</v>
      </c>
      <c r="AI731" s="6">
        <v>0</v>
      </c>
      <c r="AJ731">
        <f t="shared" si="11"/>
        <v>0</v>
      </c>
      <c r="AL731" t="s">
        <v>1806</v>
      </c>
    </row>
    <row r="732" spans="1:47" x14ac:dyDescent="0.2">
      <c r="A732" t="s">
        <v>1807</v>
      </c>
      <c r="B732" t="s">
        <v>1808</v>
      </c>
      <c r="C732">
        <v>7</v>
      </c>
      <c r="D732">
        <v>1</v>
      </c>
      <c r="E732" s="33" t="s">
        <v>3171</v>
      </c>
      <c r="F732" s="1">
        <v>43397</v>
      </c>
      <c r="G732" s="37" t="s">
        <v>4033</v>
      </c>
      <c r="H732" s="37" t="s">
        <v>4724</v>
      </c>
      <c r="I732" s="2">
        <v>6.9444444444444441E-3</v>
      </c>
      <c r="J732" s="176">
        <v>1.1574074074074073E-4</v>
      </c>
      <c r="K732" s="6">
        <v>10</v>
      </c>
      <c r="M732" s="7" t="s">
        <v>149</v>
      </c>
      <c r="N732" s="7" t="s">
        <v>102</v>
      </c>
      <c r="O732" s="7" t="s">
        <v>23</v>
      </c>
      <c r="P732" s="7">
        <v>0</v>
      </c>
      <c r="Q732" s="7"/>
      <c r="R732">
        <v>0</v>
      </c>
      <c r="U732" t="s">
        <v>115</v>
      </c>
      <c r="V732" s="7" t="s">
        <v>115</v>
      </c>
      <c r="W732" s="7" t="s">
        <v>115</v>
      </c>
      <c r="X732" s="33" t="s">
        <v>115</v>
      </c>
      <c r="Y732" s="33" t="s">
        <v>115</v>
      </c>
      <c r="Z732" s="33" t="s">
        <v>115</v>
      </c>
      <c r="AA732" s="7" t="s">
        <v>115</v>
      </c>
      <c r="AB732" s="20" t="s">
        <v>115</v>
      </c>
      <c r="AC732" s="20"/>
      <c r="AD732" s="6">
        <v>0</v>
      </c>
      <c r="AE732" s="6">
        <v>10</v>
      </c>
      <c r="AF732" s="6">
        <v>0</v>
      </c>
      <c r="AG732" s="6">
        <v>10</v>
      </c>
      <c r="AH732" s="6">
        <v>0</v>
      </c>
      <c r="AI732" s="6">
        <v>0</v>
      </c>
      <c r="AJ732">
        <f t="shared" si="11"/>
        <v>10</v>
      </c>
      <c r="AK732" t="s">
        <v>188</v>
      </c>
    </row>
    <row r="733" spans="1:47" hidden="1" x14ac:dyDescent="0.2">
      <c r="A733" t="s">
        <v>1809</v>
      </c>
      <c r="B733" t="s">
        <v>1810</v>
      </c>
      <c r="C733">
        <v>8</v>
      </c>
      <c r="D733">
        <v>2</v>
      </c>
      <c r="E733" t="s">
        <v>3171</v>
      </c>
      <c r="F733" s="1">
        <v>43397</v>
      </c>
      <c r="G733" s="37" t="s">
        <v>4033</v>
      </c>
      <c r="H733" s="37" t="s">
        <v>4724</v>
      </c>
      <c r="I733" s="2">
        <v>9.7916666666666666E-2</v>
      </c>
      <c r="J733" s="176">
        <v>1.6319444444444445E-3</v>
      </c>
      <c r="K733" s="6">
        <v>141</v>
      </c>
      <c r="M733" s="7" t="s">
        <v>670</v>
      </c>
      <c r="N733" s="7" t="s">
        <v>187</v>
      </c>
      <c r="O733" s="7" t="s">
        <v>23</v>
      </c>
      <c r="P733" s="7">
        <v>2</v>
      </c>
      <c r="Q733" s="7" t="s">
        <v>261</v>
      </c>
      <c r="R733">
        <v>2</v>
      </c>
      <c r="S733" t="s">
        <v>1883</v>
      </c>
      <c r="T733" t="s">
        <v>14</v>
      </c>
      <c r="U733" t="s">
        <v>2128</v>
      </c>
      <c r="V733" s="7" t="s">
        <v>122</v>
      </c>
      <c r="W733" s="7" t="s">
        <v>2099</v>
      </c>
      <c r="X733" s="44" t="s">
        <v>23</v>
      </c>
      <c r="Y733" s="44" t="s">
        <v>3997</v>
      </c>
      <c r="Z733" s="44" t="s">
        <v>4002</v>
      </c>
      <c r="AA733" s="7">
        <v>5</v>
      </c>
      <c r="AB733" s="20">
        <v>63.723419999999997</v>
      </c>
      <c r="AC733" s="20">
        <v>148.95421999999999</v>
      </c>
      <c r="AD733" s="6">
        <v>0</v>
      </c>
      <c r="AE733" s="6">
        <v>0</v>
      </c>
      <c r="AF733" s="6">
        <v>0</v>
      </c>
      <c r="AG733" s="6">
        <v>0</v>
      </c>
      <c r="AH733" s="6">
        <v>0</v>
      </c>
      <c r="AI733">
        <v>0</v>
      </c>
      <c r="AJ733">
        <f t="shared" si="11"/>
        <v>0</v>
      </c>
      <c r="AK733" t="s">
        <v>375</v>
      </c>
      <c r="AL733" t="s">
        <v>2147</v>
      </c>
      <c r="AM733">
        <v>3</v>
      </c>
      <c r="AO733" s="7"/>
      <c r="AP733" s="7"/>
      <c r="AQ733" s="7"/>
      <c r="AR733" s="7"/>
      <c r="AS733" s="7"/>
      <c r="AT733" s="7"/>
      <c r="AU733" s="7"/>
    </row>
    <row r="734" spans="1:47" x14ac:dyDescent="0.2">
      <c r="A734" s="33" t="s">
        <v>1809</v>
      </c>
      <c r="B734" s="33" t="s">
        <v>1810</v>
      </c>
      <c r="C734" s="33">
        <v>8</v>
      </c>
      <c r="D734" s="33">
        <v>1</v>
      </c>
      <c r="E734" t="s">
        <v>3171</v>
      </c>
      <c r="F734" s="37">
        <v>43397</v>
      </c>
      <c r="G734" s="37" t="s">
        <v>4033</v>
      </c>
      <c r="H734" s="37" t="s">
        <v>4724</v>
      </c>
      <c r="I734" s="36">
        <v>9.7916666666666666E-2</v>
      </c>
      <c r="J734" s="177">
        <v>1.6319444444444445E-3</v>
      </c>
      <c r="K734" s="39">
        <v>141</v>
      </c>
      <c r="L734" s="33"/>
      <c r="M734" s="7" t="s">
        <v>670</v>
      </c>
      <c r="N734" s="33" t="s">
        <v>187</v>
      </c>
      <c r="O734" s="33" t="s">
        <v>23</v>
      </c>
      <c r="P734" s="33">
        <v>0</v>
      </c>
      <c r="Q734" s="33"/>
      <c r="R734" s="33">
        <v>1</v>
      </c>
      <c r="S734" s="33"/>
      <c r="T734" t="s">
        <v>176</v>
      </c>
      <c r="U734" s="33" t="s">
        <v>176</v>
      </c>
      <c r="V734" s="33" t="s">
        <v>176</v>
      </c>
      <c r="W734" s="33" t="s">
        <v>2098</v>
      </c>
      <c r="X734" s="33" t="s">
        <v>23</v>
      </c>
      <c r="Y734" s="33" t="s">
        <v>3999</v>
      </c>
      <c r="Z734" s="33" t="s">
        <v>4002</v>
      </c>
      <c r="AA734" s="33" t="s">
        <v>176</v>
      </c>
      <c r="AB734" s="35">
        <v>63.723379999999999</v>
      </c>
      <c r="AC734" s="35">
        <v>148.95421999999999</v>
      </c>
      <c r="AD734" s="39">
        <f>17+8</f>
        <v>25</v>
      </c>
      <c r="AE734" s="39">
        <v>27</v>
      </c>
      <c r="AF734" s="39">
        <v>8</v>
      </c>
      <c r="AG734" s="39">
        <f>17+27</f>
        <v>44</v>
      </c>
      <c r="AH734" s="39">
        <v>24</v>
      </c>
      <c r="AI734" s="33">
        <v>0</v>
      </c>
      <c r="AJ734" s="33">
        <f t="shared" si="11"/>
        <v>76</v>
      </c>
      <c r="AK734" s="33" t="s">
        <v>375</v>
      </c>
      <c r="AL734" s="33" t="s">
        <v>2146</v>
      </c>
      <c r="AM734" s="33">
        <v>3</v>
      </c>
      <c r="AN734" s="33"/>
    </row>
    <row r="735" spans="1:47" x14ac:dyDescent="0.2">
      <c r="A735" t="s">
        <v>1812</v>
      </c>
      <c r="B735" t="s">
        <v>1813</v>
      </c>
      <c r="C735">
        <v>9</v>
      </c>
      <c r="D735">
        <v>1</v>
      </c>
      <c r="E735" t="s">
        <v>3171</v>
      </c>
      <c r="F735" s="1">
        <v>43397</v>
      </c>
      <c r="G735" s="37" t="s">
        <v>4033</v>
      </c>
      <c r="H735" s="37" t="s">
        <v>4724</v>
      </c>
      <c r="I735" s="2">
        <v>2.013888888888889E-2</v>
      </c>
      <c r="J735" s="176">
        <v>3.3564814814814812E-4</v>
      </c>
      <c r="K735" s="6">
        <v>29</v>
      </c>
      <c r="M735" s="7" t="s">
        <v>670</v>
      </c>
      <c r="N735" s="7" t="s">
        <v>102</v>
      </c>
      <c r="O735" s="7" t="s">
        <v>23</v>
      </c>
      <c r="P735" s="7">
        <v>0</v>
      </c>
      <c r="Q735" s="7"/>
      <c r="R735">
        <v>0</v>
      </c>
      <c r="U735" t="s">
        <v>115</v>
      </c>
      <c r="V735" s="7" t="s">
        <v>115</v>
      </c>
      <c r="W735" s="7" t="s">
        <v>115</v>
      </c>
      <c r="X735" s="33" t="s">
        <v>115</v>
      </c>
      <c r="Y735" s="33" t="s">
        <v>115</v>
      </c>
      <c r="Z735" s="33" t="s">
        <v>115</v>
      </c>
      <c r="AA735" s="7" t="s">
        <v>115</v>
      </c>
      <c r="AB735" s="20" t="s">
        <v>115</v>
      </c>
      <c r="AC735" s="20"/>
      <c r="AD735" s="6">
        <v>0</v>
      </c>
      <c r="AE735" s="6">
        <v>6</v>
      </c>
      <c r="AF735" s="6">
        <v>0</v>
      </c>
      <c r="AG735" s="6">
        <v>6</v>
      </c>
      <c r="AH735" s="6">
        <v>0</v>
      </c>
      <c r="AI735" s="6">
        <v>0</v>
      </c>
      <c r="AJ735">
        <f t="shared" si="11"/>
        <v>6</v>
      </c>
      <c r="AK735" t="s">
        <v>188</v>
      </c>
      <c r="AO735" s="33"/>
      <c r="AP735" s="33"/>
      <c r="AQ735" s="34" t="s">
        <v>3947</v>
      </c>
      <c r="AR735" s="33"/>
      <c r="AS735" s="33"/>
      <c r="AT735" s="33"/>
      <c r="AU735" s="33"/>
    </row>
    <row r="736" spans="1:47" x14ac:dyDescent="0.2">
      <c r="A736" t="s">
        <v>1814</v>
      </c>
      <c r="B736" t="s">
        <v>1815</v>
      </c>
      <c r="C736">
        <v>10</v>
      </c>
      <c r="D736">
        <v>1</v>
      </c>
      <c r="E736" t="s">
        <v>3171</v>
      </c>
      <c r="F736" s="1">
        <v>43397</v>
      </c>
      <c r="G736" s="37" t="s">
        <v>4033</v>
      </c>
      <c r="H736" s="37" t="s">
        <v>4724</v>
      </c>
      <c r="I736" s="2">
        <v>6.9444444444444441E-3</v>
      </c>
      <c r="J736" s="176">
        <v>1.1574074074074073E-4</v>
      </c>
      <c r="K736" s="6">
        <v>10</v>
      </c>
      <c r="M736" s="7" t="s">
        <v>670</v>
      </c>
      <c r="N736" s="7" t="s">
        <v>102</v>
      </c>
      <c r="O736" s="7" t="s">
        <v>23</v>
      </c>
      <c r="P736" s="7">
        <v>0</v>
      </c>
      <c r="Q736" s="7"/>
      <c r="R736">
        <v>0</v>
      </c>
      <c r="U736" t="s">
        <v>115</v>
      </c>
      <c r="V736" s="7" t="s">
        <v>115</v>
      </c>
      <c r="W736" s="7" t="s">
        <v>115</v>
      </c>
      <c r="X736" s="33" t="s">
        <v>115</v>
      </c>
      <c r="Y736" s="33" t="s">
        <v>115</v>
      </c>
      <c r="Z736" s="33" t="s">
        <v>115</v>
      </c>
      <c r="AA736" s="7" t="s">
        <v>115</v>
      </c>
      <c r="AB736" s="20" t="s">
        <v>115</v>
      </c>
      <c r="AC736" s="20"/>
      <c r="AD736" s="6">
        <v>0</v>
      </c>
      <c r="AE736" s="6">
        <v>8</v>
      </c>
      <c r="AF736" s="6">
        <v>8</v>
      </c>
      <c r="AG736" s="6">
        <v>0</v>
      </c>
      <c r="AH736" s="6">
        <v>0</v>
      </c>
      <c r="AI736" s="6">
        <v>0</v>
      </c>
      <c r="AJ736">
        <f t="shared" si="11"/>
        <v>8</v>
      </c>
      <c r="AK736" t="s">
        <v>188</v>
      </c>
    </row>
    <row r="737" spans="1:47" x14ac:dyDescent="0.2">
      <c r="A737" t="s">
        <v>1816</v>
      </c>
      <c r="B737" t="s">
        <v>1817</v>
      </c>
      <c r="C737">
        <v>11</v>
      </c>
      <c r="D737">
        <v>1</v>
      </c>
      <c r="E737" t="s">
        <v>3171</v>
      </c>
      <c r="F737" s="1">
        <v>43397</v>
      </c>
      <c r="G737" s="37" t="s">
        <v>4033</v>
      </c>
      <c r="H737" s="37" t="s">
        <v>4724</v>
      </c>
      <c r="I737" s="2">
        <v>6.9444444444444441E-3</v>
      </c>
      <c r="J737" s="176">
        <v>1.1574074074074073E-4</v>
      </c>
      <c r="K737" s="6">
        <v>10</v>
      </c>
      <c r="M737" s="7" t="s">
        <v>670</v>
      </c>
      <c r="N737" s="7" t="s">
        <v>102</v>
      </c>
      <c r="O737" s="7" t="s">
        <v>23</v>
      </c>
      <c r="P737" s="7">
        <v>0</v>
      </c>
      <c r="Q737" s="7"/>
      <c r="R737">
        <v>0</v>
      </c>
      <c r="U737" t="s">
        <v>115</v>
      </c>
      <c r="V737" s="7" t="s">
        <v>115</v>
      </c>
      <c r="W737" s="7" t="s">
        <v>115</v>
      </c>
      <c r="X737" s="33" t="s">
        <v>115</v>
      </c>
      <c r="Y737" s="33" t="s">
        <v>115</v>
      </c>
      <c r="Z737" s="33" t="s">
        <v>115</v>
      </c>
      <c r="AA737" s="7" t="s">
        <v>115</v>
      </c>
      <c r="AB737" s="20" t="s">
        <v>115</v>
      </c>
      <c r="AC737" s="20"/>
      <c r="AD737" s="6">
        <v>8</v>
      </c>
      <c r="AE737" s="6">
        <v>0</v>
      </c>
      <c r="AF737" s="6">
        <v>8</v>
      </c>
      <c r="AG737" s="6">
        <v>0</v>
      </c>
      <c r="AH737" s="6">
        <v>0</v>
      </c>
      <c r="AI737" s="6">
        <v>0</v>
      </c>
      <c r="AJ737">
        <f t="shared" si="11"/>
        <v>8</v>
      </c>
      <c r="AK737" t="s">
        <v>188</v>
      </c>
      <c r="AO737" s="33"/>
      <c r="AP737" s="33"/>
      <c r="AQ737" s="34"/>
      <c r="AR737" s="33"/>
      <c r="AS737" s="33"/>
      <c r="AT737" s="33"/>
      <c r="AU737" s="33"/>
    </row>
    <row r="738" spans="1:47" x14ac:dyDescent="0.2">
      <c r="A738" s="33" t="s">
        <v>1818</v>
      </c>
      <c r="B738" s="33" t="s">
        <v>1819</v>
      </c>
      <c r="C738" s="33">
        <v>12</v>
      </c>
      <c r="D738" s="33">
        <v>1</v>
      </c>
      <c r="E738" t="s">
        <v>3171</v>
      </c>
      <c r="F738" s="37">
        <v>43397</v>
      </c>
      <c r="G738" s="37" t="s">
        <v>4033</v>
      </c>
      <c r="H738" s="37" t="s">
        <v>4724</v>
      </c>
      <c r="I738" s="36">
        <v>1.7361111111111112E-2</v>
      </c>
      <c r="J738" s="177">
        <v>2.8935185185185189E-4</v>
      </c>
      <c r="K738" s="39">
        <v>25</v>
      </c>
      <c r="L738" s="33"/>
      <c r="M738" s="7" t="s">
        <v>670</v>
      </c>
      <c r="N738" s="33" t="s">
        <v>102</v>
      </c>
      <c r="O738" s="33" t="s">
        <v>115</v>
      </c>
      <c r="P738" s="33">
        <v>1</v>
      </c>
      <c r="Q738" s="33">
        <v>5</v>
      </c>
      <c r="R738" s="33">
        <v>0</v>
      </c>
      <c r="S738" s="33"/>
      <c r="T738" t="s">
        <v>14</v>
      </c>
      <c r="U738" s="33" t="s">
        <v>2128</v>
      </c>
      <c r="V738" s="33" t="s">
        <v>122</v>
      </c>
      <c r="W738" s="33" t="s">
        <v>115</v>
      </c>
      <c r="X738" s="33" t="s">
        <v>115</v>
      </c>
      <c r="Y738" s="33" t="s">
        <v>115</v>
      </c>
      <c r="Z738" s="33" t="s">
        <v>115</v>
      </c>
      <c r="AA738" s="33" t="s">
        <v>115</v>
      </c>
      <c r="AB738" s="35" t="s">
        <v>115</v>
      </c>
      <c r="AC738" s="35"/>
      <c r="AD738" s="39">
        <v>0</v>
      </c>
      <c r="AE738" s="39">
        <v>0</v>
      </c>
      <c r="AF738" s="39">
        <v>0</v>
      </c>
      <c r="AG738" s="39">
        <v>0</v>
      </c>
      <c r="AH738" s="39">
        <v>23</v>
      </c>
      <c r="AI738" s="39">
        <v>0</v>
      </c>
      <c r="AJ738" s="33">
        <f t="shared" si="11"/>
        <v>23</v>
      </c>
      <c r="AK738" s="33"/>
      <c r="AL738" s="33"/>
      <c r="AM738" s="33"/>
      <c r="AN738" s="33"/>
    </row>
    <row r="739" spans="1:47" s="33" customFormat="1" x14ac:dyDescent="0.2">
      <c r="A739" t="s">
        <v>1820</v>
      </c>
      <c r="B739" t="s">
        <v>1821</v>
      </c>
      <c r="C739">
        <v>13</v>
      </c>
      <c r="D739">
        <v>1</v>
      </c>
      <c r="E739" t="s">
        <v>3171</v>
      </c>
      <c r="F739" s="1">
        <v>43397</v>
      </c>
      <c r="G739" s="37" t="s">
        <v>4033</v>
      </c>
      <c r="H739" s="37" t="s">
        <v>4724</v>
      </c>
      <c r="I739" s="2">
        <v>2.7083333333333334E-2</v>
      </c>
      <c r="J739" s="176">
        <v>4.5138888888888892E-4</v>
      </c>
      <c r="K739" s="6">
        <v>39</v>
      </c>
      <c r="L739"/>
      <c r="M739" s="7" t="s">
        <v>670</v>
      </c>
      <c r="N739" s="7" t="s">
        <v>102</v>
      </c>
      <c r="O739" s="7" t="s">
        <v>23</v>
      </c>
      <c r="P739" s="7" t="s">
        <v>24</v>
      </c>
      <c r="Q739" s="7"/>
      <c r="R739">
        <v>0</v>
      </c>
      <c r="S739"/>
      <c r="T739" t="s">
        <v>176</v>
      </c>
      <c r="U739" t="s">
        <v>176</v>
      </c>
      <c r="V739" s="7" t="s">
        <v>115</v>
      </c>
      <c r="W739" s="7" t="s">
        <v>115</v>
      </c>
      <c r="X739" s="33" t="s">
        <v>115</v>
      </c>
      <c r="Y739" s="33" t="s">
        <v>115</v>
      </c>
      <c r="Z739" s="33" t="s">
        <v>115</v>
      </c>
      <c r="AA739" s="7" t="s">
        <v>115</v>
      </c>
      <c r="AB739" s="20" t="s">
        <v>115</v>
      </c>
      <c r="AC739" s="20"/>
      <c r="AD739" s="6">
        <v>37</v>
      </c>
      <c r="AE739" s="6">
        <v>0</v>
      </c>
      <c r="AF739" s="6">
        <v>0</v>
      </c>
      <c r="AG739" s="6">
        <v>37</v>
      </c>
      <c r="AH739" s="6">
        <v>0</v>
      </c>
      <c r="AI739" s="6">
        <v>0</v>
      </c>
      <c r="AJ739">
        <f t="shared" si="11"/>
        <v>37</v>
      </c>
      <c r="AK739"/>
      <c r="AL739"/>
      <c r="AM739"/>
      <c r="AN739"/>
      <c r="AQ739" s="34"/>
    </row>
    <row r="740" spans="1:47" x14ac:dyDescent="0.2">
      <c r="A740" t="s">
        <v>1822</v>
      </c>
      <c r="B740" t="s">
        <v>1823</v>
      </c>
      <c r="C740">
        <v>14</v>
      </c>
      <c r="D740">
        <v>1</v>
      </c>
      <c r="E740" t="s">
        <v>201</v>
      </c>
      <c r="F740" s="1">
        <v>43397</v>
      </c>
      <c r="G740" s="37" t="s">
        <v>4033</v>
      </c>
      <c r="H740" s="37" t="s">
        <v>4724</v>
      </c>
      <c r="I740" s="2">
        <v>6.2499999999999995E-3</v>
      </c>
      <c r="J740" s="176">
        <v>1.0416666666666667E-4</v>
      </c>
      <c r="K740" s="6">
        <v>9</v>
      </c>
      <c r="M740" s="7" t="s">
        <v>176</v>
      </c>
      <c r="N740" s="7" t="s">
        <v>102</v>
      </c>
      <c r="O740" s="7" t="s">
        <v>23</v>
      </c>
      <c r="P740" s="7">
        <v>1</v>
      </c>
      <c r="Q740" s="7"/>
      <c r="R740">
        <v>0</v>
      </c>
      <c r="T740" t="s">
        <v>176</v>
      </c>
      <c r="U740" t="s">
        <v>176</v>
      </c>
      <c r="V740" s="7" t="s">
        <v>1824</v>
      </c>
      <c r="W740" s="7" t="s">
        <v>115</v>
      </c>
      <c r="X740" s="33" t="s">
        <v>115</v>
      </c>
      <c r="Y740" s="33" t="s">
        <v>115</v>
      </c>
      <c r="Z740" s="33" t="s">
        <v>115</v>
      </c>
      <c r="AA740" s="7" t="s">
        <v>115</v>
      </c>
      <c r="AB740" s="20" t="s">
        <v>115</v>
      </c>
      <c r="AC740" s="20"/>
      <c r="AD740" s="6">
        <v>0</v>
      </c>
      <c r="AE740" s="6">
        <v>0</v>
      </c>
      <c r="AF740" s="6">
        <v>0</v>
      </c>
      <c r="AG740" s="6">
        <v>0</v>
      </c>
      <c r="AH740" s="6">
        <v>0</v>
      </c>
      <c r="AI740" s="6">
        <v>0</v>
      </c>
      <c r="AJ740">
        <f t="shared" si="11"/>
        <v>0</v>
      </c>
      <c r="AL740" t="s">
        <v>1825</v>
      </c>
    </row>
    <row r="741" spans="1:47" x14ac:dyDescent="0.2">
      <c r="A741" t="s">
        <v>1826</v>
      </c>
      <c r="B741" t="s">
        <v>1827</v>
      </c>
      <c r="C741">
        <v>15</v>
      </c>
      <c r="D741">
        <v>1</v>
      </c>
      <c r="E741" t="s">
        <v>201</v>
      </c>
      <c r="F741" s="1">
        <v>43397</v>
      </c>
      <c r="G741" s="37" t="s">
        <v>4033</v>
      </c>
      <c r="H741" s="37" t="s">
        <v>4724</v>
      </c>
      <c r="I741" s="2">
        <v>1.5972222222222224E-2</v>
      </c>
      <c r="J741" s="176">
        <v>2.6620370370370372E-4</v>
      </c>
      <c r="K741" s="6">
        <v>23</v>
      </c>
      <c r="M741" s="7" t="s">
        <v>176</v>
      </c>
      <c r="N741" s="7" t="s">
        <v>102</v>
      </c>
      <c r="O741" s="7" t="s">
        <v>23</v>
      </c>
      <c r="P741" s="7">
        <v>0</v>
      </c>
      <c r="Q741" s="7"/>
      <c r="R741">
        <v>0</v>
      </c>
      <c r="T741" t="s">
        <v>176</v>
      </c>
      <c r="U741" t="s">
        <v>176</v>
      </c>
      <c r="V741" s="7" t="s">
        <v>24</v>
      </c>
      <c r="W741" s="7" t="s">
        <v>115</v>
      </c>
      <c r="X741" s="33" t="s">
        <v>115</v>
      </c>
      <c r="Y741" s="33" t="s">
        <v>115</v>
      </c>
      <c r="Z741" s="33" t="s">
        <v>115</v>
      </c>
      <c r="AA741" s="7" t="s">
        <v>115</v>
      </c>
      <c r="AB741" s="20" t="s">
        <v>115</v>
      </c>
      <c r="AC741" s="20"/>
      <c r="AD741" s="6">
        <v>21</v>
      </c>
      <c r="AE741" s="6">
        <v>0</v>
      </c>
      <c r="AF741" s="6">
        <v>21</v>
      </c>
      <c r="AG741" s="6">
        <v>0</v>
      </c>
      <c r="AH741" s="6">
        <v>0</v>
      </c>
      <c r="AI741" s="6">
        <v>0</v>
      </c>
      <c r="AJ741">
        <f t="shared" si="11"/>
        <v>21</v>
      </c>
      <c r="AL741" t="s">
        <v>5023</v>
      </c>
      <c r="AO741" s="33"/>
      <c r="AP741" s="33"/>
      <c r="AQ741" s="34"/>
      <c r="AR741" s="33"/>
      <c r="AS741" s="33"/>
      <c r="AT741" s="33"/>
      <c r="AU741" s="33"/>
    </row>
    <row r="742" spans="1:47" x14ac:dyDescent="0.2">
      <c r="A742" t="s">
        <v>1828</v>
      </c>
      <c r="B742" t="s">
        <v>1829</v>
      </c>
      <c r="C742">
        <v>16</v>
      </c>
      <c r="D742">
        <v>1</v>
      </c>
      <c r="E742" t="s">
        <v>3171</v>
      </c>
      <c r="F742" s="1">
        <v>43397</v>
      </c>
      <c r="G742" s="37" t="s">
        <v>4033</v>
      </c>
      <c r="H742" s="37" t="s">
        <v>4724</v>
      </c>
      <c r="I742" s="2">
        <v>4.4444444444444446E-2</v>
      </c>
      <c r="J742" s="176">
        <v>7.407407407407407E-4</v>
      </c>
      <c r="K742" s="6">
        <v>64</v>
      </c>
      <c r="M742" s="7" t="s">
        <v>670</v>
      </c>
      <c r="N742" s="7" t="s">
        <v>102</v>
      </c>
      <c r="O742" s="7" t="s">
        <v>1307</v>
      </c>
      <c r="P742" s="7">
        <v>1</v>
      </c>
      <c r="Q742" s="7"/>
      <c r="R742">
        <v>0</v>
      </c>
      <c r="T742" t="s">
        <v>176</v>
      </c>
      <c r="U742" t="s">
        <v>176</v>
      </c>
      <c r="V742" s="7" t="s">
        <v>374</v>
      </c>
      <c r="W742" s="7" t="s">
        <v>115</v>
      </c>
      <c r="X742" s="33" t="s">
        <v>115</v>
      </c>
      <c r="Y742" s="33" t="s">
        <v>115</v>
      </c>
      <c r="Z742" s="33" t="s">
        <v>115</v>
      </c>
      <c r="AA742" s="7" t="s">
        <v>115</v>
      </c>
      <c r="AB742" s="20" t="s">
        <v>115</v>
      </c>
      <c r="AC742" s="20"/>
      <c r="AD742" s="6">
        <v>64</v>
      </c>
      <c r="AE742" s="6">
        <v>0</v>
      </c>
      <c r="AF742" s="6">
        <v>0</v>
      </c>
      <c r="AG742" s="6">
        <v>64</v>
      </c>
      <c r="AH742" s="6">
        <v>0</v>
      </c>
      <c r="AI742" s="6">
        <v>0</v>
      </c>
      <c r="AJ742">
        <f t="shared" si="11"/>
        <v>64</v>
      </c>
      <c r="AK742" t="s">
        <v>375</v>
      </c>
      <c r="AL742" t="s">
        <v>1830</v>
      </c>
      <c r="AM742">
        <v>1</v>
      </c>
      <c r="AN742">
        <v>0</v>
      </c>
    </row>
    <row r="743" spans="1:47" s="33" customFormat="1" x14ac:dyDescent="0.2">
      <c r="A743" t="s">
        <v>1831</v>
      </c>
      <c r="B743" t="s">
        <v>1832</v>
      </c>
      <c r="C743">
        <v>17</v>
      </c>
      <c r="D743">
        <v>1</v>
      </c>
      <c r="E743" t="s">
        <v>201</v>
      </c>
      <c r="F743" s="1">
        <v>43397</v>
      </c>
      <c r="G743" s="37" t="s">
        <v>4033</v>
      </c>
      <c r="H743" s="37" t="s">
        <v>4724</v>
      </c>
      <c r="I743" s="2">
        <v>1.8749999999999999E-2</v>
      </c>
      <c r="J743" s="176">
        <v>3.1250000000000001E-4</v>
      </c>
      <c r="K743" s="6">
        <v>27</v>
      </c>
      <c r="L743"/>
      <c r="M743" s="7" t="s">
        <v>176</v>
      </c>
      <c r="N743" s="7" t="s">
        <v>102</v>
      </c>
      <c r="O743" s="7" t="s">
        <v>23</v>
      </c>
      <c r="P743" s="7" t="s">
        <v>24</v>
      </c>
      <c r="Q743" s="7"/>
      <c r="R743">
        <v>0</v>
      </c>
      <c r="S743"/>
      <c r="T743"/>
      <c r="U743" t="s">
        <v>115</v>
      </c>
      <c r="V743" s="7" t="s">
        <v>115</v>
      </c>
      <c r="W743" s="7" t="s">
        <v>115</v>
      </c>
      <c r="X743" s="33" t="s">
        <v>115</v>
      </c>
      <c r="Y743" s="33" t="s">
        <v>115</v>
      </c>
      <c r="Z743" s="33" t="s">
        <v>115</v>
      </c>
      <c r="AA743" s="7" t="s">
        <v>115</v>
      </c>
      <c r="AB743" s="20" t="s">
        <v>115</v>
      </c>
      <c r="AC743" s="20"/>
      <c r="AD743" s="6">
        <v>27</v>
      </c>
      <c r="AE743" s="6">
        <v>0</v>
      </c>
      <c r="AF743" s="6">
        <v>0</v>
      </c>
      <c r="AG743" s="6">
        <v>27</v>
      </c>
      <c r="AH743" s="6">
        <v>0</v>
      </c>
      <c r="AI743" s="6">
        <v>0</v>
      </c>
      <c r="AJ743">
        <f t="shared" si="11"/>
        <v>27</v>
      </c>
      <c r="AK743"/>
      <c r="AL743"/>
      <c r="AM743"/>
      <c r="AN743"/>
      <c r="AQ743" s="34"/>
    </row>
    <row r="744" spans="1:47" x14ac:dyDescent="0.2">
      <c r="A744" t="s">
        <v>1833</v>
      </c>
      <c r="B744" t="s">
        <v>1834</v>
      </c>
      <c r="C744">
        <v>18</v>
      </c>
      <c r="D744">
        <v>1</v>
      </c>
      <c r="E744" t="s">
        <v>3171</v>
      </c>
      <c r="F744" s="1">
        <v>43397</v>
      </c>
      <c r="G744" s="37" t="s">
        <v>4033</v>
      </c>
      <c r="H744" s="37" t="s">
        <v>4724</v>
      </c>
      <c r="I744" s="2">
        <v>1.8749999999999999E-2</v>
      </c>
      <c r="J744" s="176">
        <v>3.1250000000000001E-4</v>
      </c>
      <c r="K744" s="6">
        <v>27</v>
      </c>
      <c r="M744" s="7" t="s">
        <v>670</v>
      </c>
      <c r="N744" s="7" t="s">
        <v>1835</v>
      </c>
      <c r="O744" s="7" t="s">
        <v>23</v>
      </c>
      <c r="P744" s="7">
        <v>1</v>
      </c>
      <c r="Q744" s="7"/>
      <c r="R744">
        <v>0</v>
      </c>
      <c r="T744" t="s">
        <v>461</v>
      </c>
      <c r="U744" t="s">
        <v>2118</v>
      </c>
      <c r="V744" s="7" t="s">
        <v>192</v>
      </c>
      <c r="W744" s="7" t="s">
        <v>115</v>
      </c>
      <c r="X744" s="33" t="s">
        <v>115</v>
      </c>
      <c r="Y744" s="33" t="s">
        <v>115</v>
      </c>
      <c r="Z744" s="33" t="s">
        <v>115</v>
      </c>
      <c r="AA744" s="7" t="s">
        <v>115</v>
      </c>
      <c r="AB744" s="20" t="s">
        <v>115</v>
      </c>
      <c r="AC744" s="20"/>
      <c r="AD744" s="6">
        <v>0</v>
      </c>
      <c r="AE744" s="6">
        <v>0</v>
      </c>
      <c r="AF744" s="6">
        <v>0</v>
      </c>
      <c r="AG744" s="6">
        <v>0</v>
      </c>
      <c r="AH744" s="6">
        <v>0</v>
      </c>
      <c r="AI744" s="6">
        <v>0</v>
      </c>
      <c r="AJ744">
        <f t="shared" si="11"/>
        <v>0</v>
      </c>
    </row>
    <row r="745" spans="1:47" x14ac:dyDescent="0.2">
      <c r="A745" t="s">
        <v>1836</v>
      </c>
      <c r="B745" t="s">
        <v>1837</v>
      </c>
      <c r="C745">
        <v>19</v>
      </c>
      <c r="D745">
        <v>1</v>
      </c>
      <c r="E745" t="s">
        <v>3171</v>
      </c>
      <c r="F745" s="1">
        <v>43397</v>
      </c>
      <c r="G745" s="37" t="s">
        <v>4033</v>
      </c>
      <c r="H745" s="37" t="s">
        <v>4724</v>
      </c>
      <c r="I745" s="2">
        <v>1.7361111111111112E-2</v>
      </c>
      <c r="J745" s="176">
        <v>2.8935185185185189E-4</v>
      </c>
      <c r="K745" s="6">
        <v>25</v>
      </c>
      <c r="M745" s="7" t="s">
        <v>670</v>
      </c>
      <c r="N745" s="7" t="s">
        <v>107</v>
      </c>
      <c r="O745" s="7" t="s">
        <v>23</v>
      </c>
      <c r="P745" s="7">
        <v>0</v>
      </c>
      <c r="Q745" s="7"/>
      <c r="R745">
        <v>0</v>
      </c>
      <c r="T745" t="s">
        <v>461</v>
      </c>
      <c r="U745" t="s">
        <v>2118</v>
      </c>
      <c r="V745" s="7" t="s">
        <v>192</v>
      </c>
      <c r="W745" s="7" t="s">
        <v>115</v>
      </c>
      <c r="X745" s="33" t="s">
        <v>115</v>
      </c>
      <c r="Y745" s="33" t="s">
        <v>115</v>
      </c>
      <c r="Z745" s="33" t="s">
        <v>115</v>
      </c>
      <c r="AA745" s="7" t="s">
        <v>115</v>
      </c>
      <c r="AB745" s="20" t="s">
        <v>115</v>
      </c>
      <c r="AC745" s="20"/>
      <c r="AD745" s="7">
        <v>0</v>
      </c>
      <c r="AE745" s="6">
        <v>0</v>
      </c>
      <c r="AF745" s="6">
        <v>0</v>
      </c>
      <c r="AG745" s="6">
        <v>0</v>
      </c>
      <c r="AH745" s="6">
        <v>0</v>
      </c>
      <c r="AI745" s="6">
        <v>0</v>
      </c>
      <c r="AJ745">
        <f t="shared" si="11"/>
        <v>0</v>
      </c>
      <c r="AL745" t="s">
        <v>1838</v>
      </c>
    </row>
    <row r="746" spans="1:47" x14ac:dyDescent="0.2">
      <c r="A746" t="s">
        <v>1839</v>
      </c>
      <c r="B746" t="s">
        <v>1840</v>
      </c>
      <c r="C746">
        <v>20</v>
      </c>
      <c r="D746">
        <v>1</v>
      </c>
      <c r="E746" t="s">
        <v>3171</v>
      </c>
      <c r="F746" s="1">
        <v>43397</v>
      </c>
      <c r="G746" s="37" t="s">
        <v>4033</v>
      </c>
      <c r="H746" s="37" t="s">
        <v>4724</v>
      </c>
      <c r="I746" s="2">
        <v>5.6944444444444443E-2</v>
      </c>
      <c r="J746" s="176">
        <v>9.4907407407407408E-4</v>
      </c>
      <c r="K746" s="6">
        <v>82</v>
      </c>
      <c r="M746" s="7" t="s">
        <v>670</v>
      </c>
      <c r="N746" s="7" t="s">
        <v>242</v>
      </c>
      <c r="O746" s="7" t="s">
        <v>1841</v>
      </c>
      <c r="P746" s="7">
        <v>0</v>
      </c>
      <c r="Q746" s="7"/>
      <c r="R746">
        <v>1</v>
      </c>
      <c r="T746" t="s">
        <v>461</v>
      </c>
      <c r="U746" t="s">
        <v>2118</v>
      </c>
      <c r="V746" s="7" t="s">
        <v>192</v>
      </c>
      <c r="W746" s="7" t="s">
        <v>1035</v>
      </c>
      <c r="X746" s="44" t="s">
        <v>23</v>
      </c>
      <c r="Y746" s="44" t="s">
        <v>3997</v>
      </c>
      <c r="Z746" s="44" t="s">
        <v>4006</v>
      </c>
      <c r="AA746" s="7">
        <v>8</v>
      </c>
      <c r="AB746" s="20">
        <v>63.724319999999999</v>
      </c>
      <c r="AC746" s="20">
        <v>148.95133999999999</v>
      </c>
      <c r="AD746" s="6">
        <v>0</v>
      </c>
      <c r="AE746" s="6">
        <v>0</v>
      </c>
      <c r="AF746" s="6">
        <v>0</v>
      </c>
      <c r="AG746" s="6">
        <v>0</v>
      </c>
      <c r="AH746" s="6">
        <v>0</v>
      </c>
      <c r="AI746" s="6">
        <v>0</v>
      </c>
      <c r="AJ746">
        <f t="shared" si="11"/>
        <v>0</v>
      </c>
      <c r="AL746" t="s">
        <v>1838</v>
      </c>
      <c r="AO746" s="33"/>
      <c r="AP746" s="33"/>
      <c r="AQ746" s="34"/>
      <c r="AR746" s="33"/>
      <c r="AS746" s="33"/>
      <c r="AT746" s="33"/>
      <c r="AU746" s="33"/>
    </row>
    <row r="747" spans="1:47" hidden="1" x14ac:dyDescent="0.2">
      <c r="A747" t="s">
        <v>1839</v>
      </c>
      <c r="B747" t="s">
        <v>1840</v>
      </c>
      <c r="C747">
        <v>20</v>
      </c>
      <c r="D747">
        <v>2</v>
      </c>
      <c r="E747" t="s">
        <v>3171</v>
      </c>
      <c r="F747" s="1">
        <v>43397</v>
      </c>
      <c r="G747" s="37" t="s">
        <v>4033</v>
      </c>
      <c r="H747" s="37" t="s">
        <v>4724</v>
      </c>
      <c r="I747" s="2">
        <v>5.6944444444444443E-2</v>
      </c>
      <c r="J747" s="176">
        <v>9.4907407407407408E-4</v>
      </c>
      <c r="K747" s="6">
        <v>82</v>
      </c>
      <c r="M747" s="7" t="s">
        <v>670</v>
      </c>
      <c r="N747" s="7" t="s">
        <v>242</v>
      </c>
      <c r="O747" s="7" t="s">
        <v>1841</v>
      </c>
      <c r="P747" s="7">
        <v>0</v>
      </c>
      <c r="Q747" s="7"/>
      <c r="R747">
        <v>1</v>
      </c>
      <c r="T747" t="s">
        <v>461</v>
      </c>
      <c r="U747" t="s">
        <v>2118</v>
      </c>
      <c r="V747" s="7" t="s">
        <v>192</v>
      </c>
      <c r="W747" s="7" t="s">
        <v>2097</v>
      </c>
      <c r="X747" s="44" t="s">
        <v>4017</v>
      </c>
      <c r="Y747" s="44" t="s">
        <v>4004</v>
      </c>
      <c r="Z747" s="44" t="s">
        <v>4005</v>
      </c>
      <c r="AA747" s="7">
        <v>8</v>
      </c>
      <c r="AB747" s="20">
        <v>63.724290000000003</v>
      </c>
      <c r="AC747" s="20">
        <v>148.95132000000001</v>
      </c>
      <c r="AD747" s="6">
        <v>0</v>
      </c>
      <c r="AE747" s="6">
        <v>0</v>
      </c>
      <c r="AF747" s="6">
        <v>0</v>
      </c>
      <c r="AG747" s="6">
        <v>0</v>
      </c>
      <c r="AH747" s="6">
        <v>0</v>
      </c>
      <c r="AI747" s="6">
        <v>0</v>
      </c>
      <c r="AJ747">
        <f t="shared" si="11"/>
        <v>0</v>
      </c>
      <c r="AL747" t="s">
        <v>1838</v>
      </c>
    </row>
    <row r="748" spans="1:47" x14ac:dyDescent="0.2">
      <c r="A748" s="33" t="s">
        <v>1842</v>
      </c>
      <c r="B748" s="33" t="s">
        <v>1843</v>
      </c>
      <c r="C748" s="33">
        <v>21</v>
      </c>
      <c r="D748" s="33">
        <v>1</v>
      </c>
      <c r="E748" t="s">
        <v>3171</v>
      </c>
      <c r="F748" s="37">
        <v>43397</v>
      </c>
      <c r="G748" s="37" t="s">
        <v>4033</v>
      </c>
      <c r="H748" s="37" t="s">
        <v>4724</v>
      </c>
      <c r="I748" s="36">
        <v>1.2499999999999999E-2</v>
      </c>
      <c r="J748" s="177">
        <v>2.0833333333333335E-4</v>
      </c>
      <c r="K748" s="39">
        <v>18</v>
      </c>
      <c r="L748" s="33"/>
      <c r="M748" s="7" t="s">
        <v>670</v>
      </c>
      <c r="N748" s="33" t="s">
        <v>102</v>
      </c>
      <c r="O748" s="33" t="s">
        <v>115</v>
      </c>
      <c r="P748" s="33" t="s">
        <v>24</v>
      </c>
      <c r="Q748" s="33"/>
      <c r="R748" s="33">
        <v>0</v>
      </c>
      <c r="S748" s="33"/>
      <c r="T748" s="33"/>
      <c r="U748" s="33" t="s">
        <v>115</v>
      </c>
      <c r="V748" s="33" t="s">
        <v>115</v>
      </c>
      <c r="W748" s="33" t="s">
        <v>115</v>
      </c>
      <c r="X748" s="33" t="s">
        <v>115</v>
      </c>
      <c r="Y748" s="33" t="s">
        <v>115</v>
      </c>
      <c r="Z748" s="33" t="s">
        <v>115</v>
      </c>
      <c r="AA748" s="33" t="s">
        <v>115</v>
      </c>
      <c r="AB748" s="35" t="s">
        <v>115</v>
      </c>
      <c r="AC748" s="35"/>
      <c r="AD748" s="39">
        <v>0</v>
      </c>
      <c r="AE748" s="39">
        <v>0</v>
      </c>
      <c r="AF748" s="39">
        <v>0</v>
      </c>
      <c r="AG748" s="39">
        <v>0</v>
      </c>
      <c r="AH748" s="39">
        <v>2</v>
      </c>
      <c r="AI748" s="39">
        <v>0</v>
      </c>
      <c r="AJ748" s="33">
        <f t="shared" si="11"/>
        <v>2</v>
      </c>
      <c r="AK748" s="33"/>
      <c r="AL748" s="33"/>
      <c r="AM748" s="33"/>
      <c r="AN748" s="33"/>
    </row>
    <row r="749" spans="1:47" x14ac:dyDescent="0.2">
      <c r="A749" t="s">
        <v>1844</v>
      </c>
      <c r="B749" t="s">
        <v>1845</v>
      </c>
      <c r="C749">
        <v>22</v>
      </c>
      <c r="D749">
        <v>1</v>
      </c>
      <c r="E749" t="s">
        <v>3171</v>
      </c>
      <c r="F749" s="1">
        <v>43397</v>
      </c>
      <c r="G749" s="37" t="s">
        <v>4033</v>
      </c>
      <c r="H749" s="37" t="s">
        <v>4724</v>
      </c>
      <c r="I749" s="2">
        <v>1.5972222222222224E-2</v>
      </c>
      <c r="J749" s="176">
        <v>2.6620370370370372E-4</v>
      </c>
      <c r="K749" s="6">
        <v>23</v>
      </c>
      <c r="M749" s="7" t="s">
        <v>670</v>
      </c>
      <c r="N749" s="7" t="s">
        <v>102</v>
      </c>
      <c r="O749" s="7" t="s">
        <v>23</v>
      </c>
      <c r="P749" s="7">
        <v>0</v>
      </c>
      <c r="Q749" s="7"/>
      <c r="R749">
        <v>0</v>
      </c>
      <c r="U749" t="s">
        <v>115</v>
      </c>
      <c r="V749" s="7" t="s">
        <v>115</v>
      </c>
      <c r="W749" s="7" t="s">
        <v>115</v>
      </c>
      <c r="X749" s="33" t="s">
        <v>115</v>
      </c>
      <c r="Y749" s="33" t="s">
        <v>115</v>
      </c>
      <c r="Z749" s="33" t="s">
        <v>115</v>
      </c>
      <c r="AA749" s="7" t="s">
        <v>115</v>
      </c>
      <c r="AB749" s="20" t="s">
        <v>115</v>
      </c>
      <c r="AC749" s="20"/>
      <c r="AD749" s="6">
        <v>0</v>
      </c>
      <c r="AE749" s="6">
        <v>21</v>
      </c>
      <c r="AF749" s="6">
        <v>0</v>
      </c>
      <c r="AG749" s="6">
        <v>21</v>
      </c>
      <c r="AH749" s="6">
        <v>0</v>
      </c>
      <c r="AI749" s="6">
        <v>0</v>
      </c>
      <c r="AJ749">
        <f t="shared" si="11"/>
        <v>21</v>
      </c>
      <c r="AK749" t="s">
        <v>188</v>
      </c>
      <c r="AO749" s="33"/>
      <c r="AP749" s="33"/>
      <c r="AQ749" s="34"/>
      <c r="AR749" s="33"/>
      <c r="AS749" s="33"/>
      <c r="AT749" s="33"/>
      <c r="AU749" s="33"/>
    </row>
    <row r="750" spans="1:47" x14ac:dyDescent="0.2">
      <c r="A750" t="s">
        <v>1846</v>
      </c>
      <c r="B750" t="s">
        <v>1847</v>
      </c>
      <c r="C750">
        <v>23</v>
      </c>
      <c r="D750">
        <v>1</v>
      </c>
      <c r="E750" t="s">
        <v>3171</v>
      </c>
      <c r="F750" s="1">
        <v>43397</v>
      </c>
      <c r="G750" s="37" t="s">
        <v>4033</v>
      </c>
      <c r="H750" s="37" t="s">
        <v>4724</v>
      </c>
      <c r="I750" s="2">
        <v>4.8611111111111112E-3</v>
      </c>
      <c r="J750" s="176">
        <v>8.1018518518518516E-5</v>
      </c>
      <c r="K750" s="6">
        <v>7</v>
      </c>
      <c r="M750" s="7" t="s">
        <v>670</v>
      </c>
      <c r="N750" s="7" t="s">
        <v>102</v>
      </c>
      <c r="O750" s="7" t="s">
        <v>23</v>
      </c>
      <c r="P750" s="7">
        <v>0</v>
      </c>
      <c r="Q750" s="7"/>
      <c r="R750">
        <v>0</v>
      </c>
      <c r="U750" t="s">
        <v>115</v>
      </c>
      <c r="V750" s="7" t="s">
        <v>115</v>
      </c>
      <c r="W750" s="7" t="s">
        <v>115</v>
      </c>
      <c r="X750" s="33" t="s">
        <v>115</v>
      </c>
      <c r="Y750" s="33" t="s">
        <v>115</v>
      </c>
      <c r="Z750" s="33" t="s">
        <v>115</v>
      </c>
      <c r="AA750" s="7" t="s">
        <v>115</v>
      </c>
      <c r="AB750" s="20" t="s">
        <v>115</v>
      </c>
      <c r="AC750" s="20"/>
      <c r="AD750" s="6">
        <v>6</v>
      </c>
      <c r="AE750" s="6">
        <v>0</v>
      </c>
      <c r="AF750" s="6">
        <v>6</v>
      </c>
      <c r="AG750" s="6">
        <v>0</v>
      </c>
      <c r="AH750" s="6">
        <v>0</v>
      </c>
      <c r="AI750" s="6">
        <v>0</v>
      </c>
      <c r="AJ750">
        <f t="shared" si="11"/>
        <v>6</v>
      </c>
      <c r="AK750" t="s">
        <v>188</v>
      </c>
    </row>
    <row r="751" spans="1:47" x14ac:dyDescent="0.2">
      <c r="A751" t="s">
        <v>1849</v>
      </c>
      <c r="B751" t="s">
        <v>1848</v>
      </c>
      <c r="C751">
        <v>24</v>
      </c>
      <c r="D751">
        <v>1</v>
      </c>
      <c r="E751" t="s">
        <v>3171</v>
      </c>
      <c r="F751" s="1">
        <v>43397</v>
      </c>
      <c r="G751" s="37" t="s">
        <v>4033</v>
      </c>
      <c r="H751" s="37" t="s">
        <v>4724</v>
      </c>
      <c r="I751" s="2">
        <v>1.5972222222222224E-2</v>
      </c>
      <c r="J751" s="176">
        <v>2.6620370370370372E-4</v>
      </c>
      <c r="K751" s="6">
        <v>23</v>
      </c>
      <c r="M751" s="7" t="s">
        <v>670</v>
      </c>
      <c r="N751" s="7" t="s">
        <v>111</v>
      </c>
      <c r="O751" s="7" t="s">
        <v>23</v>
      </c>
      <c r="P751" s="7">
        <v>0</v>
      </c>
      <c r="Q751" s="7"/>
      <c r="R751">
        <v>1</v>
      </c>
      <c r="T751" t="s">
        <v>176</v>
      </c>
      <c r="U751" t="s">
        <v>176</v>
      </c>
      <c r="V751" s="7" t="s">
        <v>24</v>
      </c>
      <c r="W751" s="7" t="s">
        <v>709</v>
      </c>
      <c r="X751" s="44" t="s">
        <v>23</v>
      </c>
      <c r="Y751" s="44" t="s">
        <v>4004</v>
      </c>
      <c r="Z751" s="44" t="s">
        <v>4005</v>
      </c>
      <c r="AA751" s="7" t="s">
        <v>24</v>
      </c>
      <c r="AB751" s="20">
        <v>63.722619999999999</v>
      </c>
      <c r="AC751" s="20">
        <v>148.95219</v>
      </c>
      <c r="AD751" s="6">
        <v>0</v>
      </c>
      <c r="AE751" s="6">
        <v>0</v>
      </c>
      <c r="AF751" s="6">
        <v>0</v>
      </c>
      <c r="AG751" s="6">
        <v>0</v>
      </c>
      <c r="AH751" s="6">
        <v>0</v>
      </c>
      <c r="AI751" s="6">
        <v>0</v>
      </c>
      <c r="AJ751">
        <f t="shared" si="11"/>
        <v>0</v>
      </c>
      <c r="AL751" t="s">
        <v>4894</v>
      </c>
    </row>
    <row r="752" spans="1:47" x14ac:dyDescent="0.2">
      <c r="A752" t="s">
        <v>1850</v>
      </c>
      <c r="B752" t="s">
        <v>1851</v>
      </c>
      <c r="C752">
        <v>25</v>
      </c>
      <c r="D752">
        <v>1</v>
      </c>
      <c r="E752" t="s">
        <v>3171</v>
      </c>
      <c r="F752" s="1">
        <v>43397</v>
      </c>
      <c r="G752" s="37" t="s">
        <v>4033</v>
      </c>
      <c r="H752" s="37" t="s">
        <v>4724</v>
      </c>
      <c r="I752" s="2">
        <v>3.472222222222222E-3</v>
      </c>
      <c r="J752" s="176">
        <v>5.7870370370370366E-5</v>
      </c>
      <c r="K752" s="6">
        <v>5</v>
      </c>
      <c r="M752" s="7" t="s">
        <v>670</v>
      </c>
      <c r="N752" s="7" t="s">
        <v>102</v>
      </c>
      <c r="O752" s="7" t="s">
        <v>23</v>
      </c>
      <c r="P752" s="7">
        <v>1</v>
      </c>
      <c r="Q752" s="7"/>
      <c r="R752">
        <v>0</v>
      </c>
      <c r="T752" t="s">
        <v>176</v>
      </c>
      <c r="U752" t="s">
        <v>176</v>
      </c>
      <c r="V752" s="7" t="s">
        <v>1854</v>
      </c>
      <c r="W752" s="7" t="s">
        <v>115</v>
      </c>
      <c r="X752" s="33" t="s">
        <v>115</v>
      </c>
      <c r="Y752" s="33" t="s">
        <v>115</v>
      </c>
      <c r="Z752" s="33" t="s">
        <v>115</v>
      </c>
      <c r="AA752" s="7" t="s">
        <v>115</v>
      </c>
      <c r="AB752" s="20" t="s">
        <v>115</v>
      </c>
      <c r="AC752" s="20"/>
      <c r="AD752" s="6">
        <v>0</v>
      </c>
      <c r="AE752" s="6">
        <v>0</v>
      </c>
      <c r="AF752" s="6">
        <v>0</v>
      </c>
      <c r="AG752" s="6">
        <v>0</v>
      </c>
      <c r="AH752" s="6">
        <v>0</v>
      </c>
      <c r="AI752" s="6">
        <v>0</v>
      </c>
      <c r="AJ752">
        <f t="shared" si="11"/>
        <v>0</v>
      </c>
      <c r="AL752" t="s">
        <v>1092</v>
      </c>
    </row>
    <row r="753" spans="1:47" s="33" customFormat="1" x14ac:dyDescent="0.2">
      <c r="A753" t="s">
        <v>1855</v>
      </c>
      <c r="B753" t="s">
        <v>1856</v>
      </c>
      <c r="C753">
        <v>27</v>
      </c>
      <c r="D753">
        <v>1</v>
      </c>
      <c r="E753" t="s">
        <v>3171</v>
      </c>
      <c r="F753" s="1">
        <v>43397</v>
      </c>
      <c r="G753" s="37" t="s">
        <v>4033</v>
      </c>
      <c r="H753" s="37" t="s">
        <v>4724</v>
      </c>
      <c r="I753" s="2">
        <v>2.2222222222222223E-2</v>
      </c>
      <c r="J753" s="176">
        <v>3.7037037037037035E-4</v>
      </c>
      <c r="K753" s="6">
        <v>32</v>
      </c>
      <c r="L753"/>
      <c r="M753" s="7" t="s">
        <v>670</v>
      </c>
      <c r="N753" s="7" t="s">
        <v>102</v>
      </c>
      <c r="O753" s="7" t="s">
        <v>23</v>
      </c>
      <c r="P753" s="7" t="s">
        <v>24</v>
      </c>
      <c r="Q753" s="7"/>
      <c r="R753">
        <v>0</v>
      </c>
      <c r="S753"/>
      <c r="T753" t="s">
        <v>176</v>
      </c>
      <c r="U753" t="s">
        <v>176</v>
      </c>
      <c r="V753" s="7" t="s">
        <v>115</v>
      </c>
      <c r="W753" s="7" t="s">
        <v>115</v>
      </c>
      <c r="X753" s="33" t="s">
        <v>115</v>
      </c>
      <c r="Y753" s="33" t="s">
        <v>115</v>
      </c>
      <c r="Z753" s="33" t="s">
        <v>115</v>
      </c>
      <c r="AA753" s="7" t="s">
        <v>115</v>
      </c>
      <c r="AB753" s="20" t="s">
        <v>115</v>
      </c>
      <c r="AC753" s="20"/>
      <c r="AD753" s="6">
        <v>7</v>
      </c>
      <c r="AE753" s="6">
        <v>24</v>
      </c>
      <c r="AF753" s="6">
        <v>14</v>
      </c>
      <c r="AG753" s="6">
        <v>17</v>
      </c>
      <c r="AH753" s="6">
        <v>0</v>
      </c>
      <c r="AI753" s="6">
        <v>0</v>
      </c>
      <c r="AJ753">
        <f t="shared" si="11"/>
        <v>31</v>
      </c>
      <c r="AK753"/>
      <c r="AL753"/>
      <c r="AM753"/>
      <c r="AN753"/>
      <c r="AO753"/>
      <c r="AP753"/>
      <c r="AQ753"/>
      <c r="AR753"/>
      <c r="AS753"/>
      <c r="AT753"/>
      <c r="AU753"/>
    </row>
    <row r="754" spans="1:47" x14ac:dyDescent="0.2">
      <c r="A754" t="s">
        <v>1857</v>
      </c>
      <c r="B754" t="s">
        <v>1859</v>
      </c>
      <c r="C754">
        <v>1</v>
      </c>
      <c r="D754">
        <v>1</v>
      </c>
      <c r="E754" t="s">
        <v>1858</v>
      </c>
      <c r="F754" s="1">
        <v>43398</v>
      </c>
      <c r="G754" s="37" t="s">
        <v>4033</v>
      </c>
      <c r="H754" s="37" t="s">
        <v>4724</v>
      </c>
      <c r="I754" s="2">
        <v>9.7222222222222224E-3</v>
      </c>
      <c r="J754" s="176">
        <v>1.6203703703703703E-4</v>
      </c>
      <c r="K754" s="6">
        <v>14</v>
      </c>
      <c r="M754" s="7" t="s">
        <v>255</v>
      </c>
      <c r="N754" s="7" t="s">
        <v>102</v>
      </c>
      <c r="O754" s="7" t="s">
        <v>23</v>
      </c>
      <c r="P754" s="7">
        <v>1</v>
      </c>
      <c r="Q754" s="7"/>
      <c r="R754">
        <v>0</v>
      </c>
      <c r="T754" t="s">
        <v>176</v>
      </c>
      <c r="U754" t="s">
        <v>176</v>
      </c>
      <c r="V754" s="7" t="s">
        <v>487</v>
      </c>
      <c r="W754" s="7" t="s">
        <v>115</v>
      </c>
      <c r="X754" s="33" t="s">
        <v>115</v>
      </c>
      <c r="Y754" s="33" t="s">
        <v>115</v>
      </c>
      <c r="Z754" s="33" t="s">
        <v>115</v>
      </c>
      <c r="AA754" s="7" t="s">
        <v>115</v>
      </c>
      <c r="AB754" s="20" t="s">
        <v>115</v>
      </c>
      <c r="AC754" s="20"/>
      <c r="AD754" s="6">
        <v>14</v>
      </c>
      <c r="AE754" s="6">
        <v>0</v>
      </c>
      <c r="AF754" s="6">
        <v>0</v>
      </c>
      <c r="AG754" s="6">
        <v>14</v>
      </c>
      <c r="AH754" s="6">
        <v>0</v>
      </c>
      <c r="AI754" s="6">
        <v>0</v>
      </c>
      <c r="AJ754">
        <f t="shared" si="11"/>
        <v>14</v>
      </c>
      <c r="AK754" t="s">
        <v>16</v>
      </c>
      <c r="AM754">
        <v>0</v>
      </c>
      <c r="AN754">
        <v>1</v>
      </c>
      <c r="AO754" s="33"/>
      <c r="AP754" s="33"/>
      <c r="AQ754" s="34" t="s">
        <v>3948</v>
      </c>
      <c r="AR754" s="33"/>
      <c r="AS754" s="33"/>
      <c r="AT754" s="33"/>
      <c r="AU754" s="33"/>
    </row>
    <row r="755" spans="1:47" x14ac:dyDescent="0.2">
      <c r="A755" t="s">
        <v>1860</v>
      </c>
      <c r="B755" t="s">
        <v>1861</v>
      </c>
      <c r="C755">
        <v>1</v>
      </c>
      <c r="D755">
        <v>1</v>
      </c>
      <c r="E755" t="s">
        <v>2462</v>
      </c>
      <c r="F755" s="1">
        <v>43398</v>
      </c>
      <c r="G755" s="37" t="s">
        <v>4033</v>
      </c>
      <c r="H755" s="37" t="s">
        <v>4724</v>
      </c>
      <c r="I755" s="2">
        <v>8.3333333333333332E-3</v>
      </c>
      <c r="J755" s="176">
        <v>1.3888888888888889E-4</v>
      </c>
      <c r="K755" s="6">
        <v>12</v>
      </c>
      <c r="M755" s="7" t="s">
        <v>64</v>
      </c>
      <c r="N755" s="7" t="s">
        <v>102</v>
      </c>
      <c r="O755" s="7" t="s">
        <v>23</v>
      </c>
      <c r="P755" s="7">
        <v>1</v>
      </c>
      <c r="Q755" s="7"/>
      <c r="R755">
        <v>0</v>
      </c>
      <c r="T755" t="s">
        <v>176</v>
      </c>
      <c r="U755" t="s">
        <v>176</v>
      </c>
      <c r="V755" s="7" t="s">
        <v>948</v>
      </c>
      <c r="X755" s="33" t="s">
        <v>115</v>
      </c>
      <c r="Y755" s="33" t="s">
        <v>115</v>
      </c>
      <c r="Z755" s="33" t="s">
        <v>115</v>
      </c>
      <c r="AA755" s="7" t="s">
        <v>115</v>
      </c>
      <c r="AB755" s="20" t="s">
        <v>115</v>
      </c>
      <c r="AC755" s="20"/>
      <c r="AD755" s="6">
        <v>0</v>
      </c>
      <c r="AE755" s="6">
        <v>10</v>
      </c>
      <c r="AF755" s="6">
        <v>0</v>
      </c>
      <c r="AG755" s="6">
        <v>10</v>
      </c>
      <c r="AH755" s="6">
        <v>0</v>
      </c>
      <c r="AI755" s="6">
        <v>0</v>
      </c>
      <c r="AJ755">
        <f t="shared" si="11"/>
        <v>10</v>
      </c>
      <c r="AK755" t="s">
        <v>16</v>
      </c>
      <c r="AM755">
        <v>0</v>
      </c>
      <c r="AN755">
        <v>1</v>
      </c>
    </row>
    <row r="756" spans="1:47" x14ac:dyDescent="0.2">
      <c r="A756" t="s">
        <v>1862</v>
      </c>
      <c r="B756" t="s">
        <v>1863</v>
      </c>
      <c r="C756">
        <v>2</v>
      </c>
      <c r="D756">
        <v>1</v>
      </c>
      <c r="E756" t="s">
        <v>2462</v>
      </c>
      <c r="F756" s="1">
        <v>43398</v>
      </c>
      <c r="G756" s="37" t="s">
        <v>4033</v>
      </c>
      <c r="H756" s="37" t="s">
        <v>4724</v>
      </c>
      <c r="I756" s="2">
        <v>2.4305555555555556E-2</v>
      </c>
      <c r="J756" s="176">
        <v>4.0509259259259258E-4</v>
      </c>
      <c r="K756" s="6">
        <v>35</v>
      </c>
      <c r="M756" s="7" t="s">
        <v>64</v>
      </c>
      <c r="N756" s="7" t="s">
        <v>102</v>
      </c>
      <c r="O756" s="7" t="s">
        <v>23</v>
      </c>
      <c r="P756" s="7" t="s">
        <v>24</v>
      </c>
      <c r="Q756" s="7"/>
      <c r="R756">
        <v>0</v>
      </c>
      <c r="T756" t="s">
        <v>176</v>
      </c>
      <c r="U756" t="s">
        <v>176</v>
      </c>
      <c r="V756" s="7" t="s">
        <v>115</v>
      </c>
      <c r="W756" s="7" t="s">
        <v>115</v>
      </c>
      <c r="X756" s="33" t="s">
        <v>115</v>
      </c>
      <c r="Y756" s="33" t="s">
        <v>115</v>
      </c>
      <c r="Z756" s="33" t="s">
        <v>115</v>
      </c>
      <c r="AA756" s="7" t="s">
        <v>115</v>
      </c>
      <c r="AB756" s="20" t="s">
        <v>115</v>
      </c>
      <c r="AC756" s="20"/>
      <c r="AD756" s="6">
        <v>0</v>
      </c>
      <c r="AE756" s="6">
        <v>35</v>
      </c>
      <c r="AF756" s="6">
        <v>0</v>
      </c>
      <c r="AG756" s="6">
        <v>35</v>
      </c>
      <c r="AH756" s="6">
        <v>0</v>
      </c>
      <c r="AI756" s="6">
        <v>0</v>
      </c>
      <c r="AJ756">
        <f t="shared" si="11"/>
        <v>35</v>
      </c>
    </row>
    <row r="757" spans="1:47" x14ac:dyDescent="0.2">
      <c r="A757" t="s">
        <v>1864</v>
      </c>
      <c r="B757" t="s">
        <v>1865</v>
      </c>
      <c r="C757">
        <v>3</v>
      </c>
      <c r="D757">
        <v>1</v>
      </c>
      <c r="E757" t="s">
        <v>2462</v>
      </c>
      <c r="F757" s="1">
        <v>43398</v>
      </c>
      <c r="G757" s="37" t="s">
        <v>4033</v>
      </c>
      <c r="H757" s="37" t="s">
        <v>4724</v>
      </c>
      <c r="I757" s="2">
        <v>2.5694444444444447E-2</v>
      </c>
      <c r="J757" s="176">
        <v>4.2824074074074075E-4</v>
      </c>
      <c r="K757" s="6">
        <v>37</v>
      </c>
      <c r="M757" s="7" t="s">
        <v>64</v>
      </c>
      <c r="N757" s="7" t="s">
        <v>102</v>
      </c>
      <c r="O757" s="7" t="s">
        <v>23</v>
      </c>
      <c r="P757" s="7" t="s">
        <v>24</v>
      </c>
      <c r="Q757" s="7"/>
      <c r="R757">
        <v>0</v>
      </c>
      <c r="U757" t="s">
        <v>115</v>
      </c>
      <c r="V757" s="7" t="s">
        <v>115</v>
      </c>
      <c r="W757" s="7" t="s">
        <v>115</v>
      </c>
      <c r="X757" s="33" t="s">
        <v>115</v>
      </c>
      <c r="Y757" s="33" t="s">
        <v>115</v>
      </c>
      <c r="Z757" s="33" t="s">
        <v>115</v>
      </c>
      <c r="AA757" s="7" t="s">
        <v>115</v>
      </c>
      <c r="AB757" s="20" t="s">
        <v>115</v>
      </c>
      <c r="AC757" s="20"/>
      <c r="AD757" s="6">
        <v>0</v>
      </c>
      <c r="AE757" s="6">
        <f>26+11</f>
        <v>37</v>
      </c>
      <c r="AF757" s="6">
        <v>11</v>
      </c>
      <c r="AG757" s="6">
        <v>26</v>
      </c>
      <c r="AH757" s="6">
        <v>0</v>
      </c>
      <c r="AI757" s="6">
        <v>0</v>
      </c>
      <c r="AJ757">
        <f t="shared" si="11"/>
        <v>37</v>
      </c>
      <c r="AO757" s="33"/>
      <c r="AP757" s="33"/>
      <c r="AQ757" s="34"/>
      <c r="AR757" s="33"/>
      <c r="AS757" s="33"/>
      <c r="AT757" s="33"/>
      <c r="AU757" s="33"/>
    </row>
    <row r="758" spans="1:47" x14ac:dyDescent="0.2">
      <c r="A758" t="s">
        <v>1866</v>
      </c>
      <c r="B758" t="s">
        <v>1867</v>
      </c>
      <c r="C758">
        <v>4</v>
      </c>
      <c r="D758">
        <v>1</v>
      </c>
      <c r="E758" t="s">
        <v>2462</v>
      </c>
      <c r="F758" s="1">
        <v>43398</v>
      </c>
      <c r="G758" s="37" t="s">
        <v>4033</v>
      </c>
      <c r="H758" s="37" t="s">
        <v>4724</v>
      </c>
      <c r="I758" s="2">
        <v>2.6388888888888889E-2</v>
      </c>
      <c r="J758" s="176">
        <v>4.3981481481481481E-4</v>
      </c>
      <c r="K758" s="6">
        <v>38</v>
      </c>
      <c r="M758" s="7" t="s">
        <v>363</v>
      </c>
      <c r="N758" s="7" t="s">
        <v>102</v>
      </c>
      <c r="O758" s="7" t="s">
        <v>919</v>
      </c>
      <c r="P758" s="7">
        <v>0</v>
      </c>
      <c r="Q758" s="7"/>
      <c r="R758">
        <v>0</v>
      </c>
      <c r="U758" t="s">
        <v>115</v>
      </c>
      <c r="V758" s="7" t="s">
        <v>115</v>
      </c>
      <c r="W758" s="7" t="s">
        <v>115</v>
      </c>
      <c r="X758" s="33" t="s">
        <v>115</v>
      </c>
      <c r="Y758" s="33" t="s">
        <v>115</v>
      </c>
      <c r="Z758" s="33" t="s">
        <v>115</v>
      </c>
      <c r="AA758" s="7" t="s">
        <v>115</v>
      </c>
      <c r="AB758" s="20" t="s">
        <v>115</v>
      </c>
      <c r="AC758" s="20"/>
      <c r="AD758" s="6">
        <v>19</v>
      </c>
      <c r="AE758" s="6">
        <v>8</v>
      </c>
      <c r="AF758" s="6">
        <v>8</v>
      </c>
      <c r="AG758" s="6">
        <v>19</v>
      </c>
      <c r="AH758" s="6">
        <v>0</v>
      </c>
      <c r="AI758" s="6">
        <v>0</v>
      </c>
      <c r="AJ758">
        <f t="shared" si="11"/>
        <v>27</v>
      </c>
      <c r="AK758" t="s">
        <v>375</v>
      </c>
      <c r="AM758">
        <v>1</v>
      </c>
      <c r="AN758">
        <v>0</v>
      </c>
    </row>
    <row r="759" spans="1:47" x14ac:dyDescent="0.2">
      <c r="A759" t="s">
        <v>1868</v>
      </c>
      <c r="B759" t="s">
        <v>1873</v>
      </c>
      <c r="C759">
        <v>5</v>
      </c>
      <c r="D759">
        <v>1</v>
      </c>
      <c r="E759" t="s">
        <v>2462</v>
      </c>
      <c r="F759" s="1">
        <v>43398</v>
      </c>
      <c r="G759" s="37" t="s">
        <v>4033</v>
      </c>
      <c r="H759" s="37" t="s">
        <v>4724</v>
      </c>
      <c r="I759" s="2">
        <v>3.2638888888888891E-2</v>
      </c>
      <c r="J759" s="176">
        <v>5.4398148148148144E-4</v>
      </c>
      <c r="K759" s="6">
        <v>47</v>
      </c>
      <c r="M759" s="7" t="s">
        <v>64</v>
      </c>
      <c r="N759" s="7" t="s">
        <v>111</v>
      </c>
      <c r="O759" s="7" t="s">
        <v>12</v>
      </c>
      <c r="P759" s="7">
        <v>0</v>
      </c>
      <c r="Q759" s="7"/>
      <c r="R759">
        <v>1</v>
      </c>
      <c r="T759" t="s">
        <v>176</v>
      </c>
      <c r="U759" t="s">
        <v>176</v>
      </c>
      <c r="V759" s="7" t="s">
        <v>24</v>
      </c>
      <c r="W759" s="7" t="s">
        <v>1869</v>
      </c>
      <c r="X759" s="33" t="s">
        <v>12</v>
      </c>
      <c r="Y759" s="33" t="s">
        <v>3997</v>
      </c>
      <c r="Z759" s="33" t="s">
        <v>4005</v>
      </c>
      <c r="AA759" s="7" t="s">
        <v>24</v>
      </c>
      <c r="AB759" s="20">
        <v>63.73254</v>
      </c>
      <c r="AC759" s="20">
        <v>148.89940000000001</v>
      </c>
      <c r="AD759" s="6">
        <v>0</v>
      </c>
      <c r="AE759" s="6">
        <v>0</v>
      </c>
      <c r="AF759" s="6">
        <v>0</v>
      </c>
      <c r="AG759" s="6">
        <v>0</v>
      </c>
      <c r="AH759" s="6">
        <v>0</v>
      </c>
      <c r="AI759" s="6">
        <v>0</v>
      </c>
      <c r="AJ759">
        <f t="shared" si="11"/>
        <v>0</v>
      </c>
      <c r="AL759" t="s">
        <v>5024</v>
      </c>
    </row>
    <row r="760" spans="1:47" x14ac:dyDescent="0.2">
      <c r="A760" s="33" t="s">
        <v>1871</v>
      </c>
      <c r="B760" s="33" t="s">
        <v>1872</v>
      </c>
      <c r="C760" s="33">
        <v>6</v>
      </c>
      <c r="D760" s="33">
        <v>1</v>
      </c>
      <c r="E760" s="33" t="s">
        <v>2462</v>
      </c>
      <c r="F760" s="37">
        <v>43398</v>
      </c>
      <c r="G760" s="37" t="s">
        <v>4033</v>
      </c>
      <c r="H760" s="37" t="s">
        <v>4724</v>
      </c>
      <c r="I760" s="36">
        <v>1.1111111111111112E-2</v>
      </c>
      <c r="J760" s="177">
        <v>1.8518518518518518E-4</v>
      </c>
      <c r="K760" s="39">
        <v>16</v>
      </c>
      <c r="L760" s="33"/>
      <c r="M760" s="33" t="s">
        <v>363</v>
      </c>
      <c r="N760" s="33" t="s">
        <v>102</v>
      </c>
      <c r="O760" s="33" t="s">
        <v>23</v>
      </c>
      <c r="P760" s="33">
        <v>0</v>
      </c>
      <c r="Q760" s="33"/>
      <c r="R760" s="33">
        <v>0</v>
      </c>
      <c r="S760" s="33"/>
      <c r="T760" s="33"/>
      <c r="U760" s="33" t="s">
        <v>115</v>
      </c>
      <c r="V760" s="33" t="s">
        <v>115</v>
      </c>
      <c r="W760" s="33" t="s">
        <v>115</v>
      </c>
      <c r="X760" s="33" t="s">
        <v>115</v>
      </c>
      <c r="Y760" s="33" t="s">
        <v>115</v>
      </c>
      <c r="Z760" s="33" t="s">
        <v>115</v>
      </c>
      <c r="AA760" s="33" t="s">
        <v>115</v>
      </c>
      <c r="AB760" s="35" t="s">
        <v>115</v>
      </c>
      <c r="AC760" s="35"/>
      <c r="AD760" s="39">
        <v>11</v>
      </c>
      <c r="AE760" s="39">
        <v>0</v>
      </c>
      <c r="AF760" s="39">
        <v>11</v>
      </c>
      <c r="AG760" s="39">
        <v>0</v>
      </c>
      <c r="AH760" s="39">
        <v>6</v>
      </c>
      <c r="AI760" s="39">
        <v>0</v>
      </c>
      <c r="AJ760" s="33">
        <f t="shared" si="11"/>
        <v>17</v>
      </c>
      <c r="AK760" s="33"/>
      <c r="AL760" s="33"/>
      <c r="AM760" s="33"/>
      <c r="AN760" s="33"/>
      <c r="AO760" s="33"/>
      <c r="AP760" s="33"/>
      <c r="AQ760" s="34"/>
      <c r="AR760" s="33"/>
      <c r="AS760" s="33"/>
      <c r="AT760" s="33"/>
      <c r="AU760" s="33"/>
    </row>
    <row r="761" spans="1:47" x14ac:dyDescent="0.2">
      <c r="A761" s="33" t="s">
        <v>1874</v>
      </c>
      <c r="B761" s="33" t="s">
        <v>1875</v>
      </c>
      <c r="C761" s="33">
        <v>7</v>
      </c>
      <c r="D761" s="33">
        <v>1</v>
      </c>
      <c r="E761" s="33" t="s">
        <v>2462</v>
      </c>
      <c r="F761" s="37">
        <v>43398</v>
      </c>
      <c r="G761" s="37" t="s">
        <v>4033</v>
      </c>
      <c r="H761" s="37" t="s">
        <v>4724</v>
      </c>
      <c r="I761" s="36">
        <v>4.4444444444444446E-2</v>
      </c>
      <c r="J761" s="177">
        <v>7.407407407407407E-4</v>
      </c>
      <c r="K761" s="39">
        <v>64</v>
      </c>
      <c r="L761" s="33"/>
      <c r="M761" s="33" t="s">
        <v>64</v>
      </c>
      <c r="N761" s="33" t="s">
        <v>156</v>
      </c>
      <c r="O761" s="33" t="s">
        <v>23</v>
      </c>
      <c r="P761" s="33">
        <v>1</v>
      </c>
      <c r="Q761" s="33"/>
      <c r="R761" s="33">
        <v>1</v>
      </c>
      <c r="S761" s="33"/>
      <c r="T761" t="s">
        <v>112</v>
      </c>
      <c r="U761" s="33" t="s">
        <v>2111</v>
      </c>
      <c r="V761" s="33" t="s">
        <v>192</v>
      </c>
      <c r="W761" s="7" t="s">
        <v>1035</v>
      </c>
      <c r="X761" s="33" t="s">
        <v>23</v>
      </c>
      <c r="Y761" s="33" t="s">
        <v>3997</v>
      </c>
      <c r="Z761" s="33" t="s">
        <v>4006</v>
      </c>
      <c r="AA761" s="33">
        <v>6</v>
      </c>
      <c r="AB761" s="35">
        <v>63.732669999999999</v>
      </c>
      <c r="AC761" s="35">
        <v>148.89955</v>
      </c>
      <c r="AD761" s="39">
        <v>29</v>
      </c>
      <c r="AE761" s="39">
        <v>0</v>
      </c>
      <c r="AF761" s="39">
        <v>0</v>
      </c>
      <c r="AG761" s="39">
        <v>29</v>
      </c>
      <c r="AH761" s="39">
        <v>9</v>
      </c>
      <c r="AI761" s="39">
        <v>0</v>
      </c>
      <c r="AJ761" s="33">
        <f t="shared" si="11"/>
        <v>38</v>
      </c>
      <c r="AK761" s="33"/>
      <c r="AL761" s="33"/>
      <c r="AM761" s="33"/>
      <c r="AN761" s="33"/>
    </row>
    <row r="762" spans="1:47" x14ac:dyDescent="0.2">
      <c r="A762" t="s">
        <v>1876</v>
      </c>
      <c r="B762" t="s">
        <v>1877</v>
      </c>
      <c r="C762">
        <v>8</v>
      </c>
      <c r="D762">
        <v>1</v>
      </c>
      <c r="E762" t="s">
        <v>2462</v>
      </c>
      <c r="F762" s="1">
        <v>43398</v>
      </c>
      <c r="G762" s="37" t="s">
        <v>4033</v>
      </c>
      <c r="H762" s="37" t="s">
        <v>4724</v>
      </c>
      <c r="I762" s="2">
        <v>5.5555555555555558E-3</v>
      </c>
      <c r="J762" s="176">
        <v>9.2592592592592588E-5</v>
      </c>
      <c r="K762" s="6">
        <v>8</v>
      </c>
      <c r="M762" s="7" t="s">
        <v>363</v>
      </c>
      <c r="N762" s="7" t="s">
        <v>107</v>
      </c>
      <c r="O762" s="7" t="s">
        <v>23</v>
      </c>
      <c r="P762" s="7">
        <v>1</v>
      </c>
      <c r="Q762" s="7"/>
      <c r="R762">
        <v>0</v>
      </c>
      <c r="T762" t="s">
        <v>176</v>
      </c>
      <c r="U762" t="s">
        <v>176</v>
      </c>
      <c r="V762" s="7" t="s">
        <v>24</v>
      </c>
      <c r="W762" s="7" t="s">
        <v>115</v>
      </c>
      <c r="X762" s="33" t="s">
        <v>115</v>
      </c>
      <c r="Y762" s="33" t="s">
        <v>115</v>
      </c>
      <c r="Z762" s="33" t="s">
        <v>115</v>
      </c>
      <c r="AA762" s="7" t="s">
        <v>115</v>
      </c>
      <c r="AB762" s="20" t="s">
        <v>115</v>
      </c>
      <c r="AC762" s="20"/>
      <c r="AD762" s="6">
        <v>0</v>
      </c>
      <c r="AE762" s="6">
        <v>0</v>
      </c>
      <c r="AF762" s="6">
        <v>0</v>
      </c>
      <c r="AG762" s="6">
        <v>0</v>
      </c>
      <c r="AH762" s="6">
        <v>0</v>
      </c>
      <c r="AI762" s="6">
        <v>0</v>
      </c>
      <c r="AJ762">
        <f t="shared" si="11"/>
        <v>0</v>
      </c>
      <c r="AL762" t="s">
        <v>1878</v>
      </c>
    </row>
    <row r="763" spans="1:47" x14ac:dyDescent="0.2">
      <c r="A763" t="s">
        <v>1879</v>
      </c>
      <c r="B763" t="s">
        <v>1880</v>
      </c>
      <c r="C763">
        <v>9</v>
      </c>
      <c r="D763">
        <v>1</v>
      </c>
      <c r="E763" t="s">
        <v>2462</v>
      </c>
      <c r="F763" s="1">
        <v>43398</v>
      </c>
      <c r="G763" s="37" t="s">
        <v>4033</v>
      </c>
      <c r="H763" s="37" t="s">
        <v>4724</v>
      </c>
      <c r="I763" s="2">
        <v>3.4027777777777775E-2</v>
      </c>
      <c r="J763" s="176">
        <v>5.6712962962962956E-4</v>
      </c>
      <c r="K763" s="6">
        <v>49</v>
      </c>
      <c r="M763" s="7" t="s">
        <v>363</v>
      </c>
      <c r="N763" s="7" t="s">
        <v>102</v>
      </c>
      <c r="O763" s="7" t="s">
        <v>23</v>
      </c>
      <c r="P763" s="7">
        <v>0</v>
      </c>
      <c r="Q763" s="7"/>
      <c r="R763">
        <v>0</v>
      </c>
      <c r="U763" t="s">
        <v>115</v>
      </c>
      <c r="V763" s="7" t="s">
        <v>115</v>
      </c>
      <c r="W763" s="7" t="s">
        <v>115</v>
      </c>
      <c r="X763" s="33" t="s">
        <v>115</v>
      </c>
      <c r="Y763" s="33" t="s">
        <v>115</v>
      </c>
      <c r="Z763" s="33" t="s">
        <v>115</v>
      </c>
      <c r="AA763" s="7" t="s">
        <v>115</v>
      </c>
      <c r="AB763" s="20" t="s">
        <v>115</v>
      </c>
      <c r="AC763" s="20"/>
      <c r="AD763" s="6">
        <v>8</v>
      </c>
      <c r="AE763" s="6">
        <v>2</v>
      </c>
      <c r="AF763" s="6">
        <v>2</v>
      </c>
      <c r="AG763" s="6">
        <v>8</v>
      </c>
      <c r="AH763" s="6">
        <v>0</v>
      </c>
      <c r="AI763" s="6">
        <v>0</v>
      </c>
      <c r="AJ763">
        <f t="shared" si="11"/>
        <v>10</v>
      </c>
    </row>
    <row r="764" spans="1:47" x14ac:dyDescent="0.2">
      <c r="A764" t="s">
        <v>1881</v>
      </c>
      <c r="B764" t="s">
        <v>1882</v>
      </c>
      <c r="C764">
        <v>10</v>
      </c>
      <c r="D764">
        <v>1</v>
      </c>
      <c r="E764" t="s">
        <v>2462</v>
      </c>
      <c r="F764" s="1">
        <v>43398</v>
      </c>
      <c r="G764" s="37" t="s">
        <v>4033</v>
      </c>
      <c r="H764" s="37" t="s">
        <v>4724</v>
      </c>
      <c r="I764" s="2">
        <v>6.5972222222222224E-2</v>
      </c>
      <c r="J764" s="176">
        <v>1.0995370370370371E-3</v>
      </c>
      <c r="K764" s="6">
        <v>95</v>
      </c>
      <c r="M764" s="7" t="s">
        <v>363</v>
      </c>
      <c r="N764" s="7" t="s">
        <v>102</v>
      </c>
      <c r="O764" s="7" t="s">
        <v>23</v>
      </c>
      <c r="P764" s="7">
        <v>1</v>
      </c>
      <c r="Q764" s="7"/>
      <c r="R764">
        <v>1</v>
      </c>
      <c r="T764" t="s">
        <v>461</v>
      </c>
      <c r="U764" t="s">
        <v>2125</v>
      </c>
      <c r="V764" s="7" t="s">
        <v>122</v>
      </c>
      <c r="W764" s="7" t="s">
        <v>2101</v>
      </c>
      <c r="X764" s="33" t="s">
        <v>23</v>
      </c>
      <c r="Y764" s="33" t="s">
        <v>3999</v>
      </c>
      <c r="Z764" s="33" t="s">
        <v>4001</v>
      </c>
      <c r="AA764">
        <v>9</v>
      </c>
      <c r="AB764" s="20">
        <v>63.732770000000002</v>
      </c>
      <c r="AC764" s="20">
        <v>148.89867000000001</v>
      </c>
      <c r="AD764" s="6">
        <v>0</v>
      </c>
      <c r="AE764" s="6">
        <v>0</v>
      </c>
      <c r="AF764" s="6">
        <v>0</v>
      </c>
      <c r="AG764" s="6">
        <v>0</v>
      </c>
      <c r="AH764" s="6">
        <v>0</v>
      </c>
      <c r="AI764" s="6">
        <v>0</v>
      </c>
      <c r="AJ764">
        <f t="shared" si="11"/>
        <v>0</v>
      </c>
    </row>
    <row r="765" spans="1:47" hidden="1" x14ac:dyDescent="0.2">
      <c r="A765" t="s">
        <v>1881</v>
      </c>
      <c r="B765" t="s">
        <v>1882</v>
      </c>
      <c r="C765">
        <v>10</v>
      </c>
      <c r="D765">
        <v>2</v>
      </c>
      <c r="E765" t="s">
        <v>2462</v>
      </c>
      <c r="F765" s="1">
        <v>43398</v>
      </c>
      <c r="G765" s="37" t="s">
        <v>4033</v>
      </c>
      <c r="H765" s="37" t="s">
        <v>4724</v>
      </c>
      <c r="I765" s="2">
        <v>6.5972222222222224E-2</v>
      </c>
      <c r="J765" s="176">
        <v>1.0995370370370371E-3</v>
      </c>
      <c r="K765" s="6">
        <v>95</v>
      </c>
      <c r="M765" s="7" t="s">
        <v>363</v>
      </c>
      <c r="N765" s="7" t="s">
        <v>102</v>
      </c>
      <c r="O765" s="7" t="s">
        <v>23</v>
      </c>
      <c r="P765" s="7">
        <v>1</v>
      </c>
      <c r="Q765" s="7"/>
      <c r="R765">
        <v>1</v>
      </c>
      <c r="T765" t="s">
        <v>461</v>
      </c>
      <c r="U765" t="s">
        <v>2125</v>
      </c>
      <c r="V765" s="7" t="s">
        <v>122</v>
      </c>
      <c r="W765" s="7" t="s">
        <v>1035</v>
      </c>
      <c r="X765" s="33" t="s">
        <v>23</v>
      </c>
      <c r="Y765" s="33" t="s">
        <v>3997</v>
      </c>
      <c r="Z765" s="33" t="s">
        <v>4006</v>
      </c>
      <c r="AA765">
        <v>9</v>
      </c>
      <c r="AB765" s="20">
        <v>63.732770000000002</v>
      </c>
      <c r="AC765" s="20">
        <v>148.89867000000001</v>
      </c>
      <c r="AD765" s="6">
        <v>0</v>
      </c>
      <c r="AE765" s="6">
        <v>0</v>
      </c>
      <c r="AF765" s="6">
        <v>0</v>
      </c>
      <c r="AG765" s="6">
        <v>0</v>
      </c>
      <c r="AH765" s="6">
        <v>0</v>
      </c>
      <c r="AI765" s="6">
        <v>0</v>
      </c>
      <c r="AJ765">
        <f t="shared" si="11"/>
        <v>0</v>
      </c>
      <c r="AK765" t="s">
        <v>2102</v>
      </c>
    </row>
    <row r="766" spans="1:47" s="33" customFormat="1" x14ac:dyDescent="0.2">
      <c r="A766" t="s">
        <v>1884</v>
      </c>
      <c r="B766" t="s">
        <v>1885</v>
      </c>
      <c r="C766">
        <v>11</v>
      </c>
      <c r="D766">
        <v>1</v>
      </c>
      <c r="E766" t="s">
        <v>2462</v>
      </c>
      <c r="F766" s="1">
        <v>43398</v>
      </c>
      <c r="G766" s="37" t="s">
        <v>4033</v>
      </c>
      <c r="H766" s="37" t="s">
        <v>4724</v>
      </c>
      <c r="I766" s="2">
        <v>1.9444444444444445E-2</v>
      </c>
      <c r="J766" s="176">
        <v>3.2407407407407406E-4</v>
      </c>
      <c r="K766" s="6">
        <v>28</v>
      </c>
      <c r="L766"/>
      <c r="M766" s="7" t="s">
        <v>363</v>
      </c>
      <c r="N766" s="7" t="s">
        <v>111</v>
      </c>
      <c r="O766" s="7" t="s">
        <v>23</v>
      </c>
      <c r="P766" s="7">
        <v>0</v>
      </c>
      <c r="Q766" s="7"/>
      <c r="R766">
        <v>1</v>
      </c>
      <c r="S766"/>
      <c r="T766" t="s">
        <v>461</v>
      </c>
      <c r="U766" t="s">
        <v>2125</v>
      </c>
      <c r="V766" s="7" t="s">
        <v>122</v>
      </c>
      <c r="W766" s="7" t="s">
        <v>1035</v>
      </c>
      <c r="X766" s="33" t="s">
        <v>23</v>
      </c>
      <c r="Y766" s="33" t="s">
        <v>3997</v>
      </c>
      <c r="Z766" s="33" t="s">
        <v>4006</v>
      </c>
      <c r="AA766">
        <v>25</v>
      </c>
      <c r="AB766" s="20">
        <v>63.733040000000003</v>
      </c>
      <c r="AC766" s="20">
        <v>148.89887999999999</v>
      </c>
      <c r="AD766" s="6">
        <v>0</v>
      </c>
      <c r="AE766" s="6">
        <v>0</v>
      </c>
      <c r="AF766" s="6">
        <v>0</v>
      </c>
      <c r="AG766" s="6">
        <v>0</v>
      </c>
      <c r="AH766" s="6">
        <v>0</v>
      </c>
      <c r="AI766" s="6">
        <v>0</v>
      </c>
      <c r="AJ766">
        <f t="shared" si="11"/>
        <v>0</v>
      </c>
      <c r="AK766"/>
      <c r="AL766" t="s">
        <v>1886</v>
      </c>
      <c r="AM766"/>
      <c r="AN766"/>
      <c r="AO766"/>
      <c r="AP766"/>
      <c r="AQ766"/>
      <c r="AR766"/>
      <c r="AS766"/>
      <c r="AT766"/>
      <c r="AU766"/>
    </row>
    <row r="767" spans="1:47" x14ac:dyDescent="0.2">
      <c r="A767" t="s">
        <v>1887</v>
      </c>
      <c r="B767" t="s">
        <v>1888</v>
      </c>
      <c r="C767">
        <v>12</v>
      </c>
      <c r="D767">
        <v>1</v>
      </c>
      <c r="E767" t="s">
        <v>2462</v>
      </c>
      <c r="F767" s="1">
        <v>43398</v>
      </c>
      <c r="G767" s="37" t="s">
        <v>4033</v>
      </c>
      <c r="H767" s="37" t="s">
        <v>4724</v>
      </c>
      <c r="I767" s="2">
        <v>3.4722222222222224E-2</v>
      </c>
      <c r="J767" s="176">
        <v>5.7870370370370378E-4</v>
      </c>
      <c r="K767" s="6">
        <v>50</v>
      </c>
      <c r="M767" s="7" t="s">
        <v>363</v>
      </c>
      <c r="N767" s="7" t="s">
        <v>111</v>
      </c>
      <c r="O767" s="7" t="s">
        <v>23</v>
      </c>
      <c r="P767" s="7">
        <v>0</v>
      </c>
      <c r="Q767" s="7"/>
      <c r="R767">
        <v>1</v>
      </c>
      <c r="T767" t="s">
        <v>461</v>
      </c>
      <c r="U767" t="s">
        <v>2125</v>
      </c>
      <c r="V767" s="7" t="s">
        <v>122</v>
      </c>
      <c r="W767" s="7" t="s">
        <v>1035</v>
      </c>
      <c r="X767" s="33" t="s">
        <v>23</v>
      </c>
      <c r="Y767" s="33" t="s">
        <v>3997</v>
      </c>
      <c r="Z767" s="33" t="s">
        <v>4006</v>
      </c>
      <c r="AA767">
        <v>30</v>
      </c>
      <c r="AB767" s="20">
        <v>63.733040000000003</v>
      </c>
      <c r="AC767" s="20">
        <v>148.89893000000001</v>
      </c>
      <c r="AD767" s="6">
        <v>0</v>
      </c>
      <c r="AE767" s="6">
        <v>0</v>
      </c>
      <c r="AF767" s="6">
        <v>0</v>
      </c>
      <c r="AG767" s="6">
        <v>0</v>
      </c>
      <c r="AH767" s="6">
        <v>0</v>
      </c>
      <c r="AI767" s="6">
        <v>0</v>
      </c>
      <c r="AJ767">
        <f t="shared" si="11"/>
        <v>0</v>
      </c>
      <c r="AL767" t="s">
        <v>1889</v>
      </c>
    </row>
    <row r="768" spans="1:47" hidden="1" x14ac:dyDescent="0.2">
      <c r="A768" t="s">
        <v>1887</v>
      </c>
      <c r="B768" t="s">
        <v>1888</v>
      </c>
      <c r="C768">
        <v>12</v>
      </c>
      <c r="D768">
        <v>2</v>
      </c>
      <c r="E768" t="s">
        <v>2462</v>
      </c>
      <c r="F768" s="1">
        <v>43398</v>
      </c>
      <c r="G768" s="37" t="s">
        <v>4033</v>
      </c>
      <c r="H768" s="37" t="s">
        <v>4724</v>
      </c>
      <c r="I768" s="2">
        <v>3.4722222222222224E-2</v>
      </c>
      <c r="J768" s="176">
        <v>5.7870370370370378E-4</v>
      </c>
      <c r="K768" s="6">
        <v>50</v>
      </c>
      <c r="M768" s="7" t="s">
        <v>363</v>
      </c>
      <c r="N768" s="7" t="s">
        <v>111</v>
      </c>
      <c r="O768" s="7" t="s">
        <v>23</v>
      </c>
      <c r="P768" s="7">
        <v>0</v>
      </c>
      <c r="Q768" s="7"/>
      <c r="R768">
        <v>1</v>
      </c>
      <c r="T768" t="s">
        <v>461</v>
      </c>
      <c r="U768" t="s">
        <v>2125</v>
      </c>
      <c r="V768" s="7" t="s">
        <v>122</v>
      </c>
      <c r="W768" s="7" t="s">
        <v>1035</v>
      </c>
      <c r="X768" s="33" t="s">
        <v>23</v>
      </c>
      <c r="Y768" s="33" t="s">
        <v>3997</v>
      </c>
      <c r="Z768" s="33" t="s">
        <v>4006</v>
      </c>
      <c r="AA768">
        <v>30</v>
      </c>
      <c r="AB768" s="20">
        <v>63.733020000000003</v>
      </c>
      <c r="AC768" s="20">
        <v>148.89896999999999</v>
      </c>
      <c r="AD768" s="6">
        <v>0</v>
      </c>
      <c r="AE768" s="6">
        <v>0</v>
      </c>
      <c r="AF768" s="6">
        <v>0</v>
      </c>
      <c r="AG768" s="6">
        <v>0</v>
      </c>
      <c r="AH768" s="6">
        <v>0</v>
      </c>
      <c r="AI768" s="6">
        <v>0</v>
      </c>
      <c r="AJ768">
        <f t="shared" si="11"/>
        <v>0</v>
      </c>
      <c r="AL768" t="s">
        <v>1889</v>
      </c>
    </row>
    <row r="769" spans="1:47" x14ac:dyDescent="0.2">
      <c r="A769" s="33" t="s">
        <v>1890</v>
      </c>
      <c r="B769" s="33" t="s">
        <v>1891</v>
      </c>
      <c r="C769" s="33">
        <v>1</v>
      </c>
      <c r="D769" s="33">
        <v>1</v>
      </c>
      <c r="E769" s="33" t="s">
        <v>324</v>
      </c>
      <c r="F769" s="37">
        <v>43398</v>
      </c>
      <c r="G769" s="37" t="s">
        <v>4033</v>
      </c>
      <c r="H769" s="37" t="s">
        <v>4724</v>
      </c>
      <c r="I769" s="36">
        <v>4.0972222222222222E-2</v>
      </c>
      <c r="J769" s="177">
        <v>6.8287037037037025E-4</v>
      </c>
      <c r="K769" s="39">
        <v>59</v>
      </c>
      <c r="L769" s="33"/>
      <c r="M769" s="33" t="s">
        <v>325</v>
      </c>
      <c r="N769" s="33" t="s">
        <v>102</v>
      </c>
      <c r="O769" s="33" t="s">
        <v>115</v>
      </c>
      <c r="P769" s="33">
        <v>3</v>
      </c>
      <c r="Q769" s="33"/>
      <c r="R769" s="33">
        <v>0</v>
      </c>
      <c r="S769" s="33"/>
      <c r="T769" t="s">
        <v>176</v>
      </c>
      <c r="U769" s="33" t="s">
        <v>176</v>
      </c>
      <c r="V769" s="33" t="s">
        <v>122</v>
      </c>
      <c r="W769" s="33" t="s">
        <v>115</v>
      </c>
      <c r="X769" s="33" t="s">
        <v>115</v>
      </c>
      <c r="Y769" s="33" t="s">
        <v>115</v>
      </c>
      <c r="Z769" s="33" t="s">
        <v>115</v>
      </c>
      <c r="AA769" s="33" t="s">
        <v>115</v>
      </c>
      <c r="AB769" s="35" t="s">
        <v>115</v>
      </c>
      <c r="AC769" s="35"/>
      <c r="AD769" s="39">
        <v>0</v>
      </c>
      <c r="AE769" s="39">
        <v>0</v>
      </c>
      <c r="AF769" s="39">
        <v>0</v>
      </c>
      <c r="AG769" s="39">
        <v>0</v>
      </c>
      <c r="AH769" s="39">
        <v>59</v>
      </c>
      <c r="AI769" s="39">
        <v>0</v>
      </c>
      <c r="AJ769" s="33">
        <f t="shared" si="11"/>
        <v>59</v>
      </c>
      <c r="AK769" s="33"/>
      <c r="AL769" s="33" t="s">
        <v>1896</v>
      </c>
      <c r="AM769" s="33"/>
      <c r="AN769" s="33"/>
      <c r="AO769" s="33"/>
      <c r="AP769" s="33"/>
      <c r="AQ769" s="34"/>
      <c r="AR769" s="33"/>
      <c r="AS769" s="33"/>
      <c r="AT769" s="33"/>
      <c r="AU769" s="33"/>
    </row>
    <row r="770" spans="1:47" x14ac:dyDescent="0.2">
      <c r="A770" s="33" t="s">
        <v>1892</v>
      </c>
      <c r="B770" s="33" t="s">
        <v>1893</v>
      </c>
      <c r="C770" s="33">
        <v>2</v>
      </c>
      <c r="D770" s="33">
        <v>1</v>
      </c>
      <c r="E770" s="33" t="s">
        <v>324</v>
      </c>
      <c r="F770" s="37">
        <v>43398</v>
      </c>
      <c r="G770" s="37" t="s">
        <v>4033</v>
      </c>
      <c r="H770" s="37" t="s">
        <v>4724</v>
      </c>
      <c r="I770" s="36">
        <v>1.3194444444444444E-2</v>
      </c>
      <c r="J770" s="177">
        <v>2.199074074074074E-4</v>
      </c>
      <c r="K770" s="39">
        <v>19</v>
      </c>
      <c r="L770" s="33"/>
      <c r="M770" s="33" t="s">
        <v>325</v>
      </c>
      <c r="N770" s="33" t="s">
        <v>102</v>
      </c>
      <c r="O770" s="33" t="s">
        <v>115</v>
      </c>
      <c r="P770" s="33" t="s">
        <v>24</v>
      </c>
      <c r="Q770" s="33"/>
      <c r="R770" s="33">
        <v>0</v>
      </c>
      <c r="S770" s="33"/>
      <c r="T770" t="s">
        <v>176</v>
      </c>
      <c r="U770" s="33" t="s">
        <v>176</v>
      </c>
      <c r="V770" s="33" t="s">
        <v>115</v>
      </c>
      <c r="W770" s="33" t="s">
        <v>115</v>
      </c>
      <c r="X770" s="33" t="s">
        <v>115</v>
      </c>
      <c r="Y770" s="33" t="s">
        <v>115</v>
      </c>
      <c r="Z770" s="33" t="s">
        <v>115</v>
      </c>
      <c r="AA770" s="33" t="s">
        <v>115</v>
      </c>
      <c r="AB770" s="35" t="s">
        <v>115</v>
      </c>
      <c r="AC770" s="35"/>
      <c r="AD770" s="39">
        <v>0</v>
      </c>
      <c r="AE770" s="39">
        <v>0</v>
      </c>
      <c r="AF770" s="39">
        <v>0</v>
      </c>
      <c r="AG770" s="39">
        <v>0</v>
      </c>
      <c r="AH770" s="39">
        <v>19</v>
      </c>
      <c r="AI770" s="39">
        <v>0</v>
      </c>
      <c r="AJ770" s="33">
        <f t="shared" ref="AJ770:AJ833" si="12">SUM(AF770:AI770)</f>
        <v>19</v>
      </c>
      <c r="AK770" s="33"/>
      <c r="AL770" s="33" t="s">
        <v>1896</v>
      </c>
      <c r="AM770" s="33"/>
      <c r="AN770" s="33"/>
      <c r="AO770" s="33"/>
      <c r="AP770" s="33"/>
      <c r="AQ770" s="34"/>
      <c r="AR770" s="33"/>
      <c r="AS770" s="33"/>
      <c r="AT770" s="33"/>
      <c r="AU770" s="33"/>
    </row>
    <row r="771" spans="1:47" x14ac:dyDescent="0.2">
      <c r="A771" s="33" t="s">
        <v>1894</v>
      </c>
      <c r="B771" s="33" t="s">
        <v>1895</v>
      </c>
      <c r="C771" s="33">
        <v>3</v>
      </c>
      <c r="D771" s="33">
        <v>1</v>
      </c>
      <c r="E771" s="33" t="s">
        <v>324</v>
      </c>
      <c r="F771" s="37">
        <v>43398</v>
      </c>
      <c r="G771" s="37" t="s">
        <v>4033</v>
      </c>
      <c r="H771" s="37" t="s">
        <v>4724</v>
      </c>
      <c r="I771" s="36">
        <v>0.13402777777777777</v>
      </c>
      <c r="J771" s="177">
        <v>2.2337962962962967E-3</v>
      </c>
      <c r="K771" s="39">
        <v>193</v>
      </c>
      <c r="L771" s="33"/>
      <c r="M771" s="33" t="s">
        <v>325</v>
      </c>
      <c r="N771" s="33" t="s">
        <v>102</v>
      </c>
      <c r="O771" s="33" t="s">
        <v>115</v>
      </c>
      <c r="P771" s="33">
        <v>7</v>
      </c>
      <c r="Q771" s="33" t="s">
        <v>2293</v>
      </c>
      <c r="R771" s="33">
        <v>0</v>
      </c>
      <c r="S771" s="33"/>
      <c r="T771" t="s">
        <v>176</v>
      </c>
      <c r="U771" s="33" t="s">
        <v>176</v>
      </c>
      <c r="V771" s="33" t="s">
        <v>122</v>
      </c>
      <c r="W771" s="33" t="s">
        <v>115</v>
      </c>
      <c r="X771" s="33" t="s">
        <v>115</v>
      </c>
      <c r="Y771" s="33" t="s">
        <v>115</v>
      </c>
      <c r="Z771" s="33" t="s">
        <v>115</v>
      </c>
      <c r="AA771" s="33" t="s">
        <v>115</v>
      </c>
      <c r="AB771" s="35" t="s">
        <v>115</v>
      </c>
      <c r="AC771" s="35"/>
      <c r="AD771" s="39">
        <v>0</v>
      </c>
      <c r="AE771" s="39">
        <v>0</v>
      </c>
      <c r="AF771" s="39">
        <v>0</v>
      </c>
      <c r="AG771" s="39">
        <v>0</v>
      </c>
      <c r="AH771" s="39">
        <v>193</v>
      </c>
      <c r="AI771" s="39">
        <v>0</v>
      </c>
      <c r="AJ771" s="33">
        <f t="shared" si="12"/>
        <v>193</v>
      </c>
      <c r="AK771" s="33"/>
      <c r="AL771" s="33" t="s">
        <v>1896</v>
      </c>
      <c r="AM771" s="33"/>
      <c r="AN771" s="33"/>
    </row>
    <row r="772" spans="1:47" x14ac:dyDescent="0.2">
      <c r="A772" s="33" t="s">
        <v>1897</v>
      </c>
      <c r="B772" s="33" t="s">
        <v>1898</v>
      </c>
      <c r="C772" s="33">
        <v>4</v>
      </c>
      <c r="D772" s="33">
        <v>1</v>
      </c>
      <c r="E772" s="33" t="s">
        <v>324</v>
      </c>
      <c r="F772" s="37">
        <v>43398</v>
      </c>
      <c r="G772" s="37" t="s">
        <v>4033</v>
      </c>
      <c r="H772" s="37" t="s">
        <v>4724</v>
      </c>
      <c r="I772" s="36">
        <v>2.8472222222222222E-2</v>
      </c>
      <c r="J772" s="177">
        <v>4.7453703703703704E-4</v>
      </c>
      <c r="K772" s="39">
        <v>41</v>
      </c>
      <c r="L772" s="33"/>
      <c r="M772" s="33" t="s">
        <v>325</v>
      </c>
      <c r="N772" s="33" t="s">
        <v>102</v>
      </c>
      <c r="O772" s="33" t="s">
        <v>115</v>
      </c>
      <c r="P772" s="33">
        <v>1</v>
      </c>
      <c r="Q772" s="33"/>
      <c r="R772" s="33">
        <v>0</v>
      </c>
      <c r="S772" s="33"/>
      <c r="T772" t="s">
        <v>176</v>
      </c>
      <c r="U772" s="33" t="s">
        <v>176</v>
      </c>
      <c r="V772" s="33" t="s">
        <v>122</v>
      </c>
      <c r="W772" s="33" t="s">
        <v>115</v>
      </c>
      <c r="X772" s="33" t="s">
        <v>115</v>
      </c>
      <c r="Y772" s="33" t="s">
        <v>115</v>
      </c>
      <c r="Z772" s="33" t="s">
        <v>115</v>
      </c>
      <c r="AA772" s="33" t="s">
        <v>115</v>
      </c>
      <c r="AB772" s="35" t="s">
        <v>115</v>
      </c>
      <c r="AC772" s="35"/>
      <c r="AD772" s="39">
        <v>0</v>
      </c>
      <c r="AE772" s="39">
        <v>0</v>
      </c>
      <c r="AF772" s="39">
        <v>0</v>
      </c>
      <c r="AG772" s="39">
        <v>0</v>
      </c>
      <c r="AH772" s="39">
        <v>41</v>
      </c>
      <c r="AI772" s="39">
        <v>0</v>
      </c>
      <c r="AJ772" s="33">
        <f t="shared" si="12"/>
        <v>41</v>
      </c>
      <c r="AK772" s="33"/>
      <c r="AL772" s="33" t="s">
        <v>1896</v>
      </c>
      <c r="AM772" s="33"/>
      <c r="AN772" s="33"/>
    </row>
    <row r="773" spans="1:47" s="33" customFormat="1" x14ac:dyDescent="0.2">
      <c r="A773" t="s">
        <v>1899</v>
      </c>
      <c r="B773" t="s">
        <v>1900</v>
      </c>
      <c r="C773">
        <v>5</v>
      </c>
      <c r="D773">
        <v>1</v>
      </c>
      <c r="E773" t="s">
        <v>324</v>
      </c>
      <c r="F773" s="1">
        <v>43398</v>
      </c>
      <c r="G773" s="37" t="s">
        <v>4033</v>
      </c>
      <c r="H773" s="37" t="s">
        <v>4724</v>
      </c>
      <c r="I773" s="2">
        <v>9.0277777777777787E-3</v>
      </c>
      <c r="J773" s="176">
        <v>1.5046296296296297E-4</v>
      </c>
      <c r="K773" s="6">
        <v>13</v>
      </c>
      <c r="L773"/>
      <c r="M773" s="7" t="s">
        <v>325</v>
      </c>
      <c r="N773" s="7" t="s">
        <v>102</v>
      </c>
      <c r="O773" s="7" t="s">
        <v>115</v>
      </c>
      <c r="P773" s="7">
        <v>0</v>
      </c>
      <c r="Q773" s="7"/>
      <c r="R773">
        <v>1</v>
      </c>
      <c r="S773"/>
      <c r="T773" t="s">
        <v>176</v>
      </c>
      <c r="U773" t="s">
        <v>176</v>
      </c>
      <c r="V773" s="7" t="s">
        <v>122</v>
      </c>
      <c r="W773" s="7" t="s">
        <v>3963</v>
      </c>
      <c r="X773" s="33" t="s">
        <v>23</v>
      </c>
      <c r="Y773" s="33" t="s">
        <v>3997</v>
      </c>
      <c r="Z773" s="33" t="s">
        <v>4007</v>
      </c>
      <c r="AA773">
        <v>5</v>
      </c>
      <c r="AB773" s="20">
        <v>63.723309999999998</v>
      </c>
      <c r="AC773" s="20">
        <v>148.88614000000001</v>
      </c>
      <c r="AD773" s="6">
        <v>0</v>
      </c>
      <c r="AE773" s="6">
        <v>0</v>
      </c>
      <c r="AF773" s="6">
        <v>0</v>
      </c>
      <c r="AG773" s="6">
        <v>0</v>
      </c>
      <c r="AH773" s="6">
        <v>0</v>
      </c>
      <c r="AI773" s="6">
        <v>0</v>
      </c>
      <c r="AJ773">
        <f t="shared" si="12"/>
        <v>0</v>
      </c>
      <c r="AK773"/>
      <c r="AL773" t="s">
        <v>4894</v>
      </c>
      <c r="AM773"/>
      <c r="AN773"/>
      <c r="AQ773" s="34"/>
    </row>
    <row r="774" spans="1:47" s="33" customFormat="1" x14ac:dyDescent="0.2">
      <c r="A774" t="s">
        <v>1901</v>
      </c>
      <c r="B774" t="s">
        <v>1902</v>
      </c>
      <c r="C774">
        <v>6</v>
      </c>
      <c r="D774">
        <v>1</v>
      </c>
      <c r="E774" t="s">
        <v>324</v>
      </c>
      <c r="F774" s="1">
        <v>43398</v>
      </c>
      <c r="G774" s="37" t="s">
        <v>4033</v>
      </c>
      <c r="H774" s="37" t="s">
        <v>4724</v>
      </c>
      <c r="I774" s="2">
        <v>2.4999999999999998E-2</v>
      </c>
      <c r="J774" s="176">
        <v>4.1666666666666669E-4</v>
      </c>
      <c r="K774" s="6">
        <v>36</v>
      </c>
      <c r="L774"/>
      <c r="M774" s="7" t="s">
        <v>325</v>
      </c>
      <c r="N774" s="7" t="s">
        <v>111</v>
      </c>
      <c r="O774" s="7" t="s">
        <v>23</v>
      </c>
      <c r="P774" s="7">
        <v>0</v>
      </c>
      <c r="Q774" s="7"/>
      <c r="R774">
        <v>1</v>
      </c>
      <c r="S774"/>
      <c r="T774" t="s">
        <v>14</v>
      </c>
      <c r="U774" t="s">
        <v>2123</v>
      </c>
      <c r="V774" s="7" t="s">
        <v>24</v>
      </c>
      <c r="W774" s="7" t="s">
        <v>3963</v>
      </c>
      <c r="X774" s="44" t="s">
        <v>23</v>
      </c>
      <c r="Y774" s="44" t="s">
        <v>3997</v>
      </c>
      <c r="Z774" s="33" t="s">
        <v>4007</v>
      </c>
      <c r="AA774" s="7" t="s">
        <v>24</v>
      </c>
      <c r="AB774" s="20">
        <v>63.723309999999998</v>
      </c>
      <c r="AC774" s="20">
        <v>148.88614000000001</v>
      </c>
      <c r="AD774" s="6">
        <v>0</v>
      </c>
      <c r="AE774" s="6">
        <v>0</v>
      </c>
      <c r="AF774" s="6">
        <v>0</v>
      </c>
      <c r="AG774" s="6">
        <v>0</v>
      </c>
      <c r="AH774" s="6">
        <v>0</v>
      </c>
      <c r="AI774" s="6">
        <v>0</v>
      </c>
      <c r="AJ774">
        <f t="shared" si="12"/>
        <v>0</v>
      </c>
      <c r="AK774"/>
      <c r="AL774" t="s">
        <v>1903</v>
      </c>
      <c r="AM774"/>
      <c r="AN774"/>
      <c r="AO774" s="4"/>
      <c r="AP774" s="4"/>
      <c r="AQ774" s="4"/>
      <c r="AR774" s="4"/>
      <c r="AS774" s="4"/>
      <c r="AT774" s="4"/>
      <c r="AU774" s="4"/>
    </row>
    <row r="775" spans="1:47" x14ac:dyDescent="0.2">
      <c r="A775" t="s">
        <v>1907</v>
      </c>
      <c r="B775" t="s">
        <v>5025</v>
      </c>
      <c r="C775">
        <v>1</v>
      </c>
      <c r="D775">
        <v>1</v>
      </c>
      <c r="E775" t="s">
        <v>2601</v>
      </c>
      <c r="F775" s="1">
        <v>43402</v>
      </c>
      <c r="G775" s="37" t="s">
        <v>4033</v>
      </c>
      <c r="H775" s="37" t="s">
        <v>4724</v>
      </c>
      <c r="I775" s="2">
        <v>4.6527777777777779E-2</v>
      </c>
      <c r="J775" s="176">
        <v>7.7546296296296304E-4</v>
      </c>
      <c r="K775" s="6">
        <v>67</v>
      </c>
      <c r="L775" t="s">
        <v>2028</v>
      </c>
      <c r="M775" s="7" t="s">
        <v>173</v>
      </c>
      <c r="N775" s="7" t="s">
        <v>102</v>
      </c>
      <c r="O775" s="7" t="s">
        <v>23</v>
      </c>
      <c r="P775" t="s">
        <v>24</v>
      </c>
      <c r="R775" t="s">
        <v>24</v>
      </c>
      <c r="T775" t="s">
        <v>176</v>
      </c>
      <c r="U775" t="s">
        <v>176</v>
      </c>
      <c r="V775" s="7" t="s">
        <v>115</v>
      </c>
      <c r="W775" s="7" t="s">
        <v>115</v>
      </c>
      <c r="X775" s="7"/>
      <c r="Y775" s="7"/>
      <c r="Z775" s="7"/>
      <c r="AA775" s="7" t="s">
        <v>115</v>
      </c>
      <c r="AB775" s="20" t="s">
        <v>115</v>
      </c>
      <c r="AC775" s="20"/>
      <c r="AD775" s="6">
        <v>0</v>
      </c>
      <c r="AE775" s="6">
        <v>67</v>
      </c>
      <c r="AF775" s="6">
        <v>0</v>
      </c>
      <c r="AG775" s="6">
        <v>67</v>
      </c>
      <c r="AH775" s="6">
        <v>0</v>
      </c>
      <c r="AI775" s="6">
        <v>0</v>
      </c>
      <c r="AJ775">
        <f t="shared" si="12"/>
        <v>67</v>
      </c>
      <c r="AK775" t="s">
        <v>303</v>
      </c>
      <c r="AL775" t="s">
        <v>1908</v>
      </c>
    </row>
    <row r="776" spans="1:47" x14ac:dyDescent="0.2">
      <c r="A776" t="s">
        <v>1909</v>
      </c>
      <c r="B776" t="s">
        <v>5036</v>
      </c>
      <c r="C776">
        <v>2</v>
      </c>
      <c r="D776">
        <v>1</v>
      </c>
      <c r="E776" t="s">
        <v>2601</v>
      </c>
      <c r="F776" s="1">
        <v>43402</v>
      </c>
      <c r="G776" s="37" t="s">
        <v>4033</v>
      </c>
      <c r="H776" s="37" t="s">
        <v>4724</v>
      </c>
      <c r="I776" s="2">
        <v>3.4722222222222224E-2</v>
      </c>
      <c r="J776" s="176">
        <v>5.7870370370370378E-4</v>
      </c>
      <c r="K776" s="6">
        <v>50</v>
      </c>
      <c r="L776" t="s">
        <v>2028</v>
      </c>
      <c r="M776" s="7" t="s">
        <v>173</v>
      </c>
      <c r="N776" s="7" t="s">
        <v>102</v>
      </c>
      <c r="O776" s="7" t="s">
        <v>23</v>
      </c>
      <c r="P776">
        <v>1</v>
      </c>
      <c r="R776">
        <v>0</v>
      </c>
      <c r="T776" t="s">
        <v>176</v>
      </c>
      <c r="U776" t="s">
        <v>176</v>
      </c>
      <c r="V776" s="7" t="s">
        <v>948</v>
      </c>
      <c r="W776" s="7" t="s">
        <v>115</v>
      </c>
      <c r="X776" s="33" t="s">
        <v>115</v>
      </c>
      <c r="Y776" s="33" t="s">
        <v>115</v>
      </c>
      <c r="Z776" s="33" t="s">
        <v>115</v>
      </c>
      <c r="AA776" s="7" t="s">
        <v>115</v>
      </c>
      <c r="AB776" s="20" t="s">
        <v>115</v>
      </c>
      <c r="AC776" s="20"/>
      <c r="AD776" s="6">
        <v>0</v>
      </c>
      <c r="AE776" s="6">
        <v>24</v>
      </c>
      <c r="AF776" s="6">
        <v>0</v>
      </c>
      <c r="AG776" s="6">
        <v>24</v>
      </c>
      <c r="AH776" s="6">
        <v>0</v>
      </c>
      <c r="AI776" s="6">
        <v>0</v>
      </c>
      <c r="AJ776">
        <f t="shared" si="12"/>
        <v>24</v>
      </c>
      <c r="AL776" t="s">
        <v>5037</v>
      </c>
      <c r="AO776" s="33"/>
      <c r="AP776" s="33"/>
      <c r="AQ776" s="34"/>
      <c r="AR776" s="33"/>
      <c r="AS776" s="33"/>
      <c r="AT776" s="33"/>
      <c r="AU776" s="33"/>
    </row>
    <row r="777" spans="1:47" x14ac:dyDescent="0.2">
      <c r="A777" t="s">
        <v>1910</v>
      </c>
      <c r="B777" t="s">
        <v>5026</v>
      </c>
      <c r="C777">
        <v>3</v>
      </c>
      <c r="D777">
        <v>1</v>
      </c>
      <c r="E777" t="s">
        <v>2601</v>
      </c>
      <c r="F777" s="1">
        <v>43402</v>
      </c>
      <c r="G777" s="37" t="s">
        <v>4033</v>
      </c>
      <c r="H777" s="37" t="s">
        <v>4724</v>
      </c>
      <c r="I777" s="2">
        <v>2.4305555555555556E-2</v>
      </c>
      <c r="J777" s="176">
        <v>4.0509259259259258E-4</v>
      </c>
      <c r="K777" s="6">
        <v>35</v>
      </c>
      <c r="L777" t="s">
        <v>2028</v>
      </c>
      <c r="M777" t="s">
        <v>177</v>
      </c>
      <c r="N777" s="7" t="s">
        <v>102</v>
      </c>
      <c r="O777" s="7" t="s">
        <v>23</v>
      </c>
      <c r="P777" t="s">
        <v>24</v>
      </c>
      <c r="R777">
        <v>0</v>
      </c>
      <c r="U777" t="s">
        <v>115</v>
      </c>
      <c r="V777" s="7" t="s">
        <v>115</v>
      </c>
      <c r="W777" s="7" t="s">
        <v>115</v>
      </c>
      <c r="X777" s="33" t="s">
        <v>115</v>
      </c>
      <c r="Y777" s="33" t="s">
        <v>115</v>
      </c>
      <c r="Z777" s="33" t="s">
        <v>115</v>
      </c>
      <c r="AA777" s="7" t="s">
        <v>115</v>
      </c>
      <c r="AB777" s="20" t="s">
        <v>115</v>
      </c>
      <c r="AC777" s="20"/>
      <c r="AD777" s="6">
        <v>0</v>
      </c>
      <c r="AE777" s="6">
        <v>35</v>
      </c>
      <c r="AF777" s="6">
        <v>0</v>
      </c>
      <c r="AG777" s="6">
        <v>35</v>
      </c>
      <c r="AH777" s="6">
        <v>0</v>
      </c>
      <c r="AI777" s="6">
        <v>0</v>
      </c>
      <c r="AJ777">
        <f t="shared" si="12"/>
        <v>35</v>
      </c>
    </row>
    <row r="778" spans="1:47" x14ac:dyDescent="0.2">
      <c r="A778" t="s">
        <v>1911</v>
      </c>
      <c r="B778" t="s">
        <v>5027</v>
      </c>
      <c r="C778">
        <v>4</v>
      </c>
      <c r="D778">
        <v>1</v>
      </c>
      <c r="E778" t="s">
        <v>2601</v>
      </c>
      <c r="F778" s="1">
        <v>43402</v>
      </c>
      <c r="G778" s="37" t="s">
        <v>4033</v>
      </c>
      <c r="H778" s="37" t="s">
        <v>4724</v>
      </c>
      <c r="I778" s="2">
        <v>1.3888888888888888E-2</v>
      </c>
      <c r="J778" s="176">
        <v>2.3148148148148146E-4</v>
      </c>
      <c r="K778" s="6">
        <v>20</v>
      </c>
      <c r="L778" t="s">
        <v>2028</v>
      </c>
      <c r="M778" t="s">
        <v>177</v>
      </c>
      <c r="N778" s="7" t="s">
        <v>102</v>
      </c>
      <c r="O778" s="7" t="s">
        <v>23</v>
      </c>
      <c r="P778" t="s">
        <v>24</v>
      </c>
      <c r="R778">
        <v>0</v>
      </c>
      <c r="U778" t="s">
        <v>115</v>
      </c>
      <c r="V778" s="7" t="s">
        <v>115</v>
      </c>
      <c r="W778" s="7" t="s">
        <v>115</v>
      </c>
      <c r="X778" s="33" t="s">
        <v>115</v>
      </c>
      <c r="Y778" s="33" t="s">
        <v>115</v>
      </c>
      <c r="Z778" s="33" t="s">
        <v>115</v>
      </c>
      <c r="AA778" s="7" t="s">
        <v>115</v>
      </c>
      <c r="AB778" s="20" t="s">
        <v>115</v>
      </c>
      <c r="AC778" s="20"/>
      <c r="AD778" s="6">
        <v>0</v>
      </c>
      <c r="AE778" s="6">
        <v>20</v>
      </c>
      <c r="AF778" s="6">
        <v>0</v>
      </c>
      <c r="AG778" s="6">
        <v>20</v>
      </c>
      <c r="AH778" s="6">
        <v>0</v>
      </c>
      <c r="AI778" s="6">
        <v>0</v>
      </c>
      <c r="AJ778">
        <f t="shared" si="12"/>
        <v>20</v>
      </c>
    </row>
    <row r="779" spans="1:47" x14ac:dyDescent="0.2">
      <c r="A779" t="s">
        <v>1912</v>
      </c>
      <c r="B779" t="s">
        <v>5028</v>
      </c>
      <c r="C779">
        <v>5</v>
      </c>
      <c r="D779">
        <v>1</v>
      </c>
      <c r="E779" t="s">
        <v>2601</v>
      </c>
      <c r="F779" s="1">
        <v>43402</v>
      </c>
      <c r="G779" s="37" t="s">
        <v>4033</v>
      </c>
      <c r="H779" s="37" t="s">
        <v>4724</v>
      </c>
      <c r="I779" s="2">
        <v>3.125E-2</v>
      </c>
      <c r="J779" s="176">
        <v>5.2083333333333333E-4</v>
      </c>
      <c r="K779" s="6">
        <v>45</v>
      </c>
      <c r="L779" t="s">
        <v>2028</v>
      </c>
      <c r="M779" t="s">
        <v>177</v>
      </c>
      <c r="N779" s="7" t="s">
        <v>102</v>
      </c>
      <c r="O779" s="7" t="s">
        <v>23</v>
      </c>
      <c r="P779" s="7" t="s">
        <v>24</v>
      </c>
      <c r="Q779" s="7"/>
      <c r="R779" s="7" t="s">
        <v>24</v>
      </c>
      <c r="T779" t="s">
        <v>176</v>
      </c>
      <c r="U779" t="s">
        <v>176</v>
      </c>
      <c r="V779" s="7" t="s">
        <v>115</v>
      </c>
      <c r="W779" s="7" t="s">
        <v>115</v>
      </c>
      <c r="X779" s="7"/>
      <c r="Y779" s="7"/>
      <c r="Z779" s="7"/>
      <c r="AA779" s="7" t="s">
        <v>115</v>
      </c>
      <c r="AB779" s="20" t="s">
        <v>115</v>
      </c>
      <c r="AC779" s="20"/>
      <c r="AD779" s="6">
        <v>0</v>
      </c>
      <c r="AE779" s="6">
        <v>45</v>
      </c>
      <c r="AF779" s="6">
        <v>13</v>
      </c>
      <c r="AG779" s="6">
        <v>32</v>
      </c>
      <c r="AH779" s="6">
        <v>0</v>
      </c>
      <c r="AI779" s="6">
        <v>0</v>
      </c>
      <c r="AJ779">
        <f t="shared" si="12"/>
        <v>45</v>
      </c>
      <c r="AO779" s="33"/>
      <c r="AP779" s="33"/>
      <c r="AQ779" s="34"/>
      <c r="AR779" s="33"/>
      <c r="AS779" s="33"/>
      <c r="AT779" s="33"/>
      <c r="AU779" s="33"/>
    </row>
    <row r="780" spans="1:47" x14ac:dyDescent="0.2">
      <c r="A780" t="s">
        <v>1913</v>
      </c>
      <c r="B780" t="s">
        <v>5029</v>
      </c>
      <c r="C780">
        <v>6</v>
      </c>
      <c r="D780">
        <v>1</v>
      </c>
      <c r="E780" t="s">
        <v>2601</v>
      </c>
      <c r="F780" s="1">
        <v>43402</v>
      </c>
      <c r="G780" s="37" t="s">
        <v>4033</v>
      </c>
      <c r="H780" s="37" t="s">
        <v>4724</v>
      </c>
      <c r="I780" s="2">
        <v>2.4999999999999998E-2</v>
      </c>
      <c r="J780" s="176">
        <v>4.1666666666666669E-4</v>
      </c>
      <c r="K780" s="6">
        <v>36</v>
      </c>
      <c r="L780" t="s">
        <v>2028</v>
      </c>
      <c r="M780" t="s">
        <v>177</v>
      </c>
      <c r="N780" s="7" t="s">
        <v>102</v>
      </c>
      <c r="O780" s="7" t="s">
        <v>23</v>
      </c>
      <c r="P780" s="7" t="s">
        <v>24</v>
      </c>
      <c r="Q780" s="7"/>
      <c r="R780" s="7" t="s">
        <v>24</v>
      </c>
      <c r="T780" t="s">
        <v>176</v>
      </c>
      <c r="U780" t="s">
        <v>176</v>
      </c>
      <c r="V780" s="7" t="s">
        <v>115</v>
      </c>
      <c r="W780" s="7" t="s">
        <v>115</v>
      </c>
      <c r="X780" s="7"/>
      <c r="Y780" s="7"/>
      <c r="Z780" s="7"/>
      <c r="AA780" s="7" t="s">
        <v>115</v>
      </c>
      <c r="AB780" s="20" t="s">
        <v>115</v>
      </c>
      <c r="AC780" s="20"/>
      <c r="AD780" s="6">
        <v>7</v>
      </c>
      <c r="AE780" s="6">
        <v>13</v>
      </c>
      <c r="AF780" s="6">
        <v>7</v>
      </c>
      <c r="AG780" s="6">
        <v>13</v>
      </c>
      <c r="AH780" s="6">
        <v>0</v>
      </c>
      <c r="AI780" s="6">
        <v>0</v>
      </c>
      <c r="AJ780">
        <f t="shared" si="12"/>
        <v>20</v>
      </c>
      <c r="AO780" s="33"/>
      <c r="AP780" s="33"/>
      <c r="AQ780" s="34"/>
      <c r="AR780" s="33"/>
      <c r="AS780" s="33"/>
      <c r="AT780" s="33"/>
      <c r="AU780" s="33"/>
    </row>
    <row r="781" spans="1:47" x14ac:dyDescent="0.2">
      <c r="A781" t="s">
        <v>1914</v>
      </c>
      <c r="B781" t="s">
        <v>5030</v>
      </c>
      <c r="C781">
        <v>7</v>
      </c>
      <c r="D781">
        <v>1</v>
      </c>
      <c r="E781" t="s">
        <v>2601</v>
      </c>
      <c r="F781" s="1">
        <v>43402</v>
      </c>
      <c r="G781" s="37" t="s">
        <v>4033</v>
      </c>
      <c r="H781" s="37" t="s">
        <v>4724</v>
      </c>
      <c r="I781" s="2">
        <v>5.2083333333333336E-2</v>
      </c>
      <c r="J781" s="176">
        <v>8.6805555555555551E-4</v>
      </c>
      <c r="K781" s="6">
        <v>75</v>
      </c>
      <c r="L781" t="s">
        <v>2028</v>
      </c>
      <c r="M781" t="s">
        <v>173</v>
      </c>
      <c r="N781" s="7" t="s">
        <v>102</v>
      </c>
      <c r="O781" s="7" t="s">
        <v>23</v>
      </c>
      <c r="P781" s="7" t="s">
        <v>24</v>
      </c>
      <c r="Q781" s="7"/>
      <c r="R781">
        <v>0</v>
      </c>
      <c r="U781" t="s">
        <v>115</v>
      </c>
      <c r="V781" s="7" t="s">
        <v>115</v>
      </c>
      <c r="W781" s="7" t="s">
        <v>115</v>
      </c>
      <c r="X781" s="33" t="s">
        <v>115</v>
      </c>
      <c r="Y781" s="33" t="s">
        <v>115</v>
      </c>
      <c r="Z781" s="33" t="s">
        <v>115</v>
      </c>
      <c r="AA781" s="7" t="s">
        <v>115</v>
      </c>
      <c r="AB781" s="20" t="s">
        <v>115</v>
      </c>
      <c r="AC781" s="20"/>
      <c r="AD781" s="6">
        <v>0</v>
      </c>
      <c r="AE781" s="6">
        <v>12</v>
      </c>
      <c r="AF781" s="6">
        <v>0</v>
      </c>
      <c r="AG781" s="6">
        <v>12</v>
      </c>
      <c r="AH781" s="6">
        <v>0</v>
      </c>
      <c r="AI781" s="6">
        <v>0</v>
      </c>
      <c r="AJ781">
        <f t="shared" si="12"/>
        <v>12</v>
      </c>
      <c r="AO781" s="33"/>
      <c r="AP781" s="33"/>
      <c r="AQ781" s="34"/>
      <c r="AR781" s="33"/>
      <c r="AS781" s="33"/>
      <c r="AT781" s="33"/>
      <c r="AU781" s="33"/>
    </row>
    <row r="782" spans="1:47" s="33" customFormat="1" x14ac:dyDescent="0.2">
      <c r="A782" t="s">
        <v>1915</v>
      </c>
      <c r="B782" t="s">
        <v>5031</v>
      </c>
      <c r="C782">
        <v>8</v>
      </c>
      <c r="D782">
        <v>1</v>
      </c>
      <c r="E782" t="s">
        <v>2601</v>
      </c>
      <c r="F782" s="1">
        <v>43402</v>
      </c>
      <c r="G782" s="37" t="s">
        <v>4033</v>
      </c>
      <c r="H782" s="37" t="s">
        <v>4724</v>
      </c>
      <c r="I782" s="2">
        <v>2.361111111111111E-2</v>
      </c>
      <c r="J782" s="176">
        <v>3.9351851851851852E-4</v>
      </c>
      <c r="K782" s="6">
        <v>34</v>
      </c>
      <c r="L782" t="s">
        <v>2028</v>
      </c>
      <c r="M782" t="s">
        <v>173</v>
      </c>
      <c r="N782" s="7" t="s">
        <v>102</v>
      </c>
      <c r="O782" s="7" t="s">
        <v>23</v>
      </c>
      <c r="P782" s="7" t="s">
        <v>24</v>
      </c>
      <c r="Q782" s="7"/>
      <c r="R782">
        <v>0</v>
      </c>
      <c r="S782"/>
      <c r="T782"/>
      <c r="U782" t="s">
        <v>115</v>
      </c>
      <c r="V782" s="7" t="s">
        <v>115</v>
      </c>
      <c r="W782" s="7" t="s">
        <v>115</v>
      </c>
      <c r="X782" s="33" t="s">
        <v>115</v>
      </c>
      <c r="Y782" s="33" t="s">
        <v>115</v>
      </c>
      <c r="Z782" s="33" t="s">
        <v>115</v>
      </c>
      <c r="AA782" s="7" t="s">
        <v>115</v>
      </c>
      <c r="AB782" s="20" t="s">
        <v>115</v>
      </c>
      <c r="AC782" s="20"/>
      <c r="AD782" s="6">
        <v>7</v>
      </c>
      <c r="AE782" s="6">
        <v>27</v>
      </c>
      <c r="AF782" s="6">
        <v>7</v>
      </c>
      <c r="AG782" s="6">
        <v>27</v>
      </c>
      <c r="AH782" s="6">
        <v>0</v>
      </c>
      <c r="AI782" s="6">
        <v>0</v>
      </c>
      <c r="AJ782">
        <f t="shared" si="12"/>
        <v>34</v>
      </c>
      <c r="AK782"/>
      <c r="AL782"/>
      <c r="AM782"/>
      <c r="AN782"/>
      <c r="AO782"/>
      <c r="AP782"/>
      <c r="AQ782"/>
      <c r="AR782"/>
      <c r="AS782"/>
      <c r="AT782"/>
      <c r="AU782"/>
    </row>
    <row r="783" spans="1:47" s="33" customFormat="1" x14ac:dyDescent="0.2">
      <c r="A783" t="s">
        <v>1916</v>
      </c>
      <c r="B783" t="s">
        <v>5038</v>
      </c>
      <c r="C783">
        <v>9</v>
      </c>
      <c r="D783">
        <v>1</v>
      </c>
      <c r="E783" t="s">
        <v>2601</v>
      </c>
      <c r="F783" s="1">
        <v>43402</v>
      </c>
      <c r="G783" s="37" t="s">
        <v>4033</v>
      </c>
      <c r="H783" s="37" t="s">
        <v>4724</v>
      </c>
      <c r="I783" s="2">
        <v>4.2361111111111106E-2</v>
      </c>
      <c r="J783" s="176">
        <v>7.0601851851851847E-4</v>
      </c>
      <c r="K783" s="6">
        <v>61</v>
      </c>
      <c r="L783" t="s">
        <v>2028</v>
      </c>
      <c r="M783" t="s">
        <v>173</v>
      </c>
      <c r="N783" s="7" t="s">
        <v>102</v>
      </c>
      <c r="O783" t="s">
        <v>23</v>
      </c>
      <c r="P783" s="7">
        <v>1</v>
      </c>
      <c r="Q783" s="7"/>
      <c r="R783">
        <v>0</v>
      </c>
      <c r="S783"/>
      <c r="T783" t="s">
        <v>176</v>
      </c>
      <c r="U783" t="s">
        <v>176</v>
      </c>
      <c r="V783" s="7" t="s">
        <v>948</v>
      </c>
      <c r="W783" s="7" t="s">
        <v>115</v>
      </c>
      <c r="X783" s="33" t="s">
        <v>115</v>
      </c>
      <c r="Y783" s="33" t="s">
        <v>115</v>
      </c>
      <c r="Z783" s="33" t="s">
        <v>115</v>
      </c>
      <c r="AA783" s="7" t="s">
        <v>115</v>
      </c>
      <c r="AB783" s="20" t="s">
        <v>115</v>
      </c>
      <c r="AC783" s="20"/>
      <c r="AD783" s="6">
        <v>2</v>
      </c>
      <c r="AE783" s="6">
        <v>10</v>
      </c>
      <c r="AF783" s="6">
        <v>2</v>
      </c>
      <c r="AG783" s="6">
        <v>10</v>
      </c>
      <c r="AH783" s="6">
        <v>0</v>
      </c>
      <c r="AI783" s="6">
        <v>0</v>
      </c>
      <c r="AJ783">
        <f t="shared" si="12"/>
        <v>12</v>
      </c>
      <c r="AK783"/>
      <c r="AL783"/>
      <c r="AM783"/>
      <c r="AN783"/>
      <c r="AO783"/>
      <c r="AP783"/>
      <c r="AQ783"/>
      <c r="AR783"/>
      <c r="AS783"/>
      <c r="AT783"/>
      <c r="AU783"/>
    </row>
    <row r="784" spans="1:47" s="33" customFormat="1" x14ac:dyDescent="0.2">
      <c r="A784" t="s">
        <v>1917</v>
      </c>
      <c r="B784" t="s">
        <v>5043</v>
      </c>
      <c r="C784">
        <v>10</v>
      </c>
      <c r="D784">
        <v>1</v>
      </c>
      <c r="E784" t="s">
        <v>2601</v>
      </c>
      <c r="F784" s="1">
        <v>43402</v>
      </c>
      <c r="G784" s="37" t="s">
        <v>4033</v>
      </c>
      <c r="H784" s="37" t="s">
        <v>4724</v>
      </c>
      <c r="I784" s="2">
        <v>2.0833333333333332E-2</v>
      </c>
      <c r="J784" s="176">
        <v>3.4722222222222224E-4</v>
      </c>
      <c r="K784" s="6">
        <v>30</v>
      </c>
      <c r="L784" t="s">
        <v>2028</v>
      </c>
      <c r="M784" t="s">
        <v>177</v>
      </c>
      <c r="N784" s="7" t="s">
        <v>102</v>
      </c>
      <c r="O784" t="s">
        <v>23</v>
      </c>
      <c r="P784" s="7">
        <v>0</v>
      </c>
      <c r="Q784" s="7"/>
      <c r="R784">
        <v>0</v>
      </c>
      <c r="S784"/>
      <c r="T784"/>
      <c r="U784" t="s">
        <v>115</v>
      </c>
      <c r="V784" s="7" t="s">
        <v>115</v>
      </c>
      <c r="W784" s="7" t="s">
        <v>115</v>
      </c>
      <c r="X784" s="33" t="s">
        <v>115</v>
      </c>
      <c r="Y784" s="33" t="s">
        <v>115</v>
      </c>
      <c r="Z784" s="33" t="s">
        <v>115</v>
      </c>
      <c r="AA784" s="7" t="s">
        <v>115</v>
      </c>
      <c r="AB784" s="20" t="s">
        <v>115</v>
      </c>
      <c r="AC784" s="20"/>
      <c r="AD784" s="6">
        <v>0</v>
      </c>
      <c r="AE784" s="6">
        <v>19</v>
      </c>
      <c r="AF784" s="6">
        <v>0</v>
      </c>
      <c r="AG784" s="6">
        <v>19</v>
      </c>
      <c r="AH784" s="6">
        <v>0</v>
      </c>
      <c r="AI784" s="6">
        <v>0</v>
      </c>
      <c r="AJ784">
        <f t="shared" si="12"/>
        <v>19</v>
      </c>
      <c r="AK784"/>
      <c r="AL784"/>
      <c r="AM784"/>
      <c r="AN784"/>
      <c r="AQ784" s="34"/>
    </row>
    <row r="785" spans="1:47" s="33" customFormat="1" x14ac:dyDescent="0.2">
      <c r="A785" t="s">
        <v>1918</v>
      </c>
      <c r="B785" t="s">
        <v>5032</v>
      </c>
      <c r="C785">
        <v>11</v>
      </c>
      <c r="D785">
        <v>1</v>
      </c>
      <c r="E785" t="s">
        <v>2601</v>
      </c>
      <c r="F785" s="1">
        <v>43402</v>
      </c>
      <c r="G785" s="37" t="s">
        <v>4033</v>
      </c>
      <c r="H785" s="37" t="s">
        <v>4724</v>
      </c>
      <c r="I785" s="2">
        <v>1.6666666666666666E-2</v>
      </c>
      <c r="J785" s="176">
        <v>2.7777777777777778E-4</v>
      </c>
      <c r="K785" s="6">
        <v>24</v>
      </c>
      <c r="L785" t="s">
        <v>2028</v>
      </c>
      <c r="M785" t="s">
        <v>173</v>
      </c>
      <c r="N785" s="7" t="s">
        <v>102</v>
      </c>
      <c r="O785" t="s">
        <v>23</v>
      </c>
      <c r="P785" t="s">
        <v>24</v>
      </c>
      <c r="Q785"/>
      <c r="R785" t="s">
        <v>24</v>
      </c>
      <c r="S785"/>
      <c r="T785" t="s">
        <v>176</v>
      </c>
      <c r="U785" t="s">
        <v>176</v>
      </c>
      <c r="V785" s="7" t="s">
        <v>115</v>
      </c>
      <c r="W785" s="7" t="s">
        <v>115</v>
      </c>
      <c r="X785" s="7"/>
      <c r="Y785" s="7"/>
      <c r="Z785" s="7"/>
      <c r="AA785" s="7" t="s">
        <v>115</v>
      </c>
      <c r="AB785" s="20" t="s">
        <v>115</v>
      </c>
      <c r="AC785" s="20"/>
      <c r="AD785" s="6">
        <v>22</v>
      </c>
      <c r="AE785" s="6">
        <v>0</v>
      </c>
      <c r="AF785" s="6">
        <v>22</v>
      </c>
      <c r="AG785" s="6">
        <v>0</v>
      </c>
      <c r="AH785" s="6">
        <v>0</v>
      </c>
      <c r="AI785" s="6">
        <v>0</v>
      </c>
      <c r="AJ785">
        <f t="shared" si="12"/>
        <v>22</v>
      </c>
      <c r="AK785"/>
      <c r="AL785"/>
      <c r="AM785"/>
      <c r="AN785"/>
      <c r="AO785"/>
      <c r="AP785"/>
      <c r="AQ785"/>
      <c r="AR785"/>
      <c r="AS785"/>
      <c r="AT785"/>
      <c r="AU785"/>
    </row>
    <row r="786" spans="1:47" x14ac:dyDescent="0.2">
      <c r="A786" t="s">
        <v>1919</v>
      </c>
      <c r="B786" t="s">
        <v>5044</v>
      </c>
      <c r="C786">
        <v>12</v>
      </c>
      <c r="D786">
        <v>1</v>
      </c>
      <c r="E786" t="s">
        <v>2601</v>
      </c>
      <c r="F786" s="1">
        <v>43402</v>
      </c>
      <c r="G786" s="37" t="s">
        <v>4033</v>
      </c>
      <c r="H786" s="37" t="s">
        <v>4724</v>
      </c>
      <c r="I786" s="2">
        <v>2.2222222222222223E-2</v>
      </c>
      <c r="J786" s="176">
        <v>3.7037037037037035E-4</v>
      </c>
      <c r="K786" s="6">
        <v>32</v>
      </c>
      <c r="L786" t="s">
        <v>2028</v>
      </c>
      <c r="M786" t="s">
        <v>173</v>
      </c>
      <c r="N786" s="7" t="s">
        <v>102</v>
      </c>
      <c r="O786" t="s">
        <v>23</v>
      </c>
      <c r="P786">
        <v>0</v>
      </c>
      <c r="R786">
        <v>0</v>
      </c>
      <c r="U786" t="s">
        <v>115</v>
      </c>
      <c r="V786" s="7" t="s">
        <v>115</v>
      </c>
      <c r="W786" s="7" t="s">
        <v>115</v>
      </c>
      <c r="X786" s="33" t="s">
        <v>115</v>
      </c>
      <c r="Y786" s="33" t="s">
        <v>115</v>
      </c>
      <c r="Z786" s="33" t="s">
        <v>115</v>
      </c>
      <c r="AA786" s="7" t="s">
        <v>115</v>
      </c>
      <c r="AB786" s="20" t="s">
        <v>115</v>
      </c>
      <c r="AC786" s="20"/>
      <c r="AD786" s="6">
        <v>0</v>
      </c>
      <c r="AE786" s="6">
        <v>25</v>
      </c>
      <c r="AF786" s="6">
        <v>0</v>
      </c>
      <c r="AG786" s="6">
        <v>25</v>
      </c>
      <c r="AH786" s="6">
        <v>0</v>
      </c>
      <c r="AI786" s="6">
        <v>0</v>
      </c>
      <c r="AJ786">
        <f t="shared" si="12"/>
        <v>25</v>
      </c>
      <c r="AO786" s="33"/>
      <c r="AP786" s="33"/>
      <c r="AQ786" s="34"/>
      <c r="AR786" s="33"/>
      <c r="AS786" s="33"/>
      <c r="AT786" s="33"/>
      <c r="AU786" s="33"/>
    </row>
    <row r="787" spans="1:47" x14ac:dyDescent="0.2">
      <c r="A787" t="s">
        <v>1920</v>
      </c>
      <c r="B787" t="s">
        <v>5039</v>
      </c>
      <c r="C787">
        <v>13</v>
      </c>
      <c r="D787">
        <v>1</v>
      </c>
      <c r="E787" t="s">
        <v>2601</v>
      </c>
      <c r="F787" s="1">
        <v>43402</v>
      </c>
      <c r="G787" s="37" t="s">
        <v>4033</v>
      </c>
      <c r="H787" s="37" t="s">
        <v>4724</v>
      </c>
      <c r="I787" s="2">
        <v>7.1527777777777787E-2</v>
      </c>
      <c r="J787" s="176">
        <v>1.1921296296296296E-3</v>
      </c>
      <c r="K787" s="6">
        <v>103</v>
      </c>
      <c r="L787" t="s">
        <v>2028</v>
      </c>
      <c r="M787" t="s">
        <v>173</v>
      </c>
      <c r="N787" s="7" t="s">
        <v>102</v>
      </c>
      <c r="O787" t="s">
        <v>23</v>
      </c>
      <c r="P787">
        <v>1</v>
      </c>
      <c r="R787">
        <v>0</v>
      </c>
      <c r="T787" t="s">
        <v>176</v>
      </c>
      <c r="U787" t="s">
        <v>176</v>
      </c>
      <c r="V787" s="7" t="s">
        <v>948</v>
      </c>
      <c r="W787" s="7" t="s">
        <v>115</v>
      </c>
      <c r="X787" s="33" t="s">
        <v>115</v>
      </c>
      <c r="Y787" s="33" t="s">
        <v>115</v>
      </c>
      <c r="Z787" s="33" t="s">
        <v>115</v>
      </c>
      <c r="AA787" s="7" t="s">
        <v>115</v>
      </c>
      <c r="AB787" s="20" t="s">
        <v>115</v>
      </c>
      <c r="AC787" s="20"/>
      <c r="AD787" s="6">
        <v>47</v>
      </c>
      <c r="AE787" s="6">
        <v>38</v>
      </c>
      <c r="AF787" s="6">
        <v>47</v>
      </c>
      <c r="AG787" s="6">
        <v>38</v>
      </c>
      <c r="AH787" s="6">
        <v>0</v>
      </c>
      <c r="AI787" s="6">
        <v>0</v>
      </c>
      <c r="AJ787">
        <f t="shared" si="12"/>
        <v>85</v>
      </c>
      <c r="AK787" t="s">
        <v>375</v>
      </c>
      <c r="AM787">
        <v>2</v>
      </c>
      <c r="AN787">
        <v>0</v>
      </c>
    </row>
    <row r="788" spans="1:47" x14ac:dyDescent="0.2">
      <c r="A788" t="s">
        <v>1921</v>
      </c>
      <c r="B788" t="s">
        <v>5040</v>
      </c>
      <c r="C788">
        <v>14</v>
      </c>
      <c r="D788">
        <v>1</v>
      </c>
      <c r="E788" t="s">
        <v>2601</v>
      </c>
      <c r="F788" s="1">
        <v>43402</v>
      </c>
      <c r="G788" s="37" t="s">
        <v>4033</v>
      </c>
      <c r="H788" s="37" t="s">
        <v>4724</v>
      </c>
      <c r="I788" s="2">
        <v>9.7222222222222224E-3</v>
      </c>
      <c r="J788" s="176">
        <v>1.6203703703703703E-4</v>
      </c>
      <c r="K788" s="6">
        <v>14</v>
      </c>
      <c r="L788" t="s">
        <v>2028</v>
      </c>
      <c r="M788" t="s">
        <v>173</v>
      </c>
      <c r="N788" s="7" t="s">
        <v>2153</v>
      </c>
      <c r="O788" t="s">
        <v>23</v>
      </c>
      <c r="P788">
        <v>1</v>
      </c>
      <c r="R788">
        <v>0</v>
      </c>
      <c r="T788" t="s">
        <v>176</v>
      </c>
      <c r="U788" t="s">
        <v>176</v>
      </c>
      <c r="V788" s="7" t="s">
        <v>1922</v>
      </c>
      <c r="W788" s="7" t="s">
        <v>115</v>
      </c>
      <c r="X788" s="33" t="s">
        <v>115</v>
      </c>
      <c r="Y788" s="33" t="s">
        <v>115</v>
      </c>
      <c r="Z788" s="33" t="s">
        <v>115</v>
      </c>
      <c r="AA788" s="7" t="s">
        <v>115</v>
      </c>
      <c r="AB788" s="20" t="s">
        <v>115</v>
      </c>
      <c r="AC788" s="20"/>
      <c r="AD788" s="6">
        <v>0</v>
      </c>
      <c r="AE788" s="6">
        <v>0</v>
      </c>
      <c r="AF788" s="6">
        <v>0</v>
      </c>
      <c r="AG788" s="6">
        <v>0</v>
      </c>
      <c r="AH788" s="6">
        <v>0</v>
      </c>
      <c r="AI788" s="6">
        <v>0</v>
      </c>
      <c r="AJ788">
        <f t="shared" si="12"/>
        <v>0</v>
      </c>
    </row>
    <row r="789" spans="1:47" x14ac:dyDescent="0.2">
      <c r="A789" t="s">
        <v>1923</v>
      </c>
      <c r="B789" t="s">
        <v>5045</v>
      </c>
      <c r="C789">
        <v>15</v>
      </c>
      <c r="D789">
        <v>1</v>
      </c>
      <c r="E789" t="s">
        <v>2601</v>
      </c>
      <c r="F789" s="1">
        <v>43402</v>
      </c>
      <c r="G789" s="37" t="s">
        <v>4033</v>
      </c>
      <c r="H789" s="37" t="s">
        <v>4724</v>
      </c>
      <c r="I789" s="2">
        <v>1.5972222222222224E-2</v>
      </c>
      <c r="J789" s="176">
        <v>2.6620370370370372E-4</v>
      </c>
      <c r="K789" s="6">
        <v>23</v>
      </c>
      <c r="L789" t="s">
        <v>2028</v>
      </c>
      <c r="M789" t="s">
        <v>173</v>
      </c>
      <c r="N789" s="7" t="s">
        <v>111</v>
      </c>
      <c r="O789" t="s">
        <v>23</v>
      </c>
      <c r="P789">
        <v>0</v>
      </c>
      <c r="R789">
        <v>1</v>
      </c>
      <c r="T789" t="s">
        <v>176</v>
      </c>
      <c r="U789" t="s">
        <v>176</v>
      </c>
      <c r="V789" s="7" t="s">
        <v>1922</v>
      </c>
      <c r="W789" s="7" t="s">
        <v>3963</v>
      </c>
      <c r="X789" s="44" t="s">
        <v>23</v>
      </c>
      <c r="Y789" s="44" t="s">
        <v>3997</v>
      </c>
      <c r="Z789" s="44" t="s">
        <v>4007</v>
      </c>
      <c r="AA789" s="7" t="s">
        <v>24</v>
      </c>
      <c r="AB789" s="20">
        <v>63.725090000000002</v>
      </c>
      <c r="AC789" s="20">
        <v>148.96426</v>
      </c>
      <c r="AD789" s="6">
        <v>0</v>
      </c>
      <c r="AE789" s="6">
        <v>0</v>
      </c>
      <c r="AF789" s="6">
        <v>0</v>
      </c>
      <c r="AG789" s="6">
        <v>0</v>
      </c>
      <c r="AH789" s="6">
        <v>0</v>
      </c>
      <c r="AI789" s="6">
        <v>0</v>
      </c>
      <c r="AJ789">
        <f t="shared" si="12"/>
        <v>0</v>
      </c>
      <c r="AL789" t="s">
        <v>1925</v>
      </c>
      <c r="AO789" s="33"/>
      <c r="AP789" s="33"/>
      <c r="AQ789" s="34"/>
      <c r="AR789" s="33"/>
      <c r="AS789" s="33"/>
      <c r="AT789" s="33"/>
      <c r="AU789" s="33"/>
    </row>
    <row r="790" spans="1:47" x14ac:dyDescent="0.2">
      <c r="A790" t="s">
        <v>1926</v>
      </c>
      <c r="B790" t="s">
        <v>5046</v>
      </c>
      <c r="C790">
        <v>16</v>
      </c>
      <c r="D790">
        <v>1</v>
      </c>
      <c r="E790" t="s">
        <v>2601</v>
      </c>
      <c r="F790" s="1">
        <v>43402</v>
      </c>
      <c r="G790" s="37" t="s">
        <v>4033</v>
      </c>
      <c r="H790" s="37" t="s">
        <v>4724</v>
      </c>
      <c r="I790" s="2">
        <v>4.8611111111111112E-3</v>
      </c>
      <c r="J790" s="176">
        <v>8.1018518518518516E-5</v>
      </c>
      <c r="K790" s="6">
        <v>7</v>
      </c>
      <c r="L790" t="s">
        <v>2028</v>
      </c>
      <c r="M790" t="s">
        <v>177</v>
      </c>
      <c r="N790" s="7" t="s">
        <v>102</v>
      </c>
      <c r="O790" t="s">
        <v>23</v>
      </c>
      <c r="P790">
        <v>0</v>
      </c>
      <c r="R790">
        <v>0</v>
      </c>
      <c r="U790" t="s">
        <v>115</v>
      </c>
      <c r="V790" s="7" t="s">
        <v>115</v>
      </c>
      <c r="W790" s="7" t="s">
        <v>115</v>
      </c>
      <c r="X790" s="33" t="s">
        <v>115</v>
      </c>
      <c r="Y790" s="33" t="s">
        <v>115</v>
      </c>
      <c r="Z790" s="33" t="s">
        <v>115</v>
      </c>
      <c r="AA790" s="7" t="s">
        <v>115</v>
      </c>
      <c r="AB790" s="20" t="s">
        <v>115</v>
      </c>
      <c r="AC790" s="20"/>
      <c r="AD790" s="6">
        <v>0</v>
      </c>
      <c r="AE790" s="6">
        <v>7</v>
      </c>
      <c r="AF790" s="6">
        <v>0</v>
      </c>
      <c r="AG790" s="6">
        <v>7</v>
      </c>
      <c r="AH790" s="6">
        <v>0</v>
      </c>
      <c r="AI790" s="6">
        <v>0</v>
      </c>
      <c r="AJ790">
        <f t="shared" si="12"/>
        <v>7</v>
      </c>
    </row>
    <row r="791" spans="1:47" x14ac:dyDescent="0.2">
      <c r="A791" t="s">
        <v>1927</v>
      </c>
      <c r="B791" t="s">
        <v>5041</v>
      </c>
      <c r="C791">
        <v>17</v>
      </c>
      <c r="D791">
        <v>1</v>
      </c>
      <c r="E791" t="s">
        <v>2601</v>
      </c>
      <c r="F791" s="1">
        <v>43402</v>
      </c>
      <c r="G791" s="37" t="s">
        <v>4033</v>
      </c>
      <c r="H791" s="37" t="s">
        <v>4724</v>
      </c>
      <c r="I791" s="2">
        <v>1.3888888888888888E-2</v>
      </c>
      <c r="J791" s="176">
        <v>2.3148148148148146E-4</v>
      </c>
      <c r="K791" s="6">
        <v>20</v>
      </c>
      <c r="L791" t="s">
        <v>2028</v>
      </c>
      <c r="M791" t="s">
        <v>173</v>
      </c>
      <c r="N791" s="7" t="s">
        <v>1310</v>
      </c>
      <c r="O791" t="s">
        <v>23</v>
      </c>
      <c r="P791">
        <v>1</v>
      </c>
      <c r="R791">
        <v>0</v>
      </c>
      <c r="T791" t="s">
        <v>176</v>
      </c>
      <c r="U791" t="s">
        <v>176</v>
      </c>
      <c r="V791" s="7" t="s">
        <v>1057</v>
      </c>
      <c r="W791" s="7" t="s">
        <v>115</v>
      </c>
      <c r="X791" s="33" t="s">
        <v>115</v>
      </c>
      <c r="Y791" s="33" t="s">
        <v>115</v>
      </c>
      <c r="Z791" s="33" t="s">
        <v>115</v>
      </c>
      <c r="AA791" s="7" t="s">
        <v>115</v>
      </c>
      <c r="AB791" s="20" t="s">
        <v>115</v>
      </c>
      <c r="AC791" s="20"/>
      <c r="AD791" s="6">
        <v>13</v>
      </c>
      <c r="AE791" s="6">
        <v>0</v>
      </c>
      <c r="AF791" s="6">
        <v>13</v>
      </c>
      <c r="AG791" s="6">
        <v>0</v>
      </c>
      <c r="AH791" s="6">
        <v>0</v>
      </c>
      <c r="AI791" s="6">
        <v>0</v>
      </c>
      <c r="AJ791">
        <f t="shared" si="12"/>
        <v>13</v>
      </c>
      <c r="AK791" t="s">
        <v>375</v>
      </c>
      <c r="AM791">
        <v>4</v>
      </c>
      <c r="AN791">
        <v>0</v>
      </c>
      <c r="AO791" s="33"/>
      <c r="AP791" s="33"/>
      <c r="AQ791" s="34"/>
      <c r="AR791" s="33"/>
      <c r="AS791" s="33"/>
      <c r="AT791" s="33"/>
      <c r="AU791" s="33"/>
    </row>
    <row r="792" spans="1:47" x14ac:dyDescent="0.2">
      <c r="A792" t="s">
        <v>1928</v>
      </c>
      <c r="B792" t="s">
        <v>5033</v>
      </c>
      <c r="C792">
        <v>18</v>
      </c>
      <c r="D792">
        <v>1</v>
      </c>
      <c r="E792" t="s">
        <v>2601</v>
      </c>
      <c r="F792" s="1">
        <v>43402</v>
      </c>
      <c r="G792" s="37" t="s">
        <v>4033</v>
      </c>
      <c r="H792" s="37" t="s">
        <v>4724</v>
      </c>
      <c r="I792" s="2">
        <v>2.9166666666666664E-2</v>
      </c>
      <c r="J792" s="176">
        <v>4.8611111111111104E-4</v>
      </c>
      <c r="K792" s="6">
        <v>42</v>
      </c>
      <c r="L792" t="s">
        <v>2028</v>
      </c>
      <c r="M792" t="s">
        <v>173</v>
      </c>
      <c r="N792" s="7" t="s">
        <v>102</v>
      </c>
      <c r="O792" t="s">
        <v>23</v>
      </c>
      <c r="P792" t="s">
        <v>24</v>
      </c>
      <c r="R792" t="s">
        <v>24</v>
      </c>
      <c r="T792" t="s">
        <v>176</v>
      </c>
      <c r="U792" t="s">
        <v>176</v>
      </c>
      <c r="V792" s="7" t="s">
        <v>115</v>
      </c>
      <c r="W792" s="7" t="s">
        <v>115</v>
      </c>
      <c r="X792" s="7"/>
      <c r="Y792" s="7"/>
      <c r="Z792" s="7"/>
      <c r="AA792" s="7" t="s">
        <v>115</v>
      </c>
      <c r="AB792" s="20" t="s">
        <v>115</v>
      </c>
      <c r="AC792" s="20"/>
      <c r="AD792" s="6">
        <v>0</v>
      </c>
      <c r="AE792" s="6">
        <v>35</v>
      </c>
      <c r="AF792" s="6">
        <v>0</v>
      </c>
      <c r="AG792" s="6">
        <v>35</v>
      </c>
      <c r="AH792" s="6">
        <v>0</v>
      </c>
      <c r="AI792" s="6">
        <v>0</v>
      </c>
      <c r="AJ792">
        <f t="shared" si="12"/>
        <v>35</v>
      </c>
      <c r="AK792" t="s">
        <v>188</v>
      </c>
    </row>
    <row r="793" spans="1:47" x14ac:dyDescent="0.2">
      <c r="A793" t="s">
        <v>1929</v>
      </c>
      <c r="B793" t="s">
        <v>5034</v>
      </c>
      <c r="C793">
        <v>19</v>
      </c>
      <c r="D793">
        <v>1</v>
      </c>
      <c r="E793" t="s">
        <v>2601</v>
      </c>
      <c r="F793" s="1">
        <v>43402</v>
      </c>
      <c r="G793" s="37" t="s">
        <v>4033</v>
      </c>
      <c r="H793" s="37" t="s">
        <v>4724</v>
      </c>
      <c r="I793" s="2">
        <v>1.8749999999999999E-2</v>
      </c>
      <c r="J793" s="176">
        <v>3.1250000000000001E-4</v>
      </c>
      <c r="K793" s="6">
        <v>27</v>
      </c>
      <c r="L793" t="s">
        <v>2028</v>
      </c>
      <c r="M793" t="s">
        <v>173</v>
      </c>
      <c r="N793" s="7" t="s">
        <v>102</v>
      </c>
      <c r="O793" t="s">
        <v>23</v>
      </c>
      <c r="P793" t="s">
        <v>24</v>
      </c>
      <c r="R793" t="s">
        <v>24</v>
      </c>
      <c r="T793" t="s">
        <v>176</v>
      </c>
      <c r="U793" t="s">
        <v>176</v>
      </c>
      <c r="V793" s="7" t="s">
        <v>115</v>
      </c>
      <c r="W793" s="7" t="s">
        <v>115</v>
      </c>
      <c r="X793" s="7"/>
      <c r="Y793" s="7"/>
      <c r="Z793" s="7"/>
      <c r="AA793" s="7" t="s">
        <v>115</v>
      </c>
      <c r="AB793" s="20" t="s">
        <v>115</v>
      </c>
      <c r="AC793" s="20"/>
      <c r="AD793" s="6">
        <v>0</v>
      </c>
      <c r="AE793" s="6">
        <v>6</v>
      </c>
      <c r="AF793" s="6">
        <v>0</v>
      </c>
      <c r="AG793" s="6">
        <v>6</v>
      </c>
      <c r="AH793" s="6">
        <v>0</v>
      </c>
      <c r="AI793" s="6">
        <v>0</v>
      </c>
      <c r="AJ793">
        <f t="shared" si="12"/>
        <v>6</v>
      </c>
      <c r="AO793" s="33"/>
      <c r="AP793" s="33"/>
      <c r="AQ793" s="34"/>
      <c r="AR793" s="33"/>
      <c r="AS793" s="33"/>
      <c r="AT793" s="33"/>
      <c r="AU793" s="33"/>
    </row>
    <row r="794" spans="1:47" x14ac:dyDescent="0.2">
      <c r="A794" t="s">
        <v>1930</v>
      </c>
      <c r="B794" t="s">
        <v>5035</v>
      </c>
      <c r="C794">
        <v>20</v>
      </c>
      <c r="D794">
        <v>1</v>
      </c>
      <c r="E794" t="s">
        <v>2601</v>
      </c>
      <c r="F794" s="1">
        <v>43402</v>
      </c>
      <c r="G794" s="37" t="s">
        <v>4033</v>
      </c>
      <c r="H794" s="37" t="s">
        <v>4724</v>
      </c>
      <c r="I794" s="2">
        <v>1.1805555555555555E-2</v>
      </c>
      <c r="J794" s="176">
        <v>1.9675925925925926E-4</v>
      </c>
      <c r="K794" s="6">
        <v>17</v>
      </c>
      <c r="L794" t="s">
        <v>2028</v>
      </c>
      <c r="M794" t="s">
        <v>173</v>
      </c>
      <c r="N794" s="7" t="s">
        <v>102</v>
      </c>
      <c r="O794" t="s">
        <v>23</v>
      </c>
      <c r="P794" t="s">
        <v>24</v>
      </c>
      <c r="R794" t="s">
        <v>24</v>
      </c>
      <c r="T794" t="s">
        <v>176</v>
      </c>
      <c r="U794" t="s">
        <v>176</v>
      </c>
      <c r="V794" s="7" t="s">
        <v>115</v>
      </c>
      <c r="W794" s="7" t="s">
        <v>115</v>
      </c>
      <c r="X794" s="7"/>
      <c r="Y794" s="7"/>
      <c r="Z794" s="7"/>
      <c r="AA794" s="7" t="s">
        <v>115</v>
      </c>
      <c r="AB794" s="20" t="s">
        <v>115</v>
      </c>
      <c r="AC794" s="20"/>
      <c r="AD794" s="6">
        <v>0</v>
      </c>
      <c r="AE794" s="6">
        <v>16</v>
      </c>
      <c r="AF794" s="6">
        <v>0</v>
      </c>
      <c r="AG794" s="6">
        <v>16</v>
      </c>
      <c r="AH794" s="6">
        <v>0</v>
      </c>
      <c r="AI794" s="6">
        <v>0</v>
      </c>
      <c r="AJ794">
        <f t="shared" si="12"/>
        <v>16</v>
      </c>
    </row>
    <row r="795" spans="1:47" x14ac:dyDescent="0.2">
      <c r="A795" t="s">
        <v>1931</v>
      </c>
      <c r="B795" t="s">
        <v>1932</v>
      </c>
      <c r="C795">
        <v>1</v>
      </c>
      <c r="D795">
        <v>1</v>
      </c>
      <c r="E795" t="s">
        <v>791</v>
      </c>
      <c r="F795" s="1">
        <v>43402</v>
      </c>
      <c r="G795" s="37" t="s">
        <v>4033</v>
      </c>
      <c r="H795" s="37" t="s">
        <v>4724</v>
      </c>
      <c r="I795" s="2">
        <v>1.1111111111111112E-2</v>
      </c>
      <c r="J795" s="176">
        <v>1.8518518518518518E-4</v>
      </c>
      <c r="K795" s="6">
        <v>16</v>
      </c>
      <c r="L795" t="s">
        <v>2028</v>
      </c>
      <c r="M795" t="s">
        <v>217</v>
      </c>
      <c r="N795" s="7" t="s">
        <v>1933</v>
      </c>
      <c r="O795" t="s">
        <v>23</v>
      </c>
      <c r="P795" t="s">
        <v>24</v>
      </c>
      <c r="R795">
        <v>0</v>
      </c>
      <c r="T795" t="s">
        <v>176</v>
      </c>
      <c r="U795" t="s">
        <v>176</v>
      </c>
      <c r="V795" s="7" t="s">
        <v>115</v>
      </c>
      <c r="W795" s="7" t="s">
        <v>115</v>
      </c>
      <c r="X795" s="33" t="s">
        <v>115</v>
      </c>
      <c r="Y795" s="33" t="s">
        <v>115</v>
      </c>
      <c r="Z795" s="33" t="s">
        <v>115</v>
      </c>
      <c r="AA795" s="7" t="s">
        <v>115</v>
      </c>
      <c r="AB795" s="20" t="s">
        <v>115</v>
      </c>
      <c r="AC795" s="20"/>
      <c r="AD795" s="6">
        <v>15</v>
      </c>
      <c r="AE795" s="6">
        <v>0</v>
      </c>
      <c r="AF795" s="6">
        <v>0</v>
      </c>
      <c r="AG795" s="6">
        <v>15</v>
      </c>
      <c r="AH795" s="6">
        <v>0</v>
      </c>
      <c r="AI795" s="6">
        <v>0</v>
      </c>
      <c r="AJ795">
        <f t="shared" si="12"/>
        <v>15</v>
      </c>
      <c r="AO795" s="4"/>
      <c r="AP795" s="4"/>
      <c r="AQ795" s="4"/>
      <c r="AR795" s="4"/>
      <c r="AS795" s="4"/>
      <c r="AT795" s="4"/>
      <c r="AU795" s="4"/>
    </row>
    <row r="796" spans="1:47" x14ac:dyDescent="0.2">
      <c r="A796" t="s">
        <v>1934</v>
      </c>
      <c r="B796" t="s">
        <v>1935</v>
      </c>
      <c r="C796">
        <v>2</v>
      </c>
      <c r="D796">
        <v>1</v>
      </c>
      <c r="E796" t="s">
        <v>791</v>
      </c>
      <c r="F796" s="1">
        <v>43402</v>
      </c>
      <c r="G796" s="37" t="s">
        <v>4033</v>
      </c>
      <c r="H796" s="37" t="s">
        <v>4724</v>
      </c>
      <c r="I796" s="2">
        <v>4.6527777777777779E-2</v>
      </c>
      <c r="J796" s="176">
        <v>7.7546296296296304E-4</v>
      </c>
      <c r="K796" s="6">
        <v>67</v>
      </c>
      <c r="L796" t="s">
        <v>2028</v>
      </c>
      <c r="M796" t="s">
        <v>217</v>
      </c>
      <c r="N796" s="7" t="s">
        <v>1310</v>
      </c>
      <c r="O796" t="s">
        <v>23</v>
      </c>
      <c r="P796">
        <v>1</v>
      </c>
      <c r="R796">
        <v>0</v>
      </c>
      <c r="T796" t="s">
        <v>176</v>
      </c>
      <c r="U796" t="s">
        <v>2119</v>
      </c>
      <c r="V796" s="7" t="s">
        <v>1937</v>
      </c>
      <c r="W796" s="7" t="s">
        <v>115</v>
      </c>
      <c r="X796" s="33" t="s">
        <v>115</v>
      </c>
      <c r="Y796" s="33" t="s">
        <v>115</v>
      </c>
      <c r="Z796" s="33" t="s">
        <v>115</v>
      </c>
      <c r="AA796" s="7" t="s">
        <v>115</v>
      </c>
      <c r="AB796" s="20" t="s">
        <v>115</v>
      </c>
      <c r="AC796" s="20"/>
      <c r="AD796" s="6">
        <v>68</v>
      </c>
      <c r="AE796" s="6">
        <v>0</v>
      </c>
      <c r="AF796" s="6">
        <v>68</v>
      </c>
      <c r="AG796" s="6">
        <v>0</v>
      </c>
      <c r="AH796" s="6">
        <v>0</v>
      </c>
      <c r="AI796" s="6">
        <v>0</v>
      </c>
      <c r="AJ796">
        <f t="shared" si="12"/>
        <v>68</v>
      </c>
      <c r="AK796" t="s">
        <v>1319</v>
      </c>
      <c r="AL796" t="s">
        <v>1936</v>
      </c>
      <c r="AM796">
        <v>1</v>
      </c>
      <c r="AN796">
        <v>0</v>
      </c>
    </row>
    <row r="797" spans="1:47" x14ac:dyDescent="0.2">
      <c r="A797" t="s">
        <v>1938</v>
      </c>
      <c r="B797" t="s">
        <v>1939</v>
      </c>
      <c r="C797">
        <v>3</v>
      </c>
      <c r="D797">
        <v>1</v>
      </c>
      <c r="E797" t="s">
        <v>791</v>
      </c>
      <c r="F797" s="1">
        <v>43402</v>
      </c>
      <c r="G797" s="37" t="s">
        <v>4033</v>
      </c>
      <c r="H797" s="37" t="s">
        <v>4724</v>
      </c>
      <c r="I797" s="2">
        <v>6.9444444444444441E-3</v>
      </c>
      <c r="J797" s="176">
        <v>1.1574074074074073E-4</v>
      </c>
      <c r="K797" s="6">
        <v>10</v>
      </c>
      <c r="L797" t="s">
        <v>2028</v>
      </c>
      <c r="M797" t="s">
        <v>217</v>
      </c>
      <c r="N797" s="7" t="s">
        <v>102</v>
      </c>
      <c r="O797" t="s">
        <v>23</v>
      </c>
      <c r="P797">
        <v>1</v>
      </c>
      <c r="R797">
        <v>0</v>
      </c>
      <c r="T797" t="s">
        <v>176</v>
      </c>
      <c r="U797" t="s">
        <v>176</v>
      </c>
      <c r="V797" s="7" t="s">
        <v>1940</v>
      </c>
      <c r="W797" s="7" t="s">
        <v>115</v>
      </c>
      <c r="X797" s="33" t="s">
        <v>115</v>
      </c>
      <c r="Y797" s="33" t="s">
        <v>115</v>
      </c>
      <c r="Z797" s="33" t="s">
        <v>115</v>
      </c>
      <c r="AA797" s="7" t="s">
        <v>115</v>
      </c>
      <c r="AB797" s="20" t="s">
        <v>115</v>
      </c>
      <c r="AC797" s="20"/>
      <c r="AD797" s="6">
        <v>10</v>
      </c>
      <c r="AE797" s="6">
        <v>0</v>
      </c>
      <c r="AF797" s="6">
        <v>10</v>
      </c>
      <c r="AG797" s="6">
        <v>0</v>
      </c>
      <c r="AH797" s="6">
        <v>0</v>
      </c>
      <c r="AI797" s="6">
        <v>0</v>
      </c>
      <c r="AJ797">
        <f t="shared" si="12"/>
        <v>10</v>
      </c>
      <c r="AK797" t="s">
        <v>16</v>
      </c>
      <c r="AM797">
        <v>0</v>
      </c>
      <c r="AN797">
        <v>1</v>
      </c>
      <c r="AO797" s="33"/>
      <c r="AP797" s="33"/>
      <c r="AQ797" s="34"/>
      <c r="AR797" s="33"/>
      <c r="AS797" s="33"/>
      <c r="AT797" s="33"/>
      <c r="AU797" s="33"/>
    </row>
    <row r="798" spans="1:47" x14ac:dyDescent="0.2">
      <c r="A798" t="s">
        <v>1941</v>
      </c>
      <c r="B798" t="s">
        <v>1942</v>
      </c>
      <c r="C798">
        <v>4</v>
      </c>
      <c r="D798">
        <v>1</v>
      </c>
      <c r="E798" t="s">
        <v>791</v>
      </c>
      <c r="F798" s="1">
        <v>43402</v>
      </c>
      <c r="G798" s="37" t="s">
        <v>4033</v>
      </c>
      <c r="H798" s="37" t="s">
        <v>4724</v>
      </c>
      <c r="I798" s="2">
        <v>4.8611111111111112E-3</v>
      </c>
      <c r="J798" s="176">
        <v>8.1018518518518516E-5</v>
      </c>
      <c r="K798" s="6">
        <v>7</v>
      </c>
      <c r="L798" t="s">
        <v>2028</v>
      </c>
      <c r="M798" t="s">
        <v>217</v>
      </c>
      <c r="N798" s="7" t="s">
        <v>102</v>
      </c>
      <c r="O798" t="s">
        <v>23</v>
      </c>
      <c r="P798" t="s">
        <v>24</v>
      </c>
      <c r="R798" t="s">
        <v>24</v>
      </c>
      <c r="T798" t="s">
        <v>176</v>
      </c>
      <c r="U798" t="s">
        <v>176</v>
      </c>
      <c r="V798" s="7" t="s">
        <v>115</v>
      </c>
      <c r="W798" s="7" t="s">
        <v>115</v>
      </c>
      <c r="X798" s="7"/>
      <c r="Y798" s="7"/>
      <c r="Z798" s="7"/>
      <c r="AA798" s="7" t="s">
        <v>115</v>
      </c>
      <c r="AB798" s="20" t="s">
        <v>115</v>
      </c>
      <c r="AC798" s="20"/>
      <c r="AD798" s="6">
        <v>7</v>
      </c>
      <c r="AE798" s="6">
        <v>0</v>
      </c>
      <c r="AF798" s="6">
        <v>7</v>
      </c>
      <c r="AG798" s="6">
        <v>0</v>
      </c>
      <c r="AH798" s="6">
        <v>0</v>
      </c>
      <c r="AI798" s="6">
        <v>0</v>
      </c>
      <c r="AJ798">
        <f t="shared" si="12"/>
        <v>7</v>
      </c>
      <c r="AO798" s="33"/>
      <c r="AP798" s="33"/>
      <c r="AQ798" s="34"/>
      <c r="AR798" s="33"/>
      <c r="AS798" s="33"/>
      <c r="AT798" s="33"/>
      <c r="AU798" s="33"/>
    </row>
    <row r="799" spans="1:47" x14ac:dyDescent="0.2">
      <c r="A799" t="s">
        <v>1943</v>
      </c>
      <c r="B799" t="s">
        <v>1944</v>
      </c>
      <c r="C799">
        <v>5</v>
      </c>
      <c r="D799">
        <v>1</v>
      </c>
      <c r="E799" t="s">
        <v>791</v>
      </c>
      <c r="F799" s="1">
        <v>43402</v>
      </c>
      <c r="G799" s="37" t="s">
        <v>4033</v>
      </c>
      <c r="H799" s="37" t="s">
        <v>4724</v>
      </c>
      <c r="I799" s="2">
        <v>2.2916666666666669E-2</v>
      </c>
      <c r="J799" s="176">
        <v>3.8194444444444446E-4</v>
      </c>
      <c r="K799" s="6">
        <v>33</v>
      </c>
      <c r="L799" t="s">
        <v>2028</v>
      </c>
      <c r="M799" t="s">
        <v>217</v>
      </c>
      <c r="N799" s="7" t="s">
        <v>102</v>
      </c>
      <c r="O799" t="s">
        <v>23</v>
      </c>
      <c r="P799" t="s">
        <v>24</v>
      </c>
      <c r="R799" t="s">
        <v>24</v>
      </c>
      <c r="T799" t="s">
        <v>176</v>
      </c>
      <c r="U799" t="s">
        <v>176</v>
      </c>
      <c r="V799" s="7" t="s">
        <v>115</v>
      </c>
      <c r="W799" s="7" t="s">
        <v>115</v>
      </c>
      <c r="X799" s="7"/>
      <c r="Y799" s="7"/>
      <c r="Z799" s="7"/>
      <c r="AA799" s="7" t="s">
        <v>115</v>
      </c>
      <c r="AB799" s="20" t="s">
        <v>115</v>
      </c>
      <c r="AC799" s="20"/>
      <c r="AD799" s="6">
        <v>30</v>
      </c>
      <c r="AE799" s="6">
        <v>0</v>
      </c>
      <c r="AF799" s="6">
        <v>30</v>
      </c>
      <c r="AG799" s="6">
        <v>0</v>
      </c>
      <c r="AH799" s="6">
        <v>0</v>
      </c>
      <c r="AI799" s="6">
        <v>0</v>
      </c>
      <c r="AJ799">
        <f t="shared" si="12"/>
        <v>30</v>
      </c>
    </row>
    <row r="800" spans="1:47" x14ac:dyDescent="0.2">
      <c r="A800" s="33" t="s">
        <v>1945</v>
      </c>
      <c r="B800" s="33" t="s">
        <v>1946</v>
      </c>
      <c r="C800" s="33">
        <v>1</v>
      </c>
      <c r="D800" s="33">
        <v>1</v>
      </c>
      <c r="E800" s="33" t="s">
        <v>2462</v>
      </c>
      <c r="F800" s="37">
        <v>43402</v>
      </c>
      <c r="G800" s="37" t="s">
        <v>4033</v>
      </c>
      <c r="H800" s="37" t="s">
        <v>4724</v>
      </c>
      <c r="I800" s="36">
        <v>2.7083333333333334E-2</v>
      </c>
      <c r="J800" s="177">
        <v>4.5138888888888892E-4</v>
      </c>
      <c r="K800" s="39">
        <v>39</v>
      </c>
      <c r="L800" s="33" t="s">
        <v>2028</v>
      </c>
      <c r="M800" s="33" t="s">
        <v>363</v>
      </c>
      <c r="N800" s="33" t="s">
        <v>102</v>
      </c>
      <c r="O800" s="33" t="s">
        <v>115</v>
      </c>
      <c r="P800" s="33">
        <v>1</v>
      </c>
      <c r="Q800" s="33">
        <v>3</v>
      </c>
      <c r="R800" s="33">
        <v>0</v>
      </c>
      <c r="S800" s="33"/>
      <c r="T800" t="s">
        <v>14</v>
      </c>
      <c r="U800" s="33" t="s">
        <v>14</v>
      </c>
      <c r="V800" s="33" t="s">
        <v>122</v>
      </c>
      <c r="W800" s="33" t="s">
        <v>115</v>
      </c>
      <c r="X800" s="33" t="s">
        <v>115</v>
      </c>
      <c r="Y800" s="33" t="s">
        <v>115</v>
      </c>
      <c r="Z800" s="33" t="s">
        <v>115</v>
      </c>
      <c r="AA800" s="33" t="s">
        <v>115</v>
      </c>
      <c r="AB800" s="35" t="s">
        <v>115</v>
      </c>
      <c r="AC800" s="35"/>
      <c r="AD800" s="39">
        <v>0</v>
      </c>
      <c r="AE800" s="39">
        <v>0</v>
      </c>
      <c r="AF800" s="39">
        <v>0</v>
      </c>
      <c r="AG800" s="39">
        <v>0</v>
      </c>
      <c r="AH800" s="39">
        <v>12</v>
      </c>
      <c r="AI800" s="39">
        <v>0</v>
      </c>
      <c r="AJ800" s="33">
        <f t="shared" si="12"/>
        <v>12</v>
      </c>
      <c r="AK800" s="33"/>
      <c r="AL800" s="33"/>
      <c r="AM800" s="33"/>
      <c r="AN800" s="33"/>
      <c r="AO800" s="33"/>
      <c r="AP800" s="33"/>
      <c r="AQ800" s="34" t="s">
        <v>3942</v>
      </c>
      <c r="AR800" s="33"/>
      <c r="AS800" s="33"/>
      <c r="AT800" s="33"/>
      <c r="AU800" s="33"/>
    </row>
    <row r="801" spans="1:47" x14ac:dyDescent="0.2">
      <c r="A801" s="33" t="s">
        <v>1947</v>
      </c>
      <c r="B801" s="33" t="s">
        <v>1948</v>
      </c>
      <c r="C801" s="33">
        <v>2</v>
      </c>
      <c r="D801" s="33">
        <v>1</v>
      </c>
      <c r="E801" s="33" t="s">
        <v>2462</v>
      </c>
      <c r="F801" s="37">
        <v>43402</v>
      </c>
      <c r="G801" s="37" t="s">
        <v>4033</v>
      </c>
      <c r="H801" s="37" t="s">
        <v>4724</v>
      </c>
      <c r="I801" s="36">
        <v>5.5555555555555558E-3</v>
      </c>
      <c r="J801" s="177">
        <v>9.2592592592592588E-5</v>
      </c>
      <c r="K801" s="39">
        <v>8</v>
      </c>
      <c r="L801" s="33" t="s">
        <v>2028</v>
      </c>
      <c r="M801" s="33" t="s">
        <v>363</v>
      </c>
      <c r="N801" s="33" t="s">
        <v>102</v>
      </c>
      <c r="O801" s="33" t="s">
        <v>115</v>
      </c>
      <c r="P801" s="33" t="s">
        <v>24</v>
      </c>
      <c r="Q801" s="33"/>
      <c r="R801" s="33">
        <v>0</v>
      </c>
      <c r="S801" s="33"/>
      <c r="T801" s="33"/>
      <c r="U801" s="33" t="s">
        <v>115</v>
      </c>
      <c r="V801" s="33" t="s">
        <v>115</v>
      </c>
      <c r="W801" s="33" t="s">
        <v>115</v>
      </c>
      <c r="X801" s="33" t="s">
        <v>115</v>
      </c>
      <c r="Y801" s="33" t="s">
        <v>115</v>
      </c>
      <c r="Z801" s="33" t="s">
        <v>115</v>
      </c>
      <c r="AA801" s="33" t="s">
        <v>115</v>
      </c>
      <c r="AB801" s="35" t="s">
        <v>115</v>
      </c>
      <c r="AC801" s="35"/>
      <c r="AD801" s="39">
        <v>0</v>
      </c>
      <c r="AE801" s="39">
        <v>0</v>
      </c>
      <c r="AF801" s="39">
        <v>0</v>
      </c>
      <c r="AG801" s="39">
        <v>0</v>
      </c>
      <c r="AH801" s="39">
        <v>4</v>
      </c>
      <c r="AI801" s="39">
        <v>0</v>
      </c>
      <c r="AJ801" s="33">
        <f t="shared" si="12"/>
        <v>4</v>
      </c>
      <c r="AK801" s="33"/>
      <c r="AL801" s="33"/>
      <c r="AM801" s="33"/>
      <c r="AN801" s="33"/>
      <c r="AO801" s="33"/>
      <c r="AP801" s="33"/>
      <c r="AQ801" s="34" t="s">
        <v>3942</v>
      </c>
      <c r="AR801" s="33"/>
      <c r="AS801" s="33"/>
      <c r="AT801" s="33"/>
      <c r="AU801" s="33"/>
    </row>
    <row r="802" spans="1:47" x14ac:dyDescent="0.2">
      <c r="A802" t="s">
        <v>1949</v>
      </c>
      <c r="B802" t="s">
        <v>1950</v>
      </c>
      <c r="C802">
        <v>3</v>
      </c>
      <c r="D802">
        <v>1</v>
      </c>
      <c r="E802" t="s">
        <v>2462</v>
      </c>
      <c r="F802" s="1">
        <v>43402</v>
      </c>
      <c r="G802" s="37" t="s">
        <v>4033</v>
      </c>
      <c r="H802" s="37" t="s">
        <v>4724</v>
      </c>
      <c r="I802" s="2">
        <v>3.2638888888888891E-2</v>
      </c>
      <c r="J802" s="176">
        <v>5.4398148148148144E-4</v>
      </c>
      <c r="K802" s="6">
        <v>47</v>
      </c>
      <c r="L802" t="s">
        <v>2028</v>
      </c>
      <c r="M802" t="s">
        <v>363</v>
      </c>
      <c r="N802" s="7" t="s">
        <v>1310</v>
      </c>
      <c r="O802" t="s">
        <v>23</v>
      </c>
      <c r="P802">
        <v>1</v>
      </c>
      <c r="R802">
        <v>0</v>
      </c>
      <c r="T802" t="s">
        <v>14</v>
      </c>
      <c r="U802" t="s">
        <v>2128</v>
      </c>
      <c r="V802" s="7" t="s">
        <v>1035</v>
      </c>
      <c r="W802" s="7" t="s">
        <v>115</v>
      </c>
      <c r="X802" s="33" t="s">
        <v>115</v>
      </c>
      <c r="Y802" s="33" t="s">
        <v>115</v>
      </c>
      <c r="Z802" s="33" t="s">
        <v>115</v>
      </c>
      <c r="AA802" s="7" t="s">
        <v>115</v>
      </c>
      <c r="AB802" s="20" t="s">
        <v>115</v>
      </c>
      <c r="AC802" s="20"/>
      <c r="AD802" s="6">
        <v>0</v>
      </c>
      <c r="AE802" s="6">
        <v>0</v>
      </c>
      <c r="AF802" s="6">
        <v>0</v>
      </c>
      <c r="AG802" s="6">
        <v>0</v>
      </c>
      <c r="AH802" s="6">
        <v>0</v>
      </c>
      <c r="AI802" s="6">
        <v>0</v>
      </c>
      <c r="AJ802">
        <f t="shared" si="12"/>
        <v>0</v>
      </c>
      <c r="AL802" t="s">
        <v>1951</v>
      </c>
      <c r="AO802" s="33"/>
      <c r="AP802" s="33"/>
      <c r="AQ802" s="34"/>
      <c r="AR802" s="33"/>
      <c r="AS802" s="33"/>
      <c r="AT802" s="33"/>
      <c r="AU802" s="33"/>
    </row>
    <row r="803" spans="1:47" x14ac:dyDescent="0.2">
      <c r="A803" s="33" t="s">
        <v>1954</v>
      </c>
      <c r="B803" s="33" t="s">
        <v>1952</v>
      </c>
      <c r="C803" s="33">
        <v>4</v>
      </c>
      <c r="D803" s="33">
        <v>1</v>
      </c>
      <c r="E803" s="33" t="s">
        <v>2462</v>
      </c>
      <c r="F803" s="37">
        <v>43402</v>
      </c>
      <c r="G803" s="37" t="s">
        <v>4033</v>
      </c>
      <c r="H803" s="37" t="s">
        <v>4724</v>
      </c>
      <c r="I803" s="36">
        <v>1.6666666666666666E-2</v>
      </c>
      <c r="J803" s="177">
        <v>2.7777777777777778E-4</v>
      </c>
      <c r="K803" s="39">
        <v>24</v>
      </c>
      <c r="L803" s="33" t="s">
        <v>2028</v>
      </c>
      <c r="M803" s="33" t="s">
        <v>363</v>
      </c>
      <c r="N803" s="33" t="s">
        <v>102</v>
      </c>
      <c r="O803" s="33" t="s">
        <v>115</v>
      </c>
      <c r="P803" s="33">
        <v>1</v>
      </c>
      <c r="Q803" s="33"/>
      <c r="R803" s="33">
        <v>0</v>
      </c>
      <c r="S803" s="33"/>
      <c r="T803" t="s">
        <v>14</v>
      </c>
      <c r="U803" s="33" t="s">
        <v>2128</v>
      </c>
      <c r="V803" s="33" t="s">
        <v>122</v>
      </c>
      <c r="W803" s="33" t="s">
        <v>115</v>
      </c>
      <c r="X803" s="33" t="s">
        <v>115</v>
      </c>
      <c r="Y803" s="33" t="s">
        <v>115</v>
      </c>
      <c r="Z803" s="33" t="s">
        <v>115</v>
      </c>
      <c r="AA803" s="33" t="s">
        <v>115</v>
      </c>
      <c r="AB803" s="35" t="s">
        <v>115</v>
      </c>
      <c r="AC803" s="35"/>
      <c r="AD803" s="39">
        <v>0</v>
      </c>
      <c r="AE803" s="39">
        <v>0</v>
      </c>
      <c r="AF803" s="39">
        <v>0</v>
      </c>
      <c r="AG803" s="39">
        <v>0</v>
      </c>
      <c r="AH803" s="39">
        <v>23</v>
      </c>
      <c r="AI803" s="39">
        <v>0</v>
      </c>
      <c r="AJ803" s="33">
        <f t="shared" si="12"/>
        <v>23</v>
      </c>
      <c r="AK803" s="33"/>
      <c r="AL803" s="33"/>
      <c r="AM803" s="33"/>
      <c r="AN803" s="33"/>
    </row>
    <row r="804" spans="1:47" x14ac:dyDescent="0.2">
      <c r="A804" t="s">
        <v>1953</v>
      </c>
      <c r="B804" t="s">
        <v>1955</v>
      </c>
      <c r="C804">
        <v>5</v>
      </c>
      <c r="D804">
        <v>1</v>
      </c>
      <c r="E804" t="s">
        <v>2462</v>
      </c>
      <c r="F804" s="1">
        <v>43402</v>
      </c>
      <c r="G804" s="37" t="s">
        <v>4033</v>
      </c>
      <c r="H804" s="37" t="s">
        <v>4724</v>
      </c>
      <c r="I804" s="2">
        <v>2.8472222222222222E-2</v>
      </c>
      <c r="J804" s="176">
        <v>4.7453703703703704E-4</v>
      </c>
      <c r="K804" s="6">
        <v>41</v>
      </c>
      <c r="L804" t="s">
        <v>2028</v>
      </c>
      <c r="M804" t="s">
        <v>363</v>
      </c>
      <c r="N804" s="7" t="s">
        <v>102</v>
      </c>
      <c r="O804" t="s">
        <v>115</v>
      </c>
      <c r="P804" t="s">
        <v>24</v>
      </c>
      <c r="R804" t="s">
        <v>24</v>
      </c>
      <c r="T804" t="s">
        <v>176</v>
      </c>
      <c r="U804" t="s">
        <v>176</v>
      </c>
      <c r="V804" s="7" t="s">
        <v>115</v>
      </c>
      <c r="W804" s="7" t="s">
        <v>115</v>
      </c>
      <c r="X804" s="7"/>
      <c r="Y804" s="7"/>
      <c r="Z804" s="7"/>
      <c r="AA804" s="7" t="s">
        <v>115</v>
      </c>
      <c r="AB804" s="20" t="s">
        <v>115</v>
      </c>
      <c r="AC804" s="20"/>
      <c r="AD804" s="9">
        <v>0</v>
      </c>
      <c r="AE804" s="6">
        <v>41</v>
      </c>
      <c r="AF804" s="6">
        <v>0</v>
      </c>
      <c r="AG804" s="6">
        <v>41</v>
      </c>
      <c r="AH804" s="6">
        <v>0</v>
      </c>
      <c r="AI804" s="6">
        <v>0</v>
      </c>
      <c r="AJ804">
        <f t="shared" si="12"/>
        <v>41</v>
      </c>
      <c r="AO804" s="33"/>
      <c r="AP804" s="33"/>
      <c r="AQ804" s="34"/>
      <c r="AR804" s="33"/>
      <c r="AS804" s="33"/>
      <c r="AT804" s="33"/>
      <c r="AU804" s="33"/>
    </row>
    <row r="805" spans="1:47" x14ac:dyDescent="0.2">
      <c r="A805" t="s">
        <v>1956</v>
      </c>
      <c r="B805" t="s">
        <v>1957</v>
      </c>
      <c r="C805">
        <v>6</v>
      </c>
      <c r="D805">
        <v>1</v>
      </c>
      <c r="E805" t="s">
        <v>2462</v>
      </c>
      <c r="F805" s="1">
        <v>43402</v>
      </c>
      <c r="G805" s="37" t="s">
        <v>4033</v>
      </c>
      <c r="H805" s="37" t="s">
        <v>4724</v>
      </c>
      <c r="I805" s="2">
        <v>4.8611111111111112E-3</v>
      </c>
      <c r="J805" s="176">
        <v>8.1018518518518516E-5</v>
      </c>
      <c r="K805" s="6">
        <v>7</v>
      </c>
      <c r="L805" t="s">
        <v>2028</v>
      </c>
      <c r="M805" t="s">
        <v>64</v>
      </c>
      <c r="N805" s="7" t="s">
        <v>102</v>
      </c>
      <c r="O805" t="s">
        <v>23</v>
      </c>
      <c r="P805">
        <v>1</v>
      </c>
      <c r="R805">
        <v>0</v>
      </c>
      <c r="T805" t="s">
        <v>176</v>
      </c>
      <c r="U805" t="s">
        <v>2116</v>
      </c>
      <c r="V805" s="7" t="s">
        <v>1958</v>
      </c>
      <c r="W805" s="7" t="s">
        <v>115</v>
      </c>
      <c r="X805" s="33" t="s">
        <v>115</v>
      </c>
      <c r="Y805" s="33" t="s">
        <v>115</v>
      </c>
      <c r="Z805" s="33" t="s">
        <v>115</v>
      </c>
      <c r="AA805" s="7" t="s">
        <v>115</v>
      </c>
      <c r="AB805" s="20" t="s">
        <v>115</v>
      </c>
      <c r="AC805" s="20"/>
      <c r="AD805" s="9">
        <v>0</v>
      </c>
      <c r="AE805" s="6">
        <v>0</v>
      </c>
      <c r="AF805" s="6">
        <v>0</v>
      </c>
      <c r="AG805" s="6">
        <v>0</v>
      </c>
      <c r="AH805" s="6">
        <v>0</v>
      </c>
      <c r="AI805" s="6">
        <v>0</v>
      </c>
      <c r="AJ805">
        <f t="shared" si="12"/>
        <v>0</v>
      </c>
      <c r="AL805" t="s">
        <v>5042</v>
      </c>
      <c r="AO805" s="33"/>
      <c r="AP805" s="33"/>
      <c r="AQ805" s="34"/>
      <c r="AR805" s="33"/>
      <c r="AS805" s="33"/>
      <c r="AT805" s="33"/>
      <c r="AU805" s="33"/>
    </row>
    <row r="806" spans="1:47" x14ac:dyDescent="0.2">
      <c r="A806" t="s">
        <v>1959</v>
      </c>
      <c r="B806" t="s">
        <v>1960</v>
      </c>
      <c r="C806">
        <v>7</v>
      </c>
      <c r="D806">
        <v>1</v>
      </c>
      <c r="E806" t="s">
        <v>2462</v>
      </c>
      <c r="F806" s="1">
        <v>43402</v>
      </c>
      <c r="G806" s="37" t="s">
        <v>4033</v>
      </c>
      <c r="H806" s="37" t="s">
        <v>4724</v>
      </c>
      <c r="I806" s="2">
        <v>2.5694444444444447E-2</v>
      </c>
      <c r="J806" s="176">
        <v>4.2824074074074075E-4</v>
      </c>
      <c r="K806" s="6">
        <v>37</v>
      </c>
      <c r="L806" t="s">
        <v>2028</v>
      </c>
      <c r="M806" t="s">
        <v>64</v>
      </c>
      <c r="N806" s="7" t="s">
        <v>111</v>
      </c>
      <c r="O806" t="s">
        <v>23</v>
      </c>
      <c r="P806">
        <v>0</v>
      </c>
      <c r="R806">
        <v>2</v>
      </c>
      <c r="S806" t="s">
        <v>1883</v>
      </c>
      <c r="T806" t="s">
        <v>176</v>
      </c>
      <c r="U806" t="s">
        <v>2116</v>
      </c>
      <c r="V806" s="7" t="s">
        <v>1958</v>
      </c>
      <c r="W806" s="7" t="s">
        <v>1961</v>
      </c>
      <c r="X806" s="44" t="s">
        <v>23</v>
      </c>
      <c r="Y806" s="44" t="s">
        <v>3999</v>
      </c>
      <c r="Z806" s="44" t="s">
        <v>4006</v>
      </c>
      <c r="AA806">
        <v>7</v>
      </c>
      <c r="AB806" s="20">
        <v>63.736229999999999</v>
      </c>
      <c r="AC806" s="20">
        <v>148.90009000000001</v>
      </c>
      <c r="AD806" s="9">
        <v>0</v>
      </c>
      <c r="AE806" s="6">
        <v>0</v>
      </c>
      <c r="AF806" s="6">
        <v>0</v>
      </c>
      <c r="AG806" s="6">
        <v>0</v>
      </c>
      <c r="AH806" s="6">
        <v>0</v>
      </c>
      <c r="AI806" s="6">
        <v>0</v>
      </c>
      <c r="AJ806">
        <f t="shared" si="12"/>
        <v>0</v>
      </c>
      <c r="AL806" t="s">
        <v>1028</v>
      </c>
    </row>
    <row r="807" spans="1:47" x14ac:dyDescent="0.2">
      <c r="A807" t="s">
        <v>2024</v>
      </c>
      <c r="B807" t="s">
        <v>2025</v>
      </c>
      <c r="C807">
        <v>1</v>
      </c>
      <c r="D807">
        <v>1</v>
      </c>
      <c r="E807" t="s">
        <v>2487</v>
      </c>
      <c r="F807" s="1">
        <v>43403</v>
      </c>
      <c r="G807" s="37" t="s">
        <v>4033</v>
      </c>
      <c r="H807" s="37" t="s">
        <v>4724</v>
      </c>
      <c r="I807" s="2">
        <v>1.1111111111111112E-2</v>
      </c>
      <c r="J807" s="176">
        <v>1.8518518518518518E-4</v>
      </c>
      <c r="K807" s="6">
        <v>16</v>
      </c>
      <c r="L807" t="s">
        <v>2028</v>
      </c>
      <c r="M807" t="s">
        <v>241</v>
      </c>
      <c r="N807" s="7" t="s">
        <v>102</v>
      </c>
      <c r="O807" t="s">
        <v>23</v>
      </c>
      <c r="P807">
        <v>0</v>
      </c>
      <c r="R807">
        <v>0</v>
      </c>
      <c r="U807" t="s">
        <v>115</v>
      </c>
      <c r="V807" s="7" t="s">
        <v>115</v>
      </c>
      <c r="W807" s="7" t="s">
        <v>115</v>
      </c>
      <c r="X807" s="33" t="s">
        <v>115</v>
      </c>
      <c r="Y807" s="33" t="s">
        <v>115</v>
      </c>
      <c r="Z807" s="33" t="s">
        <v>115</v>
      </c>
      <c r="AA807" s="7" t="s">
        <v>115</v>
      </c>
      <c r="AB807" s="20" t="s">
        <v>115</v>
      </c>
      <c r="AC807" s="20"/>
      <c r="AD807" s="9">
        <v>0</v>
      </c>
      <c r="AE807" s="6">
        <v>8</v>
      </c>
      <c r="AF807" s="6">
        <v>0</v>
      </c>
      <c r="AG807" s="6">
        <v>8</v>
      </c>
      <c r="AH807" s="6">
        <v>0</v>
      </c>
      <c r="AI807" s="6">
        <v>0</v>
      </c>
      <c r="AJ807">
        <f t="shared" si="12"/>
        <v>8</v>
      </c>
      <c r="AO807" s="33"/>
      <c r="AP807" s="33"/>
      <c r="AQ807" s="34"/>
      <c r="AR807" s="33"/>
      <c r="AS807" s="33"/>
      <c r="AT807" s="33"/>
      <c r="AU807" s="33"/>
    </row>
    <row r="808" spans="1:47" x14ac:dyDescent="0.2">
      <c r="A808" t="s">
        <v>2026</v>
      </c>
      <c r="B808" t="s">
        <v>2027</v>
      </c>
      <c r="C808">
        <v>1</v>
      </c>
      <c r="D808">
        <v>1</v>
      </c>
      <c r="E808" t="s">
        <v>324</v>
      </c>
      <c r="F808" s="1">
        <v>43403</v>
      </c>
      <c r="G808" s="37" t="s">
        <v>4033</v>
      </c>
      <c r="H808" s="37" t="s">
        <v>4724</v>
      </c>
      <c r="I808" s="2">
        <v>2.7777777777777776E-2</v>
      </c>
      <c r="J808" s="176">
        <v>4.6296296296296293E-4</v>
      </c>
      <c r="K808" s="6">
        <v>40</v>
      </c>
      <c r="L808" t="s">
        <v>2028</v>
      </c>
      <c r="M808" t="s">
        <v>337</v>
      </c>
      <c r="N808" s="7" t="s">
        <v>102</v>
      </c>
      <c r="O808" t="s">
        <v>12</v>
      </c>
      <c r="P808">
        <v>0</v>
      </c>
      <c r="R808">
        <v>0</v>
      </c>
      <c r="U808" t="s">
        <v>115</v>
      </c>
      <c r="V808" s="7" t="s">
        <v>115</v>
      </c>
      <c r="W808" s="7" t="s">
        <v>115</v>
      </c>
      <c r="X808" s="33" t="s">
        <v>115</v>
      </c>
      <c r="Y808" s="33" t="s">
        <v>115</v>
      </c>
      <c r="Z808" s="33" t="s">
        <v>115</v>
      </c>
      <c r="AA808" s="7" t="s">
        <v>115</v>
      </c>
      <c r="AB808" s="20" t="s">
        <v>115</v>
      </c>
      <c r="AC808" s="20"/>
      <c r="AD808" s="9">
        <v>17</v>
      </c>
      <c r="AE808" s="6">
        <v>0</v>
      </c>
      <c r="AF808" s="6">
        <v>0</v>
      </c>
      <c r="AG808" s="6">
        <v>17</v>
      </c>
      <c r="AH808" s="6">
        <v>0</v>
      </c>
      <c r="AI808" s="6">
        <v>0</v>
      </c>
      <c r="AJ808">
        <f t="shared" si="12"/>
        <v>17</v>
      </c>
    </row>
    <row r="809" spans="1:47" x14ac:dyDescent="0.2">
      <c r="A809" t="s">
        <v>1962</v>
      </c>
      <c r="B809" t="s">
        <v>1963</v>
      </c>
      <c r="C809">
        <v>1</v>
      </c>
      <c r="D809">
        <v>1</v>
      </c>
      <c r="E809" t="s">
        <v>3171</v>
      </c>
      <c r="F809" s="1">
        <v>43404</v>
      </c>
      <c r="G809" s="37" t="s">
        <v>4033</v>
      </c>
      <c r="H809" s="37" t="s">
        <v>4724</v>
      </c>
      <c r="I809" s="2">
        <v>7.6388888888888886E-3</v>
      </c>
      <c r="J809" s="176">
        <v>1.273148148148148E-4</v>
      </c>
      <c r="K809" s="6">
        <v>11</v>
      </c>
      <c r="L809" t="s">
        <v>101</v>
      </c>
      <c r="M809" t="s">
        <v>670</v>
      </c>
      <c r="N809" s="7" t="s">
        <v>102</v>
      </c>
      <c r="O809" t="s">
        <v>23</v>
      </c>
      <c r="P809">
        <v>1</v>
      </c>
      <c r="R809">
        <v>0</v>
      </c>
      <c r="T809" t="s">
        <v>176</v>
      </c>
      <c r="U809" t="s">
        <v>176</v>
      </c>
      <c r="V809" s="7" t="s">
        <v>1035</v>
      </c>
      <c r="W809" s="7" t="s">
        <v>115</v>
      </c>
      <c r="X809" s="33" t="s">
        <v>115</v>
      </c>
      <c r="Y809" s="33" t="s">
        <v>115</v>
      </c>
      <c r="Z809" s="33" t="s">
        <v>115</v>
      </c>
      <c r="AA809" s="7" t="s">
        <v>115</v>
      </c>
      <c r="AB809" s="20" t="s">
        <v>115</v>
      </c>
      <c r="AC809" s="20"/>
      <c r="AD809" s="9">
        <v>0</v>
      </c>
      <c r="AE809" s="6">
        <v>0</v>
      </c>
      <c r="AF809" s="6">
        <v>0</v>
      </c>
      <c r="AG809" s="6">
        <v>0</v>
      </c>
      <c r="AH809" s="6">
        <v>0</v>
      </c>
      <c r="AI809" s="6">
        <v>0</v>
      </c>
      <c r="AJ809">
        <f t="shared" si="12"/>
        <v>0</v>
      </c>
      <c r="AL809" t="s">
        <v>1964</v>
      </c>
      <c r="AO809" s="33"/>
      <c r="AP809" s="33"/>
      <c r="AQ809" s="34"/>
      <c r="AR809" s="33"/>
      <c r="AS809" s="33"/>
      <c r="AT809" s="33"/>
      <c r="AU809" s="33"/>
    </row>
    <row r="810" spans="1:47" x14ac:dyDescent="0.2">
      <c r="A810" s="33" t="s">
        <v>1965</v>
      </c>
      <c r="B810" s="33" t="s">
        <v>1966</v>
      </c>
      <c r="C810" s="33">
        <v>2</v>
      </c>
      <c r="D810" s="33">
        <v>1</v>
      </c>
      <c r="E810" s="33" t="s">
        <v>201</v>
      </c>
      <c r="F810" s="37">
        <v>43404</v>
      </c>
      <c r="G810" s="37" t="s">
        <v>4033</v>
      </c>
      <c r="H810" s="37" t="s">
        <v>4724</v>
      </c>
      <c r="I810" s="36">
        <v>1.1805555555555555E-2</v>
      </c>
      <c r="J810" s="177">
        <v>1.9675925925925926E-4</v>
      </c>
      <c r="K810" s="39">
        <v>17</v>
      </c>
      <c r="L810" s="33" t="s">
        <v>101</v>
      </c>
      <c r="M810" s="33" t="s">
        <v>176</v>
      </c>
      <c r="N810" s="33" t="s">
        <v>102</v>
      </c>
      <c r="O810" s="33" t="s">
        <v>115</v>
      </c>
      <c r="P810" s="33">
        <v>1</v>
      </c>
      <c r="Q810" s="33"/>
      <c r="R810" s="33">
        <v>0</v>
      </c>
      <c r="S810" s="33"/>
      <c r="T810" t="s">
        <v>176</v>
      </c>
      <c r="U810" s="33" t="s">
        <v>176</v>
      </c>
      <c r="V810" s="33" t="s">
        <v>122</v>
      </c>
      <c r="W810" s="33" t="s">
        <v>115</v>
      </c>
      <c r="X810" s="33" t="s">
        <v>115</v>
      </c>
      <c r="Y810" s="33" t="s">
        <v>115</v>
      </c>
      <c r="Z810" s="33" t="s">
        <v>115</v>
      </c>
      <c r="AA810" s="33" t="s">
        <v>115</v>
      </c>
      <c r="AB810" s="35" t="s">
        <v>115</v>
      </c>
      <c r="AC810" s="35"/>
      <c r="AD810" s="39">
        <v>0</v>
      </c>
      <c r="AE810" s="39">
        <v>0</v>
      </c>
      <c r="AF810" s="39">
        <v>0</v>
      </c>
      <c r="AG810" s="39">
        <v>0</v>
      </c>
      <c r="AH810" s="39">
        <v>17</v>
      </c>
      <c r="AI810" s="39">
        <v>0</v>
      </c>
      <c r="AJ810" s="33">
        <f t="shared" si="12"/>
        <v>17</v>
      </c>
      <c r="AK810" s="33"/>
      <c r="AL810" s="33"/>
      <c r="AM810" s="33"/>
      <c r="AN810" s="33"/>
      <c r="AO810" s="33"/>
      <c r="AP810" s="33"/>
      <c r="AQ810" s="34"/>
      <c r="AR810" s="33"/>
      <c r="AS810" s="33"/>
      <c r="AT810" s="33"/>
      <c r="AU810" s="33"/>
    </row>
    <row r="811" spans="1:47" x14ac:dyDescent="0.2">
      <c r="A811" t="s">
        <v>1967</v>
      </c>
      <c r="B811" t="s">
        <v>1968</v>
      </c>
      <c r="C811">
        <v>3</v>
      </c>
      <c r="D811">
        <v>1</v>
      </c>
      <c r="E811" t="s">
        <v>3171</v>
      </c>
      <c r="F811" s="1">
        <v>43404</v>
      </c>
      <c r="G811" s="37" t="s">
        <v>4033</v>
      </c>
      <c r="H811" s="37" t="s">
        <v>4724</v>
      </c>
      <c r="I811" s="2">
        <v>3.125E-2</v>
      </c>
      <c r="J811" s="176">
        <v>5.2083333333333333E-4</v>
      </c>
      <c r="K811" s="6">
        <v>45</v>
      </c>
      <c r="L811" t="s">
        <v>101</v>
      </c>
      <c r="M811" t="s">
        <v>670</v>
      </c>
      <c r="N811" s="7" t="s">
        <v>102</v>
      </c>
      <c r="O811" t="s">
        <v>23</v>
      </c>
      <c r="P811">
        <v>1</v>
      </c>
      <c r="R811">
        <v>0</v>
      </c>
      <c r="T811" t="s">
        <v>176</v>
      </c>
      <c r="U811" t="s">
        <v>176</v>
      </c>
      <c r="V811" s="7" t="s">
        <v>1254</v>
      </c>
      <c r="W811" s="7" t="s">
        <v>115</v>
      </c>
      <c r="X811" s="33" t="s">
        <v>115</v>
      </c>
      <c r="Y811" s="33" t="s">
        <v>115</v>
      </c>
      <c r="Z811" s="33" t="s">
        <v>115</v>
      </c>
      <c r="AA811" s="7" t="s">
        <v>115</v>
      </c>
      <c r="AB811" s="20" t="s">
        <v>115</v>
      </c>
      <c r="AC811" s="20"/>
      <c r="AD811" s="9">
        <v>45</v>
      </c>
      <c r="AE811" s="6">
        <v>0</v>
      </c>
      <c r="AF811" s="6">
        <v>0</v>
      </c>
      <c r="AG811" s="6">
        <v>45</v>
      </c>
      <c r="AH811" s="6">
        <v>0</v>
      </c>
      <c r="AI811" s="6">
        <v>0</v>
      </c>
      <c r="AJ811">
        <f t="shared" si="12"/>
        <v>45</v>
      </c>
      <c r="AK811" t="s">
        <v>16</v>
      </c>
      <c r="AM811">
        <v>0</v>
      </c>
      <c r="AN811">
        <v>3</v>
      </c>
    </row>
    <row r="812" spans="1:47" x14ac:dyDescent="0.2">
      <c r="A812" t="s">
        <v>1969</v>
      </c>
      <c r="B812" t="s">
        <v>1970</v>
      </c>
      <c r="C812">
        <v>4</v>
      </c>
      <c r="D812">
        <v>1</v>
      </c>
      <c r="E812" t="s">
        <v>201</v>
      </c>
      <c r="F812" s="1">
        <v>43404</v>
      </c>
      <c r="G812" s="37" t="s">
        <v>4033</v>
      </c>
      <c r="H812" s="37" t="s">
        <v>4724</v>
      </c>
      <c r="I812" s="2">
        <v>6.9444444444444441E-3</v>
      </c>
      <c r="J812" s="176">
        <v>1.1574074074074073E-4</v>
      </c>
      <c r="K812" s="6">
        <v>10</v>
      </c>
      <c r="L812" t="s">
        <v>101</v>
      </c>
      <c r="M812" t="s">
        <v>176</v>
      </c>
      <c r="N812" s="7" t="s">
        <v>102</v>
      </c>
      <c r="O812" t="s">
        <v>23</v>
      </c>
      <c r="P812">
        <v>0</v>
      </c>
      <c r="R812">
        <v>0</v>
      </c>
      <c r="U812" t="s">
        <v>115</v>
      </c>
      <c r="V812" s="7" t="s">
        <v>115</v>
      </c>
      <c r="W812" s="7" t="s">
        <v>115</v>
      </c>
      <c r="X812" s="33" t="s">
        <v>115</v>
      </c>
      <c r="Y812" s="33" t="s">
        <v>115</v>
      </c>
      <c r="Z812" s="33" t="s">
        <v>115</v>
      </c>
      <c r="AA812" s="7" t="s">
        <v>115</v>
      </c>
      <c r="AB812" s="20" t="s">
        <v>115</v>
      </c>
      <c r="AC812" s="20"/>
      <c r="AD812" s="9">
        <v>0</v>
      </c>
      <c r="AE812" s="6">
        <v>8</v>
      </c>
      <c r="AF812" s="6">
        <v>0</v>
      </c>
      <c r="AG812" s="6">
        <v>8</v>
      </c>
      <c r="AH812" s="6">
        <v>0</v>
      </c>
      <c r="AI812" s="6">
        <v>0</v>
      </c>
      <c r="AJ812">
        <f t="shared" si="12"/>
        <v>8</v>
      </c>
      <c r="AO812" s="33"/>
      <c r="AP812" s="33"/>
      <c r="AQ812" s="34"/>
      <c r="AR812" s="33"/>
      <c r="AS812" s="33"/>
      <c r="AT812" s="33"/>
      <c r="AU812" s="33"/>
    </row>
    <row r="813" spans="1:47" x14ac:dyDescent="0.2">
      <c r="A813" t="s">
        <v>1971</v>
      </c>
      <c r="B813" t="s">
        <v>1972</v>
      </c>
      <c r="C813">
        <v>5</v>
      </c>
      <c r="D813">
        <v>1</v>
      </c>
      <c r="E813" s="33" t="s">
        <v>3171</v>
      </c>
      <c r="F813" s="1">
        <v>43404</v>
      </c>
      <c r="G813" s="37" t="s">
        <v>4033</v>
      </c>
      <c r="H813" s="37" t="s">
        <v>4724</v>
      </c>
      <c r="I813" s="2">
        <v>3.5416666666666666E-2</v>
      </c>
      <c r="J813" s="176">
        <v>5.9027777777777778E-4</v>
      </c>
      <c r="K813" s="6">
        <v>51</v>
      </c>
      <c r="L813" t="s">
        <v>101</v>
      </c>
      <c r="M813" t="s">
        <v>149</v>
      </c>
      <c r="N813" s="7" t="s">
        <v>102</v>
      </c>
      <c r="O813" t="s">
        <v>23</v>
      </c>
      <c r="P813" t="s">
        <v>24</v>
      </c>
      <c r="R813" t="s">
        <v>24</v>
      </c>
      <c r="T813" t="s">
        <v>176</v>
      </c>
      <c r="U813" t="s">
        <v>176</v>
      </c>
      <c r="V813" s="7" t="s">
        <v>115</v>
      </c>
      <c r="W813" s="7" t="s">
        <v>115</v>
      </c>
      <c r="X813" s="7"/>
      <c r="Y813" s="7"/>
      <c r="Z813" s="7"/>
      <c r="AA813" s="7" t="s">
        <v>115</v>
      </c>
      <c r="AB813" s="20" t="s">
        <v>115</v>
      </c>
      <c r="AC813" s="20"/>
      <c r="AD813" s="9">
        <v>0</v>
      </c>
      <c r="AE813" s="6">
        <v>51</v>
      </c>
      <c r="AF813" s="6">
        <v>0</v>
      </c>
      <c r="AG813" s="6">
        <v>51</v>
      </c>
      <c r="AH813" s="6">
        <v>0</v>
      </c>
      <c r="AI813" s="6">
        <v>0</v>
      </c>
      <c r="AJ813">
        <f t="shared" si="12"/>
        <v>51</v>
      </c>
    </row>
    <row r="814" spans="1:47" x14ac:dyDescent="0.2">
      <c r="A814" t="s">
        <v>1973</v>
      </c>
      <c r="B814" t="s">
        <v>1974</v>
      </c>
      <c r="C814">
        <v>6</v>
      </c>
      <c r="D814">
        <v>1</v>
      </c>
      <c r="E814" t="s">
        <v>3171</v>
      </c>
      <c r="F814" s="1">
        <v>43404</v>
      </c>
      <c r="G814" s="37" t="s">
        <v>4033</v>
      </c>
      <c r="H814" s="37" t="s">
        <v>4724</v>
      </c>
      <c r="I814" s="2">
        <v>2.5694444444444447E-2</v>
      </c>
      <c r="J814" s="176">
        <v>4.2824074074074075E-4</v>
      </c>
      <c r="K814" s="6">
        <v>37</v>
      </c>
      <c r="L814" t="s">
        <v>101</v>
      </c>
      <c r="M814" t="s">
        <v>670</v>
      </c>
      <c r="N814" s="7" t="s">
        <v>111</v>
      </c>
      <c r="O814" t="s">
        <v>23</v>
      </c>
      <c r="P814">
        <v>0</v>
      </c>
      <c r="R814">
        <v>1</v>
      </c>
      <c r="T814" t="s">
        <v>176</v>
      </c>
      <c r="U814" t="s">
        <v>176</v>
      </c>
      <c r="V814" s="7" t="s">
        <v>24</v>
      </c>
      <c r="W814" s="7" t="s">
        <v>1057</v>
      </c>
      <c r="X814" s="44" t="s">
        <v>23</v>
      </c>
      <c r="Y814" s="44" t="s">
        <v>3999</v>
      </c>
      <c r="Z814" s="44" t="s">
        <v>4005</v>
      </c>
      <c r="AA814" s="7" t="s">
        <v>24</v>
      </c>
      <c r="AB814" s="20">
        <v>63.722760000000001</v>
      </c>
      <c r="AC814" s="20">
        <v>148.95087000000001</v>
      </c>
      <c r="AD814" s="9">
        <v>0</v>
      </c>
      <c r="AE814" s="6">
        <v>0</v>
      </c>
      <c r="AF814" s="6">
        <v>0</v>
      </c>
      <c r="AG814" s="6">
        <v>0</v>
      </c>
      <c r="AH814" s="6">
        <v>0</v>
      </c>
      <c r="AI814" s="6">
        <v>0</v>
      </c>
      <c r="AJ814">
        <f t="shared" si="12"/>
        <v>0</v>
      </c>
    </row>
    <row r="815" spans="1:47" x14ac:dyDescent="0.2">
      <c r="A815" s="33" t="s">
        <v>1975</v>
      </c>
      <c r="B815" s="33" t="s">
        <v>1976</v>
      </c>
      <c r="C815" s="33">
        <v>7</v>
      </c>
      <c r="D815" s="33">
        <v>1</v>
      </c>
      <c r="E815" s="33" t="s">
        <v>3171</v>
      </c>
      <c r="F815" s="37">
        <v>43404</v>
      </c>
      <c r="G815" s="37" t="s">
        <v>4033</v>
      </c>
      <c r="H815" s="37" t="s">
        <v>4724</v>
      </c>
      <c r="I815" s="36">
        <v>1.2499999999999999E-2</v>
      </c>
      <c r="J815" s="177">
        <v>2.0833333333333335E-4</v>
      </c>
      <c r="K815" s="39">
        <v>18</v>
      </c>
      <c r="L815" s="33" t="s">
        <v>101</v>
      </c>
      <c r="M815" s="33" t="s">
        <v>149</v>
      </c>
      <c r="N815" s="33" t="s">
        <v>102</v>
      </c>
      <c r="O815" s="33" t="s">
        <v>115</v>
      </c>
      <c r="P815" s="33">
        <v>0</v>
      </c>
      <c r="Q815" s="33"/>
      <c r="R815" s="33">
        <v>0</v>
      </c>
      <c r="S815" s="33"/>
      <c r="T815" s="33"/>
      <c r="U815" s="33" t="s">
        <v>115</v>
      </c>
      <c r="V815" s="33" t="s">
        <v>115</v>
      </c>
      <c r="W815" s="33" t="s">
        <v>115</v>
      </c>
      <c r="X815" s="33" t="s">
        <v>115</v>
      </c>
      <c r="Y815" s="33" t="s">
        <v>115</v>
      </c>
      <c r="Z815" s="33" t="s">
        <v>115</v>
      </c>
      <c r="AA815" s="33" t="s">
        <v>115</v>
      </c>
      <c r="AB815" s="35" t="s">
        <v>115</v>
      </c>
      <c r="AC815" s="35"/>
      <c r="AD815" s="39">
        <v>0</v>
      </c>
      <c r="AE815" s="39">
        <v>0</v>
      </c>
      <c r="AF815" s="39">
        <v>0</v>
      </c>
      <c r="AG815" s="39">
        <v>0</v>
      </c>
      <c r="AH815" s="39">
        <v>10</v>
      </c>
      <c r="AI815" s="39">
        <v>0</v>
      </c>
      <c r="AJ815" s="33">
        <f t="shared" si="12"/>
        <v>10</v>
      </c>
      <c r="AK815" s="33"/>
      <c r="AL815" s="33"/>
      <c r="AM815" s="33"/>
      <c r="AN815" s="33"/>
    </row>
    <row r="816" spans="1:47" s="33" customFormat="1" x14ac:dyDescent="0.2">
      <c r="A816" s="33" t="s">
        <v>1977</v>
      </c>
      <c r="B816" s="33" t="s">
        <v>1978</v>
      </c>
      <c r="C816" s="33">
        <v>8</v>
      </c>
      <c r="D816" s="33">
        <v>1</v>
      </c>
      <c r="E816" s="33" t="s">
        <v>3171</v>
      </c>
      <c r="F816" s="37">
        <v>43404</v>
      </c>
      <c r="G816" s="37" t="s">
        <v>4033</v>
      </c>
      <c r="H816" s="37" t="s">
        <v>4724</v>
      </c>
      <c r="I816" s="36">
        <v>9.7222222222222224E-3</v>
      </c>
      <c r="J816" s="177">
        <v>1.6203703703703703E-4</v>
      </c>
      <c r="K816" s="39">
        <v>14</v>
      </c>
      <c r="L816" s="33" t="s">
        <v>101</v>
      </c>
      <c r="M816" s="33" t="s">
        <v>149</v>
      </c>
      <c r="N816" s="33" t="s">
        <v>102</v>
      </c>
      <c r="O816" s="33" t="s">
        <v>23</v>
      </c>
      <c r="P816" s="33" t="s">
        <v>24</v>
      </c>
      <c r="R816" s="33">
        <v>0</v>
      </c>
      <c r="U816" s="33" t="s">
        <v>115</v>
      </c>
      <c r="V816" s="33" t="s">
        <v>115</v>
      </c>
      <c r="W816" s="33" t="s">
        <v>115</v>
      </c>
      <c r="X816" s="33" t="s">
        <v>115</v>
      </c>
      <c r="Y816" s="33" t="s">
        <v>115</v>
      </c>
      <c r="Z816" s="33" t="s">
        <v>115</v>
      </c>
      <c r="AA816" s="33" t="s">
        <v>115</v>
      </c>
      <c r="AB816" s="35" t="s">
        <v>115</v>
      </c>
      <c r="AC816" s="35"/>
      <c r="AD816" s="39">
        <v>8</v>
      </c>
      <c r="AE816" s="39">
        <v>0</v>
      </c>
      <c r="AF816" s="39">
        <v>0</v>
      </c>
      <c r="AG816" s="39">
        <v>8</v>
      </c>
      <c r="AH816" s="39">
        <v>4</v>
      </c>
      <c r="AI816" s="39">
        <v>0</v>
      </c>
      <c r="AJ816" s="33">
        <f t="shared" si="12"/>
        <v>12</v>
      </c>
      <c r="AK816" s="33" t="s">
        <v>188</v>
      </c>
      <c r="AQ816" s="34"/>
    </row>
    <row r="817" spans="1:47" s="33" customFormat="1" x14ac:dyDescent="0.2">
      <c r="A817" t="s">
        <v>1979</v>
      </c>
      <c r="B817" t="s">
        <v>1980</v>
      </c>
      <c r="C817">
        <v>9</v>
      </c>
      <c r="D817">
        <v>1</v>
      </c>
      <c r="E817" t="s">
        <v>201</v>
      </c>
      <c r="F817" s="1">
        <v>43404</v>
      </c>
      <c r="G817" s="37" t="s">
        <v>4033</v>
      </c>
      <c r="H817" s="37" t="s">
        <v>4724</v>
      </c>
      <c r="I817" s="2">
        <v>2.2222222222222223E-2</v>
      </c>
      <c r="J817" s="176">
        <v>3.7037037037037035E-4</v>
      </c>
      <c r="K817" s="6">
        <v>32</v>
      </c>
      <c r="L817" t="s">
        <v>101</v>
      </c>
      <c r="M817" t="s">
        <v>176</v>
      </c>
      <c r="N817" s="7" t="s">
        <v>102</v>
      </c>
      <c r="O817" t="s">
        <v>23</v>
      </c>
      <c r="P817" t="s">
        <v>24</v>
      </c>
      <c r="Q817"/>
      <c r="R817">
        <v>0</v>
      </c>
      <c r="S817"/>
      <c r="T817" t="s">
        <v>176</v>
      </c>
      <c r="U817" t="s">
        <v>176</v>
      </c>
      <c r="V817" s="7" t="s">
        <v>115</v>
      </c>
      <c r="W817" s="7" t="s">
        <v>115</v>
      </c>
      <c r="X817" s="33" t="s">
        <v>115</v>
      </c>
      <c r="Y817" s="33" t="s">
        <v>115</v>
      </c>
      <c r="Z817" s="33" t="s">
        <v>115</v>
      </c>
      <c r="AA817" s="7" t="s">
        <v>115</v>
      </c>
      <c r="AB817" s="20" t="s">
        <v>115</v>
      </c>
      <c r="AC817" s="20"/>
      <c r="AD817" s="9">
        <v>11</v>
      </c>
      <c r="AE817" s="6">
        <v>0</v>
      </c>
      <c r="AF817" s="6">
        <v>11</v>
      </c>
      <c r="AG817" s="6">
        <v>0</v>
      </c>
      <c r="AH817" s="6">
        <v>0</v>
      </c>
      <c r="AI817" s="6">
        <v>0</v>
      </c>
      <c r="AJ817">
        <f t="shared" si="12"/>
        <v>11</v>
      </c>
      <c r="AK817" t="s">
        <v>375</v>
      </c>
      <c r="AL817"/>
      <c r="AM817">
        <v>3</v>
      </c>
      <c r="AN817">
        <v>0</v>
      </c>
      <c r="AQ817" s="34"/>
    </row>
    <row r="818" spans="1:47" x14ac:dyDescent="0.2">
      <c r="A818" t="s">
        <v>1981</v>
      </c>
      <c r="B818" t="s">
        <v>1982</v>
      </c>
      <c r="C818">
        <v>10</v>
      </c>
      <c r="D818">
        <v>1</v>
      </c>
      <c r="E818" t="s">
        <v>201</v>
      </c>
      <c r="F818" s="1">
        <v>43404</v>
      </c>
      <c r="G818" s="37" t="s">
        <v>4033</v>
      </c>
      <c r="H818" s="37" t="s">
        <v>4724</v>
      </c>
      <c r="I818" s="2">
        <v>9.0277777777777787E-3</v>
      </c>
      <c r="J818" s="176">
        <v>1.5046296296296297E-4</v>
      </c>
      <c r="K818" s="6">
        <v>13</v>
      </c>
      <c r="L818" t="s">
        <v>101</v>
      </c>
      <c r="M818" t="s">
        <v>176</v>
      </c>
      <c r="N818" s="7" t="s">
        <v>102</v>
      </c>
      <c r="O818" t="s">
        <v>23</v>
      </c>
      <c r="P818" t="s">
        <v>24</v>
      </c>
      <c r="R818" t="s">
        <v>24</v>
      </c>
      <c r="T818" t="s">
        <v>176</v>
      </c>
      <c r="U818" t="s">
        <v>176</v>
      </c>
      <c r="V818" s="7" t="s">
        <v>115</v>
      </c>
      <c r="W818" s="7" t="s">
        <v>115</v>
      </c>
      <c r="X818" s="7"/>
      <c r="Y818" s="7"/>
      <c r="Z818" s="7"/>
      <c r="AA818" s="7" t="s">
        <v>115</v>
      </c>
      <c r="AB818" s="20" t="s">
        <v>115</v>
      </c>
      <c r="AC818" s="20"/>
      <c r="AD818" s="9">
        <v>11</v>
      </c>
      <c r="AE818" s="6">
        <v>0</v>
      </c>
      <c r="AF818" s="6">
        <v>0</v>
      </c>
      <c r="AG818" s="6">
        <v>11</v>
      </c>
      <c r="AH818" s="6">
        <v>0</v>
      </c>
      <c r="AI818" s="6">
        <v>0</v>
      </c>
      <c r="AJ818">
        <f t="shared" si="12"/>
        <v>11</v>
      </c>
      <c r="AK818" t="s">
        <v>16</v>
      </c>
      <c r="AM818">
        <v>0</v>
      </c>
      <c r="AN818">
        <v>2</v>
      </c>
    </row>
    <row r="819" spans="1:47" s="33" customFormat="1" x14ac:dyDescent="0.2">
      <c r="A819" t="s">
        <v>1983</v>
      </c>
      <c r="B819" t="s">
        <v>1984</v>
      </c>
      <c r="C819">
        <v>11</v>
      </c>
      <c r="D819">
        <v>1</v>
      </c>
      <c r="E819" t="s">
        <v>3171</v>
      </c>
      <c r="F819" s="1">
        <v>43404</v>
      </c>
      <c r="G819" s="37" t="s">
        <v>4033</v>
      </c>
      <c r="H819" s="37" t="s">
        <v>4724</v>
      </c>
      <c r="I819" s="2">
        <v>1.6666666666666666E-2</v>
      </c>
      <c r="J819" s="176">
        <v>2.7777777777777778E-4</v>
      </c>
      <c r="K819" s="6">
        <v>24</v>
      </c>
      <c r="L819" t="s">
        <v>101</v>
      </c>
      <c r="M819" t="s">
        <v>670</v>
      </c>
      <c r="N819" s="7" t="s">
        <v>102</v>
      </c>
      <c r="O819" t="s">
        <v>23</v>
      </c>
      <c r="P819">
        <v>0</v>
      </c>
      <c r="Q819"/>
      <c r="R819">
        <v>0</v>
      </c>
      <c r="S819"/>
      <c r="T819"/>
      <c r="U819" t="s">
        <v>115</v>
      </c>
      <c r="V819" s="7" t="s">
        <v>115</v>
      </c>
      <c r="W819" s="7" t="s">
        <v>115</v>
      </c>
      <c r="X819" s="33" t="s">
        <v>115</v>
      </c>
      <c r="Y819" s="33" t="s">
        <v>115</v>
      </c>
      <c r="Z819" s="33" t="s">
        <v>115</v>
      </c>
      <c r="AA819" s="7" t="s">
        <v>115</v>
      </c>
      <c r="AB819" s="20" t="s">
        <v>115</v>
      </c>
      <c r="AC819" s="20"/>
      <c r="AD819" s="9">
        <v>17</v>
      </c>
      <c r="AE819" s="6">
        <v>0</v>
      </c>
      <c r="AF819" s="6">
        <v>17</v>
      </c>
      <c r="AG819" s="6">
        <v>0</v>
      </c>
      <c r="AH819" s="6">
        <v>0</v>
      </c>
      <c r="AI819" s="6">
        <v>0</v>
      </c>
      <c r="AJ819">
        <f t="shared" si="12"/>
        <v>17</v>
      </c>
      <c r="AK819"/>
      <c r="AL819"/>
      <c r="AM819"/>
      <c r="AN819"/>
      <c r="AO819"/>
      <c r="AP819"/>
      <c r="AQ819"/>
      <c r="AR819"/>
      <c r="AS819"/>
      <c r="AT819"/>
      <c r="AU819"/>
    </row>
    <row r="820" spans="1:47" x14ac:dyDescent="0.2">
      <c r="A820" t="s">
        <v>1985</v>
      </c>
      <c r="B820" t="s">
        <v>1986</v>
      </c>
      <c r="C820">
        <v>1</v>
      </c>
      <c r="D820">
        <v>1</v>
      </c>
      <c r="E820" t="s">
        <v>272</v>
      </c>
      <c r="F820" s="1">
        <v>43404</v>
      </c>
      <c r="G820" s="37" t="s">
        <v>4033</v>
      </c>
      <c r="H820" s="37" t="s">
        <v>4724</v>
      </c>
      <c r="I820" s="2">
        <v>3.3333333333333333E-2</v>
      </c>
      <c r="J820" s="176">
        <v>5.5555555555555556E-4</v>
      </c>
      <c r="K820" s="6">
        <v>48</v>
      </c>
      <c r="L820" t="s">
        <v>2029</v>
      </c>
      <c r="M820" t="s">
        <v>1987</v>
      </c>
      <c r="N820" s="7" t="s">
        <v>102</v>
      </c>
      <c r="O820" t="s">
        <v>23</v>
      </c>
      <c r="P820">
        <v>1</v>
      </c>
      <c r="R820">
        <v>0</v>
      </c>
      <c r="T820" t="s">
        <v>14</v>
      </c>
      <c r="U820" t="s">
        <v>14</v>
      </c>
      <c r="V820" s="7" t="s">
        <v>122</v>
      </c>
      <c r="W820" s="7" t="s">
        <v>115</v>
      </c>
      <c r="X820" s="33" t="s">
        <v>115</v>
      </c>
      <c r="Y820" s="33" t="s">
        <v>115</v>
      </c>
      <c r="Z820" s="33" t="s">
        <v>115</v>
      </c>
      <c r="AA820" s="7" t="s">
        <v>115</v>
      </c>
      <c r="AB820" s="20" t="s">
        <v>115</v>
      </c>
      <c r="AC820" s="20"/>
      <c r="AD820" s="9">
        <v>12</v>
      </c>
      <c r="AE820" s="6">
        <v>0</v>
      </c>
      <c r="AF820" s="6">
        <v>12</v>
      </c>
      <c r="AG820" s="6">
        <v>0</v>
      </c>
      <c r="AH820" s="6">
        <v>0</v>
      </c>
      <c r="AI820" s="6">
        <v>0</v>
      </c>
      <c r="AJ820">
        <f t="shared" si="12"/>
        <v>12</v>
      </c>
      <c r="AL820" t="s">
        <v>1988</v>
      </c>
    </row>
    <row r="821" spans="1:47" x14ac:dyDescent="0.2">
      <c r="A821" t="s">
        <v>1989</v>
      </c>
      <c r="B821" t="s">
        <v>1990</v>
      </c>
      <c r="C821">
        <v>2</v>
      </c>
      <c r="D821">
        <v>1</v>
      </c>
      <c r="E821" t="s">
        <v>272</v>
      </c>
      <c r="F821" s="1">
        <v>43404</v>
      </c>
      <c r="G821" s="37" t="s">
        <v>4033</v>
      </c>
      <c r="H821" s="37" t="s">
        <v>4724</v>
      </c>
      <c r="I821" s="2">
        <v>2.2916666666666669E-2</v>
      </c>
      <c r="J821" s="176">
        <v>3.8194444444444446E-4</v>
      </c>
      <c r="K821" s="6">
        <v>33</v>
      </c>
      <c r="L821" t="s">
        <v>2029</v>
      </c>
      <c r="M821" t="s">
        <v>176</v>
      </c>
      <c r="N821" s="7" t="s">
        <v>102</v>
      </c>
      <c r="O821" t="s">
        <v>23</v>
      </c>
      <c r="P821" t="s">
        <v>24</v>
      </c>
      <c r="R821" t="s">
        <v>24</v>
      </c>
      <c r="T821" t="s">
        <v>176</v>
      </c>
      <c r="U821" t="s">
        <v>176</v>
      </c>
      <c r="V821" s="7" t="s">
        <v>115</v>
      </c>
      <c r="W821" s="7" t="s">
        <v>115</v>
      </c>
      <c r="X821" s="7"/>
      <c r="Y821" s="7"/>
      <c r="Z821" s="7"/>
      <c r="AA821" s="7" t="s">
        <v>115</v>
      </c>
      <c r="AB821" s="20" t="s">
        <v>115</v>
      </c>
      <c r="AC821" s="20"/>
      <c r="AD821" s="9">
        <v>0</v>
      </c>
      <c r="AE821" s="6">
        <v>22</v>
      </c>
      <c r="AF821" s="6">
        <v>22</v>
      </c>
      <c r="AG821" s="6">
        <v>0</v>
      </c>
      <c r="AH821" s="6">
        <v>0</v>
      </c>
      <c r="AI821" s="6">
        <v>0</v>
      </c>
      <c r="AJ821">
        <f t="shared" si="12"/>
        <v>22</v>
      </c>
      <c r="AO821" s="33"/>
      <c r="AP821" s="33"/>
      <c r="AQ821" s="34"/>
      <c r="AR821" s="33"/>
      <c r="AS821" s="33"/>
      <c r="AT821" s="33"/>
      <c r="AU821" s="33"/>
    </row>
    <row r="822" spans="1:47" x14ac:dyDescent="0.2">
      <c r="A822" t="s">
        <v>1991</v>
      </c>
      <c r="B822" t="s">
        <v>1992</v>
      </c>
      <c r="C822">
        <v>3</v>
      </c>
      <c r="D822">
        <v>1</v>
      </c>
      <c r="E822" t="s">
        <v>272</v>
      </c>
      <c r="F822" s="1">
        <v>43404</v>
      </c>
      <c r="G822" s="37" t="s">
        <v>4033</v>
      </c>
      <c r="H822" s="37" t="s">
        <v>4724</v>
      </c>
      <c r="I822" s="2">
        <v>4.1666666666666666E-3</v>
      </c>
      <c r="J822" s="176">
        <v>6.9444444444444444E-5</v>
      </c>
      <c r="K822" s="6">
        <v>6</v>
      </c>
      <c r="L822" t="s">
        <v>2029</v>
      </c>
      <c r="M822" t="s">
        <v>1993</v>
      </c>
      <c r="N822" s="7" t="s">
        <v>102</v>
      </c>
      <c r="O822" t="s">
        <v>12</v>
      </c>
      <c r="P822">
        <v>1</v>
      </c>
      <c r="R822">
        <v>0</v>
      </c>
      <c r="T822" t="s">
        <v>176</v>
      </c>
      <c r="U822" t="s">
        <v>176</v>
      </c>
      <c r="V822" s="7" t="s">
        <v>1994</v>
      </c>
      <c r="W822" s="7" t="s">
        <v>115</v>
      </c>
      <c r="X822" s="33" t="s">
        <v>115</v>
      </c>
      <c r="Y822" s="33" t="s">
        <v>115</v>
      </c>
      <c r="Z822" s="33" t="s">
        <v>115</v>
      </c>
      <c r="AA822" s="7" t="s">
        <v>115</v>
      </c>
      <c r="AB822" s="20" t="s">
        <v>115</v>
      </c>
      <c r="AC822" s="20"/>
      <c r="AD822" s="9">
        <v>0</v>
      </c>
      <c r="AE822" s="6">
        <v>0</v>
      </c>
      <c r="AF822" s="6">
        <v>0</v>
      </c>
      <c r="AG822" s="6">
        <v>0</v>
      </c>
      <c r="AH822" s="6">
        <v>0</v>
      </c>
      <c r="AI822" s="6">
        <v>0</v>
      </c>
      <c r="AJ822">
        <f t="shared" si="12"/>
        <v>0</v>
      </c>
      <c r="AL822" t="s">
        <v>1995</v>
      </c>
      <c r="AO822" s="33"/>
      <c r="AP822" s="33"/>
      <c r="AQ822" s="34"/>
      <c r="AR822" s="33"/>
      <c r="AS822" s="33"/>
      <c r="AT822" s="33"/>
      <c r="AU822" s="33"/>
    </row>
    <row r="823" spans="1:47" x14ac:dyDescent="0.2">
      <c r="A823" t="s">
        <v>1996</v>
      </c>
      <c r="B823" t="s">
        <v>1997</v>
      </c>
      <c r="C823">
        <v>4</v>
      </c>
      <c r="D823">
        <v>1</v>
      </c>
      <c r="E823" t="s">
        <v>272</v>
      </c>
      <c r="F823" s="1">
        <v>43404</v>
      </c>
      <c r="G823" s="37" t="s">
        <v>4033</v>
      </c>
      <c r="H823" s="37" t="s">
        <v>4724</v>
      </c>
      <c r="I823" s="2">
        <v>3.5416666666666666E-2</v>
      </c>
      <c r="J823" s="176">
        <v>5.9027777777777778E-4</v>
      </c>
      <c r="K823" s="6">
        <v>51</v>
      </c>
      <c r="L823" t="s">
        <v>2029</v>
      </c>
      <c r="M823" t="s">
        <v>1993</v>
      </c>
      <c r="N823" s="7" t="s">
        <v>111</v>
      </c>
      <c r="O823" t="s">
        <v>12</v>
      </c>
      <c r="P823">
        <v>0</v>
      </c>
      <c r="R823">
        <v>1</v>
      </c>
      <c r="T823" t="s">
        <v>176</v>
      </c>
      <c r="U823" t="s">
        <v>176</v>
      </c>
      <c r="V823" s="7" t="s">
        <v>24</v>
      </c>
      <c r="W823" s="7" t="s">
        <v>1027</v>
      </c>
      <c r="X823" s="44" t="s">
        <v>12</v>
      </c>
      <c r="Y823" s="44" t="s">
        <v>3997</v>
      </c>
      <c r="Z823" s="44" t="s">
        <v>4005</v>
      </c>
      <c r="AA823" s="7" t="s">
        <v>24</v>
      </c>
      <c r="AB823" s="20">
        <v>63.73142</v>
      </c>
      <c r="AC823" s="20">
        <v>148.89966999999999</v>
      </c>
      <c r="AD823" s="9">
        <v>0</v>
      </c>
      <c r="AE823" s="6">
        <v>0</v>
      </c>
      <c r="AF823" s="6">
        <v>0</v>
      </c>
      <c r="AG823" s="6">
        <v>0</v>
      </c>
      <c r="AH823" s="6">
        <v>0</v>
      </c>
      <c r="AI823" s="6">
        <v>0</v>
      </c>
      <c r="AJ823">
        <f t="shared" si="12"/>
        <v>0</v>
      </c>
      <c r="AL823" t="s">
        <v>1998</v>
      </c>
    </row>
    <row r="824" spans="1:47" x14ac:dyDescent="0.2">
      <c r="A824" s="33" t="s">
        <v>1999</v>
      </c>
      <c r="B824" s="33" t="s">
        <v>2000</v>
      </c>
      <c r="C824" s="33">
        <v>5</v>
      </c>
      <c r="D824" s="33">
        <v>1</v>
      </c>
      <c r="E824" s="33" t="s">
        <v>272</v>
      </c>
      <c r="F824" s="37">
        <v>43404</v>
      </c>
      <c r="G824" s="37" t="s">
        <v>4033</v>
      </c>
      <c r="H824" s="37" t="s">
        <v>4724</v>
      </c>
      <c r="I824" s="36">
        <v>2.2916666666666669E-2</v>
      </c>
      <c r="J824" s="177">
        <v>3.8194444444444446E-4</v>
      </c>
      <c r="K824" s="39">
        <v>33</v>
      </c>
      <c r="L824" s="33" t="s">
        <v>2029</v>
      </c>
      <c r="M824" s="33" t="s">
        <v>255</v>
      </c>
      <c r="N824" s="33" t="s">
        <v>102</v>
      </c>
      <c r="O824" s="33" t="s">
        <v>23</v>
      </c>
      <c r="P824" s="33">
        <v>1</v>
      </c>
      <c r="Q824" s="33"/>
      <c r="R824" s="33">
        <v>0</v>
      </c>
      <c r="S824" s="33"/>
      <c r="T824" t="s">
        <v>176</v>
      </c>
      <c r="U824" s="33" t="s">
        <v>176</v>
      </c>
      <c r="V824" s="33" t="s">
        <v>122</v>
      </c>
      <c r="W824" s="33" t="s">
        <v>115</v>
      </c>
      <c r="X824" s="33" t="s">
        <v>115</v>
      </c>
      <c r="Y824" s="33" t="s">
        <v>115</v>
      </c>
      <c r="Z824" s="33" t="s">
        <v>115</v>
      </c>
      <c r="AA824" s="33" t="s">
        <v>115</v>
      </c>
      <c r="AB824" s="35" t="s">
        <v>115</v>
      </c>
      <c r="AC824" s="35"/>
      <c r="AD824" s="39">
        <v>7</v>
      </c>
      <c r="AE824" s="39">
        <v>0</v>
      </c>
      <c r="AF824" s="39">
        <v>0</v>
      </c>
      <c r="AG824" s="39">
        <v>7</v>
      </c>
      <c r="AH824" s="39">
        <v>17</v>
      </c>
      <c r="AI824" s="39">
        <v>0</v>
      </c>
      <c r="AJ824" s="33">
        <f t="shared" si="12"/>
        <v>24</v>
      </c>
      <c r="AK824" s="33"/>
      <c r="AL824" s="33"/>
      <c r="AM824" s="33"/>
      <c r="AN824" s="33"/>
    </row>
    <row r="825" spans="1:47" x14ac:dyDescent="0.2">
      <c r="A825" s="33" t="s">
        <v>2001</v>
      </c>
      <c r="B825" s="33" t="s">
        <v>2002</v>
      </c>
      <c r="C825" s="33">
        <v>6</v>
      </c>
      <c r="D825" s="33">
        <v>1</v>
      </c>
      <c r="E825" s="33" t="s">
        <v>272</v>
      </c>
      <c r="F825" s="37">
        <v>43404</v>
      </c>
      <c r="G825" s="37" t="s">
        <v>4033</v>
      </c>
      <c r="H825" s="37" t="s">
        <v>4724</v>
      </c>
      <c r="I825" s="36">
        <v>2.7777777777777776E-2</v>
      </c>
      <c r="J825" s="177">
        <v>4.6296296296296293E-4</v>
      </c>
      <c r="K825" s="39">
        <v>40</v>
      </c>
      <c r="L825" s="33" t="s">
        <v>2029</v>
      </c>
      <c r="M825" s="33" t="s">
        <v>255</v>
      </c>
      <c r="N825" s="33" t="s">
        <v>102</v>
      </c>
      <c r="O825" s="33" t="s">
        <v>1307</v>
      </c>
      <c r="P825" s="33">
        <v>1</v>
      </c>
      <c r="Q825" s="33" t="s">
        <v>2290</v>
      </c>
      <c r="R825" s="33">
        <v>0</v>
      </c>
      <c r="S825" s="33"/>
      <c r="T825" t="s">
        <v>176</v>
      </c>
      <c r="U825" s="33" t="s">
        <v>176</v>
      </c>
      <c r="V825" s="33" t="s">
        <v>122</v>
      </c>
      <c r="W825" s="33" t="s">
        <v>115</v>
      </c>
      <c r="X825" s="33" t="s">
        <v>115</v>
      </c>
      <c r="Y825" s="33" t="s">
        <v>115</v>
      </c>
      <c r="Z825" s="33" t="s">
        <v>115</v>
      </c>
      <c r="AA825" s="33" t="s">
        <v>115</v>
      </c>
      <c r="AB825" s="35" t="s">
        <v>115</v>
      </c>
      <c r="AC825" s="35"/>
      <c r="AD825" s="39">
        <v>14</v>
      </c>
      <c r="AE825" s="39">
        <v>0</v>
      </c>
      <c r="AF825" s="39">
        <v>0</v>
      </c>
      <c r="AG825" s="39">
        <v>14</v>
      </c>
      <c r="AH825" s="39">
        <v>19</v>
      </c>
      <c r="AI825" s="39">
        <v>0</v>
      </c>
      <c r="AJ825" s="33">
        <f t="shared" si="12"/>
        <v>33</v>
      </c>
      <c r="AK825" s="33"/>
      <c r="AL825" s="33"/>
      <c r="AM825" s="33"/>
      <c r="AN825" s="33"/>
      <c r="AO825" s="33"/>
      <c r="AP825" s="33"/>
      <c r="AQ825" s="34"/>
      <c r="AR825" s="33"/>
      <c r="AS825" s="33"/>
      <c r="AT825" s="33"/>
      <c r="AU825" s="33"/>
    </row>
    <row r="826" spans="1:47" s="33" customFormat="1" x14ac:dyDescent="0.2">
      <c r="A826" s="33" t="s">
        <v>2003</v>
      </c>
      <c r="B826" s="33" t="s">
        <v>2004</v>
      </c>
      <c r="C826" s="33">
        <v>7</v>
      </c>
      <c r="D826" s="33">
        <v>1</v>
      </c>
      <c r="E826" s="33" t="s">
        <v>272</v>
      </c>
      <c r="F826" s="37">
        <v>43404</v>
      </c>
      <c r="G826" s="37" t="s">
        <v>4033</v>
      </c>
      <c r="H826" s="37" t="s">
        <v>4724</v>
      </c>
      <c r="I826" s="36">
        <v>1.9444444444444445E-2</v>
      </c>
      <c r="J826" s="177">
        <v>3.2407407407407406E-4</v>
      </c>
      <c r="K826" s="39">
        <v>28</v>
      </c>
      <c r="L826" s="33" t="s">
        <v>2029</v>
      </c>
      <c r="M826" s="33" t="s">
        <v>255</v>
      </c>
      <c r="N826" s="33" t="s">
        <v>102</v>
      </c>
      <c r="O826" s="33" t="s">
        <v>115</v>
      </c>
      <c r="P826" s="33">
        <v>1</v>
      </c>
      <c r="R826" s="33">
        <v>0</v>
      </c>
      <c r="T826" t="s">
        <v>176</v>
      </c>
      <c r="U826" s="33" t="s">
        <v>176</v>
      </c>
      <c r="V826" s="33" t="s">
        <v>122</v>
      </c>
      <c r="W826" s="33" t="s">
        <v>115</v>
      </c>
      <c r="X826" s="33" t="s">
        <v>115</v>
      </c>
      <c r="Y826" s="33" t="s">
        <v>115</v>
      </c>
      <c r="Z826" s="33" t="s">
        <v>115</v>
      </c>
      <c r="AA826" s="33" t="s">
        <v>115</v>
      </c>
      <c r="AB826" s="35" t="s">
        <v>115</v>
      </c>
      <c r="AC826" s="35"/>
      <c r="AD826" s="39">
        <v>0</v>
      </c>
      <c r="AE826" s="39">
        <v>0</v>
      </c>
      <c r="AF826" s="39">
        <v>0</v>
      </c>
      <c r="AG826" s="39">
        <v>0</v>
      </c>
      <c r="AH826" s="39">
        <v>8</v>
      </c>
      <c r="AI826" s="39">
        <v>0</v>
      </c>
      <c r="AJ826" s="33">
        <f t="shared" si="12"/>
        <v>8</v>
      </c>
      <c r="AO826"/>
      <c r="AP826"/>
      <c r="AQ826"/>
      <c r="AR826"/>
      <c r="AS826"/>
      <c r="AT826"/>
      <c r="AU826"/>
    </row>
    <row r="827" spans="1:47" x14ac:dyDescent="0.2">
      <c r="A827" t="s">
        <v>2005</v>
      </c>
      <c r="B827" t="s">
        <v>2006</v>
      </c>
      <c r="C827">
        <v>8</v>
      </c>
      <c r="D827">
        <v>1</v>
      </c>
      <c r="E827" t="s">
        <v>272</v>
      </c>
      <c r="F827" s="1">
        <v>43404</v>
      </c>
      <c r="G827" s="37" t="s">
        <v>4033</v>
      </c>
      <c r="H827" s="37" t="s">
        <v>4724</v>
      </c>
      <c r="I827" s="2">
        <v>2.2222222222222223E-2</v>
      </c>
      <c r="J827" s="176">
        <v>3.7037037037037035E-4</v>
      </c>
      <c r="K827" s="6">
        <v>32</v>
      </c>
      <c r="L827" t="s">
        <v>2029</v>
      </c>
      <c r="M827" t="s">
        <v>255</v>
      </c>
      <c r="N827" s="7" t="s">
        <v>102</v>
      </c>
      <c r="O827" t="s">
        <v>1307</v>
      </c>
      <c r="P827" t="s">
        <v>24</v>
      </c>
      <c r="R827" t="s">
        <v>24</v>
      </c>
      <c r="T827" t="s">
        <v>176</v>
      </c>
      <c r="U827" t="s">
        <v>176</v>
      </c>
      <c r="V827" s="7" t="s">
        <v>115</v>
      </c>
      <c r="W827" s="7" t="s">
        <v>115</v>
      </c>
      <c r="X827" s="7"/>
      <c r="Y827" s="7"/>
      <c r="Z827" s="7"/>
      <c r="AA827" s="7" t="s">
        <v>115</v>
      </c>
      <c r="AB827" s="20" t="s">
        <v>115</v>
      </c>
      <c r="AC827" s="20"/>
      <c r="AD827" s="9">
        <v>21</v>
      </c>
      <c r="AE827" s="6">
        <v>7</v>
      </c>
      <c r="AF827" s="6">
        <v>7</v>
      </c>
      <c r="AG827" s="6">
        <v>21</v>
      </c>
      <c r="AH827" s="6">
        <v>0</v>
      </c>
      <c r="AI827" s="6">
        <v>0</v>
      </c>
      <c r="AJ827">
        <f t="shared" si="12"/>
        <v>28</v>
      </c>
    </row>
    <row r="828" spans="1:47" x14ac:dyDescent="0.2">
      <c r="A828" t="s">
        <v>2007</v>
      </c>
      <c r="B828" t="s">
        <v>2008</v>
      </c>
      <c r="C828">
        <v>9</v>
      </c>
      <c r="D828">
        <v>1</v>
      </c>
      <c r="E828" t="s">
        <v>272</v>
      </c>
      <c r="F828" s="1">
        <v>43404</v>
      </c>
      <c r="G828" s="37" t="s">
        <v>4033</v>
      </c>
      <c r="H828" s="37" t="s">
        <v>4724</v>
      </c>
      <c r="I828" s="2">
        <v>3.9583333333333331E-2</v>
      </c>
      <c r="J828" s="176">
        <v>6.5972222222222213E-4</v>
      </c>
      <c r="K828" s="6">
        <v>57</v>
      </c>
      <c r="L828" t="s">
        <v>2029</v>
      </c>
      <c r="M828" t="s">
        <v>255</v>
      </c>
      <c r="N828" s="7" t="s">
        <v>111</v>
      </c>
      <c r="O828" t="s">
        <v>23</v>
      </c>
      <c r="P828">
        <v>0</v>
      </c>
      <c r="R828">
        <v>1</v>
      </c>
      <c r="T828" t="s">
        <v>176</v>
      </c>
      <c r="U828" t="s">
        <v>176</v>
      </c>
      <c r="V828" s="7" t="s">
        <v>24</v>
      </c>
      <c r="W828" s="7" t="s">
        <v>2104</v>
      </c>
      <c r="X828" s="44" t="s">
        <v>23</v>
      </c>
      <c r="Y828" s="44" t="s">
        <v>3997</v>
      </c>
      <c r="Z828" s="44" t="s">
        <v>4006</v>
      </c>
      <c r="AA828" s="7" t="s">
        <v>24</v>
      </c>
      <c r="AB828" s="20">
        <v>63.73171</v>
      </c>
      <c r="AC828" s="20">
        <v>148.90314000000001</v>
      </c>
      <c r="AD828" s="9">
        <v>0</v>
      </c>
      <c r="AE828" s="6">
        <v>0</v>
      </c>
      <c r="AF828" s="6">
        <v>0</v>
      </c>
      <c r="AG828" s="6">
        <v>0</v>
      </c>
      <c r="AH828" s="6">
        <v>0</v>
      </c>
      <c r="AI828" s="6">
        <v>0</v>
      </c>
      <c r="AJ828">
        <f t="shared" si="12"/>
        <v>0</v>
      </c>
      <c r="AL828" t="s">
        <v>5047</v>
      </c>
    </row>
    <row r="829" spans="1:47" hidden="1" x14ac:dyDescent="0.2">
      <c r="A829" t="s">
        <v>2007</v>
      </c>
      <c r="B829" t="s">
        <v>2008</v>
      </c>
      <c r="C829">
        <v>9</v>
      </c>
      <c r="D829">
        <v>2</v>
      </c>
      <c r="E829" t="s">
        <v>272</v>
      </c>
      <c r="F829" s="1">
        <v>43404</v>
      </c>
      <c r="G829" s="37" t="s">
        <v>4033</v>
      </c>
      <c r="H829" s="37" t="s">
        <v>4724</v>
      </c>
      <c r="I829" s="2">
        <v>3.9583333333333331E-2</v>
      </c>
      <c r="J829" s="176">
        <v>6.5972222222222213E-4</v>
      </c>
      <c r="K829" s="6">
        <v>57</v>
      </c>
      <c r="L829" t="s">
        <v>2029</v>
      </c>
      <c r="M829" t="s">
        <v>255</v>
      </c>
      <c r="N829" s="7" t="s">
        <v>111</v>
      </c>
      <c r="O829" t="s">
        <v>23</v>
      </c>
      <c r="P829">
        <v>0</v>
      </c>
      <c r="R829">
        <v>1</v>
      </c>
      <c r="T829" t="s">
        <v>176</v>
      </c>
      <c r="U829" t="s">
        <v>176</v>
      </c>
      <c r="V829" s="7" t="s">
        <v>24</v>
      </c>
      <c r="W829" s="7" t="s">
        <v>2103</v>
      </c>
      <c r="X829" s="44" t="s">
        <v>23</v>
      </c>
      <c r="Y829" s="44" t="s">
        <v>4004</v>
      </c>
      <c r="Z829" s="44" t="s">
        <v>4005</v>
      </c>
      <c r="AA829" s="7" t="s">
        <v>24</v>
      </c>
      <c r="AB829" s="20">
        <v>63.73171</v>
      </c>
      <c r="AC829" s="20">
        <v>148.90315000000001</v>
      </c>
      <c r="AD829" s="9">
        <v>0</v>
      </c>
      <c r="AE829" s="6">
        <v>0</v>
      </c>
      <c r="AF829" s="6">
        <v>0</v>
      </c>
      <c r="AG829" s="6">
        <v>0</v>
      </c>
      <c r="AH829" s="6">
        <v>0</v>
      </c>
      <c r="AI829" s="6">
        <v>0</v>
      </c>
      <c r="AJ829">
        <f t="shared" si="12"/>
        <v>0</v>
      </c>
      <c r="AL829" t="s">
        <v>5047</v>
      </c>
    </row>
    <row r="830" spans="1:47" x14ac:dyDescent="0.2">
      <c r="A830" s="33" t="s">
        <v>2010</v>
      </c>
      <c r="B830" s="33" t="s">
        <v>2011</v>
      </c>
      <c r="C830" s="33">
        <v>10</v>
      </c>
      <c r="D830" s="33">
        <v>1</v>
      </c>
      <c r="E830" s="33" t="s">
        <v>272</v>
      </c>
      <c r="F830" s="37">
        <v>43404</v>
      </c>
      <c r="G830" s="37" t="s">
        <v>4033</v>
      </c>
      <c r="H830" s="37" t="s">
        <v>4724</v>
      </c>
      <c r="I830" s="36">
        <v>1.1111111111111112E-2</v>
      </c>
      <c r="J830" s="177">
        <v>1.8518518518518518E-4</v>
      </c>
      <c r="K830" s="39">
        <v>16</v>
      </c>
      <c r="L830" s="33" t="s">
        <v>2029</v>
      </c>
      <c r="M830" s="33" t="s">
        <v>255</v>
      </c>
      <c r="N830" s="33" t="s">
        <v>102</v>
      </c>
      <c r="O830" s="33" t="s">
        <v>115</v>
      </c>
      <c r="P830" s="33">
        <v>1</v>
      </c>
      <c r="Q830" s="33"/>
      <c r="R830" s="33">
        <v>0</v>
      </c>
      <c r="S830" s="33"/>
      <c r="T830" t="s">
        <v>176</v>
      </c>
      <c r="U830" s="33" t="s">
        <v>176</v>
      </c>
      <c r="V830" s="33" t="s">
        <v>122</v>
      </c>
      <c r="W830" s="33" t="s">
        <v>115</v>
      </c>
      <c r="X830" s="33" t="s">
        <v>115</v>
      </c>
      <c r="Y830" s="33" t="s">
        <v>115</v>
      </c>
      <c r="Z830" s="33" t="s">
        <v>115</v>
      </c>
      <c r="AA830" s="33" t="s">
        <v>115</v>
      </c>
      <c r="AB830" s="35" t="s">
        <v>115</v>
      </c>
      <c r="AC830" s="35"/>
      <c r="AD830" s="39">
        <v>0</v>
      </c>
      <c r="AE830" s="39">
        <v>0</v>
      </c>
      <c r="AF830" s="39">
        <v>0</v>
      </c>
      <c r="AG830" s="39">
        <v>0</v>
      </c>
      <c r="AH830" s="39">
        <v>7</v>
      </c>
      <c r="AI830" s="39">
        <v>0</v>
      </c>
      <c r="AJ830" s="33">
        <f t="shared" si="12"/>
        <v>7</v>
      </c>
      <c r="AK830" s="33"/>
      <c r="AL830" s="33"/>
      <c r="AM830" s="33"/>
      <c r="AN830" s="33"/>
    </row>
    <row r="831" spans="1:47" s="33" customFormat="1" x14ac:dyDescent="0.2">
      <c r="A831" t="s">
        <v>2012</v>
      </c>
      <c r="B831" t="s">
        <v>2013</v>
      </c>
      <c r="C831">
        <v>11</v>
      </c>
      <c r="D831">
        <v>1</v>
      </c>
      <c r="E831" t="s">
        <v>272</v>
      </c>
      <c r="F831" s="1">
        <v>43404</v>
      </c>
      <c r="G831" s="37" t="s">
        <v>4033</v>
      </c>
      <c r="H831" s="37" t="s">
        <v>4724</v>
      </c>
      <c r="I831" s="2">
        <v>9.7222222222222224E-3</v>
      </c>
      <c r="J831" s="176">
        <v>1.6203703703703703E-4</v>
      </c>
      <c r="K831" s="6">
        <v>14</v>
      </c>
      <c r="L831" t="s">
        <v>2029</v>
      </c>
      <c r="M831" t="s">
        <v>1993</v>
      </c>
      <c r="N831" s="7" t="s">
        <v>102</v>
      </c>
      <c r="O831" t="s">
        <v>23</v>
      </c>
      <c r="P831">
        <v>0</v>
      </c>
      <c r="Q831"/>
      <c r="R831">
        <v>0</v>
      </c>
      <c r="S831"/>
      <c r="T831"/>
      <c r="U831" t="s">
        <v>115</v>
      </c>
      <c r="V831" s="7" t="s">
        <v>115</v>
      </c>
      <c r="W831" s="7" t="s">
        <v>115</v>
      </c>
      <c r="X831" s="33" t="s">
        <v>115</v>
      </c>
      <c r="Y831" s="33" t="s">
        <v>115</v>
      </c>
      <c r="Z831" s="33" t="s">
        <v>115</v>
      </c>
      <c r="AA831" s="7" t="s">
        <v>115</v>
      </c>
      <c r="AB831" s="20" t="s">
        <v>115</v>
      </c>
      <c r="AC831" s="20"/>
      <c r="AD831" s="9">
        <v>14</v>
      </c>
      <c r="AE831" s="6">
        <v>0</v>
      </c>
      <c r="AF831" s="6">
        <v>14</v>
      </c>
      <c r="AG831" s="6">
        <v>0</v>
      </c>
      <c r="AH831" s="6">
        <v>0</v>
      </c>
      <c r="AI831" s="6">
        <v>0</v>
      </c>
      <c r="AJ831">
        <f t="shared" si="12"/>
        <v>14</v>
      </c>
      <c r="AK831" t="s">
        <v>188</v>
      </c>
      <c r="AL831"/>
      <c r="AM831"/>
      <c r="AN831"/>
      <c r="AO831"/>
      <c r="AP831"/>
      <c r="AQ831"/>
      <c r="AR831"/>
      <c r="AS831"/>
      <c r="AT831"/>
      <c r="AU831"/>
    </row>
    <row r="832" spans="1:47" s="33" customFormat="1" x14ac:dyDescent="0.2">
      <c r="A832" t="s">
        <v>2014</v>
      </c>
      <c r="B832" t="s">
        <v>2015</v>
      </c>
      <c r="C832">
        <v>12</v>
      </c>
      <c r="D832">
        <v>1</v>
      </c>
      <c r="E832" t="s">
        <v>272</v>
      </c>
      <c r="F832" s="1">
        <v>43404</v>
      </c>
      <c r="G832" s="37" t="s">
        <v>4033</v>
      </c>
      <c r="H832" s="37" t="s">
        <v>4724</v>
      </c>
      <c r="I832" s="2">
        <v>1.3888888888888888E-2</v>
      </c>
      <c r="J832" s="176">
        <v>2.3148148148148146E-4</v>
      </c>
      <c r="K832" s="6">
        <v>20</v>
      </c>
      <c r="L832" t="s">
        <v>2029</v>
      </c>
      <c r="M832" t="s">
        <v>255</v>
      </c>
      <c r="N832" s="7" t="s">
        <v>107</v>
      </c>
      <c r="O832" t="s">
        <v>23</v>
      </c>
      <c r="P832">
        <v>1</v>
      </c>
      <c r="Q832"/>
      <c r="R832">
        <v>0</v>
      </c>
      <c r="S832"/>
      <c r="T832" t="s">
        <v>176</v>
      </c>
      <c r="U832" t="s">
        <v>176</v>
      </c>
      <c r="V832" s="7" t="s">
        <v>24</v>
      </c>
      <c r="W832" s="7" t="s">
        <v>115</v>
      </c>
      <c r="X832" s="33" t="s">
        <v>115</v>
      </c>
      <c r="Y832" s="33" t="s">
        <v>115</v>
      </c>
      <c r="Z832" s="33" t="s">
        <v>115</v>
      </c>
      <c r="AA832" s="7" t="s">
        <v>115</v>
      </c>
      <c r="AB832" s="20" t="s">
        <v>115</v>
      </c>
      <c r="AC832" s="20"/>
      <c r="AD832" s="9">
        <v>0</v>
      </c>
      <c r="AE832" s="6">
        <v>0</v>
      </c>
      <c r="AF832" s="6">
        <v>0</v>
      </c>
      <c r="AG832" s="6">
        <v>0</v>
      </c>
      <c r="AH832" s="6">
        <v>0</v>
      </c>
      <c r="AI832" s="6">
        <v>0</v>
      </c>
      <c r="AJ832">
        <f t="shared" si="12"/>
        <v>0</v>
      </c>
      <c r="AK832"/>
      <c r="AL832"/>
      <c r="AM832"/>
      <c r="AN832"/>
      <c r="AQ832" s="34"/>
    </row>
    <row r="833" spans="1:47" x14ac:dyDescent="0.2">
      <c r="A833" t="s">
        <v>2016</v>
      </c>
      <c r="B833" t="s">
        <v>2017</v>
      </c>
      <c r="C833">
        <v>13</v>
      </c>
      <c r="D833">
        <v>1</v>
      </c>
      <c r="E833" t="s">
        <v>272</v>
      </c>
      <c r="F833" s="1">
        <v>43404</v>
      </c>
      <c r="G833" s="37" t="s">
        <v>4033</v>
      </c>
      <c r="H833" s="37" t="s">
        <v>4724</v>
      </c>
      <c r="I833" s="2">
        <v>1.1111111111111112E-2</v>
      </c>
      <c r="J833" s="176">
        <v>1.8518518518518518E-4</v>
      </c>
      <c r="K833" s="6">
        <v>16</v>
      </c>
      <c r="L833" t="s">
        <v>2029</v>
      </c>
      <c r="M833" t="s">
        <v>255</v>
      </c>
      <c r="N833" s="7" t="s">
        <v>102</v>
      </c>
      <c r="O833" t="s">
        <v>23</v>
      </c>
      <c r="P833">
        <v>0</v>
      </c>
      <c r="R833">
        <v>0</v>
      </c>
      <c r="U833" t="s">
        <v>115</v>
      </c>
      <c r="V833" s="7" t="s">
        <v>115</v>
      </c>
      <c r="W833" s="7" t="s">
        <v>115</v>
      </c>
      <c r="X833" s="33" t="s">
        <v>115</v>
      </c>
      <c r="Y833" s="33" t="s">
        <v>115</v>
      </c>
      <c r="Z833" s="33" t="s">
        <v>115</v>
      </c>
      <c r="AA833" s="7" t="s">
        <v>115</v>
      </c>
      <c r="AB833" s="20" t="s">
        <v>115</v>
      </c>
      <c r="AC833" s="20"/>
      <c r="AD833" s="9">
        <v>11</v>
      </c>
      <c r="AE833" s="6">
        <v>0</v>
      </c>
      <c r="AF833" s="6">
        <v>11</v>
      </c>
      <c r="AG833" s="6">
        <v>0</v>
      </c>
      <c r="AH833" s="6">
        <v>0</v>
      </c>
      <c r="AI833" s="6">
        <v>0</v>
      </c>
      <c r="AJ833">
        <f t="shared" si="12"/>
        <v>11</v>
      </c>
    </row>
    <row r="834" spans="1:47" x14ac:dyDescent="0.2">
      <c r="A834" t="s">
        <v>2018</v>
      </c>
      <c r="B834" t="s">
        <v>2019</v>
      </c>
      <c r="C834">
        <v>14</v>
      </c>
      <c r="D834">
        <v>1</v>
      </c>
      <c r="E834" t="s">
        <v>272</v>
      </c>
      <c r="F834" s="1">
        <v>43404</v>
      </c>
      <c r="G834" s="37" t="s">
        <v>4033</v>
      </c>
      <c r="H834" s="37" t="s">
        <v>4724</v>
      </c>
      <c r="I834" s="2">
        <v>4.8611111111111112E-3</v>
      </c>
      <c r="J834" s="176">
        <v>8.1018518518518516E-5</v>
      </c>
      <c r="K834" s="6">
        <v>7</v>
      </c>
      <c r="L834" t="s">
        <v>2029</v>
      </c>
      <c r="M834" t="s">
        <v>1993</v>
      </c>
      <c r="N834" s="7" t="s">
        <v>102</v>
      </c>
      <c r="O834" t="s">
        <v>12</v>
      </c>
      <c r="P834">
        <v>1</v>
      </c>
      <c r="R834">
        <v>0</v>
      </c>
      <c r="T834" t="s">
        <v>176</v>
      </c>
      <c r="U834" t="s">
        <v>176</v>
      </c>
      <c r="V834" s="7" t="s">
        <v>1994</v>
      </c>
      <c r="W834" s="7" t="s">
        <v>115</v>
      </c>
      <c r="X834" s="33" t="s">
        <v>115</v>
      </c>
      <c r="Y834" s="33" t="s">
        <v>115</v>
      </c>
      <c r="Z834" s="33" t="s">
        <v>115</v>
      </c>
      <c r="AA834" s="7" t="s">
        <v>115</v>
      </c>
      <c r="AB834" s="20" t="s">
        <v>115</v>
      </c>
      <c r="AC834" s="20"/>
      <c r="AD834" s="9">
        <v>0</v>
      </c>
      <c r="AE834" s="6">
        <v>0</v>
      </c>
      <c r="AF834" s="6">
        <v>0</v>
      </c>
      <c r="AG834" s="6">
        <v>0</v>
      </c>
      <c r="AH834" s="6">
        <v>0</v>
      </c>
      <c r="AI834" s="6">
        <v>0</v>
      </c>
      <c r="AJ834">
        <f t="shared" ref="AJ834:AJ869" si="13">SUM(AF834:AI834)</f>
        <v>0</v>
      </c>
      <c r="AL834" t="s">
        <v>2020</v>
      </c>
    </row>
    <row r="835" spans="1:47" ht="16" customHeight="1" x14ac:dyDescent="0.2">
      <c r="A835" t="s">
        <v>2021</v>
      </c>
      <c r="B835" t="s">
        <v>2022</v>
      </c>
      <c r="C835">
        <v>15</v>
      </c>
      <c r="D835">
        <v>1</v>
      </c>
      <c r="E835" t="s">
        <v>272</v>
      </c>
      <c r="F835" s="1">
        <v>43404</v>
      </c>
      <c r="G835" s="37" t="s">
        <v>4033</v>
      </c>
      <c r="H835" s="37" t="s">
        <v>4724</v>
      </c>
      <c r="I835" s="2">
        <v>1.4583333333333332E-2</v>
      </c>
      <c r="J835" s="176">
        <v>2.4305555555555552E-4</v>
      </c>
      <c r="K835" s="6">
        <v>21</v>
      </c>
      <c r="L835" t="s">
        <v>2029</v>
      </c>
      <c r="M835" t="s">
        <v>176</v>
      </c>
      <c r="N835" s="7" t="s">
        <v>102</v>
      </c>
      <c r="O835" t="s">
        <v>23</v>
      </c>
      <c r="P835" t="s">
        <v>24</v>
      </c>
      <c r="R835" t="s">
        <v>24</v>
      </c>
      <c r="T835" t="s">
        <v>176</v>
      </c>
      <c r="U835" t="s">
        <v>176</v>
      </c>
      <c r="V835" s="7" t="s">
        <v>115</v>
      </c>
      <c r="W835" s="7" t="s">
        <v>115</v>
      </c>
      <c r="X835" s="7"/>
      <c r="Y835" s="7"/>
      <c r="Z835" s="7"/>
      <c r="AA835" s="7" t="s">
        <v>115</v>
      </c>
      <c r="AB835" s="20" t="s">
        <v>115</v>
      </c>
      <c r="AC835" s="20"/>
      <c r="AD835" s="9">
        <v>0</v>
      </c>
      <c r="AE835" s="6">
        <v>21</v>
      </c>
      <c r="AF835" s="6">
        <v>21</v>
      </c>
      <c r="AG835" s="6">
        <v>0</v>
      </c>
      <c r="AH835" s="6">
        <v>0</v>
      </c>
      <c r="AI835" s="6">
        <v>0</v>
      </c>
      <c r="AJ835">
        <f t="shared" si="13"/>
        <v>21</v>
      </c>
      <c r="AL835" t="s">
        <v>2023</v>
      </c>
    </row>
    <row r="836" spans="1:47" x14ac:dyDescent="0.2">
      <c r="A836" s="33" t="s">
        <v>408</v>
      </c>
      <c r="B836" s="33" t="s">
        <v>409</v>
      </c>
      <c r="C836" s="33">
        <v>4</v>
      </c>
      <c r="D836" s="33">
        <v>1</v>
      </c>
      <c r="E836" s="33" t="s">
        <v>324</v>
      </c>
      <c r="F836" s="37">
        <v>43350</v>
      </c>
      <c r="G836" s="37" t="s">
        <v>4032</v>
      </c>
      <c r="H836" s="37" t="s">
        <v>4724</v>
      </c>
      <c r="I836" s="36">
        <v>6.25E-2</v>
      </c>
      <c r="J836" s="177">
        <v>1.0416666666666667E-3</v>
      </c>
      <c r="K836" s="39">
        <v>90</v>
      </c>
      <c r="L836" s="33" t="s">
        <v>398</v>
      </c>
      <c r="M836" s="33" t="s">
        <v>176</v>
      </c>
      <c r="N836" s="33" t="s">
        <v>410</v>
      </c>
      <c r="O836" s="33" t="s">
        <v>12</v>
      </c>
      <c r="P836" s="33">
        <v>1</v>
      </c>
      <c r="Q836" s="33"/>
      <c r="R836" s="33">
        <v>0</v>
      </c>
      <c r="S836" s="33"/>
      <c r="T836" t="s">
        <v>461</v>
      </c>
      <c r="U836" s="33" t="s">
        <v>461</v>
      </c>
      <c r="V836" s="33" t="s">
        <v>2063</v>
      </c>
      <c r="W836" s="33" t="s">
        <v>115</v>
      </c>
      <c r="X836" s="33" t="s">
        <v>115</v>
      </c>
      <c r="Y836" s="33" t="s">
        <v>115</v>
      </c>
      <c r="Z836" s="33" t="s">
        <v>115</v>
      </c>
      <c r="AA836" s="33" t="s">
        <v>115</v>
      </c>
      <c r="AB836" s="35" t="s">
        <v>115</v>
      </c>
      <c r="AC836" s="35"/>
      <c r="AD836" s="39">
        <v>0</v>
      </c>
      <c r="AE836" s="39">
        <v>0</v>
      </c>
      <c r="AF836" s="39">
        <v>0</v>
      </c>
      <c r="AG836" s="39">
        <v>0</v>
      </c>
      <c r="AH836" s="39">
        <v>12</v>
      </c>
      <c r="AI836" s="33">
        <v>0</v>
      </c>
      <c r="AJ836" s="33">
        <f t="shared" si="13"/>
        <v>12</v>
      </c>
      <c r="AK836" s="33"/>
      <c r="AL836" s="33"/>
      <c r="AM836" s="33"/>
      <c r="AN836" s="33"/>
      <c r="AO836" s="33"/>
      <c r="AP836" s="33"/>
      <c r="AQ836" s="34"/>
      <c r="AR836" s="33"/>
      <c r="AS836" s="33"/>
      <c r="AT836" s="33"/>
      <c r="AU836" s="33"/>
    </row>
    <row r="837" spans="1:47" x14ac:dyDescent="0.2">
      <c r="A837" t="s">
        <v>408</v>
      </c>
      <c r="B837" t="s">
        <v>409</v>
      </c>
      <c r="C837">
        <v>4</v>
      </c>
      <c r="D837">
        <v>1</v>
      </c>
      <c r="E837" t="s">
        <v>324</v>
      </c>
      <c r="F837" s="1">
        <v>43350</v>
      </c>
      <c r="G837" s="37" t="s">
        <v>4032</v>
      </c>
      <c r="H837" s="37" t="s">
        <v>4724</v>
      </c>
      <c r="I837" s="2">
        <v>6.25E-2</v>
      </c>
      <c r="J837" s="176">
        <v>1.0416666666666667E-3</v>
      </c>
      <c r="K837" s="6">
        <v>90</v>
      </c>
      <c r="L837" t="s">
        <v>398</v>
      </c>
      <c r="M837" t="s">
        <v>176</v>
      </c>
      <c r="N837" t="s">
        <v>410</v>
      </c>
      <c r="O837" t="s">
        <v>12</v>
      </c>
      <c r="P837">
        <v>1</v>
      </c>
      <c r="R837">
        <v>0</v>
      </c>
      <c r="T837" t="s">
        <v>461</v>
      </c>
      <c r="U837" t="s">
        <v>461</v>
      </c>
      <c r="V837" t="s">
        <v>2063</v>
      </c>
      <c r="W837" t="s">
        <v>115</v>
      </c>
      <c r="X837" s="33" t="s">
        <v>115</v>
      </c>
      <c r="Y837" s="33" t="s">
        <v>115</v>
      </c>
      <c r="Z837" s="33" t="s">
        <v>115</v>
      </c>
      <c r="AA837" t="s">
        <v>115</v>
      </c>
      <c r="AB837" s="19" t="s">
        <v>115</v>
      </c>
      <c r="AD837" s="6">
        <v>0</v>
      </c>
      <c r="AE837" s="6">
        <v>0</v>
      </c>
      <c r="AF837" s="6">
        <v>0</v>
      </c>
      <c r="AG837" s="6">
        <v>0</v>
      </c>
      <c r="AH837" s="6">
        <v>4</v>
      </c>
      <c r="AI837">
        <v>0</v>
      </c>
      <c r="AJ837">
        <f t="shared" si="13"/>
        <v>4</v>
      </c>
      <c r="AO837" s="33"/>
      <c r="AP837" s="33"/>
      <c r="AQ837" s="34"/>
      <c r="AR837" s="33"/>
      <c r="AS837" s="33"/>
      <c r="AT837" s="33"/>
      <c r="AU837" s="33"/>
    </row>
    <row r="838" spans="1:47" x14ac:dyDescent="0.2">
      <c r="A838" t="s">
        <v>663</v>
      </c>
      <c r="B838" t="s">
        <v>664</v>
      </c>
      <c r="C838" s="7">
        <v>1</v>
      </c>
      <c r="D838" s="7">
        <v>1</v>
      </c>
      <c r="E838" t="s">
        <v>3171</v>
      </c>
      <c r="F838" s="1">
        <v>43357</v>
      </c>
      <c r="G838" s="37" t="s">
        <v>4032</v>
      </c>
      <c r="H838" s="37" t="s">
        <v>4724</v>
      </c>
      <c r="I838" s="2">
        <v>1.4583333333333332E-2</v>
      </c>
      <c r="J838" s="176">
        <v>2.4305555555555552E-4</v>
      </c>
      <c r="K838" s="6">
        <v>21</v>
      </c>
      <c r="L838" t="s">
        <v>640</v>
      </c>
      <c r="M838" s="7" t="s">
        <v>548</v>
      </c>
      <c r="N838" s="7" t="s">
        <v>107</v>
      </c>
      <c r="O838" s="7" t="s">
        <v>23</v>
      </c>
      <c r="P838" s="7">
        <v>1</v>
      </c>
      <c r="Q838" s="7"/>
      <c r="R838">
        <v>0</v>
      </c>
      <c r="T838" t="s">
        <v>176</v>
      </c>
      <c r="U838" t="s">
        <v>176</v>
      </c>
      <c r="V838" s="7" t="s">
        <v>24</v>
      </c>
      <c r="W838" s="7" t="s">
        <v>115</v>
      </c>
      <c r="X838" s="33" t="s">
        <v>115</v>
      </c>
      <c r="Y838" s="33" t="s">
        <v>115</v>
      </c>
      <c r="Z838" s="33" t="s">
        <v>115</v>
      </c>
      <c r="AA838" t="s">
        <v>115</v>
      </c>
      <c r="AB838" s="20" t="s">
        <v>115</v>
      </c>
      <c r="AC838" s="20"/>
      <c r="AD838" s="6">
        <v>2</v>
      </c>
      <c r="AE838" s="6">
        <v>0</v>
      </c>
      <c r="AF838" s="6">
        <v>2</v>
      </c>
      <c r="AG838" s="6">
        <v>0</v>
      </c>
      <c r="AH838" s="6">
        <v>0</v>
      </c>
      <c r="AI838">
        <v>0</v>
      </c>
      <c r="AJ838">
        <f t="shared" si="13"/>
        <v>2</v>
      </c>
      <c r="AL838" t="s">
        <v>665</v>
      </c>
    </row>
    <row r="839" spans="1:47" x14ac:dyDescent="0.2">
      <c r="A839" t="s">
        <v>891</v>
      </c>
      <c r="B839" t="s">
        <v>4965</v>
      </c>
      <c r="C839">
        <v>6</v>
      </c>
      <c r="D839">
        <v>1</v>
      </c>
      <c r="E839" t="s">
        <v>2601</v>
      </c>
      <c r="F839" s="1">
        <v>43363</v>
      </c>
      <c r="G839" s="37" t="s">
        <v>4032</v>
      </c>
      <c r="H839" s="37" t="s">
        <v>4724</v>
      </c>
      <c r="I839" s="2">
        <v>2.6388888888888889E-2</v>
      </c>
      <c r="J839" s="176">
        <v>4.3981481481481481E-4</v>
      </c>
      <c r="K839" s="6">
        <v>38</v>
      </c>
      <c r="L839" t="s">
        <v>884</v>
      </c>
      <c r="M839" t="s">
        <v>177</v>
      </c>
      <c r="N839" s="7" t="s">
        <v>111</v>
      </c>
      <c r="O839" s="7" t="s">
        <v>23</v>
      </c>
      <c r="P839" s="7">
        <v>0</v>
      </c>
      <c r="Q839" s="7"/>
      <c r="R839" s="7">
        <v>1</v>
      </c>
      <c r="S839" s="7"/>
      <c r="T839" t="s">
        <v>176</v>
      </c>
      <c r="U839" t="s">
        <v>176</v>
      </c>
      <c r="V839" s="7" t="s">
        <v>24</v>
      </c>
      <c r="W839" s="7" t="s">
        <v>1035</v>
      </c>
      <c r="X839" s="44" t="s">
        <v>23</v>
      </c>
      <c r="Y839" s="7" t="s">
        <v>3997</v>
      </c>
      <c r="Z839" s="7" t="s">
        <v>4006</v>
      </c>
      <c r="AA839" s="7" t="s">
        <v>176</v>
      </c>
      <c r="AB839" s="20">
        <v>63.72569</v>
      </c>
      <c r="AC839" s="20">
        <v>148.95882</v>
      </c>
      <c r="AD839" s="6">
        <v>0</v>
      </c>
      <c r="AE839" s="6">
        <v>0</v>
      </c>
      <c r="AF839" s="6">
        <v>0</v>
      </c>
      <c r="AG839" s="6">
        <v>0</v>
      </c>
      <c r="AH839" s="6">
        <v>0</v>
      </c>
      <c r="AI839">
        <v>0</v>
      </c>
      <c r="AJ839">
        <f t="shared" si="13"/>
        <v>0</v>
      </c>
      <c r="AL839" t="s">
        <v>1087</v>
      </c>
    </row>
    <row r="840" spans="1:47" s="33" customFormat="1" hidden="1" x14ac:dyDescent="0.2">
      <c r="A840" t="s">
        <v>270</v>
      </c>
      <c r="B840"/>
      <c r="C840"/>
      <c r="D840"/>
      <c r="E840" t="s">
        <v>213</v>
      </c>
      <c r="F840" s="1">
        <v>43346</v>
      </c>
      <c r="G840" s="37" t="s">
        <v>4032</v>
      </c>
      <c r="H840" s="37" t="s">
        <v>4724</v>
      </c>
      <c r="I840" t="s">
        <v>115</v>
      </c>
      <c r="J840" s="176"/>
      <c r="K840" s="6">
        <v>0</v>
      </c>
      <c r="L840"/>
      <c r="M840" t="s">
        <v>24</v>
      </c>
      <c r="N840" t="s">
        <v>111</v>
      </c>
      <c r="O840" t="s">
        <v>23</v>
      </c>
      <c r="P840">
        <v>0</v>
      </c>
      <c r="Q840"/>
      <c r="R840">
        <v>1</v>
      </c>
      <c r="S840"/>
      <c r="T840" t="s">
        <v>176</v>
      </c>
      <c r="U840" t="s">
        <v>176</v>
      </c>
      <c r="V840" t="s">
        <v>24</v>
      </c>
      <c r="W840" t="s">
        <v>23</v>
      </c>
      <c r="X840" s="33" t="s">
        <v>23</v>
      </c>
      <c r="Y840" s="33" t="s">
        <v>24</v>
      </c>
      <c r="Z840" s="33" t="s">
        <v>176</v>
      </c>
      <c r="AA840" t="s">
        <v>24</v>
      </c>
      <c r="AB840" s="19">
        <v>63.72287</v>
      </c>
      <c r="AC840" s="19">
        <v>148.98138</v>
      </c>
      <c r="AD840">
        <v>0</v>
      </c>
      <c r="AE840">
        <v>0</v>
      </c>
      <c r="AF840">
        <v>0</v>
      </c>
      <c r="AG840">
        <v>0</v>
      </c>
      <c r="AH840">
        <v>0</v>
      </c>
      <c r="AI840">
        <v>0</v>
      </c>
      <c r="AJ840">
        <f t="shared" si="13"/>
        <v>0</v>
      </c>
      <c r="AK840"/>
      <c r="AL840" t="s">
        <v>4897</v>
      </c>
      <c r="AM840">
        <v>0</v>
      </c>
      <c r="AN840">
        <v>0</v>
      </c>
      <c r="AQ840" s="34" t="s">
        <v>3942</v>
      </c>
    </row>
    <row r="841" spans="1:47" s="33" customFormat="1" hidden="1" x14ac:dyDescent="0.2">
      <c r="A841" t="s">
        <v>270</v>
      </c>
      <c r="B841"/>
      <c r="C841"/>
      <c r="D841"/>
      <c r="E841" t="s">
        <v>2601</v>
      </c>
      <c r="F841" s="1">
        <v>43358</v>
      </c>
      <c r="G841" s="37" t="s">
        <v>4032</v>
      </c>
      <c r="H841" s="37" t="s">
        <v>4724</v>
      </c>
      <c r="I841" s="2"/>
      <c r="J841" s="176"/>
      <c r="K841" s="6">
        <v>0</v>
      </c>
      <c r="L841" t="s">
        <v>640</v>
      </c>
      <c r="M841" s="7" t="s">
        <v>24</v>
      </c>
      <c r="N841" t="s">
        <v>111</v>
      </c>
      <c r="O841" t="s">
        <v>23</v>
      </c>
      <c r="P841">
        <v>0</v>
      </c>
      <c r="Q841"/>
      <c r="R841" s="7">
        <v>1</v>
      </c>
      <c r="S841" s="7"/>
      <c r="T841" t="s">
        <v>461</v>
      </c>
      <c r="U841" t="s">
        <v>2125</v>
      </c>
      <c r="V841" s="7" t="s">
        <v>115</v>
      </c>
      <c r="W841" s="7" t="s">
        <v>23</v>
      </c>
      <c r="X841" s="44" t="s">
        <v>23</v>
      </c>
      <c r="Y841" s="44" t="s">
        <v>24</v>
      </c>
      <c r="Z841" s="44" t="s">
        <v>24</v>
      </c>
      <c r="AA841" s="7">
        <v>28</v>
      </c>
      <c r="AB841" s="20">
        <v>63.725029999999997</v>
      </c>
      <c r="AC841" s="20">
        <v>148.95626999999999</v>
      </c>
      <c r="AD841" s="6">
        <v>0</v>
      </c>
      <c r="AE841" s="6">
        <v>0</v>
      </c>
      <c r="AF841" s="6">
        <v>0</v>
      </c>
      <c r="AG841" s="6">
        <v>0</v>
      </c>
      <c r="AH841" s="6">
        <v>0</v>
      </c>
      <c r="AI841">
        <v>0</v>
      </c>
      <c r="AJ841">
        <f t="shared" si="13"/>
        <v>0</v>
      </c>
      <c r="AK841" s="9"/>
      <c r="AL841" t="s">
        <v>4951</v>
      </c>
      <c r="AM841"/>
      <c r="AN841"/>
      <c r="AO841"/>
      <c r="AP841"/>
      <c r="AQ841"/>
      <c r="AR841"/>
      <c r="AS841"/>
      <c r="AT841"/>
      <c r="AU841"/>
    </row>
    <row r="842" spans="1:47" s="40" customFormat="1" hidden="1" x14ac:dyDescent="0.2">
      <c r="A842" t="s">
        <v>270</v>
      </c>
      <c r="B842"/>
      <c r="C842"/>
      <c r="D842"/>
      <c r="E842" t="s">
        <v>324</v>
      </c>
      <c r="F842" s="1">
        <v>43361</v>
      </c>
      <c r="G842" s="37" t="s">
        <v>4032</v>
      </c>
      <c r="H842" s="37" t="s">
        <v>4724</v>
      </c>
      <c r="I842"/>
      <c r="J842" s="176"/>
      <c r="K842" s="6">
        <v>0</v>
      </c>
      <c r="L842" t="s">
        <v>398</v>
      </c>
      <c r="M842" t="s">
        <v>325</v>
      </c>
      <c r="N842" t="s">
        <v>111</v>
      </c>
      <c r="O842" t="s">
        <v>12</v>
      </c>
      <c r="P842">
        <v>0</v>
      </c>
      <c r="Q842"/>
      <c r="R842">
        <v>1</v>
      </c>
      <c r="S842"/>
      <c r="T842" t="s">
        <v>176</v>
      </c>
      <c r="U842" t="s">
        <v>176</v>
      </c>
      <c r="V842" t="s">
        <v>24</v>
      </c>
      <c r="W842" t="s">
        <v>3961</v>
      </c>
      <c r="X842" s="33" t="s">
        <v>12</v>
      </c>
      <c r="Y842" s="33" t="s">
        <v>4004</v>
      </c>
      <c r="Z842" s="33" t="s">
        <v>4005</v>
      </c>
      <c r="AA842" s="7" t="s">
        <v>176</v>
      </c>
      <c r="AB842" s="19">
        <v>63.724319999999999</v>
      </c>
      <c r="AC842" s="19">
        <v>148.88916</v>
      </c>
      <c r="AD842">
        <v>0</v>
      </c>
      <c r="AE842">
        <v>0</v>
      </c>
      <c r="AF842">
        <v>0</v>
      </c>
      <c r="AG842">
        <v>0</v>
      </c>
      <c r="AH842">
        <v>0</v>
      </c>
      <c r="AI842">
        <v>0</v>
      </c>
      <c r="AJ842">
        <f t="shared" si="13"/>
        <v>0</v>
      </c>
      <c r="AK842"/>
      <c r="AL842" t="s">
        <v>820</v>
      </c>
      <c r="AM842"/>
      <c r="AN842"/>
      <c r="AO842"/>
      <c r="AP842"/>
      <c r="AQ842"/>
      <c r="AR842"/>
      <c r="AS842"/>
      <c r="AT842"/>
      <c r="AU842"/>
    </row>
    <row r="843" spans="1:47" x14ac:dyDescent="0.2">
      <c r="A843" t="s">
        <v>270</v>
      </c>
      <c r="D843" s="7">
        <v>1</v>
      </c>
      <c r="E843" t="s">
        <v>2601</v>
      </c>
      <c r="F843" s="1">
        <v>43363</v>
      </c>
      <c r="G843" s="37" t="s">
        <v>4032</v>
      </c>
      <c r="H843" s="37" t="s">
        <v>4724</v>
      </c>
      <c r="K843" s="6">
        <v>0</v>
      </c>
      <c r="L843" t="s">
        <v>884</v>
      </c>
      <c r="M843" s="7" t="s">
        <v>173</v>
      </c>
      <c r="N843" s="7" t="s">
        <v>111</v>
      </c>
      <c r="O843" s="7" t="s">
        <v>23</v>
      </c>
      <c r="P843" s="7">
        <v>0</v>
      </c>
      <c r="Q843" s="7"/>
      <c r="R843" s="7">
        <v>1</v>
      </c>
      <c r="S843" s="7" t="s">
        <v>2066</v>
      </c>
      <c r="T843" t="s">
        <v>176</v>
      </c>
      <c r="U843" t="s">
        <v>176</v>
      </c>
      <c r="V843" s="7" t="s">
        <v>122</v>
      </c>
      <c r="W843" s="7" t="s">
        <v>4018</v>
      </c>
      <c r="X843" s="44" t="s">
        <v>23</v>
      </c>
      <c r="Y843" s="44" t="s">
        <v>4004</v>
      </c>
      <c r="Z843" s="44" t="s">
        <v>4005</v>
      </c>
      <c r="AA843" s="7" t="s">
        <v>176</v>
      </c>
      <c r="AB843" s="20">
        <v>63.726179999999999</v>
      </c>
      <c r="AC843" s="20">
        <v>148.96117000000001</v>
      </c>
      <c r="AD843" s="6">
        <v>0</v>
      </c>
      <c r="AE843" s="6">
        <v>0</v>
      </c>
      <c r="AF843" s="6">
        <v>0</v>
      </c>
      <c r="AG843" s="6">
        <v>0</v>
      </c>
      <c r="AH843" s="6">
        <v>0</v>
      </c>
      <c r="AI843">
        <v>0</v>
      </c>
      <c r="AJ843">
        <f t="shared" si="13"/>
        <v>0</v>
      </c>
      <c r="AL843" t="s">
        <v>887</v>
      </c>
    </row>
    <row r="844" spans="1:47" hidden="1" x14ac:dyDescent="0.2">
      <c r="A844" t="s">
        <v>270</v>
      </c>
      <c r="D844" s="7">
        <v>2</v>
      </c>
      <c r="E844" t="s">
        <v>2601</v>
      </c>
      <c r="F844" s="1">
        <v>43363</v>
      </c>
      <c r="G844" s="37" t="s">
        <v>4032</v>
      </c>
      <c r="H844" s="37" t="s">
        <v>4724</v>
      </c>
      <c r="K844" s="6">
        <v>0</v>
      </c>
      <c r="L844" t="s">
        <v>884</v>
      </c>
      <c r="M844" s="7" t="s">
        <v>173</v>
      </c>
      <c r="N844" s="7" t="s">
        <v>111</v>
      </c>
      <c r="O844" s="7" t="s">
        <v>23</v>
      </c>
      <c r="P844" s="7">
        <v>0</v>
      </c>
      <c r="Q844" s="7"/>
      <c r="R844" s="7">
        <v>1</v>
      </c>
      <c r="S844" s="7" t="s">
        <v>2066</v>
      </c>
      <c r="T844" t="s">
        <v>176</v>
      </c>
      <c r="U844" t="s">
        <v>176</v>
      </c>
      <c r="V844" s="7" t="s">
        <v>122</v>
      </c>
      <c r="W844" s="7" t="s">
        <v>4019</v>
      </c>
      <c r="X844" s="44" t="s">
        <v>23</v>
      </c>
      <c r="Y844" s="44" t="s">
        <v>3997</v>
      </c>
      <c r="Z844" s="44" t="s">
        <v>4006</v>
      </c>
      <c r="AA844" s="7" t="s">
        <v>176</v>
      </c>
      <c r="AB844" s="20">
        <v>63.726179999999999</v>
      </c>
      <c r="AC844" s="20">
        <v>148.96117000000001</v>
      </c>
      <c r="AD844" s="6">
        <v>0</v>
      </c>
      <c r="AE844" s="6">
        <v>0</v>
      </c>
      <c r="AF844" s="6">
        <v>0</v>
      </c>
      <c r="AG844" s="6">
        <v>0</v>
      </c>
      <c r="AH844" s="6">
        <v>0</v>
      </c>
      <c r="AI844">
        <v>0</v>
      </c>
      <c r="AJ844">
        <f t="shared" si="13"/>
        <v>0</v>
      </c>
      <c r="AL844" t="s">
        <v>887</v>
      </c>
    </row>
    <row r="845" spans="1:47" hidden="1" x14ac:dyDescent="0.2">
      <c r="A845" t="s">
        <v>270</v>
      </c>
      <c r="E845" t="s">
        <v>2601</v>
      </c>
      <c r="F845" s="1">
        <v>43366</v>
      </c>
      <c r="G845" s="37" t="s">
        <v>4032</v>
      </c>
      <c r="H845" s="37" t="s">
        <v>4724</v>
      </c>
      <c r="K845" s="6">
        <v>0</v>
      </c>
      <c r="L845" t="s">
        <v>398</v>
      </c>
      <c r="M845" t="s">
        <v>24</v>
      </c>
      <c r="N845" s="7" t="s">
        <v>111</v>
      </c>
      <c r="O845" s="7" t="s">
        <v>23</v>
      </c>
      <c r="P845" s="7">
        <v>1</v>
      </c>
      <c r="Q845" s="7"/>
      <c r="R845">
        <v>1</v>
      </c>
      <c r="T845" t="s">
        <v>14</v>
      </c>
      <c r="U845" t="s">
        <v>14</v>
      </c>
      <c r="V845" t="s">
        <v>122</v>
      </c>
      <c r="W845" s="7" t="s">
        <v>939</v>
      </c>
      <c r="X845" s="44" t="s">
        <v>23</v>
      </c>
      <c r="Y845" s="7" t="s">
        <v>3999</v>
      </c>
      <c r="Z845" s="7" t="s">
        <v>4005</v>
      </c>
      <c r="AA845" s="7">
        <v>5</v>
      </c>
      <c r="AB845" s="20">
        <v>63.725430000000003</v>
      </c>
      <c r="AC845" s="20">
        <v>148.9597</v>
      </c>
      <c r="AD845" s="6">
        <v>0</v>
      </c>
      <c r="AE845" s="6">
        <v>0</v>
      </c>
      <c r="AF845" s="6">
        <v>0</v>
      </c>
      <c r="AG845" s="6">
        <v>0</v>
      </c>
      <c r="AH845" s="6">
        <v>0</v>
      </c>
      <c r="AI845">
        <v>0</v>
      </c>
      <c r="AJ845">
        <f t="shared" si="13"/>
        <v>0</v>
      </c>
      <c r="AL845" t="s">
        <v>941</v>
      </c>
    </row>
    <row r="846" spans="1:47" s="33" customFormat="1" hidden="1" x14ac:dyDescent="0.2">
      <c r="A846" t="s">
        <v>270</v>
      </c>
      <c r="B846"/>
      <c r="C846"/>
      <c r="D846"/>
      <c r="E846" t="s">
        <v>2462</v>
      </c>
      <c r="F846" s="1">
        <v>43368</v>
      </c>
      <c r="G846" s="37" t="s">
        <v>4032</v>
      </c>
      <c r="H846" s="37" t="s">
        <v>4724</v>
      </c>
      <c r="I846"/>
      <c r="J846" s="176"/>
      <c r="K846" s="6">
        <v>0</v>
      </c>
      <c r="L846" t="s">
        <v>398</v>
      </c>
      <c r="M846" t="s">
        <v>64</v>
      </c>
      <c r="N846" s="7" t="s">
        <v>111</v>
      </c>
      <c r="O846" s="7" t="s">
        <v>115</v>
      </c>
      <c r="P846" s="7">
        <v>0</v>
      </c>
      <c r="Q846" s="7"/>
      <c r="R846">
        <v>1</v>
      </c>
      <c r="S846"/>
      <c r="T846" t="s">
        <v>461</v>
      </c>
      <c r="U846" t="s">
        <v>2125</v>
      </c>
      <c r="V846" t="s">
        <v>115</v>
      </c>
      <c r="W846" s="7" t="s">
        <v>645</v>
      </c>
      <c r="X846" s="33" t="s">
        <v>23</v>
      </c>
      <c r="Y846" s="33" t="s">
        <v>3999</v>
      </c>
      <c r="Z846" s="33" t="s">
        <v>4006</v>
      </c>
      <c r="AA846">
        <v>18</v>
      </c>
      <c r="AB846" s="20">
        <v>63.732320000000001</v>
      </c>
      <c r="AC846" s="20">
        <v>148.89685</v>
      </c>
      <c r="AD846" s="6">
        <v>0</v>
      </c>
      <c r="AE846" s="6">
        <v>0</v>
      </c>
      <c r="AF846" s="6">
        <v>0</v>
      </c>
      <c r="AG846" s="6">
        <v>0</v>
      </c>
      <c r="AH846" s="6">
        <v>0</v>
      </c>
      <c r="AI846">
        <v>0</v>
      </c>
      <c r="AJ846">
        <f t="shared" si="13"/>
        <v>0</v>
      </c>
      <c r="AK846"/>
      <c r="AL846" t="s">
        <v>4973</v>
      </c>
      <c r="AM846"/>
      <c r="AN846"/>
      <c r="AQ846" s="34"/>
    </row>
    <row r="847" spans="1:47" hidden="1" x14ac:dyDescent="0.2">
      <c r="A847" s="40" t="s">
        <v>270</v>
      </c>
      <c r="B847" s="40"/>
      <c r="C847" s="40"/>
      <c r="D847" s="40"/>
      <c r="E847" s="40" t="s">
        <v>324</v>
      </c>
      <c r="F847" s="43">
        <v>43370</v>
      </c>
      <c r="G847" s="37" t="s">
        <v>4032</v>
      </c>
      <c r="H847" s="37" t="s">
        <v>4724</v>
      </c>
      <c r="I847" s="40"/>
      <c r="J847" s="180"/>
      <c r="K847" s="6">
        <v>0</v>
      </c>
      <c r="L847" s="40" t="s">
        <v>397</v>
      </c>
      <c r="M847" s="40" t="s">
        <v>325</v>
      </c>
      <c r="N847" s="40" t="s">
        <v>187</v>
      </c>
      <c r="O847" s="40" t="s">
        <v>23</v>
      </c>
      <c r="P847" s="40">
        <v>1</v>
      </c>
      <c r="Q847" s="40"/>
      <c r="R847" s="40">
        <v>1</v>
      </c>
      <c r="S847" s="40"/>
      <c r="T847" t="s">
        <v>176</v>
      </c>
      <c r="U847" s="40" t="s">
        <v>176</v>
      </c>
      <c r="V847" s="40" t="s">
        <v>122</v>
      </c>
      <c r="W847" s="7" t="s">
        <v>1035</v>
      </c>
      <c r="X847" s="33" t="s">
        <v>23</v>
      </c>
      <c r="Y847" s="33" t="s">
        <v>3997</v>
      </c>
      <c r="Z847" s="33" t="s">
        <v>4006</v>
      </c>
      <c r="AA847" s="40">
        <v>3</v>
      </c>
      <c r="AB847" s="42">
        <v>63.724739999999997</v>
      </c>
      <c r="AC847" s="42">
        <v>148.88999999999999</v>
      </c>
      <c r="AD847" s="41">
        <v>0</v>
      </c>
      <c r="AE847" s="41">
        <v>0</v>
      </c>
      <c r="AF847" s="41">
        <v>0</v>
      </c>
      <c r="AG847" s="41">
        <v>0</v>
      </c>
      <c r="AH847" s="41">
        <v>2</v>
      </c>
      <c r="AI847" s="40">
        <v>0</v>
      </c>
      <c r="AJ847" s="40">
        <f t="shared" si="13"/>
        <v>2</v>
      </c>
      <c r="AK847" s="40"/>
      <c r="AL847" s="40" t="s">
        <v>4975</v>
      </c>
      <c r="AM847" s="40"/>
      <c r="AN847" s="40"/>
    </row>
    <row r="848" spans="1:47" x14ac:dyDescent="0.2">
      <c r="A848" t="s">
        <v>270</v>
      </c>
      <c r="D848">
        <v>1</v>
      </c>
      <c r="E848" s="33" t="s">
        <v>3171</v>
      </c>
      <c r="F848" s="1">
        <v>43382</v>
      </c>
      <c r="G848" s="37" t="s">
        <v>4033</v>
      </c>
      <c r="H848" s="37" t="s">
        <v>4724</v>
      </c>
      <c r="K848" s="6">
        <v>0</v>
      </c>
      <c r="L848" t="s">
        <v>1278</v>
      </c>
      <c r="M848" s="7" t="s">
        <v>149</v>
      </c>
      <c r="N848" s="7" t="s">
        <v>111</v>
      </c>
      <c r="O848" s="7" t="s">
        <v>12</v>
      </c>
      <c r="P848" s="7">
        <v>0</v>
      </c>
      <c r="Q848" s="7"/>
      <c r="R848" s="7">
        <v>1</v>
      </c>
      <c r="S848" s="7"/>
      <c r="T848" t="s">
        <v>176</v>
      </c>
      <c r="U848" t="s">
        <v>176</v>
      </c>
      <c r="V848" s="7" t="s">
        <v>24</v>
      </c>
      <c r="W848" s="7" t="s">
        <v>24</v>
      </c>
      <c r="X848" s="44" t="s">
        <v>176</v>
      </c>
      <c r="Y848" s="44" t="s">
        <v>176</v>
      </c>
      <c r="Z848" s="44" t="s">
        <v>176</v>
      </c>
      <c r="AA848" s="7" t="s">
        <v>24</v>
      </c>
      <c r="AB848" s="20">
        <v>63.723750000000003</v>
      </c>
      <c r="AC848" s="20">
        <v>148.95131000000001</v>
      </c>
      <c r="AD848" s="6">
        <v>0</v>
      </c>
      <c r="AE848" s="6">
        <v>0</v>
      </c>
      <c r="AF848" s="6">
        <v>0</v>
      </c>
      <c r="AG848" s="6">
        <v>0</v>
      </c>
      <c r="AH848" s="6">
        <v>0</v>
      </c>
      <c r="AI848">
        <v>0</v>
      </c>
      <c r="AJ848">
        <f t="shared" si="13"/>
        <v>0</v>
      </c>
      <c r="AL848" t="s">
        <v>4999</v>
      </c>
    </row>
    <row r="849" spans="1:47" hidden="1" x14ac:dyDescent="0.2">
      <c r="A849" t="s">
        <v>348</v>
      </c>
      <c r="E849" t="s">
        <v>2487</v>
      </c>
      <c r="F849" s="1">
        <v>43348</v>
      </c>
      <c r="G849" s="37" t="s">
        <v>4032</v>
      </c>
      <c r="H849" s="37" t="s">
        <v>4724</v>
      </c>
      <c r="K849" s="6">
        <v>0</v>
      </c>
      <c r="L849" t="s">
        <v>397</v>
      </c>
      <c r="M849" t="s">
        <v>24</v>
      </c>
      <c r="N849" t="s">
        <v>159</v>
      </c>
      <c r="O849" t="s">
        <v>23</v>
      </c>
      <c r="P849">
        <v>0</v>
      </c>
      <c r="R849">
        <v>1</v>
      </c>
      <c r="T849" t="s">
        <v>14</v>
      </c>
      <c r="U849" t="s">
        <v>2128</v>
      </c>
      <c r="V849" t="s">
        <v>122</v>
      </c>
      <c r="W849" t="s">
        <v>134</v>
      </c>
      <c r="X849" s="33" t="s">
        <v>23</v>
      </c>
      <c r="Y849" s="33" t="s">
        <v>24</v>
      </c>
      <c r="Z849" s="33" t="s">
        <v>4006</v>
      </c>
      <c r="AA849" t="s">
        <v>176</v>
      </c>
      <c r="AB849" s="19">
        <v>63.72148</v>
      </c>
      <c r="AC849" s="19">
        <v>148.98616000000001</v>
      </c>
      <c r="AD849">
        <v>0</v>
      </c>
      <c r="AE849">
        <v>0</v>
      </c>
      <c r="AF849">
        <v>0</v>
      </c>
      <c r="AG849">
        <v>0</v>
      </c>
      <c r="AH849">
        <v>0</v>
      </c>
      <c r="AI849">
        <v>0</v>
      </c>
      <c r="AJ849">
        <f t="shared" si="13"/>
        <v>0</v>
      </c>
      <c r="AL849" t="s">
        <v>351</v>
      </c>
    </row>
    <row r="850" spans="1:47" s="30" customFormat="1" hidden="1" x14ac:dyDescent="0.2">
      <c r="A850" t="s">
        <v>348</v>
      </c>
      <c r="B850"/>
      <c r="C850"/>
      <c r="D850"/>
      <c r="E850" t="s">
        <v>2487</v>
      </c>
      <c r="F850" s="1">
        <v>43348</v>
      </c>
      <c r="G850" s="37" t="s">
        <v>4032</v>
      </c>
      <c r="H850" s="37" t="s">
        <v>4724</v>
      </c>
      <c r="I850"/>
      <c r="J850" s="176"/>
      <c r="K850" s="6">
        <v>0</v>
      </c>
      <c r="L850" t="s">
        <v>397</v>
      </c>
      <c r="M850" t="s">
        <v>344</v>
      </c>
      <c r="N850" t="s">
        <v>111</v>
      </c>
      <c r="O850" t="s">
        <v>23</v>
      </c>
      <c r="P850">
        <v>0</v>
      </c>
      <c r="Q850"/>
      <c r="R850">
        <v>1</v>
      </c>
      <c r="S850"/>
      <c r="T850" t="s">
        <v>176</v>
      </c>
      <c r="U850" t="s">
        <v>176</v>
      </c>
      <c r="V850" t="s">
        <v>176</v>
      </c>
      <c r="W850" t="s">
        <v>134</v>
      </c>
      <c r="X850" s="44" t="s">
        <v>23</v>
      </c>
      <c r="Y850" s="44" t="s">
        <v>24</v>
      </c>
      <c r="Z850" s="44" t="s">
        <v>4006</v>
      </c>
      <c r="AA850" t="s">
        <v>176</v>
      </c>
      <c r="AB850" s="19">
        <v>63.721179999999997</v>
      </c>
      <c r="AC850" s="19">
        <v>148.98785000000001</v>
      </c>
      <c r="AD850">
        <v>0</v>
      </c>
      <c r="AE850">
        <v>0</v>
      </c>
      <c r="AF850">
        <v>0</v>
      </c>
      <c r="AG850">
        <v>0</v>
      </c>
      <c r="AH850">
        <v>0</v>
      </c>
      <c r="AI850">
        <v>0</v>
      </c>
      <c r="AJ850">
        <f t="shared" si="13"/>
        <v>0</v>
      </c>
      <c r="AK850"/>
      <c r="AL850" t="s">
        <v>349</v>
      </c>
      <c r="AM850"/>
      <c r="AN850"/>
      <c r="AO850"/>
      <c r="AP850"/>
      <c r="AQ850"/>
      <c r="AR850"/>
      <c r="AS850"/>
      <c r="AT850"/>
      <c r="AU850"/>
    </row>
    <row r="851" spans="1:47" hidden="1" x14ac:dyDescent="0.2">
      <c r="A851" t="s">
        <v>348</v>
      </c>
      <c r="E851" t="s">
        <v>2487</v>
      </c>
      <c r="F851" s="1">
        <v>43362</v>
      </c>
      <c r="G851" s="37" t="s">
        <v>4032</v>
      </c>
      <c r="H851" s="37" t="s">
        <v>4724</v>
      </c>
      <c r="K851" s="6">
        <v>0</v>
      </c>
      <c r="M851" s="7" t="s">
        <v>2498</v>
      </c>
      <c r="N851" s="7" t="s">
        <v>111</v>
      </c>
      <c r="O851" s="7" t="s">
        <v>23</v>
      </c>
      <c r="P851" s="7">
        <v>0</v>
      </c>
      <c r="Q851" s="7"/>
      <c r="R851" s="7">
        <v>1</v>
      </c>
      <c r="S851" s="7"/>
      <c r="T851" t="s">
        <v>176</v>
      </c>
      <c r="U851" t="s">
        <v>176</v>
      </c>
      <c r="V851" s="7" t="s">
        <v>24</v>
      </c>
      <c r="W851" s="7" t="s">
        <v>3963</v>
      </c>
      <c r="X851" s="33" t="s">
        <v>23</v>
      </c>
      <c r="Y851" s="33" t="s">
        <v>3997</v>
      </c>
      <c r="Z851" s="33" t="s">
        <v>4007</v>
      </c>
      <c r="AA851" s="7" t="s">
        <v>176</v>
      </c>
      <c r="AB851" s="20">
        <v>63.723179999999999</v>
      </c>
      <c r="AC851" s="20">
        <v>148.98204000000001</v>
      </c>
      <c r="AD851" s="6">
        <v>0</v>
      </c>
      <c r="AE851" s="6">
        <v>0</v>
      </c>
      <c r="AF851" s="6">
        <v>0</v>
      </c>
      <c r="AG851" s="6">
        <v>0</v>
      </c>
      <c r="AH851" s="6">
        <v>0</v>
      </c>
      <c r="AI851">
        <v>0</v>
      </c>
      <c r="AJ851">
        <f t="shared" si="13"/>
        <v>0</v>
      </c>
      <c r="AL851" t="s">
        <v>4957</v>
      </c>
    </row>
    <row r="852" spans="1:47" hidden="1" x14ac:dyDescent="0.2">
      <c r="H852" s="37"/>
      <c r="AB852"/>
      <c r="AJ852" s="9">
        <f t="shared" si="13"/>
        <v>0</v>
      </c>
    </row>
    <row r="853" spans="1:47" hidden="1" x14ac:dyDescent="0.2">
      <c r="H853" s="37"/>
      <c r="AB853"/>
      <c r="AJ853" s="9">
        <f t="shared" si="13"/>
        <v>0</v>
      </c>
    </row>
    <row r="854" spans="1:47" hidden="1" x14ac:dyDescent="0.2">
      <c r="H854" s="37"/>
      <c r="AB854"/>
      <c r="AJ854" s="9">
        <f t="shared" si="13"/>
        <v>0</v>
      </c>
    </row>
    <row r="855" spans="1:47" hidden="1" x14ac:dyDescent="0.2">
      <c r="H855" s="37"/>
      <c r="AB855"/>
      <c r="AJ855" s="9">
        <f t="shared" si="13"/>
        <v>0</v>
      </c>
    </row>
    <row r="856" spans="1:47" hidden="1" x14ac:dyDescent="0.2">
      <c r="H856" s="37"/>
      <c r="AB856"/>
      <c r="AJ856" s="9">
        <f t="shared" si="13"/>
        <v>0</v>
      </c>
    </row>
    <row r="857" spans="1:47" hidden="1" x14ac:dyDescent="0.2">
      <c r="H857" s="37"/>
      <c r="AB857"/>
      <c r="AJ857" s="9">
        <f t="shared" si="13"/>
        <v>0</v>
      </c>
    </row>
    <row r="858" spans="1:47" hidden="1" x14ac:dyDescent="0.2">
      <c r="H858" s="37"/>
      <c r="AB858"/>
      <c r="AJ858" s="9">
        <f t="shared" si="13"/>
        <v>0</v>
      </c>
    </row>
    <row r="859" spans="1:47" hidden="1" x14ac:dyDescent="0.2">
      <c r="H859" s="37"/>
      <c r="AB859"/>
      <c r="AJ859" s="9">
        <f t="shared" si="13"/>
        <v>0</v>
      </c>
    </row>
    <row r="860" spans="1:47" hidden="1" x14ac:dyDescent="0.2">
      <c r="H860" s="37"/>
      <c r="AB860"/>
      <c r="AJ860" s="9">
        <f t="shared" si="13"/>
        <v>0</v>
      </c>
    </row>
    <row r="861" spans="1:47" hidden="1" x14ac:dyDescent="0.2">
      <c r="H861" s="37"/>
      <c r="AB861"/>
      <c r="AJ861" s="9">
        <f t="shared" si="13"/>
        <v>0</v>
      </c>
    </row>
    <row r="862" spans="1:47" hidden="1" x14ac:dyDescent="0.2">
      <c r="H862" s="37"/>
      <c r="AB862"/>
      <c r="AJ862" s="9">
        <f t="shared" si="13"/>
        <v>0</v>
      </c>
    </row>
    <row r="863" spans="1:47" hidden="1" x14ac:dyDescent="0.2">
      <c r="H863" s="37"/>
      <c r="AB863"/>
      <c r="AJ863" s="9">
        <f t="shared" si="13"/>
        <v>0</v>
      </c>
    </row>
    <row r="864" spans="1:47" hidden="1" x14ac:dyDescent="0.2">
      <c r="H864" s="37"/>
      <c r="AB864"/>
      <c r="AJ864" s="9">
        <f t="shared" si="13"/>
        <v>0</v>
      </c>
    </row>
    <row r="865" spans="8:36" hidden="1" x14ac:dyDescent="0.2">
      <c r="H865" s="37"/>
      <c r="AB865"/>
      <c r="AJ865" s="9">
        <f t="shared" si="13"/>
        <v>0</v>
      </c>
    </row>
    <row r="866" spans="8:36" hidden="1" x14ac:dyDescent="0.2">
      <c r="H866" s="37"/>
      <c r="AB866"/>
      <c r="AJ866" s="9">
        <f t="shared" si="13"/>
        <v>0</v>
      </c>
    </row>
    <row r="867" spans="8:36" hidden="1" x14ac:dyDescent="0.2">
      <c r="H867" s="37"/>
      <c r="AB867"/>
      <c r="AJ867" s="9">
        <f t="shared" si="13"/>
        <v>0</v>
      </c>
    </row>
    <row r="868" spans="8:36" hidden="1" x14ac:dyDescent="0.2">
      <c r="H868" s="37"/>
      <c r="AB868"/>
      <c r="AJ868" s="9">
        <f t="shared" si="13"/>
        <v>0</v>
      </c>
    </row>
    <row r="869" spans="8:36" hidden="1" x14ac:dyDescent="0.2">
      <c r="H869" s="37"/>
      <c r="AB869"/>
      <c r="AJ869" s="9">
        <f t="shared" si="13"/>
        <v>0</v>
      </c>
    </row>
  </sheetData>
  <autoFilter ref="A1:AU869" xr:uid="{32EE468A-FB1C-FB4C-805C-90CD5336A543}">
    <filterColumn colId="3">
      <filters>
        <filter val="1"/>
      </filters>
    </filterColumn>
  </autoFilter>
  <sortState xmlns:xlrd2="http://schemas.microsoft.com/office/spreadsheetml/2017/richdata2" ref="A2:AN869">
    <sortCondition ref="A2:A869"/>
  </sortState>
  <pageMargins left="0.75" right="0.75" top="1" bottom="1" header="0.5" footer="0.5"/>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867"/>
  <sheetViews>
    <sheetView topLeftCell="A173" workbookViewId="0">
      <selection activeCell="AC261" sqref="AC261"/>
    </sheetView>
  </sheetViews>
  <sheetFormatPr baseColWidth="10" defaultRowHeight="16" x14ac:dyDescent="0.2"/>
  <cols>
    <col min="2" max="4" width="13.33203125" customWidth="1"/>
    <col min="5" max="11" width="10.83203125" customWidth="1"/>
    <col min="12" max="12" width="18.6640625" customWidth="1"/>
    <col min="13" max="14" width="21.6640625" customWidth="1"/>
    <col min="15" max="15" width="15.33203125" customWidth="1"/>
    <col min="16" max="16" width="16.83203125" customWidth="1"/>
    <col min="17" max="18" width="29.83203125" customWidth="1"/>
    <col min="19" max="19" width="17" style="19" customWidth="1"/>
    <col min="20" max="20" width="12.6640625" style="19" customWidth="1"/>
    <col min="29" max="29" width="28.1640625" customWidth="1"/>
  </cols>
  <sheetData>
    <row r="1" spans="1:31" x14ac:dyDescent="0.2">
      <c r="A1" t="s">
        <v>25</v>
      </c>
      <c r="B1" t="s">
        <v>0</v>
      </c>
      <c r="C1" t="s">
        <v>2033</v>
      </c>
      <c r="D1" t="s">
        <v>2034</v>
      </c>
      <c r="E1" t="s">
        <v>1</v>
      </c>
      <c r="F1" t="s">
        <v>2</v>
      </c>
      <c r="G1" t="s">
        <v>4</v>
      </c>
      <c r="H1" t="s">
        <v>3</v>
      </c>
      <c r="I1" t="s">
        <v>9</v>
      </c>
      <c r="J1" t="s">
        <v>106</v>
      </c>
      <c r="K1" t="s">
        <v>5</v>
      </c>
      <c r="L1" t="s">
        <v>6</v>
      </c>
      <c r="M1" t="s">
        <v>98</v>
      </c>
      <c r="N1" t="s">
        <v>1276</v>
      </c>
      <c r="O1" t="s">
        <v>551</v>
      </c>
      <c r="P1" t="s">
        <v>113</v>
      </c>
      <c r="Q1" t="s">
        <v>114</v>
      </c>
      <c r="R1" t="s">
        <v>912</v>
      </c>
      <c r="S1" s="19" t="s">
        <v>2038</v>
      </c>
      <c r="T1" s="19" t="s">
        <v>2039</v>
      </c>
      <c r="U1" t="s">
        <v>198</v>
      </c>
      <c r="V1" t="s">
        <v>20</v>
      </c>
      <c r="W1" t="s">
        <v>18</v>
      </c>
      <c r="X1" t="s">
        <v>21</v>
      </c>
      <c r="Y1" t="s">
        <v>122</v>
      </c>
      <c r="Z1" t="s">
        <v>2052</v>
      </c>
      <c r="AA1" t="s">
        <v>8</v>
      </c>
      <c r="AB1" t="s">
        <v>15</v>
      </c>
      <c r="AC1" t="s">
        <v>17</v>
      </c>
      <c r="AD1" t="s">
        <v>56</v>
      </c>
      <c r="AE1" t="s">
        <v>57</v>
      </c>
    </row>
    <row r="2" spans="1:31" x14ac:dyDescent="0.2">
      <c r="A2" t="s">
        <v>1348</v>
      </c>
      <c r="B2" t="s">
        <v>1349</v>
      </c>
      <c r="C2">
        <v>1</v>
      </c>
      <c r="D2">
        <v>1</v>
      </c>
      <c r="E2" t="s">
        <v>791</v>
      </c>
      <c r="F2" s="1">
        <v>43385</v>
      </c>
      <c r="G2" s="2">
        <v>2.013888888888889E-2</v>
      </c>
      <c r="H2" t="s">
        <v>398</v>
      </c>
      <c r="I2" s="7" t="s">
        <v>1095</v>
      </c>
      <c r="J2" s="7" t="s">
        <v>187</v>
      </c>
      <c r="K2" s="7" t="s">
        <v>23</v>
      </c>
      <c r="L2" s="7">
        <v>1</v>
      </c>
      <c r="M2" s="7">
        <v>1</v>
      </c>
      <c r="O2" t="s">
        <v>2128</v>
      </c>
      <c r="P2" s="7" t="s">
        <v>122</v>
      </c>
      <c r="Q2" s="7" t="s">
        <v>495</v>
      </c>
      <c r="R2" s="7">
        <v>1</v>
      </c>
      <c r="S2" s="20">
        <v>63.723140000000001</v>
      </c>
      <c r="T2" s="20">
        <v>148.96843999999999</v>
      </c>
      <c r="U2" s="6">
        <v>0</v>
      </c>
      <c r="V2" s="6">
        <v>0</v>
      </c>
      <c r="W2" s="6">
        <v>0</v>
      </c>
      <c r="X2" s="6">
        <v>0</v>
      </c>
      <c r="Y2" s="6">
        <v>3</v>
      </c>
      <c r="Z2">
        <v>0</v>
      </c>
      <c r="AA2">
        <f t="shared" ref="AA2:AA65" si="0">SUM(W2:Z2)</f>
        <v>3</v>
      </c>
    </row>
    <row r="3" spans="1:31" x14ac:dyDescent="0.2">
      <c r="A3" t="s">
        <v>1348</v>
      </c>
      <c r="B3" t="s">
        <v>1349</v>
      </c>
      <c r="C3">
        <v>1</v>
      </c>
      <c r="D3">
        <v>2</v>
      </c>
      <c r="E3" t="s">
        <v>791</v>
      </c>
      <c r="F3" s="1">
        <v>43385</v>
      </c>
      <c r="G3" s="2">
        <v>2.013888888888889E-2</v>
      </c>
      <c r="H3" t="s">
        <v>398</v>
      </c>
      <c r="I3" s="7" t="s">
        <v>1095</v>
      </c>
      <c r="J3" s="7" t="s">
        <v>187</v>
      </c>
      <c r="K3" s="7" t="s">
        <v>23</v>
      </c>
      <c r="L3" s="7">
        <v>1</v>
      </c>
      <c r="M3" s="7">
        <v>1</v>
      </c>
      <c r="O3" t="s">
        <v>2128</v>
      </c>
      <c r="P3" s="7" t="s">
        <v>122</v>
      </c>
      <c r="Q3" s="7" t="s">
        <v>2059</v>
      </c>
      <c r="R3" s="7">
        <v>2</v>
      </c>
      <c r="S3" s="20">
        <v>63.72316</v>
      </c>
      <c r="T3" s="20">
        <v>148.96843000000001</v>
      </c>
      <c r="U3" s="6">
        <v>0</v>
      </c>
      <c r="V3" s="6">
        <v>0</v>
      </c>
      <c r="W3" s="6">
        <v>0</v>
      </c>
      <c r="X3" s="6">
        <v>0</v>
      </c>
      <c r="Y3" s="6">
        <v>0</v>
      </c>
      <c r="Z3">
        <v>0</v>
      </c>
      <c r="AA3">
        <f t="shared" si="0"/>
        <v>0</v>
      </c>
    </row>
    <row r="4" spans="1:31" x14ac:dyDescent="0.2">
      <c r="A4" t="s">
        <v>1158</v>
      </c>
      <c r="B4" t="s">
        <v>1159</v>
      </c>
      <c r="C4">
        <v>5</v>
      </c>
      <c r="D4">
        <v>1</v>
      </c>
      <c r="E4" t="s">
        <v>791</v>
      </c>
      <c r="F4" s="1">
        <v>43380</v>
      </c>
      <c r="G4" s="2">
        <v>5.7638888888888885E-2</v>
      </c>
      <c r="H4" t="s">
        <v>398</v>
      </c>
      <c r="I4" s="7" t="s">
        <v>924</v>
      </c>
      <c r="J4" s="7" t="s">
        <v>187</v>
      </c>
      <c r="K4" s="7" t="s">
        <v>23</v>
      </c>
      <c r="L4" s="7">
        <v>3</v>
      </c>
      <c r="M4" s="7">
        <v>1</v>
      </c>
      <c r="N4" s="7">
        <v>0</v>
      </c>
      <c r="O4" t="s">
        <v>2128</v>
      </c>
      <c r="P4" s="7" t="s">
        <v>122</v>
      </c>
      <c r="Q4" s="7" t="s">
        <v>2084</v>
      </c>
      <c r="R4" s="7">
        <v>4</v>
      </c>
      <c r="S4" s="20">
        <v>63.722389999999997</v>
      </c>
      <c r="T4" s="20">
        <v>148.96592999999999</v>
      </c>
      <c r="U4" s="6">
        <v>19</v>
      </c>
      <c r="V4" s="6">
        <v>0</v>
      </c>
      <c r="W4" s="6">
        <v>0</v>
      </c>
      <c r="X4" s="6">
        <v>19</v>
      </c>
      <c r="Y4" s="6">
        <v>15</v>
      </c>
      <c r="Z4">
        <v>0</v>
      </c>
      <c r="AA4">
        <f t="shared" si="0"/>
        <v>34</v>
      </c>
      <c r="AC4" t="s">
        <v>1160</v>
      </c>
    </row>
    <row r="5" spans="1:31" x14ac:dyDescent="0.2">
      <c r="A5" t="s">
        <v>991</v>
      </c>
      <c r="B5" t="s">
        <v>992</v>
      </c>
      <c r="C5">
        <v>8</v>
      </c>
      <c r="D5">
        <v>1</v>
      </c>
      <c r="E5" t="s">
        <v>791</v>
      </c>
      <c r="F5" s="1">
        <v>43369</v>
      </c>
      <c r="G5" s="2">
        <v>6.2499999999999995E-3</v>
      </c>
      <c r="H5" t="s">
        <v>398</v>
      </c>
      <c r="I5" t="s">
        <v>924</v>
      </c>
      <c r="J5" s="7" t="s">
        <v>111</v>
      </c>
      <c r="K5" t="s">
        <v>23</v>
      </c>
      <c r="L5">
        <v>0</v>
      </c>
      <c r="M5">
        <v>1</v>
      </c>
      <c r="O5" t="s">
        <v>176</v>
      </c>
      <c r="P5" t="s">
        <v>122</v>
      </c>
      <c r="Q5" t="s">
        <v>993</v>
      </c>
      <c r="R5" s="7" t="s">
        <v>24</v>
      </c>
      <c r="S5" s="20">
        <v>63.721530000000001</v>
      </c>
      <c r="T5" s="20">
        <v>148.96460999999999</v>
      </c>
      <c r="U5" s="6">
        <v>0</v>
      </c>
      <c r="V5" s="6">
        <v>0</v>
      </c>
      <c r="W5" s="6">
        <v>0</v>
      </c>
      <c r="X5" s="6">
        <v>0</v>
      </c>
      <c r="Y5" s="6">
        <v>0</v>
      </c>
      <c r="Z5">
        <v>0</v>
      </c>
      <c r="AA5">
        <f t="shared" si="0"/>
        <v>0</v>
      </c>
    </row>
    <row r="6" spans="1:31" x14ac:dyDescent="0.2">
      <c r="A6" t="s">
        <v>1153</v>
      </c>
      <c r="B6" t="s">
        <v>1154</v>
      </c>
      <c r="C6">
        <v>3</v>
      </c>
      <c r="D6">
        <v>1</v>
      </c>
      <c r="E6" t="s">
        <v>791</v>
      </c>
      <c r="F6" s="1">
        <v>43380</v>
      </c>
      <c r="G6" s="2">
        <v>6.0416666666666667E-2</v>
      </c>
      <c r="H6" t="s">
        <v>398</v>
      </c>
      <c r="I6" s="7" t="s">
        <v>924</v>
      </c>
      <c r="J6" s="7" t="s">
        <v>111</v>
      </c>
      <c r="K6" s="7" t="s">
        <v>23</v>
      </c>
      <c r="L6" s="7">
        <v>1</v>
      </c>
      <c r="M6">
        <v>1</v>
      </c>
      <c r="N6" s="7"/>
      <c r="O6" t="s">
        <v>176</v>
      </c>
      <c r="P6" s="7" t="s">
        <v>1155</v>
      </c>
      <c r="Q6" s="7" t="s">
        <v>796</v>
      </c>
      <c r="R6" s="7" t="s">
        <v>24</v>
      </c>
      <c r="S6" s="20">
        <v>63.721200000000003</v>
      </c>
      <c r="T6" s="20">
        <v>148.96514999999999</v>
      </c>
      <c r="U6" s="6">
        <v>0</v>
      </c>
      <c r="V6" s="6">
        <v>0</v>
      </c>
      <c r="W6" s="6">
        <v>0</v>
      </c>
      <c r="X6" s="6">
        <v>0</v>
      </c>
      <c r="Y6" s="6">
        <v>0</v>
      </c>
      <c r="Z6">
        <v>0</v>
      </c>
      <c r="AA6">
        <f t="shared" si="0"/>
        <v>0</v>
      </c>
    </row>
    <row r="7" spans="1:31" x14ac:dyDescent="0.2">
      <c r="A7" t="s">
        <v>1153</v>
      </c>
      <c r="B7" t="s">
        <v>1154</v>
      </c>
      <c r="C7">
        <v>3</v>
      </c>
      <c r="D7">
        <v>2</v>
      </c>
      <c r="E7" t="s">
        <v>791</v>
      </c>
      <c r="F7" s="1">
        <v>43380</v>
      </c>
      <c r="G7" s="2">
        <v>6.0416666666666667E-2</v>
      </c>
      <c r="H7" t="s">
        <v>398</v>
      </c>
      <c r="I7" s="7" t="s">
        <v>924</v>
      </c>
      <c r="J7" s="7" t="s">
        <v>111</v>
      </c>
      <c r="K7" s="7" t="s">
        <v>23</v>
      </c>
      <c r="L7" s="7">
        <v>0</v>
      </c>
      <c r="M7">
        <v>2</v>
      </c>
      <c r="N7" s="7" t="s">
        <v>2066</v>
      </c>
      <c r="O7" t="s">
        <v>176</v>
      </c>
      <c r="P7" s="7" t="s">
        <v>1155</v>
      </c>
      <c r="Q7" s="7" t="s">
        <v>796</v>
      </c>
      <c r="R7" s="7" t="s">
        <v>24</v>
      </c>
      <c r="S7" s="20">
        <v>63.721200000000003</v>
      </c>
      <c r="T7" s="20">
        <v>148.96527</v>
      </c>
      <c r="U7" s="6">
        <v>0</v>
      </c>
      <c r="V7" s="6">
        <v>0</v>
      </c>
      <c r="W7" s="6">
        <v>0</v>
      </c>
      <c r="X7" s="6">
        <v>0</v>
      </c>
      <c r="Y7" s="6">
        <v>0</v>
      </c>
      <c r="Z7">
        <v>0</v>
      </c>
      <c r="AA7">
        <f t="shared" si="0"/>
        <v>0</v>
      </c>
    </row>
    <row r="8" spans="1:31" x14ac:dyDescent="0.2">
      <c r="A8" t="s">
        <v>1158</v>
      </c>
      <c r="B8" t="s">
        <v>1159</v>
      </c>
      <c r="C8">
        <v>5</v>
      </c>
      <c r="D8">
        <v>2</v>
      </c>
      <c r="E8" t="s">
        <v>791</v>
      </c>
      <c r="F8" s="1">
        <v>43380</v>
      </c>
      <c r="G8" s="2">
        <v>5.7638888888888885E-2</v>
      </c>
      <c r="H8" t="s">
        <v>398</v>
      </c>
      <c r="I8" s="7" t="s">
        <v>924</v>
      </c>
      <c r="J8" s="7" t="s">
        <v>111</v>
      </c>
      <c r="K8" s="7" t="s">
        <v>23</v>
      </c>
      <c r="L8" s="7">
        <v>0</v>
      </c>
      <c r="M8" s="7">
        <v>2</v>
      </c>
      <c r="N8" s="7" t="s">
        <v>2066</v>
      </c>
      <c r="O8" t="s">
        <v>176</v>
      </c>
      <c r="P8" s="7" t="s">
        <v>122</v>
      </c>
      <c r="Q8" s="7" t="s">
        <v>2084</v>
      </c>
      <c r="R8">
        <v>21</v>
      </c>
      <c r="S8" s="19">
        <v>63.722290000000001</v>
      </c>
      <c r="T8" s="19">
        <v>148.96632</v>
      </c>
      <c r="U8" s="6">
        <v>0</v>
      </c>
      <c r="V8" s="6">
        <v>0</v>
      </c>
      <c r="W8" s="6">
        <v>0</v>
      </c>
      <c r="X8" s="6">
        <v>0</v>
      </c>
      <c r="Y8" s="6">
        <v>0</v>
      </c>
      <c r="Z8">
        <v>0</v>
      </c>
      <c r="AA8">
        <f t="shared" si="0"/>
        <v>0</v>
      </c>
    </row>
    <row r="9" spans="1:31" x14ac:dyDescent="0.2">
      <c r="A9" t="s">
        <v>1158</v>
      </c>
      <c r="B9" t="s">
        <v>1159</v>
      </c>
      <c r="C9">
        <v>5</v>
      </c>
      <c r="D9">
        <v>3</v>
      </c>
      <c r="E9" t="s">
        <v>791</v>
      </c>
      <c r="F9" s="1">
        <v>43380</v>
      </c>
      <c r="G9" s="2">
        <v>5.7638888888888885E-2</v>
      </c>
      <c r="H9" t="s">
        <v>398</v>
      </c>
      <c r="I9" s="7" t="s">
        <v>924</v>
      </c>
      <c r="J9" s="7" t="s">
        <v>111</v>
      </c>
      <c r="K9" s="7" t="s">
        <v>23</v>
      </c>
      <c r="L9" s="7">
        <v>1</v>
      </c>
      <c r="M9" s="7">
        <v>1</v>
      </c>
      <c r="N9" s="7"/>
      <c r="O9" t="s">
        <v>2128</v>
      </c>
      <c r="P9" s="7" t="s">
        <v>122</v>
      </c>
      <c r="Q9" s="7" t="s">
        <v>2085</v>
      </c>
      <c r="R9" s="7">
        <v>13</v>
      </c>
      <c r="S9" s="20">
        <v>63.722320000000003</v>
      </c>
      <c r="T9" s="20">
        <v>148.96617000000001</v>
      </c>
      <c r="U9" s="6">
        <v>0</v>
      </c>
      <c r="V9" s="6">
        <v>0</v>
      </c>
      <c r="W9" s="6">
        <v>0</v>
      </c>
      <c r="X9" s="6">
        <v>0</v>
      </c>
      <c r="Y9" s="6">
        <v>0</v>
      </c>
      <c r="Z9">
        <v>0</v>
      </c>
      <c r="AA9">
        <f t="shared" si="0"/>
        <v>0</v>
      </c>
      <c r="AC9" t="s">
        <v>2086</v>
      </c>
    </row>
    <row r="10" spans="1:31" x14ac:dyDescent="0.2">
      <c r="A10" t="s">
        <v>997</v>
      </c>
      <c r="B10" t="s">
        <v>998</v>
      </c>
      <c r="C10">
        <v>10</v>
      </c>
      <c r="D10">
        <v>1</v>
      </c>
      <c r="E10" t="s">
        <v>791</v>
      </c>
      <c r="F10" s="1">
        <v>43369</v>
      </c>
      <c r="G10" s="2">
        <v>1.4583333333333332E-2</v>
      </c>
      <c r="H10" t="s">
        <v>398</v>
      </c>
      <c r="I10" t="s">
        <v>927</v>
      </c>
      <c r="J10" s="7" t="s">
        <v>111</v>
      </c>
      <c r="K10" t="s">
        <v>23</v>
      </c>
      <c r="L10">
        <v>0</v>
      </c>
      <c r="M10">
        <v>1</v>
      </c>
      <c r="O10" t="s">
        <v>176</v>
      </c>
      <c r="P10" t="s">
        <v>115</v>
      </c>
      <c r="Q10" t="s">
        <v>709</v>
      </c>
      <c r="R10" s="7">
        <v>8</v>
      </c>
      <c r="S10" s="19">
        <v>63.721330000000002</v>
      </c>
      <c r="T10" s="19">
        <v>148.96489</v>
      </c>
      <c r="U10" s="6">
        <v>0</v>
      </c>
      <c r="V10" s="6">
        <v>0</v>
      </c>
      <c r="W10" s="6">
        <v>0</v>
      </c>
      <c r="X10" s="6">
        <v>0</v>
      </c>
      <c r="Y10" s="6">
        <v>0</v>
      </c>
      <c r="Z10">
        <v>0</v>
      </c>
      <c r="AA10">
        <f t="shared" si="0"/>
        <v>0</v>
      </c>
      <c r="AC10" t="s">
        <v>999</v>
      </c>
    </row>
    <row r="11" spans="1:31" x14ac:dyDescent="0.2">
      <c r="A11" t="s">
        <v>968</v>
      </c>
      <c r="B11" t="s">
        <v>969</v>
      </c>
      <c r="C11">
        <v>3</v>
      </c>
      <c r="D11">
        <v>1</v>
      </c>
      <c r="E11" t="s">
        <v>791</v>
      </c>
      <c r="F11" s="1">
        <v>43369</v>
      </c>
      <c r="G11" s="2">
        <v>3.1944444444444449E-2</v>
      </c>
      <c r="H11" t="s">
        <v>398</v>
      </c>
      <c r="I11" t="s">
        <v>927</v>
      </c>
      <c r="J11" s="7" t="s">
        <v>111</v>
      </c>
      <c r="K11" t="s">
        <v>23</v>
      </c>
      <c r="L11">
        <v>0</v>
      </c>
      <c r="M11">
        <v>2</v>
      </c>
      <c r="N11" t="s">
        <v>490</v>
      </c>
      <c r="O11" t="s">
        <v>176</v>
      </c>
      <c r="P11" t="s">
        <v>24</v>
      </c>
      <c r="Q11" s="7" t="s">
        <v>970</v>
      </c>
      <c r="R11" s="7" t="s">
        <v>24</v>
      </c>
      <c r="S11" s="20">
        <v>63.723379999999999</v>
      </c>
      <c r="T11" s="20">
        <v>148.96933000000001</v>
      </c>
      <c r="U11" s="6">
        <v>0</v>
      </c>
      <c r="V11" s="6">
        <v>0</v>
      </c>
      <c r="W11" s="6">
        <v>0</v>
      </c>
      <c r="X11" s="6">
        <v>0</v>
      </c>
      <c r="Y11" s="6">
        <v>0</v>
      </c>
      <c r="Z11">
        <v>0</v>
      </c>
      <c r="AA11">
        <f t="shared" si="0"/>
        <v>0</v>
      </c>
    </row>
    <row r="12" spans="1:31" x14ac:dyDescent="0.2">
      <c r="A12" t="s">
        <v>974</v>
      </c>
      <c r="B12" t="s">
        <v>975</v>
      </c>
      <c r="C12">
        <v>5</v>
      </c>
      <c r="D12">
        <v>1</v>
      </c>
      <c r="E12" t="s">
        <v>791</v>
      </c>
      <c r="F12" s="1">
        <v>43369</v>
      </c>
      <c r="G12" s="2">
        <v>7.2916666666666671E-2</v>
      </c>
      <c r="H12" t="s">
        <v>398</v>
      </c>
      <c r="I12" t="s">
        <v>927</v>
      </c>
      <c r="J12" s="7" t="s">
        <v>111</v>
      </c>
      <c r="K12" t="s">
        <v>23</v>
      </c>
      <c r="L12">
        <v>0</v>
      </c>
      <c r="M12">
        <v>1</v>
      </c>
      <c r="O12" t="s">
        <v>176</v>
      </c>
      <c r="P12" t="s">
        <v>24</v>
      </c>
      <c r="Q12" s="7" t="s">
        <v>2078</v>
      </c>
      <c r="S12" s="20">
        <v>63.723199999999999</v>
      </c>
      <c r="T12" s="20">
        <v>148.97024999999999</v>
      </c>
      <c r="U12" s="6">
        <v>0</v>
      </c>
      <c r="V12" s="6">
        <v>0</v>
      </c>
      <c r="W12" s="6">
        <v>0</v>
      </c>
      <c r="X12" s="6">
        <v>0</v>
      </c>
      <c r="Y12" s="6">
        <v>0</v>
      </c>
      <c r="Z12">
        <v>0</v>
      </c>
      <c r="AA12">
        <f t="shared" si="0"/>
        <v>0</v>
      </c>
      <c r="AC12" t="s">
        <v>2030</v>
      </c>
    </row>
    <row r="13" spans="1:31" x14ac:dyDescent="0.2">
      <c r="A13" t="s">
        <v>974</v>
      </c>
      <c r="B13" t="s">
        <v>975</v>
      </c>
      <c r="C13">
        <v>5</v>
      </c>
      <c r="D13">
        <v>2</v>
      </c>
      <c r="E13" t="s">
        <v>791</v>
      </c>
      <c r="F13" s="1">
        <v>43369</v>
      </c>
      <c r="G13" s="2">
        <v>7.2916666666666671E-2</v>
      </c>
      <c r="H13" t="s">
        <v>398</v>
      </c>
      <c r="I13" t="s">
        <v>927</v>
      </c>
      <c r="J13" s="7" t="s">
        <v>111</v>
      </c>
      <c r="K13" t="s">
        <v>23</v>
      </c>
      <c r="L13">
        <v>0</v>
      </c>
      <c r="M13">
        <v>1</v>
      </c>
      <c r="O13" t="s">
        <v>176</v>
      </c>
      <c r="P13" t="s">
        <v>24</v>
      </c>
      <c r="Q13" s="7" t="s">
        <v>2079</v>
      </c>
      <c r="S13" s="20">
        <v>63.723280000000003</v>
      </c>
      <c r="T13" s="20">
        <v>148.97037</v>
      </c>
      <c r="U13" s="6">
        <v>0</v>
      </c>
      <c r="V13" s="6">
        <v>0</v>
      </c>
      <c r="W13" s="6">
        <v>0</v>
      </c>
      <c r="X13" s="6">
        <v>0</v>
      </c>
      <c r="Y13" s="6">
        <v>0</v>
      </c>
      <c r="Z13">
        <v>0</v>
      </c>
      <c r="AA13">
        <f t="shared" si="0"/>
        <v>0</v>
      </c>
      <c r="AC13" t="s">
        <v>2030</v>
      </c>
    </row>
    <row r="14" spans="1:31" x14ac:dyDescent="0.2">
      <c r="A14" t="s">
        <v>974</v>
      </c>
      <c r="B14" t="s">
        <v>975</v>
      </c>
      <c r="C14">
        <v>5</v>
      </c>
      <c r="D14">
        <v>3</v>
      </c>
      <c r="E14" t="s">
        <v>791</v>
      </c>
      <c r="F14" s="1">
        <v>43369</v>
      </c>
      <c r="G14" s="2">
        <v>7.2916666666666671E-2</v>
      </c>
      <c r="H14" t="s">
        <v>398</v>
      </c>
      <c r="I14" t="s">
        <v>927</v>
      </c>
      <c r="J14" s="7" t="s">
        <v>111</v>
      </c>
      <c r="K14" t="s">
        <v>23</v>
      </c>
      <c r="L14">
        <v>0</v>
      </c>
      <c r="M14">
        <v>2</v>
      </c>
      <c r="N14" t="s">
        <v>2066</v>
      </c>
      <c r="O14" t="s">
        <v>176</v>
      </c>
      <c r="P14" t="s">
        <v>24</v>
      </c>
      <c r="Q14" s="7" t="s">
        <v>2080</v>
      </c>
      <c r="S14" s="20">
        <v>63.723230000000001</v>
      </c>
      <c r="T14" s="20">
        <v>148.97020000000001</v>
      </c>
      <c r="U14" s="6">
        <v>0</v>
      </c>
      <c r="V14" s="6">
        <v>0</v>
      </c>
      <c r="W14" s="6">
        <v>0</v>
      </c>
      <c r="X14" s="6">
        <v>0</v>
      </c>
      <c r="Y14" s="6">
        <v>0</v>
      </c>
      <c r="Z14">
        <v>0</v>
      </c>
      <c r="AA14">
        <f t="shared" si="0"/>
        <v>0</v>
      </c>
      <c r="AC14" t="s">
        <v>2030</v>
      </c>
    </row>
    <row r="15" spans="1:31" x14ac:dyDescent="0.2">
      <c r="A15" t="s">
        <v>994</v>
      </c>
      <c r="B15" t="s">
        <v>995</v>
      </c>
      <c r="C15">
        <v>9</v>
      </c>
      <c r="D15">
        <v>1</v>
      </c>
      <c r="E15" t="s">
        <v>791</v>
      </c>
      <c r="F15" s="1">
        <v>43369</v>
      </c>
      <c r="G15" s="2">
        <v>6.9444444444444434E-2</v>
      </c>
      <c r="H15" t="s">
        <v>398</v>
      </c>
      <c r="I15" t="s">
        <v>927</v>
      </c>
      <c r="J15" s="7" t="s">
        <v>242</v>
      </c>
      <c r="K15" t="s">
        <v>23</v>
      </c>
      <c r="L15">
        <v>1</v>
      </c>
      <c r="M15">
        <v>2</v>
      </c>
      <c r="N15" t="s">
        <v>2066</v>
      </c>
      <c r="O15" t="s">
        <v>176</v>
      </c>
      <c r="P15" t="s">
        <v>134</v>
      </c>
      <c r="Q15" t="s">
        <v>996</v>
      </c>
      <c r="R15" s="7">
        <v>5</v>
      </c>
      <c r="S15" s="20">
        <v>63.721490000000003</v>
      </c>
      <c r="T15" s="20">
        <v>148.96460999999999</v>
      </c>
      <c r="U15" s="6">
        <v>0</v>
      </c>
      <c r="V15" s="6">
        <v>0</v>
      </c>
      <c r="W15" s="6">
        <v>0</v>
      </c>
      <c r="X15" s="6">
        <v>0</v>
      </c>
      <c r="Y15" s="6">
        <v>0</v>
      </c>
      <c r="Z15">
        <v>0</v>
      </c>
      <c r="AA15">
        <f t="shared" si="0"/>
        <v>0</v>
      </c>
    </row>
    <row r="16" spans="1:31" x14ac:dyDescent="0.2">
      <c r="A16" t="s">
        <v>1583</v>
      </c>
      <c r="B16" t="s">
        <v>1584</v>
      </c>
      <c r="C16">
        <v>1</v>
      </c>
      <c r="D16">
        <v>1</v>
      </c>
      <c r="E16" t="s">
        <v>791</v>
      </c>
      <c r="F16" s="1">
        <v>43390</v>
      </c>
      <c r="G16" s="2">
        <v>2.1527777777777781E-2</v>
      </c>
      <c r="H16" t="s">
        <v>398</v>
      </c>
      <c r="I16" s="7" t="s">
        <v>927</v>
      </c>
      <c r="J16" t="s">
        <v>156</v>
      </c>
      <c r="K16" s="7" t="s">
        <v>23</v>
      </c>
      <c r="L16" s="7">
        <v>2</v>
      </c>
      <c r="M16" s="7">
        <v>1</v>
      </c>
      <c r="O16" s="7" t="s">
        <v>1585</v>
      </c>
      <c r="P16" s="7" t="s">
        <v>1586</v>
      </c>
      <c r="Q16" s="7" t="s">
        <v>495</v>
      </c>
      <c r="R16" s="7" t="s">
        <v>24</v>
      </c>
      <c r="S16" s="20">
        <v>63.723950000000002</v>
      </c>
      <c r="T16" s="20">
        <v>148.96271999999999</v>
      </c>
      <c r="U16" s="6">
        <v>10</v>
      </c>
      <c r="V16" s="6">
        <v>0</v>
      </c>
      <c r="W16" s="6">
        <v>0</v>
      </c>
      <c r="X16" s="6">
        <v>10</v>
      </c>
      <c r="Y16" s="6">
        <v>0</v>
      </c>
      <c r="Z16">
        <v>0</v>
      </c>
      <c r="AA16">
        <f t="shared" si="0"/>
        <v>10</v>
      </c>
      <c r="AC16" t="s">
        <v>1587</v>
      </c>
    </row>
    <row r="17" spans="1:31" x14ac:dyDescent="0.2">
      <c r="A17" t="s">
        <v>1598</v>
      </c>
      <c r="B17" t="s">
        <v>1599</v>
      </c>
      <c r="C17">
        <v>1</v>
      </c>
      <c r="D17">
        <v>1</v>
      </c>
      <c r="E17" t="s">
        <v>791</v>
      </c>
      <c r="F17" s="1">
        <v>43391</v>
      </c>
      <c r="G17" s="2">
        <v>1.2499999999999999E-2</v>
      </c>
      <c r="H17" t="s">
        <v>398</v>
      </c>
      <c r="I17" s="7" t="s">
        <v>176</v>
      </c>
      <c r="K17" s="7" t="s">
        <v>23</v>
      </c>
      <c r="L17" s="7">
        <v>0</v>
      </c>
      <c r="M17" s="7">
        <v>1</v>
      </c>
      <c r="O17" t="s">
        <v>2128</v>
      </c>
      <c r="P17" s="7" t="s">
        <v>24</v>
      </c>
      <c r="Q17" s="7" t="s">
        <v>1035</v>
      </c>
      <c r="R17" s="7" t="s">
        <v>24</v>
      </c>
      <c r="S17" s="20">
        <v>63.723109999999998</v>
      </c>
      <c r="T17" s="20">
        <v>148.96836999999999</v>
      </c>
      <c r="U17" s="6">
        <v>0</v>
      </c>
      <c r="V17" s="6">
        <v>0</v>
      </c>
      <c r="W17" s="6">
        <v>0</v>
      </c>
      <c r="X17" s="6">
        <v>0</v>
      </c>
      <c r="Y17" s="6">
        <v>0</v>
      </c>
      <c r="Z17">
        <v>0</v>
      </c>
      <c r="AA17">
        <f t="shared" si="0"/>
        <v>0</v>
      </c>
      <c r="AC17" t="s">
        <v>1600</v>
      </c>
    </row>
    <row r="18" spans="1:31" x14ac:dyDescent="0.2">
      <c r="A18" t="s">
        <v>471</v>
      </c>
      <c r="B18" t="s">
        <v>472</v>
      </c>
      <c r="C18">
        <v>5</v>
      </c>
      <c r="D18">
        <v>1</v>
      </c>
      <c r="E18" t="s">
        <v>138</v>
      </c>
      <c r="F18" s="1">
        <v>43351</v>
      </c>
      <c r="G18" s="2">
        <v>1.3194444444444444E-2</v>
      </c>
      <c r="I18" t="s">
        <v>173</v>
      </c>
      <c r="J18" t="s">
        <v>111</v>
      </c>
      <c r="K18" t="s">
        <v>23</v>
      </c>
      <c r="L18">
        <v>0</v>
      </c>
      <c r="M18">
        <v>1</v>
      </c>
      <c r="O18" t="s">
        <v>112</v>
      </c>
      <c r="P18" t="s">
        <v>122</v>
      </c>
      <c r="Q18" t="s">
        <v>333</v>
      </c>
      <c r="R18" t="s">
        <v>176</v>
      </c>
      <c r="S18" s="19">
        <v>63.724820000000001</v>
      </c>
      <c r="T18" s="19">
        <v>148.95699999999999</v>
      </c>
      <c r="U18" s="6">
        <v>0</v>
      </c>
      <c r="V18" s="6">
        <v>0</v>
      </c>
      <c r="W18" s="6">
        <v>0</v>
      </c>
      <c r="X18" s="6">
        <v>0</v>
      </c>
      <c r="Y18" s="6">
        <v>0</v>
      </c>
      <c r="Z18">
        <v>0</v>
      </c>
      <c r="AA18">
        <f t="shared" si="0"/>
        <v>0</v>
      </c>
    </row>
    <row r="19" spans="1:31" x14ac:dyDescent="0.2">
      <c r="A19" t="s">
        <v>475</v>
      </c>
      <c r="B19" t="s">
        <v>476</v>
      </c>
      <c r="C19">
        <v>7</v>
      </c>
      <c r="D19">
        <v>1</v>
      </c>
      <c r="E19" t="s">
        <v>138</v>
      </c>
      <c r="F19" s="1">
        <v>43351</v>
      </c>
      <c r="G19" s="2">
        <v>2.2222222222222223E-2</v>
      </c>
      <c r="I19" t="s">
        <v>173</v>
      </c>
      <c r="J19" t="s">
        <v>187</v>
      </c>
      <c r="K19" t="s">
        <v>23</v>
      </c>
      <c r="L19">
        <v>1</v>
      </c>
      <c r="M19">
        <v>1</v>
      </c>
      <c r="O19" t="s">
        <v>112</v>
      </c>
      <c r="P19" t="s">
        <v>122</v>
      </c>
      <c r="Q19" t="s">
        <v>333</v>
      </c>
      <c r="R19" t="s">
        <v>176</v>
      </c>
      <c r="S19" s="19">
        <v>63.724640000000001</v>
      </c>
      <c r="T19" s="19">
        <v>148.95958999999999</v>
      </c>
      <c r="U19" s="6">
        <v>0</v>
      </c>
      <c r="V19" s="6">
        <v>0</v>
      </c>
      <c r="W19" s="6">
        <v>0</v>
      </c>
      <c r="X19" s="6">
        <v>0</v>
      </c>
      <c r="Y19" s="6">
        <v>19</v>
      </c>
      <c r="Z19">
        <v>0</v>
      </c>
      <c r="AA19">
        <f t="shared" si="0"/>
        <v>19</v>
      </c>
      <c r="AB19" t="s">
        <v>303</v>
      </c>
    </row>
    <row r="20" spans="1:31" x14ac:dyDescent="0.2">
      <c r="A20" t="s">
        <v>477</v>
      </c>
      <c r="B20" t="s">
        <v>478</v>
      </c>
      <c r="C20">
        <v>8</v>
      </c>
      <c r="D20">
        <v>1</v>
      </c>
      <c r="E20" t="s">
        <v>138</v>
      </c>
      <c r="F20" s="1">
        <v>43351</v>
      </c>
      <c r="G20" s="2">
        <v>1.4583333333333332E-2</v>
      </c>
      <c r="I20" t="s">
        <v>173</v>
      </c>
      <c r="J20" t="s">
        <v>111</v>
      </c>
      <c r="K20" t="s">
        <v>23</v>
      </c>
      <c r="L20">
        <v>0</v>
      </c>
      <c r="M20">
        <v>1</v>
      </c>
      <c r="O20" t="s">
        <v>176</v>
      </c>
      <c r="P20" t="s">
        <v>24</v>
      </c>
      <c r="Q20" t="s">
        <v>333</v>
      </c>
      <c r="R20" t="s">
        <v>176</v>
      </c>
      <c r="S20" s="19">
        <v>63.724600000000002</v>
      </c>
      <c r="T20" s="19">
        <v>148.95944</v>
      </c>
      <c r="U20" s="6">
        <v>0</v>
      </c>
      <c r="V20" s="6">
        <v>0</v>
      </c>
      <c r="W20" s="6">
        <v>0</v>
      </c>
      <c r="X20" s="6">
        <v>0</v>
      </c>
      <c r="Y20" s="6">
        <v>0</v>
      </c>
      <c r="Z20">
        <v>0</v>
      </c>
      <c r="AA20">
        <f t="shared" si="0"/>
        <v>0</v>
      </c>
      <c r="AC20" t="s">
        <v>479</v>
      </c>
    </row>
    <row r="21" spans="1:31" x14ac:dyDescent="0.2">
      <c r="A21" t="s">
        <v>480</v>
      </c>
      <c r="B21" t="s">
        <v>481</v>
      </c>
      <c r="C21">
        <v>9</v>
      </c>
      <c r="D21">
        <v>1</v>
      </c>
      <c r="E21" t="s">
        <v>138</v>
      </c>
      <c r="F21" s="1">
        <v>43351</v>
      </c>
      <c r="G21" s="2">
        <v>2.5694444444444447E-2</v>
      </c>
      <c r="I21" t="s">
        <v>173</v>
      </c>
      <c r="J21" t="s">
        <v>242</v>
      </c>
      <c r="K21" t="s">
        <v>23</v>
      </c>
      <c r="L21">
        <v>1</v>
      </c>
      <c r="M21">
        <v>1</v>
      </c>
      <c r="O21" t="s">
        <v>2120</v>
      </c>
      <c r="P21" t="s">
        <v>122</v>
      </c>
      <c r="Q21" t="s">
        <v>333</v>
      </c>
      <c r="R21" t="s">
        <v>176</v>
      </c>
      <c r="S21" s="19">
        <v>63.724620000000002</v>
      </c>
      <c r="T21" s="19">
        <v>148.95992000000001</v>
      </c>
      <c r="U21" s="6">
        <v>0</v>
      </c>
      <c r="V21" s="6">
        <v>0</v>
      </c>
      <c r="W21" s="6">
        <v>0</v>
      </c>
      <c r="X21" s="6">
        <v>0</v>
      </c>
      <c r="Y21" s="6">
        <v>0</v>
      </c>
      <c r="Z21">
        <v>0</v>
      </c>
      <c r="AA21">
        <f t="shared" si="0"/>
        <v>0</v>
      </c>
    </row>
    <row r="22" spans="1:31" x14ac:dyDescent="0.2">
      <c r="A22" t="s">
        <v>635</v>
      </c>
      <c r="B22" t="s">
        <v>636</v>
      </c>
      <c r="C22" s="7">
        <v>8</v>
      </c>
      <c r="D22" s="7">
        <v>1</v>
      </c>
      <c r="E22" t="s">
        <v>138</v>
      </c>
      <c r="F22" s="1">
        <v>43355</v>
      </c>
      <c r="G22" s="2">
        <v>1.8055555555555557E-2</v>
      </c>
      <c r="H22" t="s">
        <v>398</v>
      </c>
      <c r="I22" s="7" t="s">
        <v>173</v>
      </c>
      <c r="J22" s="7" t="s">
        <v>111</v>
      </c>
      <c r="K22" s="7" t="s">
        <v>23</v>
      </c>
      <c r="L22" s="7">
        <v>1</v>
      </c>
      <c r="M22">
        <v>1</v>
      </c>
      <c r="O22" t="s">
        <v>176</v>
      </c>
      <c r="P22" s="7" t="s">
        <v>333</v>
      </c>
      <c r="Q22" s="7" t="s">
        <v>501</v>
      </c>
      <c r="R22" s="7" t="s">
        <v>176</v>
      </c>
      <c r="S22" s="20">
        <v>63.725990000000003</v>
      </c>
      <c r="T22" s="20">
        <v>148.95717999999999</v>
      </c>
      <c r="U22" s="6">
        <v>0</v>
      </c>
      <c r="V22" s="6">
        <v>0</v>
      </c>
      <c r="W22" s="6">
        <v>0</v>
      </c>
      <c r="X22" s="6">
        <v>0</v>
      </c>
      <c r="Y22" s="6">
        <v>0</v>
      </c>
      <c r="Z22">
        <v>0</v>
      </c>
      <c r="AA22">
        <f t="shared" si="0"/>
        <v>0</v>
      </c>
      <c r="AC22" t="s">
        <v>637</v>
      </c>
    </row>
    <row r="23" spans="1:31" x14ac:dyDescent="0.2">
      <c r="A23" s="4" t="s">
        <v>689</v>
      </c>
      <c r="B23" s="4" t="s">
        <v>690</v>
      </c>
      <c r="C23" s="4">
        <v>1</v>
      </c>
      <c r="D23" s="4">
        <v>1</v>
      </c>
      <c r="E23" s="4" t="s">
        <v>138</v>
      </c>
      <c r="F23" s="13">
        <v>43358</v>
      </c>
      <c r="G23" s="14">
        <v>9.0277777777777787E-3</v>
      </c>
      <c r="H23" s="4" t="s">
        <v>640</v>
      </c>
      <c r="I23" s="4" t="s">
        <v>173</v>
      </c>
      <c r="J23" s="4" t="s">
        <v>111</v>
      </c>
      <c r="K23" s="4" t="s">
        <v>23</v>
      </c>
      <c r="L23" s="4" t="s">
        <v>115</v>
      </c>
      <c r="M23" s="4">
        <v>1</v>
      </c>
      <c r="N23" s="4"/>
      <c r="O23" t="s">
        <v>2125</v>
      </c>
      <c r="P23" s="4" t="s">
        <v>115</v>
      </c>
      <c r="Q23" s="4" t="s">
        <v>333</v>
      </c>
      <c r="R23" s="4">
        <v>19</v>
      </c>
      <c r="S23" s="21">
        <v>63.724809999999998</v>
      </c>
      <c r="T23" s="21">
        <v>148.95639</v>
      </c>
      <c r="U23" s="15">
        <v>0</v>
      </c>
      <c r="V23" s="15">
        <v>0</v>
      </c>
      <c r="W23" s="15">
        <v>0</v>
      </c>
      <c r="X23" s="15">
        <v>0</v>
      </c>
      <c r="Y23" s="15">
        <v>0</v>
      </c>
      <c r="Z23">
        <v>0</v>
      </c>
      <c r="AA23">
        <f t="shared" si="0"/>
        <v>0</v>
      </c>
      <c r="AB23" s="4"/>
      <c r="AC23" s="4" t="s">
        <v>691</v>
      </c>
      <c r="AD23" s="4"/>
      <c r="AE23" s="4"/>
    </row>
    <row r="24" spans="1:31" x14ac:dyDescent="0.2">
      <c r="A24" s="4" t="s">
        <v>720</v>
      </c>
      <c r="B24" s="4" t="s">
        <v>722</v>
      </c>
      <c r="C24" s="4">
        <v>20</v>
      </c>
      <c r="D24" s="4">
        <v>1</v>
      </c>
      <c r="E24" s="4" t="s">
        <v>138</v>
      </c>
      <c r="F24" s="13">
        <v>43358</v>
      </c>
      <c r="G24" s="14">
        <v>1.5277777777777777E-2</v>
      </c>
      <c r="H24" s="4" t="s">
        <v>640</v>
      </c>
      <c r="I24" s="4" t="s">
        <v>173</v>
      </c>
      <c r="J24" s="4" t="s">
        <v>111</v>
      </c>
      <c r="K24" s="4" t="s">
        <v>23</v>
      </c>
      <c r="L24" s="4">
        <v>0</v>
      </c>
      <c r="M24" s="4">
        <v>1</v>
      </c>
      <c r="N24" s="4"/>
      <c r="O24" t="s">
        <v>2128</v>
      </c>
      <c r="P24" s="4" t="s">
        <v>115</v>
      </c>
      <c r="Q24" s="4" t="s">
        <v>723</v>
      </c>
      <c r="R24" s="4"/>
      <c r="S24" s="21">
        <v>63.725749999999998</v>
      </c>
      <c r="T24" s="21">
        <v>148.95331999999999</v>
      </c>
      <c r="U24" s="15">
        <v>0</v>
      </c>
      <c r="V24" s="15">
        <v>0</v>
      </c>
      <c r="W24" s="15">
        <v>0</v>
      </c>
      <c r="X24" s="15">
        <v>0</v>
      </c>
      <c r="Y24" s="15">
        <v>0</v>
      </c>
      <c r="Z24">
        <v>0</v>
      </c>
      <c r="AA24">
        <f t="shared" si="0"/>
        <v>0</v>
      </c>
      <c r="AB24" s="4"/>
      <c r="AC24" s="4"/>
      <c r="AD24" s="4"/>
      <c r="AE24" s="4"/>
    </row>
    <row r="25" spans="1:31" x14ac:dyDescent="0.2">
      <c r="A25" s="4" t="s">
        <v>699</v>
      </c>
      <c r="B25" s="4" t="s">
        <v>700</v>
      </c>
      <c r="C25" s="4">
        <v>6</v>
      </c>
      <c r="D25" s="4">
        <v>1</v>
      </c>
      <c r="E25" s="4" t="s">
        <v>138</v>
      </c>
      <c r="F25" s="13">
        <v>43358</v>
      </c>
      <c r="G25" s="14">
        <v>2.7777777777777779E-3</v>
      </c>
      <c r="H25" s="4" t="s">
        <v>640</v>
      </c>
      <c r="I25" s="4" t="s">
        <v>173</v>
      </c>
      <c r="J25" s="4" t="s">
        <v>111</v>
      </c>
      <c r="K25" s="4" t="s">
        <v>23</v>
      </c>
      <c r="L25" s="4">
        <v>0</v>
      </c>
      <c r="M25" s="4">
        <v>1</v>
      </c>
      <c r="N25" s="4"/>
      <c r="O25" t="s">
        <v>2125</v>
      </c>
      <c r="P25" s="4" t="s">
        <v>115</v>
      </c>
      <c r="Q25" s="4" t="s">
        <v>645</v>
      </c>
      <c r="R25" s="4">
        <v>3</v>
      </c>
      <c r="S25" s="21">
        <v>63.72486</v>
      </c>
      <c r="T25" s="21">
        <v>148.95665</v>
      </c>
      <c r="U25" s="15">
        <v>0</v>
      </c>
      <c r="V25" s="15">
        <v>0</v>
      </c>
      <c r="W25" s="15">
        <v>0</v>
      </c>
      <c r="X25" s="15">
        <v>0</v>
      </c>
      <c r="Y25" s="15">
        <v>0</v>
      </c>
      <c r="Z25">
        <v>0</v>
      </c>
      <c r="AA25">
        <f t="shared" si="0"/>
        <v>0</v>
      </c>
      <c r="AB25" s="4"/>
      <c r="AC25" s="4"/>
      <c r="AD25" s="4"/>
      <c r="AE25" s="4"/>
    </row>
    <row r="26" spans="1:31" x14ac:dyDescent="0.2">
      <c r="A26" s="4" t="s">
        <v>704</v>
      </c>
      <c r="B26" s="4" t="s">
        <v>705</v>
      </c>
      <c r="C26" s="4">
        <v>9</v>
      </c>
      <c r="D26" s="4">
        <v>1</v>
      </c>
      <c r="E26" s="4" t="s">
        <v>138</v>
      </c>
      <c r="F26" s="13">
        <v>43358</v>
      </c>
      <c r="G26" s="14">
        <v>3.888888888888889E-2</v>
      </c>
      <c r="H26" s="4" t="s">
        <v>640</v>
      </c>
      <c r="I26" s="4" t="s">
        <v>173</v>
      </c>
      <c r="J26" s="4" t="s">
        <v>187</v>
      </c>
      <c r="K26" s="4" t="s">
        <v>23</v>
      </c>
      <c r="L26" s="4">
        <v>3</v>
      </c>
      <c r="M26" s="4">
        <v>1</v>
      </c>
      <c r="N26" s="4"/>
      <c r="O26" t="s">
        <v>2125</v>
      </c>
      <c r="P26" s="4" t="s">
        <v>122</v>
      </c>
      <c r="Q26" s="4" t="s">
        <v>579</v>
      </c>
      <c r="R26" s="4">
        <v>2</v>
      </c>
      <c r="S26" s="21">
        <v>63.724910000000001</v>
      </c>
      <c r="T26" s="21">
        <v>148.95679000000001</v>
      </c>
      <c r="U26" s="15">
        <v>0</v>
      </c>
      <c r="V26" s="15">
        <v>0</v>
      </c>
      <c r="W26" s="15">
        <v>0</v>
      </c>
      <c r="X26" s="15">
        <v>0</v>
      </c>
      <c r="Y26" s="15">
        <v>0</v>
      </c>
      <c r="Z26">
        <v>0</v>
      </c>
      <c r="AA26">
        <f t="shared" si="0"/>
        <v>0</v>
      </c>
      <c r="AB26" s="4"/>
      <c r="AC26" s="4"/>
      <c r="AD26" s="4"/>
      <c r="AE26" s="4"/>
    </row>
    <row r="27" spans="1:31" x14ac:dyDescent="0.2">
      <c r="A27" t="s">
        <v>782</v>
      </c>
      <c r="B27" t="s">
        <v>783</v>
      </c>
      <c r="C27" s="7">
        <v>1</v>
      </c>
      <c r="D27" s="7">
        <v>1</v>
      </c>
      <c r="E27" t="s">
        <v>138</v>
      </c>
      <c r="F27" s="1">
        <v>43360</v>
      </c>
      <c r="G27" s="2">
        <v>4.027777777777778E-2</v>
      </c>
      <c r="H27" t="s">
        <v>398</v>
      </c>
      <c r="I27" s="7" t="s">
        <v>173</v>
      </c>
      <c r="J27" s="7" t="s">
        <v>111</v>
      </c>
      <c r="K27" s="7" t="s">
        <v>23</v>
      </c>
      <c r="L27" s="7">
        <v>0</v>
      </c>
      <c r="M27">
        <v>2</v>
      </c>
      <c r="N27" t="s">
        <v>2066</v>
      </c>
      <c r="O27" s="7" t="s">
        <v>2112</v>
      </c>
      <c r="P27" s="7" t="s">
        <v>24</v>
      </c>
      <c r="Q27" t="s">
        <v>709</v>
      </c>
      <c r="R27" s="7" t="s">
        <v>176</v>
      </c>
      <c r="S27" s="20">
        <v>63.725639999999999</v>
      </c>
      <c r="T27" s="20">
        <v>148.95848000000001</v>
      </c>
      <c r="U27" s="6">
        <v>0</v>
      </c>
      <c r="V27" s="6">
        <v>0</v>
      </c>
      <c r="W27" s="6">
        <v>0</v>
      </c>
      <c r="X27" s="6">
        <v>0</v>
      </c>
      <c r="Y27" s="6">
        <v>0</v>
      </c>
      <c r="Z27">
        <v>0</v>
      </c>
      <c r="AA27">
        <f t="shared" si="0"/>
        <v>0</v>
      </c>
    </row>
    <row r="28" spans="1:31" x14ac:dyDescent="0.2">
      <c r="A28" t="s">
        <v>786</v>
      </c>
      <c r="B28" t="s">
        <v>787</v>
      </c>
      <c r="C28">
        <v>3</v>
      </c>
      <c r="D28">
        <v>1</v>
      </c>
      <c r="E28" t="s">
        <v>138</v>
      </c>
      <c r="F28" s="1">
        <v>43360</v>
      </c>
      <c r="G28" s="2">
        <v>4.3750000000000004E-2</v>
      </c>
      <c r="H28" t="s">
        <v>397</v>
      </c>
      <c r="I28" s="7" t="s">
        <v>173</v>
      </c>
      <c r="J28" s="7" t="s">
        <v>242</v>
      </c>
      <c r="K28" s="7" t="s">
        <v>23</v>
      </c>
      <c r="L28" s="7">
        <v>0</v>
      </c>
      <c r="M28">
        <v>1</v>
      </c>
      <c r="O28" s="7" t="s">
        <v>2112</v>
      </c>
      <c r="P28" s="7" t="s">
        <v>115</v>
      </c>
      <c r="Q28" s="7" t="s">
        <v>2076</v>
      </c>
      <c r="R28" s="7"/>
      <c r="S28" s="20">
        <v>63.725679999999997</v>
      </c>
      <c r="T28" s="20">
        <v>148.9588</v>
      </c>
      <c r="U28" s="6">
        <v>0</v>
      </c>
      <c r="V28" s="6">
        <v>0</v>
      </c>
      <c r="W28" s="6">
        <v>0</v>
      </c>
      <c r="X28" s="6">
        <v>0</v>
      </c>
      <c r="Y28" s="6">
        <v>0</v>
      </c>
      <c r="Z28">
        <v>0</v>
      </c>
      <c r="AA28">
        <f t="shared" si="0"/>
        <v>0</v>
      </c>
    </row>
    <row r="29" spans="1:31" x14ac:dyDescent="0.2">
      <c r="A29" t="s">
        <v>786</v>
      </c>
      <c r="B29" t="s">
        <v>787</v>
      </c>
      <c r="C29">
        <v>3</v>
      </c>
      <c r="D29">
        <v>2</v>
      </c>
      <c r="E29" t="s">
        <v>138</v>
      </c>
      <c r="F29" s="1">
        <v>43360</v>
      </c>
      <c r="G29" s="2">
        <v>4.3750000000000004E-2</v>
      </c>
      <c r="H29" t="s">
        <v>397</v>
      </c>
      <c r="I29" s="7" t="s">
        <v>173</v>
      </c>
      <c r="J29" s="7" t="s">
        <v>242</v>
      </c>
      <c r="K29" s="7" t="s">
        <v>23</v>
      </c>
      <c r="L29" s="7">
        <v>0</v>
      </c>
      <c r="M29">
        <v>1</v>
      </c>
      <c r="O29" s="7" t="s">
        <v>2112</v>
      </c>
      <c r="P29" s="7" t="s">
        <v>115</v>
      </c>
      <c r="Q29" s="7" t="s">
        <v>2059</v>
      </c>
      <c r="R29" s="7"/>
      <c r="S29" s="20">
        <v>63.72569</v>
      </c>
      <c r="T29" s="20">
        <v>148.95882</v>
      </c>
      <c r="U29" s="6">
        <v>0</v>
      </c>
      <c r="V29" s="6">
        <v>0</v>
      </c>
      <c r="W29" s="6">
        <v>0</v>
      </c>
      <c r="X29" s="6">
        <v>0</v>
      </c>
      <c r="Y29" s="6">
        <v>0</v>
      </c>
      <c r="Z29">
        <v>0</v>
      </c>
      <c r="AA29">
        <f t="shared" si="0"/>
        <v>0</v>
      </c>
    </row>
    <row r="30" spans="1:31" x14ac:dyDescent="0.2">
      <c r="A30" t="s">
        <v>1137</v>
      </c>
      <c r="B30" t="s">
        <v>1138</v>
      </c>
      <c r="C30">
        <v>6</v>
      </c>
      <c r="D30">
        <v>1</v>
      </c>
      <c r="E30" t="s">
        <v>138</v>
      </c>
      <c r="F30" s="1">
        <v>43379</v>
      </c>
      <c r="G30" s="2">
        <v>1.1805555555555555E-2</v>
      </c>
      <c r="H30" t="s">
        <v>640</v>
      </c>
      <c r="I30" s="7" t="s">
        <v>173</v>
      </c>
      <c r="J30" s="7" t="s">
        <v>111</v>
      </c>
      <c r="K30" s="7" t="s">
        <v>23</v>
      </c>
      <c r="L30" s="7">
        <v>0</v>
      </c>
      <c r="M30">
        <v>1</v>
      </c>
      <c r="O30" t="s">
        <v>1139</v>
      </c>
      <c r="P30" t="s">
        <v>24</v>
      </c>
      <c r="Q30" t="s">
        <v>709</v>
      </c>
      <c r="R30" t="s">
        <v>24</v>
      </c>
      <c r="S30" s="19">
        <v>63.724710000000002</v>
      </c>
      <c r="T30" s="19">
        <v>148.95338000000001</v>
      </c>
      <c r="U30" s="6">
        <v>0</v>
      </c>
      <c r="V30" s="6">
        <v>0</v>
      </c>
      <c r="W30" s="6">
        <v>0</v>
      </c>
      <c r="X30" s="6">
        <v>0</v>
      </c>
      <c r="Y30" s="6">
        <v>0</v>
      </c>
      <c r="Z30">
        <v>0</v>
      </c>
      <c r="AA30">
        <f t="shared" si="0"/>
        <v>0</v>
      </c>
    </row>
    <row r="31" spans="1:31" x14ac:dyDescent="0.2">
      <c r="A31" t="s">
        <v>1140</v>
      </c>
      <c r="B31" t="s">
        <v>1141</v>
      </c>
      <c r="C31">
        <v>7</v>
      </c>
      <c r="D31">
        <v>1</v>
      </c>
      <c r="E31" t="s">
        <v>138</v>
      </c>
      <c r="F31" s="1">
        <v>43379</v>
      </c>
      <c r="G31" s="2">
        <v>9.0277777777777787E-3</v>
      </c>
      <c r="H31" t="s">
        <v>640</v>
      </c>
      <c r="I31" s="7" t="s">
        <v>173</v>
      </c>
      <c r="J31" s="7" t="s">
        <v>111</v>
      </c>
      <c r="K31" s="7" t="s">
        <v>23</v>
      </c>
      <c r="L31" s="7">
        <v>0</v>
      </c>
      <c r="M31">
        <v>1</v>
      </c>
      <c r="O31" t="s">
        <v>176</v>
      </c>
      <c r="P31" t="s">
        <v>24</v>
      </c>
      <c r="Q31" t="s">
        <v>709</v>
      </c>
      <c r="R31" t="s">
        <v>24</v>
      </c>
      <c r="S31" s="19">
        <v>63.72475</v>
      </c>
      <c r="T31" s="19">
        <v>148.95241999999999</v>
      </c>
      <c r="U31" s="6">
        <v>0</v>
      </c>
      <c r="V31" s="6">
        <v>0</v>
      </c>
      <c r="W31" s="6">
        <v>0</v>
      </c>
      <c r="X31" s="6">
        <v>0</v>
      </c>
      <c r="Y31" s="6">
        <v>0</v>
      </c>
      <c r="Z31">
        <v>0</v>
      </c>
      <c r="AA31">
        <f t="shared" si="0"/>
        <v>0</v>
      </c>
      <c r="AC31" t="s">
        <v>1142</v>
      </c>
    </row>
    <row r="32" spans="1:31" x14ac:dyDescent="0.2">
      <c r="A32" t="s">
        <v>1143</v>
      </c>
      <c r="B32" t="s">
        <v>1144</v>
      </c>
      <c r="C32">
        <v>8</v>
      </c>
      <c r="D32">
        <v>1</v>
      </c>
      <c r="E32" t="s">
        <v>138</v>
      </c>
      <c r="F32" s="1">
        <v>43379</v>
      </c>
      <c r="G32" s="2">
        <v>1.5277777777777777E-2</v>
      </c>
      <c r="H32" t="s">
        <v>640</v>
      </c>
      <c r="I32" s="7" t="s">
        <v>173</v>
      </c>
      <c r="J32" s="7" t="s">
        <v>111</v>
      </c>
      <c r="K32" s="7" t="s">
        <v>23</v>
      </c>
      <c r="L32" s="7">
        <v>1</v>
      </c>
      <c r="M32">
        <v>1</v>
      </c>
      <c r="O32" t="s">
        <v>176</v>
      </c>
      <c r="P32" t="s">
        <v>122</v>
      </c>
      <c r="Q32" t="s">
        <v>495</v>
      </c>
      <c r="R32">
        <v>1</v>
      </c>
      <c r="S32" s="19">
        <v>63.724789999999999</v>
      </c>
      <c r="T32" s="19">
        <v>148.95250999999999</v>
      </c>
      <c r="U32" s="6">
        <v>0</v>
      </c>
      <c r="V32" s="6">
        <v>0</v>
      </c>
      <c r="W32" s="6">
        <v>0</v>
      </c>
      <c r="X32" s="6">
        <v>0</v>
      </c>
      <c r="Y32" s="6">
        <v>0</v>
      </c>
      <c r="Z32">
        <v>0</v>
      </c>
      <c r="AA32">
        <f t="shared" si="0"/>
        <v>0</v>
      </c>
      <c r="AC32" t="s">
        <v>1191</v>
      </c>
    </row>
    <row r="33" spans="1:31" x14ac:dyDescent="0.2">
      <c r="A33" t="s">
        <v>1145</v>
      </c>
      <c r="B33" t="s">
        <v>1146</v>
      </c>
      <c r="C33">
        <v>9</v>
      </c>
      <c r="D33">
        <v>1</v>
      </c>
      <c r="E33" t="s">
        <v>138</v>
      </c>
      <c r="F33" s="1">
        <v>43379</v>
      </c>
      <c r="G33" s="2">
        <v>1.2499999999999999E-2</v>
      </c>
      <c r="H33" t="s">
        <v>640</v>
      </c>
      <c r="I33" s="7" t="s">
        <v>173</v>
      </c>
      <c r="J33" s="7" t="s">
        <v>111</v>
      </c>
      <c r="K33" s="7" t="s">
        <v>23</v>
      </c>
      <c r="L33" s="7">
        <v>0</v>
      </c>
      <c r="M33">
        <v>1</v>
      </c>
      <c r="O33" t="s">
        <v>176</v>
      </c>
      <c r="P33" t="s">
        <v>24</v>
      </c>
      <c r="Q33" t="s">
        <v>1035</v>
      </c>
      <c r="R33" t="s">
        <v>24</v>
      </c>
      <c r="S33" s="19">
        <v>63.724919999999997</v>
      </c>
      <c r="T33" s="19">
        <v>148.95245</v>
      </c>
      <c r="U33" s="6">
        <v>0</v>
      </c>
      <c r="V33" s="6">
        <v>0</v>
      </c>
      <c r="W33" s="6">
        <v>0</v>
      </c>
      <c r="X33" s="6">
        <v>0</v>
      </c>
      <c r="Y33" s="6">
        <v>0</v>
      </c>
      <c r="Z33">
        <v>0</v>
      </c>
      <c r="AA33">
        <f t="shared" si="0"/>
        <v>0</v>
      </c>
      <c r="AC33" t="s">
        <v>1147</v>
      </c>
    </row>
    <row r="34" spans="1:31" x14ac:dyDescent="0.2">
      <c r="A34" t="s">
        <v>1145</v>
      </c>
      <c r="B34" t="s">
        <v>1146</v>
      </c>
      <c r="C34">
        <v>9</v>
      </c>
      <c r="D34">
        <v>2</v>
      </c>
      <c r="E34" t="s">
        <v>138</v>
      </c>
      <c r="F34" s="1">
        <v>43379</v>
      </c>
      <c r="G34" s="2">
        <v>1.2499999999999999E-2</v>
      </c>
      <c r="H34" t="s">
        <v>640</v>
      </c>
      <c r="I34" s="7" t="s">
        <v>173</v>
      </c>
      <c r="J34" s="7" t="s">
        <v>111</v>
      </c>
      <c r="K34" s="7" t="s">
        <v>23</v>
      </c>
      <c r="L34" s="7">
        <v>0</v>
      </c>
      <c r="M34">
        <v>1</v>
      </c>
      <c r="O34" t="s">
        <v>176</v>
      </c>
      <c r="P34" t="s">
        <v>24</v>
      </c>
      <c r="Q34" t="s">
        <v>1035</v>
      </c>
      <c r="R34" t="s">
        <v>24</v>
      </c>
      <c r="S34" s="19">
        <v>63.724919999999997</v>
      </c>
      <c r="T34" s="19">
        <v>148.95258000000001</v>
      </c>
      <c r="U34" s="6">
        <v>0</v>
      </c>
      <c r="V34" s="6">
        <v>0</v>
      </c>
      <c r="W34" s="6">
        <v>0</v>
      </c>
      <c r="X34" s="6">
        <v>0</v>
      </c>
      <c r="Y34" s="6">
        <v>0</v>
      </c>
      <c r="Z34">
        <v>0</v>
      </c>
      <c r="AA34">
        <f t="shared" si="0"/>
        <v>0</v>
      </c>
      <c r="AC34" t="s">
        <v>1147</v>
      </c>
    </row>
    <row r="35" spans="1:31" x14ac:dyDescent="0.2">
      <c r="A35" t="s">
        <v>1581</v>
      </c>
      <c r="B35" t="s">
        <v>1557</v>
      </c>
      <c r="C35">
        <v>7</v>
      </c>
      <c r="D35">
        <v>1</v>
      </c>
      <c r="E35" t="s">
        <v>138</v>
      </c>
      <c r="F35" s="1">
        <v>43390</v>
      </c>
      <c r="G35" s="2">
        <v>9.7222222222222224E-3</v>
      </c>
      <c r="H35" t="s">
        <v>398</v>
      </c>
      <c r="I35" s="7" t="s">
        <v>173</v>
      </c>
      <c r="J35" t="s">
        <v>111</v>
      </c>
      <c r="K35" s="7" t="s">
        <v>23</v>
      </c>
      <c r="L35" s="7">
        <v>0</v>
      </c>
      <c r="M35" s="7">
        <v>1</v>
      </c>
      <c r="O35" t="s">
        <v>2128</v>
      </c>
      <c r="P35" s="7" t="s">
        <v>122</v>
      </c>
      <c r="Q35" s="7" t="s">
        <v>1057</v>
      </c>
      <c r="R35">
        <v>8</v>
      </c>
      <c r="S35" s="20">
        <v>63.725540000000002</v>
      </c>
      <c r="T35" s="20">
        <v>148.9563</v>
      </c>
      <c r="U35" s="6">
        <v>0</v>
      </c>
      <c r="V35" s="6">
        <v>0</v>
      </c>
      <c r="W35" s="6">
        <v>0</v>
      </c>
      <c r="X35" s="6">
        <v>0</v>
      </c>
      <c r="Y35" s="6">
        <v>0</v>
      </c>
      <c r="Z35">
        <v>0</v>
      </c>
      <c r="AA35">
        <f t="shared" si="0"/>
        <v>0</v>
      </c>
    </row>
    <row r="36" spans="1:31" x14ac:dyDescent="0.2">
      <c r="A36" t="s">
        <v>1923</v>
      </c>
      <c r="B36" t="s">
        <v>1924</v>
      </c>
      <c r="C36">
        <v>15</v>
      </c>
      <c r="D36">
        <v>1</v>
      </c>
      <c r="E36" t="s">
        <v>138</v>
      </c>
      <c r="F36" s="1">
        <v>43402</v>
      </c>
      <c r="G36" s="2">
        <v>1.5972222222222224E-2</v>
      </c>
      <c r="H36" t="s">
        <v>2028</v>
      </c>
      <c r="I36" t="s">
        <v>173</v>
      </c>
      <c r="J36" s="7" t="s">
        <v>111</v>
      </c>
      <c r="K36" t="s">
        <v>23</v>
      </c>
      <c r="L36">
        <v>0</v>
      </c>
      <c r="M36">
        <v>1</v>
      </c>
      <c r="O36" t="s">
        <v>176</v>
      </c>
      <c r="P36" s="7" t="s">
        <v>1922</v>
      </c>
      <c r="Q36" s="7" t="s">
        <v>495</v>
      </c>
      <c r="R36" s="7" t="s">
        <v>24</v>
      </c>
      <c r="S36" s="20">
        <v>63.725090000000002</v>
      </c>
      <c r="T36" s="20">
        <v>148.96426</v>
      </c>
      <c r="U36" s="6">
        <v>0</v>
      </c>
      <c r="V36" s="6">
        <v>0</v>
      </c>
      <c r="W36" s="6">
        <v>0</v>
      </c>
      <c r="X36" s="6">
        <v>0</v>
      </c>
      <c r="Y36" s="6">
        <v>0</v>
      </c>
      <c r="Z36" s="6">
        <v>0</v>
      </c>
      <c r="AA36">
        <f t="shared" si="0"/>
        <v>0</v>
      </c>
      <c r="AC36" t="s">
        <v>1925</v>
      </c>
    </row>
    <row r="37" spans="1:31" x14ac:dyDescent="0.2">
      <c r="A37" t="s">
        <v>270</v>
      </c>
      <c r="E37" t="s">
        <v>138</v>
      </c>
      <c r="F37" s="1">
        <v>43363</v>
      </c>
      <c r="H37" t="s">
        <v>884</v>
      </c>
      <c r="I37" s="7" t="s">
        <v>173</v>
      </c>
      <c r="J37" s="7" t="s">
        <v>111</v>
      </c>
      <c r="K37" s="7" t="s">
        <v>23</v>
      </c>
      <c r="L37" s="7">
        <v>0</v>
      </c>
      <c r="M37" s="7">
        <v>2</v>
      </c>
      <c r="N37" s="7" t="s">
        <v>490</v>
      </c>
      <c r="O37" t="s">
        <v>176</v>
      </c>
      <c r="P37" s="7" t="s">
        <v>122</v>
      </c>
      <c r="Q37" s="7" t="s">
        <v>886</v>
      </c>
      <c r="R37" s="7" t="s">
        <v>176</v>
      </c>
      <c r="S37" s="20">
        <v>63.726179999999999</v>
      </c>
      <c r="T37" s="20">
        <v>148.96117000000001</v>
      </c>
      <c r="U37" s="6">
        <v>0</v>
      </c>
      <c r="V37" s="6">
        <v>0</v>
      </c>
      <c r="W37" s="6">
        <v>0</v>
      </c>
      <c r="X37" s="6">
        <v>0</v>
      </c>
      <c r="Y37" s="6">
        <v>0</v>
      </c>
      <c r="Z37">
        <v>0</v>
      </c>
      <c r="AA37">
        <f t="shared" si="0"/>
        <v>0</v>
      </c>
      <c r="AC37" t="s">
        <v>887</v>
      </c>
    </row>
    <row r="38" spans="1:31" x14ac:dyDescent="0.2">
      <c r="A38" s="7" t="s">
        <v>630</v>
      </c>
      <c r="B38" s="7" t="s">
        <v>631</v>
      </c>
      <c r="C38" s="7">
        <v>5</v>
      </c>
      <c r="D38" s="7">
        <v>1</v>
      </c>
      <c r="E38" t="s">
        <v>138</v>
      </c>
      <c r="F38" s="1">
        <v>43355</v>
      </c>
      <c r="G38" s="2">
        <v>2.8472222222222222E-2</v>
      </c>
      <c r="H38" t="s">
        <v>398</v>
      </c>
      <c r="I38" s="7" t="s">
        <v>24</v>
      </c>
      <c r="J38" s="7" t="s">
        <v>107</v>
      </c>
      <c r="K38" s="7" t="s">
        <v>23</v>
      </c>
      <c r="L38" s="7" t="s">
        <v>115</v>
      </c>
      <c r="M38">
        <v>1</v>
      </c>
      <c r="O38" t="s">
        <v>176</v>
      </c>
      <c r="P38" s="7" t="s">
        <v>24</v>
      </c>
      <c r="Q38" s="7" t="s">
        <v>23</v>
      </c>
      <c r="R38" s="7" t="s">
        <v>176</v>
      </c>
      <c r="S38" s="20">
        <v>63.726739999999999</v>
      </c>
      <c r="T38" s="20">
        <v>148.95921000000001</v>
      </c>
      <c r="U38" s="6">
        <v>0</v>
      </c>
      <c r="V38" s="6">
        <v>0</v>
      </c>
      <c r="W38" s="6">
        <v>0</v>
      </c>
      <c r="X38" s="6">
        <v>0</v>
      </c>
      <c r="Y38" s="6">
        <v>0</v>
      </c>
      <c r="Z38">
        <v>0</v>
      </c>
      <c r="AA38">
        <f t="shared" si="0"/>
        <v>0</v>
      </c>
      <c r="AC38" t="s">
        <v>634</v>
      </c>
    </row>
    <row r="39" spans="1:31" x14ac:dyDescent="0.2">
      <c r="A39" s="4" t="s">
        <v>707</v>
      </c>
      <c r="B39" s="4" t="s">
        <v>708</v>
      </c>
      <c r="C39" s="4">
        <v>10</v>
      </c>
      <c r="D39" s="4">
        <v>1</v>
      </c>
      <c r="E39" s="4" t="s">
        <v>138</v>
      </c>
      <c r="F39" s="13">
        <v>43358</v>
      </c>
      <c r="G39" s="14">
        <v>1.2499999999999999E-2</v>
      </c>
      <c r="H39" s="4" t="s">
        <v>640</v>
      </c>
      <c r="I39" s="4" t="s">
        <v>24</v>
      </c>
      <c r="J39" s="4" t="s">
        <v>111</v>
      </c>
      <c r="K39" s="4" t="s">
        <v>23</v>
      </c>
      <c r="L39" s="4">
        <v>0</v>
      </c>
      <c r="M39" s="4">
        <v>1</v>
      </c>
      <c r="N39" s="4"/>
      <c r="O39" t="s">
        <v>176</v>
      </c>
      <c r="P39" s="4" t="s">
        <v>24</v>
      </c>
      <c r="Q39" s="4" t="s">
        <v>709</v>
      </c>
      <c r="R39" s="4"/>
      <c r="S39" s="21">
        <v>63.72484</v>
      </c>
      <c r="T39" s="21">
        <v>148.95616000000001</v>
      </c>
      <c r="U39" s="15">
        <v>0</v>
      </c>
      <c r="V39" s="15">
        <v>0</v>
      </c>
      <c r="W39" s="15">
        <v>0</v>
      </c>
      <c r="X39" s="15">
        <v>0</v>
      </c>
      <c r="Y39" s="15">
        <v>0</v>
      </c>
      <c r="Z39">
        <v>0</v>
      </c>
      <c r="AA39">
        <f t="shared" si="0"/>
        <v>0</v>
      </c>
      <c r="AB39" s="4"/>
      <c r="AC39" s="4"/>
      <c r="AD39" s="4"/>
      <c r="AE39" s="4"/>
    </row>
    <row r="40" spans="1:31" x14ac:dyDescent="0.2">
      <c r="A40" s="4" t="s">
        <v>693</v>
      </c>
      <c r="B40" s="4" t="s">
        <v>694</v>
      </c>
      <c r="C40" s="4">
        <v>3</v>
      </c>
      <c r="D40" s="4">
        <v>1</v>
      </c>
      <c r="E40" s="4" t="s">
        <v>138</v>
      </c>
      <c r="F40" s="13">
        <v>43358</v>
      </c>
      <c r="G40" s="14">
        <v>2.7083333333333334E-2</v>
      </c>
      <c r="H40" s="4" t="s">
        <v>640</v>
      </c>
      <c r="I40" s="4" t="s">
        <v>24</v>
      </c>
      <c r="J40" s="4" t="s">
        <v>242</v>
      </c>
      <c r="K40" s="4" t="s">
        <v>23</v>
      </c>
      <c r="L40" s="4">
        <v>1</v>
      </c>
      <c r="M40" s="4">
        <v>1</v>
      </c>
      <c r="N40" s="4"/>
      <c r="O40" t="s">
        <v>2125</v>
      </c>
      <c r="P40" s="4" t="s">
        <v>122</v>
      </c>
      <c r="Q40" s="4" t="s">
        <v>1940</v>
      </c>
      <c r="R40" s="4">
        <v>17</v>
      </c>
      <c r="S40" s="21">
        <v>63.72486</v>
      </c>
      <c r="T40" s="21">
        <v>148.95638</v>
      </c>
      <c r="U40" s="15">
        <v>0</v>
      </c>
      <c r="V40" s="15">
        <v>0</v>
      </c>
      <c r="W40" s="15">
        <v>0</v>
      </c>
      <c r="X40" s="15">
        <v>0</v>
      </c>
      <c r="Y40" s="15">
        <v>0</v>
      </c>
      <c r="Z40">
        <v>0</v>
      </c>
      <c r="AA40">
        <f t="shared" si="0"/>
        <v>0</v>
      </c>
      <c r="AB40" s="4"/>
      <c r="AC40" s="4" t="s">
        <v>691</v>
      </c>
      <c r="AD40" s="4"/>
      <c r="AE40" s="4"/>
    </row>
    <row r="41" spans="1:31" x14ac:dyDescent="0.2">
      <c r="A41" t="s">
        <v>1550</v>
      </c>
      <c r="B41" t="s">
        <v>1551</v>
      </c>
      <c r="C41">
        <v>3</v>
      </c>
      <c r="D41">
        <v>1</v>
      </c>
      <c r="E41" t="s">
        <v>138</v>
      </c>
      <c r="F41" s="1">
        <v>43390</v>
      </c>
      <c r="G41" s="2">
        <v>1.5972222222222224E-2</v>
      </c>
      <c r="H41" t="s">
        <v>398</v>
      </c>
      <c r="I41" s="7" t="s">
        <v>176</v>
      </c>
      <c r="J41" t="s">
        <v>111</v>
      </c>
      <c r="K41" s="7" t="s">
        <v>23</v>
      </c>
      <c r="L41" s="7">
        <v>0</v>
      </c>
      <c r="M41" s="7">
        <v>1</v>
      </c>
      <c r="O41" t="s">
        <v>176</v>
      </c>
      <c r="P41" s="7" t="s">
        <v>24</v>
      </c>
      <c r="Q41" s="7" t="s">
        <v>495</v>
      </c>
      <c r="R41" s="7" t="s">
        <v>24</v>
      </c>
      <c r="S41" s="20">
        <v>63.724910000000001</v>
      </c>
      <c r="T41" s="20">
        <v>148.96313000000001</v>
      </c>
      <c r="U41" s="6">
        <v>0</v>
      </c>
      <c r="V41" s="6">
        <v>0</v>
      </c>
      <c r="W41" s="6">
        <v>0</v>
      </c>
      <c r="X41" s="6">
        <v>0</v>
      </c>
      <c r="Y41" s="6">
        <v>0</v>
      </c>
      <c r="Z41">
        <v>0</v>
      </c>
      <c r="AA41">
        <f t="shared" si="0"/>
        <v>0</v>
      </c>
    </row>
    <row r="42" spans="1:31" x14ac:dyDescent="0.2">
      <c r="A42" t="s">
        <v>270</v>
      </c>
      <c r="E42" t="s">
        <v>138</v>
      </c>
      <c r="F42" s="1">
        <v>43358</v>
      </c>
      <c r="G42" s="2"/>
      <c r="H42" t="s">
        <v>640</v>
      </c>
      <c r="I42" s="7" t="s">
        <v>24</v>
      </c>
      <c r="J42" t="s">
        <v>111</v>
      </c>
      <c r="K42" t="s">
        <v>23</v>
      </c>
      <c r="L42">
        <v>0</v>
      </c>
      <c r="M42" s="7">
        <v>1</v>
      </c>
      <c r="N42" s="7"/>
      <c r="O42" t="s">
        <v>2125</v>
      </c>
      <c r="P42" s="7" t="s">
        <v>115</v>
      </c>
      <c r="Q42" s="7" t="s">
        <v>23</v>
      </c>
      <c r="R42" s="7">
        <v>28</v>
      </c>
      <c r="S42" s="20">
        <v>63.725029999999997</v>
      </c>
      <c r="T42" s="20">
        <v>148.95626999999999</v>
      </c>
      <c r="U42" s="6">
        <v>0</v>
      </c>
      <c r="V42" s="6">
        <v>0</v>
      </c>
      <c r="W42" s="6">
        <v>0</v>
      </c>
      <c r="X42" s="6">
        <v>0</v>
      </c>
      <c r="Y42" s="6">
        <v>0</v>
      </c>
      <c r="Z42">
        <v>0</v>
      </c>
      <c r="AA42">
        <f t="shared" si="0"/>
        <v>0</v>
      </c>
      <c r="AB42" s="9"/>
      <c r="AC42" t="s">
        <v>706</v>
      </c>
    </row>
    <row r="43" spans="1:31" x14ac:dyDescent="0.2">
      <c r="A43" t="s">
        <v>270</v>
      </c>
      <c r="E43" t="s">
        <v>138</v>
      </c>
      <c r="F43" s="1">
        <v>43366</v>
      </c>
      <c r="H43" t="s">
        <v>398</v>
      </c>
      <c r="I43" t="s">
        <v>24</v>
      </c>
      <c r="J43" s="7" t="s">
        <v>111</v>
      </c>
      <c r="K43" s="7" t="s">
        <v>23</v>
      </c>
      <c r="L43" s="7">
        <v>1</v>
      </c>
      <c r="M43">
        <v>1</v>
      </c>
      <c r="O43" t="s">
        <v>14</v>
      </c>
      <c r="P43" t="s">
        <v>122</v>
      </c>
      <c r="Q43" s="7" t="s">
        <v>939</v>
      </c>
      <c r="R43" s="7" t="s">
        <v>940</v>
      </c>
      <c r="S43" s="20">
        <v>63.725430000000003</v>
      </c>
      <c r="T43" s="20">
        <v>148.9597</v>
      </c>
      <c r="U43" s="6">
        <v>0</v>
      </c>
      <c r="V43" s="6">
        <v>0</v>
      </c>
      <c r="W43" s="6">
        <v>0</v>
      </c>
      <c r="X43" s="6">
        <v>0</v>
      </c>
      <c r="Y43" s="6">
        <v>0</v>
      </c>
      <c r="Z43">
        <v>0</v>
      </c>
      <c r="AA43">
        <f t="shared" si="0"/>
        <v>0</v>
      </c>
      <c r="AC43" t="s">
        <v>941</v>
      </c>
    </row>
    <row r="44" spans="1:31" x14ac:dyDescent="0.2">
      <c r="A44" s="7" t="s">
        <v>624</v>
      </c>
      <c r="B44" s="7" t="s">
        <v>625</v>
      </c>
      <c r="C44" s="7">
        <v>3</v>
      </c>
      <c r="D44" s="7">
        <v>1</v>
      </c>
      <c r="E44" t="s">
        <v>138</v>
      </c>
      <c r="F44" s="1">
        <v>43355</v>
      </c>
      <c r="G44" s="2">
        <v>6.2499999999999995E-3</v>
      </c>
      <c r="H44" t="s">
        <v>398</v>
      </c>
      <c r="I44" s="7" t="s">
        <v>177</v>
      </c>
      <c r="J44" s="7" t="s">
        <v>111</v>
      </c>
      <c r="K44" s="7" t="s">
        <v>23</v>
      </c>
      <c r="L44" s="7">
        <v>0</v>
      </c>
      <c r="M44">
        <v>1</v>
      </c>
      <c r="O44" t="s">
        <v>176</v>
      </c>
      <c r="P44" s="7" t="s">
        <v>115</v>
      </c>
      <c r="Q44" s="7" t="s">
        <v>626</v>
      </c>
      <c r="R44" s="7" t="s">
        <v>176</v>
      </c>
      <c r="S44" s="20">
        <v>63.725380000000001</v>
      </c>
      <c r="T44" s="20">
        <v>148.95672999999999</v>
      </c>
      <c r="U44" s="6">
        <v>0</v>
      </c>
      <c r="V44" s="6">
        <v>0</v>
      </c>
      <c r="W44" s="6">
        <v>0</v>
      </c>
      <c r="X44" s="6">
        <v>0</v>
      </c>
      <c r="Y44" s="6">
        <v>0</v>
      </c>
      <c r="Z44">
        <v>0</v>
      </c>
      <c r="AA44">
        <f t="shared" si="0"/>
        <v>0</v>
      </c>
      <c r="AC44" t="s">
        <v>627</v>
      </c>
    </row>
    <row r="45" spans="1:31" x14ac:dyDescent="0.2">
      <c r="A45" t="s">
        <v>632</v>
      </c>
      <c r="B45" t="s">
        <v>633</v>
      </c>
      <c r="C45" s="7">
        <v>7</v>
      </c>
      <c r="D45" s="7">
        <v>1</v>
      </c>
      <c r="E45" t="s">
        <v>138</v>
      </c>
      <c r="F45" s="1">
        <v>43355</v>
      </c>
      <c r="G45" s="2">
        <v>1.3194444444444444E-2</v>
      </c>
      <c r="H45" t="s">
        <v>398</v>
      </c>
      <c r="I45" s="7" t="s">
        <v>177</v>
      </c>
      <c r="J45" s="7" t="s">
        <v>111</v>
      </c>
      <c r="K45" s="7" t="s">
        <v>23</v>
      </c>
      <c r="L45" s="7">
        <v>0</v>
      </c>
      <c r="M45">
        <v>1</v>
      </c>
      <c r="O45" s="7" t="s">
        <v>14</v>
      </c>
      <c r="P45" s="7" t="s">
        <v>115</v>
      </c>
      <c r="Q45" s="7" t="s">
        <v>487</v>
      </c>
      <c r="R45" s="7" t="s">
        <v>176</v>
      </c>
      <c r="S45" s="20">
        <v>63.726410000000001</v>
      </c>
      <c r="T45" s="20">
        <v>148.95836</v>
      </c>
      <c r="U45" s="6">
        <v>0</v>
      </c>
      <c r="V45" s="6">
        <v>0</v>
      </c>
      <c r="W45" s="6">
        <v>0</v>
      </c>
      <c r="X45" s="6">
        <v>0</v>
      </c>
      <c r="Y45" s="6">
        <v>0</v>
      </c>
      <c r="Z45">
        <v>0</v>
      </c>
      <c r="AA45">
        <f t="shared" si="0"/>
        <v>0</v>
      </c>
    </row>
    <row r="46" spans="1:31" x14ac:dyDescent="0.2">
      <c r="A46" s="4" t="s">
        <v>718</v>
      </c>
      <c r="B46" s="4" t="s">
        <v>719</v>
      </c>
      <c r="C46" s="4">
        <v>18</v>
      </c>
      <c r="D46" s="4">
        <v>1</v>
      </c>
      <c r="E46" s="4" t="s">
        <v>138</v>
      </c>
      <c r="F46" s="13">
        <v>43358</v>
      </c>
      <c r="G46" s="14">
        <v>3.9583333333333331E-2</v>
      </c>
      <c r="H46" s="4" t="s">
        <v>640</v>
      </c>
      <c r="I46" s="4" t="s">
        <v>177</v>
      </c>
      <c r="J46" s="4" t="s">
        <v>111</v>
      </c>
      <c r="K46" s="4" t="s">
        <v>23</v>
      </c>
      <c r="L46" s="4">
        <v>0</v>
      </c>
      <c r="M46" s="4">
        <v>2</v>
      </c>
      <c r="N46" s="4" t="s">
        <v>2066</v>
      </c>
      <c r="O46" t="s">
        <v>176</v>
      </c>
      <c r="P46" s="4" t="s">
        <v>24</v>
      </c>
      <c r="Q46" s="4" t="s">
        <v>495</v>
      </c>
      <c r="R46" s="4"/>
      <c r="S46" s="21">
        <v>63.725320000000004</v>
      </c>
      <c r="T46" s="21">
        <v>148.95212000000001</v>
      </c>
      <c r="U46" s="15">
        <v>0</v>
      </c>
      <c r="V46" s="15">
        <v>0</v>
      </c>
      <c r="W46" s="15">
        <v>0</v>
      </c>
      <c r="X46" s="15">
        <v>0</v>
      </c>
      <c r="Y46" s="15">
        <v>0</v>
      </c>
      <c r="Z46">
        <v>0</v>
      </c>
      <c r="AA46">
        <f t="shared" si="0"/>
        <v>0</v>
      </c>
      <c r="AB46" s="4"/>
      <c r="AC46" s="4"/>
      <c r="AD46" s="4"/>
      <c r="AE46" s="4"/>
    </row>
    <row r="47" spans="1:31" x14ac:dyDescent="0.2">
      <c r="A47" t="s">
        <v>891</v>
      </c>
      <c r="B47" t="s">
        <v>894</v>
      </c>
      <c r="C47">
        <v>6</v>
      </c>
      <c r="D47">
        <v>1</v>
      </c>
      <c r="E47" t="s">
        <v>138</v>
      </c>
      <c r="F47" s="1">
        <v>43363</v>
      </c>
      <c r="G47" s="2">
        <v>2.6388888888888889E-2</v>
      </c>
      <c r="H47" t="s">
        <v>884</v>
      </c>
      <c r="I47" t="s">
        <v>177</v>
      </c>
      <c r="J47" s="7" t="s">
        <v>111</v>
      </c>
      <c r="K47" s="7" t="s">
        <v>23</v>
      </c>
      <c r="L47" s="7">
        <v>0</v>
      </c>
      <c r="M47" s="7">
        <v>1</v>
      </c>
      <c r="N47" s="7"/>
      <c r="O47" t="s">
        <v>176</v>
      </c>
      <c r="P47" s="7" t="s">
        <v>24</v>
      </c>
      <c r="Q47" s="7" t="s">
        <v>501</v>
      </c>
      <c r="R47" s="7" t="s">
        <v>176</v>
      </c>
      <c r="S47" s="20">
        <v>63.72569</v>
      </c>
      <c r="T47" s="20">
        <v>148.95882</v>
      </c>
      <c r="U47" s="6">
        <v>0</v>
      </c>
      <c r="V47" s="6">
        <v>0</v>
      </c>
      <c r="W47" s="6">
        <v>0</v>
      </c>
      <c r="X47" s="6">
        <v>0</v>
      </c>
      <c r="Y47" s="6">
        <v>0</v>
      </c>
      <c r="Z47">
        <v>0</v>
      </c>
      <c r="AA47">
        <f t="shared" si="0"/>
        <v>0</v>
      </c>
      <c r="AC47" t="s">
        <v>1087</v>
      </c>
    </row>
    <row r="48" spans="1:31" x14ac:dyDescent="0.2">
      <c r="A48" t="s">
        <v>896</v>
      </c>
      <c r="B48" t="s">
        <v>897</v>
      </c>
      <c r="C48">
        <v>8</v>
      </c>
      <c r="D48">
        <v>1</v>
      </c>
      <c r="E48" t="s">
        <v>138</v>
      </c>
      <c r="F48" s="1">
        <v>43363</v>
      </c>
      <c r="G48" s="2">
        <v>4.027777777777778E-2</v>
      </c>
      <c r="H48" t="s">
        <v>884</v>
      </c>
      <c r="I48" t="s">
        <v>177</v>
      </c>
      <c r="J48" s="7" t="s">
        <v>111</v>
      </c>
      <c r="K48" s="7" t="s">
        <v>23</v>
      </c>
      <c r="L48" s="7">
        <v>0</v>
      </c>
      <c r="M48" s="7">
        <v>1</v>
      </c>
      <c r="N48" s="7"/>
      <c r="O48" t="s">
        <v>176</v>
      </c>
      <c r="P48" s="7" t="s">
        <v>24</v>
      </c>
      <c r="Q48" s="7" t="s">
        <v>115</v>
      </c>
      <c r="R48" s="7" t="s">
        <v>176</v>
      </c>
      <c r="S48" s="20">
        <v>63.724829999999997</v>
      </c>
      <c r="T48" s="20">
        <v>148.95133999999999</v>
      </c>
      <c r="U48" s="6">
        <v>0</v>
      </c>
      <c r="V48" s="6">
        <v>0</v>
      </c>
      <c r="W48" s="6">
        <v>0</v>
      </c>
      <c r="X48" s="6">
        <v>0</v>
      </c>
      <c r="Y48" s="6">
        <v>0</v>
      </c>
      <c r="Z48">
        <v>0</v>
      </c>
      <c r="AA48">
        <f t="shared" si="0"/>
        <v>0</v>
      </c>
    </row>
    <row r="49" spans="1:29" x14ac:dyDescent="0.2">
      <c r="A49" t="s">
        <v>1548</v>
      </c>
      <c r="B49" t="s">
        <v>1549</v>
      </c>
      <c r="C49">
        <v>2</v>
      </c>
      <c r="D49">
        <v>1</v>
      </c>
      <c r="E49" t="s">
        <v>138</v>
      </c>
      <c r="F49" s="1">
        <v>43390</v>
      </c>
      <c r="G49" s="2">
        <v>2.361111111111111E-2</v>
      </c>
      <c r="H49" t="s">
        <v>398</v>
      </c>
      <c r="I49" s="7" t="s">
        <v>177</v>
      </c>
      <c r="J49" t="s">
        <v>156</v>
      </c>
      <c r="K49" s="7" t="s">
        <v>23</v>
      </c>
      <c r="L49" s="7">
        <v>1</v>
      </c>
      <c r="M49" s="7">
        <v>1</v>
      </c>
      <c r="O49" t="s">
        <v>2128</v>
      </c>
      <c r="P49" s="7" t="s">
        <v>122</v>
      </c>
      <c r="Q49" s="7" t="s">
        <v>333</v>
      </c>
      <c r="R49">
        <v>6</v>
      </c>
      <c r="S49" s="20">
        <v>63.725520000000003</v>
      </c>
      <c r="T49" s="20">
        <v>148.95973000000001</v>
      </c>
      <c r="U49" s="7">
        <v>0</v>
      </c>
      <c r="V49" s="6">
        <v>0</v>
      </c>
      <c r="W49" s="6">
        <v>0</v>
      </c>
      <c r="X49" s="6">
        <v>0</v>
      </c>
      <c r="Y49" s="6">
        <v>12</v>
      </c>
      <c r="Z49">
        <v>0</v>
      </c>
      <c r="AA49">
        <f t="shared" si="0"/>
        <v>12</v>
      </c>
    </row>
    <row r="50" spans="1:29" x14ac:dyDescent="0.2">
      <c r="A50" t="s">
        <v>792</v>
      </c>
      <c r="B50" t="s">
        <v>793</v>
      </c>
      <c r="C50">
        <v>1</v>
      </c>
      <c r="D50">
        <v>1</v>
      </c>
      <c r="E50" t="s">
        <v>140</v>
      </c>
      <c r="F50" s="1">
        <v>43360</v>
      </c>
      <c r="G50" s="2">
        <v>0.15555555555555556</v>
      </c>
      <c r="H50" t="s">
        <v>397</v>
      </c>
      <c r="I50" s="7" t="s">
        <v>149</v>
      </c>
      <c r="J50" s="7" t="s">
        <v>242</v>
      </c>
      <c r="K50" s="7" t="s">
        <v>23</v>
      </c>
      <c r="L50" s="7">
        <v>0</v>
      </c>
      <c r="M50">
        <v>1</v>
      </c>
      <c r="O50" s="7" t="s">
        <v>2132</v>
      </c>
      <c r="P50" s="7" t="s">
        <v>24</v>
      </c>
      <c r="Q50" s="7" t="s">
        <v>501</v>
      </c>
      <c r="R50" s="7"/>
      <c r="S50" s="20">
        <v>63.721159999999998</v>
      </c>
      <c r="T50" s="20">
        <v>148.95854</v>
      </c>
      <c r="U50" s="6">
        <v>0</v>
      </c>
      <c r="V50" s="6">
        <v>0</v>
      </c>
      <c r="W50" s="6">
        <v>0</v>
      </c>
      <c r="X50" s="6">
        <v>0</v>
      </c>
      <c r="Y50" s="6">
        <v>0</v>
      </c>
      <c r="Z50">
        <v>0</v>
      </c>
      <c r="AA50">
        <f t="shared" si="0"/>
        <v>0</v>
      </c>
    </row>
    <row r="51" spans="1:29" x14ac:dyDescent="0.2">
      <c r="A51" t="s">
        <v>792</v>
      </c>
      <c r="B51" t="s">
        <v>793</v>
      </c>
      <c r="C51">
        <v>1</v>
      </c>
      <c r="D51">
        <v>2</v>
      </c>
      <c r="E51" t="s">
        <v>140</v>
      </c>
      <c r="F51" s="1">
        <v>43360</v>
      </c>
      <c r="G51" s="2">
        <v>0.15555555555555556</v>
      </c>
      <c r="H51" t="s">
        <v>397</v>
      </c>
      <c r="I51" s="7" t="s">
        <v>149</v>
      </c>
      <c r="J51" s="7" t="s">
        <v>242</v>
      </c>
      <c r="K51" s="7" t="s">
        <v>23</v>
      </c>
      <c r="L51" s="7">
        <v>0</v>
      </c>
      <c r="M51">
        <v>1</v>
      </c>
      <c r="O51" s="7" t="s">
        <v>2132</v>
      </c>
      <c r="P51" s="7" t="s">
        <v>24</v>
      </c>
      <c r="Q51" s="7" t="s">
        <v>2077</v>
      </c>
      <c r="R51" s="7"/>
      <c r="S51" s="20">
        <v>63.72119</v>
      </c>
      <c r="T51" s="20">
        <v>148.95818</v>
      </c>
      <c r="U51" s="6">
        <v>0</v>
      </c>
      <c r="V51" s="6">
        <v>0</v>
      </c>
      <c r="W51" s="6">
        <v>0</v>
      </c>
      <c r="X51" s="6">
        <v>0</v>
      </c>
      <c r="Y51" s="6">
        <v>0</v>
      </c>
      <c r="Z51">
        <v>0</v>
      </c>
      <c r="AA51">
        <f t="shared" si="0"/>
        <v>0</v>
      </c>
    </row>
    <row r="52" spans="1:29" x14ac:dyDescent="0.2">
      <c r="A52" t="s">
        <v>794</v>
      </c>
      <c r="B52" t="s">
        <v>795</v>
      </c>
      <c r="C52">
        <v>2</v>
      </c>
      <c r="D52">
        <v>1</v>
      </c>
      <c r="E52" t="s">
        <v>140</v>
      </c>
      <c r="F52" s="1">
        <v>43360</v>
      </c>
      <c r="G52" s="2">
        <v>5.8333333333333327E-2</v>
      </c>
      <c r="H52" t="s">
        <v>397</v>
      </c>
      <c r="I52" s="7" t="s">
        <v>149</v>
      </c>
      <c r="J52" s="7" t="s">
        <v>111</v>
      </c>
      <c r="K52" s="7" t="s">
        <v>23</v>
      </c>
      <c r="L52" s="7">
        <v>0</v>
      </c>
      <c r="M52" s="7">
        <v>1</v>
      </c>
      <c r="N52" s="7"/>
      <c r="O52" s="7" t="s">
        <v>2132</v>
      </c>
      <c r="P52" s="7" t="s">
        <v>24</v>
      </c>
      <c r="Q52" s="7" t="s">
        <v>796</v>
      </c>
      <c r="R52" s="7"/>
      <c r="S52" s="20">
        <v>63.721150000000002</v>
      </c>
      <c r="T52" s="20">
        <v>148.95850999999999</v>
      </c>
      <c r="U52" s="6">
        <v>0</v>
      </c>
      <c r="V52" s="6">
        <v>0</v>
      </c>
      <c r="W52" s="6">
        <v>0</v>
      </c>
      <c r="X52" s="6">
        <v>0</v>
      </c>
      <c r="Y52" s="6">
        <v>0</v>
      </c>
      <c r="Z52">
        <v>0</v>
      </c>
      <c r="AA52">
        <f t="shared" si="0"/>
        <v>0</v>
      </c>
    </row>
    <row r="53" spans="1:29" x14ac:dyDescent="0.2">
      <c r="A53" t="s">
        <v>1189</v>
      </c>
      <c r="B53" t="s">
        <v>1190</v>
      </c>
      <c r="C53">
        <v>1</v>
      </c>
      <c r="D53">
        <v>1</v>
      </c>
      <c r="E53" t="s">
        <v>140</v>
      </c>
      <c r="F53" s="1">
        <v>43381</v>
      </c>
      <c r="G53" s="2">
        <v>2.361111111111111E-2</v>
      </c>
      <c r="H53" t="s">
        <v>101</v>
      </c>
      <c r="I53" s="7" t="s">
        <v>149</v>
      </c>
      <c r="J53" s="7" t="s">
        <v>187</v>
      </c>
      <c r="K53" s="7" t="s">
        <v>23</v>
      </c>
      <c r="L53" s="7">
        <v>1</v>
      </c>
      <c r="M53" s="7">
        <v>1</v>
      </c>
      <c r="N53" s="7"/>
      <c r="O53" t="s">
        <v>176</v>
      </c>
      <c r="P53" s="7" t="s">
        <v>122</v>
      </c>
      <c r="Q53" s="7" t="s">
        <v>1057</v>
      </c>
      <c r="R53">
        <v>5</v>
      </c>
      <c r="S53" s="19">
        <v>63.7239</v>
      </c>
      <c r="T53" s="19">
        <v>148.94981000000001</v>
      </c>
      <c r="U53" s="6">
        <v>0</v>
      </c>
      <c r="V53" s="6">
        <v>0</v>
      </c>
      <c r="W53" s="6">
        <v>0</v>
      </c>
      <c r="X53" s="6">
        <v>0</v>
      </c>
      <c r="Y53" s="6">
        <v>2</v>
      </c>
      <c r="Z53">
        <v>0</v>
      </c>
      <c r="AA53">
        <f t="shared" si="0"/>
        <v>2</v>
      </c>
    </row>
    <row r="54" spans="1:29" x14ac:dyDescent="0.2">
      <c r="A54" t="s">
        <v>1194</v>
      </c>
      <c r="B54" t="s">
        <v>1195</v>
      </c>
      <c r="C54">
        <v>3</v>
      </c>
      <c r="D54">
        <v>1</v>
      </c>
      <c r="E54" t="s">
        <v>140</v>
      </c>
      <c r="F54" s="1">
        <v>43381</v>
      </c>
      <c r="G54" s="2">
        <v>1.1111111111111112E-2</v>
      </c>
      <c r="H54" t="s">
        <v>640</v>
      </c>
      <c r="I54" s="7" t="s">
        <v>149</v>
      </c>
      <c r="J54" s="7" t="s">
        <v>187</v>
      </c>
      <c r="K54" s="7" t="s">
        <v>1196</v>
      </c>
      <c r="L54" s="7">
        <v>1</v>
      </c>
      <c r="M54" s="7">
        <v>1</v>
      </c>
      <c r="N54" s="7"/>
      <c r="O54" t="s">
        <v>2128</v>
      </c>
      <c r="P54" s="7" t="s">
        <v>122</v>
      </c>
      <c r="Q54" s="7" t="s">
        <v>1217</v>
      </c>
      <c r="R54">
        <v>5</v>
      </c>
      <c r="S54" s="20">
        <v>63.724020000000003</v>
      </c>
      <c r="T54" s="20">
        <v>148.95114000000001</v>
      </c>
      <c r="U54" s="6">
        <v>0</v>
      </c>
      <c r="V54" s="6">
        <v>0</v>
      </c>
      <c r="W54" s="6">
        <v>0</v>
      </c>
      <c r="X54" s="6">
        <v>0</v>
      </c>
      <c r="Y54" s="6">
        <v>0</v>
      </c>
      <c r="Z54">
        <v>0</v>
      </c>
      <c r="AA54">
        <f t="shared" si="0"/>
        <v>0</v>
      </c>
      <c r="AC54" t="s">
        <v>1197</v>
      </c>
    </row>
    <row r="55" spans="1:29" x14ac:dyDescent="0.2">
      <c r="A55" t="s">
        <v>1198</v>
      </c>
      <c r="B55" t="s">
        <v>1199</v>
      </c>
      <c r="C55">
        <v>4</v>
      </c>
      <c r="D55">
        <v>1</v>
      </c>
      <c r="E55" t="s">
        <v>140</v>
      </c>
      <c r="F55" s="1">
        <v>43381</v>
      </c>
      <c r="G55" s="2">
        <v>2.2916666666666669E-2</v>
      </c>
      <c r="H55" t="s">
        <v>640</v>
      </c>
      <c r="I55" s="7" t="s">
        <v>149</v>
      </c>
      <c r="J55" s="7" t="s">
        <v>111</v>
      </c>
      <c r="K55" s="7" t="s">
        <v>23</v>
      </c>
      <c r="L55" s="7">
        <v>1</v>
      </c>
      <c r="M55" s="7">
        <v>1</v>
      </c>
      <c r="N55" s="7"/>
      <c r="O55" t="s">
        <v>176</v>
      </c>
      <c r="P55" s="7" t="s">
        <v>122</v>
      </c>
      <c r="Q55" s="7" t="s">
        <v>1057</v>
      </c>
      <c r="R55">
        <v>2</v>
      </c>
      <c r="S55" s="20">
        <v>63.723999999999997</v>
      </c>
      <c r="T55" s="20">
        <v>148.94900999999999</v>
      </c>
      <c r="U55" s="6">
        <v>0</v>
      </c>
      <c r="V55" s="6">
        <v>0</v>
      </c>
      <c r="W55" s="6">
        <v>0</v>
      </c>
      <c r="X55" s="6">
        <v>0</v>
      </c>
      <c r="Y55" s="6">
        <v>0</v>
      </c>
      <c r="Z55">
        <v>0</v>
      </c>
      <c r="AA55">
        <f t="shared" si="0"/>
        <v>0</v>
      </c>
      <c r="AC55" t="s">
        <v>1197</v>
      </c>
    </row>
    <row r="56" spans="1:29" x14ac:dyDescent="0.2">
      <c r="A56" t="s">
        <v>1204</v>
      </c>
      <c r="B56" t="s">
        <v>1205</v>
      </c>
      <c r="C56">
        <v>7</v>
      </c>
      <c r="D56">
        <v>1</v>
      </c>
      <c r="E56" t="s">
        <v>140</v>
      </c>
      <c r="F56" s="1">
        <v>43381</v>
      </c>
      <c r="G56" s="2">
        <v>2.2916666666666669E-2</v>
      </c>
      <c r="H56" t="s">
        <v>640</v>
      </c>
      <c r="I56" s="7" t="s">
        <v>149</v>
      </c>
      <c r="J56" s="7" t="s">
        <v>111</v>
      </c>
      <c r="K56" s="7" t="s">
        <v>23</v>
      </c>
      <c r="L56" s="7">
        <v>0</v>
      </c>
      <c r="M56" s="7">
        <v>1</v>
      </c>
      <c r="N56" s="7"/>
      <c r="O56" t="s">
        <v>176</v>
      </c>
      <c r="P56" s="7" t="s">
        <v>122</v>
      </c>
      <c r="Q56" s="7" t="s">
        <v>1057</v>
      </c>
      <c r="R56">
        <v>7</v>
      </c>
      <c r="S56" s="20">
        <v>63.724110000000003</v>
      </c>
      <c r="T56" s="20">
        <v>148.95033000000001</v>
      </c>
      <c r="U56" s="6">
        <v>0</v>
      </c>
      <c r="V56" s="6">
        <v>0</v>
      </c>
      <c r="W56" s="6">
        <v>0</v>
      </c>
      <c r="X56" s="6">
        <v>0</v>
      </c>
      <c r="Y56" s="6">
        <v>0</v>
      </c>
      <c r="Z56">
        <v>0</v>
      </c>
      <c r="AA56">
        <f t="shared" si="0"/>
        <v>0</v>
      </c>
      <c r="AC56" t="s">
        <v>1206</v>
      </c>
    </row>
    <row r="57" spans="1:29" x14ac:dyDescent="0.2">
      <c r="A57" t="s">
        <v>1207</v>
      </c>
      <c r="B57" t="s">
        <v>1208</v>
      </c>
      <c r="C57">
        <v>8</v>
      </c>
      <c r="D57">
        <v>1</v>
      </c>
      <c r="E57" t="s">
        <v>140</v>
      </c>
      <c r="F57" s="1">
        <v>43381</v>
      </c>
      <c r="G57" s="2">
        <v>5.4166666666666669E-2</v>
      </c>
      <c r="H57" t="s">
        <v>640</v>
      </c>
      <c r="I57" s="7" t="s">
        <v>149</v>
      </c>
      <c r="J57" s="7" t="s">
        <v>187</v>
      </c>
      <c r="K57" s="7" t="s">
        <v>23</v>
      </c>
      <c r="L57" s="7">
        <v>1</v>
      </c>
      <c r="M57" s="7">
        <v>1</v>
      </c>
      <c r="N57" s="7"/>
      <c r="O57" t="s">
        <v>176</v>
      </c>
      <c r="P57" s="7" t="s">
        <v>122</v>
      </c>
      <c r="Q57" s="7" t="s">
        <v>1057</v>
      </c>
      <c r="R57">
        <v>9</v>
      </c>
      <c r="S57" s="20">
        <v>63.723779999999998</v>
      </c>
      <c r="T57" s="20">
        <v>148.95067</v>
      </c>
      <c r="U57" s="6">
        <v>0</v>
      </c>
      <c r="V57" s="6">
        <v>0</v>
      </c>
      <c r="W57" s="6">
        <v>0</v>
      </c>
      <c r="X57" s="6">
        <v>0</v>
      </c>
      <c r="Y57" s="6">
        <v>3</v>
      </c>
      <c r="Z57">
        <v>0</v>
      </c>
      <c r="AA57">
        <f t="shared" si="0"/>
        <v>3</v>
      </c>
    </row>
    <row r="58" spans="1:29" x14ac:dyDescent="0.2">
      <c r="A58" t="s">
        <v>1231</v>
      </c>
      <c r="B58" t="s">
        <v>1232</v>
      </c>
      <c r="C58">
        <v>4</v>
      </c>
      <c r="D58">
        <v>1</v>
      </c>
      <c r="E58" t="s">
        <v>140</v>
      </c>
      <c r="F58" s="1">
        <v>43382</v>
      </c>
      <c r="G58" s="2">
        <v>6.9444444444444441E-3</v>
      </c>
      <c r="H58" t="s">
        <v>1278</v>
      </c>
      <c r="I58" s="7" t="s">
        <v>149</v>
      </c>
      <c r="J58" s="7" t="s">
        <v>111</v>
      </c>
      <c r="K58" s="7" t="s">
        <v>23</v>
      </c>
      <c r="L58" s="7">
        <v>0</v>
      </c>
      <c r="M58" s="7">
        <v>1</v>
      </c>
      <c r="N58" s="7"/>
      <c r="O58" t="s">
        <v>176</v>
      </c>
      <c r="P58" s="7" t="s">
        <v>24</v>
      </c>
      <c r="Q58" s="7" t="s">
        <v>1233</v>
      </c>
      <c r="R58" s="7" t="s">
        <v>24</v>
      </c>
      <c r="S58" s="20">
        <v>63.724910000000001</v>
      </c>
      <c r="T58" s="20">
        <v>148.94807</v>
      </c>
      <c r="U58" s="6">
        <v>0</v>
      </c>
      <c r="V58" s="6">
        <v>0</v>
      </c>
      <c r="W58" s="6">
        <v>0</v>
      </c>
      <c r="X58" s="6">
        <v>0</v>
      </c>
      <c r="Y58" s="6">
        <v>0</v>
      </c>
      <c r="Z58">
        <v>0</v>
      </c>
      <c r="AA58">
        <f t="shared" si="0"/>
        <v>0</v>
      </c>
    </row>
    <row r="59" spans="1:29" x14ac:dyDescent="0.2">
      <c r="A59" t="s">
        <v>1234</v>
      </c>
      <c r="B59" t="s">
        <v>1235</v>
      </c>
      <c r="C59">
        <v>5</v>
      </c>
      <c r="D59">
        <v>1</v>
      </c>
      <c r="E59" t="s">
        <v>140</v>
      </c>
      <c r="F59" s="1">
        <v>43382</v>
      </c>
      <c r="G59" s="2">
        <v>9.7222222222222224E-3</v>
      </c>
      <c r="H59" t="s">
        <v>1278</v>
      </c>
      <c r="I59" s="7" t="s">
        <v>149</v>
      </c>
      <c r="J59" s="7" t="s">
        <v>111</v>
      </c>
      <c r="K59" s="7" t="s">
        <v>23</v>
      </c>
      <c r="L59" s="7">
        <v>0</v>
      </c>
      <c r="M59" s="7">
        <v>1</v>
      </c>
      <c r="N59" s="7"/>
      <c r="O59" t="s">
        <v>176</v>
      </c>
      <c r="P59" s="7" t="s">
        <v>24</v>
      </c>
      <c r="Q59" s="7" t="s">
        <v>579</v>
      </c>
      <c r="R59" s="7" t="s">
        <v>24</v>
      </c>
      <c r="S59" s="20">
        <v>63.724910000000001</v>
      </c>
      <c r="T59" s="20">
        <v>148.94807</v>
      </c>
      <c r="U59" s="6">
        <v>0</v>
      </c>
      <c r="V59" s="6">
        <v>0</v>
      </c>
      <c r="W59" s="6">
        <v>0</v>
      </c>
      <c r="X59" s="6">
        <v>0</v>
      </c>
      <c r="Y59" s="6">
        <v>0</v>
      </c>
      <c r="Z59">
        <v>0</v>
      </c>
      <c r="AA59">
        <f t="shared" si="0"/>
        <v>0</v>
      </c>
      <c r="AC59" t="s">
        <v>1236</v>
      </c>
    </row>
    <row r="60" spans="1:29" x14ac:dyDescent="0.2">
      <c r="A60" t="s">
        <v>1336</v>
      </c>
      <c r="B60" t="s">
        <v>1337</v>
      </c>
      <c r="C60">
        <v>6</v>
      </c>
      <c r="D60">
        <v>1</v>
      </c>
      <c r="E60" t="s">
        <v>140</v>
      </c>
      <c r="F60" s="1">
        <v>43385</v>
      </c>
      <c r="G60" s="2">
        <v>1.1111111111111112E-2</v>
      </c>
      <c r="H60" t="s">
        <v>398</v>
      </c>
      <c r="I60" s="7" t="s">
        <v>149</v>
      </c>
      <c r="J60" s="7" t="s">
        <v>111</v>
      </c>
      <c r="K60" s="7" t="s">
        <v>23</v>
      </c>
      <c r="L60" s="7">
        <v>0</v>
      </c>
      <c r="M60" s="7">
        <v>1</v>
      </c>
      <c r="O60" t="s">
        <v>2128</v>
      </c>
      <c r="P60" s="7" t="s">
        <v>122</v>
      </c>
      <c r="Q60" s="7" t="s">
        <v>495</v>
      </c>
      <c r="R60" s="7" t="s">
        <v>1332</v>
      </c>
      <c r="S60" s="24">
        <v>63.722360000000002</v>
      </c>
      <c r="T60" s="25">
        <v>148.94931</v>
      </c>
      <c r="U60" s="6">
        <v>0</v>
      </c>
      <c r="V60" s="6">
        <v>0</v>
      </c>
      <c r="W60" s="6">
        <v>0</v>
      </c>
      <c r="X60" s="6">
        <v>0</v>
      </c>
      <c r="Y60" s="6">
        <v>0</v>
      </c>
      <c r="Z60">
        <v>0</v>
      </c>
      <c r="AA60">
        <f t="shared" si="0"/>
        <v>0</v>
      </c>
    </row>
    <row r="61" spans="1:29" x14ac:dyDescent="0.2">
      <c r="A61" t="s">
        <v>270</v>
      </c>
      <c r="D61">
        <v>1</v>
      </c>
      <c r="E61" t="s">
        <v>140</v>
      </c>
      <c r="F61" s="1">
        <v>43382</v>
      </c>
      <c r="H61" t="s">
        <v>1278</v>
      </c>
      <c r="I61" s="7" t="s">
        <v>149</v>
      </c>
      <c r="J61" s="7" t="s">
        <v>111</v>
      </c>
      <c r="K61" s="7" t="s">
        <v>12</v>
      </c>
      <c r="L61" s="7">
        <v>0</v>
      </c>
      <c r="M61" s="7">
        <v>1</v>
      </c>
      <c r="N61" s="7"/>
      <c r="O61" t="s">
        <v>176</v>
      </c>
      <c r="P61" s="7" t="s">
        <v>24</v>
      </c>
      <c r="Q61" s="7" t="s">
        <v>24</v>
      </c>
      <c r="R61" s="7" t="s">
        <v>24</v>
      </c>
      <c r="S61" s="20">
        <v>63.723750000000003</v>
      </c>
      <c r="T61" s="20">
        <v>148.95131000000001</v>
      </c>
      <c r="U61" s="6">
        <v>0</v>
      </c>
      <c r="V61" s="6">
        <v>0</v>
      </c>
      <c r="W61" s="6">
        <v>0</v>
      </c>
      <c r="X61" s="6">
        <v>0</v>
      </c>
      <c r="Y61" s="6">
        <v>0</v>
      </c>
      <c r="Z61">
        <v>0</v>
      </c>
      <c r="AA61">
        <f t="shared" si="0"/>
        <v>0</v>
      </c>
      <c r="AC61" t="s">
        <v>1237</v>
      </c>
    </row>
    <row r="62" spans="1:29" x14ac:dyDescent="0.2">
      <c r="A62" t="s">
        <v>1074</v>
      </c>
      <c r="B62" t="s">
        <v>1075</v>
      </c>
      <c r="C62">
        <v>2</v>
      </c>
      <c r="D62">
        <v>1</v>
      </c>
      <c r="E62" t="s">
        <v>140</v>
      </c>
      <c r="F62" s="1">
        <v>43371</v>
      </c>
      <c r="G62" s="17">
        <v>8.3333333333333332E-3</v>
      </c>
      <c r="H62" t="s">
        <v>483</v>
      </c>
      <c r="I62" t="s">
        <v>670</v>
      </c>
      <c r="J62" s="7" t="s">
        <v>242</v>
      </c>
      <c r="K62" s="7" t="s">
        <v>23</v>
      </c>
      <c r="L62">
        <v>0</v>
      </c>
      <c r="M62">
        <v>1</v>
      </c>
      <c r="O62" t="s">
        <v>2108</v>
      </c>
      <c r="P62" t="s">
        <v>122</v>
      </c>
      <c r="Q62" t="s">
        <v>495</v>
      </c>
      <c r="R62" t="s">
        <v>1076</v>
      </c>
      <c r="S62" s="19">
        <v>63.722380000000001</v>
      </c>
      <c r="T62" s="19">
        <v>148.95303000000001</v>
      </c>
      <c r="U62" s="6">
        <v>0</v>
      </c>
      <c r="V62" s="6">
        <v>0</v>
      </c>
      <c r="W62" s="6">
        <v>0</v>
      </c>
      <c r="X62" s="6">
        <v>0</v>
      </c>
      <c r="Y62" s="6">
        <v>0</v>
      </c>
      <c r="Z62">
        <v>0</v>
      </c>
      <c r="AA62">
        <f t="shared" si="0"/>
        <v>0</v>
      </c>
    </row>
    <row r="63" spans="1:29" x14ac:dyDescent="0.2">
      <c r="A63" t="s">
        <v>1082</v>
      </c>
      <c r="B63" t="s">
        <v>1083</v>
      </c>
      <c r="C63">
        <v>4</v>
      </c>
      <c r="D63">
        <v>1</v>
      </c>
      <c r="E63" t="s">
        <v>140</v>
      </c>
      <c r="F63" s="1">
        <v>43371</v>
      </c>
      <c r="G63" s="2">
        <v>1.4583333333333332E-2</v>
      </c>
      <c r="H63" t="s">
        <v>483</v>
      </c>
      <c r="I63" t="s">
        <v>670</v>
      </c>
      <c r="J63" s="7" t="s">
        <v>111</v>
      </c>
      <c r="K63" s="7" t="s">
        <v>23</v>
      </c>
      <c r="L63">
        <v>0</v>
      </c>
      <c r="M63">
        <v>1</v>
      </c>
      <c r="O63" t="s">
        <v>176</v>
      </c>
      <c r="P63" t="s">
        <v>1080</v>
      </c>
      <c r="Q63" t="s">
        <v>1035</v>
      </c>
      <c r="R63">
        <v>9</v>
      </c>
      <c r="S63" s="19">
        <v>63.722709999999999</v>
      </c>
      <c r="T63" s="19">
        <v>148.9539</v>
      </c>
      <c r="U63" s="6">
        <v>0</v>
      </c>
      <c r="V63" s="6">
        <v>0</v>
      </c>
      <c r="W63" s="6">
        <v>0</v>
      </c>
      <c r="X63" s="6">
        <v>0</v>
      </c>
      <c r="Y63" s="6">
        <v>0</v>
      </c>
      <c r="Z63">
        <v>0</v>
      </c>
      <c r="AA63">
        <f t="shared" si="0"/>
        <v>0</v>
      </c>
    </row>
    <row r="64" spans="1:29" x14ac:dyDescent="0.2">
      <c r="A64" t="s">
        <v>1084</v>
      </c>
      <c r="B64" t="s">
        <v>1085</v>
      </c>
      <c r="C64">
        <v>5</v>
      </c>
      <c r="D64">
        <v>1</v>
      </c>
      <c r="E64" t="s">
        <v>140</v>
      </c>
      <c r="F64" s="1">
        <v>43371</v>
      </c>
      <c r="G64" s="2">
        <v>1.6666666666666666E-2</v>
      </c>
      <c r="H64" t="s">
        <v>483</v>
      </c>
      <c r="I64" t="s">
        <v>670</v>
      </c>
      <c r="J64" s="7" t="s">
        <v>111</v>
      </c>
      <c r="K64" s="7" t="s">
        <v>23</v>
      </c>
      <c r="L64">
        <v>0</v>
      </c>
      <c r="M64">
        <v>1</v>
      </c>
      <c r="O64" t="s">
        <v>176</v>
      </c>
      <c r="P64" t="s">
        <v>1086</v>
      </c>
      <c r="Q64" t="s">
        <v>2061</v>
      </c>
      <c r="R64">
        <v>4</v>
      </c>
      <c r="S64" s="19">
        <v>63.722920000000002</v>
      </c>
      <c r="T64" s="19">
        <v>148.95419000000001</v>
      </c>
      <c r="U64" s="6">
        <v>0</v>
      </c>
      <c r="V64" s="6">
        <v>0</v>
      </c>
      <c r="W64" s="6">
        <v>0</v>
      </c>
      <c r="X64" s="6">
        <v>0</v>
      </c>
      <c r="Y64" s="6">
        <v>0</v>
      </c>
      <c r="Z64">
        <v>0</v>
      </c>
      <c r="AA64">
        <f t="shared" si="0"/>
        <v>0</v>
      </c>
    </row>
    <row r="65" spans="1:31" x14ac:dyDescent="0.2">
      <c r="A65" t="s">
        <v>1084</v>
      </c>
      <c r="B65" t="s">
        <v>1085</v>
      </c>
      <c r="C65">
        <v>5</v>
      </c>
      <c r="D65">
        <v>2</v>
      </c>
      <c r="E65" t="s">
        <v>140</v>
      </c>
      <c r="F65" s="1">
        <v>43371</v>
      </c>
      <c r="G65" s="2">
        <v>1.6666666666666666E-2</v>
      </c>
      <c r="H65" t="s">
        <v>483</v>
      </c>
      <c r="I65" t="s">
        <v>670</v>
      </c>
      <c r="J65" s="7" t="s">
        <v>111</v>
      </c>
      <c r="K65" s="7" t="s">
        <v>23</v>
      </c>
      <c r="L65">
        <v>0</v>
      </c>
      <c r="M65">
        <v>1</v>
      </c>
      <c r="O65" t="s">
        <v>176</v>
      </c>
      <c r="P65" t="s">
        <v>1086</v>
      </c>
      <c r="Q65" t="s">
        <v>2061</v>
      </c>
      <c r="R65">
        <v>10</v>
      </c>
      <c r="S65" s="19">
        <v>63.722839999999998</v>
      </c>
      <c r="T65" s="19">
        <v>148.95433</v>
      </c>
      <c r="U65" s="6">
        <v>0</v>
      </c>
      <c r="V65" s="6">
        <v>0</v>
      </c>
      <c r="W65" s="6">
        <v>0</v>
      </c>
      <c r="X65" s="6">
        <v>0</v>
      </c>
      <c r="Y65" s="6">
        <v>0</v>
      </c>
      <c r="Z65">
        <v>0</v>
      </c>
      <c r="AA65">
        <f t="shared" si="0"/>
        <v>0</v>
      </c>
    </row>
    <row r="66" spans="1:31" x14ac:dyDescent="0.2">
      <c r="A66" t="s">
        <v>1973</v>
      </c>
      <c r="B66" t="s">
        <v>1974</v>
      </c>
      <c r="C66">
        <v>6</v>
      </c>
      <c r="D66">
        <v>1</v>
      </c>
      <c r="E66" t="s">
        <v>140</v>
      </c>
      <c r="F66" s="1">
        <v>43404</v>
      </c>
      <c r="G66" s="2">
        <v>2.5694444444444447E-2</v>
      </c>
      <c r="H66" t="s">
        <v>101</v>
      </c>
      <c r="I66" t="s">
        <v>670</v>
      </c>
      <c r="J66" s="7" t="s">
        <v>111</v>
      </c>
      <c r="K66" t="s">
        <v>23</v>
      </c>
      <c r="L66">
        <v>0</v>
      </c>
      <c r="M66">
        <v>1</v>
      </c>
      <c r="O66" t="s">
        <v>176</v>
      </c>
      <c r="P66" s="7" t="s">
        <v>24</v>
      </c>
      <c r="Q66" s="7" t="s">
        <v>1057</v>
      </c>
      <c r="R66" s="7" t="s">
        <v>24</v>
      </c>
      <c r="S66" s="20">
        <v>63.722760000000001</v>
      </c>
      <c r="T66" s="20">
        <v>148.95087000000001</v>
      </c>
      <c r="U66" s="9">
        <v>0</v>
      </c>
      <c r="V66" s="6">
        <v>0</v>
      </c>
      <c r="W66" s="6">
        <v>0</v>
      </c>
      <c r="X66" s="6">
        <v>0</v>
      </c>
      <c r="Y66" s="6">
        <v>0</v>
      </c>
      <c r="Z66" s="6">
        <v>0</v>
      </c>
      <c r="AA66">
        <f t="shared" ref="AA66:AA129" si="1">SUM(W66:Z66)</f>
        <v>0</v>
      </c>
    </row>
    <row r="67" spans="1:31" x14ac:dyDescent="0.2">
      <c r="A67" t="s">
        <v>1839</v>
      </c>
      <c r="B67" t="s">
        <v>1840</v>
      </c>
      <c r="C67">
        <v>20</v>
      </c>
      <c r="D67">
        <v>1</v>
      </c>
      <c r="E67" t="s">
        <v>140</v>
      </c>
      <c r="F67" s="1">
        <v>43397</v>
      </c>
      <c r="G67" s="2">
        <v>5.6944444444444443E-2</v>
      </c>
      <c r="I67" s="7" t="s">
        <v>670</v>
      </c>
      <c r="J67" s="7" t="s">
        <v>242</v>
      </c>
      <c r="K67" s="7" t="s">
        <v>1841</v>
      </c>
      <c r="L67" s="7">
        <v>0</v>
      </c>
      <c r="M67">
        <v>1</v>
      </c>
      <c r="O67" t="s">
        <v>2118</v>
      </c>
      <c r="P67" s="7" t="s">
        <v>192</v>
      </c>
      <c r="Q67" s="7" t="s">
        <v>1035</v>
      </c>
      <c r="R67" s="7">
        <v>8</v>
      </c>
      <c r="S67" s="20">
        <v>63.724319999999999</v>
      </c>
      <c r="T67" s="20">
        <v>148.95133999999999</v>
      </c>
      <c r="U67" s="6">
        <v>0</v>
      </c>
      <c r="V67" s="6">
        <v>0</v>
      </c>
      <c r="W67" s="6">
        <v>0</v>
      </c>
      <c r="X67" s="6">
        <v>0</v>
      </c>
      <c r="Y67" s="6">
        <v>0</v>
      </c>
      <c r="Z67" s="6">
        <v>0</v>
      </c>
      <c r="AA67">
        <f t="shared" si="1"/>
        <v>0</v>
      </c>
      <c r="AC67" t="s">
        <v>1838</v>
      </c>
    </row>
    <row r="68" spans="1:31" x14ac:dyDescent="0.2">
      <c r="A68" t="s">
        <v>1839</v>
      </c>
      <c r="B68" t="s">
        <v>1840</v>
      </c>
      <c r="C68">
        <v>20</v>
      </c>
      <c r="D68">
        <v>2</v>
      </c>
      <c r="E68" t="s">
        <v>140</v>
      </c>
      <c r="F68" s="1">
        <v>43397</v>
      </c>
      <c r="G68" s="2">
        <v>5.6944444444444443E-2</v>
      </c>
      <c r="I68" s="7" t="s">
        <v>670</v>
      </c>
      <c r="J68" s="7" t="s">
        <v>242</v>
      </c>
      <c r="K68" s="7" t="s">
        <v>1841</v>
      </c>
      <c r="L68" s="7">
        <v>0</v>
      </c>
      <c r="M68">
        <v>1</v>
      </c>
      <c r="O68" t="s">
        <v>2118</v>
      </c>
      <c r="P68" s="7" t="s">
        <v>192</v>
      </c>
      <c r="Q68" s="7" t="s">
        <v>2097</v>
      </c>
      <c r="R68" s="7">
        <v>8</v>
      </c>
      <c r="S68" s="20">
        <v>63.724290000000003</v>
      </c>
      <c r="T68" s="20">
        <v>148.95132000000001</v>
      </c>
      <c r="U68" s="6">
        <v>0</v>
      </c>
      <c r="V68" s="6">
        <v>0</v>
      </c>
      <c r="W68" s="6">
        <v>0</v>
      </c>
      <c r="X68" s="6">
        <v>0</v>
      </c>
      <c r="Y68" s="6">
        <v>0</v>
      </c>
      <c r="Z68" s="6">
        <v>0</v>
      </c>
      <c r="AA68">
        <f t="shared" si="1"/>
        <v>0</v>
      </c>
      <c r="AC68" t="s">
        <v>1838</v>
      </c>
    </row>
    <row r="69" spans="1:31" x14ac:dyDescent="0.2">
      <c r="A69" t="s">
        <v>1849</v>
      </c>
      <c r="B69" t="s">
        <v>1848</v>
      </c>
      <c r="C69">
        <v>24</v>
      </c>
      <c r="D69">
        <v>1</v>
      </c>
      <c r="E69" t="s">
        <v>140</v>
      </c>
      <c r="F69" s="1">
        <v>43397</v>
      </c>
      <c r="G69" s="2">
        <v>1.5972222222222224E-2</v>
      </c>
      <c r="I69" s="7" t="s">
        <v>670</v>
      </c>
      <c r="J69" s="7" t="s">
        <v>111</v>
      </c>
      <c r="K69" s="7" t="s">
        <v>23</v>
      </c>
      <c r="L69" s="7">
        <v>0</v>
      </c>
      <c r="M69">
        <v>1</v>
      </c>
      <c r="O69" t="s">
        <v>176</v>
      </c>
      <c r="P69" s="7" t="s">
        <v>24</v>
      </c>
      <c r="Q69" s="7" t="s">
        <v>709</v>
      </c>
      <c r="R69" s="7" t="s">
        <v>24</v>
      </c>
      <c r="S69" s="20">
        <v>63.722619999999999</v>
      </c>
      <c r="T69" s="20">
        <v>148.95219</v>
      </c>
      <c r="U69" s="6">
        <v>0</v>
      </c>
      <c r="V69" s="6">
        <v>0</v>
      </c>
      <c r="W69" s="6">
        <v>0</v>
      </c>
      <c r="X69" s="6">
        <v>0</v>
      </c>
      <c r="Y69" s="6">
        <v>0</v>
      </c>
      <c r="Z69" s="6">
        <v>0</v>
      </c>
      <c r="AA69">
        <f t="shared" si="1"/>
        <v>0</v>
      </c>
      <c r="AC69" t="s">
        <v>1021</v>
      </c>
    </row>
    <row r="70" spans="1:31" x14ac:dyDescent="0.2">
      <c r="A70" t="s">
        <v>1852</v>
      </c>
      <c r="B70" t="s">
        <v>1853</v>
      </c>
      <c r="C70">
        <v>26</v>
      </c>
      <c r="D70">
        <v>1</v>
      </c>
      <c r="E70" t="s">
        <v>140</v>
      </c>
      <c r="F70" s="1">
        <v>43397</v>
      </c>
      <c r="G70" s="2">
        <v>1.3888888888888888E-2</v>
      </c>
      <c r="I70" s="7" t="s">
        <v>670</v>
      </c>
      <c r="J70" s="7" t="s">
        <v>111</v>
      </c>
      <c r="K70" s="7" t="s">
        <v>23</v>
      </c>
      <c r="L70" s="7">
        <v>0</v>
      </c>
      <c r="M70">
        <v>1</v>
      </c>
      <c r="O70" t="s">
        <v>176</v>
      </c>
      <c r="P70" s="7" t="s">
        <v>1854</v>
      </c>
      <c r="Q70" s="7" t="s">
        <v>263</v>
      </c>
      <c r="R70">
        <v>10</v>
      </c>
      <c r="S70" s="20">
        <v>63.722700000000003</v>
      </c>
      <c r="T70" s="20">
        <v>148.95214999999999</v>
      </c>
      <c r="U70" s="6">
        <v>0</v>
      </c>
      <c r="V70" s="6">
        <v>0</v>
      </c>
      <c r="W70" s="6">
        <v>0</v>
      </c>
      <c r="X70" s="6">
        <v>0</v>
      </c>
      <c r="Y70" s="6">
        <v>0</v>
      </c>
      <c r="Z70" s="6">
        <v>0</v>
      </c>
      <c r="AA70">
        <f t="shared" si="1"/>
        <v>0</v>
      </c>
    </row>
    <row r="71" spans="1:31" x14ac:dyDescent="0.2">
      <c r="A71" t="s">
        <v>1803</v>
      </c>
      <c r="B71" t="s">
        <v>1804</v>
      </c>
      <c r="C71">
        <v>6</v>
      </c>
      <c r="D71">
        <v>1</v>
      </c>
      <c r="E71" t="s">
        <v>140</v>
      </c>
      <c r="F71" s="1">
        <v>43397</v>
      </c>
      <c r="G71" s="2">
        <v>1.9444444444444445E-2</v>
      </c>
      <c r="I71" s="7" t="s">
        <v>670</v>
      </c>
      <c r="J71" s="7" t="s">
        <v>111</v>
      </c>
      <c r="K71" s="7" t="s">
        <v>23</v>
      </c>
      <c r="L71" s="7">
        <v>0</v>
      </c>
      <c r="M71">
        <v>1</v>
      </c>
      <c r="O71" t="s">
        <v>2128</v>
      </c>
      <c r="P71" s="7" t="s">
        <v>122</v>
      </c>
      <c r="Q71" s="7" t="s">
        <v>1805</v>
      </c>
      <c r="R71">
        <v>8</v>
      </c>
      <c r="S71" s="20">
        <v>63.723059999999997</v>
      </c>
      <c r="T71" s="20">
        <v>148.95411999999999</v>
      </c>
      <c r="U71" s="6">
        <v>0</v>
      </c>
      <c r="V71" s="6">
        <v>0</v>
      </c>
      <c r="W71" s="6">
        <v>0</v>
      </c>
      <c r="X71" s="6">
        <v>0</v>
      </c>
      <c r="Y71" s="6">
        <v>0</v>
      </c>
      <c r="Z71" s="6">
        <v>0</v>
      </c>
      <c r="AA71">
        <f t="shared" si="1"/>
        <v>0</v>
      </c>
      <c r="AC71" t="s">
        <v>1806</v>
      </c>
    </row>
    <row r="72" spans="1:31" x14ac:dyDescent="0.2">
      <c r="A72" t="s">
        <v>1809</v>
      </c>
      <c r="B72" t="s">
        <v>1810</v>
      </c>
      <c r="C72">
        <v>8</v>
      </c>
      <c r="D72">
        <v>1</v>
      </c>
      <c r="E72" t="s">
        <v>140</v>
      </c>
      <c r="F72" s="1">
        <v>43397</v>
      </c>
      <c r="G72" s="2">
        <v>9.7916666666666666E-2</v>
      </c>
      <c r="I72" s="7" t="s">
        <v>670</v>
      </c>
      <c r="J72" s="7" t="s">
        <v>187</v>
      </c>
      <c r="K72" s="7" t="s">
        <v>23</v>
      </c>
      <c r="L72" s="7">
        <v>1</v>
      </c>
      <c r="M72">
        <v>1</v>
      </c>
      <c r="O72" t="s">
        <v>176</v>
      </c>
      <c r="P72" s="7" t="s">
        <v>176</v>
      </c>
      <c r="Q72" s="7" t="s">
        <v>2098</v>
      </c>
      <c r="R72" s="7" t="s">
        <v>176</v>
      </c>
      <c r="S72" s="20">
        <v>63.723379999999999</v>
      </c>
      <c r="T72" s="20">
        <v>148.95421999999999</v>
      </c>
      <c r="U72" s="6">
        <f>17+8</f>
        <v>25</v>
      </c>
      <c r="V72" s="6">
        <v>27</v>
      </c>
      <c r="W72" s="6">
        <v>8</v>
      </c>
      <c r="X72" s="6">
        <f>17+27</f>
        <v>44</v>
      </c>
      <c r="Y72" s="6">
        <v>6</v>
      </c>
      <c r="Z72">
        <v>0</v>
      </c>
      <c r="AA72">
        <f t="shared" si="1"/>
        <v>58</v>
      </c>
      <c r="AB72" t="s">
        <v>375</v>
      </c>
      <c r="AC72" t="s">
        <v>1811</v>
      </c>
      <c r="AD72">
        <v>3</v>
      </c>
    </row>
    <row r="73" spans="1:31" x14ac:dyDescent="0.2">
      <c r="A73" t="s">
        <v>1809</v>
      </c>
      <c r="B73" t="s">
        <v>1810</v>
      </c>
      <c r="C73">
        <v>8</v>
      </c>
      <c r="D73">
        <v>2</v>
      </c>
      <c r="E73" t="s">
        <v>140</v>
      </c>
      <c r="F73" s="1">
        <v>43397</v>
      </c>
      <c r="G73" s="2">
        <v>9.7916666666666666E-2</v>
      </c>
      <c r="I73" s="7" t="s">
        <v>670</v>
      </c>
      <c r="J73" s="7" t="s">
        <v>187</v>
      </c>
      <c r="K73" s="7" t="s">
        <v>23</v>
      </c>
      <c r="L73" s="7">
        <v>2</v>
      </c>
      <c r="M73">
        <v>2</v>
      </c>
      <c r="N73" t="s">
        <v>1883</v>
      </c>
      <c r="O73" t="s">
        <v>2128</v>
      </c>
      <c r="P73" s="7" t="s">
        <v>122</v>
      </c>
      <c r="Q73" s="7" t="s">
        <v>2099</v>
      </c>
      <c r="R73" s="7">
        <v>5</v>
      </c>
      <c r="S73" s="20">
        <v>63.723419999999997</v>
      </c>
      <c r="T73" s="20">
        <v>148.95421999999999</v>
      </c>
      <c r="U73" s="6">
        <v>0</v>
      </c>
      <c r="V73" s="6">
        <v>0</v>
      </c>
      <c r="W73" s="6">
        <v>0</v>
      </c>
      <c r="X73" s="6">
        <v>0</v>
      </c>
      <c r="Y73" s="6">
        <v>0</v>
      </c>
      <c r="Z73">
        <v>0</v>
      </c>
      <c r="AA73">
        <f t="shared" si="1"/>
        <v>0</v>
      </c>
      <c r="AB73" t="s">
        <v>375</v>
      </c>
      <c r="AC73" t="s">
        <v>1811</v>
      </c>
      <c r="AD73">
        <v>3</v>
      </c>
    </row>
    <row r="74" spans="1:31" x14ac:dyDescent="0.2">
      <c r="A74" s="7" t="s">
        <v>549</v>
      </c>
      <c r="B74" s="7" t="s">
        <v>550</v>
      </c>
      <c r="C74" s="7">
        <v>3</v>
      </c>
      <c r="D74" s="7">
        <v>1</v>
      </c>
      <c r="E74" s="7" t="s">
        <v>140</v>
      </c>
      <c r="F74" s="10">
        <v>43354</v>
      </c>
      <c r="G74" s="8">
        <v>3.8194444444444441E-2</v>
      </c>
      <c r="H74" s="7" t="s">
        <v>483</v>
      </c>
      <c r="I74" s="7" t="s">
        <v>548</v>
      </c>
      <c r="J74" s="7" t="s">
        <v>159</v>
      </c>
      <c r="K74" s="7" t="s">
        <v>23</v>
      </c>
      <c r="L74" s="7">
        <v>0</v>
      </c>
      <c r="M74" s="7">
        <v>1</v>
      </c>
      <c r="N74" s="7"/>
      <c r="O74" t="s">
        <v>2130</v>
      </c>
      <c r="P74" s="7" t="s">
        <v>122</v>
      </c>
      <c r="Q74" s="7" t="s">
        <v>333</v>
      </c>
      <c r="R74" s="7" t="s">
        <v>176</v>
      </c>
      <c r="S74" s="20">
        <v>63.723739999999999</v>
      </c>
      <c r="T74" s="20">
        <v>148.94995</v>
      </c>
      <c r="U74" s="9">
        <v>0</v>
      </c>
      <c r="V74" s="9">
        <v>0</v>
      </c>
      <c r="W74" s="9">
        <v>0</v>
      </c>
      <c r="X74" s="9">
        <v>0</v>
      </c>
      <c r="Y74" s="9">
        <v>0</v>
      </c>
      <c r="Z74">
        <v>0</v>
      </c>
      <c r="AA74">
        <f t="shared" si="1"/>
        <v>0</v>
      </c>
      <c r="AB74" s="7"/>
      <c r="AC74" s="7" t="s">
        <v>552</v>
      </c>
      <c r="AD74" s="7"/>
      <c r="AE74" s="7"/>
    </row>
    <row r="75" spans="1:31" x14ac:dyDescent="0.2">
      <c r="A75" s="7" t="s">
        <v>549</v>
      </c>
      <c r="B75" s="7" t="s">
        <v>550</v>
      </c>
      <c r="C75" s="7">
        <v>3</v>
      </c>
      <c r="D75" s="7">
        <v>2</v>
      </c>
      <c r="E75" s="7" t="s">
        <v>140</v>
      </c>
      <c r="F75" s="10">
        <v>43354</v>
      </c>
      <c r="G75" s="8">
        <v>3.8194444444444441E-2</v>
      </c>
      <c r="H75" s="7" t="s">
        <v>483</v>
      </c>
      <c r="I75" s="7" t="s">
        <v>548</v>
      </c>
      <c r="J75" s="7" t="s">
        <v>159</v>
      </c>
      <c r="K75" s="7" t="s">
        <v>23</v>
      </c>
      <c r="L75" s="7">
        <v>0</v>
      </c>
      <c r="M75" s="7">
        <v>1</v>
      </c>
      <c r="N75" s="7"/>
      <c r="O75" t="s">
        <v>2130</v>
      </c>
      <c r="P75" s="7" t="s">
        <v>122</v>
      </c>
      <c r="Q75" s="7" t="s">
        <v>1035</v>
      </c>
      <c r="R75" s="7" t="s">
        <v>176</v>
      </c>
      <c r="S75" s="20">
        <v>63.723739999999999</v>
      </c>
      <c r="T75" s="20">
        <v>148.94995</v>
      </c>
      <c r="U75" s="9">
        <v>0</v>
      </c>
      <c r="V75" s="9">
        <v>0</v>
      </c>
      <c r="W75" s="9">
        <v>0</v>
      </c>
      <c r="X75" s="9">
        <v>0</v>
      </c>
      <c r="Y75" s="9">
        <v>0</v>
      </c>
      <c r="Z75">
        <v>0</v>
      </c>
      <c r="AA75">
        <f t="shared" si="1"/>
        <v>0</v>
      </c>
      <c r="AB75" s="7"/>
      <c r="AC75" s="7" t="s">
        <v>2071</v>
      </c>
      <c r="AD75" s="7"/>
      <c r="AE75" s="7"/>
    </row>
    <row r="76" spans="1:31" x14ac:dyDescent="0.2">
      <c r="A76" t="s">
        <v>666</v>
      </c>
      <c r="B76" t="s">
        <v>667</v>
      </c>
      <c r="C76" s="7">
        <v>2</v>
      </c>
      <c r="D76" s="7">
        <v>1</v>
      </c>
      <c r="E76" t="s">
        <v>140</v>
      </c>
      <c r="F76" s="1">
        <v>43357</v>
      </c>
      <c r="G76" s="2">
        <v>7.6388888888888886E-3</v>
      </c>
      <c r="H76" t="s">
        <v>640</v>
      </c>
      <c r="I76" s="7" t="s">
        <v>548</v>
      </c>
      <c r="J76" s="7" t="s">
        <v>111</v>
      </c>
      <c r="K76" s="7" t="s">
        <v>23</v>
      </c>
      <c r="L76" s="7">
        <v>0</v>
      </c>
      <c r="M76">
        <v>1</v>
      </c>
      <c r="O76" t="s">
        <v>176</v>
      </c>
      <c r="P76" s="7" t="s">
        <v>115</v>
      </c>
      <c r="Q76" s="7" t="s">
        <v>495</v>
      </c>
      <c r="R76" s="7"/>
      <c r="S76" s="20">
        <v>63.722520000000003</v>
      </c>
      <c r="T76" s="20">
        <v>148.95232999999999</v>
      </c>
      <c r="U76" s="6">
        <v>0</v>
      </c>
      <c r="V76" s="6">
        <v>0</v>
      </c>
      <c r="W76" s="6">
        <v>0</v>
      </c>
      <c r="X76" s="6">
        <v>0</v>
      </c>
      <c r="Y76" s="6">
        <v>0</v>
      </c>
      <c r="Z76">
        <v>0</v>
      </c>
      <c r="AA76">
        <f t="shared" si="1"/>
        <v>0</v>
      </c>
    </row>
    <row r="77" spans="1:31" x14ac:dyDescent="0.2">
      <c r="A77" t="s">
        <v>982</v>
      </c>
      <c r="B77" t="s">
        <v>983</v>
      </c>
      <c r="C77">
        <v>3</v>
      </c>
      <c r="D77">
        <v>1</v>
      </c>
      <c r="E77" t="s">
        <v>140</v>
      </c>
      <c r="F77" s="1">
        <v>43369</v>
      </c>
      <c r="G77" s="2">
        <v>4.8611111111111112E-2</v>
      </c>
      <c r="H77" t="s">
        <v>398</v>
      </c>
      <c r="I77" t="s">
        <v>548</v>
      </c>
      <c r="J77" s="7" t="s">
        <v>111</v>
      </c>
      <c r="K77" t="s">
        <v>919</v>
      </c>
      <c r="L77">
        <v>0</v>
      </c>
      <c r="M77">
        <v>2</v>
      </c>
      <c r="N77" t="s">
        <v>2066</v>
      </c>
      <c r="O77" t="s">
        <v>176</v>
      </c>
      <c r="P77" t="s">
        <v>24</v>
      </c>
      <c r="Q77" s="7" t="s">
        <v>2081</v>
      </c>
      <c r="R77" s="7" t="s">
        <v>24</v>
      </c>
      <c r="S77" s="20">
        <v>63.724490000000003</v>
      </c>
      <c r="T77" s="20">
        <v>148.95013</v>
      </c>
      <c r="U77" s="6">
        <v>0</v>
      </c>
      <c r="V77" s="6">
        <v>0</v>
      </c>
      <c r="W77" s="6">
        <v>0</v>
      </c>
      <c r="X77" s="6">
        <v>0</v>
      </c>
      <c r="Y77" s="6">
        <v>0</v>
      </c>
      <c r="Z77">
        <v>0</v>
      </c>
      <c r="AA77">
        <f t="shared" si="1"/>
        <v>0</v>
      </c>
      <c r="AC77" t="s">
        <v>1017</v>
      </c>
    </row>
    <row r="78" spans="1:31" x14ac:dyDescent="0.2">
      <c r="A78" t="s">
        <v>982</v>
      </c>
      <c r="B78" t="s">
        <v>983</v>
      </c>
      <c r="C78">
        <v>3</v>
      </c>
      <c r="D78">
        <v>2</v>
      </c>
      <c r="E78" t="s">
        <v>140</v>
      </c>
      <c r="F78" s="1">
        <v>43369</v>
      </c>
      <c r="G78" s="2">
        <v>4.8611111111111112E-2</v>
      </c>
      <c r="H78" t="s">
        <v>398</v>
      </c>
      <c r="I78" t="s">
        <v>548</v>
      </c>
      <c r="J78" s="7" t="s">
        <v>111</v>
      </c>
      <c r="K78" t="s">
        <v>919</v>
      </c>
      <c r="L78">
        <v>0</v>
      </c>
      <c r="M78">
        <v>1</v>
      </c>
      <c r="O78" t="s">
        <v>176</v>
      </c>
      <c r="P78" t="s">
        <v>24</v>
      </c>
      <c r="Q78" s="7" t="s">
        <v>2081</v>
      </c>
      <c r="R78" s="7" t="s">
        <v>24</v>
      </c>
      <c r="S78" s="20">
        <v>63.724469999999997</v>
      </c>
      <c r="T78" s="20">
        <v>148.95013</v>
      </c>
      <c r="U78" s="6">
        <v>0</v>
      </c>
      <c r="V78" s="6">
        <v>0</v>
      </c>
      <c r="W78" s="6">
        <v>0</v>
      </c>
      <c r="X78" s="6">
        <v>0</v>
      </c>
      <c r="Y78" s="6">
        <v>0</v>
      </c>
      <c r="Z78">
        <v>0</v>
      </c>
      <c r="AA78">
        <f t="shared" si="1"/>
        <v>0</v>
      </c>
      <c r="AC78" t="s">
        <v>1017</v>
      </c>
    </row>
    <row r="79" spans="1:31" x14ac:dyDescent="0.2">
      <c r="A79" t="s">
        <v>982</v>
      </c>
      <c r="B79" t="s">
        <v>983</v>
      </c>
      <c r="C79">
        <v>3</v>
      </c>
      <c r="D79">
        <v>3</v>
      </c>
      <c r="E79" t="s">
        <v>140</v>
      </c>
      <c r="F79" s="1">
        <v>43369</v>
      </c>
      <c r="G79" s="2">
        <v>4.8611111111111112E-2</v>
      </c>
      <c r="H79" t="s">
        <v>398</v>
      </c>
      <c r="I79" t="s">
        <v>548</v>
      </c>
      <c r="J79" s="7" t="s">
        <v>111</v>
      </c>
      <c r="K79" t="s">
        <v>919</v>
      </c>
      <c r="L79">
        <v>0</v>
      </c>
      <c r="M79">
        <v>1</v>
      </c>
      <c r="O79" t="s">
        <v>176</v>
      </c>
      <c r="P79" t="s">
        <v>24</v>
      </c>
      <c r="Q79" s="7" t="s">
        <v>2059</v>
      </c>
      <c r="R79" s="7" t="s">
        <v>24</v>
      </c>
      <c r="S79" s="20">
        <v>63.724350000000001</v>
      </c>
      <c r="T79" s="20">
        <v>148.95016000000001</v>
      </c>
      <c r="U79" s="6">
        <v>0</v>
      </c>
      <c r="V79" s="6">
        <v>0</v>
      </c>
      <c r="W79" s="6">
        <v>0</v>
      </c>
      <c r="X79" s="6">
        <v>0</v>
      </c>
      <c r="Y79" s="6">
        <v>0</v>
      </c>
      <c r="Z79">
        <v>0</v>
      </c>
      <c r="AA79">
        <f t="shared" si="1"/>
        <v>0</v>
      </c>
      <c r="AC79" t="s">
        <v>1017</v>
      </c>
    </row>
    <row r="80" spans="1:31" x14ac:dyDescent="0.2">
      <c r="A80" t="s">
        <v>984</v>
      </c>
      <c r="B80" t="s">
        <v>985</v>
      </c>
      <c r="C80">
        <v>4</v>
      </c>
      <c r="D80">
        <v>1</v>
      </c>
      <c r="E80" t="s">
        <v>140</v>
      </c>
      <c r="F80" s="1">
        <v>43369</v>
      </c>
      <c r="G80" s="2">
        <v>4.8611111111111112E-3</v>
      </c>
      <c r="H80" t="s">
        <v>398</v>
      </c>
      <c r="I80" t="s">
        <v>548</v>
      </c>
      <c r="J80" s="7" t="s">
        <v>111</v>
      </c>
      <c r="K80" t="s">
        <v>12</v>
      </c>
      <c r="L80">
        <v>0</v>
      </c>
      <c r="M80">
        <v>1</v>
      </c>
      <c r="O80" t="s">
        <v>176</v>
      </c>
      <c r="P80" t="s">
        <v>125</v>
      </c>
      <c r="Q80" s="7" t="s">
        <v>986</v>
      </c>
      <c r="R80" s="7">
        <v>25</v>
      </c>
      <c r="S80" s="20">
        <v>63.724290000000003</v>
      </c>
      <c r="T80" s="20">
        <v>148.94922</v>
      </c>
      <c r="U80" s="6">
        <v>0</v>
      </c>
      <c r="V80" s="6">
        <v>0</v>
      </c>
      <c r="W80" s="6">
        <v>0</v>
      </c>
      <c r="X80" s="6">
        <v>0</v>
      </c>
      <c r="Y80" s="6">
        <v>0</v>
      </c>
      <c r="Z80">
        <v>0</v>
      </c>
      <c r="AA80">
        <f t="shared" si="1"/>
        <v>0</v>
      </c>
      <c r="AC80" t="s">
        <v>987</v>
      </c>
    </row>
    <row r="81" spans="1:31" x14ac:dyDescent="0.2">
      <c r="A81" s="7" t="s">
        <v>543</v>
      </c>
      <c r="B81" s="7" t="s">
        <v>545</v>
      </c>
      <c r="C81" s="7">
        <v>1</v>
      </c>
      <c r="D81" s="7">
        <v>1</v>
      </c>
      <c r="E81" s="7" t="s">
        <v>140</v>
      </c>
      <c r="F81" s="10">
        <v>43354</v>
      </c>
      <c r="G81" s="8">
        <v>5.5555555555555558E-3</v>
      </c>
      <c r="H81" s="7" t="s">
        <v>483</v>
      </c>
      <c r="I81" s="7" t="s">
        <v>24</v>
      </c>
      <c r="J81" s="7" t="s">
        <v>159</v>
      </c>
      <c r="K81" s="7" t="s">
        <v>23</v>
      </c>
      <c r="L81" s="7">
        <v>0</v>
      </c>
      <c r="M81" s="7">
        <v>1</v>
      </c>
      <c r="N81" s="7"/>
      <c r="O81" t="s">
        <v>176</v>
      </c>
      <c r="P81" s="7" t="s">
        <v>115</v>
      </c>
      <c r="Q81" s="7" t="s">
        <v>544</v>
      </c>
      <c r="R81" s="7" t="s">
        <v>176</v>
      </c>
      <c r="S81" s="20">
        <v>63.723460000000003</v>
      </c>
      <c r="T81" s="20">
        <v>148.94909999999999</v>
      </c>
      <c r="U81" s="9">
        <v>0</v>
      </c>
      <c r="V81" s="9">
        <v>0</v>
      </c>
      <c r="W81" s="9">
        <v>0</v>
      </c>
      <c r="X81" s="9">
        <v>0</v>
      </c>
      <c r="Y81" s="9">
        <v>0</v>
      </c>
      <c r="Z81">
        <v>0</v>
      </c>
      <c r="AA81">
        <f t="shared" si="1"/>
        <v>0</v>
      </c>
      <c r="AB81" s="7"/>
      <c r="AC81" s="7"/>
      <c r="AD81" s="7"/>
      <c r="AE81" s="7"/>
    </row>
    <row r="82" spans="1:31" x14ac:dyDescent="0.2">
      <c r="A82" t="s">
        <v>1073</v>
      </c>
      <c r="B82" t="s">
        <v>1079</v>
      </c>
      <c r="C82">
        <v>1</v>
      </c>
      <c r="D82">
        <v>1</v>
      </c>
      <c r="E82" t="s">
        <v>140</v>
      </c>
      <c r="F82" s="1">
        <v>43371</v>
      </c>
      <c r="G82" s="2">
        <v>9.0277777777777787E-3</v>
      </c>
      <c r="H82" t="s">
        <v>483</v>
      </c>
      <c r="I82" t="s">
        <v>176</v>
      </c>
      <c r="J82" s="7" t="s">
        <v>111</v>
      </c>
      <c r="K82" s="7" t="s">
        <v>23</v>
      </c>
      <c r="L82">
        <v>0</v>
      </c>
      <c r="M82">
        <v>1</v>
      </c>
      <c r="O82" t="s">
        <v>176</v>
      </c>
      <c r="P82" t="s">
        <v>24</v>
      </c>
      <c r="Q82" t="s">
        <v>796</v>
      </c>
      <c r="R82" t="s">
        <v>24</v>
      </c>
      <c r="S82" s="19">
        <v>63.723210000000002</v>
      </c>
      <c r="T82" s="19">
        <v>148.95068000000001</v>
      </c>
      <c r="U82" s="6">
        <v>0</v>
      </c>
      <c r="V82" s="6">
        <v>0</v>
      </c>
      <c r="W82" s="6">
        <v>0</v>
      </c>
      <c r="X82" s="6">
        <v>0</v>
      </c>
      <c r="Y82" s="6">
        <v>0</v>
      </c>
      <c r="Z82">
        <v>0</v>
      </c>
      <c r="AA82">
        <f t="shared" si="1"/>
        <v>0</v>
      </c>
    </row>
    <row r="83" spans="1:31" x14ac:dyDescent="0.2">
      <c r="A83" t="s">
        <v>807</v>
      </c>
      <c r="B83" t="s">
        <v>808</v>
      </c>
      <c r="C83">
        <v>5</v>
      </c>
      <c r="D83">
        <v>1</v>
      </c>
      <c r="E83" t="s">
        <v>140</v>
      </c>
      <c r="F83" s="1">
        <v>43360</v>
      </c>
      <c r="G83" s="2">
        <v>2.6388888888888889E-2</v>
      </c>
      <c r="H83" t="s">
        <v>397</v>
      </c>
      <c r="I83" s="7" t="s">
        <v>24</v>
      </c>
      <c r="J83" s="7" t="s">
        <v>809</v>
      </c>
      <c r="K83" s="7" t="s">
        <v>23</v>
      </c>
      <c r="L83" s="7">
        <v>1</v>
      </c>
      <c r="M83" s="7">
        <v>1</v>
      </c>
      <c r="N83" s="7"/>
      <c r="O83" t="s">
        <v>176</v>
      </c>
      <c r="P83" s="7" t="s">
        <v>122</v>
      </c>
      <c r="Q83" s="7" t="s">
        <v>487</v>
      </c>
      <c r="R83" s="7"/>
      <c r="S83" s="20">
        <v>63.722329999999999</v>
      </c>
      <c r="T83" s="20">
        <v>148.95236</v>
      </c>
      <c r="U83" s="6">
        <v>3</v>
      </c>
      <c r="V83" s="6">
        <v>0</v>
      </c>
      <c r="W83" s="6">
        <v>0</v>
      </c>
      <c r="X83" s="6">
        <v>3</v>
      </c>
      <c r="Y83" s="6">
        <v>0</v>
      </c>
      <c r="Z83">
        <v>0</v>
      </c>
      <c r="AA83">
        <f t="shared" si="1"/>
        <v>3</v>
      </c>
      <c r="AB83" t="s">
        <v>375</v>
      </c>
      <c r="AD83">
        <v>1</v>
      </c>
      <c r="AE83">
        <v>0</v>
      </c>
    </row>
    <row r="84" spans="1:31" x14ac:dyDescent="0.2">
      <c r="A84" t="s">
        <v>322</v>
      </c>
      <c r="B84" t="s">
        <v>318</v>
      </c>
      <c r="C84">
        <v>11</v>
      </c>
      <c r="D84">
        <v>1</v>
      </c>
      <c r="E84" t="s">
        <v>295</v>
      </c>
      <c r="F84" s="1">
        <v>43347</v>
      </c>
      <c r="G84" s="2">
        <v>2.1527777777777781E-2</v>
      </c>
      <c r="I84" t="s">
        <v>241</v>
      </c>
      <c r="J84" t="s">
        <v>187</v>
      </c>
      <c r="K84" t="s">
        <v>23</v>
      </c>
      <c r="L84">
        <v>1</v>
      </c>
      <c r="M84">
        <v>1</v>
      </c>
      <c r="O84" t="s">
        <v>2128</v>
      </c>
      <c r="P84" t="s">
        <v>122</v>
      </c>
      <c r="Q84" t="s">
        <v>134</v>
      </c>
      <c r="R84" t="s">
        <v>115</v>
      </c>
      <c r="S84" s="19">
        <v>63.721429999999998</v>
      </c>
      <c r="T84" s="19">
        <v>148.95343</v>
      </c>
      <c r="U84">
        <v>0</v>
      </c>
      <c r="V84">
        <v>0</v>
      </c>
      <c r="W84">
        <v>0</v>
      </c>
      <c r="X84">
        <v>0</v>
      </c>
      <c r="Y84">
        <v>13</v>
      </c>
      <c r="Z84">
        <v>0</v>
      </c>
      <c r="AA84">
        <f t="shared" si="1"/>
        <v>13</v>
      </c>
      <c r="AB84" t="s">
        <v>103</v>
      </c>
      <c r="AC84" t="s">
        <v>319</v>
      </c>
    </row>
    <row r="85" spans="1:31" x14ac:dyDescent="0.2">
      <c r="A85" t="s">
        <v>300</v>
      </c>
      <c r="B85" t="s">
        <v>301</v>
      </c>
      <c r="C85">
        <v>4</v>
      </c>
      <c r="D85">
        <v>1</v>
      </c>
      <c r="E85" t="s">
        <v>295</v>
      </c>
      <c r="F85" s="1">
        <v>43347</v>
      </c>
      <c r="G85" s="2">
        <v>0.1013888888888889</v>
      </c>
      <c r="I85" t="s">
        <v>241</v>
      </c>
      <c r="J85" t="s">
        <v>302</v>
      </c>
      <c r="K85" t="s">
        <v>23</v>
      </c>
      <c r="L85">
        <v>1</v>
      </c>
      <c r="M85">
        <v>1</v>
      </c>
      <c r="O85" t="s">
        <v>176</v>
      </c>
      <c r="P85" t="s">
        <v>122</v>
      </c>
      <c r="Q85" t="s">
        <v>1270</v>
      </c>
      <c r="R85" t="s">
        <v>176</v>
      </c>
      <c r="S85" s="19">
        <v>63.721440000000001</v>
      </c>
      <c r="T85" s="19">
        <v>148.95258000000001</v>
      </c>
      <c r="U85">
        <v>0</v>
      </c>
      <c r="V85">
        <v>0</v>
      </c>
      <c r="W85">
        <v>0</v>
      </c>
      <c r="X85">
        <v>0</v>
      </c>
      <c r="Y85">
        <v>46</v>
      </c>
      <c r="Z85">
        <v>0</v>
      </c>
      <c r="AA85">
        <f t="shared" si="1"/>
        <v>46</v>
      </c>
      <c r="AB85" t="s">
        <v>303</v>
      </c>
      <c r="AC85" t="s">
        <v>304</v>
      </c>
    </row>
    <row r="86" spans="1:31" x14ac:dyDescent="0.2">
      <c r="A86" t="s">
        <v>305</v>
      </c>
      <c r="B86" t="s">
        <v>306</v>
      </c>
      <c r="C86">
        <v>5</v>
      </c>
      <c r="D86">
        <v>1</v>
      </c>
      <c r="E86" t="s">
        <v>295</v>
      </c>
      <c r="F86" s="1">
        <v>43347</v>
      </c>
      <c r="G86" s="2">
        <v>9.0972222222222218E-2</v>
      </c>
      <c r="I86" t="s">
        <v>241</v>
      </c>
      <c r="J86" t="s">
        <v>187</v>
      </c>
      <c r="K86" t="s">
        <v>23</v>
      </c>
      <c r="L86">
        <v>1</v>
      </c>
      <c r="M86">
        <v>1</v>
      </c>
      <c r="O86" t="s">
        <v>112</v>
      </c>
      <c r="P86" t="s">
        <v>122</v>
      </c>
      <c r="Q86" t="s">
        <v>1263</v>
      </c>
      <c r="R86" t="s">
        <v>176</v>
      </c>
      <c r="S86" s="19">
        <v>63.721400000000003</v>
      </c>
      <c r="T86" s="19">
        <v>148.95255</v>
      </c>
      <c r="U86">
        <v>0</v>
      </c>
      <c r="V86">
        <v>0</v>
      </c>
      <c r="W86">
        <v>0</v>
      </c>
      <c r="X86">
        <v>0</v>
      </c>
      <c r="Y86">
        <v>21</v>
      </c>
      <c r="Z86">
        <v>0</v>
      </c>
      <c r="AA86">
        <f t="shared" si="1"/>
        <v>21</v>
      </c>
      <c r="AB86" t="s">
        <v>103</v>
      </c>
    </row>
    <row r="87" spans="1:31" x14ac:dyDescent="0.2">
      <c r="A87" t="s">
        <v>311</v>
      </c>
      <c r="B87" t="s">
        <v>312</v>
      </c>
      <c r="C87">
        <v>8</v>
      </c>
      <c r="D87">
        <v>1</v>
      </c>
      <c r="E87" t="s">
        <v>295</v>
      </c>
      <c r="F87" s="1">
        <v>43347</v>
      </c>
      <c r="G87" s="2">
        <v>4.6527777777777779E-2</v>
      </c>
      <c r="I87" t="s">
        <v>241</v>
      </c>
      <c r="J87" t="s">
        <v>159</v>
      </c>
      <c r="K87" t="s">
        <v>23</v>
      </c>
      <c r="L87">
        <v>0</v>
      </c>
      <c r="M87">
        <v>1</v>
      </c>
      <c r="O87" t="s">
        <v>176</v>
      </c>
      <c r="P87" t="s">
        <v>115</v>
      </c>
      <c r="Q87" t="s">
        <v>263</v>
      </c>
      <c r="R87" t="s">
        <v>115</v>
      </c>
      <c r="S87" s="19">
        <v>63.721640000000001</v>
      </c>
      <c r="T87" s="19">
        <v>148.95113000000001</v>
      </c>
      <c r="U87">
        <v>0</v>
      </c>
      <c r="V87">
        <v>0</v>
      </c>
      <c r="W87">
        <v>0</v>
      </c>
      <c r="X87">
        <v>0</v>
      </c>
      <c r="Y87">
        <v>0</v>
      </c>
      <c r="Z87">
        <v>0</v>
      </c>
      <c r="AA87">
        <f t="shared" si="1"/>
        <v>0</v>
      </c>
      <c r="AC87" t="s">
        <v>314</v>
      </c>
    </row>
    <row r="88" spans="1:31" x14ac:dyDescent="0.2">
      <c r="A88" t="s">
        <v>315</v>
      </c>
      <c r="B88" t="s">
        <v>316</v>
      </c>
      <c r="C88">
        <v>9</v>
      </c>
      <c r="D88">
        <v>2</v>
      </c>
      <c r="E88" t="s">
        <v>295</v>
      </c>
      <c r="F88" s="1">
        <v>43347</v>
      </c>
      <c r="G88" s="2">
        <v>6.0416666666666667E-2</v>
      </c>
      <c r="I88" t="s">
        <v>241</v>
      </c>
      <c r="J88" t="s">
        <v>187</v>
      </c>
      <c r="K88" t="s">
        <v>23</v>
      </c>
      <c r="L88">
        <v>1</v>
      </c>
      <c r="M88">
        <v>1</v>
      </c>
      <c r="O88" t="s">
        <v>2128</v>
      </c>
      <c r="P88" t="s">
        <v>122</v>
      </c>
      <c r="Q88" t="s">
        <v>495</v>
      </c>
      <c r="R88" t="s">
        <v>176</v>
      </c>
      <c r="S88" s="19">
        <v>63.721629999999998</v>
      </c>
      <c r="T88" s="19">
        <v>148.95177000000001</v>
      </c>
      <c r="U88">
        <v>0</v>
      </c>
      <c r="V88">
        <v>0</v>
      </c>
      <c r="W88">
        <v>0</v>
      </c>
      <c r="X88">
        <v>0</v>
      </c>
      <c r="Y88">
        <v>0</v>
      </c>
      <c r="Z88">
        <v>0</v>
      </c>
      <c r="AA88">
        <f t="shared" si="1"/>
        <v>0</v>
      </c>
    </row>
    <row r="89" spans="1:31" x14ac:dyDescent="0.2">
      <c r="A89" t="s">
        <v>933</v>
      </c>
      <c r="B89" t="s">
        <v>937</v>
      </c>
      <c r="C89">
        <v>2</v>
      </c>
      <c r="D89">
        <v>1</v>
      </c>
      <c r="E89" t="s">
        <v>100</v>
      </c>
      <c r="F89" s="1">
        <v>43367</v>
      </c>
      <c r="G89" s="2">
        <v>1.1111111111111112E-2</v>
      </c>
      <c r="H89" t="s">
        <v>397</v>
      </c>
      <c r="I89" t="s">
        <v>932</v>
      </c>
      <c r="J89" s="7" t="s">
        <v>111</v>
      </c>
      <c r="K89" s="7" t="s">
        <v>23</v>
      </c>
      <c r="L89" s="7">
        <v>0</v>
      </c>
      <c r="M89">
        <v>1</v>
      </c>
      <c r="O89" t="s">
        <v>176</v>
      </c>
      <c r="P89" t="s">
        <v>122</v>
      </c>
      <c r="Q89" s="7" t="s">
        <v>934</v>
      </c>
      <c r="R89" s="7" t="s">
        <v>24</v>
      </c>
      <c r="S89" s="20">
        <v>63.73798</v>
      </c>
      <c r="T89" s="20">
        <v>148.90401</v>
      </c>
      <c r="U89" s="6">
        <v>0</v>
      </c>
      <c r="V89" s="6">
        <v>0</v>
      </c>
      <c r="W89" s="6">
        <v>0</v>
      </c>
      <c r="X89" s="6">
        <v>0</v>
      </c>
      <c r="Y89" s="6">
        <v>0</v>
      </c>
      <c r="Z89">
        <v>0</v>
      </c>
      <c r="AA89">
        <f t="shared" si="1"/>
        <v>0</v>
      </c>
      <c r="AC89" t="s">
        <v>935</v>
      </c>
    </row>
    <row r="90" spans="1:31" x14ac:dyDescent="0.2">
      <c r="A90" t="s">
        <v>389</v>
      </c>
      <c r="B90" t="s">
        <v>390</v>
      </c>
      <c r="C90">
        <v>11</v>
      </c>
      <c r="D90">
        <v>1</v>
      </c>
      <c r="E90" t="s">
        <v>10</v>
      </c>
      <c r="F90" s="1">
        <v>43349</v>
      </c>
      <c r="G90" s="2">
        <v>1.7361111111111112E-2</v>
      </c>
      <c r="H90" t="s">
        <v>398</v>
      </c>
      <c r="I90" t="s">
        <v>363</v>
      </c>
      <c r="J90" t="s">
        <v>111</v>
      </c>
      <c r="K90" t="s">
        <v>23</v>
      </c>
      <c r="L90">
        <v>0</v>
      </c>
      <c r="M90">
        <v>1</v>
      </c>
      <c r="O90" t="s">
        <v>112</v>
      </c>
      <c r="P90" t="s">
        <v>115</v>
      </c>
      <c r="Q90" t="s">
        <v>333</v>
      </c>
      <c r="R90" t="s">
        <v>176</v>
      </c>
      <c r="S90" s="19">
        <v>63.731639999999999</v>
      </c>
      <c r="T90" s="19">
        <v>148.89586</v>
      </c>
      <c r="U90">
        <v>0</v>
      </c>
      <c r="V90">
        <v>0</v>
      </c>
      <c r="W90">
        <v>0</v>
      </c>
      <c r="X90">
        <v>0</v>
      </c>
      <c r="Y90">
        <v>0</v>
      </c>
      <c r="Z90">
        <v>0</v>
      </c>
      <c r="AA90">
        <f t="shared" si="1"/>
        <v>0</v>
      </c>
      <c r="AC90" t="s">
        <v>391</v>
      </c>
    </row>
    <row r="91" spans="1:31" x14ac:dyDescent="0.2">
      <c r="A91" t="s">
        <v>379</v>
      </c>
      <c r="B91" t="s">
        <v>380</v>
      </c>
      <c r="C91">
        <v>8</v>
      </c>
      <c r="D91">
        <v>1</v>
      </c>
      <c r="E91" t="s">
        <v>10</v>
      </c>
      <c r="F91" s="1">
        <v>43349</v>
      </c>
      <c r="G91" s="2">
        <v>1.8749999999999999E-2</v>
      </c>
      <c r="H91" t="s">
        <v>398</v>
      </c>
      <c r="I91" t="s">
        <v>363</v>
      </c>
      <c r="J91" t="s">
        <v>111</v>
      </c>
      <c r="K91" t="s">
        <v>23</v>
      </c>
      <c r="L91">
        <v>1</v>
      </c>
      <c r="M91">
        <v>1</v>
      </c>
      <c r="O91" t="s">
        <v>112</v>
      </c>
      <c r="P91" t="s">
        <v>381</v>
      </c>
      <c r="Q91" t="s">
        <v>1035</v>
      </c>
      <c r="R91" t="s">
        <v>176</v>
      </c>
      <c r="S91" s="19">
        <v>63.731670000000001</v>
      </c>
      <c r="T91" s="19">
        <v>148.89604</v>
      </c>
      <c r="U91">
        <v>0</v>
      </c>
      <c r="V91">
        <v>0</v>
      </c>
      <c r="W91">
        <v>0</v>
      </c>
      <c r="X91">
        <v>0</v>
      </c>
      <c r="Y91">
        <v>0</v>
      </c>
      <c r="Z91">
        <v>0</v>
      </c>
      <c r="AA91">
        <f t="shared" si="1"/>
        <v>0</v>
      </c>
      <c r="AC91" t="s">
        <v>382</v>
      </c>
    </row>
    <row r="92" spans="1:31" x14ac:dyDescent="0.2">
      <c r="A92" t="s">
        <v>449</v>
      </c>
      <c r="B92" t="s">
        <v>450</v>
      </c>
      <c r="C92">
        <v>12</v>
      </c>
      <c r="D92">
        <v>1</v>
      </c>
      <c r="E92" t="s">
        <v>10</v>
      </c>
      <c r="F92" s="1">
        <v>43350</v>
      </c>
      <c r="G92" s="2">
        <v>6.1111111111111116E-2</v>
      </c>
      <c r="H92" t="s">
        <v>398</v>
      </c>
      <c r="I92" t="s">
        <v>363</v>
      </c>
      <c r="J92" t="s">
        <v>227</v>
      </c>
      <c r="K92" t="s">
        <v>23</v>
      </c>
      <c r="L92">
        <v>1</v>
      </c>
      <c r="M92">
        <v>0</v>
      </c>
      <c r="O92" t="s">
        <v>176</v>
      </c>
      <c r="P92" t="s">
        <v>24</v>
      </c>
      <c r="Q92" t="s">
        <v>1272</v>
      </c>
      <c r="R92" t="s">
        <v>115</v>
      </c>
      <c r="S92" s="19">
        <v>63.73207</v>
      </c>
      <c r="T92" s="19">
        <v>148.89914999999999</v>
      </c>
      <c r="U92" s="6">
        <v>9</v>
      </c>
      <c r="V92" s="6">
        <v>0</v>
      </c>
      <c r="W92" s="6">
        <v>9</v>
      </c>
      <c r="X92" s="6">
        <v>0</v>
      </c>
      <c r="Y92" s="6">
        <v>2</v>
      </c>
      <c r="Z92">
        <v>0</v>
      </c>
      <c r="AA92">
        <f t="shared" si="1"/>
        <v>11</v>
      </c>
      <c r="AB92" t="s">
        <v>150</v>
      </c>
      <c r="AC92" t="s">
        <v>451</v>
      </c>
    </row>
    <row r="93" spans="1:31" x14ac:dyDescent="0.2">
      <c r="A93" t="s">
        <v>442</v>
      </c>
      <c r="B93" t="s">
        <v>443</v>
      </c>
      <c r="C93">
        <v>9</v>
      </c>
      <c r="D93">
        <v>1</v>
      </c>
      <c r="E93" t="s">
        <v>10</v>
      </c>
      <c r="F93" s="1">
        <v>43350</v>
      </c>
      <c r="G93" s="2">
        <v>1.5277777777777777E-2</v>
      </c>
      <c r="H93" t="s">
        <v>398</v>
      </c>
      <c r="I93" t="s">
        <v>363</v>
      </c>
      <c r="J93" t="s">
        <v>111</v>
      </c>
      <c r="K93" t="s">
        <v>23</v>
      </c>
      <c r="L93">
        <v>0</v>
      </c>
      <c r="M93">
        <v>1</v>
      </c>
      <c r="O93" t="s">
        <v>112</v>
      </c>
      <c r="P93" t="s">
        <v>115</v>
      </c>
      <c r="Q93" t="s">
        <v>333</v>
      </c>
      <c r="R93" t="s">
        <v>176</v>
      </c>
      <c r="S93" s="19">
        <v>63.731490000000001</v>
      </c>
      <c r="T93" s="19">
        <v>148.89497</v>
      </c>
      <c r="U93" s="6">
        <v>0</v>
      </c>
      <c r="V93" s="6">
        <v>0</v>
      </c>
      <c r="W93" s="6">
        <v>0</v>
      </c>
      <c r="X93" s="6">
        <v>0</v>
      </c>
      <c r="Y93" s="6">
        <v>0</v>
      </c>
      <c r="Z93">
        <v>0</v>
      </c>
      <c r="AA93">
        <f t="shared" si="1"/>
        <v>0</v>
      </c>
      <c r="AC93" t="s">
        <v>444</v>
      </c>
    </row>
    <row r="94" spans="1:31" x14ac:dyDescent="0.2">
      <c r="A94" s="7" t="s">
        <v>570</v>
      </c>
      <c r="B94" s="7" t="s">
        <v>571</v>
      </c>
      <c r="C94" s="7">
        <v>6</v>
      </c>
      <c r="D94" s="7">
        <v>1</v>
      </c>
      <c r="E94" t="s">
        <v>10</v>
      </c>
      <c r="F94" s="1">
        <v>43354</v>
      </c>
      <c r="G94" s="2">
        <v>2.7083333333333334E-2</v>
      </c>
      <c r="H94" t="s">
        <v>483</v>
      </c>
      <c r="I94" s="7" t="s">
        <v>363</v>
      </c>
      <c r="J94" s="7" t="s">
        <v>111</v>
      </c>
      <c r="K94" s="7" t="s">
        <v>12</v>
      </c>
      <c r="L94" s="7">
        <v>0</v>
      </c>
      <c r="M94">
        <v>1</v>
      </c>
      <c r="O94" t="s">
        <v>2108</v>
      </c>
      <c r="P94" s="7" t="s">
        <v>24</v>
      </c>
      <c r="Q94" s="7" t="s">
        <v>2072</v>
      </c>
      <c r="R94" s="7" t="s">
        <v>176</v>
      </c>
      <c r="S94" s="20">
        <v>63.735460000000003</v>
      </c>
      <c r="T94" s="20">
        <v>148.89166</v>
      </c>
      <c r="U94" s="9">
        <v>0</v>
      </c>
      <c r="V94" s="9">
        <v>0</v>
      </c>
      <c r="W94" s="9">
        <v>0</v>
      </c>
      <c r="X94" s="9">
        <v>0</v>
      </c>
      <c r="Y94" s="9">
        <v>0</v>
      </c>
      <c r="Z94">
        <v>0</v>
      </c>
      <c r="AA94">
        <f t="shared" si="1"/>
        <v>0</v>
      </c>
      <c r="AC94" t="s">
        <v>572</v>
      </c>
    </row>
    <row r="95" spans="1:31" x14ac:dyDescent="0.2">
      <c r="A95" t="s">
        <v>679</v>
      </c>
      <c r="B95" t="s">
        <v>680</v>
      </c>
      <c r="C95" s="7">
        <v>4</v>
      </c>
      <c r="D95" s="7">
        <v>1</v>
      </c>
      <c r="E95" t="s">
        <v>10</v>
      </c>
      <c r="F95" s="1">
        <v>43357</v>
      </c>
      <c r="G95" s="2">
        <v>4.0972222222222222E-2</v>
      </c>
      <c r="H95" t="s">
        <v>640</v>
      </c>
      <c r="I95" s="7" t="s">
        <v>363</v>
      </c>
      <c r="J95" s="7" t="s">
        <v>242</v>
      </c>
      <c r="K95" s="7" t="s">
        <v>23</v>
      </c>
      <c r="L95" s="7">
        <v>1</v>
      </c>
      <c r="M95" s="7">
        <v>2</v>
      </c>
      <c r="N95" s="7" t="s">
        <v>2066</v>
      </c>
      <c r="O95" s="7" t="s">
        <v>1618</v>
      </c>
      <c r="P95" s="7" t="s">
        <v>24</v>
      </c>
      <c r="Q95" s="7" t="s">
        <v>495</v>
      </c>
      <c r="R95" s="7"/>
      <c r="S95" s="20">
        <v>63.732939999999999</v>
      </c>
      <c r="T95" s="20">
        <v>148.90082000000001</v>
      </c>
      <c r="U95" s="6">
        <v>0</v>
      </c>
      <c r="V95" s="6">
        <v>0</v>
      </c>
      <c r="W95" s="6">
        <v>0</v>
      </c>
      <c r="X95" s="6">
        <v>0</v>
      </c>
      <c r="Y95" s="6">
        <v>0</v>
      </c>
      <c r="Z95">
        <v>0</v>
      </c>
      <c r="AA95">
        <f t="shared" si="1"/>
        <v>0</v>
      </c>
    </row>
    <row r="96" spans="1:31" x14ac:dyDescent="0.2">
      <c r="A96" t="s">
        <v>679</v>
      </c>
      <c r="B96" t="s">
        <v>680</v>
      </c>
      <c r="C96" s="7">
        <v>4</v>
      </c>
      <c r="D96" s="7">
        <v>2</v>
      </c>
      <c r="E96" t="s">
        <v>10</v>
      </c>
      <c r="F96" s="1">
        <v>43357</v>
      </c>
      <c r="G96" s="2">
        <v>4.0972222222222222E-2</v>
      </c>
      <c r="H96" t="s">
        <v>640</v>
      </c>
      <c r="I96" s="7" t="s">
        <v>363</v>
      </c>
      <c r="J96" s="7" t="s">
        <v>242</v>
      </c>
      <c r="K96" s="7" t="s">
        <v>23</v>
      </c>
      <c r="L96" s="7">
        <v>1</v>
      </c>
      <c r="M96" s="7">
        <v>1</v>
      </c>
      <c r="N96" s="7"/>
      <c r="O96" s="7" t="s">
        <v>1618</v>
      </c>
      <c r="P96" s="7" t="s">
        <v>24</v>
      </c>
      <c r="Q96" s="7" t="s">
        <v>495</v>
      </c>
      <c r="R96" s="7"/>
      <c r="S96" s="20">
        <v>63.732930000000003</v>
      </c>
      <c r="T96" s="20">
        <v>148.90075999999999</v>
      </c>
      <c r="U96" s="6">
        <v>0</v>
      </c>
      <c r="V96" s="6">
        <v>0</v>
      </c>
      <c r="W96" s="6">
        <v>0</v>
      </c>
      <c r="X96" s="6">
        <v>0</v>
      </c>
      <c r="Y96" s="6">
        <v>0</v>
      </c>
      <c r="Z96">
        <v>0</v>
      </c>
      <c r="AA96">
        <f t="shared" si="1"/>
        <v>0</v>
      </c>
    </row>
    <row r="97" spans="1:29" x14ac:dyDescent="0.2">
      <c r="A97" t="s">
        <v>774</v>
      </c>
      <c r="B97" t="s">
        <v>775</v>
      </c>
      <c r="C97" s="7">
        <v>7</v>
      </c>
      <c r="D97" s="7">
        <v>1</v>
      </c>
      <c r="E97" t="s">
        <v>10</v>
      </c>
      <c r="F97" s="1">
        <v>43359</v>
      </c>
      <c r="G97" s="2">
        <v>1.8055555555555557E-2</v>
      </c>
      <c r="H97" t="s">
        <v>398</v>
      </c>
      <c r="I97" s="7" t="s">
        <v>363</v>
      </c>
      <c r="J97" s="7" t="s">
        <v>242</v>
      </c>
      <c r="K97" s="7" t="s">
        <v>23</v>
      </c>
      <c r="L97" s="7">
        <v>0</v>
      </c>
      <c r="M97">
        <v>1</v>
      </c>
      <c r="O97" s="7" t="s">
        <v>2132</v>
      </c>
      <c r="P97" s="7" t="s">
        <v>115</v>
      </c>
      <c r="Q97" s="7" t="s">
        <v>776</v>
      </c>
      <c r="R97" s="7" t="s">
        <v>176</v>
      </c>
      <c r="S97" s="20">
        <v>63.733759999999997</v>
      </c>
      <c r="T97" s="20">
        <v>148.89946</v>
      </c>
      <c r="U97" s="6">
        <v>0</v>
      </c>
      <c r="V97" s="6">
        <v>0</v>
      </c>
      <c r="W97" s="6">
        <v>0</v>
      </c>
      <c r="X97" s="6">
        <v>0</v>
      </c>
      <c r="Y97" s="6">
        <v>0</v>
      </c>
      <c r="Z97">
        <v>0</v>
      </c>
      <c r="AA97">
        <f t="shared" si="1"/>
        <v>0</v>
      </c>
      <c r="AC97" t="s">
        <v>771</v>
      </c>
    </row>
    <row r="98" spans="1:29" x14ac:dyDescent="0.2">
      <c r="A98" t="s">
        <v>960</v>
      </c>
      <c r="B98" t="s">
        <v>961</v>
      </c>
      <c r="C98">
        <v>8</v>
      </c>
      <c r="D98">
        <v>1</v>
      </c>
      <c r="E98" t="s">
        <v>10</v>
      </c>
      <c r="F98" s="1">
        <v>43368</v>
      </c>
      <c r="G98" s="2">
        <v>1.4583333333333332E-2</v>
      </c>
      <c r="H98" t="s">
        <v>398</v>
      </c>
      <c r="I98" t="s">
        <v>363</v>
      </c>
      <c r="J98" s="7" t="s">
        <v>111</v>
      </c>
      <c r="K98" t="s">
        <v>23</v>
      </c>
      <c r="L98" s="7">
        <v>0</v>
      </c>
      <c r="M98">
        <v>1</v>
      </c>
      <c r="O98" s="7" t="s">
        <v>1618</v>
      </c>
      <c r="P98" t="s">
        <v>24</v>
      </c>
      <c r="Q98" s="7" t="s">
        <v>1264</v>
      </c>
      <c r="R98" s="7" t="s">
        <v>24</v>
      </c>
      <c r="S98" s="20">
        <v>63.732529999999997</v>
      </c>
      <c r="T98" s="20">
        <v>148.89622</v>
      </c>
      <c r="U98" s="6">
        <v>0</v>
      </c>
      <c r="V98" s="6">
        <v>0</v>
      </c>
      <c r="W98" s="6">
        <v>0</v>
      </c>
      <c r="X98" s="6">
        <v>0</v>
      </c>
      <c r="Y98" s="6">
        <v>0</v>
      </c>
      <c r="Z98">
        <v>0</v>
      </c>
      <c r="AA98">
        <f t="shared" si="1"/>
        <v>0</v>
      </c>
      <c r="AC98" t="s">
        <v>962</v>
      </c>
    </row>
    <row r="99" spans="1:29" x14ac:dyDescent="0.2">
      <c r="A99" t="s">
        <v>1299</v>
      </c>
      <c r="B99" t="s">
        <v>1300</v>
      </c>
      <c r="C99">
        <v>1</v>
      </c>
      <c r="D99">
        <v>1</v>
      </c>
      <c r="E99" t="s">
        <v>10</v>
      </c>
      <c r="F99" s="1">
        <v>43385</v>
      </c>
      <c r="G99" s="2">
        <v>1.1805555555555555E-2</v>
      </c>
      <c r="H99" t="s">
        <v>398</v>
      </c>
      <c r="I99" s="7" t="s">
        <v>363</v>
      </c>
      <c r="J99" s="7" t="s">
        <v>111</v>
      </c>
      <c r="K99" s="7" t="s">
        <v>23</v>
      </c>
      <c r="L99" s="7">
        <v>0</v>
      </c>
      <c r="M99" s="7">
        <v>1</v>
      </c>
      <c r="O99" t="s">
        <v>176</v>
      </c>
      <c r="P99" s="7" t="s">
        <v>24</v>
      </c>
      <c r="Q99" s="7" t="s">
        <v>709</v>
      </c>
      <c r="R99" s="7" t="s">
        <v>24</v>
      </c>
      <c r="S99" s="20">
        <v>63.733600000000003</v>
      </c>
      <c r="T99" s="20">
        <v>148.89886000000001</v>
      </c>
      <c r="U99" s="6">
        <v>0</v>
      </c>
      <c r="V99" s="6">
        <v>0</v>
      </c>
      <c r="W99" s="6">
        <v>0</v>
      </c>
      <c r="X99" s="6">
        <v>0</v>
      </c>
      <c r="Y99" s="6">
        <v>0</v>
      </c>
      <c r="Z99">
        <v>0</v>
      </c>
      <c r="AA99">
        <f t="shared" si="1"/>
        <v>0</v>
      </c>
    </row>
    <row r="100" spans="1:29" x14ac:dyDescent="0.2">
      <c r="A100" t="s">
        <v>1303</v>
      </c>
      <c r="B100" t="s">
        <v>1304</v>
      </c>
      <c r="C100">
        <v>3</v>
      </c>
      <c r="D100">
        <v>1</v>
      </c>
      <c r="E100" t="s">
        <v>10</v>
      </c>
      <c r="F100" s="1">
        <v>43385</v>
      </c>
      <c r="G100" s="2">
        <v>2.7777777777777776E-2</v>
      </c>
      <c r="H100" t="s">
        <v>398</v>
      </c>
      <c r="I100" s="7" t="s">
        <v>363</v>
      </c>
      <c r="J100" s="7" t="s">
        <v>111</v>
      </c>
      <c r="K100" s="7" t="s">
        <v>23</v>
      </c>
      <c r="L100" s="7">
        <v>0</v>
      </c>
      <c r="M100" s="7">
        <v>2</v>
      </c>
      <c r="N100" s="7" t="s">
        <v>2066</v>
      </c>
      <c r="O100" t="s">
        <v>2128</v>
      </c>
      <c r="P100" s="7" t="s">
        <v>122</v>
      </c>
      <c r="Q100" s="7" t="s">
        <v>333</v>
      </c>
      <c r="R100" s="7">
        <v>4</v>
      </c>
      <c r="S100" s="20">
        <v>63.732779999999998</v>
      </c>
      <c r="T100" s="20">
        <v>148.89912000000001</v>
      </c>
      <c r="U100" s="6">
        <v>0</v>
      </c>
      <c r="V100" s="6">
        <v>0</v>
      </c>
      <c r="W100" s="6">
        <v>0</v>
      </c>
      <c r="X100" s="6">
        <v>0</v>
      </c>
      <c r="Y100" s="6">
        <v>0</v>
      </c>
      <c r="Z100">
        <v>0</v>
      </c>
      <c r="AA100">
        <f t="shared" si="1"/>
        <v>0</v>
      </c>
    </row>
    <row r="101" spans="1:29" x14ac:dyDescent="0.2">
      <c r="A101" t="s">
        <v>1303</v>
      </c>
      <c r="B101" t="s">
        <v>1304</v>
      </c>
      <c r="C101">
        <v>3</v>
      </c>
      <c r="D101">
        <v>2</v>
      </c>
      <c r="E101" t="s">
        <v>10</v>
      </c>
      <c r="F101" s="1">
        <v>43385</v>
      </c>
      <c r="G101" s="2">
        <v>2.7777777777777776E-2</v>
      </c>
      <c r="H101" t="s">
        <v>398</v>
      </c>
      <c r="I101" s="7" t="s">
        <v>363</v>
      </c>
      <c r="J101" s="7" t="s">
        <v>111</v>
      </c>
      <c r="K101" s="7" t="s">
        <v>23</v>
      </c>
      <c r="L101" s="7">
        <v>0</v>
      </c>
      <c r="M101" s="7">
        <v>1</v>
      </c>
      <c r="N101" s="7"/>
      <c r="O101" t="s">
        <v>2128</v>
      </c>
      <c r="P101" s="7" t="s">
        <v>122</v>
      </c>
      <c r="Q101" s="7" t="s">
        <v>2087</v>
      </c>
      <c r="R101" s="7">
        <v>11</v>
      </c>
      <c r="S101" s="20">
        <v>63.732810000000001</v>
      </c>
      <c r="T101" s="20">
        <v>148.89922999999999</v>
      </c>
      <c r="U101" s="6">
        <v>0</v>
      </c>
      <c r="V101" s="6">
        <v>0</v>
      </c>
      <c r="W101" s="6">
        <v>0</v>
      </c>
      <c r="X101" s="6">
        <v>0</v>
      </c>
      <c r="Y101" s="6">
        <v>0</v>
      </c>
      <c r="Z101">
        <v>0</v>
      </c>
      <c r="AA101">
        <f t="shared" si="1"/>
        <v>0</v>
      </c>
    </row>
    <row r="102" spans="1:29" x14ac:dyDescent="0.2">
      <c r="A102" t="s">
        <v>1305</v>
      </c>
      <c r="B102" t="s">
        <v>1306</v>
      </c>
      <c r="C102">
        <v>4</v>
      </c>
      <c r="D102">
        <v>1</v>
      </c>
      <c r="E102" t="s">
        <v>10</v>
      </c>
      <c r="F102" s="1">
        <v>43385</v>
      </c>
      <c r="G102" s="2">
        <v>2.2916666666666669E-2</v>
      </c>
      <c r="H102" t="s">
        <v>398</v>
      </c>
      <c r="I102" s="7" t="s">
        <v>363</v>
      </c>
      <c r="J102" s="7" t="s">
        <v>111</v>
      </c>
      <c r="K102" s="7" t="s">
        <v>1307</v>
      </c>
      <c r="L102" s="7">
        <v>0</v>
      </c>
      <c r="M102" s="7">
        <v>1</v>
      </c>
      <c r="N102" s="7"/>
      <c r="O102" t="s">
        <v>2128</v>
      </c>
      <c r="P102" s="7" t="s">
        <v>122</v>
      </c>
      <c r="Q102" s="7" t="s">
        <v>2063</v>
      </c>
      <c r="R102" s="7">
        <v>35</v>
      </c>
      <c r="S102" s="20">
        <v>63.73254</v>
      </c>
      <c r="T102" s="20">
        <v>148.89954</v>
      </c>
      <c r="U102" s="6">
        <v>0</v>
      </c>
      <c r="V102" s="6">
        <v>0</v>
      </c>
      <c r="W102" s="6">
        <v>0</v>
      </c>
      <c r="X102" s="6">
        <v>0</v>
      </c>
      <c r="Y102" s="6">
        <v>0</v>
      </c>
      <c r="Z102">
        <v>0</v>
      </c>
      <c r="AA102">
        <f t="shared" si="1"/>
        <v>0</v>
      </c>
    </row>
    <row r="103" spans="1:29" x14ac:dyDescent="0.2">
      <c r="A103" t="s">
        <v>1305</v>
      </c>
      <c r="B103" t="s">
        <v>1306</v>
      </c>
      <c r="C103">
        <v>4</v>
      </c>
      <c r="D103">
        <v>2</v>
      </c>
      <c r="E103" t="s">
        <v>10</v>
      </c>
      <c r="F103" s="1">
        <v>43385</v>
      </c>
      <c r="G103" s="2">
        <v>2.2916666666666669E-2</v>
      </c>
      <c r="H103" t="s">
        <v>398</v>
      </c>
      <c r="I103" s="7" t="s">
        <v>363</v>
      </c>
      <c r="J103" s="7" t="s">
        <v>111</v>
      </c>
      <c r="K103" s="7" t="s">
        <v>1307</v>
      </c>
      <c r="L103" s="7">
        <v>0</v>
      </c>
      <c r="M103" s="7">
        <v>1</v>
      </c>
      <c r="N103" s="7"/>
      <c r="O103" t="s">
        <v>2128</v>
      </c>
      <c r="P103" s="7" t="s">
        <v>122</v>
      </c>
      <c r="Q103" s="7" t="s">
        <v>2088</v>
      </c>
      <c r="R103" s="7">
        <v>45</v>
      </c>
      <c r="S103" s="20">
        <v>63.73245</v>
      </c>
      <c r="T103" s="20">
        <v>148.89957000000001</v>
      </c>
      <c r="U103" s="6">
        <v>0</v>
      </c>
      <c r="V103" s="6">
        <v>0</v>
      </c>
      <c r="W103" s="6">
        <v>0</v>
      </c>
      <c r="X103" s="6">
        <v>0</v>
      </c>
      <c r="Y103" s="6">
        <v>0</v>
      </c>
      <c r="Z103">
        <v>0</v>
      </c>
      <c r="AA103">
        <f t="shared" si="1"/>
        <v>0</v>
      </c>
    </row>
    <row r="104" spans="1:29" x14ac:dyDescent="0.2">
      <c r="A104" t="s">
        <v>1648</v>
      </c>
      <c r="B104" t="s">
        <v>1649</v>
      </c>
      <c r="C104">
        <v>19</v>
      </c>
      <c r="D104">
        <v>1</v>
      </c>
      <c r="E104" t="s">
        <v>10</v>
      </c>
      <c r="F104" s="1">
        <v>43392</v>
      </c>
      <c r="G104" s="2">
        <v>1.1111111111111112E-2</v>
      </c>
      <c r="I104" s="7" t="s">
        <v>363</v>
      </c>
      <c r="J104" s="7" t="s">
        <v>111</v>
      </c>
      <c r="K104" s="7" t="s">
        <v>23</v>
      </c>
      <c r="L104" s="7">
        <v>0</v>
      </c>
      <c r="M104" s="7">
        <v>1</v>
      </c>
      <c r="O104" t="s">
        <v>176</v>
      </c>
      <c r="P104" s="7" t="s">
        <v>24</v>
      </c>
      <c r="Q104" s="7" t="s">
        <v>1650</v>
      </c>
      <c r="R104" s="7" t="s">
        <v>24</v>
      </c>
      <c r="S104" s="20">
        <v>63.735639999999997</v>
      </c>
      <c r="T104" s="20">
        <v>148.89315999999999</v>
      </c>
      <c r="U104" s="6">
        <v>0</v>
      </c>
      <c r="V104" s="6">
        <v>0</v>
      </c>
      <c r="W104" s="6">
        <v>0</v>
      </c>
      <c r="X104" s="6">
        <v>0</v>
      </c>
      <c r="Y104" s="6">
        <v>0</v>
      </c>
      <c r="Z104">
        <v>0</v>
      </c>
      <c r="AA104">
        <f t="shared" si="1"/>
        <v>0</v>
      </c>
    </row>
    <row r="105" spans="1:29" x14ac:dyDescent="0.2">
      <c r="A105" t="s">
        <v>1762</v>
      </c>
      <c r="B105" t="s">
        <v>1763</v>
      </c>
      <c r="C105">
        <v>2</v>
      </c>
      <c r="D105">
        <v>1</v>
      </c>
      <c r="E105" t="s">
        <v>10</v>
      </c>
      <c r="F105" s="1">
        <v>43397</v>
      </c>
      <c r="G105" s="2">
        <v>1.1805555555555555E-2</v>
      </c>
      <c r="I105" s="7" t="s">
        <v>363</v>
      </c>
      <c r="J105" s="7" t="s">
        <v>111</v>
      </c>
      <c r="K105" s="7" t="s">
        <v>23</v>
      </c>
      <c r="L105" s="7">
        <v>0</v>
      </c>
      <c r="M105">
        <v>1</v>
      </c>
      <c r="O105" t="s">
        <v>176</v>
      </c>
      <c r="P105" s="7" t="s">
        <v>948</v>
      </c>
      <c r="Q105" s="7" t="s">
        <v>1035</v>
      </c>
      <c r="R105">
        <v>5</v>
      </c>
      <c r="S105" s="20">
        <v>63.736159999999998</v>
      </c>
      <c r="T105" s="20">
        <v>148.89746</v>
      </c>
      <c r="U105" s="6">
        <v>0</v>
      </c>
      <c r="V105" s="6">
        <v>0</v>
      </c>
      <c r="W105" s="6">
        <v>0</v>
      </c>
      <c r="X105" s="6">
        <v>0</v>
      </c>
      <c r="Y105" s="6">
        <v>0</v>
      </c>
      <c r="Z105" s="6">
        <v>0</v>
      </c>
      <c r="AA105">
        <f t="shared" si="1"/>
        <v>0</v>
      </c>
    </row>
    <row r="106" spans="1:29" x14ac:dyDescent="0.2">
      <c r="A106" t="s">
        <v>1881</v>
      </c>
      <c r="B106" t="s">
        <v>1882</v>
      </c>
      <c r="C106">
        <v>10</v>
      </c>
      <c r="D106">
        <v>1</v>
      </c>
      <c r="E106" t="s">
        <v>10</v>
      </c>
      <c r="F106" s="1">
        <v>43398</v>
      </c>
      <c r="G106" s="2">
        <v>6.5972222222222224E-2</v>
      </c>
      <c r="I106" s="7" t="s">
        <v>363</v>
      </c>
      <c r="J106" s="7" t="s">
        <v>242</v>
      </c>
      <c r="K106" s="7" t="s">
        <v>23</v>
      </c>
      <c r="L106" s="7">
        <v>1</v>
      </c>
      <c r="M106">
        <v>1</v>
      </c>
      <c r="O106" t="s">
        <v>2125</v>
      </c>
      <c r="P106" s="7" t="s">
        <v>122</v>
      </c>
      <c r="Q106" s="7" t="s">
        <v>2101</v>
      </c>
      <c r="R106">
        <v>9</v>
      </c>
      <c r="S106" s="20">
        <v>63.732770000000002</v>
      </c>
      <c r="T106" s="20">
        <v>148.89867000000001</v>
      </c>
      <c r="U106" s="6">
        <v>0</v>
      </c>
      <c r="V106" s="6">
        <v>0</v>
      </c>
      <c r="W106" s="6">
        <v>0</v>
      </c>
      <c r="X106" s="6">
        <v>0</v>
      </c>
      <c r="Y106" s="6">
        <v>0</v>
      </c>
      <c r="Z106" s="6">
        <v>0</v>
      </c>
      <c r="AA106">
        <f t="shared" si="1"/>
        <v>0</v>
      </c>
    </row>
    <row r="107" spans="1:29" x14ac:dyDescent="0.2">
      <c r="A107" t="s">
        <v>1881</v>
      </c>
      <c r="B107" t="s">
        <v>1882</v>
      </c>
      <c r="C107">
        <v>10</v>
      </c>
      <c r="D107">
        <v>2</v>
      </c>
      <c r="E107" t="s">
        <v>10</v>
      </c>
      <c r="F107" s="1">
        <v>43398</v>
      </c>
      <c r="G107" s="2">
        <v>6.5972222222222224E-2</v>
      </c>
      <c r="I107" s="7" t="s">
        <v>363</v>
      </c>
      <c r="J107" s="7" t="s">
        <v>242</v>
      </c>
      <c r="K107" s="7" t="s">
        <v>23</v>
      </c>
      <c r="L107" s="7">
        <v>1</v>
      </c>
      <c r="M107">
        <v>1</v>
      </c>
      <c r="O107" t="s">
        <v>2125</v>
      </c>
      <c r="P107" s="7" t="s">
        <v>122</v>
      </c>
      <c r="Q107" s="7" t="s">
        <v>1035</v>
      </c>
      <c r="R107">
        <v>9</v>
      </c>
      <c r="S107" s="20">
        <v>63.732770000000002</v>
      </c>
      <c r="T107" s="20">
        <v>148.89867000000001</v>
      </c>
      <c r="U107" s="6">
        <v>0</v>
      </c>
      <c r="V107" s="6">
        <v>0</v>
      </c>
      <c r="W107" s="6">
        <v>0</v>
      </c>
      <c r="X107" s="6">
        <v>0</v>
      </c>
      <c r="Y107" s="6">
        <v>0</v>
      </c>
      <c r="Z107" s="6">
        <v>0</v>
      </c>
      <c r="AA107">
        <f t="shared" si="1"/>
        <v>0</v>
      </c>
      <c r="AB107" t="s">
        <v>2102</v>
      </c>
    </row>
    <row r="108" spans="1:29" x14ac:dyDescent="0.2">
      <c r="A108" t="s">
        <v>1884</v>
      </c>
      <c r="B108" t="s">
        <v>1885</v>
      </c>
      <c r="C108">
        <v>11</v>
      </c>
      <c r="D108">
        <v>1</v>
      </c>
      <c r="E108" t="s">
        <v>10</v>
      </c>
      <c r="F108" s="1">
        <v>43398</v>
      </c>
      <c r="G108" s="2">
        <v>1.9444444444444445E-2</v>
      </c>
      <c r="I108" s="7" t="s">
        <v>363</v>
      </c>
      <c r="J108" s="7" t="s">
        <v>111</v>
      </c>
      <c r="K108" s="7" t="s">
        <v>23</v>
      </c>
      <c r="L108" s="7">
        <v>0</v>
      </c>
      <c r="M108">
        <v>1</v>
      </c>
      <c r="O108" t="s">
        <v>2125</v>
      </c>
      <c r="P108" s="7" t="s">
        <v>122</v>
      </c>
      <c r="Q108" s="7" t="s">
        <v>1035</v>
      </c>
      <c r="R108">
        <v>25</v>
      </c>
      <c r="S108" s="20">
        <v>63.733040000000003</v>
      </c>
      <c r="T108" s="20">
        <v>148.89887999999999</v>
      </c>
      <c r="U108" s="6">
        <v>0</v>
      </c>
      <c r="V108" s="6">
        <v>0</v>
      </c>
      <c r="W108" s="6">
        <v>0</v>
      </c>
      <c r="X108" s="6">
        <v>0</v>
      </c>
      <c r="Y108" s="6">
        <v>0</v>
      </c>
      <c r="Z108" s="6">
        <v>0</v>
      </c>
      <c r="AA108">
        <f t="shared" si="1"/>
        <v>0</v>
      </c>
      <c r="AC108" t="s">
        <v>1886</v>
      </c>
    </row>
    <row r="109" spans="1:29" x14ac:dyDescent="0.2">
      <c r="A109" t="s">
        <v>1887</v>
      </c>
      <c r="B109" t="s">
        <v>1888</v>
      </c>
      <c r="C109">
        <v>12</v>
      </c>
      <c r="D109">
        <v>1</v>
      </c>
      <c r="E109" t="s">
        <v>10</v>
      </c>
      <c r="F109" s="1">
        <v>43398</v>
      </c>
      <c r="G109" s="2">
        <v>3.4722222222222224E-2</v>
      </c>
      <c r="I109" s="7" t="s">
        <v>363</v>
      </c>
      <c r="J109" s="7" t="s">
        <v>111</v>
      </c>
      <c r="K109" s="7" t="s">
        <v>23</v>
      </c>
      <c r="L109" s="7">
        <v>0</v>
      </c>
      <c r="M109">
        <v>1</v>
      </c>
      <c r="O109" t="s">
        <v>2125</v>
      </c>
      <c r="P109" s="7" t="s">
        <v>122</v>
      </c>
      <c r="Q109" s="7" t="s">
        <v>1035</v>
      </c>
      <c r="R109">
        <v>30</v>
      </c>
      <c r="S109" s="20">
        <v>63.733040000000003</v>
      </c>
      <c r="T109" s="20">
        <v>148.89893000000001</v>
      </c>
      <c r="U109" s="6">
        <v>0</v>
      </c>
      <c r="V109" s="6">
        <v>0</v>
      </c>
      <c r="W109" s="6">
        <v>0</v>
      </c>
      <c r="X109" s="6">
        <v>0</v>
      </c>
      <c r="Y109" s="6">
        <v>0</v>
      </c>
      <c r="Z109" s="6">
        <v>0</v>
      </c>
      <c r="AA109">
        <f t="shared" si="1"/>
        <v>0</v>
      </c>
      <c r="AC109" t="s">
        <v>1889</v>
      </c>
    </row>
    <row r="110" spans="1:29" x14ac:dyDescent="0.2">
      <c r="A110" t="s">
        <v>1887</v>
      </c>
      <c r="B110" t="s">
        <v>1888</v>
      </c>
      <c r="C110">
        <v>12</v>
      </c>
      <c r="D110">
        <v>2</v>
      </c>
      <c r="E110" t="s">
        <v>10</v>
      </c>
      <c r="F110" s="1">
        <v>43398</v>
      </c>
      <c r="G110" s="2">
        <v>3.4722222222222224E-2</v>
      </c>
      <c r="I110" s="7" t="s">
        <v>363</v>
      </c>
      <c r="J110" s="7" t="s">
        <v>111</v>
      </c>
      <c r="K110" s="7" t="s">
        <v>23</v>
      </c>
      <c r="L110" s="7">
        <v>0</v>
      </c>
      <c r="M110">
        <v>1</v>
      </c>
      <c r="O110" t="s">
        <v>2125</v>
      </c>
      <c r="P110" s="7" t="s">
        <v>122</v>
      </c>
      <c r="Q110" s="7" t="s">
        <v>1035</v>
      </c>
      <c r="R110">
        <v>30</v>
      </c>
      <c r="S110" s="20">
        <v>63.733020000000003</v>
      </c>
      <c r="T110" s="20">
        <v>148.89896999999999</v>
      </c>
      <c r="U110" s="6">
        <v>0</v>
      </c>
      <c r="V110" s="6">
        <v>0</v>
      </c>
      <c r="W110" s="6">
        <v>0</v>
      </c>
      <c r="X110" s="6">
        <v>0</v>
      </c>
      <c r="Y110" s="6">
        <v>0</v>
      </c>
      <c r="Z110" s="6">
        <v>0</v>
      </c>
      <c r="AA110">
        <f t="shared" si="1"/>
        <v>0</v>
      </c>
      <c r="AC110" t="s">
        <v>1889</v>
      </c>
    </row>
    <row r="111" spans="1:29" x14ac:dyDescent="0.2">
      <c r="A111" t="s">
        <v>392</v>
      </c>
      <c r="B111" t="s">
        <v>393</v>
      </c>
      <c r="C111">
        <v>12</v>
      </c>
      <c r="D111">
        <v>1</v>
      </c>
      <c r="E111" t="s">
        <v>10</v>
      </c>
      <c r="F111" s="1">
        <v>43349</v>
      </c>
      <c r="G111" s="2">
        <v>8.9583333333333334E-2</v>
      </c>
      <c r="H111" t="s">
        <v>398</v>
      </c>
      <c r="I111" t="s">
        <v>64</v>
      </c>
      <c r="J111" t="s">
        <v>111</v>
      </c>
      <c r="K111" t="s">
        <v>23</v>
      </c>
      <c r="L111">
        <v>1</v>
      </c>
      <c r="M111">
        <v>1</v>
      </c>
      <c r="O111" t="s">
        <v>176</v>
      </c>
      <c r="P111" t="s">
        <v>2059</v>
      </c>
      <c r="Q111" t="s">
        <v>333</v>
      </c>
      <c r="R111" t="s">
        <v>176</v>
      </c>
      <c r="S111" s="19">
        <v>63.731960000000001</v>
      </c>
      <c r="T111" s="19">
        <v>148.89534</v>
      </c>
      <c r="U111">
        <v>6</v>
      </c>
      <c r="V111">
        <v>6</v>
      </c>
      <c r="W111">
        <v>0</v>
      </c>
      <c r="X111">
        <v>12</v>
      </c>
      <c r="Y111">
        <v>20</v>
      </c>
      <c r="Z111">
        <v>0</v>
      </c>
      <c r="AA111">
        <f t="shared" si="1"/>
        <v>32</v>
      </c>
      <c r="AC111" t="s">
        <v>394</v>
      </c>
    </row>
    <row r="112" spans="1:29" x14ac:dyDescent="0.2">
      <c r="A112" t="s">
        <v>426</v>
      </c>
      <c r="B112" t="s">
        <v>427</v>
      </c>
      <c r="C112">
        <v>2</v>
      </c>
      <c r="D112">
        <v>1</v>
      </c>
      <c r="E112" t="s">
        <v>10</v>
      </c>
      <c r="F112" s="1">
        <v>43350</v>
      </c>
      <c r="G112" s="2">
        <v>6.458333333333334E-2</v>
      </c>
      <c r="H112" t="s">
        <v>398</v>
      </c>
      <c r="I112" t="s">
        <v>64</v>
      </c>
      <c r="J112" t="s">
        <v>242</v>
      </c>
      <c r="K112" t="s">
        <v>23</v>
      </c>
      <c r="L112">
        <v>0</v>
      </c>
      <c r="M112">
        <v>1</v>
      </c>
      <c r="O112" t="s">
        <v>425</v>
      </c>
      <c r="P112" t="s">
        <v>115</v>
      </c>
      <c r="Q112" t="s">
        <v>1035</v>
      </c>
      <c r="R112" t="s">
        <v>115</v>
      </c>
      <c r="S112" s="19">
        <v>63.731299999999997</v>
      </c>
      <c r="T112" s="19">
        <v>148.89637999999999</v>
      </c>
      <c r="U112" s="6">
        <v>0</v>
      </c>
      <c r="V112" s="6">
        <v>0</v>
      </c>
      <c r="W112" s="6">
        <v>0</v>
      </c>
      <c r="X112" s="6">
        <v>0</v>
      </c>
      <c r="Y112" s="6">
        <v>0</v>
      </c>
      <c r="Z112">
        <v>0</v>
      </c>
      <c r="AA112">
        <f t="shared" si="1"/>
        <v>0</v>
      </c>
      <c r="AC112" t="s">
        <v>428</v>
      </c>
    </row>
    <row r="113" spans="1:31" x14ac:dyDescent="0.2">
      <c r="A113" t="s">
        <v>673</v>
      </c>
      <c r="B113" t="s">
        <v>674</v>
      </c>
      <c r="C113" s="7">
        <v>2</v>
      </c>
      <c r="D113" s="7">
        <v>1</v>
      </c>
      <c r="E113" t="s">
        <v>10</v>
      </c>
      <c r="F113" s="1">
        <v>43357</v>
      </c>
      <c r="G113" s="2">
        <v>3.7499999999999999E-2</v>
      </c>
      <c r="H113" t="s">
        <v>640</v>
      </c>
      <c r="I113" s="7" t="s">
        <v>64</v>
      </c>
      <c r="J113" s="7" t="s">
        <v>242</v>
      </c>
      <c r="K113" s="7" t="s">
        <v>23</v>
      </c>
      <c r="L113" s="7">
        <v>1</v>
      </c>
      <c r="M113">
        <v>3</v>
      </c>
      <c r="N113" s="7" t="s">
        <v>2066</v>
      </c>
      <c r="O113" t="s">
        <v>176</v>
      </c>
      <c r="P113" s="7" t="s">
        <v>675</v>
      </c>
      <c r="Q113" s="7" t="s">
        <v>676</v>
      </c>
      <c r="R113" s="7"/>
      <c r="S113" s="20">
        <v>63.73272</v>
      </c>
      <c r="T113" s="20">
        <v>148.89931999999999</v>
      </c>
      <c r="U113" s="6">
        <v>0</v>
      </c>
      <c r="V113" s="6">
        <v>0</v>
      </c>
      <c r="W113" s="6">
        <v>0</v>
      </c>
      <c r="X113" s="6">
        <v>0</v>
      </c>
      <c r="Y113" s="6">
        <v>0</v>
      </c>
      <c r="Z113">
        <v>0</v>
      </c>
      <c r="AA113">
        <f t="shared" si="1"/>
        <v>0</v>
      </c>
    </row>
    <row r="114" spans="1:31" x14ac:dyDescent="0.2">
      <c r="A114" t="s">
        <v>756</v>
      </c>
      <c r="B114" t="s">
        <v>757</v>
      </c>
      <c r="C114" s="7">
        <v>1</v>
      </c>
      <c r="D114" s="7">
        <v>1</v>
      </c>
      <c r="E114" t="s">
        <v>10</v>
      </c>
      <c r="F114" s="1">
        <v>43359</v>
      </c>
      <c r="G114" s="2">
        <v>3.2638888888888891E-2</v>
      </c>
      <c r="H114" t="s">
        <v>398</v>
      </c>
      <c r="I114" s="7" t="s">
        <v>64</v>
      </c>
      <c r="J114" s="7" t="s">
        <v>107</v>
      </c>
      <c r="K114" s="7" t="s">
        <v>23</v>
      </c>
      <c r="L114" s="7">
        <v>1</v>
      </c>
      <c r="M114">
        <v>1</v>
      </c>
      <c r="O114" t="s">
        <v>2131</v>
      </c>
      <c r="P114" s="7" t="s">
        <v>122</v>
      </c>
      <c r="Q114" s="7" t="s">
        <v>758</v>
      </c>
      <c r="R114" s="7" t="s">
        <v>176</v>
      </c>
      <c r="S114" s="20">
        <v>63.732439999999997</v>
      </c>
      <c r="T114" s="20">
        <v>148.89502999999999</v>
      </c>
      <c r="U114" s="6">
        <v>0</v>
      </c>
      <c r="V114" s="6">
        <v>0</v>
      </c>
      <c r="W114" s="6">
        <v>0</v>
      </c>
      <c r="X114" s="6">
        <v>0</v>
      </c>
      <c r="Y114" s="6">
        <v>0</v>
      </c>
      <c r="Z114">
        <v>0</v>
      </c>
      <c r="AA114">
        <f t="shared" si="1"/>
        <v>0</v>
      </c>
      <c r="AC114" t="s">
        <v>759</v>
      </c>
    </row>
    <row r="115" spans="1:31" x14ac:dyDescent="0.2">
      <c r="A115" t="s">
        <v>917</v>
      </c>
      <c r="B115" t="s">
        <v>918</v>
      </c>
      <c r="C115">
        <v>2</v>
      </c>
      <c r="D115">
        <v>1</v>
      </c>
      <c r="E115" t="s">
        <v>10</v>
      </c>
      <c r="F115" s="1">
        <v>43364</v>
      </c>
      <c r="G115" s="2">
        <v>3.3333333333333333E-2</v>
      </c>
      <c r="H115" t="s">
        <v>640</v>
      </c>
      <c r="I115" t="s">
        <v>64</v>
      </c>
      <c r="J115" s="7" t="s">
        <v>111</v>
      </c>
      <c r="K115" s="7" t="s">
        <v>919</v>
      </c>
      <c r="L115" s="7">
        <v>0</v>
      </c>
      <c r="M115" s="7">
        <v>1</v>
      </c>
      <c r="N115" s="7"/>
      <c r="O115" s="7" t="s">
        <v>2135</v>
      </c>
      <c r="P115" s="7" t="s">
        <v>916</v>
      </c>
      <c r="Q115" s="7" t="s">
        <v>2044</v>
      </c>
      <c r="R115" s="7" t="s">
        <v>176</v>
      </c>
      <c r="S115" s="20">
        <v>63.733040000000003</v>
      </c>
      <c r="T115" s="20">
        <v>148.89510999999999</v>
      </c>
      <c r="U115" s="6">
        <v>0</v>
      </c>
      <c r="V115" s="6">
        <v>0</v>
      </c>
      <c r="W115" s="6">
        <v>0</v>
      </c>
      <c r="X115" s="6">
        <v>0</v>
      </c>
      <c r="Y115" s="6">
        <v>0</v>
      </c>
      <c r="Z115">
        <v>0</v>
      </c>
      <c r="AA115">
        <f t="shared" si="1"/>
        <v>0</v>
      </c>
      <c r="AC115" t="s">
        <v>2074</v>
      </c>
    </row>
    <row r="116" spans="1:31" x14ac:dyDescent="0.2">
      <c r="A116" t="s">
        <v>917</v>
      </c>
      <c r="B116" t="s">
        <v>918</v>
      </c>
      <c r="C116">
        <v>2</v>
      </c>
      <c r="D116">
        <v>2</v>
      </c>
      <c r="E116" t="s">
        <v>10</v>
      </c>
      <c r="F116" s="1">
        <v>43364</v>
      </c>
      <c r="G116" s="2">
        <v>3.3333333333333333E-2</v>
      </c>
      <c r="H116" t="s">
        <v>640</v>
      </c>
      <c r="I116" t="s">
        <v>64</v>
      </c>
      <c r="J116" s="7" t="s">
        <v>111</v>
      </c>
      <c r="K116" s="7" t="s">
        <v>919</v>
      </c>
      <c r="L116" s="7">
        <v>0</v>
      </c>
      <c r="M116" s="7">
        <v>1</v>
      </c>
      <c r="N116" s="7"/>
      <c r="O116" s="7" t="s">
        <v>2135</v>
      </c>
      <c r="P116" s="7" t="s">
        <v>916</v>
      </c>
      <c r="Q116" s="7" t="s">
        <v>2073</v>
      </c>
      <c r="R116" s="7" t="s">
        <v>176</v>
      </c>
      <c r="S116" s="20">
        <v>63.733040000000003</v>
      </c>
      <c r="T116" s="20">
        <v>148.89510999999999</v>
      </c>
      <c r="U116" s="6">
        <v>0</v>
      </c>
      <c r="V116" s="6">
        <v>0</v>
      </c>
      <c r="W116" s="6">
        <v>0</v>
      </c>
      <c r="X116" s="6">
        <v>0</v>
      </c>
      <c r="Y116" s="6">
        <v>0</v>
      </c>
      <c r="Z116">
        <v>0</v>
      </c>
      <c r="AA116">
        <f t="shared" si="1"/>
        <v>0</v>
      </c>
      <c r="AC116" t="s">
        <v>2075</v>
      </c>
    </row>
    <row r="117" spans="1:31" x14ac:dyDescent="0.2">
      <c r="A117" t="s">
        <v>957</v>
      </c>
      <c r="B117" t="s">
        <v>958</v>
      </c>
      <c r="C117">
        <v>7</v>
      </c>
      <c r="D117">
        <v>1</v>
      </c>
      <c r="E117" t="s">
        <v>10</v>
      </c>
      <c r="F117" s="1">
        <v>43368</v>
      </c>
      <c r="G117" s="2">
        <v>2.1527777777777781E-2</v>
      </c>
      <c r="H117" t="s">
        <v>398</v>
      </c>
      <c r="I117" t="s">
        <v>64</v>
      </c>
      <c r="J117" s="7" t="s">
        <v>102</v>
      </c>
      <c r="K117" t="s">
        <v>115</v>
      </c>
      <c r="L117" s="7">
        <v>3</v>
      </c>
      <c r="M117">
        <v>1</v>
      </c>
      <c r="O117" t="s">
        <v>2128</v>
      </c>
      <c r="P117" t="s">
        <v>122</v>
      </c>
      <c r="Q117" s="7" t="s">
        <v>959</v>
      </c>
      <c r="R117" s="7">
        <v>13</v>
      </c>
      <c r="S117" s="20">
        <v>63.732559999999999</v>
      </c>
      <c r="T117" s="20">
        <v>148.89667</v>
      </c>
      <c r="U117" s="6">
        <v>0</v>
      </c>
      <c r="V117" s="6">
        <v>0</v>
      </c>
      <c r="W117" s="6">
        <v>0</v>
      </c>
      <c r="X117" s="6">
        <v>0</v>
      </c>
      <c r="Y117" s="6">
        <v>6</v>
      </c>
      <c r="Z117">
        <v>0</v>
      </c>
      <c r="AA117">
        <f t="shared" si="1"/>
        <v>6</v>
      </c>
    </row>
    <row r="118" spans="1:31" x14ac:dyDescent="0.2">
      <c r="A118" t="s">
        <v>1313</v>
      </c>
      <c r="B118" t="s">
        <v>1314</v>
      </c>
      <c r="C118">
        <v>7</v>
      </c>
      <c r="D118">
        <v>1</v>
      </c>
      <c r="E118" t="s">
        <v>10</v>
      </c>
      <c r="F118" s="1">
        <v>43385</v>
      </c>
      <c r="G118" s="2">
        <v>2.8472222222222222E-2</v>
      </c>
      <c r="H118" t="s">
        <v>398</v>
      </c>
      <c r="I118" s="7" t="s">
        <v>64</v>
      </c>
      <c r="J118" s="7" t="s">
        <v>187</v>
      </c>
      <c r="K118" s="7" t="s">
        <v>23</v>
      </c>
      <c r="L118" s="7">
        <v>3</v>
      </c>
      <c r="M118" s="7">
        <v>1</v>
      </c>
      <c r="O118" t="s">
        <v>176</v>
      </c>
      <c r="P118" s="7" t="s">
        <v>122</v>
      </c>
      <c r="Q118" s="7" t="s">
        <v>495</v>
      </c>
      <c r="R118">
        <v>3</v>
      </c>
      <c r="S118" s="20">
        <v>63.731409999999997</v>
      </c>
      <c r="T118" s="20">
        <v>148.89959999999999</v>
      </c>
      <c r="U118" s="6">
        <v>0</v>
      </c>
      <c r="V118" s="6">
        <v>0</v>
      </c>
      <c r="W118" s="6">
        <v>0</v>
      </c>
      <c r="Y118" s="6">
        <v>5</v>
      </c>
      <c r="Z118">
        <v>0</v>
      </c>
      <c r="AA118">
        <f t="shared" si="1"/>
        <v>5</v>
      </c>
    </row>
    <row r="119" spans="1:31" x14ac:dyDescent="0.2">
      <c r="A119" t="s">
        <v>1315</v>
      </c>
      <c r="B119" t="s">
        <v>1316</v>
      </c>
      <c r="C119">
        <v>8</v>
      </c>
      <c r="D119">
        <v>1</v>
      </c>
      <c r="E119" t="s">
        <v>10</v>
      </c>
      <c r="F119" s="1">
        <v>43385</v>
      </c>
      <c r="G119" s="2">
        <v>2.5694444444444447E-2</v>
      </c>
      <c r="H119" t="s">
        <v>398</v>
      </c>
      <c r="I119" s="7" t="s">
        <v>64</v>
      </c>
      <c r="J119" s="7" t="s">
        <v>187</v>
      </c>
      <c r="K119" s="7" t="s">
        <v>12</v>
      </c>
      <c r="L119" s="7">
        <v>1</v>
      </c>
      <c r="M119" s="7">
        <v>1</v>
      </c>
      <c r="O119" t="s">
        <v>176</v>
      </c>
      <c r="P119" s="7" t="s">
        <v>1317</v>
      </c>
      <c r="Q119" s="7" t="s">
        <v>1318</v>
      </c>
      <c r="R119" s="7" t="s">
        <v>1320</v>
      </c>
      <c r="S119" s="20">
        <v>63.731270000000002</v>
      </c>
      <c r="T119" s="20">
        <v>148.90007</v>
      </c>
      <c r="U119" s="6">
        <v>12</v>
      </c>
      <c r="V119" s="6">
        <v>0</v>
      </c>
      <c r="W119" s="6">
        <v>0</v>
      </c>
      <c r="X119" s="6">
        <v>12</v>
      </c>
      <c r="Y119" s="6">
        <v>0</v>
      </c>
      <c r="Z119">
        <v>0</v>
      </c>
      <c r="AA119">
        <f t="shared" si="1"/>
        <v>12</v>
      </c>
      <c r="AB119" t="s">
        <v>1319</v>
      </c>
      <c r="AC119" t="s">
        <v>1321</v>
      </c>
      <c r="AD119">
        <v>5</v>
      </c>
      <c r="AE119">
        <v>0</v>
      </c>
    </row>
    <row r="120" spans="1:31" x14ac:dyDescent="0.2">
      <c r="A120" t="s">
        <v>1655</v>
      </c>
      <c r="B120" t="s">
        <v>1656</v>
      </c>
      <c r="C120">
        <v>22</v>
      </c>
      <c r="D120">
        <v>1</v>
      </c>
      <c r="E120" t="s">
        <v>10</v>
      </c>
      <c r="F120" s="1">
        <v>43392</v>
      </c>
      <c r="G120" s="2">
        <v>2.013888888888889E-2</v>
      </c>
      <c r="I120" s="7" t="s">
        <v>64</v>
      </c>
      <c r="J120" s="7" t="s">
        <v>111</v>
      </c>
      <c r="K120" s="7" t="s">
        <v>12</v>
      </c>
      <c r="L120" s="7">
        <v>0</v>
      </c>
      <c r="M120" s="7">
        <v>1</v>
      </c>
      <c r="N120">
        <v>0</v>
      </c>
      <c r="O120" t="s">
        <v>176</v>
      </c>
      <c r="P120" s="7" t="s">
        <v>122</v>
      </c>
      <c r="Q120" s="7" t="s">
        <v>1051</v>
      </c>
      <c r="R120">
        <v>1</v>
      </c>
      <c r="S120" s="20">
        <v>63.736020000000003</v>
      </c>
      <c r="T120" s="20">
        <v>148.89214000000001</v>
      </c>
      <c r="U120" s="6">
        <v>0</v>
      </c>
      <c r="V120" s="6">
        <v>0</v>
      </c>
      <c r="W120" s="6">
        <v>0</v>
      </c>
      <c r="X120" s="6">
        <v>0</v>
      </c>
      <c r="Y120" s="6">
        <v>0</v>
      </c>
      <c r="Z120">
        <v>0</v>
      </c>
      <c r="AA120">
        <f t="shared" si="1"/>
        <v>0</v>
      </c>
    </row>
    <row r="121" spans="1:31" x14ac:dyDescent="0.2">
      <c r="A121" t="s">
        <v>1868</v>
      </c>
      <c r="B121" t="s">
        <v>1873</v>
      </c>
      <c r="C121">
        <v>5</v>
      </c>
      <c r="D121">
        <v>1</v>
      </c>
      <c r="E121" t="s">
        <v>10</v>
      </c>
      <c r="F121" s="1">
        <v>43398</v>
      </c>
      <c r="G121" s="2">
        <v>3.2638888888888891E-2</v>
      </c>
      <c r="I121" s="7" t="s">
        <v>64</v>
      </c>
      <c r="J121" s="7" t="s">
        <v>111</v>
      </c>
      <c r="K121" s="7" t="s">
        <v>12</v>
      </c>
      <c r="L121" s="7">
        <v>0</v>
      </c>
      <c r="M121">
        <v>1</v>
      </c>
      <c r="O121" t="s">
        <v>176</v>
      </c>
      <c r="P121" s="7" t="s">
        <v>24</v>
      </c>
      <c r="Q121" s="7" t="s">
        <v>1869</v>
      </c>
      <c r="R121" s="7" t="s">
        <v>24</v>
      </c>
      <c r="S121" s="20">
        <v>63.73254</v>
      </c>
      <c r="T121" s="20">
        <v>148.89940000000001</v>
      </c>
      <c r="U121" s="6">
        <v>0</v>
      </c>
      <c r="V121" s="6">
        <v>0</v>
      </c>
      <c r="W121" s="6">
        <v>0</v>
      </c>
      <c r="X121" s="6">
        <v>0</v>
      </c>
      <c r="Y121" s="6">
        <v>0</v>
      </c>
      <c r="Z121" s="6">
        <v>0</v>
      </c>
      <c r="AA121">
        <f t="shared" si="1"/>
        <v>0</v>
      </c>
      <c r="AC121" t="s">
        <v>1870</v>
      </c>
    </row>
    <row r="122" spans="1:31" x14ac:dyDescent="0.2">
      <c r="A122" t="s">
        <v>1874</v>
      </c>
      <c r="B122" t="s">
        <v>1875</v>
      </c>
      <c r="C122">
        <v>7</v>
      </c>
      <c r="D122">
        <v>1</v>
      </c>
      <c r="E122" t="s">
        <v>10</v>
      </c>
      <c r="F122" s="1">
        <v>43398</v>
      </c>
      <c r="G122" s="2">
        <v>4.4444444444444446E-2</v>
      </c>
      <c r="I122" s="7" t="s">
        <v>64</v>
      </c>
      <c r="J122" s="7" t="s">
        <v>156</v>
      </c>
      <c r="K122" s="7" t="s">
        <v>23</v>
      </c>
      <c r="L122" s="7">
        <v>1</v>
      </c>
      <c r="M122">
        <v>1</v>
      </c>
      <c r="O122" t="s">
        <v>2111</v>
      </c>
      <c r="P122" s="7" t="s">
        <v>192</v>
      </c>
      <c r="Q122" s="7" t="s">
        <v>1035</v>
      </c>
      <c r="R122">
        <v>6</v>
      </c>
      <c r="S122" s="20">
        <v>63.732669999999999</v>
      </c>
      <c r="T122" s="20">
        <v>148.89955</v>
      </c>
      <c r="U122" s="6">
        <v>29</v>
      </c>
      <c r="V122" s="6">
        <v>0</v>
      </c>
      <c r="W122" s="6">
        <v>0</v>
      </c>
      <c r="X122" s="6">
        <v>29</v>
      </c>
      <c r="Y122" s="6">
        <v>8</v>
      </c>
      <c r="Z122" s="6">
        <v>0</v>
      </c>
      <c r="AA122">
        <f t="shared" si="1"/>
        <v>37</v>
      </c>
    </row>
    <row r="123" spans="1:31" x14ac:dyDescent="0.2">
      <c r="A123" t="s">
        <v>1959</v>
      </c>
      <c r="B123" t="s">
        <v>1960</v>
      </c>
      <c r="C123">
        <v>7</v>
      </c>
      <c r="D123">
        <v>1</v>
      </c>
      <c r="E123" t="s">
        <v>10</v>
      </c>
      <c r="F123" s="1">
        <v>43402</v>
      </c>
      <c r="G123" s="2">
        <v>2.5694444444444447E-2</v>
      </c>
      <c r="H123" t="s">
        <v>2028</v>
      </c>
      <c r="I123" t="s">
        <v>64</v>
      </c>
      <c r="J123" s="7" t="s">
        <v>111</v>
      </c>
      <c r="K123" t="s">
        <v>23</v>
      </c>
      <c r="L123">
        <v>0</v>
      </c>
      <c r="M123">
        <v>2</v>
      </c>
      <c r="N123" t="s">
        <v>1883</v>
      </c>
      <c r="O123" t="s">
        <v>2116</v>
      </c>
      <c r="P123" s="7" t="s">
        <v>1958</v>
      </c>
      <c r="Q123" s="7" t="s">
        <v>1961</v>
      </c>
      <c r="R123">
        <v>7</v>
      </c>
      <c r="S123" s="20">
        <v>63.736229999999999</v>
      </c>
      <c r="T123" s="20">
        <v>148.90009000000001</v>
      </c>
      <c r="U123" s="9">
        <v>0</v>
      </c>
      <c r="V123" s="6">
        <v>0</v>
      </c>
      <c r="W123" s="6">
        <v>0</v>
      </c>
      <c r="X123" s="6">
        <v>0</v>
      </c>
      <c r="Y123" s="6">
        <v>0</v>
      </c>
      <c r="Z123" s="6">
        <v>0</v>
      </c>
      <c r="AA123">
        <f t="shared" si="1"/>
        <v>0</v>
      </c>
      <c r="AC123" t="s">
        <v>1028</v>
      </c>
    </row>
    <row r="124" spans="1:31" x14ac:dyDescent="0.2">
      <c r="A124" t="s">
        <v>270</v>
      </c>
      <c r="E124" t="s">
        <v>10</v>
      </c>
      <c r="F124" s="1">
        <v>43368</v>
      </c>
      <c r="H124" t="s">
        <v>398</v>
      </c>
      <c r="I124" t="s">
        <v>64</v>
      </c>
      <c r="J124" s="7" t="s">
        <v>111</v>
      </c>
      <c r="K124" s="7" t="s">
        <v>115</v>
      </c>
      <c r="L124" s="7">
        <v>0</v>
      </c>
      <c r="M124">
        <v>1</v>
      </c>
      <c r="O124" t="s">
        <v>2125</v>
      </c>
      <c r="P124" t="s">
        <v>115</v>
      </c>
      <c r="Q124" s="7" t="s">
        <v>645</v>
      </c>
      <c r="R124">
        <v>18</v>
      </c>
      <c r="S124" s="20">
        <v>63.732320000000001</v>
      </c>
      <c r="T124" s="20">
        <v>148.89685</v>
      </c>
      <c r="U124" s="6">
        <v>0</v>
      </c>
      <c r="V124" s="6">
        <v>0</v>
      </c>
      <c r="W124" s="6">
        <v>0</v>
      </c>
      <c r="X124" s="6">
        <v>0</v>
      </c>
      <c r="Y124" s="6">
        <v>0</v>
      </c>
      <c r="Z124">
        <v>0</v>
      </c>
      <c r="AA124">
        <f t="shared" si="1"/>
        <v>0</v>
      </c>
      <c r="AC124" t="s">
        <v>953</v>
      </c>
    </row>
    <row r="125" spans="1:31" x14ac:dyDescent="0.2">
      <c r="A125" t="s">
        <v>815</v>
      </c>
      <c r="B125" t="s">
        <v>818</v>
      </c>
      <c r="C125" s="7">
        <v>1</v>
      </c>
      <c r="D125" s="7">
        <v>1</v>
      </c>
      <c r="E125" t="s">
        <v>324</v>
      </c>
      <c r="F125" s="1">
        <v>43361</v>
      </c>
      <c r="G125" s="2">
        <v>2.4999999999999998E-2</v>
      </c>
      <c r="H125" t="s">
        <v>398</v>
      </c>
      <c r="I125" t="s">
        <v>337</v>
      </c>
      <c r="J125" t="s">
        <v>111</v>
      </c>
      <c r="K125" t="s">
        <v>23</v>
      </c>
      <c r="L125">
        <v>0</v>
      </c>
      <c r="M125">
        <v>1</v>
      </c>
      <c r="O125" t="s">
        <v>176</v>
      </c>
      <c r="P125" t="s">
        <v>24</v>
      </c>
      <c r="Q125" t="s">
        <v>709</v>
      </c>
      <c r="R125" s="7" t="s">
        <v>176</v>
      </c>
      <c r="S125" s="19">
        <v>63.725499999999997</v>
      </c>
      <c r="T125" s="19">
        <v>148.88943</v>
      </c>
      <c r="U125">
        <v>0</v>
      </c>
      <c r="V125">
        <v>0</v>
      </c>
      <c r="W125">
        <v>0</v>
      </c>
      <c r="X125">
        <v>0</v>
      </c>
      <c r="Y125">
        <v>0</v>
      </c>
      <c r="Z125">
        <v>0</v>
      </c>
      <c r="AA125">
        <f t="shared" si="1"/>
        <v>0</v>
      </c>
    </row>
    <row r="126" spans="1:31" x14ac:dyDescent="0.2">
      <c r="A126" t="s">
        <v>1282</v>
      </c>
      <c r="B126" t="s">
        <v>1283</v>
      </c>
      <c r="C126">
        <v>2</v>
      </c>
      <c r="D126">
        <v>1</v>
      </c>
      <c r="E126" t="s">
        <v>324</v>
      </c>
      <c r="F126" s="1">
        <v>43384</v>
      </c>
      <c r="G126" s="2">
        <v>4.8611111111111112E-3</v>
      </c>
      <c r="I126" s="7" t="s">
        <v>337</v>
      </c>
      <c r="J126" s="7" t="s">
        <v>111</v>
      </c>
      <c r="K126" s="7" t="s">
        <v>115</v>
      </c>
      <c r="L126" s="7">
        <v>0</v>
      </c>
      <c r="M126" s="7">
        <v>1</v>
      </c>
      <c r="O126" s="7" t="s">
        <v>2107</v>
      </c>
      <c r="P126" s="7" t="s">
        <v>24</v>
      </c>
      <c r="Q126" s="7" t="s">
        <v>1284</v>
      </c>
      <c r="R126" s="7" t="s">
        <v>24</v>
      </c>
      <c r="S126" s="20">
        <v>63.725389999999997</v>
      </c>
      <c r="T126" s="20">
        <v>148.88972000000001</v>
      </c>
      <c r="U126" s="6">
        <v>0</v>
      </c>
      <c r="V126" s="6">
        <v>0</v>
      </c>
      <c r="W126" s="6">
        <v>0</v>
      </c>
      <c r="X126" s="6">
        <v>0</v>
      </c>
      <c r="Y126" s="6">
        <v>0</v>
      </c>
      <c r="Z126">
        <v>0</v>
      </c>
      <c r="AA126">
        <f t="shared" si="1"/>
        <v>0</v>
      </c>
      <c r="AC126" t="s">
        <v>1285</v>
      </c>
    </row>
    <row r="127" spans="1:31" x14ac:dyDescent="0.2">
      <c r="A127" t="s">
        <v>1286</v>
      </c>
      <c r="B127" t="s">
        <v>1287</v>
      </c>
      <c r="C127">
        <v>3</v>
      </c>
      <c r="D127">
        <v>1</v>
      </c>
      <c r="E127" t="s">
        <v>324</v>
      </c>
      <c r="F127" s="1">
        <v>43384</v>
      </c>
      <c r="G127" s="2">
        <v>1.8055555555555557E-2</v>
      </c>
      <c r="I127" s="7" t="s">
        <v>337</v>
      </c>
      <c r="J127" s="7" t="s">
        <v>221</v>
      </c>
      <c r="K127" s="7" t="s">
        <v>12</v>
      </c>
      <c r="L127" s="7" t="s">
        <v>24</v>
      </c>
      <c r="M127" s="7" t="s">
        <v>24</v>
      </c>
      <c r="O127" t="s">
        <v>176</v>
      </c>
      <c r="P127" s="7" t="s">
        <v>604</v>
      </c>
      <c r="Q127" s="7" t="s">
        <v>604</v>
      </c>
      <c r="R127" s="7" t="s">
        <v>24</v>
      </c>
      <c r="S127" s="20">
        <v>63.724080000000001</v>
      </c>
      <c r="T127" s="20">
        <v>148.88910000000001</v>
      </c>
      <c r="U127" s="6">
        <v>0</v>
      </c>
      <c r="V127" s="6">
        <v>0</v>
      </c>
      <c r="W127" s="6">
        <v>0</v>
      </c>
      <c r="X127" s="6">
        <v>0</v>
      </c>
      <c r="Y127" s="6">
        <v>0</v>
      </c>
      <c r="Z127">
        <v>0</v>
      </c>
      <c r="AA127">
        <f t="shared" si="1"/>
        <v>0</v>
      </c>
      <c r="AC127" t="s">
        <v>1288</v>
      </c>
    </row>
    <row r="128" spans="1:31" x14ac:dyDescent="0.2">
      <c r="A128" t="s">
        <v>1293</v>
      </c>
      <c r="B128" t="s">
        <v>1294</v>
      </c>
      <c r="C128">
        <v>5</v>
      </c>
      <c r="D128">
        <v>1</v>
      </c>
      <c r="E128" t="s">
        <v>324</v>
      </c>
      <c r="F128" s="1">
        <v>43384</v>
      </c>
      <c r="G128" s="2">
        <v>1.3194444444444444E-2</v>
      </c>
      <c r="H128" t="s">
        <v>398</v>
      </c>
      <c r="I128" s="7" t="s">
        <v>337</v>
      </c>
      <c r="J128" s="7" t="s">
        <v>111</v>
      </c>
      <c r="K128" s="7" t="s">
        <v>23</v>
      </c>
      <c r="L128" s="7">
        <v>0</v>
      </c>
      <c r="M128" s="7">
        <v>1</v>
      </c>
      <c r="O128" t="s">
        <v>176</v>
      </c>
      <c r="P128" s="7" t="s">
        <v>122</v>
      </c>
      <c r="Q128" s="7" t="s">
        <v>495</v>
      </c>
      <c r="R128">
        <v>101</v>
      </c>
      <c r="S128" s="20">
        <v>63.72372</v>
      </c>
      <c r="T128" s="20">
        <v>148.88693000000001</v>
      </c>
      <c r="U128" s="6">
        <v>0</v>
      </c>
      <c r="V128" s="6">
        <v>0</v>
      </c>
      <c r="W128" s="6">
        <v>0</v>
      </c>
      <c r="X128" s="6">
        <v>0</v>
      </c>
      <c r="Y128" s="6">
        <v>0</v>
      </c>
      <c r="Z128">
        <v>0</v>
      </c>
      <c r="AA128">
        <f t="shared" si="1"/>
        <v>0</v>
      </c>
      <c r="AC128" t="s">
        <v>1295</v>
      </c>
    </row>
    <row r="129" spans="1:29" x14ac:dyDescent="0.2">
      <c r="A129" t="s">
        <v>1065</v>
      </c>
      <c r="B129" t="s">
        <v>1066</v>
      </c>
      <c r="C129">
        <v>5</v>
      </c>
      <c r="D129">
        <v>1</v>
      </c>
      <c r="E129" t="s">
        <v>324</v>
      </c>
      <c r="F129" s="1">
        <v>43370</v>
      </c>
      <c r="G129" s="2">
        <v>2.1527777777777781E-2</v>
      </c>
      <c r="H129" t="s">
        <v>397</v>
      </c>
      <c r="I129" t="s">
        <v>176</v>
      </c>
      <c r="J129" s="7" t="s">
        <v>187</v>
      </c>
      <c r="K129" s="7" t="s">
        <v>23</v>
      </c>
      <c r="L129">
        <v>1</v>
      </c>
      <c r="M129">
        <v>1</v>
      </c>
      <c r="O129" t="s">
        <v>176</v>
      </c>
      <c r="P129" t="s">
        <v>122</v>
      </c>
      <c r="Q129" t="s">
        <v>495</v>
      </c>
      <c r="R129">
        <v>10</v>
      </c>
      <c r="S129" s="19">
        <v>63.724850000000004</v>
      </c>
      <c r="T129" s="19">
        <v>148.88839999999999</v>
      </c>
      <c r="U129" s="6">
        <v>0</v>
      </c>
      <c r="V129" s="6">
        <v>0</v>
      </c>
      <c r="W129" s="6">
        <v>0</v>
      </c>
      <c r="X129" s="6">
        <v>0</v>
      </c>
      <c r="Y129" s="6">
        <v>2</v>
      </c>
      <c r="Z129">
        <v>0</v>
      </c>
      <c r="AA129">
        <f t="shared" si="1"/>
        <v>2</v>
      </c>
      <c r="AC129" t="s">
        <v>1067</v>
      </c>
    </row>
    <row r="130" spans="1:29" x14ac:dyDescent="0.2">
      <c r="A130" t="s">
        <v>1289</v>
      </c>
      <c r="B130" t="s">
        <v>1290</v>
      </c>
      <c r="C130">
        <v>4</v>
      </c>
      <c r="D130">
        <v>1</v>
      </c>
      <c r="E130" t="s">
        <v>324</v>
      </c>
      <c r="F130" s="1">
        <v>43384</v>
      </c>
      <c r="G130" s="2">
        <v>2.013888888888889E-2</v>
      </c>
      <c r="H130" t="s">
        <v>398</v>
      </c>
      <c r="I130" s="7" t="s">
        <v>176</v>
      </c>
      <c r="J130" s="7" t="s">
        <v>115</v>
      </c>
      <c r="K130" s="7" t="s">
        <v>12</v>
      </c>
      <c r="L130" s="7">
        <v>0</v>
      </c>
      <c r="M130" s="7">
        <v>1</v>
      </c>
      <c r="O130" t="s">
        <v>2130</v>
      </c>
      <c r="P130" s="7" t="s">
        <v>24</v>
      </c>
      <c r="Q130" s="7" t="s">
        <v>1291</v>
      </c>
      <c r="R130" s="7" t="s">
        <v>24</v>
      </c>
      <c r="S130" s="20">
        <v>63.724260000000001</v>
      </c>
      <c r="T130" s="20">
        <v>148.88929999999999</v>
      </c>
      <c r="U130" s="6">
        <v>0</v>
      </c>
      <c r="V130" s="6">
        <v>0</v>
      </c>
      <c r="W130" s="6">
        <v>0</v>
      </c>
      <c r="X130" s="6">
        <v>0</v>
      </c>
      <c r="Y130" s="6">
        <v>0</v>
      </c>
      <c r="Z130">
        <v>0</v>
      </c>
      <c r="AA130">
        <f t="shared" ref="AA130:AA193" si="2">SUM(W130:Z130)</f>
        <v>0</v>
      </c>
      <c r="AC130" t="s">
        <v>1292</v>
      </c>
    </row>
    <row r="131" spans="1:29" x14ac:dyDescent="0.2">
      <c r="A131" t="s">
        <v>1519</v>
      </c>
      <c r="B131" t="s">
        <v>1520</v>
      </c>
      <c r="C131">
        <v>10</v>
      </c>
      <c r="D131">
        <v>1</v>
      </c>
      <c r="E131" t="s">
        <v>324</v>
      </c>
      <c r="F131" s="1">
        <v>43389</v>
      </c>
      <c r="G131" s="2">
        <v>1.5277777777777777E-2</v>
      </c>
      <c r="H131" t="s">
        <v>398</v>
      </c>
      <c r="I131" s="7" t="s">
        <v>176</v>
      </c>
      <c r="K131" s="7" t="s">
        <v>1196</v>
      </c>
      <c r="L131" s="7">
        <v>0</v>
      </c>
      <c r="M131" s="7">
        <v>1</v>
      </c>
      <c r="O131" s="7" t="s">
        <v>2129</v>
      </c>
      <c r="P131" s="7" t="s">
        <v>122</v>
      </c>
      <c r="Q131" s="7" t="s">
        <v>1521</v>
      </c>
      <c r="R131" s="7" t="s">
        <v>24</v>
      </c>
      <c r="S131" s="20">
        <v>63.723840000000003</v>
      </c>
      <c r="T131" s="20">
        <v>148.88453999999999</v>
      </c>
      <c r="U131" s="6">
        <v>0</v>
      </c>
      <c r="V131" s="6">
        <v>0</v>
      </c>
      <c r="W131" s="6">
        <v>0</v>
      </c>
      <c r="X131" s="6">
        <v>0</v>
      </c>
      <c r="Y131" s="6">
        <v>0</v>
      </c>
      <c r="Z131">
        <v>0</v>
      </c>
      <c r="AA131">
        <f t="shared" si="2"/>
        <v>0</v>
      </c>
      <c r="AC131" t="s">
        <v>1522</v>
      </c>
    </row>
    <row r="132" spans="1:29" x14ac:dyDescent="0.2">
      <c r="A132" s="7" t="s">
        <v>612</v>
      </c>
      <c r="B132" s="7" t="s">
        <v>613</v>
      </c>
      <c r="C132" s="7">
        <v>5</v>
      </c>
      <c r="D132" s="7">
        <v>1</v>
      </c>
      <c r="E132" t="s">
        <v>324</v>
      </c>
      <c r="F132" s="1">
        <v>43355</v>
      </c>
      <c r="G132" s="2">
        <v>7.4305555555555555E-2</v>
      </c>
      <c r="H132" t="s">
        <v>398</v>
      </c>
      <c r="I132" s="7" t="s">
        <v>325</v>
      </c>
      <c r="J132" s="7" t="s">
        <v>242</v>
      </c>
      <c r="K132" s="7" t="s">
        <v>23</v>
      </c>
      <c r="L132" s="7">
        <v>0</v>
      </c>
      <c r="M132">
        <v>1</v>
      </c>
      <c r="O132" t="s">
        <v>176</v>
      </c>
      <c r="P132" s="7" t="s">
        <v>115</v>
      </c>
      <c r="Q132" s="7" t="s">
        <v>614</v>
      </c>
      <c r="R132" s="7"/>
      <c r="S132" s="20">
        <v>63.72578</v>
      </c>
      <c r="T132" s="20">
        <v>148.88998000000001</v>
      </c>
      <c r="U132" s="6">
        <v>0</v>
      </c>
      <c r="V132" s="6">
        <v>0</v>
      </c>
      <c r="W132" s="6">
        <v>0</v>
      </c>
      <c r="X132" s="6">
        <v>0</v>
      </c>
      <c r="Y132" s="6">
        <v>0</v>
      </c>
      <c r="Z132">
        <v>0</v>
      </c>
      <c r="AA132">
        <f t="shared" si="2"/>
        <v>0</v>
      </c>
      <c r="AC132" t="s">
        <v>615</v>
      </c>
    </row>
    <row r="133" spans="1:29" x14ac:dyDescent="0.2">
      <c r="A133" s="7" t="s">
        <v>616</v>
      </c>
      <c r="B133" s="7" t="s">
        <v>617</v>
      </c>
      <c r="C133" s="7">
        <v>6</v>
      </c>
      <c r="D133" s="7">
        <v>1</v>
      </c>
      <c r="E133" t="s">
        <v>324</v>
      </c>
      <c r="F133" s="1">
        <v>43355</v>
      </c>
      <c r="G133" s="2">
        <v>2.8472222222222222E-2</v>
      </c>
      <c r="H133" t="s">
        <v>398</v>
      </c>
      <c r="I133" s="7" t="s">
        <v>325</v>
      </c>
      <c r="J133" s="7" t="s">
        <v>187</v>
      </c>
      <c r="K133" s="7" t="s">
        <v>23</v>
      </c>
      <c r="L133" s="7" t="s">
        <v>24</v>
      </c>
      <c r="M133">
        <v>1</v>
      </c>
      <c r="O133" t="s">
        <v>176</v>
      </c>
      <c r="P133" s="7" t="s">
        <v>115</v>
      </c>
      <c r="Q133" s="7" t="s">
        <v>333</v>
      </c>
      <c r="R133" s="7"/>
      <c r="S133" s="20">
        <v>63.725769999999997</v>
      </c>
      <c r="T133" s="20">
        <v>148.89005</v>
      </c>
      <c r="U133" s="6">
        <v>0</v>
      </c>
      <c r="V133" s="6">
        <v>0</v>
      </c>
      <c r="W133" s="6">
        <v>0</v>
      </c>
      <c r="X133" s="6">
        <v>0</v>
      </c>
      <c r="Y133" s="6">
        <v>8</v>
      </c>
      <c r="Z133">
        <v>0</v>
      </c>
      <c r="AA133">
        <f t="shared" si="2"/>
        <v>8</v>
      </c>
      <c r="AC133" t="s">
        <v>618</v>
      </c>
    </row>
    <row r="134" spans="1:29" x14ac:dyDescent="0.2">
      <c r="A134" t="s">
        <v>821</v>
      </c>
      <c r="B134" t="s">
        <v>822</v>
      </c>
      <c r="C134">
        <v>2</v>
      </c>
      <c r="D134">
        <v>1</v>
      </c>
      <c r="E134" t="s">
        <v>324</v>
      </c>
      <c r="F134" s="1">
        <v>43361</v>
      </c>
      <c r="G134" s="2">
        <v>2.8472222222222222E-2</v>
      </c>
      <c r="H134" t="s">
        <v>397</v>
      </c>
      <c r="I134" t="s">
        <v>325</v>
      </c>
      <c r="J134" t="s">
        <v>111</v>
      </c>
      <c r="K134" t="s">
        <v>23</v>
      </c>
      <c r="L134">
        <v>0</v>
      </c>
      <c r="M134">
        <v>1</v>
      </c>
      <c r="O134" t="s">
        <v>176</v>
      </c>
      <c r="P134" t="s">
        <v>24</v>
      </c>
      <c r="Q134" t="s">
        <v>2031</v>
      </c>
      <c r="S134" s="19">
        <v>63.724200000000003</v>
      </c>
      <c r="T134" s="19">
        <v>148.88985</v>
      </c>
      <c r="U134">
        <v>0</v>
      </c>
      <c r="V134">
        <v>0</v>
      </c>
      <c r="W134">
        <v>0</v>
      </c>
      <c r="X134">
        <v>0</v>
      </c>
      <c r="Y134">
        <v>0</v>
      </c>
      <c r="Z134">
        <v>0</v>
      </c>
      <c r="AA134">
        <f t="shared" si="2"/>
        <v>0</v>
      </c>
      <c r="AC134" t="s">
        <v>823</v>
      </c>
    </row>
    <row r="135" spans="1:29" x14ac:dyDescent="0.2">
      <c r="A135" t="s">
        <v>900</v>
      </c>
      <c r="B135" t="s">
        <v>901</v>
      </c>
      <c r="C135">
        <v>1</v>
      </c>
      <c r="D135">
        <v>1</v>
      </c>
      <c r="E135" t="s">
        <v>324</v>
      </c>
      <c r="F135" s="1">
        <v>43364</v>
      </c>
      <c r="G135" s="2">
        <v>1.4583333333333332E-2</v>
      </c>
      <c r="H135" t="s">
        <v>884</v>
      </c>
      <c r="I135" t="s">
        <v>325</v>
      </c>
      <c r="J135" s="7" t="s">
        <v>111</v>
      </c>
      <c r="K135" s="7" t="s">
        <v>23</v>
      </c>
      <c r="L135" s="7">
        <v>0</v>
      </c>
      <c r="M135" s="7">
        <v>1</v>
      </c>
      <c r="N135" s="7"/>
      <c r="O135" t="s">
        <v>176</v>
      </c>
      <c r="P135" s="7" t="s">
        <v>24</v>
      </c>
      <c r="Q135" s="7" t="s">
        <v>709</v>
      </c>
      <c r="R135" s="7"/>
      <c r="S135" s="20">
        <v>63.723010000000002</v>
      </c>
      <c r="T135" s="20">
        <v>148.88673</v>
      </c>
      <c r="U135" s="6">
        <v>0</v>
      </c>
      <c r="V135" s="6">
        <v>0</v>
      </c>
      <c r="W135" s="6">
        <v>0</v>
      </c>
      <c r="X135" s="6">
        <v>0</v>
      </c>
      <c r="Y135" s="6">
        <v>0</v>
      </c>
      <c r="Z135">
        <v>0</v>
      </c>
      <c r="AA135">
        <f t="shared" si="2"/>
        <v>0</v>
      </c>
    </row>
    <row r="136" spans="1:29" x14ac:dyDescent="0.2">
      <c r="A136" t="s">
        <v>1055</v>
      </c>
      <c r="B136" t="s">
        <v>1056</v>
      </c>
      <c r="C136">
        <v>2</v>
      </c>
      <c r="D136">
        <v>1</v>
      </c>
      <c r="E136" t="s">
        <v>324</v>
      </c>
      <c r="F136" s="1">
        <v>43370</v>
      </c>
      <c r="G136" s="2">
        <v>7.6388888888888886E-3</v>
      </c>
      <c r="H136" t="s">
        <v>397</v>
      </c>
      <c r="I136" t="s">
        <v>325</v>
      </c>
      <c r="J136" s="7" t="s">
        <v>111</v>
      </c>
      <c r="K136" s="7" t="s">
        <v>23</v>
      </c>
      <c r="L136">
        <v>0</v>
      </c>
      <c r="M136">
        <v>1</v>
      </c>
      <c r="O136" t="s">
        <v>1012</v>
      </c>
      <c r="P136" t="s">
        <v>115</v>
      </c>
      <c r="Q136" t="s">
        <v>1057</v>
      </c>
      <c r="R136">
        <v>3</v>
      </c>
      <c r="S136" s="20">
        <v>63.724089999999997</v>
      </c>
      <c r="T136" s="20">
        <v>148.88977</v>
      </c>
      <c r="U136" s="6">
        <v>0</v>
      </c>
      <c r="V136" s="6">
        <v>0</v>
      </c>
      <c r="W136" s="6">
        <v>0</v>
      </c>
      <c r="X136" s="6">
        <v>0</v>
      </c>
      <c r="Y136" s="6">
        <v>0</v>
      </c>
      <c r="Z136">
        <v>0</v>
      </c>
      <c r="AA136">
        <f t="shared" si="2"/>
        <v>0</v>
      </c>
      <c r="AC136" t="s">
        <v>1058</v>
      </c>
    </row>
    <row r="137" spans="1:29" x14ac:dyDescent="0.2">
      <c r="A137" t="s">
        <v>1059</v>
      </c>
      <c r="B137" t="s">
        <v>1060</v>
      </c>
      <c r="C137">
        <v>3</v>
      </c>
      <c r="D137">
        <v>1</v>
      </c>
      <c r="E137" t="s">
        <v>324</v>
      </c>
      <c r="F137" s="1">
        <v>43370</v>
      </c>
      <c r="G137" s="2">
        <v>2.013888888888889E-2</v>
      </c>
      <c r="H137" t="s">
        <v>397</v>
      </c>
      <c r="I137" t="s">
        <v>325</v>
      </c>
      <c r="J137" s="7" t="s">
        <v>187</v>
      </c>
      <c r="K137" s="7" t="s">
        <v>23</v>
      </c>
      <c r="L137">
        <v>1</v>
      </c>
      <c r="M137">
        <v>1</v>
      </c>
      <c r="O137" t="s">
        <v>176</v>
      </c>
      <c r="P137" t="s">
        <v>122</v>
      </c>
      <c r="Q137" t="s">
        <v>1057</v>
      </c>
      <c r="R137">
        <v>17</v>
      </c>
      <c r="S137" s="19">
        <v>63.723649999999999</v>
      </c>
      <c r="T137" s="19">
        <v>148.88979</v>
      </c>
      <c r="U137" s="6">
        <v>0</v>
      </c>
      <c r="V137" s="6">
        <v>0</v>
      </c>
      <c r="W137" s="6">
        <v>0</v>
      </c>
      <c r="X137" s="6">
        <v>0</v>
      </c>
      <c r="Y137" s="6">
        <v>1</v>
      </c>
      <c r="Z137">
        <v>0</v>
      </c>
      <c r="AA137">
        <f t="shared" si="2"/>
        <v>1</v>
      </c>
      <c r="AC137" t="s">
        <v>1061</v>
      </c>
    </row>
    <row r="138" spans="1:29" x14ac:dyDescent="0.2">
      <c r="A138" t="s">
        <v>1161</v>
      </c>
      <c r="B138" t="s">
        <v>1162</v>
      </c>
      <c r="C138">
        <v>1</v>
      </c>
      <c r="D138">
        <v>1</v>
      </c>
      <c r="E138" t="s">
        <v>324</v>
      </c>
      <c r="F138" s="1">
        <v>43380</v>
      </c>
      <c r="G138" s="2">
        <v>6.2499999999999995E-3</v>
      </c>
      <c r="H138" t="s">
        <v>398</v>
      </c>
      <c r="I138" s="7" t="s">
        <v>325</v>
      </c>
      <c r="J138" s="7" t="s">
        <v>111</v>
      </c>
      <c r="K138" s="7" t="s">
        <v>12</v>
      </c>
      <c r="L138" s="7">
        <v>0</v>
      </c>
      <c r="M138" s="7">
        <v>1</v>
      </c>
      <c r="N138" s="7"/>
      <c r="O138" t="s">
        <v>176</v>
      </c>
      <c r="P138" s="7" t="s">
        <v>24</v>
      </c>
      <c r="Q138" s="7" t="s">
        <v>1027</v>
      </c>
      <c r="R138" s="7" t="s">
        <v>24</v>
      </c>
      <c r="S138" s="20">
        <v>63.72533</v>
      </c>
      <c r="T138" s="20">
        <v>148.88963000000001</v>
      </c>
      <c r="U138" s="6">
        <v>0</v>
      </c>
      <c r="V138" s="6">
        <v>0</v>
      </c>
      <c r="W138" s="6">
        <v>0</v>
      </c>
      <c r="X138" s="6">
        <v>0</v>
      </c>
      <c r="Y138" s="6">
        <v>0</v>
      </c>
      <c r="Z138">
        <v>0</v>
      </c>
      <c r="AA138">
        <f t="shared" si="2"/>
        <v>0</v>
      </c>
      <c r="AC138" t="s">
        <v>1163</v>
      </c>
    </row>
    <row r="139" spans="1:29" x14ac:dyDescent="0.2">
      <c r="A139" t="s">
        <v>1679</v>
      </c>
      <c r="B139" t="s">
        <v>1681</v>
      </c>
      <c r="C139">
        <v>5</v>
      </c>
      <c r="D139">
        <v>1</v>
      </c>
      <c r="E139" t="s">
        <v>324</v>
      </c>
      <c r="F139" s="1">
        <v>43395</v>
      </c>
      <c r="G139" s="2">
        <v>1.3888888888888888E-2</v>
      </c>
      <c r="I139" s="7" t="s">
        <v>325</v>
      </c>
      <c r="J139" s="7" t="s">
        <v>111</v>
      </c>
      <c r="K139" s="7" t="s">
        <v>23</v>
      </c>
      <c r="L139" s="7">
        <v>0</v>
      </c>
      <c r="M139" s="7">
        <v>1</v>
      </c>
      <c r="O139" t="s">
        <v>176</v>
      </c>
      <c r="P139" s="7" t="s">
        <v>24</v>
      </c>
      <c r="Q139" s="7" t="s">
        <v>1035</v>
      </c>
      <c r="R139" s="7" t="s">
        <v>24</v>
      </c>
      <c r="S139" s="20">
        <v>63.72383</v>
      </c>
      <c r="T139" s="20">
        <v>148.88605999999999</v>
      </c>
      <c r="U139" s="6">
        <v>0</v>
      </c>
      <c r="V139" s="6">
        <v>0</v>
      </c>
      <c r="W139" s="6">
        <v>0</v>
      </c>
      <c r="X139" s="6">
        <v>0</v>
      </c>
      <c r="Y139" s="6">
        <v>0</v>
      </c>
      <c r="Z139" s="6">
        <v>0</v>
      </c>
      <c r="AA139">
        <f t="shared" si="2"/>
        <v>0</v>
      </c>
    </row>
    <row r="140" spans="1:29" x14ac:dyDescent="0.2">
      <c r="A140" t="s">
        <v>1685</v>
      </c>
      <c r="B140" t="s">
        <v>1686</v>
      </c>
      <c r="C140">
        <v>7</v>
      </c>
      <c r="D140">
        <v>1</v>
      </c>
      <c r="E140" t="s">
        <v>324</v>
      </c>
      <c r="F140" s="1">
        <v>43395</v>
      </c>
      <c r="G140" s="2">
        <v>1.1111111111111112E-2</v>
      </c>
      <c r="I140" s="7" t="s">
        <v>325</v>
      </c>
      <c r="J140" s="7" t="s">
        <v>111</v>
      </c>
      <c r="K140" s="7" t="s">
        <v>23</v>
      </c>
      <c r="L140" s="7">
        <v>0</v>
      </c>
      <c r="M140" s="7">
        <v>1</v>
      </c>
      <c r="O140" t="s">
        <v>176</v>
      </c>
      <c r="P140" s="7" t="s">
        <v>24</v>
      </c>
      <c r="Q140" s="7" t="s">
        <v>1687</v>
      </c>
      <c r="R140" s="7" t="s">
        <v>24</v>
      </c>
      <c r="S140" s="20">
        <v>63.723610000000001</v>
      </c>
      <c r="T140" s="20">
        <v>148.88697999999999</v>
      </c>
      <c r="U140" s="6">
        <v>0</v>
      </c>
      <c r="V140" s="6">
        <v>0</v>
      </c>
      <c r="W140" s="6">
        <v>0</v>
      </c>
      <c r="X140" s="6">
        <v>0</v>
      </c>
      <c r="Y140" s="6">
        <v>0</v>
      </c>
      <c r="Z140" s="6">
        <v>0</v>
      </c>
      <c r="AA140">
        <f t="shared" si="2"/>
        <v>0</v>
      </c>
      <c r="AC140" t="s">
        <v>1688</v>
      </c>
    </row>
    <row r="141" spans="1:29" x14ac:dyDescent="0.2">
      <c r="A141" t="s">
        <v>1899</v>
      </c>
      <c r="B141" t="s">
        <v>1900</v>
      </c>
      <c r="C141">
        <v>5</v>
      </c>
      <c r="D141">
        <v>1</v>
      </c>
      <c r="E141" t="s">
        <v>324</v>
      </c>
      <c r="F141" s="1">
        <v>43398</v>
      </c>
      <c r="G141" s="2">
        <v>9.0277777777777787E-3</v>
      </c>
      <c r="I141" s="7" t="s">
        <v>325</v>
      </c>
      <c r="J141" s="7" t="s">
        <v>102</v>
      </c>
      <c r="K141" s="7" t="s">
        <v>115</v>
      </c>
      <c r="L141" s="7">
        <v>0</v>
      </c>
      <c r="M141">
        <v>1</v>
      </c>
      <c r="O141" t="s">
        <v>176</v>
      </c>
      <c r="P141" s="7" t="s">
        <v>122</v>
      </c>
      <c r="Q141" s="7" t="s">
        <v>495</v>
      </c>
      <c r="R141">
        <v>5</v>
      </c>
      <c r="S141" s="20">
        <v>63.723309999999998</v>
      </c>
      <c r="T141" s="20">
        <v>148.88614000000001</v>
      </c>
      <c r="U141" s="6">
        <v>0</v>
      </c>
      <c r="V141" s="6">
        <v>0</v>
      </c>
      <c r="W141" s="6">
        <v>0</v>
      </c>
      <c r="X141" s="6">
        <v>0</v>
      </c>
      <c r="Y141" s="6">
        <v>0</v>
      </c>
      <c r="Z141" s="6">
        <v>0</v>
      </c>
      <c r="AA141">
        <f t="shared" si="2"/>
        <v>0</v>
      </c>
      <c r="AC141" t="s">
        <v>1021</v>
      </c>
    </row>
    <row r="142" spans="1:29" x14ac:dyDescent="0.2">
      <c r="A142" t="s">
        <v>1901</v>
      </c>
      <c r="B142" t="s">
        <v>1902</v>
      </c>
      <c r="C142">
        <v>6</v>
      </c>
      <c r="D142">
        <v>1</v>
      </c>
      <c r="E142" t="s">
        <v>324</v>
      </c>
      <c r="F142" s="1">
        <v>43398</v>
      </c>
      <c r="G142" s="2">
        <v>2.4999999999999998E-2</v>
      </c>
      <c r="I142" s="7" t="s">
        <v>325</v>
      </c>
      <c r="J142" s="7" t="s">
        <v>111</v>
      </c>
      <c r="K142" s="7" t="s">
        <v>23</v>
      </c>
      <c r="L142" s="7">
        <v>0</v>
      </c>
      <c r="M142">
        <v>1</v>
      </c>
      <c r="O142" t="s">
        <v>2123</v>
      </c>
      <c r="P142" s="7" t="s">
        <v>24</v>
      </c>
      <c r="Q142" s="7" t="s">
        <v>495</v>
      </c>
      <c r="R142" s="7" t="s">
        <v>24</v>
      </c>
      <c r="S142" s="20">
        <v>63.723309999999998</v>
      </c>
      <c r="T142" s="20">
        <v>148.88614000000001</v>
      </c>
      <c r="U142" s="6">
        <v>0</v>
      </c>
      <c r="V142" s="6">
        <v>0</v>
      </c>
      <c r="W142" s="6">
        <v>0</v>
      </c>
      <c r="X142" s="6">
        <v>0</v>
      </c>
      <c r="Y142" s="6">
        <v>0</v>
      </c>
      <c r="Z142" s="6">
        <v>0</v>
      </c>
      <c r="AA142">
        <f t="shared" si="2"/>
        <v>0</v>
      </c>
      <c r="AC142" t="s">
        <v>1903</v>
      </c>
    </row>
    <row r="143" spans="1:29" x14ac:dyDescent="0.2">
      <c r="A143" t="s">
        <v>270</v>
      </c>
      <c r="E143" t="s">
        <v>324</v>
      </c>
      <c r="F143" s="1">
        <v>43361</v>
      </c>
      <c r="H143" t="s">
        <v>398</v>
      </c>
      <c r="I143" t="s">
        <v>325</v>
      </c>
      <c r="J143" t="s">
        <v>111</v>
      </c>
      <c r="K143" t="s">
        <v>12</v>
      </c>
      <c r="L143">
        <v>0</v>
      </c>
      <c r="M143">
        <v>1</v>
      </c>
      <c r="O143" t="s">
        <v>176</v>
      </c>
      <c r="P143" t="s">
        <v>24</v>
      </c>
      <c r="Q143" t="s">
        <v>819</v>
      </c>
      <c r="R143" s="7" t="s">
        <v>176</v>
      </c>
      <c r="S143" s="19">
        <v>63.724319999999999</v>
      </c>
      <c r="T143" s="19">
        <v>148.88916</v>
      </c>
      <c r="U143">
        <v>0</v>
      </c>
      <c r="V143">
        <v>0</v>
      </c>
      <c r="W143">
        <v>0</v>
      </c>
      <c r="X143">
        <v>0</v>
      </c>
      <c r="Y143">
        <v>0</v>
      </c>
      <c r="Z143">
        <v>0</v>
      </c>
      <c r="AA143">
        <f t="shared" si="2"/>
        <v>0</v>
      </c>
      <c r="AC143" t="s">
        <v>820</v>
      </c>
    </row>
    <row r="144" spans="1:29" x14ac:dyDescent="0.2">
      <c r="A144" t="s">
        <v>270</v>
      </c>
      <c r="E144" t="s">
        <v>324</v>
      </c>
      <c r="F144" s="1">
        <v>43370</v>
      </c>
      <c r="H144" t="s">
        <v>397</v>
      </c>
      <c r="I144" t="s">
        <v>325</v>
      </c>
      <c r="J144" s="7" t="s">
        <v>187</v>
      </c>
      <c r="K144" s="7" t="s">
        <v>23</v>
      </c>
      <c r="L144">
        <v>1</v>
      </c>
      <c r="M144">
        <v>1</v>
      </c>
      <c r="O144" t="s">
        <v>176</v>
      </c>
      <c r="P144" t="s">
        <v>122</v>
      </c>
      <c r="Q144" t="s">
        <v>1035</v>
      </c>
      <c r="R144">
        <v>3</v>
      </c>
      <c r="S144" s="19">
        <v>63.724739999999997</v>
      </c>
      <c r="T144" s="19">
        <v>148.88999999999999</v>
      </c>
      <c r="U144" s="6">
        <v>0</v>
      </c>
      <c r="V144" s="6">
        <v>0</v>
      </c>
      <c r="W144" s="6">
        <v>0</v>
      </c>
      <c r="X144" s="6">
        <v>0</v>
      </c>
      <c r="Y144" s="6">
        <v>2</v>
      </c>
      <c r="Z144">
        <v>0</v>
      </c>
      <c r="AA144">
        <f t="shared" si="2"/>
        <v>2</v>
      </c>
      <c r="AC144" t="s">
        <v>1062</v>
      </c>
    </row>
    <row r="145" spans="1:31" x14ac:dyDescent="0.2">
      <c r="A145" t="s">
        <v>267</v>
      </c>
      <c r="B145" t="s">
        <v>268</v>
      </c>
      <c r="C145">
        <v>1</v>
      </c>
      <c r="D145">
        <v>1</v>
      </c>
      <c r="E145" t="s">
        <v>213</v>
      </c>
      <c r="F145" s="1">
        <v>43346</v>
      </c>
      <c r="G145" s="2">
        <v>4.3055555555555562E-2</v>
      </c>
      <c r="I145" t="s">
        <v>269</v>
      </c>
      <c r="J145" t="s">
        <v>187</v>
      </c>
      <c r="K145" t="s">
        <v>23</v>
      </c>
      <c r="L145">
        <v>1</v>
      </c>
      <c r="M145">
        <v>1</v>
      </c>
      <c r="O145" t="s">
        <v>14</v>
      </c>
      <c r="P145" t="s">
        <v>122</v>
      </c>
      <c r="Q145" t="s">
        <v>1262</v>
      </c>
      <c r="R145" t="s">
        <v>176</v>
      </c>
      <c r="S145" s="19">
        <v>63.722920000000002</v>
      </c>
      <c r="T145" s="19">
        <v>148.98212000000001</v>
      </c>
      <c r="U145">
        <v>0</v>
      </c>
      <c r="V145">
        <v>0</v>
      </c>
      <c r="W145">
        <v>0</v>
      </c>
      <c r="X145">
        <v>0</v>
      </c>
      <c r="Y145">
        <v>4</v>
      </c>
      <c r="Z145">
        <v>0</v>
      </c>
      <c r="AA145">
        <f t="shared" si="2"/>
        <v>4</v>
      </c>
      <c r="AC145" t="s">
        <v>1021</v>
      </c>
      <c r="AD145">
        <v>0</v>
      </c>
      <c r="AE145">
        <v>0</v>
      </c>
    </row>
    <row r="146" spans="1:31" x14ac:dyDescent="0.2">
      <c r="A146" t="s">
        <v>270</v>
      </c>
      <c r="E146" t="s">
        <v>213</v>
      </c>
      <c r="F146" s="1">
        <v>43346</v>
      </c>
      <c r="G146" t="s">
        <v>115</v>
      </c>
      <c r="I146" t="s">
        <v>24</v>
      </c>
      <c r="J146" t="s">
        <v>111</v>
      </c>
      <c r="K146" t="s">
        <v>23</v>
      </c>
      <c r="L146">
        <v>0</v>
      </c>
      <c r="M146">
        <v>1</v>
      </c>
      <c r="O146" t="s">
        <v>176</v>
      </c>
      <c r="P146" t="s">
        <v>115</v>
      </c>
      <c r="Q146" t="s">
        <v>23</v>
      </c>
      <c r="R146" t="s">
        <v>115</v>
      </c>
      <c r="S146" s="19">
        <v>63.72287</v>
      </c>
      <c r="T146" s="19">
        <v>148.98138</v>
      </c>
      <c r="U146">
        <v>0</v>
      </c>
      <c r="V146">
        <v>0</v>
      </c>
      <c r="W146">
        <v>0</v>
      </c>
      <c r="X146">
        <v>0</v>
      </c>
      <c r="Y146">
        <v>0</v>
      </c>
      <c r="Z146">
        <v>0</v>
      </c>
      <c r="AA146">
        <f t="shared" si="2"/>
        <v>0</v>
      </c>
      <c r="AC146" t="s">
        <v>271</v>
      </c>
      <c r="AD146">
        <v>0</v>
      </c>
      <c r="AE146">
        <v>0</v>
      </c>
    </row>
    <row r="147" spans="1:31" x14ac:dyDescent="0.2">
      <c r="A147" s="7" t="s">
        <v>530</v>
      </c>
      <c r="B147" s="7" t="s">
        <v>531</v>
      </c>
      <c r="C147" s="7">
        <v>5</v>
      </c>
      <c r="D147" s="7">
        <v>1</v>
      </c>
      <c r="E147" s="7" t="s">
        <v>521</v>
      </c>
      <c r="F147" s="10">
        <v>43352</v>
      </c>
      <c r="G147" s="8">
        <v>2.9861111111111113E-2</v>
      </c>
      <c r="H147" s="7" t="s">
        <v>483</v>
      </c>
      <c r="I147" s="7" t="s">
        <v>217</v>
      </c>
      <c r="J147" s="7" t="s">
        <v>187</v>
      </c>
      <c r="K147" s="7" t="s">
        <v>23</v>
      </c>
      <c r="L147" s="7">
        <v>1</v>
      </c>
      <c r="M147" s="7">
        <v>1</v>
      </c>
      <c r="N147" s="7"/>
      <c r="O147" t="s">
        <v>176</v>
      </c>
      <c r="P147" s="7" t="s">
        <v>122</v>
      </c>
      <c r="Q147" s="7" t="s">
        <v>501</v>
      </c>
      <c r="R147" s="7" t="s">
        <v>176</v>
      </c>
      <c r="S147" s="20">
        <v>63.725580000000001</v>
      </c>
      <c r="T147" s="20">
        <v>148.98072999999999</v>
      </c>
      <c r="U147" s="9">
        <v>0</v>
      </c>
      <c r="V147" s="9">
        <v>0</v>
      </c>
      <c r="W147" s="9">
        <v>0</v>
      </c>
      <c r="X147" s="9">
        <v>0</v>
      </c>
      <c r="Y147" s="9">
        <v>6</v>
      </c>
      <c r="Z147">
        <v>0</v>
      </c>
      <c r="AA147">
        <f t="shared" si="2"/>
        <v>6</v>
      </c>
      <c r="AB147" s="7"/>
      <c r="AC147" s="7"/>
      <c r="AD147" s="7"/>
      <c r="AE147" s="7"/>
    </row>
    <row r="148" spans="1:31" x14ac:dyDescent="0.2">
      <c r="A148" t="s">
        <v>1183</v>
      </c>
      <c r="B148" t="s">
        <v>1185</v>
      </c>
      <c r="C148">
        <v>2</v>
      </c>
      <c r="D148">
        <v>1</v>
      </c>
      <c r="E148" t="s">
        <v>521</v>
      </c>
      <c r="F148" s="1">
        <v>43381</v>
      </c>
      <c r="G148" s="2">
        <v>2.2916666666666669E-2</v>
      </c>
      <c r="H148" t="s">
        <v>101</v>
      </c>
      <c r="I148" s="7" t="s">
        <v>2488</v>
      </c>
      <c r="J148" s="7" t="s">
        <v>111</v>
      </c>
      <c r="K148" s="7" t="s">
        <v>23</v>
      </c>
      <c r="L148" s="7">
        <v>1</v>
      </c>
      <c r="M148" s="7">
        <v>1</v>
      </c>
      <c r="N148" s="7"/>
      <c r="O148" t="s">
        <v>176</v>
      </c>
      <c r="P148" s="7" t="s">
        <v>122</v>
      </c>
      <c r="Q148" s="7" t="s">
        <v>495</v>
      </c>
      <c r="R148" s="7">
        <v>2</v>
      </c>
      <c r="S148" s="20">
        <v>63.719540000000002</v>
      </c>
      <c r="T148" s="20">
        <v>148.98946000000001</v>
      </c>
      <c r="U148" s="6">
        <v>0</v>
      </c>
      <c r="V148" s="6">
        <v>0</v>
      </c>
      <c r="W148" s="6">
        <v>0</v>
      </c>
      <c r="X148" s="6">
        <v>0</v>
      </c>
      <c r="Y148" s="6">
        <v>10</v>
      </c>
      <c r="Z148">
        <v>0</v>
      </c>
      <c r="AA148">
        <f t="shared" si="2"/>
        <v>10</v>
      </c>
    </row>
    <row r="149" spans="1:31" x14ac:dyDescent="0.2">
      <c r="A149" t="s">
        <v>1183</v>
      </c>
      <c r="B149" t="s">
        <v>1185</v>
      </c>
      <c r="C149">
        <v>2</v>
      </c>
      <c r="D149">
        <v>2</v>
      </c>
      <c r="E149" t="s">
        <v>521</v>
      </c>
      <c r="F149" s="1">
        <v>43381</v>
      </c>
      <c r="G149" s="2">
        <v>2.2916666666666669E-2</v>
      </c>
      <c r="H149" t="s">
        <v>101</v>
      </c>
      <c r="I149" s="7" t="s">
        <v>2488</v>
      </c>
      <c r="J149" s="7" t="s">
        <v>156</v>
      </c>
      <c r="K149" s="7" t="s">
        <v>23</v>
      </c>
      <c r="L149" s="7">
        <v>3</v>
      </c>
      <c r="M149" s="7">
        <v>1</v>
      </c>
      <c r="N149" s="7"/>
      <c r="O149" t="s">
        <v>2128</v>
      </c>
      <c r="P149" s="7" t="s">
        <v>122</v>
      </c>
      <c r="Q149" s="7" t="s">
        <v>333</v>
      </c>
      <c r="R149" s="7">
        <v>14</v>
      </c>
      <c r="S149" s="20">
        <v>63.719450000000002</v>
      </c>
      <c r="T149" s="20">
        <v>148.98935</v>
      </c>
      <c r="U149" s="6">
        <v>0</v>
      </c>
      <c r="V149" s="6">
        <v>0</v>
      </c>
      <c r="W149" s="6">
        <v>0</v>
      </c>
      <c r="X149" s="6">
        <v>0</v>
      </c>
      <c r="Y149" s="6">
        <v>0</v>
      </c>
      <c r="Z149">
        <v>0</v>
      </c>
      <c r="AA149">
        <f t="shared" si="2"/>
        <v>0</v>
      </c>
    </row>
    <row r="150" spans="1:31" x14ac:dyDescent="0.2">
      <c r="A150" t="s">
        <v>1186</v>
      </c>
      <c r="B150" t="s">
        <v>1187</v>
      </c>
      <c r="C150">
        <v>3</v>
      </c>
      <c r="D150">
        <v>1</v>
      </c>
      <c r="E150" t="s">
        <v>521</v>
      </c>
      <c r="F150" s="1">
        <v>43381</v>
      </c>
      <c r="G150" s="2">
        <v>2.2222222222222223E-2</v>
      </c>
      <c r="H150" t="s">
        <v>101</v>
      </c>
      <c r="I150" s="7" t="s">
        <v>2488</v>
      </c>
      <c r="J150" s="7" t="s">
        <v>111</v>
      </c>
      <c r="K150" s="7" t="s">
        <v>23</v>
      </c>
      <c r="L150" s="7">
        <v>0</v>
      </c>
      <c r="M150" s="7">
        <v>1</v>
      </c>
      <c r="N150" s="7"/>
      <c r="O150" t="s">
        <v>2128</v>
      </c>
      <c r="P150" s="7" t="s">
        <v>122</v>
      </c>
      <c r="Q150" s="7" t="s">
        <v>333</v>
      </c>
      <c r="R150">
        <v>14</v>
      </c>
      <c r="S150" s="19">
        <v>63.719450000000002</v>
      </c>
      <c r="T150" s="19">
        <v>148.98935</v>
      </c>
      <c r="U150" s="6">
        <v>0</v>
      </c>
      <c r="V150" s="6">
        <v>0</v>
      </c>
      <c r="W150" s="6">
        <v>0</v>
      </c>
      <c r="X150" s="6">
        <v>0</v>
      </c>
      <c r="Y150" s="6">
        <v>0</v>
      </c>
      <c r="Z150">
        <v>0</v>
      </c>
      <c r="AA150">
        <f t="shared" si="2"/>
        <v>0</v>
      </c>
      <c r="AC150" t="s">
        <v>1188</v>
      </c>
    </row>
    <row r="151" spans="1:31" x14ac:dyDescent="0.2">
      <c r="A151" t="s">
        <v>638</v>
      </c>
      <c r="B151" t="s">
        <v>639</v>
      </c>
      <c r="C151" s="7">
        <v>1</v>
      </c>
      <c r="D151" s="7">
        <v>1</v>
      </c>
      <c r="E151" t="s">
        <v>395</v>
      </c>
      <c r="F151" s="1">
        <v>43357</v>
      </c>
      <c r="G151" s="2">
        <v>3.4722222222222224E-2</v>
      </c>
      <c r="H151" t="s">
        <v>640</v>
      </c>
      <c r="I151" s="7" t="s">
        <v>269</v>
      </c>
      <c r="J151" s="7" t="s">
        <v>111</v>
      </c>
      <c r="K151" s="7" t="s">
        <v>23</v>
      </c>
      <c r="L151" s="7">
        <v>1</v>
      </c>
      <c r="M151">
        <v>2</v>
      </c>
      <c r="N151" s="7" t="s">
        <v>2066</v>
      </c>
      <c r="O151" t="s">
        <v>176</v>
      </c>
      <c r="P151" s="7" t="s">
        <v>641</v>
      </c>
      <c r="Q151" s="7" t="s">
        <v>642</v>
      </c>
      <c r="R151" s="7"/>
      <c r="S151" s="20">
        <v>63.720970000000001</v>
      </c>
      <c r="T151" s="20">
        <v>148.98309</v>
      </c>
      <c r="U151" s="6">
        <v>0</v>
      </c>
      <c r="V151" s="6">
        <v>0</v>
      </c>
      <c r="W151" s="6">
        <v>0</v>
      </c>
      <c r="X151" s="6">
        <v>0</v>
      </c>
      <c r="Y151" s="6">
        <v>0</v>
      </c>
      <c r="Z151">
        <v>0</v>
      </c>
      <c r="AA151">
        <f t="shared" si="2"/>
        <v>0</v>
      </c>
      <c r="AC151" t="s">
        <v>643</v>
      </c>
    </row>
    <row r="152" spans="1:31" x14ac:dyDescent="0.2">
      <c r="A152" t="s">
        <v>648</v>
      </c>
      <c r="B152" t="s">
        <v>649</v>
      </c>
      <c r="C152" s="7">
        <v>3</v>
      </c>
      <c r="D152" s="7">
        <v>1</v>
      </c>
      <c r="E152" t="s">
        <v>395</v>
      </c>
      <c r="F152" s="1">
        <v>43357</v>
      </c>
      <c r="G152" s="2">
        <v>1.8055555555555557E-2</v>
      </c>
      <c r="H152" t="s">
        <v>640</v>
      </c>
      <c r="I152" s="7" t="s">
        <v>269</v>
      </c>
      <c r="J152" s="7" t="s">
        <v>111</v>
      </c>
      <c r="K152" s="7" t="s">
        <v>23</v>
      </c>
      <c r="L152" s="7">
        <v>0</v>
      </c>
      <c r="M152" s="7">
        <v>1</v>
      </c>
      <c r="N152" s="7"/>
      <c r="O152" t="s">
        <v>176</v>
      </c>
      <c r="P152" s="7" t="s">
        <v>115</v>
      </c>
      <c r="Q152" s="7" t="s">
        <v>495</v>
      </c>
      <c r="R152" s="7"/>
      <c r="S152" s="20">
        <v>63.722270000000002</v>
      </c>
      <c r="T152" s="20">
        <v>148.98532</v>
      </c>
      <c r="U152" s="6">
        <v>0</v>
      </c>
      <c r="V152" s="6">
        <v>0</v>
      </c>
      <c r="W152" s="6">
        <v>0</v>
      </c>
      <c r="X152" s="6">
        <v>0</v>
      </c>
      <c r="Y152" s="6">
        <v>0</v>
      </c>
      <c r="Z152">
        <v>0</v>
      </c>
      <c r="AA152">
        <f t="shared" si="2"/>
        <v>0</v>
      </c>
    </row>
    <row r="153" spans="1:31" x14ac:dyDescent="0.2">
      <c r="A153" t="s">
        <v>727</v>
      </c>
      <c r="B153" t="s">
        <v>728</v>
      </c>
      <c r="C153" s="7">
        <v>2</v>
      </c>
      <c r="D153" s="7">
        <v>1</v>
      </c>
      <c r="E153" t="s">
        <v>395</v>
      </c>
      <c r="F153" s="1">
        <v>43359</v>
      </c>
      <c r="G153" s="2">
        <v>1.9444444444444445E-2</v>
      </c>
      <c r="H153" t="s">
        <v>398</v>
      </c>
      <c r="I153" s="7" t="s">
        <v>269</v>
      </c>
      <c r="J153" s="7" t="s">
        <v>187</v>
      </c>
      <c r="K153" s="7" t="s">
        <v>23</v>
      </c>
      <c r="L153" s="7">
        <v>1</v>
      </c>
      <c r="M153">
        <v>1</v>
      </c>
      <c r="O153" t="s">
        <v>176</v>
      </c>
      <c r="P153" s="7" t="s">
        <v>501</v>
      </c>
      <c r="Q153" s="7" t="s">
        <v>487</v>
      </c>
      <c r="R153" s="7" t="s">
        <v>176</v>
      </c>
      <c r="S153" s="20">
        <v>63.722729999999999</v>
      </c>
      <c r="T153" s="20">
        <v>148.98305999999999</v>
      </c>
      <c r="U153" s="6">
        <v>0</v>
      </c>
      <c r="V153" s="6">
        <v>0</v>
      </c>
      <c r="W153" s="6">
        <v>0</v>
      </c>
      <c r="X153" s="6">
        <v>0</v>
      </c>
      <c r="Y153" s="6">
        <v>0</v>
      </c>
      <c r="Z153">
        <v>0</v>
      </c>
      <c r="AA153">
        <f t="shared" si="2"/>
        <v>0</v>
      </c>
      <c r="AC153" t="s">
        <v>729</v>
      </c>
    </row>
    <row r="154" spans="1:31" x14ac:dyDescent="0.2">
      <c r="A154" t="s">
        <v>739</v>
      </c>
      <c r="B154" t="s">
        <v>733</v>
      </c>
      <c r="C154" s="7">
        <v>4</v>
      </c>
      <c r="D154" s="7">
        <v>1</v>
      </c>
      <c r="E154" t="s">
        <v>395</v>
      </c>
      <c r="F154" s="1">
        <v>43359</v>
      </c>
      <c r="G154" s="2">
        <v>2.1527777777777781E-2</v>
      </c>
      <c r="H154" t="s">
        <v>398</v>
      </c>
      <c r="I154" s="7" t="s">
        <v>269</v>
      </c>
      <c r="J154" s="7" t="s">
        <v>187</v>
      </c>
      <c r="K154" s="7" t="s">
        <v>23</v>
      </c>
      <c r="L154" s="7">
        <v>0</v>
      </c>
      <c r="M154">
        <v>1</v>
      </c>
      <c r="O154" t="s">
        <v>176</v>
      </c>
      <c r="P154" s="7" t="s">
        <v>24</v>
      </c>
      <c r="Q154" s="7" t="s">
        <v>579</v>
      </c>
      <c r="R154" s="7" t="s">
        <v>176</v>
      </c>
      <c r="S154" s="20">
        <v>63.721499999999999</v>
      </c>
      <c r="T154" s="20">
        <v>148.98752999999999</v>
      </c>
      <c r="U154" s="6">
        <v>23</v>
      </c>
      <c r="V154" s="6">
        <v>0</v>
      </c>
      <c r="W154" s="6">
        <v>23</v>
      </c>
      <c r="X154" s="6">
        <v>0</v>
      </c>
      <c r="Y154" s="6">
        <v>0</v>
      </c>
      <c r="Z154">
        <v>0</v>
      </c>
      <c r="AA154">
        <f t="shared" si="2"/>
        <v>23</v>
      </c>
      <c r="AC154" t="s">
        <v>740</v>
      </c>
    </row>
    <row r="155" spans="1:31" x14ac:dyDescent="0.2">
      <c r="A155" t="s">
        <v>1043</v>
      </c>
      <c r="B155" t="s">
        <v>1044</v>
      </c>
      <c r="C155">
        <v>4</v>
      </c>
      <c r="D155">
        <v>1</v>
      </c>
      <c r="E155" t="s">
        <v>395</v>
      </c>
      <c r="F155" s="1">
        <v>43370</v>
      </c>
      <c r="G155" s="2">
        <v>9.7222222222222224E-3</v>
      </c>
      <c r="H155" t="s">
        <v>398</v>
      </c>
      <c r="I155" t="s">
        <v>269</v>
      </c>
      <c r="J155" s="7" t="s">
        <v>111</v>
      </c>
      <c r="K155" s="7" t="s">
        <v>23</v>
      </c>
      <c r="L155">
        <v>0</v>
      </c>
      <c r="M155">
        <v>1</v>
      </c>
      <c r="O155" t="s">
        <v>176</v>
      </c>
      <c r="P155" t="s">
        <v>24</v>
      </c>
      <c r="Q155" t="s">
        <v>1035</v>
      </c>
      <c r="R155" t="s">
        <v>24</v>
      </c>
      <c r="S155" s="20">
        <v>63.722810000000003</v>
      </c>
      <c r="T155" s="20">
        <v>148.98215999999999</v>
      </c>
      <c r="U155" s="6">
        <v>0</v>
      </c>
      <c r="V155" s="6">
        <v>0</v>
      </c>
      <c r="W155" s="6">
        <v>0</v>
      </c>
      <c r="X155" s="6">
        <v>0</v>
      </c>
      <c r="Y155" s="6">
        <v>0</v>
      </c>
      <c r="Z155">
        <v>0</v>
      </c>
      <c r="AA155">
        <f t="shared" si="2"/>
        <v>0</v>
      </c>
      <c r="AC155" t="s">
        <v>580</v>
      </c>
    </row>
    <row r="156" spans="1:31" x14ac:dyDescent="0.2">
      <c r="A156" t="s">
        <v>1033</v>
      </c>
      <c r="B156" t="s">
        <v>1034</v>
      </c>
      <c r="C156">
        <v>1</v>
      </c>
      <c r="D156">
        <v>1</v>
      </c>
      <c r="E156" t="s">
        <v>395</v>
      </c>
      <c r="F156" s="1">
        <v>43370</v>
      </c>
      <c r="G156" s="2">
        <v>1.7361111111111112E-2</v>
      </c>
      <c r="H156" t="s">
        <v>398</v>
      </c>
      <c r="I156" t="s">
        <v>269</v>
      </c>
      <c r="J156" s="7" t="s">
        <v>187</v>
      </c>
      <c r="K156" s="7" t="s">
        <v>23</v>
      </c>
      <c r="L156">
        <v>1</v>
      </c>
      <c r="M156">
        <v>1</v>
      </c>
      <c r="O156" t="s">
        <v>176</v>
      </c>
      <c r="P156" t="s">
        <v>134</v>
      </c>
      <c r="Q156" t="s">
        <v>1035</v>
      </c>
      <c r="R156">
        <v>2</v>
      </c>
      <c r="S156" s="20">
        <v>63.722810000000003</v>
      </c>
      <c r="T156" s="20">
        <v>148.98181</v>
      </c>
      <c r="U156" s="6">
        <v>0</v>
      </c>
      <c r="V156" s="6">
        <v>0</v>
      </c>
      <c r="W156" s="6">
        <v>0</v>
      </c>
      <c r="X156" s="6">
        <v>0</v>
      </c>
      <c r="Y156" s="6">
        <v>0</v>
      </c>
      <c r="Z156">
        <v>0</v>
      </c>
      <c r="AA156">
        <f t="shared" si="2"/>
        <v>0</v>
      </c>
      <c r="AC156" t="s">
        <v>1036</v>
      </c>
    </row>
    <row r="157" spans="1:31" x14ac:dyDescent="0.2">
      <c r="A157" t="s">
        <v>1102</v>
      </c>
      <c r="B157" t="s">
        <v>1103</v>
      </c>
      <c r="C157">
        <v>4</v>
      </c>
      <c r="D157">
        <v>1</v>
      </c>
      <c r="E157" t="s">
        <v>395</v>
      </c>
      <c r="F157" s="1">
        <v>43378</v>
      </c>
      <c r="G157" s="2">
        <v>9.7222222222222224E-3</v>
      </c>
      <c r="H157" t="s">
        <v>398</v>
      </c>
      <c r="I157" s="7" t="s">
        <v>269</v>
      </c>
      <c r="J157" s="7" t="s">
        <v>102</v>
      </c>
      <c r="K157" s="7" t="s">
        <v>23</v>
      </c>
      <c r="L157">
        <v>0</v>
      </c>
      <c r="M157">
        <v>1</v>
      </c>
      <c r="N157" t="s">
        <v>1104</v>
      </c>
      <c r="O157" t="s">
        <v>176</v>
      </c>
      <c r="P157" t="s">
        <v>122</v>
      </c>
      <c r="Q157" t="s">
        <v>495</v>
      </c>
      <c r="R157">
        <v>10</v>
      </c>
      <c r="S157" s="19">
        <v>63.721789999999999</v>
      </c>
      <c r="T157" s="19">
        <v>148.98455999999999</v>
      </c>
      <c r="U157" s="6">
        <v>0</v>
      </c>
      <c r="V157" s="6">
        <v>0</v>
      </c>
      <c r="W157" s="6">
        <v>0</v>
      </c>
      <c r="X157" s="6">
        <v>0</v>
      </c>
      <c r="Y157" s="6">
        <v>0</v>
      </c>
      <c r="Z157">
        <v>0</v>
      </c>
      <c r="AA157">
        <f t="shared" si="2"/>
        <v>0</v>
      </c>
    </row>
    <row r="158" spans="1:31" x14ac:dyDescent="0.2">
      <c r="A158" t="s">
        <v>1105</v>
      </c>
      <c r="B158" t="s">
        <v>1106</v>
      </c>
      <c r="C158">
        <v>5</v>
      </c>
      <c r="D158">
        <v>1</v>
      </c>
      <c r="E158" t="s">
        <v>395</v>
      </c>
      <c r="F158" s="1">
        <v>43378</v>
      </c>
      <c r="G158" s="2">
        <v>1.0416666666666666E-2</v>
      </c>
      <c r="H158" t="s">
        <v>398</v>
      </c>
      <c r="I158" s="7" t="s">
        <v>269</v>
      </c>
      <c r="J158" s="7" t="s">
        <v>111</v>
      </c>
      <c r="K158" s="7" t="s">
        <v>23</v>
      </c>
      <c r="L158">
        <v>0</v>
      </c>
      <c r="M158">
        <v>1</v>
      </c>
      <c r="O158" t="s">
        <v>176</v>
      </c>
      <c r="P158" t="s">
        <v>122</v>
      </c>
      <c r="Q158" t="s">
        <v>495</v>
      </c>
      <c r="R158" t="s">
        <v>24</v>
      </c>
      <c r="S158" s="19">
        <v>63.720469999999999</v>
      </c>
      <c r="T158" s="19">
        <v>148.98471000000001</v>
      </c>
      <c r="U158" s="6">
        <v>0</v>
      </c>
      <c r="V158" s="6">
        <v>0</v>
      </c>
      <c r="W158" s="6">
        <v>0</v>
      </c>
      <c r="X158" s="6">
        <v>0</v>
      </c>
      <c r="Y158" s="6">
        <v>0</v>
      </c>
      <c r="Z158">
        <v>0</v>
      </c>
      <c r="AA158">
        <f t="shared" si="2"/>
        <v>0</v>
      </c>
      <c r="AC158" t="s">
        <v>1107</v>
      </c>
    </row>
    <row r="159" spans="1:31" x14ac:dyDescent="0.2">
      <c r="A159" t="s">
        <v>1178</v>
      </c>
      <c r="B159" t="s">
        <v>1179</v>
      </c>
      <c r="C159">
        <v>6</v>
      </c>
      <c r="D159">
        <v>1</v>
      </c>
      <c r="E159" t="s">
        <v>395</v>
      </c>
      <c r="F159" s="1">
        <v>43381</v>
      </c>
      <c r="G159" s="2">
        <v>2.4305555555555556E-2</v>
      </c>
      <c r="H159" t="s">
        <v>101</v>
      </c>
      <c r="I159" s="7" t="s">
        <v>269</v>
      </c>
      <c r="J159" s="7" t="s">
        <v>111</v>
      </c>
      <c r="K159" s="7" t="s">
        <v>23</v>
      </c>
      <c r="L159" s="7">
        <v>0</v>
      </c>
      <c r="M159" s="7">
        <v>1</v>
      </c>
      <c r="N159" s="7"/>
      <c r="O159" t="s">
        <v>176</v>
      </c>
      <c r="P159" s="7" t="s">
        <v>24</v>
      </c>
      <c r="Q159" s="7" t="s">
        <v>487</v>
      </c>
      <c r="R159" s="7" t="s">
        <v>24</v>
      </c>
      <c r="S159" s="20">
        <v>63.719549999999998</v>
      </c>
      <c r="T159" s="20">
        <v>148.98508000000001</v>
      </c>
      <c r="U159" s="6">
        <v>0</v>
      </c>
      <c r="V159" s="6">
        <v>0</v>
      </c>
      <c r="W159" s="6">
        <v>0</v>
      </c>
      <c r="X159" s="6">
        <v>0</v>
      </c>
      <c r="Y159" s="6">
        <v>0</v>
      </c>
      <c r="Z159">
        <v>0</v>
      </c>
      <c r="AA159">
        <f t="shared" si="2"/>
        <v>0</v>
      </c>
      <c r="AC159" t="s">
        <v>1180</v>
      </c>
    </row>
    <row r="160" spans="1:31" x14ac:dyDescent="0.2">
      <c r="A160" t="s">
        <v>1403</v>
      </c>
      <c r="B160" t="s">
        <v>1404</v>
      </c>
      <c r="C160">
        <v>24</v>
      </c>
      <c r="D160">
        <v>1</v>
      </c>
      <c r="E160" t="s">
        <v>395</v>
      </c>
      <c r="F160" s="1">
        <v>43388</v>
      </c>
      <c r="G160" s="2">
        <v>1.8749999999999999E-2</v>
      </c>
      <c r="H160" t="s">
        <v>398</v>
      </c>
      <c r="I160" s="7" t="s">
        <v>269</v>
      </c>
      <c r="J160" s="7" t="s">
        <v>111</v>
      </c>
      <c r="K160" t="s">
        <v>23</v>
      </c>
      <c r="L160">
        <v>0</v>
      </c>
      <c r="M160" s="7">
        <v>1</v>
      </c>
      <c r="O160" t="s">
        <v>2125</v>
      </c>
      <c r="P160" s="7" t="s">
        <v>122</v>
      </c>
      <c r="Q160" s="7" t="s">
        <v>1035</v>
      </c>
      <c r="R160">
        <v>23</v>
      </c>
      <c r="S160" s="20">
        <v>63.722029999999997</v>
      </c>
      <c r="T160" s="20">
        <v>148.98781</v>
      </c>
      <c r="U160" s="6">
        <v>0</v>
      </c>
      <c r="V160" s="6">
        <v>0</v>
      </c>
      <c r="W160" s="6">
        <v>0</v>
      </c>
      <c r="X160" s="6">
        <v>0</v>
      </c>
      <c r="Y160" s="6">
        <v>0</v>
      </c>
      <c r="Z160">
        <v>0</v>
      </c>
      <c r="AA160">
        <f t="shared" si="2"/>
        <v>0</v>
      </c>
    </row>
    <row r="161" spans="1:31" x14ac:dyDescent="0.2">
      <c r="A161" t="s">
        <v>1592</v>
      </c>
      <c r="B161" t="s">
        <v>1593</v>
      </c>
      <c r="C161">
        <v>3</v>
      </c>
      <c r="D161">
        <v>1</v>
      </c>
      <c r="E161" t="s">
        <v>395</v>
      </c>
      <c r="F161" s="1">
        <v>43391</v>
      </c>
      <c r="G161" s="2">
        <v>3.1944444444444449E-2</v>
      </c>
      <c r="H161" t="s">
        <v>398</v>
      </c>
      <c r="I161" s="7" t="s">
        <v>269</v>
      </c>
      <c r="J161" t="s">
        <v>156</v>
      </c>
      <c r="K161" s="7" t="s">
        <v>23</v>
      </c>
      <c r="L161" s="7">
        <v>5</v>
      </c>
      <c r="M161" s="7">
        <v>1</v>
      </c>
      <c r="O161" t="s">
        <v>2128</v>
      </c>
      <c r="P161" s="7" t="s">
        <v>122</v>
      </c>
      <c r="Q161" s="7" t="s">
        <v>1035</v>
      </c>
      <c r="R161">
        <v>10</v>
      </c>
      <c r="S161" s="20">
        <v>63.721490000000003</v>
      </c>
      <c r="T161" s="20">
        <v>148.98593</v>
      </c>
      <c r="U161" s="6">
        <v>0</v>
      </c>
      <c r="V161" s="6">
        <v>0</v>
      </c>
      <c r="W161" s="6">
        <v>0</v>
      </c>
      <c r="X161" s="6">
        <v>0</v>
      </c>
      <c r="Y161" s="6">
        <v>22</v>
      </c>
      <c r="Z161">
        <v>0</v>
      </c>
      <c r="AA161">
        <f t="shared" si="2"/>
        <v>22</v>
      </c>
    </row>
    <row r="162" spans="1:31" x14ac:dyDescent="0.2">
      <c r="A162" t="s">
        <v>1594</v>
      </c>
      <c r="B162" t="s">
        <v>1595</v>
      </c>
      <c r="C162">
        <v>4</v>
      </c>
      <c r="D162">
        <v>1</v>
      </c>
      <c r="E162" t="s">
        <v>395</v>
      </c>
      <c r="F162" s="1">
        <v>43391</v>
      </c>
      <c r="G162" s="2">
        <v>1.3194444444444444E-2</v>
      </c>
      <c r="H162" t="s">
        <v>398</v>
      </c>
      <c r="I162" s="7" t="s">
        <v>269</v>
      </c>
      <c r="J162" t="s">
        <v>156</v>
      </c>
      <c r="K162" s="7" t="s">
        <v>23</v>
      </c>
      <c r="L162" s="7">
        <v>2</v>
      </c>
      <c r="M162" s="7">
        <v>1</v>
      </c>
      <c r="O162" t="s">
        <v>2128</v>
      </c>
      <c r="P162" s="7" t="s">
        <v>122</v>
      </c>
      <c r="Q162" s="7" t="s">
        <v>495</v>
      </c>
      <c r="R162">
        <v>15</v>
      </c>
      <c r="S162" s="20">
        <v>63.721530000000001</v>
      </c>
      <c r="T162" s="20">
        <v>148.98598999999999</v>
      </c>
      <c r="U162" s="6">
        <v>0</v>
      </c>
      <c r="V162" s="6">
        <v>0</v>
      </c>
      <c r="W162" s="6">
        <v>0</v>
      </c>
      <c r="X162" s="6">
        <v>0</v>
      </c>
      <c r="Y162" s="6">
        <v>5</v>
      </c>
      <c r="Z162">
        <v>0</v>
      </c>
      <c r="AA162">
        <f t="shared" si="2"/>
        <v>5</v>
      </c>
    </row>
    <row r="163" spans="1:31" x14ac:dyDescent="0.2">
      <c r="A163" t="s">
        <v>348</v>
      </c>
      <c r="E163" t="s">
        <v>395</v>
      </c>
      <c r="F163" s="1">
        <v>43362</v>
      </c>
      <c r="I163" s="7" t="s">
        <v>269</v>
      </c>
      <c r="J163" s="7" t="s">
        <v>111</v>
      </c>
      <c r="K163" s="7" t="s">
        <v>23</v>
      </c>
      <c r="L163" s="7">
        <v>0</v>
      </c>
      <c r="M163" s="7">
        <v>1</v>
      </c>
      <c r="N163" s="7"/>
      <c r="O163" t="s">
        <v>176</v>
      </c>
      <c r="P163" s="7" t="s">
        <v>24</v>
      </c>
      <c r="Q163" s="7" t="s">
        <v>495</v>
      </c>
      <c r="R163" s="7" t="s">
        <v>176</v>
      </c>
      <c r="S163" s="20">
        <v>63.723179999999999</v>
      </c>
      <c r="T163" s="20">
        <v>148.98204000000001</v>
      </c>
      <c r="U163" s="6">
        <v>0</v>
      </c>
      <c r="V163" s="6">
        <v>0</v>
      </c>
      <c r="W163" s="6">
        <v>0</v>
      </c>
      <c r="X163" s="6">
        <v>0</v>
      </c>
      <c r="Y163" s="6">
        <v>0</v>
      </c>
      <c r="Z163">
        <v>0</v>
      </c>
      <c r="AA163">
        <f t="shared" si="2"/>
        <v>0</v>
      </c>
      <c r="AC163" t="s">
        <v>833</v>
      </c>
    </row>
    <row r="164" spans="1:31" s="4" customFormat="1" x14ac:dyDescent="0.2">
      <c r="A164" t="s">
        <v>1049</v>
      </c>
      <c r="B164" t="s">
        <v>1050</v>
      </c>
      <c r="C164">
        <v>7</v>
      </c>
      <c r="D164">
        <v>1</v>
      </c>
      <c r="E164" t="s">
        <v>395</v>
      </c>
      <c r="F164" s="1">
        <v>43370</v>
      </c>
      <c r="G164" s="2">
        <v>2.013888888888889E-2</v>
      </c>
      <c r="H164" t="s">
        <v>398</v>
      </c>
      <c r="I164" t="s">
        <v>241</v>
      </c>
      <c r="J164" s="7" t="s">
        <v>111</v>
      </c>
      <c r="K164" s="7" t="s">
        <v>12</v>
      </c>
      <c r="L164">
        <v>0</v>
      </c>
      <c r="M164">
        <v>2</v>
      </c>
      <c r="N164" t="s">
        <v>490</v>
      </c>
      <c r="O164" t="s">
        <v>461</v>
      </c>
      <c r="P164" t="s">
        <v>333</v>
      </c>
      <c r="Q164" t="s">
        <v>1051</v>
      </c>
      <c r="R164" t="s">
        <v>115</v>
      </c>
      <c r="S164" s="20">
        <v>63.72307</v>
      </c>
      <c r="T164" s="20">
        <v>148.98291</v>
      </c>
      <c r="U164" s="6">
        <v>0</v>
      </c>
      <c r="V164" s="6">
        <v>0</v>
      </c>
      <c r="W164" s="6">
        <v>0</v>
      </c>
      <c r="X164" s="6">
        <v>0</v>
      </c>
      <c r="Y164" s="6">
        <v>0</v>
      </c>
      <c r="Z164">
        <v>0</v>
      </c>
      <c r="AA164">
        <f t="shared" si="2"/>
        <v>0</v>
      </c>
      <c r="AB164"/>
      <c r="AC164" t="s">
        <v>1052</v>
      </c>
      <c r="AD164"/>
      <c r="AE164"/>
    </row>
    <row r="165" spans="1:31" s="4" customFormat="1" x14ac:dyDescent="0.2">
      <c r="A165" t="s">
        <v>1466</v>
      </c>
      <c r="B165" t="s">
        <v>1467</v>
      </c>
      <c r="C165">
        <v>53</v>
      </c>
      <c r="D165">
        <v>1</v>
      </c>
      <c r="E165" t="s">
        <v>395</v>
      </c>
      <c r="F165" s="1">
        <v>43388</v>
      </c>
      <c r="G165" s="2">
        <v>8.3333333333333332E-3</v>
      </c>
      <c r="H165" t="s">
        <v>398</v>
      </c>
      <c r="I165" s="7" t="s">
        <v>241</v>
      </c>
      <c r="J165" s="7" t="s">
        <v>111</v>
      </c>
      <c r="K165" t="s">
        <v>115</v>
      </c>
      <c r="L165">
        <v>0</v>
      </c>
      <c r="M165" s="7">
        <v>1</v>
      </c>
      <c r="N165"/>
      <c r="O165" t="s">
        <v>2125</v>
      </c>
      <c r="P165" s="7" t="s">
        <v>122</v>
      </c>
      <c r="Q165" s="7" t="s">
        <v>333</v>
      </c>
      <c r="R165">
        <v>37</v>
      </c>
      <c r="S165" s="20">
        <v>63.721760000000003</v>
      </c>
      <c r="T165" s="20">
        <v>148.98801</v>
      </c>
      <c r="U165" s="6">
        <v>0</v>
      </c>
      <c r="V165" s="6">
        <v>0</v>
      </c>
      <c r="W165" s="6">
        <v>0</v>
      </c>
      <c r="X165" s="6">
        <v>0</v>
      </c>
      <c r="Y165" s="6">
        <v>0</v>
      </c>
      <c r="Z165">
        <v>0</v>
      </c>
      <c r="AA165">
        <f t="shared" si="2"/>
        <v>0</v>
      </c>
      <c r="AB165"/>
      <c r="AC165"/>
      <c r="AD165"/>
      <c r="AE165"/>
    </row>
    <row r="166" spans="1:31" s="4" customFormat="1" x14ac:dyDescent="0.2">
      <c r="A166" t="s">
        <v>1489</v>
      </c>
      <c r="B166" t="s">
        <v>1490</v>
      </c>
      <c r="C166">
        <v>64</v>
      </c>
      <c r="D166">
        <v>1</v>
      </c>
      <c r="E166" t="s">
        <v>395</v>
      </c>
      <c r="F166" s="1">
        <v>43388</v>
      </c>
      <c r="G166" s="2">
        <v>1.7361111111111112E-2</v>
      </c>
      <c r="H166" t="s">
        <v>398</v>
      </c>
      <c r="I166" s="7" t="s">
        <v>241</v>
      </c>
      <c r="J166" t="s">
        <v>111</v>
      </c>
      <c r="K166" t="s">
        <v>23</v>
      </c>
      <c r="L166">
        <v>0</v>
      </c>
      <c r="M166" s="7">
        <v>1</v>
      </c>
      <c r="N166"/>
      <c r="O166" t="s">
        <v>2125</v>
      </c>
      <c r="P166" s="7" t="s">
        <v>122</v>
      </c>
      <c r="Q166" s="7" t="s">
        <v>1035</v>
      </c>
      <c r="R166" s="7" t="s">
        <v>24</v>
      </c>
      <c r="S166" s="20">
        <v>63.721519999999998</v>
      </c>
      <c r="T166" s="20">
        <v>148.98714000000001</v>
      </c>
      <c r="U166" s="6">
        <v>0</v>
      </c>
      <c r="V166" s="6">
        <v>0</v>
      </c>
      <c r="W166" s="6">
        <v>0</v>
      </c>
      <c r="X166" s="6">
        <v>0</v>
      </c>
      <c r="Y166" s="6">
        <v>0</v>
      </c>
      <c r="Z166">
        <v>0</v>
      </c>
      <c r="AA166">
        <f t="shared" si="2"/>
        <v>0</v>
      </c>
      <c r="AB166"/>
      <c r="AC166"/>
      <c r="AD166"/>
      <c r="AE166"/>
    </row>
    <row r="167" spans="1:31" s="4" customFormat="1" x14ac:dyDescent="0.2">
      <c r="A167" t="s">
        <v>1721</v>
      </c>
      <c r="B167" t="s">
        <v>1722</v>
      </c>
      <c r="C167">
        <v>7</v>
      </c>
      <c r="D167">
        <v>1</v>
      </c>
      <c r="E167" t="s">
        <v>395</v>
      </c>
      <c r="F167" s="1">
        <v>43396</v>
      </c>
      <c r="G167" s="2">
        <v>3.6805555555555557E-2</v>
      </c>
      <c r="H167"/>
      <c r="I167" s="7" t="s">
        <v>241</v>
      </c>
      <c r="J167" s="7" t="s">
        <v>111</v>
      </c>
      <c r="K167" s="7" t="s">
        <v>23</v>
      </c>
      <c r="L167" s="7">
        <v>0</v>
      </c>
      <c r="M167">
        <v>1</v>
      </c>
      <c r="N167"/>
      <c r="O167" t="s">
        <v>176</v>
      </c>
      <c r="P167" s="7" t="s">
        <v>948</v>
      </c>
      <c r="Q167" s="7" t="s">
        <v>1723</v>
      </c>
      <c r="R167" s="7">
        <v>10</v>
      </c>
      <c r="S167" s="20">
        <v>63.720440000000004</v>
      </c>
      <c r="T167" s="20">
        <v>148.98979</v>
      </c>
      <c r="U167" s="6">
        <v>0</v>
      </c>
      <c r="V167" s="6">
        <v>0</v>
      </c>
      <c r="W167" s="6">
        <v>0</v>
      </c>
      <c r="X167" s="6">
        <v>0</v>
      </c>
      <c r="Y167" s="6">
        <v>0</v>
      </c>
      <c r="Z167" s="6">
        <v>0</v>
      </c>
      <c r="AA167">
        <f t="shared" si="2"/>
        <v>0</v>
      </c>
      <c r="AB167"/>
      <c r="AC167" t="s">
        <v>1724</v>
      </c>
      <c r="AD167"/>
      <c r="AE167"/>
    </row>
    <row r="168" spans="1:31" s="4" customFormat="1" x14ac:dyDescent="0.2">
      <c r="A168" t="s">
        <v>1096</v>
      </c>
      <c r="B168" t="s">
        <v>1097</v>
      </c>
      <c r="C168">
        <v>1</v>
      </c>
      <c r="D168">
        <v>1</v>
      </c>
      <c r="E168" t="s">
        <v>395</v>
      </c>
      <c r="F168" s="1">
        <v>43378</v>
      </c>
      <c r="G168" s="2">
        <v>2.013888888888889E-2</v>
      </c>
      <c r="H168" t="s">
        <v>398</v>
      </c>
      <c r="I168" s="7" t="s">
        <v>176</v>
      </c>
      <c r="J168" s="7" t="s">
        <v>111</v>
      </c>
      <c r="K168" s="7" t="s">
        <v>23</v>
      </c>
      <c r="L168">
        <v>1</v>
      </c>
      <c r="M168">
        <v>1</v>
      </c>
      <c r="N168"/>
      <c r="O168" t="s">
        <v>176</v>
      </c>
      <c r="P168" t="s">
        <v>122</v>
      </c>
      <c r="Q168" t="s">
        <v>1035</v>
      </c>
      <c r="R168">
        <v>7</v>
      </c>
      <c r="S168" s="19">
        <v>63.723480000000002</v>
      </c>
      <c r="T168" s="19">
        <v>148.98240999999999</v>
      </c>
      <c r="U168" s="6">
        <v>0</v>
      </c>
      <c r="V168" s="6">
        <v>0</v>
      </c>
      <c r="W168" s="6">
        <v>0</v>
      </c>
      <c r="X168" s="6">
        <v>0</v>
      </c>
      <c r="Y168" s="6">
        <v>0</v>
      </c>
      <c r="Z168">
        <v>0</v>
      </c>
      <c r="AA168">
        <f t="shared" si="2"/>
        <v>0</v>
      </c>
      <c r="AB168"/>
      <c r="AC168" t="s">
        <v>1021</v>
      </c>
      <c r="AD168"/>
      <c r="AE168"/>
    </row>
    <row r="169" spans="1:31" s="4" customFormat="1" x14ac:dyDescent="0.2">
      <c r="A169" t="s">
        <v>1382</v>
      </c>
      <c r="B169" t="s">
        <v>1378</v>
      </c>
      <c r="C169">
        <v>13</v>
      </c>
      <c r="D169">
        <v>1</v>
      </c>
      <c r="E169" t="s">
        <v>395</v>
      </c>
      <c r="F169" s="1">
        <v>43388</v>
      </c>
      <c r="G169" s="2">
        <v>2.5694444444444447E-2</v>
      </c>
      <c r="H169" t="s">
        <v>398</v>
      </c>
      <c r="I169" s="7" t="s">
        <v>176</v>
      </c>
      <c r="J169" s="7" t="s">
        <v>111</v>
      </c>
      <c r="K169" t="s">
        <v>516</v>
      </c>
      <c r="L169">
        <v>0</v>
      </c>
      <c r="M169" s="7">
        <v>2</v>
      </c>
      <c r="N169" s="7" t="s">
        <v>1379</v>
      </c>
      <c r="O169" t="s">
        <v>2125</v>
      </c>
      <c r="P169" s="7" t="s">
        <v>122</v>
      </c>
      <c r="Q169" s="7" t="s">
        <v>1380</v>
      </c>
      <c r="R169">
        <v>25</v>
      </c>
      <c r="S169" s="20">
        <v>63.722020000000001</v>
      </c>
      <c r="T169" s="20">
        <v>148.98776000000001</v>
      </c>
      <c r="U169" s="6">
        <v>0</v>
      </c>
      <c r="V169" s="6">
        <v>0</v>
      </c>
      <c r="W169" s="6">
        <v>0</v>
      </c>
      <c r="X169" s="6">
        <v>0</v>
      </c>
      <c r="Y169" s="6">
        <v>0</v>
      </c>
      <c r="Z169">
        <v>0</v>
      </c>
      <c r="AA169">
        <f t="shared" si="2"/>
        <v>0</v>
      </c>
      <c r="AB169"/>
      <c r="AC169" t="s">
        <v>1381</v>
      </c>
      <c r="AD169"/>
      <c r="AE169"/>
    </row>
    <row r="170" spans="1:31" s="4" customFormat="1" x14ac:dyDescent="0.2">
      <c r="A170" t="s">
        <v>1394</v>
      </c>
      <c r="B170" t="s">
        <v>1395</v>
      </c>
      <c r="C170">
        <v>20</v>
      </c>
      <c r="D170">
        <v>2</v>
      </c>
      <c r="E170" t="s">
        <v>395</v>
      </c>
      <c r="F170" s="1">
        <v>43388</v>
      </c>
      <c r="G170" s="2">
        <v>1.0416666666666666E-2</v>
      </c>
      <c r="H170" t="s">
        <v>398</v>
      </c>
      <c r="I170" s="7" t="s">
        <v>176</v>
      </c>
      <c r="J170" s="7" t="s">
        <v>111</v>
      </c>
      <c r="K170" t="s">
        <v>23</v>
      </c>
      <c r="L170">
        <v>0</v>
      </c>
      <c r="M170" s="7">
        <v>1</v>
      </c>
      <c r="N170"/>
      <c r="O170" t="s">
        <v>2125</v>
      </c>
      <c r="P170" s="7" t="s">
        <v>122</v>
      </c>
      <c r="Q170" s="7" t="s">
        <v>2061</v>
      </c>
      <c r="R170">
        <v>8</v>
      </c>
      <c r="S170" s="20">
        <v>63.72184</v>
      </c>
      <c r="T170" s="20">
        <v>148.98740000000001</v>
      </c>
      <c r="U170" s="6">
        <v>0</v>
      </c>
      <c r="V170" s="6">
        <v>0</v>
      </c>
      <c r="W170" s="6">
        <v>0</v>
      </c>
      <c r="X170" s="6">
        <v>0</v>
      </c>
      <c r="Y170" s="6">
        <v>0</v>
      </c>
      <c r="Z170">
        <v>0</v>
      </c>
      <c r="AA170">
        <f t="shared" si="2"/>
        <v>0</v>
      </c>
      <c r="AB170"/>
      <c r="AC170" s="5" t="s">
        <v>1396</v>
      </c>
      <c r="AD170"/>
      <c r="AE170"/>
    </row>
    <row r="171" spans="1:31" s="4" customFormat="1" x14ac:dyDescent="0.2">
      <c r="A171" t="s">
        <v>1402</v>
      </c>
      <c r="B171" t="s">
        <v>1401</v>
      </c>
      <c r="C171">
        <v>23</v>
      </c>
      <c r="D171">
        <v>1</v>
      </c>
      <c r="E171" t="s">
        <v>395</v>
      </c>
      <c r="F171" s="1">
        <v>43388</v>
      </c>
      <c r="G171" s="2">
        <v>1.6666666666666666E-2</v>
      </c>
      <c r="H171" t="s">
        <v>398</v>
      </c>
      <c r="I171" s="7" t="s">
        <v>176</v>
      </c>
      <c r="J171" s="7" t="s">
        <v>111</v>
      </c>
      <c r="K171" t="s">
        <v>23</v>
      </c>
      <c r="L171">
        <v>0</v>
      </c>
      <c r="M171" s="7">
        <v>1</v>
      </c>
      <c r="N171"/>
      <c r="O171" t="s">
        <v>2125</v>
      </c>
      <c r="P171" s="7" t="s">
        <v>122</v>
      </c>
      <c r="Q171" s="7" t="s">
        <v>1035</v>
      </c>
      <c r="R171">
        <v>10</v>
      </c>
      <c r="S171" s="20">
        <v>63.721899999999998</v>
      </c>
      <c r="T171" s="20">
        <v>148.98749000000001</v>
      </c>
      <c r="U171" s="6">
        <v>0</v>
      </c>
      <c r="V171" s="6">
        <v>0</v>
      </c>
      <c r="W171" s="6">
        <v>0</v>
      </c>
      <c r="X171" s="6">
        <v>0</v>
      </c>
      <c r="Y171" s="6">
        <v>0</v>
      </c>
      <c r="Z171">
        <v>0</v>
      </c>
      <c r="AA171">
        <f t="shared" si="2"/>
        <v>0</v>
      </c>
      <c r="AB171"/>
      <c r="AC171"/>
      <c r="AD171"/>
      <c r="AE171"/>
    </row>
    <row r="172" spans="1:31" x14ac:dyDescent="0.2">
      <c r="A172" t="s">
        <v>1407</v>
      </c>
      <c r="B172" t="s">
        <v>1408</v>
      </c>
      <c r="C172">
        <v>26</v>
      </c>
      <c r="D172">
        <v>1</v>
      </c>
      <c r="E172" t="s">
        <v>395</v>
      </c>
      <c r="F172" s="1">
        <v>43388</v>
      </c>
      <c r="G172" s="2">
        <v>8.7500000000000008E-2</v>
      </c>
      <c r="H172" t="s">
        <v>398</v>
      </c>
      <c r="I172" s="7" t="s">
        <v>176</v>
      </c>
      <c r="J172" s="7" t="s">
        <v>111</v>
      </c>
      <c r="K172" t="s">
        <v>23</v>
      </c>
      <c r="L172">
        <v>0</v>
      </c>
      <c r="M172" s="7">
        <v>1</v>
      </c>
      <c r="O172" t="s">
        <v>2125</v>
      </c>
      <c r="P172" s="7" t="s">
        <v>122</v>
      </c>
      <c r="Q172" s="7" t="s">
        <v>1035</v>
      </c>
      <c r="R172">
        <v>60</v>
      </c>
      <c r="S172" s="20">
        <v>63.72137</v>
      </c>
      <c r="T172" s="20">
        <v>148.98742999999999</v>
      </c>
      <c r="U172" s="6">
        <v>0</v>
      </c>
      <c r="V172" s="6">
        <v>0</v>
      </c>
      <c r="W172" s="6">
        <v>0</v>
      </c>
      <c r="X172" s="6">
        <v>0</v>
      </c>
      <c r="Y172" s="6">
        <v>0</v>
      </c>
      <c r="Z172">
        <v>0</v>
      </c>
      <c r="AA172">
        <f t="shared" si="2"/>
        <v>0</v>
      </c>
      <c r="AC172" s="5" t="s">
        <v>1356</v>
      </c>
    </row>
    <row r="173" spans="1:31" x14ac:dyDescent="0.2">
      <c r="A173" t="s">
        <v>1411</v>
      </c>
      <c r="B173" t="s">
        <v>1412</v>
      </c>
      <c r="C173">
        <v>28</v>
      </c>
      <c r="D173">
        <v>1</v>
      </c>
      <c r="E173" t="s">
        <v>395</v>
      </c>
      <c r="F173" s="1">
        <v>43388</v>
      </c>
      <c r="G173" s="2">
        <v>1.1805555555555555E-2</v>
      </c>
      <c r="H173" t="s">
        <v>398</v>
      </c>
      <c r="I173" s="7" t="s">
        <v>176</v>
      </c>
      <c r="J173" s="7" t="s">
        <v>111</v>
      </c>
      <c r="K173" t="s">
        <v>23</v>
      </c>
      <c r="L173">
        <v>0</v>
      </c>
      <c r="M173" s="7">
        <v>1</v>
      </c>
      <c r="O173" t="s">
        <v>2125</v>
      </c>
      <c r="P173" s="7" t="s">
        <v>122</v>
      </c>
      <c r="Q173" s="7" t="s">
        <v>1035</v>
      </c>
      <c r="R173">
        <v>37</v>
      </c>
      <c r="S173" s="20">
        <v>63.721769999999999</v>
      </c>
      <c r="T173" s="20">
        <v>148.98671999999999</v>
      </c>
      <c r="U173" s="6">
        <v>0</v>
      </c>
      <c r="V173" s="6">
        <v>0</v>
      </c>
      <c r="W173" s="6">
        <v>0</v>
      </c>
      <c r="X173" s="6">
        <v>0</v>
      </c>
      <c r="Y173" s="6">
        <v>0</v>
      </c>
      <c r="Z173">
        <v>0</v>
      </c>
      <c r="AA173">
        <f t="shared" si="2"/>
        <v>0</v>
      </c>
      <c r="AC173" s="5" t="s">
        <v>1356</v>
      </c>
    </row>
    <row r="174" spans="1:31" x14ac:dyDescent="0.2">
      <c r="A174" t="s">
        <v>1354</v>
      </c>
      <c r="B174" t="s">
        <v>1355</v>
      </c>
      <c r="C174">
        <v>3</v>
      </c>
      <c r="D174">
        <v>1</v>
      </c>
      <c r="E174" t="s">
        <v>395</v>
      </c>
      <c r="F174" s="1">
        <v>43388</v>
      </c>
      <c r="G174" s="2">
        <v>2.7777777777777779E-3</v>
      </c>
      <c r="H174" t="s">
        <v>398</v>
      </c>
      <c r="I174" s="7" t="s">
        <v>176</v>
      </c>
      <c r="J174" s="7" t="s">
        <v>111</v>
      </c>
      <c r="K174" t="s">
        <v>23</v>
      </c>
      <c r="L174">
        <v>0</v>
      </c>
      <c r="M174" s="7">
        <v>1</v>
      </c>
      <c r="O174" t="s">
        <v>2125</v>
      </c>
      <c r="P174" s="7" t="s">
        <v>122</v>
      </c>
      <c r="Q174" s="7" t="s">
        <v>1035</v>
      </c>
      <c r="R174">
        <v>6</v>
      </c>
      <c r="S174" s="20">
        <v>63.72184</v>
      </c>
      <c r="T174" s="20">
        <v>148.98740000000001</v>
      </c>
      <c r="U174" s="6">
        <v>0</v>
      </c>
      <c r="V174" s="6">
        <v>0</v>
      </c>
      <c r="W174" s="6">
        <v>0</v>
      </c>
      <c r="X174" s="6">
        <v>0</v>
      </c>
      <c r="Y174" s="6">
        <v>0</v>
      </c>
      <c r="Z174">
        <v>0</v>
      </c>
      <c r="AA174">
        <f t="shared" si="2"/>
        <v>0</v>
      </c>
      <c r="AC174" t="s">
        <v>1356</v>
      </c>
    </row>
    <row r="175" spans="1:31" x14ac:dyDescent="0.2">
      <c r="A175" t="s">
        <v>1357</v>
      </c>
      <c r="B175" t="s">
        <v>1358</v>
      </c>
      <c r="C175">
        <v>4</v>
      </c>
      <c r="D175">
        <v>1</v>
      </c>
      <c r="E175" t="s">
        <v>395</v>
      </c>
      <c r="F175" s="1">
        <v>43388</v>
      </c>
      <c r="G175" s="2">
        <v>4.1666666666666666E-3</v>
      </c>
      <c r="H175" t="s">
        <v>398</v>
      </c>
      <c r="I175" s="7" t="s">
        <v>176</v>
      </c>
      <c r="J175" s="7" t="s">
        <v>111</v>
      </c>
      <c r="K175" t="s">
        <v>23</v>
      </c>
      <c r="L175">
        <v>0</v>
      </c>
      <c r="M175" s="7">
        <v>1</v>
      </c>
      <c r="O175" t="s">
        <v>2125</v>
      </c>
      <c r="P175" s="7" t="s">
        <v>122</v>
      </c>
      <c r="Q175" s="7" t="s">
        <v>333</v>
      </c>
      <c r="R175">
        <v>22</v>
      </c>
      <c r="S175" s="20">
        <v>63.721739999999997</v>
      </c>
      <c r="T175" s="20">
        <v>148.98759000000001</v>
      </c>
      <c r="U175" s="6">
        <v>0</v>
      </c>
      <c r="V175" s="6">
        <v>0</v>
      </c>
      <c r="W175" s="6">
        <v>0</v>
      </c>
      <c r="X175" s="6">
        <v>0</v>
      </c>
      <c r="Y175" s="6">
        <v>0</v>
      </c>
      <c r="Z175">
        <v>0</v>
      </c>
      <c r="AA175">
        <f t="shared" si="2"/>
        <v>0</v>
      </c>
      <c r="AC175" s="5" t="s">
        <v>1356</v>
      </c>
    </row>
    <row r="176" spans="1:31" s="7" customFormat="1" x14ac:dyDescent="0.2">
      <c r="A176" t="s">
        <v>1472</v>
      </c>
      <c r="B176" t="s">
        <v>1473</v>
      </c>
      <c r="C176">
        <v>56</v>
      </c>
      <c r="D176">
        <v>1</v>
      </c>
      <c r="E176" t="s">
        <v>395</v>
      </c>
      <c r="F176" s="1">
        <v>43388</v>
      </c>
      <c r="G176" s="2">
        <v>1.4583333333333332E-2</v>
      </c>
      <c r="H176" t="s">
        <v>398</v>
      </c>
      <c r="I176" s="7" t="s">
        <v>176</v>
      </c>
      <c r="J176"/>
      <c r="K176" t="s">
        <v>115</v>
      </c>
      <c r="L176">
        <v>0</v>
      </c>
      <c r="M176" s="7">
        <v>1</v>
      </c>
      <c r="N176"/>
      <c r="O176" t="s">
        <v>2128</v>
      </c>
      <c r="P176" s="7" t="s">
        <v>122</v>
      </c>
      <c r="Q176" s="7" t="s">
        <v>1035</v>
      </c>
      <c r="R176" s="7" t="s">
        <v>24</v>
      </c>
      <c r="S176" s="20">
        <v>63.721649999999997</v>
      </c>
      <c r="T176" s="20">
        <v>148.98887999999999</v>
      </c>
      <c r="U176" s="6">
        <v>0</v>
      </c>
      <c r="V176" s="6">
        <v>0</v>
      </c>
      <c r="W176" s="6">
        <v>0</v>
      </c>
      <c r="X176" s="6">
        <v>0</v>
      </c>
      <c r="Y176" s="6">
        <v>0</v>
      </c>
      <c r="Z176">
        <v>0</v>
      </c>
      <c r="AA176">
        <f t="shared" si="2"/>
        <v>0</v>
      </c>
      <c r="AB176"/>
      <c r="AC176" t="s">
        <v>1474</v>
      </c>
      <c r="AD176"/>
      <c r="AE176"/>
    </row>
    <row r="177" spans="1:31" s="7" customFormat="1" x14ac:dyDescent="0.2">
      <c r="A177" t="s">
        <v>1361</v>
      </c>
      <c r="B177" t="s">
        <v>1362</v>
      </c>
      <c r="C177">
        <v>6</v>
      </c>
      <c r="D177">
        <v>1</v>
      </c>
      <c r="E177" t="s">
        <v>395</v>
      </c>
      <c r="F177" s="1">
        <v>43388</v>
      </c>
      <c r="G177" s="2">
        <v>6.2499999999999995E-3</v>
      </c>
      <c r="H177" t="s">
        <v>398</v>
      </c>
      <c r="I177" s="7" t="s">
        <v>176</v>
      </c>
      <c r="J177" s="7" t="s">
        <v>111</v>
      </c>
      <c r="K177" t="s">
        <v>23</v>
      </c>
      <c r="L177">
        <v>0</v>
      </c>
      <c r="M177" s="7">
        <v>1</v>
      </c>
      <c r="N177"/>
      <c r="O177" t="s">
        <v>2125</v>
      </c>
      <c r="P177" s="7" t="s">
        <v>122</v>
      </c>
      <c r="Q177" s="7" t="s">
        <v>1035</v>
      </c>
      <c r="R177">
        <v>7</v>
      </c>
      <c r="S177" s="20">
        <v>63.721829999999997</v>
      </c>
      <c r="T177" s="20">
        <v>148.98707999999999</v>
      </c>
      <c r="U177" s="6">
        <v>0</v>
      </c>
      <c r="V177" s="6">
        <v>0</v>
      </c>
      <c r="W177" s="6">
        <v>0</v>
      </c>
      <c r="X177" s="6">
        <v>0</v>
      </c>
      <c r="Y177" s="6">
        <v>0</v>
      </c>
      <c r="Z177">
        <v>0</v>
      </c>
      <c r="AA177">
        <f t="shared" si="2"/>
        <v>0</v>
      </c>
      <c r="AB177"/>
      <c r="AC177"/>
      <c r="AD177"/>
      <c r="AE177"/>
    </row>
    <row r="178" spans="1:31" s="7" customFormat="1" x14ac:dyDescent="0.2">
      <c r="A178" t="s">
        <v>1367</v>
      </c>
      <c r="B178" t="s">
        <v>1368</v>
      </c>
      <c r="C178">
        <v>9</v>
      </c>
      <c r="D178">
        <v>1</v>
      </c>
      <c r="E178" t="s">
        <v>395</v>
      </c>
      <c r="F178" s="1">
        <v>43388</v>
      </c>
      <c r="G178" s="2">
        <v>2.7777777777777779E-3</v>
      </c>
      <c r="H178" t="s">
        <v>398</v>
      </c>
      <c r="I178" s="7" t="s">
        <v>176</v>
      </c>
      <c r="J178" s="7" t="s">
        <v>111</v>
      </c>
      <c r="K178" t="s">
        <v>23</v>
      </c>
      <c r="L178">
        <v>0</v>
      </c>
      <c r="M178" s="7">
        <v>1</v>
      </c>
      <c r="N178"/>
      <c r="O178" t="s">
        <v>2125</v>
      </c>
      <c r="P178" s="7" t="s">
        <v>122</v>
      </c>
      <c r="Q178" s="7" t="s">
        <v>333</v>
      </c>
      <c r="R178">
        <v>16</v>
      </c>
      <c r="S178" s="20">
        <v>63.72195</v>
      </c>
      <c r="T178" s="20">
        <v>148.98760999999999</v>
      </c>
      <c r="U178" s="6">
        <v>0</v>
      </c>
      <c r="V178" s="6">
        <v>0</v>
      </c>
      <c r="W178" s="6">
        <v>0</v>
      </c>
      <c r="X178" s="6">
        <v>0</v>
      </c>
      <c r="Y178" s="6">
        <v>0</v>
      </c>
      <c r="Z178">
        <v>0</v>
      </c>
      <c r="AA178">
        <f t="shared" si="2"/>
        <v>0</v>
      </c>
      <c r="AB178"/>
      <c r="AC178" s="5" t="s">
        <v>1356</v>
      </c>
      <c r="AD178"/>
      <c r="AE178"/>
    </row>
    <row r="179" spans="1:31" s="7" customFormat="1" x14ac:dyDescent="0.2">
      <c r="A179" t="s">
        <v>1706</v>
      </c>
      <c r="B179" t="s">
        <v>1707</v>
      </c>
      <c r="C179">
        <v>5</v>
      </c>
      <c r="D179">
        <v>1</v>
      </c>
      <c r="E179" t="s">
        <v>395</v>
      </c>
      <c r="F179" s="1">
        <v>43396</v>
      </c>
      <c r="G179" s="2">
        <v>1.9444444444444445E-2</v>
      </c>
      <c r="H179"/>
      <c r="I179" s="7" t="s">
        <v>176</v>
      </c>
      <c r="J179" s="7" t="s">
        <v>24</v>
      </c>
      <c r="K179" s="7" t="s">
        <v>115</v>
      </c>
      <c r="L179" s="7">
        <v>0</v>
      </c>
      <c r="M179" s="7">
        <v>0</v>
      </c>
      <c r="N179"/>
      <c r="O179" t="s">
        <v>2128</v>
      </c>
      <c r="P179" s="7" t="s">
        <v>24</v>
      </c>
      <c r="Q179" s="7" t="s">
        <v>1035</v>
      </c>
      <c r="R179" s="7" t="s">
        <v>24</v>
      </c>
      <c r="S179" s="20">
        <v>63.719949999999997</v>
      </c>
      <c r="T179" s="20">
        <v>148.99030999999999</v>
      </c>
      <c r="U179" s="6">
        <v>0</v>
      </c>
      <c r="V179" s="6">
        <v>0</v>
      </c>
      <c r="W179" s="6">
        <v>0</v>
      </c>
      <c r="X179" s="6">
        <v>0</v>
      </c>
      <c r="Y179" s="6">
        <v>16</v>
      </c>
      <c r="Z179" s="6">
        <v>0</v>
      </c>
      <c r="AA179">
        <f t="shared" si="2"/>
        <v>16</v>
      </c>
      <c r="AB179"/>
      <c r="AC179" t="s">
        <v>1708</v>
      </c>
      <c r="AD179"/>
      <c r="AE179"/>
    </row>
    <row r="180" spans="1:31" s="7" customFormat="1" x14ac:dyDescent="0.2">
      <c r="A180" t="s">
        <v>1904</v>
      </c>
      <c r="B180" t="s">
        <v>1905</v>
      </c>
      <c r="C180">
        <v>1</v>
      </c>
      <c r="D180">
        <v>1</v>
      </c>
      <c r="E180" t="s">
        <v>395</v>
      </c>
      <c r="F180" s="1">
        <v>43399</v>
      </c>
      <c r="G180" s="2">
        <v>1.8055555555555557E-2</v>
      </c>
      <c r="H180"/>
      <c r="I180" s="7" t="s">
        <v>176</v>
      </c>
      <c r="J180" s="7" t="s">
        <v>111</v>
      </c>
      <c r="K180" s="7" t="s">
        <v>23</v>
      </c>
      <c r="L180" s="7">
        <v>0</v>
      </c>
      <c r="M180">
        <v>1</v>
      </c>
      <c r="N180"/>
      <c r="O180" t="s">
        <v>2128</v>
      </c>
      <c r="P180" s="7" t="s">
        <v>24</v>
      </c>
      <c r="Q180" s="7" t="s">
        <v>1035</v>
      </c>
      <c r="R180" s="7" t="s">
        <v>24</v>
      </c>
      <c r="S180" s="20">
        <v>63.719990000000003</v>
      </c>
      <c r="T180" s="20">
        <v>148.98468</v>
      </c>
      <c r="U180" s="6">
        <v>0</v>
      </c>
      <c r="V180" s="6">
        <v>0</v>
      </c>
      <c r="W180" s="6">
        <v>0</v>
      </c>
      <c r="X180" s="6">
        <v>0</v>
      </c>
      <c r="Y180" s="6">
        <v>0</v>
      </c>
      <c r="Z180" s="6">
        <v>0</v>
      </c>
      <c r="AA180">
        <f t="shared" si="2"/>
        <v>0</v>
      </c>
      <c r="AB180"/>
      <c r="AC180" t="s">
        <v>1906</v>
      </c>
      <c r="AD180"/>
      <c r="AE180"/>
    </row>
    <row r="181" spans="1:31" s="7" customFormat="1" x14ac:dyDescent="0.2">
      <c r="A181" t="s">
        <v>348</v>
      </c>
      <c r="B181"/>
      <c r="C181"/>
      <c r="D181"/>
      <c r="E181" t="s">
        <v>395</v>
      </c>
      <c r="F181" s="1">
        <v>43348</v>
      </c>
      <c r="G181"/>
      <c r="H181" t="s">
        <v>397</v>
      </c>
      <c r="I181" t="s">
        <v>24</v>
      </c>
      <c r="J181" t="s">
        <v>159</v>
      </c>
      <c r="K181" t="s">
        <v>23</v>
      </c>
      <c r="L181">
        <v>0</v>
      </c>
      <c r="M181">
        <v>1</v>
      </c>
      <c r="N181"/>
      <c r="O181" t="s">
        <v>2128</v>
      </c>
      <c r="P181" t="s">
        <v>122</v>
      </c>
      <c r="Q181" t="s">
        <v>134</v>
      </c>
      <c r="R181" t="s">
        <v>176</v>
      </c>
      <c r="S181" s="19">
        <v>63.72148</v>
      </c>
      <c r="T181" s="19">
        <v>148.98616000000001</v>
      </c>
      <c r="U181">
        <v>0</v>
      </c>
      <c r="V181">
        <v>0</v>
      </c>
      <c r="W181">
        <v>0</v>
      </c>
      <c r="X181">
        <v>0</v>
      </c>
      <c r="Y181">
        <v>0</v>
      </c>
      <c r="Z181">
        <v>0</v>
      </c>
      <c r="AA181">
        <f t="shared" si="2"/>
        <v>0</v>
      </c>
      <c r="AB181"/>
      <c r="AC181" t="s">
        <v>351</v>
      </c>
      <c r="AD181"/>
      <c r="AE181"/>
    </row>
    <row r="182" spans="1:31" s="7" customFormat="1" x14ac:dyDescent="0.2">
      <c r="A182" t="s">
        <v>1169</v>
      </c>
      <c r="B182" t="s">
        <v>1170</v>
      </c>
      <c r="C182">
        <v>3</v>
      </c>
      <c r="D182">
        <v>1</v>
      </c>
      <c r="E182" t="s">
        <v>395</v>
      </c>
      <c r="F182" s="1">
        <v>43381</v>
      </c>
      <c r="G182" s="2">
        <v>1.0416666666666666E-2</v>
      </c>
      <c r="H182" t="s">
        <v>101</v>
      </c>
      <c r="I182" s="7" t="s">
        <v>344</v>
      </c>
      <c r="J182" s="7" t="s">
        <v>1172</v>
      </c>
      <c r="K182" s="7" t="s">
        <v>23</v>
      </c>
      <c r="L182" s="7">
        <v>1</v>
      </c>
      <c r="M182" s="7">
        <v>1</v>
      </c>
      <c r="O182" t="s">
        <v>2110</v>
      </c>
      <c r="P182" s="7" t="s">
        <v>333</v>
      </c>
      <c r="Q182" s="7" t="s">
        <v>996</v>
      </c>
      <c r="R182">
        <v>3</v>
      </c>
      <c r="S182" s="20">
        <v>63.718719999999998</v>
      </c>
      <c r="T182" s="20">
        <v>148.9863</v>
      </c>
      <c r="U182" s="6">
        <v>0</v>
      </c>
      <c r="V182" s="6">
        <v>0</v>
      </c>
      <c r="W182" s="6">
        <v>0</v>
      </c>
      <c r="X182" s="6">
        <v>0</v>
      </c>
      <c r="Y182" s="6">
        <v>0</v>
      </c>
      <c r="Z182">
        <v>0</v>
      </c>
      <c r="AA182">
        <f t="shared" si="2"/>
        <v>0</v>
      </c>
      <c r="AB182"/>
      <c r="AC182" t="s">
        <v>1173</v>
      </c>
      <c r="AD182"/>
      <c r="AE182"/>
    </row>
    <row r="183" spans="1:31" s="7" customFormat="1" x14ac:dyDescent="0.2">
      <c r="A183" t="s">
        <v>1174</v>
      </c>
      <c r="B183" t="s">
        <v>1175</v>
      </c>
      <c r="C183">
        <v>4</v>
      </c>
      <c r="D183">
        <v>1</v>
      </c>
      <c r="E183" t="s">
        <v>395</v>
      </c>
      <c r="F183" s="1">
        <v>43381</v>
      </c>
      <c r="G183" s="2">
        <v>2.2916666666666669E-2</v>
      </c>
      <c r="H183" t="s">
        <v>101</v>
      </c>
      <c r="I183" s="7" t="s">
        <v>344</v>
      </c>
      <c r="J183" s="7" t="s">
        <v>111</v>
      </c>
      <c r="K183" s="7" t="s">
        <v>23</v>
      </c>
      <c r="L183" s="7">
        <v>0</v>
      </c>
      <c r="M183" s="7">
        <v>1</v>
      </c>
      <c r="O183" t="s">
        <v>176</v>
      </c>
      <c r="P183" s="7" t="s">
        <v>24</v>
      </c>
      <c r="Q183" s="7" t="s">
        <v>709</v>
      </c>
      <c r="R183" s="7" t="s">
        <v>24</v>
      </c>
      <c r="S183" s="20">
        <v>63.719540000000002</v>
      </c>
      <c r="T183" s="20">
        <v>148.98489000000001</v>
      </c>
      <c r="U183" s="6">
        <v>0</v>
      </c>
      <c r="V183" s="6">
        <v>0</v>
      </c>
      <c r="W183" s="6">
        <v>0</v>
      </c>
      <c r="X183" s="6">
        <v>0</v>
      </c>
      <c r="Y183" s="6">
        <v>0</v>
      </c>
      <c r="Z183">
        <v>0</v>
      </c>
      <c r="AA183">
        <f t="shared" si="2"/>
        <v>0</v>
      </c>
      <c r="AB183"/>
      <c r="AC183" t="s">
        <v>2032</v>
      </c>
      <c r="AD183"/>
      <c r="AE183"/>
    </row>
    <row r="184" spans="1:31" s="7" customFormat="1" x14ac:dyDescent="0.2">
      <c r="A184" t="s">
        <v>1369</v>
      </c>
      <c r="B184" t="s">
        <v>1370</v>
      </c>
      <c r="C184">
        <v>10</v>
      </c>
      <c r="D184">
        <v>1</v>
      </c>
      <c r="E184" t="s">
        <v>395</v>
      </c>
      <c r="F184" s="1">
        <v>43388</v>
      </c>
      <c r="G184" s="2">
        <v>1.7361111111111112E-2</v>
      </c>
      <c r="H184" t="s">
        <v>398</v>
      </c>
      <c r="I184" s="7" t="s">
        <v>344</v>
      </c>
      <c r="J184" s="7" t="s">
        <v>111</v>
      </c>
      <c r="K184" t="s">
        <v>23</v>
      </c>
      <c r="L184">
        <v>0</v>
      </c>
      <c r="M184" s="7">
        <v>1</v>
      </c>
      <c r="N184">
        <v>0</v>
      </c>
      <c r="O184" t="s">
        <v>2125</v>
      </c>
      <c r="P184" s="7" t="s">
        <v>122</v>
      </c>
      <c r="Q184" s="7" t="s">
        <v>709</v>
      </c>
      <c r="R184">
        <v>1</v>
      </c>
      <c r="S184" s="20">
        <v>63.721919999999997</v>
      </c>
      <c r="T184" s="20">
        <v>148.98732000000001</v>
      </c>
      <c r="U184" s="6">
        <v>0</v>
      </c>
      <c r="V184" s="6">
        <v>0</v>
      </c>
      <c r="W184" s="6">
        <v>0</v>
      </c>
      <c r="X184" s="6">
        <v>0</v>
      </c>
      <c r="Y184" s="6">
        <v>0</v>
      </c>
      <c r="Z184">
        <v>0</v>
      </c>
      <c r="AA184">
        <f t="shared" si="2"/>
        <v>0</v>
      </c>
      <c r="AB184"/>
      <c r="AC184" t="s">
        <v>1371</v>
      </c>
      <c r="AD184"/>
      <c r="AE184"/>
    </row>
    <row r="185" spans="1:31" s="7" customFormat="1" x14ac:dyDescent="0.2">
      <c r="A185" t="s">
        <v>1438</v>
      </c>
      <c r="B185" t="s">
        <v>1439</v>
      </c>
      <c r="C185">
        <v>41</v>
      </c>
      <c r="D185">
        <v>1</v>
      </c>
      <c r="E185" t="s">
        <v>395</v>
      </c>
      <c r="F185" s="1">
        <v>43388</v>
      </c>
      <c r="G185" s="2">
        <v>2.7777777777777776E-2</v>
      </c>
      <c r="H185" t="s">
        <v>398</v>
      </c>
      <c r="I185" s="7" t="s">
        <v>344</v>
      </c>
      <c r="J185" s="7" t="s">
        <v>187</v>
      </c>
      <c r="K185" t="s">
        <v>23</v>
      </c>
      <c r="L185">
        <v>2</v>
      </c>
      <c r="M185" s="7">
        <v>1</v>
      </c>
      <c r="N185"/>
      <c r="O185" t="s">
        <v>2128</v>
      </c>
      <c r="P185" s="7" t="s">
        <v>122</v>
      </c>
      <c r="Q185" s="7" t="s">
        <v>495</v>
      </c>
      <c r="R185">
        <v>32</v>
      </c>
      <c r="S185" s="20">
        <v>63.721510000000002</v>
      </c>
      <c r="T185" s="20">
        <v>148.98741000000001</v>
      </c>
      <c r="U185" s="6">
        <v>0</v>
      </c>
      <c r="V185" s="6">
        <v>0</v>
      </c>
      <c r="W185" s="6">
        <v>0</v>
      </c>
      <c r="X185" s="6">
        <v>0</v>
      </c>
      <c r="Y185" s="6">
        <v>10</v>
      </c>
      <c r="Z185">
        <v>0</v>
      </c>
      <c r="AA185">
        <f t="shared" si="2"/>
        <v>10</v>
      </c>
      <c r="AB185"/>
      <c r="AC185"/>
      <c r="AD185"/>
      <c r="AE185"/>
    </row>
    <row r="186" spans="1:31" s="7" customFormat="1" x14ac:dyDescent="0.2">
      <c r="A186" t="s">
        <v>348</v>
      </c>
      <c r="B186"/>
      <c r="C186"/>
      <c r="D186"/>
      <c r="E186" t="s">
        <v>395</v>
      </c>
      <c r="F186" s="1">
        <v>43348</v>
      </c>
      <c r="G186"/>
      <c r="H186" t="s">
        <v>397</v>
      </c>
      <c r="I186" t="s">
        <v>344</v>
      </c>
      <c r="J186" t="s">
        <v>111</v>
      </c>
      <c r="K186" t="s">
        <v>23</v>
      </c>
      <c r="L186">
        <v>0</v>
      </c>
      <c r="M186">
        <v>1</v>
      </c>
      <c r="N186"/>
      <c r="O186" t="s">
        <v>176</v>
      </c>
      <c r="P186" t="s">
        <v>176</v>
      </c>
      <c r="Q186" t="s">
        <v>134</v>
      </c>
      <c r="R186" t="s">
        <v>176</v>
      </c>
      <c r="S186" s="19">
        <v>63.721179999999997</v>
      </c>
      <c r="T186" s="19">
        <v>148.98785000000001</v>
      </c>
      <c r="U186">
        <v>0</v>
      </c>
      <c r="V186">
        <v>0</v>
      </c>
      <c r="W186">
        <v>0</v>
      </c>
      <c r="X186">
        <v>0</v>
      </c>
      <c r="Y186">
        <v>0</v>
      </c>
      <c r="Z186">
        <v>0</v>
      </c>
      <c r="AA186">
        <f t="shared" si="2"/>
        <v>0</v>
      </c>
      <c r="AB186"/>
      <c r="AC186" t="s">
        <v>349</v>
      </c>
      <c r="AD186"/>
      <c r="AE186"/>
    </row>
    <row r="187" spans="1:31" s="7" customFormat="1" x14ac:dyDescent="0.2">
      <c r="A187" t="s">
        <v>1390</v>
      </c>
      <c r="B187" t="s">
        <v>1391</v>
      </c>
      <c r="C187">
        <v>18</v>
      </c>
      <c r="D187">
        <v>1</v>
      </c>
      <c r="E187" t="s">
        <v>395</v>
      </c>
      <c r="F187" s="1">
        <v>43388</v>
      </c>
      <c r="G187" s="2">
        <v>9.0277777777777787E-3</v>
      </c>
      <c r="H187" t="s">
        <v>398</v>
      </c>
      <c r="I187" s="7" t="s">
        <v>2488</v>
      </c>
      <c r="J187" s="7" t="s">
        <v>111</v>
      </c>
      <c r="K187" t="s">
        <v>115</v>
      </c>
      <c r="L187">
        <v>0</v>
      </c>
      <c r="M187" s="7">
        <v>1</v>
      </c>
      <c r="N187"/>
      <c r="O187" t="s">
        <v>2125</v>
      </c>
      <c r="P187" s="7" t="s">
        <v>122</v>
      </c>
      <c r="Q187" s="7" t="s">
        <v>333</v>
      </c>
      <c r="R187">
        <v>45</v>
      </c>
      <c r="S187" s="20">
        <v>63.721649999999997</v>
      </c>
      <c r="T187" s="20">
        <v>148.98674</v>
      </c>
      <c r="U187" s="6">
        <v>0</v>
      </c>
      <c r="V187" s="6">
        <v>0</v>
      </c>
      <c r="W187" s="6">
        <v>0</v>
      </c>
      <c r="X187" s="6">
        <v>0</v>
      </c>
      <c r="Y187" s="6">
        <v>0</v>
      </c>
      <c r="Z187">
        <v>0</v>
      </c>
      <c r="AA187">
        <f t="shared" si="2"/>
        <v>0</v>
      </c>
      <c r="AB187"/>
      <c r="AC187" s="5" t="s">
        <v>1356</v>
      </c>
      <c r="AD187"/>
      <c r="AE187"/>
    </row>
    <row r="188" spans="1:31" s="7" customFormat="1" x14ac:dyDescent="0.2">
      <c r="A188" t="s">
        <v>1374</v>
      </c>
      <c r="B188" t="s">
        <v>1375</v>
      </c>
      <c r="C188">
        <v>12</v>
      </c>
      <c r="D188">
        <v>1</v>
      </c>
      <c r="E188" t="s">
        <v>395</v>
      </c>
      <c r="F188" s="1">
        <v>43388</v>
      </c>
      <c r="G188" s="2">
        <v>6.9444444444444441E-3</v>
      </c>
      <c r="H188" t="s">
        <v>398</v>
      </c>
      <c r="I188" s="7" t="s">
        <v>2488</v>
      </c>
      <c r="J188" s="7" t="s">
        <v>111</v>
      </c>
      <c r="K188" t="s">
        <v>23</v>
      </c>
      <c r="L188">
        <v>0</v>
      </c>
      <c r="M188" s="7">
        <v>1</v>
      </c>
      <c r="N188"/>
      <c r="O188" t="s">
        <v>2125</v>
      </c>
      <c r="P188" s="7" t="s">
        <v>122</v>
      </c>
      <c r="Q188" s="7" t="s">
        <v>1035</v>
      </c>
      <c r="R188">
        <v>31</v>
      </c>
      <c r="S188" s="20">
        <v>63.721730000000001</v>
      </c>
      <c r="T188" s="20">
        <v>148.98685</v>
      </c>
      <c r="U188" s="6">
        <v>0</v>
      </c>
      <c r="V188" s="6">
        <v>0</v>
      </c>
      <c r="W188" s="6">
        <v>0</v>
      </c>
      <c r="X188" s="6">
        <v>0</v>
      </c>
      <c r="Y188" s="6">
        <v>0</v>
      </c>
      <c r="Z188">
        <v>0</v>
      </c>
      <c r="AA188">
        <f t="shared" si="2"/>
        <v>0</v>
      </c>
      <c r="AB188"/>
      <c r="AC188" t="s">
        <v>1376</v>
      </c>
      <c r="AD188"/>
      <c r="AE188"/>
    </row>
    <row r="189" spans="1:31" s="7" customFormat="1" x14ac:dyDescent="0.2">
      <c r="A189" t="s">
        <v>1394</v>
      </c>
      <c r="B189" t="s">
        <v>1395</v>
      </c>
      <c r="C189">
        <v>20</v>
      </c>
      <c r="D189">
        <v>1</v>
      </c>
      <c r="E189" t="s">
        <v>395</v>
      </c>
      <c r="F189" s="1">
        <v>43388</v>
      </c>
      <c r="G189" s="2">
        <v>1.0416666666666666E-2</v>
      </c>
      <c r="H189" t="s">
        <v>398</v>
      </c>
      <c r="I189" s="7" t="s">
        <v>2488</v>
      </c>
      <c r="J189" s="7" t="s">
        <v>111</v>
      </c>
      <c r="K189" t="s">
        <v>23</v>
      </c>
      <c r="L189">
        <v>0</v>
      </c>
      <c r="M189" s="7">
        <v>1</v>
      </c>
      <c r="N189"/>
      <c r="O189" t="s">
        <v>2125</v>
      </c>
      <c r="P189" s="7" t="s">
        <v>122</v>
      </c>
      <c r="Q189" s="7" t="s">
        <v>695</v>
      </c>
      <c r="R189">
        <v>6</v>
      </c>
      <c r="S189" s="20">
        <v>63.721870000000003</v>
      </c>
      <c r="T189" s="20">
        <v>148.98738</v>
      </c>
      <c r="U189" s="6">
        <v>0</v>
      </c>
      <c r="V189" s="6">
        <v>0</v>
      </c>
      <c r="W189" s="6">
        <v>0</v>
      </c>
      <c r="X189" s="6">
        <v>0</v>
      </c>
      <c r="Y189" s="6">
        <v>0</v>
      </c>
      <c r="Z189">
        <v>0</v>
      </c>
      <c r="AA189">
        <f t="shared" si="2"/>
        <v>0</v>
      </c>
      <c r="AB189"/>
      <c r="AC189" s="5" t="s">
        <v>1396</v>
      </c>
      <c r="AD189"/>
      <c r="AE189"/>
    </row>
    <row r="190" spans="1:31" s="7" customFormat="1" x14ac:dyDescent="0.2">
      <c r="A190" t="s">
        <v>1417</v>
      </c>
      <c r="B190" t="s">
        <v>1418</v>
      </c>
      <c r="C190">
        <v>31</v>
      </c>
      <c r="D190">
        <v>1</v>
      </c>
      <c r="E190" t="s">
        <v>395</v>
      </c>
      <c r="F190" s="1">
        <v>43388</v>
      </c>
      <c r="G190" s="2">
        <v>2.6388888888888889E-2</v>
      </c>
      <c r="H190" t="s">
        <v>398</v>
      </c>
      <c r="I190" s="7" t="s">
        <v>2488</v>
      </c>
      <c r="J190" s="7" t="s">
        <v>102</v>
      </c>
      <c r="K190" t="s">
        <v>23</v>
      </c>
      <c r="L190">
        <v>1</v>
      </c>
      <c r="M190" s="7">
        <v>1</v>
      </c>
      <c r="N190"/>
      <c r="O190" t="s">
        <v>2125</v>
      </c>
      <c r="P190" s="7" t="s">
        <v>122</v>
      </c>
      <c r="Q190" s="7" t="s">
        <v>1035</v>
      </c>
      <c r="R190">
        <v>20</v>
      </c>
      <c r="S190" s="20">
        <v>63.721870000000003</v>
      </c>
      <c r="T190" s="20">
        <v>148.98699999999999</v>
      </c>
      <c r="U190" s="6">
        <v>0</v>
      </c>
      <c r="V190" s="6">
        <v>0</v>
      </c>
      <c r="W190" s="6">
        <v>0</v>
      </c>
      <c r="X190" s="6">
        <v>0</v>
      </c>
      <c r="Y190" s="6">
        <v>17</v>
      </c>
      <c r="Z190">
        <v>0</v>
      </c>
      <c r="AA190">
        <f t="shared" si="2"/>
        <v>17</v>
      </c>
      <c r="AB190"/>
      <c r="AC190"/>
      <c r="AD190"/>
      <c r="AE190"/>
    </row>
    <row r="191" spans="1:31" s="7" customFormat="1" x14ac:dyDescent="0.2">
      <c r="A191" t="s">
        <v>1421</v>
      </c>
      <c r="B191" t="s">
        <v>1422</v>
      </c>
      <c r="C191">
        <v>33</v>
      </c>
      <c r="D191">
        <v>1</v>
      </c>
      <c r="E191" t="s">
        <v>395</v>
      </c>
      <c r="F191" s="1">
        <v>43388</v>
      </c>
      <c r="G191" s="2">
        <v>1.5972222222222224E-2</v>
      </c>
      <c r="H191" t="s">
        <v>398</v>
      </c>
      <c r="I191" s="7" t="s">
        <v>2488</v>
      </c>
      <c r="J191" s="7" t="s">
        <v>111</v>
      </c>
      <c r="K191" t="s">
        <v>23</v>
      </c>
      <c r="L191">
        <v>0</v>
      </c>
      <c r="M191" s="7">
        <v>1</v>
      </c>
      <c r="N191"/>
      <c r="O191" t="s">
        <v>2125</v>
      </c>
      <c r="P191" s="7" t="s">
        <v>122</v>
      </c>
      <c r="Q191" s="7" t="s">
        <v>1057</v>
      </c>
      <c r="R191">
        <v>28</v>
      </c>
      <c r="S191" s="20">
        <v>63.721710000000002</v>
      </c>
      <c r="T191" s="20">
        <v>148.98701</v>
      </c>
      <c r="U191" s="6">
        <v>0</v>
      </c>
      <c r="V191" s="6">
        <v>0</v>
      </c>
      <c r="W191" s="6">
        <v>0</v>
      </c>
      <c r="X191" s="6">
        <v>0</v>
      </c>
      <c r="Y191" s="6">
        <v>0</v>
      </c>
      <c r="Z191">
        <v>0</v>
      </c>
      <c r="AA191">
        <f t="shared" si="2"/>
        <v>0</v>
      </c>
      <c r="AB191"/>
      <c r="AC191"/>
      <c r="AD191"/>
      <c r="AE191"/>
    </row>
    <row r="192" spans="1:31" s="7" customFormat="1" x14ac:dyDescent="0.2">
      <c r="A192" t="s">
        <v>1427</v>
      </c>
      <c r="B192" t="s">
        <v>1428</v>
      </c>
      <c r="C192">
        <v>36</v>
      </c>
      <c r="D192">
        <v>1</v>
      </c>
      <c r="E192" t="s">
        <v>395</v>
      </c>
      <c r="F192" s="1">
        <v>43388</v>
      </c>
      <c r="G192" s="2">
        <v>1.5277777777777777E-2</v>
      </c>
      <c r="H192" t="s">
        <v>398</v>
      </c>
      <c r="I192" s="7" t="s">
        <v>2488</v>
      </c>
      <c r="J192" s="7" t="s">
        <v>111</v>
      </c>
      <c r="K192" t="s">
        <v>23</v>
      </c>
      <c r="L192">
        <v>0</v>
      </c>
      <c r="M192" s="7">
        <v>1</v>
      </c>
      <c r="N192"/>
      <c r="O192" t="s">
        <v>2125</v>
      </c>
      <c r="P192" s="7" t="s">
        <v>122</v>
      </c>
      <c r="Q192" s="7" t="s">
        <v>1057</v>
      </c>
      <c r="R192">
        <v>6</v>
      </c>
      <c r="S192" s="20">
        <v>63.72184</v>
      </c>
      <c r="T192" s="20">
        <v>148.98740000000001</v>
      </c>
      <c r="U192" s="6">
        <v>0</v>
      </c>
      <c r="V192" s="6">
        <v>0</v>
      </c>
      <c r="W192" s="6">
        <v>0</v>
      </c>
      <c r="X192" s="6">
        <v>0</v>
      </c>
      <c r="Y192" s="6">
        <v>0</v>
      </c>
      <c r="Z192">
        <v>0</v>
      </c>
      <c r="AA192">
        <f t="shared" si="2"/>
        <v>0</v>
      </c>
      <c r="AB192"/>
      <c r="AC192" s="5" t="s">
        <v>1429</v>
      </c>
      <c r="AD192"/>
      <c r="AE192"/>
    </row>
    <row r="193" spans="1:31" s="7" customFormat="1" x14ac:dyDescent="0.2">
      <c r="A193" t="s">
        <v>1442</v>
      </c>
      <c r="B193" t="s">
        <v>1443</v>
      </c>
      <c r="C193">
        <v>43</v>
      </c>
      <c r="D193">
        <v>1</v>
      </c>
      <c r="E193" t="s">
        <v>395</v>
      </c>
      <c r="F193" s="1">
        <v>43388</v>
      </c>
      <c r="G193" s="2">
        <v>2.4999999999999998E-2</v>
      </c>
      <c r="H193" t="s">
        <v>398</v>
      </c>
      <c r="I193" s="7" t="s">
        <v>2488</v>
      </c>
      <c r="J193" s="7" t="s">
        <v>111</v>
      </c>
      <c r="K193" t="s">
        <v>23</v>
      </c>
      <c r="L193">
        <v>0</v>
      </c>
      <c r="M193" s="7">
        <v>1</v>
      </c>
      <c r="N193"/>
      <c r="O193" t="s">
        <v>2125</v>
      </c>
      <c r="P193" s="7" t="s">
        <v>122</v>
      </c>
      <c r="Q193" s="7" t="s">
        <v>333</v>
      </c>
      <c r="R193">
        <v>46</v>
      </c>
      <c r="S193" s="20">
        <v>63.721530000000001</v>
      </c>
      <c r="T193" s="20">
        <v>148.98785000000001</v>
      </c>
      <c r="U193" s="6">
        <v>0</v>
      </c>
      <c r="V193" s="6">
        <v>0</v>
      </c>
      <c r="W193" s="6">
        <v>0</v>
      </c>
      <c r="X193" s="6">
        <v>0</v>
      </c>
      <c r="Y193" s="6">
        <v>0</v>
      </c>
      <c r="Z193">
        <v>0</v>
      </c>
      <c r="AA193">
        <f t="shared" si="2"/>
        <v>0</v>
      </c>
      <c r="AB193"/>
      <c r="AC193" s="5" t="s">
        <v>1356</v>
      </c>
      <c r="AD193"/>
      <c r="AE193"/>
    </row>
    <row r="194" spans="1:31" s="7" customFormat="1" x14ac:dyDescent="0.2">
      <c r="A194" t="s">
        <v>1446</v>
      </c>
      <c r="B194" t="s">
        <v>1447</v>
      </c>
      <c r="C194">
        <v>45</v>
      </c>
      <c r="D194">
        <v>1</v>
      </c>
      <c r="E194" t="s">
        <v>395</v>
      </c>
      <c r="F194" s="1">
        <v>43388</v>
      </c>
      <c r="G194" s="2">
        <v>6.9444444444444441E-3</v>
      </c>
      <c r="H194" t="s">
        <v>398</v>
      </c>
      <c r="I194" s="7" t="s">
        <v>2488</v>
      </c>
      <c r="J194" s="7" t="s">
        <v>111</v>
      </c>
      <c r="K194" t="s">
        <v>23</v>
      </c>
      <c r="L194">
        <v>0</v>
      </c>
      <c r="M194" s="7">
        <v>1</v>
      </c>
      <c r="N194"/>
      <c r="O194" t="s">
        <v>2125</v>
      </c>
      <c r="P194" s="7" t="s">
        <v>122</v>
      </c>
      <c r="Q194" s="7" t="s">
        <v>495</v>
      </c>
      <c r="R194">
        <v>10</v>
      </c>
      <c r="S194" s="20">
        <v>63.721919999999997</v>
      </c>
      <c r="T194" s="20">
        <v>148.98746</v>
      </c>
      <c r="U194" s="6">
        <v>0</v>
      </c>
      <c r="V194" s="6">
        <v>0</v>
      </c>
      <c r="W194" s="6">
        <v>0</v>
      </c>
      <c r="X194" s="6">
        <v>0</v>
      </c>
      <c r="Y194" s="6">
        <v>0</v>
      </c>
      <c r="Z194">
        <v>0</v>
      </c>
      <c r="AA194">
        <f t="shared" ref="AA194:AA257" si="3">SUM(W194:Z194)</f>
        <v>0</v>
      </c>
      <c r="AB194"/>
      <c r="AC194" s="5" t="s">
        <v>1356</v>
      </c>
      <c r="AD194"/>
      <c r="AE194"/>
    </row>
    <row r="195" spans="1:31" s="7" customFormat="1" x14ac:dyDescent="0.2">
      <c r="A195" t="s">
        <v>1448</v>
      </c>
      <c r="B195" t="s">
        <v>1449</v>
      </c>
      <c r="C195">
        <v>46</v>
      </c>
      <c r="D195">
        <v>1</v>
      </c>
      <c r="E195" t="s">
        <v>395</v>
      </c>
      <c r="F195" s="1">
        <v>43388</v>
      </c>
      <c r="G195" s="2">
        <v>0.19722222222222222</v>
      </c>
      <c r="H195" t="s">
        <v>398</v>
      </c>
      <c r="I195" s="7" t="s">
        <v>2488</v>
      </c>
      <c r="J195" s="7" t="s">
        <v>187</v>
      </c>
      <c r="K195" t="s">
        <v>23</v>
      </c>
      <c r="L195">
        <v>2</v>
      </c>
      <c r="M195" s="7">
        <v>1</v>
      </c>
      <c r="N195"/>
      <c r="O195" t="s">
        <v>2125</v>
      </c>
      <c r="P195" s="7" t="s">
        <v>122</v>
      </c>
      <c r="Q195" s="7" t="s">
        <v>1450</v>
      </c>
      <c r="R195">
        <v>4</v>
      </c>
      <c r="S195" s="20">
        <v>63.721969999999999</v>
      </c>
      <c r="T195" s="20">
        <v>148.98725999999999</v>
      </c>
      <c r="U195" s="6">
        <v>0</v>
      </c>
      <c r="V195" s="6">
        <v>0</v>
      </c>
      <c r="W195" s="6">
        <v>0</v>
      </c>
      <c r="X195" s="6">
        <v>0</v>
      </c>
      <c r="Y195" s="6">
        <f>186+66</f>
        <v>252</v>
      </c>
      <c r="Z195">
        <v>0</v>
      </c>
      <c r="AA195">
        <f t="shared" si="3"/>
        <v>252</v>
      </c>
      <c r="AB195"/>
      <c r="AC195" t="s">
        <v>1451</v>
      </c>
      <c r="AD195"/>
      <c r="AE195"/>
    </row>
    <row r="196" spans="1:31" s="7" customFormat="1" x14ac:dyDescent="0.2">
      <c r="A196" t="s">
        <v>1461</v>
      </c>
      <c r="B196" t="s">
        <v>1462</v>
      </c>
      <c r="C196">
        <v>51</v>
      </c>
      <c r="D196">
        <v>1</v>
      </c>
      <c r="E196" t="s">
        <v>395</v>
      </c>
      <c r="F196" s="1">
        <v>43388</v>
      </c>
      <c r="G196" s="2">
        <v>2.013888888888889E-2</v>
      </c>
      <c r="H196" t="s">
        <v>398</v>
      </c>
      <c r="I196" s="7" t="s">
        <v>2488</v>
      </c>
      <c r="J196" s="7" t="s">
        <v>111</v>
      </c>
      <c r="K196" t="s">
        <v>23</v>
      </c>
      <c r="L196">
        <v>0</v>
      </c>
      <c r="M196" s="7">
        <v>1</v>
      </c>
      <c r="N196"/>
      <c r="O196" t="s">
        <v>2125</v>
      </c>
      <c r="P196" s="7" t="s">
        <v>122</v>
      </c>
      <c r="Q196" s="7" t="s">
        <v>1035</v>
      </c>
      <c r="R196" s="7">
        <v>9</v>
      </c>
      <c r="S196" s="20">
        <v>63.721829999999997</v>
      </c>
      <c r="T196" s="20">
        <v>148.98733999999999</v>
      </c>
      <c r="U196" s="6">
        <v>0</v>
      </c>
      <c r="V196" s="6">
        <v>0</v>
      </c>
      <c r="W196" s="6">
        <v>0</v>
      </c>
      <c r="X196" s="6">
        <v>0</v>
      </c>
      <c r="Y196" s="6">
        <v>0</v>
      </c>
      <c r="Z196">
        <v>0</v>
      </c>
      <c r="AA196">
        <f t="shared" si="3"/>
        <v>0</v>
      </c>
      <c r="AB196"/>
      <c r="AC196" t="s">
        <v>1463</v>
      </c>
      <c r="AD196"/>
      <c r="AE196"/>
    </row>
    <row r="197" spans="1:31" s="7" customFormat="1" x14ac:dyDescent="0.2">
      <c r="A197" t="s">
        <v>1461</v>
      </c>
      <c r="B197" t="s">
        <v>1462</v>
      </c>
      <c r="C197">
        <v>51</v>
      </c>
      <c r="D197">
        <v>2</v>
      </c>
      <c r="E197" t="s">
        <v>395</v>
      </c>
      <c r="F197" s="1">
        <v>43388</v>
      </c>
      <c r="G197" s="2">
        <v>2.013888888888889E-2</v>
      </c>
      <c r="H197" t="s">
        <v>398</v>
      </c>
      <c r="I197" s="7" t="s">
        <v>2488</v>
      </c>
      <c r="J197" s="7" t="s">
        <v>111</v>
      </c>
      <c r="K197" t="s">
        <v>23</v>
      </c>
      <c r="L197">
        <v>0</v>
      </c>
      <c r="M197" s="7">
        <v>1</v>
      </c>
      <c r="N197"/>
      <c r="O197" t="s">
        <v>2125</v>
      </c>
      <c r="P197" s="7" t="s">
        <v>122</v>
      </c>
      <c r="Q197" s="7" t="s">
        <v>2093</v>
      </c>
      <c r="R197" s="7">
        <v>4</v>
      </c>
      <c r="S197" s="20">
        <v>63.72186</v>
      </c>
      <c r="T197" s="20">
        <v>148.98733999999999</v>
      </c>
      <c r="U197" s="6">
        <v>0</v>
      </c>
      <c r="V197" s="6">
        <v>0</v>
      </c>
      <c r="W197" s="6">
        <v>0</v>
      </c>
      <c r="X197" s="6">
        <v>0</v>
      </c>
      <c r="Y197" s="6">
        <v>0</v>
      </c>
      <c r="Z197">
        <v>0</v>
      </c>
      <c r="AA197">
        <f t="shared" si="3"/>
        <v>0</v>
      </c>
      <c r="AB197"/>
      <c r="AC197" t="s">
        <v>1463</v>
      </c>
      <c r="AD197"/>
      <c r="AE197"/>
    </row>
    <row r="198" spans="1:31" s="7" customFormat="1" x14ac:dyDescent="0.2">
      <c r="A198" t="s">
        <v>1491</v>
      </c>
      <c r="B198" t="s">
        <v>1492</v>
      </c>
      <c r="C198">
        <v>65</v>
      </c>
      <c r="D198">
        <v>1</v>
      </c>
      <c r="E198" t="s">
        <v>395</v>
      </c>
      <c r="F198" s="1">
        <v>43388</v>
      </c>
      <c r="G198" s="2">
        <v>0.10347222222222223</v>
      </c>
      <c r="H198" t="s">
        <v>398</v>
      </c>
      <c r="I198" s="7" t="s">
        <v>2488</v>
      </c>
      <c r="J198" t="s">
        <v>187</v>
      </c>
      <c r="K198" t="s">
        <v>23</v>
      </c>
      <c r="L198">
        <v>1</v>
      </c>
      <c r="M198" s="7">
        <v>1</v>
      </c>
      <c r="N198"/>
      <c r="O198" t="s">
        <v>2125</v>
      </c>
      <c r="P198" s="7" t="s">
        <v>122</v>
      </c>
      <c r="Q198" s="7" t="s">
        <v>1035</v>
      </c>
      <c r="R198" s="7" t="s">
        <v>24</v>
      </c>
      <c r="S198" s="20">
        <v>63.72193</v>
      </c>
      <c r="T198" s="20">
        <v>148.98715000000001</v>
      </c>
      <c r="U198" s="6">
        <v>0</v>
      </c>
      <c r="V198" s="6">
        <v>0</v>
      </c>
      <c r="W198" s="6">
        <v>0</v>
      </c>
      <c r="X198" s="6">
        <v>0</v>
      </c>
      <c r="Y198" s="6">
        <v>118</v>
      </c>
      <c r="Z198">
        <v>0</v>
      </c>
      <c r="AA198">
        <f t="shared" si="3"/>
        <v>118</v>
      </c>
      <c r="AB198"/>
      <c r="AC198"/>
      <c r="AD198"/>
      <c r="AE198"/>
    </row>
    <row r="199" spans="1:31" s="7" customFormat="1" x14ac:dyDescent="0.2">
      <c r="A199" t="s">
        <v>1213</v>
      </c>
      <c r="B199" t="s">
        <v>1214</v>
      </c>
      <c r="C199">
        <v>11</v>
      </c>
      <c r="D199">
        <v>1</v>
      </c>
      <c r="E199" t="s">
        <v>201</v>
      </c>
      <c r="F199" s="1">
        <v>43381</v>
      </c>
      <c r="G199" s="2">
        <v>1.1111111111111112E-2</v>
      </c>
      <c r="H199" t="s">
        <v>640</v>
      </c>
      <c r="I199" s="7" t="s">
        <v>1215</v>
      </c>
      <c r="J199" s="7" t="s">
        <v>111</v>
      </c>
      <c r="K199" s="7" t="s">
        <v>23</v>
      </c>
      <c r="L199" s="7">
        <v>1</v>
      </c>
      <c r="M199" s="7">
        <v>1</v>
      </c>
      <c r="O199" t="s">
        <v>176</v>
      </c>
      <c r="P199" s="7" t="s">
        <v>122</v>
      </c>
      <c r="Q199" s="7" t="s">
        <v>495</v>
      </c>
      <c r="R199">
        <v>1</v>
      </c>
      <c r="S199" s="20">
        <v>63.723610000000001</v>
      </c>
      <c r="T199" s="20">
        <v>148.95204000000001</v>
      </c>
      <c r="U199" s="6">
        <v>0</v>
      </c>
      <c r="V199" s="6">
        <v>0</v>
      </c>
      <c r="W199" s="6">
        <v>0</v>
      </c>
      <c r="X199" s="6">
        <v>0</v>
      </c>
      <c r="Y199" s="6">
        <v>0</v>
      </c>
      <c r="Z199">
        <v>0</v>
      </c>
      <c r="AA199">
        <f t="shared" si="3"/>
        <v>0</v>
      </c>
      <c r="AB199"/>
      <c r="AC199" t="s">
        <v>1216</v>
      </c>
      <c r="AD199"/>
      <c r="AE199"/>
    </row>
    <row r="200" spans="1:31" s="7" customFormat="1" x14ac:dyDescent="0.2">
      <c r="A200" t="s">
        <v>1220</v>
      </c>
      <c r="B200" t="s">
        <v>1221</v>
      </c>
      <c r="C200">
        <v>13</v>
      </c>
      <c r="D200">
        <v>1</v>
      </c>
      <c r="E200" t="s">
        <v>201</v>
      </c>
      <c r="F200" s="1">
        <v>43381</v>
      </c>
      <c r="G200" s="2">
        <v>2.0833333333333332E-2</v>
      </c>
      <c r="H200" t="s">
        <v>640</v>
      </c>
      <c r="I200" s="7" t="s">
        <v>1215</v>
      </c>
      <c r="J200" s="7" t="s">
        <v>187</v>
      </c>
      <c r="K200" s="7" t="s">
        <v>23</v>
      </c>
      <c r="L200" s="7">
        <v>1</v>
      </c>
      <c r="M200" s="7">
        <v>1</v>
      </c>
      <c r="O200" s="7" t="s">
        <v>2107</v>
      </c>
      <c r="P200" s="7" t="s">
        <v>122</v>
      </c>
      <c r="Q200" s="7" t="s">
        <v>495</v>
      </c>
      <c r="R200">
        <v>2</v>
      </c>
      <c r="S200" s="20">
        <v>63.724409999999999</v>
      </c>
      <c r="T200" s="20">
        <v>148.95231999999999</v>
      </c>
      <c r="U200" s="6">
        <v>0</v>
      </c>
      <c r="V200" s="6">
        <v>0</v>
      </c>
      <c r="W200" s="6">
        <v>0</v>
      </c>
      <c r="X200" s="6">
        <v>0</v>
      </c>
      <c r="Y200" s="6">
        <v>2</v>
      </c>
      <c r="Z200">
        <v>0</v>
      </c>
      <c r="AA200">
        <f t="shared" si="3"/>
        <v>2</v>
      </c>
      <c r="AB200"/>
      <c r="AC200" t="s">
        <v>1222</v>
      </c>
      <c r="AD200"/>
      <c r="AE200"/>
    </row>
    <row r="201" spans="1:31" s="7" customFormat="1" x14ac:dyDescent="0.2">
      <c r="A201" t="s">
        <v>1223</v>
      </c>
      <c r="B201" t="s">
        <v>1224</v>
      </c>
      <c r="C201">
        <v>1</v>
      </c>
      <c r="D201">
        <v>1</v>
      </c>
      <c r="E201" t="s">
        <v>201</v>
      </c>
      <c r="F201" s="1">
        <v>43382</v>
      </c>
      <c r="G201" s="2">
        <v>9.7222222222222224E-3</v>
      </c>
      <c r="H201" t="s">
        <v>1278</v>
      </c>
      <c r="I201" s="7" t="s">
        <v>1215</v>
      </c>
      <c r="J201" s="7" t="s">
        <v>221</v>
      </c>
      <c r="K201" s="7" t="s">
        <v>23</v>
      </c>
      <c r="L201" s="7" t="s">
        <v>24</v>
      </c>
      <c r="M201" s="7" t="s">
        <v>24</v>
      </c>
      <c r="O201" t="s">
        <v>176</v>
      </c>
      <c r="P201" s="7" t="s">
        <v>115</v>
      </c>
      <c r="Q201" s="7" t="s">
        <v>986</v>
      </c>
      <c r="R201" s="7" t="s">
        <v>24</v>
      </c>
      <c r="S201" s="20">
        <v>63.723520000000001</v>
      </c>
      <c r="T201" s="20">
        <v>148.95076</v>
      </c>
      <c r="U201" s="6">
        <v>14</v>
      </c>
      <c r="V201" s="6">
        <v>0</v>
      </c>
      <c r="W201" s="6">
        <v>14</v>
      </c>
      <c r="X201" s="6">
        <v>0</v>
      </c>
      <c r="Y201" s="6">
        <v>0</v>
      </c>
      <c r="Z201">
        <v>0</v>
      </c>
      <c r="AA201">
        <f t="shared" si="3"/>
        <v>14</v>
      </c>
      <c r="AB201"/>
      <c r="AC201" t="s">
        <v>1225</v>
      </c>
      <c r="AD201"/>
      <c r="AE201"/>
    </row>
    <row r="202" spans="1:31" s="7" customFormat="1" x14ac:dyDescent="0.2">
      <c r="A202" t="s">
        <v>1229</v>
      </c>
      <c r="B202" t="s">
        <v>1228</v>
      </c>
      <c r="C202">
        <v>3</v>
      </c>
      <c r="D202">
        <v>1</v>
      </c>
      <c r="E202" t="s">
        <v>201</v>
      </c>
      <c r="F202" s="1">
        <v>43382</v>
      </c>
      <c r="G202" s="2">
        <v>1.1111111111111112E-2</v>
      </c>
      <c r="H202" t="s">
        <v>1278</v>
      </c>
      <c r="I202" s="7" t="s">
        <v>1215</v>
      </c>
      <c r="J202" s="7" t="s">
        <v>111</v>
      </c>
      <c r="K202" s="7" t="s">
        <v>23</v>
      </c>
      <c r="L202" s="7">
        <v>0</v>
      </c>
      <c r="M202" s="7">
        <v>1</v>
      </c>
      <c r="O202" t="s">
        <v>176</v>
      </c>
      <c r="P202" s="7" t="s">
        <v>24</v>
      </c>
      <c r="Q202" s="7" t="s">
        <v>495</v>
      </c>
      <c r="R202" s="7" t="s">
        <v>24</v>
      </c>
      <c r="S202" s="20">
        <v>63.724490000000003</v>
      </c>
      <c r="T202" s="20">
        <v>148.94810000000001</v>
      </c>
      <c r="U202" s="6">
        <v>0</v>
      </c>
      <c r="V202" s="6">
        <v>0</v>
      </c>
      <c r="W202" s="6">
        <v>0</v>
      </c>
      <c r="X202" s="6">
        <v>0</v>
      </c>
      <c r="Y202" s="6">
        <v>0</v>
      </c>
      <c r="Z202">
        <v>0</v>
      </c>
      <c r="AA202">
        <f t="shared" si="3"/>
        <v>0</v>
      </c>
      <c r="AB202"/>
      <c r="AC202" t="s">
        <v>1230</v>
      </c>
      <c r="AD202"/>
      <c r="AE202"/>
    </row>
    <row r="203" spans="1:31" s="7" customFormat="1" x14ac:dyDescent="0.2">
      <c r="A203" t="s">
        <v>1296</v>
      </c>
      <c r="B203" t="s">
        <v>1297</v>
      </c>
      <c r="C203">
        <v>1</v>
      </c>
      <c r="D203">
        <v>1</v>
      </c>
      <c r="E203" t="s">
        <v>201</v>
      </c>
      <c r="F203" s="1">
        <v>43385</v>
      </c>
      <c r="G203" s="2">
        <v>7.6388888888888886E-3</v>
      </c>
      <c r="H203" t="s">
        <v>398</v>
      </c>
      <c r="I203" s="7" t="s">
        <v>1215</v>
      </c>
      <c r="J203" s="7" t="s">
        <v>242</v>
      </c>
      <c r="K203" s="7" t="s">
        <v>23</v>
      </c>
      <c r="L203" s="7">
        <v>1</v>
      </c>
      <c r="M203" s="7">
        <v>1</v>
      </c>
      <c r="N203"/>
      <c r="O203" t="s">
        <v>176</v>
      </c>
      <c r="P203" s="7" t="s">
        <v>24</v>
      </c>
      <c r="Q203" s="7" t="s">
        <v>333</v>
      </c>
      <c r="R203" s="7" t="s">
        <v>24</v>
      </c>
      <c r="S203" s="20">
        <v>63.722709999999999</v>
      </c>
      <c r="T203" s="20">
        <v>148.95956000000001</v>
      </c>
      <c r="U203" s="6">
        <v>0</v>
      </c>
      <c r="V203" s="6">
        <v>0</v>
      </c>
      <c r="W203" s="6">
        <v>0</v>
      </c>
      <c r="X203" s="6">
        <v>0</v>
      </c>
      <c r="Y203" s="6">
        <v>0</v>
      </c>
      <c r="Z203">
        <v>0</v>
      </c>
      <c r="AA203">
        <f t="shared" si="3"/>
        <v>0</v>
      </c>
      <c r="AB203"/>
      <c r="AC203" t="s">
        <v>1298</v>
      </c>
      <c r="AD203"/>
      <c r="AE203"/>
    </row>
    <row r="204" spans="1:31" s="7" customFormat="1" x14ac:dyDescent="0.2">
      <c r="A204" t="s">
        <v>1346</v>
      </c>
      <c r="B204" t="s">
        <v>1347</v>
      </c>
      <c r="C204">
        <v>10</v>
      </c>
      <c r="D204">
        <v>1</v>
      </c>
      <c r="E204" t="s">
        <v>201</v>
      </c>
      <c r="F204" s="1">
        <v>43385</v>
      </c>
      <c r="G204" s="2">
        <v>3.2638888888888891E-2</v>
      </c>
      <c r="H204" t="s">
        <v>398</v>
      </c>
      <c r="I204" s="7" t="s">
        <v>1215</v>
      </c>
      <c r="J204" s="7" t="s">
        <v>111</v>
      </c>
      <c r="K204" s="7" t="s">
        <v>23</v>
      </c>
      <c r="L204" s="7">
        <v>0</v>
      </c>
      <c r="M204" s="7">
        <v>1</v>
      </c>
      <c r="O204" t="s">
        <v>176</v>
      </c>
      <c r="P204" s="7" t="s">
        <v>24</v>
      </c>
      <c r="Q204" s="7" t="s">
        <v>2089</v>
      </c>
      <c r="R204" s="7" t="s">
        <v>1332</v>
      </c>
      <c r="S204" s="20">
        <v>63.722029999999997</v>
      </c>
      <c r="T204" s="20">
        <v>148.94855000000001</v>
      </c>
      <c r="U204" s="6">
        <v>0</v>
      </c>
      <c r="V204" s="6">
        <v>0</v>
      </c>
      <c r="W204" s="6">
        <v>0</v>
      </c>
      <c r="X204" s="6">
        <v>0</v>
      </c>
      <c r="Y204" s="6">
        <v>0</v>
      </c>
      <c r="Z204">
        <v>0</v>
      </c>
      <c r="AA204">
        <f t="shared" si="3"/>
        <v>0</v>
      </c>
      <c r="AB204"/>
      <c r="AC204"/>
      <c r="AD204"/>
      <c r="AE204"/>
    </row>
    <row r="205" spans="1:31" s="7" customFormat="1" x14ac:dyDescent="0.2">
      <c r="A205" t="s">
        <v>1346</v>
      </c>
      <c r="B205" t="s">
        <v>1347</v>
      </c>
      <c r="C205">
        <v>10</v>
      </c>
      <c r="D205">
        <v>2</v>
      </c>
      <c r="E205" t="s">
        <v>201</v>
      </c>
      <c r="F205" s="1">
        <v>43385</v>
      </c>
      <c r="G205" s="2">
        <v>3.2638888888888891E-2</v>
      </c>
      <c r="H205" t="s">
        <v>398</v>
      </c>
      <c r="I205" s="7" t="s">
        <v>1215</v>
      </c>
      <c r="J205" s="7" t="s">
        <v>111</v>
      </c>
      <c r="K205" s="7" t="s">
        <v>23</v>
      </c>
      <c r="L205" s="7">
        <v>0</v>
      </c>
      <c r="M205" s="7">
        <v>1</v>
      </c>
      <c r="O205" t="s">
        <v>176</v>
      </c>
      <c r="P205" s="7" t="s">
        <v>24</v>
      </c>
      <c r="Q205" s="7" t="s">
        <v>2090</v>
      </c>
      <c r="R205" s="7" t="s">
        <v>1332</v>
      </c>
      <c r="S205" s="20">
        <v>63.722029999999997</v>
      </c>
      <c r="T205" s="20">
        <v>148.94855000000001</v>
      </c>
      <c r="U205" s="6">
        <v>0</v>
      </c>
      <c r="V205" s="6">
        <v>0</v>
      </c>
      <c r="W205" s="6">
        <v>0</v>
      </c>
      <c r="X205" s="6">
        <v>0</v>
      </c>
      <c r="Y205" s="6">
        <v>0</v>
      </c>
      <c r="Z205">
        <v>0</v>
      </c>
      <c r="AA205">
        <f t="shared" si="3"/>
        <v>0</v>
      </c>
      <c r="AB205"/>
      <c r="AC205" t="s">
        <v>2092</v>
      </c>
      <c r="AD205"/>
      <c r="AE205"/>
    </row>
    <row r="206" spans="1:31" s="7" customFormat="1" x14ac:dyDescent="0.2">
      <c r="A206" t="s">
        <v>1346</v>
      </c>
      <c r="B206" t="s">
        <v>1347</v>
      </c>
      <c r="C206">
        <v>10</v>
      </c>
      <c r="D206">
        <v>3</v>
      </c>
      <c r="E206" t="s">
        <v>201</v>
      </c>
      <c r="F206" s="1">
        <v>43385</v>
      </c>
      <c r="G206" s="2">
        <v>3.2638888888888891E-2</v>
      </c>
      <c r="H206" t="s">
        <v>398</v>
      </c>
      <c r="I206" s="7" t="s">
        <v>1215</v>
      </c>
      <c r="J206" s="7" t="s">
        <v>111</v>
      </c>
      <c r="K206" s="7" t="s">
        <v>23</v>
      </c>
      <c r="L206" s="7">
        <v>0</v>
      </c>
      <c r="M206" s="7">
        <v>1</v>
      </c>
      <c r="O206" t="s">
        <v>176</v>
      </c>
      <c r="P206" s="7" t="s">
        <v>24</v>
      </c>
      <c r="Q206" s="7" t="s">
        <v>2091</v>
      </c>
      <c r="R206" s="7" t="s">
        <v>1332</v>
      </c>
      <c r="S206" s="20">
        <v>63.72204</v>
      </c>
      <c r="T206" s="20">
        <v>148.94962000000001</v>
      </c>
      <c r="U206" s="6">
        <v>0</v>
      </c>
      <c r="V206" s="6">
        <v>0</v>
      </c>
      <c r="W206" s="6">
        <v>0</v>
      </c>
      <c r="X206" s="6">
        <v>0</v>
      </c>
      <c r="Y206" s="6">
        <v>0</v>
      </c>
      <c r="Z206">
        <v>0</v>
      </c>
      <c r="AA206">
        <f t="shared" si="3"/>
        <v>0</v>
      </c>
      <c r="AB206"/>
      <c r="AC206"/>
      <c r="AD206"/>
      <c r="AE206"/>
    </row>
    <row r="207" spans="1:31" s="7" customFormat="1" x14ac:dyDescent="0.2">
      <c r="A207" t="s">
        <v>1326</v>
      </c>
      <c r="B207" t="s">
        <v>1327</v>
      </c>
      <c r="C207">
        <v>3</v>
      </c>
      <c r="D207">
        <v>1</v>
      </c>
      <c r="E207" t="s">
        <v>201</v>
      </c>
      <c r="F207" s="1">
        <v>43385</v>
      </c>
      <c r="G207" s="2">
        <v>3.7499999999999999E-2</v>
      </c>
      <c r="H207" t="s">
        <v>398</v>
      </c>
      <c r="I207" s="7" t="s">
        <v>1215</v>
      </c>
      <c r="J207" s="7" t="s">
        <v>187</v>
      </c>
      <c r="K207" s="7" t="s">
        <v>23</v>
      </c>
      <c r="L207" s="7">
        <v>1</v>
      </c>
      <c r="M207" s="7">
        <v>1</v>
      </c>
      <c r="N207"/>
      <c r="O207" t="s">
        <v>2128</v>
      </c>
      <c r="P207" s="7" t="s">
        <v>122</v>
      </c>
      <c r="Q207" s="7" t="s">
        <v>1328</v>
      </c>
      <c r="R207">
        <v>2</v>
      </c>
      <c r="S207" s="19">
        <v>63.72354</v>
      </c>
      <c r="T207" s="19">
        <v>148.94923</v>
      </c>
      <c r="U207" s="6">
        <v>0</v>
      </c>
      <c r="V207" s="6">
        <v>0</v>
      </c>
      <c r="W207" s="6">
        <v>0</v>
      </c>
      <c r="X207" s="6">
        <v>0</v>
      </c>
      <c r="Y207" s="6">
        <v>3</v>
      </c>
      <c r="Z207">
        <v>0</v>
      </c>
      <c r="AA207">
        <f t="shared" si="3"/>
        <v>3</v>
      </c>
      <c r="AB207"/>
      <c r="AC207" t="s">
        <v>1329</v>
      </c>
      <c r="AD207"/>
      <c r="AE207"/>
    </row>
    <row r="208" spans="1:31" s="7" customFormat="1" x14ac:dyDescent="0.2">
      <c r="A208" t="s">
        <v>1344</v>
      </c>
      <c r="B208" t="s">
        <v>1345</v>
      </c>
      <c r="C208">
        <v>9</v>
      </c>
      <c r="D208">
        <v>1</v>
      </c>
      <c r="E208" t="s">
        <v>201</v>
      </c>
      <c r="F208" s="1">
        <v>43385</v>
      </c>
      <c r="G208" s="2">
        <v>2.4999999999999998E-2</v>
      </c>
      <c r="H208" t="s">
        <v>398</v>
      </c>
      <c r="I208" s="7" t="s">
        <v>1215</v>
      </c>
      <c r="J208" s="7" t="s">
        <v>111</v>
      </c>
      <c r="K208" s="7" t="s">
        <v>23</v>
      </c>
      <c r="L208" s="7">
        <v>0</v>
      </c>
      <c r="M208" s="7">
        <v>1</v>
      </c>
      <c r="N208"/>
      <c r="O208" s="7" t="s">
        <v>14</v>
      </c>
      <c r="P208" s="7" t="s">
        <v>122</v>
      </c>
      <c r="Q208" s="7" t="s">
        <v>1035</v>
      </c>
      <c r="R208" s="7" t="s">
        <v>1332</v>
      </c>
      <c r="S208" s="20">
        <v>63.722029999999997</v>
      </c>
      <c r="T208" s="20">
        <v>148.94954999999999</v>
      </c>
      <c r="U208" s="6">
        <v>0</v>
      </c>
      <c r="V208" s="6">
        <v>0</v>
      </c>
      <c r="W208" s="6">
        <v>0</v>
      </c>
      <c r="X208" s="6">
        <v>0</v>
      </c>
      <c r="Y208" s="6">
        <v>0</v>
      </c>
      <c r="Z208">
        <v>0</v>
      </c>
      <c r="AA208">
        <f t="shared" si="3"/>
        <v>0</v>
      </c>
      <c r="AB208"/>
      <c r="AC208"/>
      <c r="AD208"/>
      <c r="AE208"/>
    </row>
    <row r="209" spans="1:31" s="7" customFormat="1" x14ac:dyDescent="0.2">
      <c r="A209" t="s">
        <v>1572</v>
      </c>
      <c r="B209" t="s">
        <v>1568</v>
      </c>
      <c r="C209">
        <v>8</v>
      </c>
      <c r="D209">
        <v>1</v>
      </c>
      <c r="E209" t="s">
        <v>201</v>
      </c>
      <c r="F209" s="1">
        <v>43390</v>
      </c>
      <c r="G209" s="2">
        <v>1.5277777777777777E-2</v>
      </c>
      <c r="H209" t="s">
        <v>398</v>
      </c>
      <c r="I209" s="7" t="s">
        <v>1215</v>
      </c>
      <c r="J209" t="s">
        <v>111</v>
      </c>
      <c r="K209" s="7" t="s">
        <v>23</v>
      </c>
      <c r="L209" s="7">
        <v>0</v>
      </c>
      <c r="M209" s="7">
        <v>1</v>
      </c>
      <c r="N209"/>
      <c r="O209" t="s">
        <v>176</v>
      </c>
      <c r="P209" s="7" t="s">
        <v>24</v>
      </c>
      <c r="Q209" s="7" t="s">
        <v>709</v>
      </c>
      <c r="R209" s="7" t="s">
        <v>24</v>
      </c>
      <c r="S209" s="20">
        <v>63.722830000000002</v>
      </c>
      <c r="T209" s="20">
        <v>148.95454000000001</v>
      </c>
      <c r="U209" s="6">
        <v>0</v>
      </c>
      <c r="V209" s="6">
        <v>0</v>
      </c>
      <c r="W209" s="6">
        <v>0</v>
      </c>
      <c r="X209" s="6">
        <v>0</v>
      </c>
      <c r="Y209" s="6">
        <v>0</v>
      </c>
      <c r="Z209">
        <v>0</v>
      </c>
      <c r="AA209">
        <f t="shared" si="3"/>
        <v>0</v>
      </c>
      <c r="AB209"/>
      <c r="AC209"/>
      <c r="AD209"/>
      <c r="AE209"/>
    </row>
    <row r="210" spans="1:31" s="7" customFormat="1" x14ac:dyDescent="0.2">
      <c r="A210" s="7" t="s">
        <v>538</v>
      </c>
      <c r="B210" s="7" t="s">
        <v>539</v>
      </c>
      <c r="C210" s="7">
        <v>4</v>
      </c>
      <c r="D210" s="7">
        <v>1</v>
      </c>
      <c r="E210" s="5" t="s">
        <v>201</v>
      </c>
      <c r="F210" s="11">
        <v>43354</v>
      </c>
      <c r="G210" s="2">
        <v>1.6666666666666666E-2</v>
      </c>
      <c r="H210" t="s">
        <v>483</v>
      </c>
      <c r="I210" s="7" t="s">
        <v>115</v>
      </c>
      <c r="J210" s="7" t="s">
        <v>159</v>
      </c>
      <c r="K210" s="7" t="s">
        <v>23</v>
      </c>
      <c r="L210" s="7">
        <v>0</v>
      </c>
      <c r="M210" s="7">
        <v>1</v>
      </c>
      <c r="O210" t="s">
        <v>176</v>
      </c>
      <c r="P210" s="7" t="s">
        <v>115</v>
      </c>
      <c r="Q210" s="7" t="s">
        <v>333</v>
      </c>
      <c r="R210" s="7" t="s">
        <v>176</v>
      </c>
      <c r="S210" s="20">
        <v>63.722520000000003</v>
      </c>
      <c r="T210" s="20">
        <v>148.95984000000001</v>
      </c>
      <c r="U210" s="9">
        <v>0</v>
      </c>
      <c r="V210" s="9">
        <v>0</v>
      </c>
      <c r="W210" s="9">
        <v>0</v>
      </c>
      <c r="X210" s="9">
        <v>0</v>
      </c>
      <c r="Y210" s="9">
        <v>0</v>
      </c>
      <c r="Z210">
        <v>0</v>
      </c>
      <c r="AA210">
        <f t="shared" si="3"/>
        <v>0</v>
      </c>
      <c r="AB210"/>
      <c r="AC210" t="s">
        <v>542</v>
      </c>
      <c r="AD210"/>
      <c r="AE210"/>
    </row>
    <row r="211" spans="1:31" s="7" customFormat="1" x14ac:dyDescent="0.2">
      <c r="A211" s="7" t="s">
        <v>536</v>
      </c>
      <c r="B211" s="7" t="s">
        <v>537</v>
      </c>
      <c r="C211" s="7">
        <v>3</v>
      </c>
      <c r="D211" s="7">
        <v>1</v>
      </c>
      <c r="E211" s="5" t="s">
        <v>201</v>
      </c>
      <c r="F211" s="11">
        <v>43354</v>
      </c>
      <c r="G211" s="3">
        <v>8.1018518518518516E-5</v>
      </c>
      <c r="H211" t="s">
        <v>483</v>
      </c>
      <c r="I211" s="7" t="s">
        <v>24</v>
      </c>
      <c r="J211" s="7" t="s">
        <v>242</v>
      </c>
      <c r="K211" s="7" t="s">
        <v>23</v>
      </c>
      <c r="L211" s="7">
        <v>1</v>
      </c>
      <c r="M211" s="7">
        <v>0</v>
      </c>
      <c r="O211" t="s">
        <v>176</v>
      </c>
      <c r="P211" s="7" t="s">
        <v>24</v>
      </c>
      <c r="Q211" s="7" t="s">
        <v>540</v>
      </c>
      <c r="R211" s="7" t="s">
        <v>176</v>
      </c>
      <c r="S211" s="20">
        <v>63.722499999999997</v>
      </c>
      <c r="T211" s="20">
        <v>148.95992000000001</v>
      </c>
      <c r="U211" s="9">
        <v>0</v>
      </c>
      <c r="V211" s="9">
        <v>0</v>
      </c>
      <c r="W211" s="9">
        <v>0</v>
      </c>
      <c r="X211" s="9">
        <v>0</v>
      </c>
      <c r="Y211" s="9">
        <v>0</v>
      </c>
      <c r="Z211">
        <v>0</v>
      </c>
      <c r="AA211">
        <f t="shared" si="3"/>
        <v>0</v>
      </c>
      <c r="AB211"/>
      <c r="AC211" t="s">
        <v>541</v>
      </c>
      <c r="AD211"/>
      <c r="AE211"/>
    </row>
    <row r="212" spans="1:31" x14ac:dyDescent="0.2">
      <c r="A212" t="s">
        <v>1325</v>
      </c>
      <c r="B212" t="s">
        <v>1323</v>
      </c>
      <c r="C212">
        <v>2</v>
      </c>
      <c r="D212">
        <v>1</v>
      </c>
      <c r="E212" t="s">
        <v>201</v>
      </c>
      <c r="F212" s="1">
        <v>43385</v>
      </c>
      <c r="G212" s="2">
        <v>1.8749999999999999E-2</v>
      </c>
      <c r="H212" t="s">
        <v>398</v>
      </c>
      <c r="I212" s="7" t="s">
        <v>176</v>
      </c>
      <c r="J212" s="7" t="s">
        <v>111</v>
      </c>
      <c r="K212" s="7" t="s">
        <v>23</v>
      </c>
      <c r="L212" s="7">
        <v>0</v>
      </c>
      <c r="M212" s="7">
        <v>1</v>
      </c>
      <c r="O212" t="s">
        <v>176</v>
      </c>
      <c r="P212" s="7" t="s">
        <v>24</v>
      </c>
      <c r="Q212" s="7" t="s">
        <v>1265</v>
      </c>
      <c r="R212" s="7" t="s">
        <v>24</v>
      </c>
      <c r="S212" s="20">
        <v>63.723970000000001</v>
      </c>
      <c r="T212" s="20">
        <v>148.94882000000001</v>
      </c>
      <c r="U212" s="6">
        <v>0</v>
      </c>
      <c r="V212" s="6">
        <v>0</v>
      </c>
      <c r="W212" s="6">
        <v>0</v>
      </c>
      <c r="X212" s="6">
        <v>0</v>
      </c>
      <c r="Y212" s="6">
        <v>0</v>
      </c>
      <c r="Z212">
        <v>0</v>
      </c>
      <c r="AA212">
        <f t="shared" si="3"/>
        <v>0</v>
      </c>
    </row>
    <row r="213" spans="1:31" x14ac:dyDescent="0.2">
      <c r="A213" t="s">
        <v>1330</v>
      </c>
      <c r="B213" t="s">
        <v>1331</v>
      </c>
      <c r="C213">
        <v>4</v>
      </c>
      <c r="D213">
        <v>1</v>
      </c>
      <c r="E213" t="s">
        <v>201</v>
      </c>
      <c r="F213" s="1">
        <v>43385</v>
      </c>
      <c r="G213" s="2">
        <v>1.1111111111111112E-2</v>
      </c>
      <c r="H213" t="s">
        <v>398</v>
      </c>
      <c r="I213" s="7" t="s">
        <v>176</v>
      </c>
      <c r="J213" s="7" t="s">
        <v>187</v>
      </c>
      <c r="K213" s="7" t="s">
        <v>23</v>
      </c>
      <c r="L213" s="7">
        <v>1</v>
      </c>
      <c r="M213" s="7">
        <v>1</v>
      </c>
      <c r="O213" s="7" t="s">
        <v>14</v>
      </c>
      <c r="P213" s="7" t="s">
        <v>122</v>
      </c>
      <c r="Q213" s="7" t="s">
        <v>1265</v>
      </c>
      <c r="R213" s="7">
        <v>7</v>
      </c>
      <c r="S213" s="20">
        <v>63.722360000000002</v>
      </c>
      <c r="T213" s="20">
        <v>148.94922</v>
      </c>
      <c r="U213" s="6">
        <v>0</v>
      </c>
      <c r="V213" s="6">
        <v>0</v>
      </c>
      <c r="W213" s="6">
        <v>0</v>
      </c>
      <c r="X213" s="6">
        <v>0</v>
      </c>
      <c r="Y213" s="6">
        <v>3</v>
      </c>
      <c r="Z213">
        <v>0</v>
      </c>
      <c r="AA213">
        <f t="shared" si="3"/>
        <v>3</v>
      </c>
      <c r="AC213" t="s">
        <v>1333</v>
      </c>
    </row>
    <row r="214" spans="1:31" x14ac:dyDescent="0.2">
      <c r="A214" t="s">
        <v>1996</v>
      </c>
      <c r="B214" t="s">
        <v>1997</v>
      </c>
      <c r="C214">
        <v>4</v>
      </c>
      <c r="D214">
        <v>1</v>
      </c>
      <c r="E214" t="s">
        <v>272</v>
      </c>
      <c r="F214" s="1">
        <v>43404</v>
      </c>
      <c r="G214" s="2">
        <v>3.5416666666666666E-2</v>
      </c>
      <c r="H214" t="s">
        <v>2029</v>
      </c>
      <c r="I214" t="s">
        <v>1993</v>
      </c>
      <c r="J214" s="7" t="s">
        <v>111</v>
      </c>
      <c r="K214" t="s">
        <v>12</v>
      </c>
      <c r="L214">
        <v>0</v>
      </c>
      <c r="M214">
        <v>1</v>
      </c>
      <c r="O214" t="s">
        <v>176</v>
      </c>
      <c r="P214" s="7" t="s">
        <v>24</v>
      </c>
      <c r="Q214" s="7" t="s">
        <v>1027</v>
      </c>
      <c r="R214" s="7" t="s">
        <v>24</v>
      </c>
      <c r="S214" s="20">
        <v>63.73142</v>
      </c>
      <c r="T214" s="20">
        <v>148.89966999999999</v>
      </c>
      <c r="U214" s="9">
        <v>0</v>
      </c>
      <c r="V214" s="6">
        <v>0</v>
      </c>
      <c r="W214" s="6">
        <v>0</v>
      </c>
      <c r="X214" s="6">
        <v>0</v>
      </c>
      <c r="Y214" s="6">
        <v>0</v>
      </c>
      <c r="Z214" s="6">
        <v>0</v>
      </c>
      <c r="AA214">
        <f t="shared" si="3"/>
        <v>0</v>
      </c>
      <c r="AC214" t="s">
        <v>1998</v>
      </c>
    </row>
    <row r="215" spans="1:31" x14ac:dyDescent="0.2">
      <c r="A215" t="s">
        <v>262</v>
      </c>
      <c r="B215" t="s">
        <v>276</v>
      </c>
      <c r="C215">
        <v>4</v>
      </c>
      <c r="D215">
        <v>1</v>
      </c>
      <c r="E215" t="s">
        <v>272</v>
      </c>
      <c r="F215" s="1">
        <v>43346</v>
      </c>
      <c r="G215" s="2">
        <v>1.1111111111111112E-2</v>
      </c>
      <c r="I215" t="s">
        <v>241</v>
      </c>
      <c r="J215" t="s">
        <v>111</v>
      </c>
      <c r="K215" t="s">
        <v>23</v>
      </c>
      <c r="L215">
        <v>0</v>
      </c>
      <c r="M215">
        <v>1</v>
      </c>
      <c r="O215" t="s">
        <v>176</v>
      </c>
      <c r="P215" t="s">
        <v>24</v>
      </c>
      <c r="Q215" t="s">
        <v>263</v>
      </c>
      <c r="R215" t="s">
        <v>176</v>
      </c>
      <c r="S215" s="19">
        <v>63.730879999999999</v>
      </c>
      <c r="T215" s="19">
        <v>148.89989</v>
      </c>
      <c r="U215">
        <v>0</v>
      </c>
      <c r="V215">
        <v>0</v>
      </c>
      <c r="W215">
        <v>0</v>
      </c>
      <c r="X215">
        <v>0</v>
      </c>
      <c r="Y215">
        <v>0</v>
      </c>
      <c r="Z215">
        <v>0</v>
      </c>
      <c r="AA215">
        <f t="shared" si="3"/>
        <v>0</v>
      </c>
      <c r="AB215" t="s">
        <v>159</v>
      </c>
      <c r="AC215" t="s">
        <v>2053</v>
      </c>
      <c r="AD215">
        <v>0</v>
      </c>
      <c r="AE215">
        <v>0</v>
      </c>
    </row>
    <row r="216" spans="1:31" x14ac:dyDescent="0.2">
      <c r="A216" t="s">
        <v>264</v>
      </c>
      <c r="B216" t="s">
        <v>277</v>
      </c>
      <c r="C216">
        <v>5</v>
      </c>
      <c r="D216">
        <v>1</v>
      </c>
      <c r="E216" t="s">
        <v>272</v>
      </c>
      <c r="F216" s="1">
        <v>43346</v>
      </c>
      <c r="G216" s="2">
        <v>4.1666666666666666E-3</v>
      </c>
      <c r="I216" t="s">
        <v>241</v>
      </c>
      <c r="J216" t="s">
        <v>111</v>
      </c>
      <c r="K216" t="s">
        <v>23</v>
      </c>
      <c r="L216">
        <v>0</v>
      </c>
      <c r="M216">
        <v>1</v>
      </c>
      <c r="O216" t="s">
        <v>115</v>
      </c>
      <c r="P216" t="s">
        <v>115</v>
      </c>
      <c r="Q216" t="s">
        <v>263</v>
      </c>
      <c r="R216" t="s">
        <v>176</v>
      </c>
      <c r="S216" s="19">
        <v>63.730220000000003</v>
      </c>
      <c r="T216" s="19">
        <v>148.90285</v>
      </c>
      <c r="U216">
        <v>0</v>
      </c>
      <c r="V216">
        <v>0</v>
      </c>
      <c r="W216">
        <v>0</v>
      </c>
      <c r="X216">
        <v>0</v>
      </c>
      <c r="Y216">
        <v>0</v>
      </c>
      <c r="Z216">
        <v>0</v>
      </c>
      <c r="AA216">
        <f t="shared" si="3"/>
        <v>0</v>
      </c>
      <c r="AB216" t="s">
        <v>159</v>
      </c>
      <c r="AD216">
        <v>0</v>
      </c>
      <c r="AE216">
        <v>0</v>
      </c>
    </row>
    <row r="217" spans="1:31" x14ac:dyDescent="0.2">
      <c r="A217" t="s">
        <v>287</v>
      </c>
      <c r="B217" t="s">
        <v>288</v>
      </c>
      <c r="C217">
        <v>1</v>
      </c>
      <c r="D217">
        <v>1</v>
      </c>
      <c r="E217" t="s">
        <v>272</v>
      </c>
      <c r="F217" s="1">
        <v>43347</v>
      </c>
      <c r="G217" s="2">
        <v>3.6805555555555557E-2</v>
      </c>
      <c r="I217" t="s">
        <v>241</v>
      </c>
      <c r="J217" t="s">
        <v>111</v>
      </c>
      <c r="K217" t="s">
        <v>23</v>
      </c>
      <c r="L217">
        <v>0</v>
      </c>
      <c r="M217">
        <v>1</v>
      </c>
      <c r="O217" t="s">
        <v>176</v>
      </c>
      <c r="P217" t="s">
        <v>115</v>
      </c>
      <c r="Q217" t="s">
        <v>263</v>
      </c>
      <c r="R217" t="s">
        <v>176</v>
      </c>
      <c r="S217" s="19">
        <v>63.731529999999999</v>
      </c>
      <c r="T217" s="19">
        <v>148.90401</v>
      </c>
      <c r="U217">
        <v>0</v>
      </c>
      <c r="V217">
        <v>0</v>
      </c>
      <c r="W217">
        <v>0</v>
      </c>
      <c r="X217">
        <v>0</v>
      </c>
      <c r="Y217">
        <v>0</v>
      </c>
      <c r="Z217">
        <v>0</v>
      </c>
      <c r="AA217">
        <f t="shared" si="3"/>
        <v>0</v>
      </c>
      <c r="AB217" t="s">
        <v>115</v>
      </c>
      <c r="AC217" t="s">
        <v>289</v>
      </c>
      <c r="AD217">
        <v>0</v>
      </c>
      <c r="AE217">
        <v>0</v>
      </c>
    </row>
    <row r="218" spans="1:31" x14ac:dyDescent="0.2">
      <c r="A218" s="7" t="s">
        <v>553</v>
      </c>
      <c r="B218" s="7" t="s">
        <v>554</v>
      </c>
      <c r="C218" s="7">
        <v>1</v>
      </c>
      <c r="D218" s="7">
        <v>1</v>
      </c>
      <c r="E218" t="s">
        <v>272</v>
      </c>
      <c r="F218" s="1">
        <v>43354</v>
      </c>
      <c r="G218" s="2">
        <v>3.125E-2</v>
      </c>
      <c r="H218" t="s">
        <v>483</v>
      </c>
      <c r="I218" s="7" t="s">
        <v>241</v>
      </c>
      <c r="J218" s="7" t="s">
        <v>242</v>
      </c>
      <c r="K218" s="7" t="s">
        <v>23</v>
      </c>
      <c r="L218" s="7">
        <v>3</v>
      </c>
      <c r="M218" s="7">
        <v>1</v>
      </c>
      <c r="N218" s="7"/>
      <c r="O218" s="7" t="s">
        <v>555</v>
      </c>
      <c r="P218" s="7" t="s">
        <v>501</v>
      </c>
      <c r="Q218" s="7" t="s">
        <v>501</v>
      </c>
      <c r="R218" s="7" t="s">
        <v>176</v>
      </c>
      <c r="S218" s="20">
        <v>63.731929999999998</v>
      </c>
      <c r="T218" s="20">
        <v>148.8989</v>
      </c>
      <c r="U218" s="9">
        <v>0</v>
      </c>
      <c r="V218" s="9">
        <v>0</v>
      </c>
      <c r="W218" s="9">
        <v>0</v>
      </c>
      <c r="X218" s="9">
        <v>0</v>
      </c>
      <c r="Y218" s="9">
        <v>0</v>
      </c>
      <c r="Z218">
        <v>0</v>
      </c>
      <c r="AA218">
        <f t="shared" si="3"/>
        <v>0</v>
      </c>
    </row>
    <row r="219" spans="1:31" x14ac:dyDescent="0.2">
      <c r="A219" t="s">
        <v>751</v>
      </c>
      <c r="B219" t="s">
        <v>752</v>
      </c>
      <c r="C219" s="7">
        <v>2</v>
      </c>
      <c r="D219" s="7">
        <v>1</v>
      </c>
      <c r="E219" t="s">
        <v>272</v>
      </c>
      <c r="F219" s="1">
        <v>43359</v>
      </c>
      <c r="G219" s="2">
        <v>9.0277777777777787E-3</v>
      </c>
      <c r="H219" t="s">
        <v>398</v>
      </c>
      <c r="I219" s="7" t="s">
        <v>241</v>
      </c>
      <c r="J219" s="7" t="s">
        <v>242</v>
      </c>
      <c r="K219" s="7" t="s">
        <v>23</v>
      </c>
      <c r="L219" s="7">
        <v>0</v>
      </c>
      <c r="M219">
        <v>1</v>
      </c>
      <c r="O219" s="7" t="s">
        <v>2136</v>
      </c>
      <c r="P219" s="7" t="s">
        <v>115</v>
      </c>
      <c r="Q219" s="7" t="s">
        <v>1035</v>
      </c>
      <c r="R219" s="7" t="s">
        <v>176</v>
      </c>
      <c r="S219" s="20">
        <v>63.730119999999999</v>
      </c>
      <c r="T219" s="20">
        <v>148.90195</v>
      </c>
      <c r="U219" s="6">
        <v>0</v>
      </c>
      <c r="V219" s="6">
        <v>0</v>
      </c>
      <c r="W219" s="6">
        <v>0</v>
      </c>
      <c r="X219" s="6">
        <v>0</v>
      </c>
      <c r="Y219" s="6">
        <v>0</v>
      </c>
      <c r="Z219">
        <v>0</v>
      </c>
      <c r="AA219">
        <f t="shared" si="3"/>
        <v>0</v>
      </c>
      <c r="AC219" t="s">
        <v>753</v>
      </c>
    </row>
    <row r="220" spans="1:31" x14ac:dyDescent="0.2">
      <c r="A220" t="s">
        <v>265</v>
      </c>
      <c r="B220" t="s">
        <v>278</v>
      </c>
      <c r="C220">
        <v>6</v>
      </c>
      <c r="D220">
        <v>2</v>
      </c>
      <c r="E220" t="s">
        <v>272</v>
      </c>
      <c r="F220" s="1">
        <v>43346</v>
      </c>
      <c r="G220" s="2">
        <v>8.4722222222222213E-2</v>
      </c>
      <c r="I220" t="s">
        <v>255</v>
      </c>
      <c r="J220" t="s">
        <v>111</v>
      </c>
      <c r="K220" t="s">
        <v>23</v>
      </c>
      <c r="L220">
        <v>1</v>
      </c>
      <c r="M220">
        <v>1</v>
      </c>
      <c r="O220" t="s">
        <v>176</v>
      </c>
      <c r="P220" t="s">
        <v>24</v>
      </c>
      <c r="Q220" t="s">
        <v>263</v>
      </c>
      <c r="R220" t="s">
        <v>176</v>
      </c>
      <c r="S220" s="19">
        <v>63.730229999999999</v>
      </c>
      <c r="T220" s="19">
        <v>148.90411</v>
      </c>
      <c r="U220">
        <v>0</v>
      </c>
      <c r="V220">
        <v>0</v>
      </c>
      <c r="W220">
        <v>0</v>
      </c>
      <c r="X220">
        <v>0</v>
      </c>
      <c r="Y220">
        <v>0</v>
      </c>
      <c r="Z220">
        <v>0</v>
      </c>
      <c r="AA220">
        <f t="shared" si="3"/>
        <v>0</v>
      </c>
      <c r="AC220" t="s">
        <v>1274</v>
      </c>
      <c r="AD220">
        <v>0</v>
      </c>
      <c r="AE220">
        <v>0</v>
      </c>
    </row>
    <row r="221" spans="1:31" x14ac:dyDescent="0.2">
      <c r="A221" t="s">
        <v>910</v>
      </c>
      <c r="B221" t="s">
        <v>911</v>
      </c>
      <c r="C221">
        <v>3</v>
      </c>
      <c r="D221">
        <v>1</v>
      </c>
      <c r="E221" t="s">
        <v>272</v>
      </c>
      <c r="F221" s="16">
        <v>43364</v>
      </c>
      <c r="G221" s="2">
        <v>2.7777777777777779E-3</v>
      </c>
      <c r="H221" t="s">
        <v>397</v>
      </c>
      <c r="I221" t="s">
        <v>255</v>
      </c>
      <c r="J221" s="7" t="s">
        <v>111</v>
      </c>
      <c r="K221" s="7" t="s">
        <v>23</v>
      </c>
      <c r="L221" s="7">
        <v>0</v>
      </c>
      <c r="M221" s="7">
        <v>1</v>
      </c>
      <c r="N221" s="7"/>
      <c r="O221" s="7" t="s">
        <v>1618</v>
      </c>
      <c r="P221" s="7" t="s">
        <v>122</v>
      </c>
      <c r="Q221" s="7" t="s">
        <v>501</v>
      </c>
      <c r="R221" s="7">
        <v>17</v>
      </c>
      <c r="S221" s="20">
        <v>63.731529999999999</v>
      </c>
      <c r="T221" s="20">
        <v>148.90143</v>
      </c>
      <c r="U221" s="6">
        <v>0</v>
      </c>
      <c r="V221" s="6">
        <v>0</v>
      </c>
      <c r="W221" s="6">
        <v>0</v>
      </c>
      <c r="X221" s="6">
        <v>0</v>
      </c>
      <c r="Y221" s="6">
        <v>0</v>
      </c>
      <c r="Z221">
        <v>0</v>
      </c>
      <c r="AA221">
        <f t="shared" si="3"/>
        <v>0</v>
      </c>
      <c r="AC221" t="s">
        <v>913</v>
      </c>
    </row>
    <row r="222" spans="1:31" x14ac:dyDescent="0.2">
      <c r="A222" t="s">
        <v>2007</v>
      </c>
      <c r="B222" t="s">
        <v>2008</v>
      </c>
      <c r="C222">
        <v>9</v>
      </c>
      <c r="D222">
        <v>1</v>
      </c>
      <c r="E222" t="s">
        <v>272</v>
      </c>
      <c r="F222" s="1">
        <v>43404</v>
      </c>
      <c r="G222" s="2">
        <v>3.9583333333333331E-2</v>
      </c>
      <c r="H222" t="s">
        <v>2029</v>
      </c>
      <c r="I222" t="s">
        <v>255</v>
      </c>
      <c r="J222" s="7" t="s">
        <v>111</v>
      </c>
      <c r="K222" t="s">
        <v>23</v>
      </c>
      <c r="L222">
        <v>0</v>
      </c>
      <c r="M222">
        <v>1</v>
      </c>
      <c r="O222" t="s">
        <v>176</v>
      </c>
      <c r="P222" s="7" t="s">
        <v>24</v>
      </c>
      <c r="Q222" s="7" t="s">
        <v>2104</v>
      </c>
      <c r="R222" s="7" t="s">
        <v>24</v>
      </c>
      <c r="S222" s="20">
        <v>63.73171</v>
      </c>
      <c r="T222" s="20">
        <v>148.90314000000001</v>
      </c>
      <c r="U222" s="9">
        <v>0</v>
      </c>
      <c r="V222" s="6">
        <v>0</v>
      </c>
      <c r="W222" s="6">
        <v>0</v>
      </c>
      <c r="X222" s="6">
        <v>0</v>
      </c>
      <c r="Y222" s="6">
        <v>0</v>
      </c>
      <c r="Z222" s="6">
        <v>0</v>
      </c>
      <c r="AA222">
        <f t="shared" si="3"/>
        <v>0</v>
      </c>
      <c r="AC222" t="s">
        <v>2009</v>
      </c>
    </row>
    <row r="223" spans="1:31" x14ac:dyDescent="0.2">
      <c r="A223" t="s">
        <v>2007</v>
      </c>
      <c r="B223" t="s">
        <v>2008</v>
      </c>
      <c r="C223">
        <v>9</v>
      </c>
      <c r="D223">
        <v>2</v>
      </c>
      <c r="E223" t="s">
        <v>272</v>
      </c>
      <c r="F223" s="1">
        <v>43404</v>
      </c>
      <c r="G223" s="2">
        <v>3.9583333333333331E-2</v>
      </c>
      <c r="H223" t="s">
        <v>2029</v>
      </c>
      <c r="I223" t="s">
        <v>255</v>
      </c>
      <c r="J223" s="7" t="s">
        <v>111</v>
      </c>
      <c r="K223" t="s">
        <v>23</v>
      </c>
      <c r="L223">
        <v>0</v>
      </c>
      <c r="M223">
        <v>1</v>
      </c>
      <c r="O223" t="s">
        <v>176</v>
      </c>
      <c r="P223" s="7" t="s">
        <v>24</v>
      </c>
      <c r="Q223" s="7" t="s">
        <v>2103</v>
      </c>
      <c r="R223" s="7" t="s">
        <v>24</v>
      </c>
      <c r="S223" s="20">
        <v>63.73171</v>
      </c>
      <c r="T223" s="20">
        <v>148.90315000000001</v>
      </c>
      <c r="U223" s="9">
        <v>0</v>
      </c>
      <c r="V223" s="6">
        <v>0</v>
      </c>
      <c r="W223" s="6">
        <v>0</v>
      </c>
      <c r="X223" s="6">
        <v>0</v>
      </c>
      <c r="Y223" s="6">
        <v>0</v>
      </c>
      <c r="Z223" s="6">
        <v>0</v>
      </c>
      <c r="AA223">
        <f t="shared" si="3"/>
        <v>0</v>
      </c>
      <c r="AC223" t="s">
        <v>2009</v>
      </c>
    </row>
    <row r="224" spans="1:31" x14ac:dyDescent="0.2">
      <c r="A224" s="7" t="s">
        <v>486</v>
      </c>
      <c r="B224" s="7" t="s">
        <v>869</v>
      </c>
      <c r="C224" s="7">
        <v>3</v>
      </c>
      <c r="D224" s="7">
        <v>1</v>
      </c>
      <c r="E224" s="7" t="s">
        <v>834</v>
      </c>
      <c r="F224" s="10">
        <v>43352</v>
      </c>
      <c r="G224" s="8">
        <v>5.4166666666666669E-2</v>
      </c>
      <c r="H224" s="7" t="s">
        <v>483</v>
      </c>
      <c r="I224" s="7" t="s">
        <v>466</v>
      </c>
      <c r="J224" s="7" t="s">
        <v>111</v>
      </c>
      <c r="K224" s="7" t="s">
        <v>23</v>
      </c>
      <c r="L224" s="7">
        <v>0</v>
      </c>
      <c r="M224" s="7">
        <v>3</v>
      </c>
      <c r="N224" s="7" t="s">
        <v>2066</v>
      </c>
      <c r="O224" s="7" t="s">
        <v>2137</v>
      </c>
      <c r="P224" s="7" t="s">
        <v>1268</v>
      </c>
      <c r="Q224" s="7" t="s">
        <v>2065</v>
      </c>
      <c r="R224" s="7">
        <v>0</v>
      </c>
      <c r="S224" s="20">
        <v>63.739269999999998</v>
      </c>
      <c r="T224" s="20">
        <v>148.90099000000001</v>
      </c>
      <c r="U224" s="9">
        <v>0</v>
      </c>
      <c r="V224" s="9">
        <v>0</v>
      </c>
      <c r="W224" s="9">
        <v>0</v>
      </c>
      <c r="X224" s="9">
        <v>0</v>
      </c>
      <c r="Y224" s="9">
        <v>0</v>
      </c>
      <c r="Z224">
        <v>0</v>
      </c>
      <c r="AA224">
        <f t="shared" si="3"/>
        <v>0</v>
      </c>
      <c r="AB224" s="7"/>
      <c r="AC224" s="7" t="s">
        <v>1069</v>
      </c>
      <c r="AD224" s="7"/>
      <c r="AE224" s="7"/>
    </row>
    <row r="225" spans="1:31" x14ac:dyDescent="0.2">
      <c r="A225" s="7" t="s">
        <v>486</v>
      </c>
      <c r="B225" s="7" t="s">
        <v>869</v>
      </c>
      <c r="C225" s="7">
        <v>3</v>
      </c>
      <c r="D225" s="7">
        <v>2</v>
      </c>
      <c r="E225" s="7" t="s">
        <v>834</v>
      </c>
      <c r="F225" s="10">
        <v>43352</v>
      </c>
      <c r="G225" s="8">
        <v>5.4166666666666669E-2</v>
      </c>
      <c r="H225" s="7" t="s">
        <v>483</v>
      </c>
      <c r="I225" s="7" t="s">
        <v>466</v>
      </c>
      <c r="J225" s="7" t="s">
        <v>111</v>
      </c>
      <c r="K225" s="7" t="s">
        <v>23</v>
      </c>
      <c r="L225" s="7">
        <v>0</v>
      </c>
      <c r="M225" s="7">
        <v>1</v>
      </c>
      <c r="N225" s="7">
        <v>1</v>
      </c>
      <c r="O225" s="7" t="s">
        <v>2137</v>
      </c>
      <c r="P225" s="7" t="s">
        <v>1268</v>
      </c>
      <c r="Q225" s="7" t="s">
        <v>2064</v>
      </c>
      <c r="R225" s="7">
        <v>3</v>
      </c>
      <c r="S225" s="20">
        <v>63.739319999999999</v>
      </c>
      <c r="T225" s="20">
        <v>148.90099000000001</v>
      </c>
      <c r="U225" s="9">
        <v>0</v>
      </c>
      <c r="V225" s="9">
        <v>0</v>
      </c>
      <c r="W225" s="9">
        <v>0</v>
      </c>
      <c r="X225" s="9">
        <v>0</v>
      </c>
      <c r="Y225" s="9">
        <v>0</v>
      </c>
      <c r="Z225">
        <v>0</v>
      </c>
      <c r="AA225">
        <f t="shared" si="3"/>
        <v>0</v>
      </c>
      <c r="AB225" s="7"/>
      <c r="AC225" s="7"/>
      <c r="AD225" s="7"/>
      <c r="AE225" s="7"/>
    </row>
    <row r="226" spans="1:31" s="4" customFormat="1" x14ac:dyDescent="0.2">
      <c r="A226" s="7" t="s">
        <v>488</v>
      </c>
      <c r="B226" s="7" t="s">
        <v>870</v>
      </c>
      <c r="C226" s="7">
        <v>4</v>
      </c>
      <c r="D226" s="7">
        <v>1</v>
      </c>
      <c r="E226" s="7" t="s">
        <v>834</v>
      </c>
      <c r="F226" s="10">
        <v>43352</v>
      </c>
      <c r="G226" s="8">
        <v>6.25E-2</v>
      </c>
      <c r="H226" s="7" t="s">
        <v>483</v>
      </c>
      <c r="I226" s="7" t="s">
        <v>466</v>
      </c>
      <c r="J226" s="7" t="s">
        <v>111</v>
      </c>
      <c r="K226" s="7" t="s">
        <v>23</v>
      </c>
      <c r="L226" s="7">
        <v>0</v>
      </c>
      <c r="M226" s="7">
        <v>2</v>
      </c>
      <c r="N226" s="7" t="s">
        <v>2066</v>
      </c>
      <c r="O226" s="7" t="s">
        <v>2137</v>
      </c>
      <c r="P226" s="7" t="s">
        <v>1268</v>
      </c>
      <c r="Q226" s="7" t="s">
        <v>489</v>
      </c>
      <c r="R226" s="7">
        <v>0</v>
      </c>
      <c r="S226" s="20">
        <v>63.739249999999998</v>
      </c>
      <c r="T226" s="20">
        <v>148.90089</v>
      </c>
      <c r="U226" s="9">
        <v>0</v>
      </c>
      <c r="V226" s="9">
        <v>0</v>
      </c>
      <c r="W226" s="9">
        <v>0</v>
      </c>
      <c r="X226" s="9">
        <v>0</v>
      </c>
      <c r="Y226" s="9">
        <v>0</v>
      </c>
      <c r="Z226">
        <v>0</v>
      </c>
      <c r="AA226">
        <f t="shared" si="3"/>
        <v>0</v>
      </c>
      <c r="AB226" s="7"/>
      <c r="AC226" s="7" t="s">
        <v>1070</v>
      </c>
      <c r="AD226" s="7"/>
      <c r="AE226" s="7"/>
    </row>
    <row r="227" spans="1:31" x14ac:dyDescent="0.2">
      <c r="A227" s="7" t="s">
        <v>491</v>
      </c>
      <c r="B227" s="7" t="s">
        <v>871</v>
      </c>
      <c r="C227" s="7">
        <v>5</v>
      </c>
      <c r="D227" s="7">
        <v>1</v>
      </c>
      <c r="E227" s="7" t="s">
        <v>834</v>
      </c>
      <c r="F227" s="10">
        <v>43352</v>
      </c>
      <c r="G227" s="8">
        <v>2.6388888888888889E-2</v>
      </c>
      <c r="H227" s="7" t="s">
        <v>483</v>
      </c>
      <c r="I227" s="7" t="s">
        <v>466</v>
      </c>
      <c r="J227" s="7" t="s">
        <v>111</v>
      </c>
      <c r="K227" s="7" t="s">
        <v>23</v>
      </c>
      <c r="L227" s="7">
        <v>0</v>
      </c>
      <c r="M227" s="7">
        <v>1</v>
      </c>
      <c r="N227" s="7"/>
      <c r="O227" s="7" t="s">
        <v>2137</v>
      </c>
      <c r="P227" s="7" t="s">
        <v>1268</v>
      </c>
      <c r="Q227" s="7" t="s">
        <v>492</v>
      </c>
      <c r="R227" s="7">
        <v>6</v>
      </c>
      <c r="S227" s="20">
        <v>63.739339999999999</v>
      </c>
      <c r="T227" s="20">
        <v>148.90071</v>
      </c>
      <c r="U227" s="9">
        <v>0</v>
      </c>
      <c r="V227" s="9">
        <v>0</v>
      </c>
      <c r="W227" s="9">
        <v>0</v>
      </c>
      <c r="X227" s="9">
        <v>0</v>
      </c>
      <c r="Y227" s="9">
        <v>0</v>
      </c>
      <c r="Z227">
        <v>0</v>
      </c>
      <c r="AA227">
        <f t="shared" si="3"/>
        <v>0</v>
      </c>
      <c r="AB227" s="7"/>
      <c r="AC227" s="7"/>
      <c r="AD227" s="7"/>
      <c r="AE227" s="7"/>
    </row>
    <row r="228" spans="1:31" x14ac:dyDescent="0.2">
      <c r="A228" s="7" t="s">
        <v>493</v>
      </c>
      <c r="B228" s="7" t="s">
        <v>872</v>
      </c>
      <c r="C228" s="7">
        <v>6</v>
      </c>
      <c r="D228" s="7">
        <v>1</v>
      </c>
      <c r="E228" s="7" t="s">
        <v>834</v>
      </c>
      <c r="F228" s="10">
        <v>43352</v>
      </c>
      <c r="G228" s="8">
        <v>0.13055555555555556</v>
      </c>
      <c r="H228" s="7" t="s">
        <v>483</v>
      </c>
      <c r="I228" s="7" t="s">
        <v>466</v>
      </c>
      <c r="J228" s="7" t="s">
        <v>111</v>
      </c>
      <c r="K228" s="7" t="s">
        <v>23</v>
      </c>
      <c r="L228" s="7">
        <v>0</v>
      </c>
      <c r="M228" s="7">
        <v>1</v>
      </c>
      <c r="N228" s="7">
        <v>1</v>
      </c>
      <c r="O228" s="7" t="s">
        <v>2137</v>
      </c>
      <c r="P228" s="7" t="s">
        <v>1268</v>
      </c>
      <c r="Q228" s="7" t="s">
        <v>2067</v>
      </c>
      <c r="R228" s="23">
        <v>14</v>
      </c>
      <c r="S228" s="20">
        <v>63.73912</v>
      </c>
      <c r="T228" s="20">
        <v>148.90092000000001</v>
      </c>
      <c r="U228" s="9">
        <v>0</v>
      </c>
      <c r="V228" s="9">
        <v>0</v>
      </c>
      <c r="W228" s="9">
        <v>0</v>
      </c>
      <c r="X228" s="9">
        <v>0</v>
      </c>
      <c r="Y228" s="9">
        <v>0</v>
      </c>
      <c r="Z228">
        <v>0</v>
      </c>
      <c r="AA228">
        <f t="shared" si="3"/>
        <v>0</v>
      </c>
      <c r="AB228" s="7"/>
      <c r="AC228" s="7"/>
      <c r="AD228" s="7"/>
      <c r="AE228" s="7"/>
    </row>
    <row r="229" spans="1:31" x14ac:dyDescent="0.2">
      <c r="A229" s="7" t="s">
        <v>493</v>
      </c>
      <c r="B229" s="7" t="s">
        <v>872</v>
      </c>
      <c r="C229" s="7">
        <v>6</v>
      </c>
      <c r="D229" s="7">
        <v>2</v>
      </c>
      <c r="E229" s="7" t="s">
        <v>834</v>
      </c>
      <c r="F229" s="10">
        <v>43352</v>
      </c>
      <c r="G229" s="8">
        <v>0.13055555555555556</v>
      </c>
      <c r="H229" s="7" t="s">
        <v>483</v>
      </c>
      <c r="I229" s="7" t="s">
        <v>466</v>
      </c>
      <c r="J229" s="7" t="s">
        <v>111</v>
      </c>
      <c r="K229" s="7" t="s">
        <v>23</v>
      </c>
      <c r="L229" s="7">
        <v>0</v>
      </c>
      <c r="M229" s="7">
        <v>1</v>
      </c>
      <c r="N229" s="7">
        <v>1</v>
      </c>
      <c r="O229" s="7" t="s">
        <v>2137</v>
      </c>
      <c r="P229" s="7" t="s">
        <v>1268</v>
      </c>
      <c r="Q229" s="7" t="s">
        <v>2068</v>
      </c>
      <c r="R229" s="23">
        <v>14</v>
      </c>
      <c r="S229" s="20">
        <v>63.73912</v>
      </c>
      <c r="T229" s="20">
        <v>148.90092000000001</v>
      </c>
      <c r="U229" s="9">
        <v>0</v>
      </c>
      <c r="V229" s="9">
        <v>0</v>
      </c>
      <c r="W229" s="9">
        <v>0</v>
      </c>
      <c r="X229" s="9">
        <v>0</v>
      </c>
      <c r="Y229" s="9">
        <v>0</v>
      </c>
      <c r="Z229">
        <v>0</v>
      </c>
      <c r="AA229">
        <f t="shared" si="3"/>
        <v>0</v>
      </c>
      <c r="AB229" s="7"/>
      <c r="AC229" s="7"/>
      <c r="AD229" s="7"/>
      <c r="AE229" s="7"/>
    </row>
    <row r="230" spans="1:31" x14ac:dyDescent="0.2">
      <c r="A230" s="7" t="s">
        <v>493</v>
      </c>
      <c r="B230" s="7" t="s">
        <v>872</v>
      </c>
      <c r="C230" s="7">
        <v>6</v>
      </c>
      <c r="D230" s="7">
        <v>3</v>
      </c>
      <c r="E230" s="7" t="s">
        <v>834</v>
      </c>
      <c r="F230" s="10">
        <v>43352</v>
      </c>
      <c r="G230" s="8">
        <v>0.13055555555555556</v>
      </c>
      <c r="H230" s="7" t="s">
        <v>483</v>
      </c>
      <c r="I230" s="7" t="s">
        <v>466</v>
      </c>
      <c r="J230" s="7" t="s">
        <v>111</v>
      </c>
      <c r="K230" s="7" t="s">
        <v>23</v>
      </c>
      <c r="L230" s="7">
        <v>0</v>
      </c>
      <c r="M230" s="7">
        <v>1</v>
      </c>
      <c r="N230" s="7">
        <v>1</v>
      </c>
      <c r="O230" s="7" t="s">
        <v>2137</v>
      </c>
      <c r="P230" s="7" t="s">
        <v>1268</v>
      </c>
      <c r="Q230" s="7" t="s">
        <v>2069</v>
      </c>
      <c r="R230" s="23">
        <v>14</v>
      </c>
      <c r="S230" s="20">
        <v>63.73912</v>
      </c>
      <c r="T230" s="20">
        <v>148.90092000000001</v>
      </c>
      <c r="U230" s="9">
        <v>0</v>
      </c>
      <c r="V230" s="9">
        <v>0</v>
      </c>
      <c r="W230" s="9">
        <v>0</v>
      </c>
      <c r="X230" s="9">
        <v>0</v>
      </c>
      <c r="Y230" s="9">
        <v>0</v>
      </c>
      <c r="Z230">
        <v>0</v>
      </c>
      <c r="AA230">
        <f t="shared" si="3"/>
        <v>0</v>
      </c>
      <c r="AB230" s="7"/>
      <c r="AC230" s="7"/>
      <c r="AD230" s="7"/>
      <c r="AE230" s="7"/>
    </row>
    <row r="231" spans="1:31" x14ac:dyDescent="0.2">
      <c r="A231" s="7" t="s">
        <v>493</v>
      </c>
      <c r="B231" s="7" t="s">
        <v>872</v>
      </c>
      <c r="C231" s="7">
        <v>6</v>
      </c>
      <c r="D231" s="7">
        <v>4</v>
      </c>
      <c r="E231" s="7" t="s">
        <v>834</v>
      </c>
      <c r="F231" s="10">
        <v>43352</v>
      </c>
      <c r="G231" s="8">
        <v>0.13055555555555556</v>
      </c>
      <c r="H231" s="7" t="s">
        <v>483</v>
      </c>
      <c r="I231" s="7" t="s">
        <v>466</v>
      </c>
      <c r="J231" s="7" t="s">
        <v>111</v>
      </c>
      <c r="K231" s="7" t="s">
        <v>23</v>
      </c>
      <c r="L231" s="7">
        <v>0</v>
      </c>
      <c r="M231" s="7">
        <v>1</v>
      </c>
      <c r="N231" s="7">
        <v>1</v>
      </c>
      <c r="O231" s="7" t="s">
        <v>2137</v>
      </c>
      <c r="P231" s="7" t="s">
        <v>1268</v>
      </c>
      <c r="Q231" s="7" t="s">
        <v>2070</v>
      </c>
      <c r="R231" s="23">
        <v>14</v>
      </c>
      <c r="S231" s="20">
        <v>63.73912</v>
      </c>
      <c r="T231" s="20">
        <v>148.90092000000001</v>
      </c>
      <c r="U231" s="9">
        <v>0</v>
      </c>
      <c r="V231" s="9">
        <v>0</v>
      </c>
      <c r="W231" s="9">
        <v>0</v>
      </c>
      <c r="X231" s="9">
        <v>0</v>
      </c>
      <c r="Y231" s="9">
        <v>0</v>
      </c>
      <c r="Z231">
        <v>0</v>
      </c>
      <c r="AA231">
        <f t="shared" si="3"/>
        <v>0</v>
      </c>
      <c r="AB231" s="7"/>
      <c r="AC231" s="7"/>
      <c r="AD231" s="7"/>
      <c r="AE231" s="7"/>
    </row>
    <row r="232" spans="1:31" x14ac:dyDescent="0.2">
      <c r="A232" s="7" t="s">
        <v>493</v>
      </c>
      <c r="B232" s="7" t="s">
        <v>872</v>
      </c>
      <c r="C232" s="7">
        <v>6</v>
      </c>
      <c r="D232" s="7">
        <v>5</v>
      </c>
      <c r="E232" s="7" t="s">
        <v>834</v>
      </c>
      <c r="F232" s="10">
        <v>43352</v>
      </c>
      <c r="G232" s="8">
        <v>0.13055555555555556</v>
      </c>
      <c r="H232" s="7" t="s">
        <v>483</v>
      </c>
      <c r="I232" s="7" t="s">
        <v>466</v>
      </c>
      <c r="J232" s="7" t="s">
        <v>111</v>
      </c>
      <c r="K232" s="7" t="s">
        <v>23</v>
      </c>
      <c r="L232" s="7">
        <v>0</v>
      </c>
      <c r="M232" s="7">
        <v>1</v>
      </c>
      <c r="N232" s="7">
        <v>1</v>
      </c>
      <c r="O232" s="7" t="s">
        <v>2137</v>
      </c>
      <c r="P232" s="7" t="s">
        <v>1268</v>
      </c>
      <c r="Q232" s="7" t="s">
        <v>2068</v>
      </c>
      <c r="R232" s="23">
        <v>14</v>
      </c>
      <c r="S232" s="20">
        <v>63.739150000000002</v>
      </c>
      <c r="T232" s="20">
        <v>148.9008</v>
      </c>
      <c r="U232" s="9">
        <v>0</v>
      </c>
      <c r="V232" s="9">
        <v>0</v>
      </c>
      <c r="W232" s="9">
        <v>0</v>
      </c>
      <c r="X232" s="9">
        <v>0</v>
      </c>
      <c r="Y232" s="9">
        <v>0</v>
      </c>
      <c r="Z232">
        <v>0</v>
      </c>
      <c r="AA232">
        <f t="shared" si="3"/>
        <v>0</v>
      </c>
      <c r="AB232" s="7"/>
      <c r="AC232" s="7"/>
      <c r="AD232" s="7"/>
      <c r="AE232" s="7"/>
    </row>
    <row r="233" spans="1:31" x14ac:dyDescent="0.2">
      <c r="A233" s="7" t="s">
        <v>493</v>
      </c>
      <c r="B233" s="7" t="s">
        <v>872</v>
      </c>
      <c r="C233" s="7">
        <v>6</v>
      </c>
      <c r="D233" s="7">
        <v>6</v>
      </c>
      <c r="E233" s="7" t="s">
        <v>834</v>
      </c>
      <c r="F233" s="10">
        <v>43352</v>
      </c>
      <c r="G233" s="8">
        <v>0.13055555555555556</v>
      </c>
      <c r="H233" s="7" t="s">
        <v>483</v>
      </c>
      <c r="I233" s="7" t="s">
        <v>466</v>
      </c>
      <c r="J233" s="7" t="s">
        <v>111</v>
      </c>
      <c r="K233" s="7" t="s">
        <v>23</v>
      </c>
      <c r="L233" s="7">
        <v>0</v>
      </c>
      <c r="M233" s="7">
        <v>1</v>
      </c>
      <c r="N233" s="7">
        <v>1</v>
      </c>
      <c r="O233" s="7" t="s">
        <v>2137</v>
      </c>
      <c r="P233" s="7" t="s">
        <v>1268</v>
      </c>
      <c r="Q233" s="7" t="s">
        <v>2069</v>
      </c>
      <c r="R233" s="23">
        <v>14</v>
      </c>
      <c r="S233" s="20">
        <v>63.73912</v>
      </c>
      <c r="T233" s="20">
        <v>148.90092000000001</v>
      </c>
      <c r="U233" s="9">
        <v>0</v>
      </c>
      <c r="V233" s="9">
        <v>0</v>
      </c>
      <c r="W233" s="9">
        <v>0</v>
      </c>
      <c r="X233" s="9">
        <v>0</v>
      </c>
      <c r="Y233" s="9">
        <v>0</v>
      </c>
      <c r="Z233">
        <v>0</v>
      </c>
      <c r="AA233">
        <f t="shared" si="3"/>
        <v>0</v>
      </c>
      <c r="AB233" s="7"/>
      <c r="AC233" s="7"/>
      <c r="AD233" s="7"/>
      <c r="AE233" s="7"/>
    </row>
    <row r="234" spans="1:31" s="7" customFormat="1" x14ac:dyDescent="0.2">
      <c r="A234" s="7" t="s">
        <v>493</v>
      </c>
      <c r="B234" s="7" t="s">
        <v>872</v>
      </c>
      <c r="C234" s="7">
        <v>6</v>
      </c>
      <c r="D234" s="7">
        <v>7</v>
      </c>
      <c r="E234" s="7" t="s">
        <v>834</v>
      </c>
      <c r="F234" s="10">
        <v>43352</v>
      </c>
      <c r="G234" s="8">
        <v>0.13055555555555556</v>
      </c>
      <c r="H234" s="7" t="s">
        <v>483</v>
      </c>
      <c r="I234" s="7" t="s">
        <v>466</v>
      </c>
      <c r="J234" s="7" t="s">
        <v>111</v>
      </c>
      <c r="K234" s="7" t="s">
        <v>23</v>
      </c>
      <c r="L234" s="7">
        <v>0</v>
      </c>
      <c r="M234" s="7">
        <v>1</v>
      </c>
      <c r="N234" s="7">
        <v>1</v>
      </c>
      <c r="O234" s="7" t="s">
        <v>2137</v>
      </c>
      <c r="P234" s="7" t="s">
        <v>1268</v>
      </c>
      <c r="Q234" s="7" t="s">
        <v>2069</v>
      </c>
      <c r="R234" s="23">
        <v>14</v>
      </c>
      <c r="S234" s="20">
        <v>63.739150000000002</v>
      </c>
      <c r="T234" s="20">
        <v>148.9008</v>
      </c>
      <c r="U234" s="9">
        <v>0</v>
      </c>
      <c r="V234" s="9">
        <v>0</v>
      </c>
      <c r="W234" s="9">
        <v>0</v>
      </c>
      <c r="X234" s="9">
        <v>0</v>
      </c>
      <c r="Y234" s="9">
        <v>0</v>
      </c>
      <c r="Z234">
        <v>0</v>
      </c>
      <c r="AA234">
        <f t="shared" si="3"/>
        <v>0</v>
      </c>
    </row>
    <row r="235" spans="1:31" s="7" customFormat="1" x14ac:dyDescent="0.2">
      <c r="A235" s="7" t="s">
        <v>493</v>
      </c>
      <c r="B235" s="7" t="s">
        <v>872</v>
      </c>
      <c r="C235" s="7">
        <v>6</v>
      </c>
      <c r="D235" s="7">
        <v>8</v>
      </c>
      <c r="E235" s="7" t="s">
        <v>834</v>
      </c>
      <c r="F235" s="10">
        <v>43352</v>
      </c>
      <c r="G235" s="8">
        <v>0.13055555555555556</v>
      </c>
      <c r="H235" s="7" t="s">
        <v>483</v>
      </c>
      <c r="I235" s="7" t="s">
        <v>466</v>
      </c>
      <c r="J235" s="7" t="s">
        <v>111</v>
      </c>
      <c r="K235" s="7" t="s">
        <v>23</v>
      </c>
      <c r="L235" s="7">
        <v>0</v>
      </c>
      <c r="M235" s="7">
        <v>1</v>
      </c>
      <c r="N235" s="7">
        <v>1</v>
      </c>
      <c r="O235" s="7" t="s">
        <v>2137</v>
      </c>
      <c r="P235" s="7" t="s">
        <v>1268</v>
      </c>
      <c r="Q235" s="7" t="s">
        <v>2069</v>
      </c>
      <c r="R235" s="23">
        <v>15</v>
      </c>
      <c r="S235" s="20">
        <v>63.73912</v>
      </c>
      <c r="T235" s="20">
        <v>148.90076999999999</v>
      </c>
      <c r="U235" s="9">
        <v>0</v>
      </c>
      <c r="V235" s="9">
        <v>0</v>
      </c>
      <c r="W235" s="9">
        <v>0</v>
      </c>
      <c r="X235" s="9">
        <v>0</v>
      </c>
      <c r="Y235" s="9">
        <v>0</v>
      </c>
      <c r="Z235">
        <v>0</v>
      </c>
      <c r="AA235">
        <f t="shared" si="3"/>
        <v>0</v>
      </c>
    </row>
    <row r="236" spans="1:31" s="7" customFormat="1" x14ac:dyDescent="0.2">
      <c r="A236" s="7" t="s">
        <v>494</v>
      </c>
      <c r="B236" s="7" t="s">
        <v>873</v>
      </c>
      <c r="C236" s="7">
        <v>7</v>
      </c>
      <c r="D236" s="7">
        <v>1</v>
      </c>
      <c r="E236" s="7" t="s">
        <v>834</v>
      </c>
      <c r="F236" s="10">
        <v>43352</v>
      </c>
      <c r="G236" s="8">
        <v>9.7222222222222224E-3</v>
      </c>
      <c r="H236" s="7" t="s">
        <v>483</v>
      </c>
      <c r="I236" s="7" t="s">
        <v>466</v>
      </c>
      <c r="J236" s="7" t="s">
        <v>111</v>
      </c>
      <c r="K236" s="7" t="s">
        <v>23</v>
      </c>
      <c r="L236" s="7">
        <v>0</v>
      </c>
      <c r="M236" s="7">
        <v>1</v>
      </c>
      <c r="N236" s="7">
        <v>1</v>
      </c>
      <c r="O236" s="7" t="s">
        <v>2137</v>
      </c>
      <c r="P236" s="7" t="s">
        <v>1268</v>
      </c>
      <c r="Q236" s="7" t="s">
        <v>495</v>
      </c>
      <c r="R236" s="7">
        <v>14</v>
      </c>
      <c r="S236" s="20">
        <v>63.73912</v>
      </c>
      <c r="T236" s="20">
        <v>148.90092000000001</v>
      </c>
      <c r="U236" s="9">
        <v>0</v>
      </c>
      <c r="V236" s="9">
        <v>0</v>
      </c>
      <c r="W236" s="9">
        <v>0</v>
      </c>
      <c r="X236" s="9">
        <v>0</v>
      </c>
      <c r="Y236" s="9">
        <v>0</v>
      </c>
      <c r="Z236">
        <v>0</v>
      </c>
      <c r="AA236">
        <f t="shared" si="3"/>
        <v>0</v>
      </c>
      <c r="AC236" s="7" t="s">
        <v>880</v>
      </c>
    </row>
    <row r="237" spans="1:31" s="7" customFormat="1" x14ac:dyDescent="0.2">
      <c r="A237" s="7" t="s">
        <v>496</v>
      </c>
      <c r="B237" s="7" t="s">
        <v>874</v>
      </c>
      <c r="C237" s="7">
        <v>8</v>
      </c>
      <c r="D237" s="7">
        <v>1</v>
      </c>
      <c r="E237" s="7" t="s">
        <v>834</v>
      </c>
      <c r="F237" s="10">
        <v>43352</v>
      </c>
      <c r="G237" s="8">
        <v>0.10069444444444443</v>
      </c>
      <c r="H237" s="7" t="s">
        <v>483</v>
      </c>
      <c r="I237" s="7" t="s">
        <v>466</v>
      </c>
      <c r="J237" s="7" t="s">
        <v>111</v>
      </c>
      <c r="K237" s="7" t="s">
        <v>23</v>
      </c>
      <c r="L237" s="7">
        <v>0</v>
      </c>
      <c r="M237" s="7">
        <v>2</v>
      </c>
      <c r="N237" s="7" t="s">
        <v>2066</v>
      </c>
      <c r="O237" s="7" t="s">
        <v>2137</v>
      </c>
      <c r="P237" s="7" t="s">
        <v>1268</v>
      </c>
      <c r="Q237" s="7" t="s">
        <v>489</v>
      </c>
      <c r="R237" s="23">
        <v>20</v>
      </c>
      <c r="S237" s="20">
        <v>63.739170000000001</v>
      </c>
      <c r="T237" s="20">
        <v>148.90096</v>
      </c>
      <c r="U237" s="9">
        <v>0</v>
      </c>
      <c r="V237" s="9">
        <v>0</v>
      </c>
      <c r="W237" s="9">
        <v>0</v>
      </c>
      <c r="X237" s="9">
        <v>0</v>
      </c>
      <c r="Y237" s="9">
        <v>0</v>
      </c>
      <c r="Z237">
        <v>0</v>
      </c>
      <c r="AA237">
        <f t="shared" si="3"/>
        <v>0</v>
      </c>
    </row>
    <row r="238" spans="1:31" s="7" customFormat="1" x14ac:dyDescent="0.2">
      <c r="A238" s="7" t="s">
        <v>496</v>
      </c>
      <c r="B238" s="7" t="s">
        <v>874</v>
      </c>
      <c r="C238" s="7">
        <v>8</v>
      </c>
      <c r="D238" s="7">
        <v>2</v>
      </c>
      <c r="E238" s="7" t="s">
        <v>834</v>
      </c>
      <c r="F238" s="10">
        <v>43352</v>
      </c>
      <c r="G238" s="8">
        <v>0.10069444444444443</v>
      </c>
      <c r="H238" s="7" t="s">
        <v>483</v>
      </c>
      <c r="I238" s="7" t="s">
        <v>466</v>
      </c>
      <c r="J238" s="7" t="s">
        <v>111</v>
      </c>
      <c r="K238" s="7" t="s">
        <v>23</v>
      </c>
      <c r="L238" s="7">
        <v>0</v>
      </c>
      <c r="M238" s="7">
        <v>2</v>
      </c>
      <c r="N238" s="7" t="s">
        <v>2066</v>
      </c>
      <c r="O238" s="7" t="s">
        <v>2137</v>
      </c>
      <c r="P238" s="7" t="s">
        <v>1268</v>
      </c>
      <c r="Q238" s="7" t="s">
        <v>489</v>
      </c>
      <c r="R238" s="23">
        <v>20</v>
      </c>
      <c r="S238" s="20">
        <v>63.739159999999998</v>
      </c>
      <c r="T238" s="20">
        <v>148.90085999999999</v>
      </c>
      <c r="U238" s="9">
        <v>0</v>
      </c>
      <c r="V238" s="9">
        <v>0</v>
      </c>
      <c r="W238" s="9">
        <v>0</v>
      </c>
      <c r="X238" s="9">
        <v>0</v>
      </c>
      <c r="Y238" s="9">
        <v>0</v>
      </c>
      <c r="Z238">
        <v>0</v>
      </c>
      <c r="AA238">
        <f t="shared" si="3"/>
        <v>0</v>
      </c>
    </row>
    <row r="239" spans="1:31" s="7" customFormat="1" x14ac:dyDescent="0.2">
      <c r="A239" s="7" t="s">
        <v>496</v>
      </c>
      <c r="B239" s="7" t="s">
        <v>874</v>
      </c>
      <c r="C239" s="7">
        <v>8</v>
      </c>
      <c r="D239" s="7">
        <v>3</v>
      </c>
      <c r="E239" s="7" t="s">
        <v>834</v>
      </c>
      <c r="F239" s="10">
        <v>43352</v>
      </c>
      <c r="G239" s="8">
        <v>0.10069444444444443</v>
      </c>
      <c r="H239" s="7" t="s">
        <v>483</v>
      </c>
      <c r="I239" s="7" t="s">
        <v>466</v>
      </c>
      <c r="J239" s="7" t="s">
        <v>111</v>
      </c>
      <c r="K239" s="7" t="s">
        <v>23</v>
      </c>
      <c r="L239" s="7">
        <v>0</v>
      </c>
      <c r="M239" s="7">
        <v>1</v>
      </c>
      <c r="N239" s="7">
        <v>1</v>
      </c>
      <c r="O239" s="7" t="s">
        <v>2137</v>
      </c>
      <c r="P239" s="7" t="s">
        <v>1268</v>
      </c>
      <c r="Q239" s="7" t="s">
        <v>489</v>
      </c>
      <c r="R239" s="23">
        <v>20</v>
      </c>
      <c r="S239" s="20">
        <v>63.73921</v>
      </c>
      <c r="T239" s="20">
        <v>148.90101999999999</v>
      </c>
      <c r="U239" s="9">
        <v>0</v>
      </c>
      <c r="V239" s="9">
        <v>0</v>
      </c>
      <c r="W239" s="9">
        <v>0</v>
      </c>
      <c r="X239" s="9">
        <v>0</v>
      </c>
      <c r="Y239" s="9">
        <v>0</v>
      </c>
      <c r="Z239">
        <v>0</v>
      </c>
      <c r="AA239">
        <f t="shared" si="3"/>
        <v>0</v>
      </c>
    </row>
    <row r="240" spans="1:31" s="7" customFormat="1" x14ac:dyDescent="0.2">
      <c r="A240" s="7" t="s">
        <v>684</v>
      </c>
      <c r="B240" s="7" t="s">
        <v>875</v>
      </c>
      <c r="C240" s="7">
        <v>1</v>
      </c>
      <c r="D240" s="7">
        <v>1</v>
      </c>
      <c r="E240" s="7" t="s">
        <v>834</v>
      </c>
      <c r="F240" s="10">
        <v>43358</v>
      </c>
      <c r="G240" s="8">
        <v>5.2083333333333336E-2</v>
      </c>
      <c r="H240" s="7" t="s">
        <v>640</v>
      </c>
      <c r="I240" s="7" t="s">
        <v>466</v>
      </c>
      <c r="J240" s="7" t="s">
        <v>111</v>
      </c>
      <c r="K240" s="7" t="s">
        <v>23</v>
      </c>
      <c r="L240" s="7">
        <v>0</v>
      </c>
      <c r="M240" s="7">
        <v>1</v>
      </c>
      <c r="O240" t="s">
        <v>176</v>
      </c>
      <c r="P240" s="7" t="s">
        <v>115</v>
      </c>
      <c r="Q240" s="7" t="s">
        <v>709</v>
      </c>
      <c r="R240" s="7" t="s">
        <v>176</v>
      </c>
      <c r="S240" s="20">
        <v>63.738419999999998</v>
      </c>
      <c r="T240" s="20">
        <v>148.90466000000001</v>
      </c>
      <c r="U240" s="9">
        <v>0</v>
      </c>
      <c r="V240" s="9">
        <v>0</v>
      </c>
      <c r="W240" s="9">
        <v>0</v>
      </c>
      <c r="X240" s="9">
        <v>0</v>
      </c>
      <c r="Y240" s="9">
        <v>0</v>
      </c>
      <c r="Z240">
        <v>0</v>
      </c>
      <c r="AA240">
        <f t="shared" si="3"/>
        <v>0</v>
      </c>
      <c r="AB240" s="9"/>
      <c r="AC240" s="7" t="s">
        <v>685</v>
      </c>
    </row>
    <row r="241" spans="1:31" s="7" customFormat="1" x14ac:dyDescent="0.2">
      <c r="A241" s="7" t="s">
        <v>686</v>
      </c>
      <c r="B241" s="7" t="s">
        <v>876</v>
      </c>
      <c r="C241" s="7">
        <v>2</v>
      </c>
      <c r="D241" s="7">
        <v>1</v>
      </c>
      <c r="E241" s="7" t="s">
        <v>834</v>
      </c>
      <c r="F241" s="10">
        <v>43358</v>
      </c>
      <c r="G241" s="8">
        <v>1.3194444444444444E-2</v>
      </c>
      <c r="H241" s="7" t="s">
        <v>640</v>
      </c>
      <c r="I241" s="7" t="s">
        <v>466</v>
      </c>
      <c r="J241" s="7" t="s">
        <v>187</v>
      </c>
      <c r="K241" s="7" t="s">
        <v>23</v>
      </c>
      <c r="L241" s="7">
        <v>3</v>
      </c>
      <c r="M241" s="7">
        <v>1</v>
      </c>
      <c r="O241" t="s">
        <v>2128</v>
      </c>
      <c r="P241" s="7" t="s">
        <v>122</v>
      </c>
      <c r="Q241" s="7" t="s">
        <v>333</v>
      </c>
      <c r="R241" s="7" t="s">
        <v>176</v>
      </c>
      <c r="S241" s="20">
        <v>63.738860000000003</v>
      </c>
      <c r="T241" s="20">
        <v>148.90303</v>
      </c>
      <c r="U241" s="9">
        <v>0</v>
      </c>
      <c r="V241" s="9">
        <v>0</v>
      </c>
      <c r="W241" s="9">
        <v>0</v>
      </c>
      <c r="X241" s="9">
        <v>0</v>
      </c>
      <c r="Y241" s="9">
        <v>8</v>
      </c>
      <c r="Z241">
        <v>0</v>
      </c>
      <c r="AA241">
        <f t="shared" si="3"/>
        <v>8</v>
      </c>
    </row>
    <row r="242" spans="1:31" x14ac:dyDescent="0.2">
      <c r="A242" s="7" t="s">
        <v>687</v>
      </c>
      <c r="B242" s="7" t="s">
        <v>877</v>
      </c>
      <c r="C242" s="7">
        <v>3</v>
      </c>
      <c r="D242" s="7">
        <v>1</v>
      </c>
      <c r="E242" s="7" t="s">
        <v>834</v>
      </c>
      <c r="F242" s="10">
        <v>43358</v>
      </c>
      <c r="G242" s="8">
        <v>3.4027777777777775E-2</v>
      </c>
      <c r="H242" s="7" t="s">
        <v>640</v>
      </c>
      <c r="I242" s="7" t="s">
        <v>466</v>
      </c>
      <c r="J242" s="7" t="s">
        <v>242</v>
      </c>
      <c r="K242" s="7" t="s">
        <v>23</v>
      </c>
      <c r="L242" s="7">
        <v>6</v>
      </c>
      <c r="M242" s="7">
        <v>1</v>
      </c>
      <c r="N242" s="7"/>
      <c r="O242" t="s">
        <v>2128</v>
      </c>
      <c r="P242" s="7" t="s">
        <v>122</v>
      </c>
      <c r="Q242" s="7" t="s">
        <v>333</v>
      </c>
      <c r="R242" s="7" t="s">
        <v>176</v>
      </c>
      <c r="S242" s="20">
        <v>63.738280000000003</v>
      </c>
      <c r="T242" s="20">
        <v>148.89919</v>
      </c>
      <c r="U242" s="9">
        <v>0</v>
      </c>
      <c r="V242" s="9">
        <v>0</v>
      </c>
      <c r="W242" s="9">
        <v>0</v>
      </c>
      <c r="X242" s="9">
        <v>0</v>
      </c>
      <c r="Y242" s="9">
        <v>22</v>
      </c>
      <c r="Z242">
        <v>0</v>
      </c>
      <c r="AA242">
        <f t="shared" si="3"/>
        <v>22</v>
      </c>
      <c r="AB242" s="7"/>
      <c r="AC242" s="7"/>
      <c r="AD242" s="7"/>
      <c r="AE242" s="7"/>
    </row>
    <row r="243" spans="1:31" x14ac:dyDescent="0.2">
      <c r="A243" t="s">
        <v>1000</v>
      </c>
      <c r="B243" t="s">
        <v>1001</v>
      </c>
      <c r="C243">
        <v>1</v>
      </c>
      <c r="D243">
        <v>1</v>
      </c>
      <c r="E243" t="s">
        <v>834</v>
      </c>
      <c r="F243" s="1">
        <v>43369</v>
      </c>
      <c r="G243" s="2">
        <v>9.0277777777777787E-3</v>
      </c>
      <c r="H243" t="s">
        <v>398</v>
      </c>
      <c r="I243" t="s">
        <v>466</v>
      </c>
      <c r="J243" s="7" t="s">
        <v>111</v>
      </c>
      <c r="K243" t="s">
        <v>23</v>
      </c>
      <c r="L243">
        <v>0</v>
      </c>
      <c r="M243">
        <v>1</v>
      </c>
      <c r="O243" t="s">
        <v>176</v>
      </c>
      <c r="P243" t="s">
        <v>24</v>
      </c>
      <c r="Q243" t="s">
        <v>709</v>
      </c>
      <c r="R243" s="7" t="s">
        <v>24</v>
      </c>
      <c r="S243" s="20">
        <v>63.737909999999999</v>
      </c>
      <c r="T243" s="20">
        <v>148.90565000000001</v>
      </c>
      <c r="U243" s="6">
        <v>0</v>
      </c>
      <c r="V243" s="6">
        <v>0</v>
      </c>
      <c r="W243" s="6">
        <v>0</v>
      </c>
      <c r="X243" s="6">
        <v>0</v>
      </c>
      <c r="Y243" s="6">
        <v>0</v>
      </c>
      <c r="Z243">
        <v>0</v>
      </c>
      <c r="AA243">
        <f t="shared" si="3"/>
        <v>0</v>
      </c>
    </row>
    <row r="244" spans="1:31" ht="15" customHeight="1" x14ac:dyDescent="0.2">
      <c r="A244" t="s">
        <v>1025</v>
      </c>
      <c r="B244" t="s">
        <v>1026</v>
      </c>
      <c r="C244">
        <v>10</v>
      </c>
      <c r="D244">
        <v>1</v>
      </c>
      <c r="E244" t="s">
        <v>834</v>
      </c>
      <c r="F244" s="1">
        <v>43369</v>
      </c>
      <c r="G244" s="2">
        <v>1.7361111111111112E-2</v>
      </c>
      <c r="H244" t="s">
        <v>398</v>
      </c>
      <c r="I244" t="s">
        <v>466</v>
      </c>
      <c r="J244" s="7" t="s">
        <v>111</v>
      </c>
      <c r="K244" t="s">
        <v>12</v>
      </c>
      <c r="L244">
        <v>0</v>
      </c>
      <c r="M244">
        <v>1</v>
      </c>
      <c r="O244" t="s">
        <v>1012</v>
      </c>
      <c r="P244" t="s">
        <v>115</v>
      </c>
      <c r="Q244" t="s">
        <v>1027</v>
      </c>
      <c r="R244" s="7" t="s">
        <v>24</v>
      </c>
      <c r="S244" s="20">
        <v>63.740020000000001</v>
      </c>
      <c r="T244" s="20">
        <v>148.90588</v>
      </c>
      <c r="U244" s="6">
        <v>0</v>
      </c>
      <c r="V244" s="6">
        <v>0</v>
      </c>
      <c r="W244" s="6">
        <v>0</v>
      </c>
      <c r="X244" s="6">
        <v>0</v>
      </c>
      <c r="Y244" s="6">
        <v>0</v>
      </c>
      <c r="Z244">
        <v>0</v>
      </c>
      <c r="AA244">
        <f t="shared" si="3"/>
        <v>0</v>
      </c>
      <c r="AC244" t="s">
        <v>1028</v>
      </c>
    </row>
    <row r="245" spans="1:31" x14ac:dyDescent="0.2">
      <c r="A245" t="s">
        <v>1029</v>
      </c>
      <c r="B245" t="s">
        <v>1030</v>
      </c>
      <c r="C245">
        <v>11</v>
      </c>
      <c r="D245">
        <v>1</v>
      </c>
      <c r="E245" t="s">
        <v>834</v>
      </c>
      <c r="F245" s="1">
        <v>43369</v>
      </c>
      <c r="G245" s="2">
        <v>1.1805555555555555E-2</v>
      </c>
      <c r="H245" t="s">
        <v>398</v>
      </c>
      <c r="I245" t="s">
        <v>466</v>
      </c>
      <c r="J245" s="7" t="s">
        <v>111</v>
      </c>
      <c r="K245" t="s">
        <v>23</v>
      </c>
      <c r="L245">
        <v>0</v>
      </c>
      <c r="M245">
        <v>1</v>
      </c>
      <c r="O245" t="s">
        <v>176</v>
      </c>
      <c r="P245" t="s">
        <v>24</v>
      </c>
      <c r="Q245" t="s">
        <v>1031</v>
      </c>
      <c r="R245" s="7" t="s">
        <v>24</v>
      </c>
      <c r="S245" s="20">
        <v>63.74024</v>
      </c>
      <c r="T245" s="20">
        <v>148.90630999999999</v>
      </c>
      <c r="U245" s="6">
        <v>0</v>
      </c>
      <c r="V245" s="6">
        <v>0</v>
      </c>
      <c r="W245" s="6">
        <v>0</v>
      </c>
      <c r="X245" s="6">
        <v>0</v>
      </c>
      <c r="Y245" s="6">
        <v>0</v>
      </c>
      <c r="Z245">
        <v>0</v>
      </c>
      <c r="AA245">
        <f t="shared" si="3"/>
        <v>0</v>
      </c>
      <c r="AC245" t="s">
        <v>1032</v>
      </c>
    </row>
    <row r="246" spans="1:31" x14ac:dyDescent="0.2">
      <c r="A246" t="s">
        <v>1004</v>
      </c>
      <c r="B246" t="s">
        <v>1005</v>
      </c>
      <c r="C246">
        <v>3</v>
      </c>
      <c r="D246">
        <v>1</v>
      </c>
      <c r="E246" t="s">
        <v>834</v>
      </c>
      <c r="F246" s="1">
        <v>43369</v>
      </c>
      <c r="G246" s="2">
        <v>1.5972222222222224E-2</v>
      </c>
      <c r="H246" t="s">
        <v>398</v>
      </c>
      <c r="I246" t="s">
        <v>466</v>
      </c>
      <c r="J246" s="7" t="s">
        <v>187</v>
      </c>
      <c r="K246" t="s">
        <v>23</v>
      </c>
      <c r="L246">
        <v>1</v>
      </c>
      <c r="M246">
        <v>1</v>
      </c>
      <c r="O246" t="s">
        <v>2128</v>
      </c>
      <c r="P246" t="s">
        <v>122</v>
      </c>
      <c r="Q246" t="s">
        <v>1006</v>
      </c>
      <c r="R246" s="7">
        <v>10</v>
      </c>
      <c r="S246" s="20">
        <v>63.739910000000002</v>
      </c>
      <c r="T246" s="20">
        <v>148.90183999999999</v>
      </c>
      <c r="U246" s="6">
        <v>0</v>
      </c>
      <c r="V246" s="6">
        <v>0</v>
      </c>
      <c r="W246" s="6">
        <v>0</v>
      </c>
      <c r="X246" s="6">
        <v>0</v>
      </c>
      <c r="Y246" s="6">
        <v>8</v>
      </c>
      <c r="Z246">
        <v>0</v>
      </c>
      <c r="AA246">
        <f t="shared" si="3"/>
        <v>8</v>
      </c>
      <c r="AC246" t="s">
        <v>1007</v>
      </c>
    </row>
    <row r="247" spans="1:31" x14ac:dyDescent="0.2">
      <c r="A247" t="s">
        <v>1010</v>
      </c>
      <c r="B247" t="s">
        <v>1011</v>
      </c>
      <c r="C247">
        <v>5</v>
      </c>
      <c r="D247">
        <v>1</v>
      </c>
      <c r="E247" t="s">
        <v>834</v>
      </c>
      <c r="F247" s="1">
        <v>43369</v>
      </c>
      <c r="G247" s="2">
        <v>2.361111111111111E-2</v>
      </c>
      <c r="H247" t="s">
        <v>398</v>
      </c>
      <c r="I247" t="s">
        <v>466</v>
      </c>
      <c r="J247" s="7" t="s">
        <v>187</v>
      </c>
      <c r="K247" t="s">
        <v>23</v>
      </c>
      <c r="L247">
        <v>1</v>
      </c>
      <c r="M247">
        <v>1</v>
      </c>
      <c r="O247" t="s">
        <v>1012</v>
      </c>
      <c r="P247" t="s">
        <v>122</v>
      </c>
      <c r="Q247" t="s">
        <v>1013</v>
      </c>
      <c r="R247" s="7" t="s">
        <v>1014</v>
      </c>
      <c r="S247" s="20">
        <v>63.739980000000003</v>
      </c>
      <c r="T247" s="20">
        <v>148.90302</v>
      </c>
      <c r="U247" s="6">
        <v>0</v>
      </c>
      <c r="V247" s="6">
        <v>0</v>
      </c>
      <c r="W247" s="6">
        <v>0</v>
      </c>
      <c r="X247" s="6">
        <v>0</v>
      </c>
      <c r="Y247" s="6">
        <v>2</v>
      </c>
      <c r="Z247">
        <v>0</v>
      </c>
      <c r="AA247">
        <f t="shared" si="3"/>
        <v>2</v>
      </c>
    </row>
    <row r="248" spans="1:31" x14ac:dyDescent="0.2">
      <c r="A248" t="s">
        <v>1018</v>
      </c>
      <c r="B248" t="s">
        <v>1020</v>
      </c>
      <c r="C248">
        <v>7</v>
      </c>
      <c r="D248">
        <v>1</v>
      </c>
      <c r="E248" t="s">
        <v>834</v>
      </c>
      <c r="F248" s="1">
        <v>43369</v>
      </c>
      <c r="G248" s="2">
        <v>1.1805555555555555E-2</v>
      </c>
      <c r="H248" t="s">
        <v>398</v>
      </c>
      <c r="I248" t="s">
        <v>466</v>
      </c>
      <c r="J248" s="7" t="s">
        <v>111</v>
      </c>
      <c r="K248" t="s">
        <v>23</v>
      </c>
      <c r="L248">
        <v>0</v>
      </c>
      <c r="M248">
        <v>1</v>
      </c>
      <c r="O248" t="s">
        <v>176</v>
      </c>
      <c r="P248" t="s">
        <v>24</v>
      </c>
      <c r="Q248" t="s">
        <v>709</v>
      </c>
      <c r="R248" s="7" t="s">
        <v>24</v>
      </c>
      <c r="S248" s="19">
        <v>63.739550000000001</v>
      </c>
      <c r="T248" s="19">
        <v>148.90470999999999</v>
      </c>
      <c r="U248" s="6">
        <v>0</v>
      </c>
      <c r="V248" s="6">
        <v>0</v>
      </c>
      <c r="W248" s="6">
        <v>0</v>
      </c>
      <c r="X248" s="6">
        <v>0</v>
      </c>
      <c r="Y248" s="6">
        <v>0</v>
      </c>
      <c r="Z248">
        <v>0</v>
      </c>
      <c r="AA248">
        <f t="shared" si="3"/>
        <v>0</v>
      </c>
      <c r="AC248" t="s">
        <v>1021</v>
      </c>
    </row>
    <row r="249" spans="1:31" x14ac:dyDescent="0.2">
      <c r="A249" t="s">
        <v>1024</v>
      </c>
      <c r="B249" t="s">
        <v>1019</v>
      </c>
      <c r="C249">
        <v>9</v>
      </c>
      <c r="D249">
        <v>1</v>
      </c>
      <c r="E249" t="s">
        <v>834</v>
      </c>
      <c r="F249" s="1">
        <v>43369</v>
      </c>
      <c r="G249" s="2">
        <v>3.3333333333333333E-2</v>
      </c>
      <c r="H249" t="s">
        <v>398</v>
      </c>
      <c r="I249" t="s">
        <v>466</v>
      </c>
      <c r="J249" s="7" t="s">
        <v>187</v>
      </c>
      <c r="K249" t="s">
        <v>23</v>
      </c>
      <c r="L249">
        <v>1</v>
      </c>
      <c r="M249">
        <v>1</v>
      </c>
      <c r="O249" t="s">
        <v>1012</v>
      </c>
      <c r="P249" t="s">
        <v>122</v>
      </c>
      <c r="Q249" t="s">
        <v>796</v>
      </c>
      <c r="R249" s="7">
        <v>10</v>
      </c>
      <c r="S249" s="20">
        <v>63.739829999999998</v>
      </c>
      <c r="T249" s="20">
        <v>148.90535</v>
      </c>
      <c r="U249" s="6">
        <v>0</v>
      </c>
      <c r="V249" s="6">
        <v>0</v>
      </c>
      <c r="W249" s="6">
        <v>0</v>
      </c>
      <c r="X249" s="6">
        <v>0</v>
      </c>
      <c r="Y249" s="6">
        <v>0</v>
      </c>
      <c r="Z249">
        <v>0</v>
      </c>
      <c r="AA249">
        <f t="shared" si="3"/>
        <v>0</v>
      </c>
      <c r="AC249" t="s">
        <v>1269</v>
      </c>
    </row>
    <row r="250" spans="1:31" x14ac:dyDescent="0.2">
      <c r="A250" t="s">
        <v>1120</v>
      </c>
      <c r="B250" t="s">
        <v>1121</v>
      </c>
      <c r="C250">
        <v>5</v>
      </c>
      <c r="D250">
        <v>1</v>
      </c>
      <c r="E250" t="s">
        <v>834</v>
      </c>
      <c r="F250" s="1">
        <v>43378</v>
      </c>
      <c r="G250" s="2">
        <v>1.3194444444444444E-2</v>
      </c>
      <c r="H250" t="s">
        <v>397</v>
      </c>
      <c r="I250" s="7" t="s">
        <v>466</v>
      </c>
      <c r="J250" s="7" t="s">
        <v>111</v>
      </c>
      <c r="K250" s="7" t="s">
        <v>23</v>
      </c>
      <c r="L250" s="7">
        <v>1</v>
      </c>
      <c r="M250">
        <v>1</v>
      </c>
      <c r="O250" t="s">
        <v>176</v>
      </c>
      <c r="P250" t="s">
        <v>122</v>
      </c>
      <c r="Q250" t="s">
        <v>263</v>
      </c>
      <c r="R250" t="s">
        <v>24</v>
      </c>
      <c r="S250" s="19">
        <v>63.738579999999999</v>
      </c>
      <c r="T250" s="19">
        <v>148.90271000000001</v>
      </c>
      <c r="U250" s="6">
        <v>0</v>
      </c>
      <c r="V250" s="6">
        <v>0</v>
      </c>
      <c r="W250" s="6">
        <v>0</v>
      </c>
      <c r="X250" s="6">
        <v>0</v>
      </c>
      <c r="Y250" s="6">
        <v>0</v>
      </c>
      <c r="Z250">
        <v>0</v>
      </c>
      <c r="AA250">
        <f t="shared" si="3"/>
        <v>0</v>
      </c>
      <c r="AC250" t="s">
        <v>1122</v>
      </c>
    </row>
    <row r="251" spans="1:31" x14ac:dyDescent="0.2">
      <c r="A251" t="s">
        <v>1120</v>
      </c>
      <c r="B251" t="s">
        <v>1121</v>
      </c>
      <c r="C251">
        <v>5</v>
      </c>
      <c r="D251">
        <v>2</v>
      </c>
      <c r="E251" t="s">
        <v>834</v>
      </c>
      <c r="F251" s="1">
        <v>43378</v>
      </c>
      <c r="G251" s="2">
        <v>1.3194444444444444E-2</v>
      </c>
      <c r="H251" t="s">
        <v>397</v>
      </c>
      <c r="I251" s="7" t="s">
        <v>466</v>
      </c>
      <c r="J251" s="7" t="s">
        <v>111</v>
      </c>
      <c r="K251" s="7" t="s">
        <v>23</v>
      </c>
      <c r="L251" s="7">
        <v>0</v>
      </c>
      <c r="M251">
        <v>1</v>
      </c>
      <c r="O251" t="s">
        <v>176</v>
      </c>
      <c r="P251" t="s">
        <v>122</v>
      </c>
      <c r="Q251" t="s">
        <v>1035</v>
      </c>
      <c r="R251" t="s">
        <v>24</v>
      </c>
      <c r="S251" s="19">
        <v>63.738619999999997</v>
      </c>
      <c r="T251" s="19">
        <v>148.90286</v>
      </c>
      <c r="U251" s="6">
        <v>0</v>
      </c>
      <c r="V251" s="6">
        <v>0</v>
      </c>
      <c r="W251" s="6">
        <v>0</v>
      </c>
      <c r="X251" s="6">
        <v>0</v>
      </c>
      <c r="Y251" s="6">
        <v>0</v>
      </c>
      <c r="Z251">
        <v>0</v>
      </c>
      <c r="AA251">
        <f t="shared" si="3"/>
        <v>0</v>
      </c>
      <c r="AC251" t="s">
        <v>1122</v>
      </c>
    </row>
    <row r="252" spans="1:31" x14ac:dyDescent="0.2">
      <c r="A252" t="s">
        <v>1123</v>
      </c>
      <c r="B252" t="s">
        <v>1124</v>
      </c>
      <c r="C252">
        <v>6</v>
      </c>
      <c r="D252">
        <v>1</v>
      </c>
      <c r="E252" t="s">
        <v>834</v>
      </c>
      <c r="F252" s="1">
        <v>43378</v>
      </c>
      <c r="G252" s="2">
        <v>3.472222222222222E-3</v>
      </c>
      <c r="H252" t="s">
        <v>397</v>
      </c>
      <c r="I252" s="7" t="s">
        <v>466</v>
      </c>
      <c r="J252" s="7" t="s">
        <v>156</v>
      </c>
      <c r="K252" s="7" t="s">
        <v>23</v>
      </c>
      <c r="L252" s="7">
        <v>0</v>
      </c>
      <c r="M252">
        <v>1</v>
      </c>
      <c r="O252" t="s">
        <v>176</v>
      </c>
      <c r="P252" t="s">
        <v>24</v>
      </c>
      <c r="Q252" t="s">
        <v>487</v>
      </c>
      <c r="R252" t="s">
        <v>24</v>
      </c>
      <c r="S252" s="19">
        <v>63.738590000000002</v>
      </c>
      <c r="T252" s="19">
        <v>148.90305000000001</v>
      </c>
      <c r="U252" s="6">
        <v>0</v>
      </c>
      <c r="V252" s="6">
        <v>0</v>
      </c>
      <c r="W252" s="6">
        <v>0</v>
      </c>
      <c r="X252" s="6">
        <v>0</v>
      </c>
      <c r="Y252" s="6">
        <v>2</v>
      </c>
      <c r="Z252">
        <v>0</v>
      </c>
      <c r="AA252">
        <f t="shared" si="3"/>
        <v>2</v>
      </c>
      <c r="AC252" t="s">
        <v>1125</v>
      </c>
    </row>
    <row r="253" spans="1:31" x14ac:dyDescent="0.2">
      <c r="A253" t="s">
        <v>1527</v>
      </c>
      <c r="B253" t="s">
        <v>1528</v>
      </c>
      <c r="C253">
        <v>1</v>
      </c>
      <c r="D253">
        <v>1</v>
      </c>
      <c r="E253" t="s">
        <v>834</v>
      </c>
      <c r="F253" s="1">
        <v>43389</v>
      </c>
      <c r="G253" s="2">
        <v>2.4305555555555556E-2</v>
      </c>
      <c r="H253" t="s">
        <v>398</v>
      </c>
      <c r="I253" s="7" t="s">
        <v>466</v>
      </c>
      <c r="J253" t="s">
        <v>187</v>
      </c>
      <c r="K253" s="7" t="s">
        <v>23</v>
      </c>
      <c r="L253" s="7" t="s">
        <v>24</v>
      </c>
      <c r="M253" s="7">
        <v>1</v>
      </c>
      <c r="O253" t="s">
        <v>176</v>
      </c>
      <c r="P253" s="7" t="s">
        <v>24</v>
      </c>
      <c r="Q253" s="7" t="s">
        <v>1057</v>
      </c>
      <c r="R253" s="7" t="s">
        <v>24</v>
      </c>
      <c r="S253" s="20">
        <v>63.738300000000002</v>
      </c>
      <c r="T253" s="20">
        <v>148.90355</v>
      </c>
      <c r="U253" s="6">
        <v>26</v>
      </c>
      <c r="V253" s="6">
        <v>0</v>
      </c>
      <c r="W253" s="6">
        <v>26</v>
      </c>
      <c r="X253" s="6">
        <v>0</v>
      </c>
      <c r="Y253" s="6">
        <v>0</v>
      </c>
      <c r="Z253">
        <v>0</v>
      </c>
      <c r="AA253">
        <f t="shared" si="3"/>
        <v>26</v>
      </c>
      <c r="AB253" t="s">
        <v>375</v>
      </c>
      <c r="AD253">
        <v>3</v>
      </c>
      <c r="AE253">
        <v>0</v>
      </c>
    </row>
    <row r="254" spans="1:31" x14ac:dyDescent="0.2">
      <c r="A254" t="s">
        <v>1532</v>
      </c>
      <c r="B254" t="s">
        <v>1533</v>
      </c>
      <c r="C254">
        <v>3</v>
      </c>
      <c r="D254">
        <v>1</v>
      </c>
      <c r="E254" t="s">
        <v>834</v>
      </c>
      <c r="F254" s="1">
        <v>43389</v>
      </c>
      <c r="G254" s="2">
        <v>4.8611111111111112E-2</v>
      </c>
      <c r="H254" t="s">
        <v>398</v>
      </c>
      <c r="I254" s="7" t="s">
        <v>466</v>
      </c>
      <c r="J254" t="s">
        <v>187</v>
      </c>
      <c r="K254" s="7" t="s">
        <v>23</v>
      </c>
      <c r="L254" s="7">
        <v>1</v>
      </c>
      <c r="M254" s="7">
        <v>1</v>
      </c>
      <c r="O254" t="s">
        <v>176</v>
      </c>
      <c r="P254" s="7" t="s">
        <v>2094</v>
      </c>
      <c r="Q254" s="7" t="s">
        <v>333</v>
      </c>
      <c r="R254">
        <v>7</v>
      </c>
      <c r="S254" s="20">
        <v>63.738460000000003</v>
      </c>
      <c r="T254" s="20">
        <v>148.90312</v>
      </c>
      <c r="U254" s="6">
        <v>0</v>
      </c>
      <c r="V254" s="6">
        <v>0</v>
      </c>
      <c r="W254" s="6">
        <v>0</v>
      </c>
      <c r="X254" s="6">
        <v>0</v>
      </c>
      <c r="Y254" s="6">
        <v>2</v>
      </c>
      <c r="Z254">
        <v>0</v>
      </c>
      <c r="AA254">
        <f t="shared" si="3"/>
        <v>2</v>
      </c>
      <c r="AC254" t="s">
        <v>1534</v>
      </c>
    </row>
    <row r="255" spans="1:31" x14ac:dyDescent="0.2">
      <c r="A255" t="s">
        <v>1546</v>
      </c>
      <c r="B255" t="s">
        <v>1545</v>
      </c>
      <c r="C255">
        <v>5</v>
      </c>
      <c r="D255">
        <v>1</v>
      </c>
      <c r="E255" t="s">
        <v>834</v>
      </c>
      <c r="F255" s="1">
        <v>43389</v>
      </c>
      <c r="G255" s="2">
        <v>1.1805555555555555E-2</v>
      </c>
      <c r="H255" t="s">
        <v>398</v>
      </c>
      <c r="I255" s="7" t="s">
        <v>466</v>
      </c>
      <c r="J255" t="s">
        <v>111</v>
      </c>
      <c r="K255" s="7" t="s">
        <v>23</v>
      </c>
      <c r="L255" s="7">
        <v>0</v>
      </c>
      <c r="M255" s="7">
        <v>1</v>
      </c>
      <c r="O255" t="s">
        <v>176</v>
      </c>
      <c r="P255" s="7" t="s">
        <v>24</v>
      </c>
      <c r="Q255" s="7" t="s">
        <v>263</v>
      </c>
      <c r="R255" s="7" t="s">
        <v>24</v>
      </c>
      <c r="S255" s="20">
        <v>63.739269999999998</v>
      </c>
      <c r="T255" s="20">
        <v>148.90978000000001</v>
      </c>
      <c r="U255" s="6">
        <v>0</v>
      </c>
      <c r="V255" s="6">
        <v>0</v>
      </c>
      <c r="W255" s="6">
        <v>0</v>
      </c>
      <c r="X255" s="6">
        <v>0</v>
      </c>
      <c r="Y255" s="6">
        <v>0</v>
      </c>
      <c r="Z255">
        <v>0</v>
      </c>
      <c r="AA255">
        <f t="shared" si="3"/>
        <v>0</v>
      </c>
    </row>
    <row r="256" spans="1:31" x14ac:dyDescent="0.2">
      <c r="A256" s="7" t="s">
        <v>576</v>
      </c>
      <c r="B256" s="7" t="s">
        <v>577</v>
      </c>
      <c r="C256" s="7">
        <v>1</v>
      </c>
      <c r="D256" s="7">
        <v>1</v>
      </c>
      <c r="E256" s="7" t="s">
        <v>834</v>
      </c>
      <c r="F256" s="10">
        <v>43355</v>
      </c>
      <c r="G256" s="8">
        <v>3.1944444444444449E-2</v>
      </c>
      <c r="H256" s="7" t="s">
        <v>398</v>
      </c>
      <c r="I256" s="7" t="s">
        <v>578</v>
      </c>
      <c r="J256" s="7" t="s">
        <v>111</v>
      </c>
      <c r="K256" s="7" t="s">
        <v>23</v>
      </c>
      <c r="L256" s="7">
        <v>0</v>
      </c>
      <c r="M256" s="7">
        <v>1</v>
      </c>
      <c r="N256" s="7"/>
      <c r="O256" t="s">
        <v>176</v>
      </c>
      <c r="P256" s="7" t="s">
        <v>24</v>
      </c>
      <c r="Q256" s="7" t="s">
        <v>579</v>
      </c>
      <c r="R256" s="7" t="s">
        <v>176</v>
      </c>
      <c r="S256" s="20">
        <v>63.740139999999997</v>
      </c>
      <c r="T256" s="20">
        <v>148.90387000000001</v>
      </c>
      <c r="U256" s="9">
        <v>0</v>
      </c>
      <c r="V256" s="9">
        <v>0</v>
      </c>
      <c r="W256" s="9">
        <v>0</v>
      </c>
      <c r="X256" s="9">
        <v>0</v>
      </c>
      <c r="Y256" s="9">
        <v>0</v>
      </c>
      <c r="Z256">
        <v>0</v>
      </c>
      <c r="AA256">
        <f t="shared" si="3"/>
        <v>0</v>
      </c>
      <c r="AB256" s="7"/>
      <c r="AC256" s="7" t="s">
        <v>580</v>
      </c>
      <c r="AD256" s="7"/>
      <c r="AE256" s="7"/>
    </row>
    <row r="257" spans="1:31" x14ac:dyDescent="0.2">
      <c r="A257" t="s">
        <v>240</v>
      </c>
      <c r="B257" t="s">
        <v>856</v>
      </c>
      <c r="C257">
        <v>2</v>
      </c>
      <c r="D257">
        <v>1</v>
      </c>
      <c r="E257" t="s">
        <v>834</v>
      </c>
      <c r="F257" s="1">
        <v>43346</v>
      </c>
      <c r="G257" s="2">
        <v>0.29236111111111113</v>
      </c>
      <c r="I257" t="s">
        <v>241</v>
      </c>
      <c r="J257" t="s">
        <v>242</v>
      </c>
      <c r="K257" t="s">
        <v>1071</v>
      </c>
      <c r="L257">
        <v>3</v>
      </c>
      <c r="M257">
        <v>1</v>
      </c>
      <c r="O257" t="s">
        <v>2125</v>
      </c>
      <c r="P257" t="s">
        <v>244</v>
      </c>
      <c r="Q257" t="s">
        <v>2056</v>
      </c>
      <c r="R257" s="18">
        <v>19</v>
      </c>
      <c r="S257" s="19">
        <v>63.74004</v>
      </c>
      <c r="T257" s="19">
        <v>148.90179000000001</v>
      </c>
      <c r="U257">
        <v>0</v>
      </c>
      <c r="V257">
        <v>0</v>
      </c>
      <c r="W257">
        <v>0</v>
      </c>
      <c r="X257">
        <v>0</v>
      </c>
      <c r="Y257">
        <v>0</v>
      </c>
      <c r="Z257">
        <v>0</v>
      </c>
      <c r="AA257">
        <f t="shared" si="3"/>
        <v>0</v>
      </c>
      <c r="AB257" t="s">
        <v>117</v>
      </c>
      <c r="AC257" t="s">
        <v>1072</v>
      </c>
      <c r="AD257">
        <v>0</v>
      </c>
      <c r="AE257">
        <v>0</v>
      </c>
    </row>
    <row r="258" spans="1:31" x14ac:dyDescent="0.2">
      <c r="A258" t="s">
        <v>240</v>
      </c>
      <c r="B258" t="s">
        <v>856</v>
      </c>
      <c r="C258">
        <v>2</v>
      </c>
      <c r="D258">
        <v>2</v>
      </c>
      <c r="E258" t="s">
        <v>834</v>
      </c>
      <c r="F258" s="1">
        <v>43346</v>
      </c>
      <c r="G258" s="2">
        <v>0.29236111111111113</v>
      </c>
      <c r="I258" t="s">
        <v>241</v>
      </c>
      <c r="J258" t="s">
        <v>242</v>
      </c>
      <c r="K258" t="s">
        <v>1071</v>
      </c>
      <c r="L258">
        <v>0</v>
      </c>
      <c r="M258">
        <v>1</v>
      </c>
      <c r="O258" t="s">
        <v>2125</v>
      </c>
      <c r="P258" t="s">
        <v>244</v>
      </c>
      <c r="Q258" t="s">
        <v>2054</v>
      </c>
      <c r="R258" s="18">
        <v>12</v>
      </c>
      <c r="S258" s="19">
        <v>63.740020000000001</v>
      </c>
      <c r="T258" s="19">
        <v>148.90156999999999</v>
      </c>
      <c r="U258">
        <v>0</v>
      </c>
      <c r="V258">
        <v>0</v>
      </c>
      <c r="W258">
        <v>0</v>
      </c>
      <c r="X258">
        <v>0</v>
      </c>
      <c r="Y258">
        <v>0</v>
      </c>
      <c r="Z258">
        <v>0</v>
      </c>
      <c r="AA258">
        <f t="shared" ref="AA258:AA261" si="4">SUM(W258:Z258)</f>
        <v>0</v>
      </c>
      <c r="AC258" t="s">
        <v>1072</v>
      </c>
    </row>
    <row r="259" spans="1:31" x14ac:dyDescent="0.2">
      <c r="A259" t="s">
        <v>240</v>
      </c>
      <c r="B259" t="s">
        <v>856</v>
      </c>
      <c r="C259">
        <v>2</v>
      </c>
      <c r="D259">
        <v>3</v>
      </c>
      <c r="E259" t="s">
        <v>834</v>
      </c>
      <c r="F259" s="1">
        <v>43346</v>
      </c>
      <c r="G259" s="2">
        <v>0.29236111111111113</v>
      </c>
      <c r="I259" t="s">
        <v>241</v>
      </c>
      <c r="J259" t="s">
        <v>242</v>
      </c>
      <c r="K259" t="s">
        <v>1071</v>
      </c>
      <c r="L259">
        <v>0</v>
      </c>
      <c r="M259">
        <v>1</v>
      </c>
      <c r="O259" t="s">
        <v>2125</v>
      </c>
      <c r="P259" t="s">
        <v>244</v>
      </c>
      <c r="Q259" t="s">
        <v>2055</v>
      </c>
      <c r="R259" s="18">
        <v>2</v>
      </c>
      <c r="S259" s="19">
        <v>63.739890000000003</v>
      </c>
      <c r="T259" s="19">
        <v>148.9016</v>
      </c>
      <c r="U259">
        <v>0</v>
      </c>
      <c r="V259">
        <v>0</v>
      </c>
      <c r="W259">
        <v>0</v>
      </c>
      <c r="X259">
        <v>0</v>
      </c>
      <c r="Y259">
        <v>0</v>
      </c>
      <c r="Z259">
        <v>0</v>
      </c>
      <c r="AA259">
        <f t="shared" si="4"/>
        <v>0</v>
      </c>
      <c r="AC259" t="s">
        <v>1072</v>
      </c>
    </row>
    <row r="260" spans="1:31" x14ac:dyDescent="0.2">
      <c r="A260" t="s">
        <v>240</v>
      </c>
      <c r="B260" t="s">
        <v>856</v>
      </c>
      <c r="C260">
        <v>2</v>
      </c>
      <c r="D260">
        <v>4</v>
      </c>
      <c r="E260" t="s">
        <v>834</v>
      </c>
      <c r="F260" s="1">
        <v>43346</v>
      </c>
      <c r="G260" s="2">
        <v>0.29236111111111113</v>
      </c>
      <c r="I260" t="s">
        <v>241</v>
      </c>
      <c r="J260" t="s">
        <v>242</v>
      </c>
      <c r="K260" t="s">
        <v>1071</v>
      </c>
      <c r="L260">
        <v>0</v>
      </c>
      <c r="M260">
        <v>1</v>
      </c>
      <c r="O260" t="s">
        <v>2125</v>
      </c>
      <c r="P260" t="s">
        <v>244</v>
      </c>
      <c r="Q260" t="s">
        <v>796</v>
      </c>
      <c r="R260" s="18">
        <v>29</v>
      </c>
      <c r="S260" s="19">
        <v>63.740119999999997</v>
      </c>
      <c r="T260" s="19">
        <v>148.90125</v>
      </c>
      <c r="U260">
        <v>0</v>
      </c>
      <c r="V260">
        <v>0</v>
      </c>
      <c r="W260">
        <v>0</v>
      </c>
      <c r="X260">
        <v>0</v>
      </c>
      <c r="Y260">
        <v>0</v>
      </c>
      <c r="Z260">
        <v>0</v>
      </c>
      <c r="AA260">
        <f t="shared" si="4"/>
        <v>0</v>
      </c>
      <c r="AC260" t="s">
        <v>1072</v>
      </c>
    </row>
    <row r="261" spans="1:31" x14ac:dyDescent="0.2">
      <c r="A261" t="s">
        <v>248</v>
      </c>
      <c r="B261" t="s">
        <v>858</v>
      </c>
      <c r="C261">
        <v>4</v>
      </c>
      <c r="D261">
        <v>1</v>
      </c>
      <c r="E261" t="s">
        <v>834</v>
      </c>
      <c r="F261" s="1">
        <v>43346</v>
      </c>
      <c r="G261" s="2">
        <v>3.5416666666666666E-2</v>
      </c>
      <c r="I261" t="s">
        <v>241</v>
      </c>
      <c r="J261" t="s">
        <v>107</v>
      </c>
      <c r="K261" t="s">
        <v>23</v>
      </c>
      <c r="L261">
        <v>1</v>
      </c>
      <c r="M261">
        <v>0</v>
      </c>
      <c r="O261" t="s">
        <v>2125</v>
      </c>
      <c r="P261" t="s">
        <v>244</v>
      </c>
      <c r="Q261" t="s">
        <v>115</v>
      </c>
      <c r="R261" t="s">
        <v>176</v>
      </c>
      <c r="S261" s="19">
        <v>63.739890000000003</v>
      </c>
      <c r="T261" s="19">
        <v>148.90158</v>
      </c>
      <c r="U261">
        <v>0</v>
      </c>
      <c r="V261">
        <v>0</v>
      </c>
      <c r="W261">
        <v>0</v>
      </c>
      <c r="X261">
        <v>0</v>
      </c>
      <c r="Y261">
        <v>0</v>
      </c>
      <c r="Z261">
        <v>0</v>
      </c>
      <c r="AA261">
        <f t="shared" si="4"/>
        <v>0</v>
      </c>
      <c r="AB261" t="s">
        <v>117</v>
      </c>
      <c r="AC261" t="s">
        <v>2062</v>
      </c>
      <c r="AD261">
        <v>0</v>
      </c>
      <c r="AE261">
        <v>0</v>
      </c>
    </row>
    <row r="262" spans="1:31" x14ac:dyDescent="0.2">
      <c r="F262" s="1"/>
      <c r="G262" s="2"/>
    </row>
    <row r="263" spans="1:31" x14ac:dyDescent="0.2">
      <c r="F263" s="1"/>
      <c r="S263" s="20"/>
      <c r="T263" s="20"/>
    </row>
    <row r="264" spans="1:31" x14ac:dyDescent="0.2">
      <c r="F264" s="1"/>
      <c r="G264" s="2"/>
      <c r="R264" s="5"/>
      <c r="S264" s="20"/>
      <c r="T264" s="20"/>
    </row>
    <row r="265" spans="1:31" x14ac:dyDescent="0.2">
      <c r="F265" s="1"/>
      <c r="G265" s="2"/>
    </row>
    <row r="266" spans="1:31" x14ac:dyDescent="0.2">
      <c r="F266" s="1"/>
      <c r="G266" s="2"/>
    </row>
    <row r="267" spans="1:31" s="4" customFormat="1" x14ac:dyDescent="0.2">
      <c r="A267"/>
      <c r="B267"/>
      <c r="C267"/>
      <c r="D267"/>
      <c r="E267"/>
      <c r="F267" s="1"/>
      <c r="G267" s="2"/>
      <c r="H267"/>
      <c r="I267"/>
      <c r="J267"/>
      <c r="K267"/>
      <c r="L267"/>
      <c r="M267"/>
      <c r="N267"/>
      <c r="O267"/>
      <c r="P267"/>
      <c r="Q267"/>
      <c r="R267"/>
      <c r="S267" s="19"/>
      <c r="T267" s="19"/>
      <c r="U267"/>
      <c r="V267"/>
      <c r="W267"/>
      <c r="X267"/>
      <c r="Y267"/>
      <c r="Z267"/>
      <c r="AA267"/>
      <c r="AB267"/>
      <c r="AC267"/>
      <c r="AD267"/>
      <c r="AE267"/>
    </row>
    <row r="268" spans="1:31" s="4" customFormat="1" x14ac:dyDescent="0.2">
      <c r="A268"/>
      <c r="B268"/>
      <c r="C268"/>
      <c r="D268"/>
      <c r="E268"/>
      <c r="F268" s="1"/>
      <c r="G268" s="2"/>
      <c r="H268"/>
      <c r="I268"/>
      <c r="J268"/>
      <c r="K268"/>
      <c r="L268"/>
      <c r="M268"/>
      <c r="N268"/>
      <c r="O268"/>
      <c r="P268"/>
      <c r="Q268"/>
      <c r="R268"/>
      <c r="S268" s="19"/>
      <c r="T268" s="19"/>
      <c r="U268"/>
      <c r="V268"/>
      <c r="W268"/>
      <c r="X268"/>
      <c r="Y268"/>
      <c r="Z268"/>
      <c r="AA268"/>
      <c r="AB268"/>
      <c r="AC268"/>
      <c r="AD268"/>
      <c r="AE268"/>
    </row>
    <row r="269" spans="1:31" s="4" customFormat="1" x14ac:dyDescent="0.2">
      <c r="A269"/>
      <c r="B269"/>
      <c r="C269"/>
      <c r="D269"/>
      <c r="E269"/>
      <c r="F269" s="1"/>
      <c r="G269" s="2"/>
      <c r="H269"/>
      <c r="I269"/>
      <c r="J269"/>
      <c r="K269"/>
      <c r="L269"/>
      <c r="M269"/>
      <c r="N269"/>
      <c r="O269"/>
      <c r="P269"/>
      <c r="Q269"/>
      <c r="R269"/>
      <c r="S269" s="20"/>
      <c r="T269" s="20"/>
      <c r="U269"/>
      <c r="V269"/>
      <c r="W269"/>
      <c r="X269"/>
      <c r="Y269"/>
      <c r="Z269"/>
      <c r="AA269"/>
      <c r="AB269"/>
      <c r="AC269"/>
      <c r="AD269"/>
      <c r="AE269"/>
    </row>
    <row r="270" spans="1:31" s="4" customFormat="1" x14ac:dyDescent="0.2">
      <c r="A270"/>
      <c r="B270"/>
      <c r="C270"/>
      <c r="D270"/>
      <c r="E270"/>
      <c r="F270" s="1"/>
      <c r="G270" s="2"/>
      <c r="H270"/>
      <c r="I270"/>
      <c r="J270"/>
      <c r="K270"/>
      <c r="L270"/>
      <c r="M270"/>
      <c r="N270"/>
      <c r="O270"/>
      <c r="P270"/>
      <c r="Q270"/>
      <c r="R270"/>
      <c r="S270" s="20"/>
      <c r="T270" s="20"/>
      <c r="U270"/>
      <c r="V270"/>
      <c r="W270"/>
      <c r="X270"/>
      <c r="Y270"/>
      <c r="Z270"/>
      <c r="AA270"/>
      <c r="AB270"/>
      <c r="AC270"/>
      <c r="AD270"/>
      <c r="AE270"/>
    </row>
    <row r="271" spans="1:31" s="4" customFormat="1" x14ac:dyDescent="0.2">
      <c r="A271"/>
      <c r="B271"/>
      <c r="C271"/>
      <c r="D271"/>
      <c r="E271"/>
      <c r="F271" s="1"/>
      <c r="G271" s="2"/>
      <c r="H271"/>
      <c r="I271"/>
      <c r="J271"/>
      <c r="K271"/>
      <c r="L271"/>
      <c r="M271"/>
      <c r="N271"/>
      <c r="O271"/>
      <c r="P271"/>
      <c r="Q271"/>
      <c r="R271"/>
      <c r="S271" s="19"/>
      <c r="T271" s="19"/>
      <c r="U271"/>
      <c r="V271"/>
      <c r="W271"/>
      <c r="X271"/>
      <c r="Y271"/>
      <c r="Z271"/>
      <c r="AA271"/>
      <c r="AB271"/>
      <c r="AC271"/>
      <c r="AD271"/>
      <c r="AE271"/>
    </row>
    <row r="272" spans="1:31" s="4" customFormat="1" x14ac:dyDescent="0.2">
      <c r="A272"/>
      <c r="B272"/>
      <c r="C272"/>
      <c r="D272"/>
      <c r="E272"/>
      <c r="F272" s="1"/>
      <c r="G272"/>
      <c r="H272"/>
      <c r="I272"/>
      <c r="J272"/>
      <c r="K272"/>
      <c r="L272"/>
      <c r="M272"/>
      <c r="N272"/>
      <c r="O272"/>
      <c r="P272"/>
      <c r="Q272"/>
      <c r="R272"/>
      <c r="S272" s="19"/>
      <c r="T272" s="19"/>
      <c r="U272"/>
      <c r="V272"/>
      <c r="W272"/>
      <c r="X272"/>
      <c r="Y272"/>
      <c r="Z272"/>
      <c r="AA272"/>
      <c r="AB272"/>
      <c r="AC272"/>
      <c r="AD272"/>
      <c r="AE272"/>
    </row>
    <row r="273" spans="1:31" s="4" customFormat="1" x14ac:dyDescent="0.2">
      <c r="A273"/>
      <c r="B273"/>
      <c r="C273"/>
      <c r="D273"/>
      <c r="E273"/>
      <c r="F273" s="1"/>
      <c r="G273" s="2"/>
      <c r="H273"/>
      <c r="I273"/>
      <c r="J273"/>
      <c r="K273"/>
      <c r="L273"/>
      <c r="M273"/>
      <c r="N273"/>
      <c r="O273"/>
      <c r="P273"/>
      <c r="Q273"/>
      <c r="R273"/>
      <c r="S273" s="19"/>
      <c r="T273" s="19"/>
      <c r="U273" s="6"/>
      <c r="V273" s="6"/>
      <c r="W273" s="6"/>
      <c r="X273" s="6"/>
      <c r="Y273" s="6"/>
      <c r="Z273"/>
      <c r="AA273"/>
      <c r="AB273"/>
      <c r="AC273"/>
      <c r="AD273"/>
      <c r="AE273"/>
    </row>
    <row r="274" spans="1:31" s="4" customFormat="1" x14ac:dyDescent="0.2">
      <c r="A274"/>
      <c r="B274"/>
      <c r="C274"/>
      <c r="D274"/>
      <c r="E274"/>
      <c r="F274" s="1"/>
      <c r="G274" s="2"/>
      <c r="H274"/>
      <c r="I274"/>
      <c r="J274"/>
      <c r="K274"/>
      <c r="L274"/>
      <c r="M274"/>
      <c r="N274"/>
      <c r="O274"/>
      <c r="P274"/>
      <c r="Q274"/>
      <c r="R274"/>
      <c r="S274" s="19"/>
      <c r="T274" s="19"/>
      <c r="U274" s="6"/>
      <c r="V274" s="6"/>
      <c r="W274" s="6"/>
      <c r="X274" s="6"/>
      <c r="Y274" s="6"/>
      <c r="Z274"/>
      <c r="AA274"/>
      <c r="AB274"/>
      <c r="AC274"/>
      <c r="AD274"/>
      <c r="AE274"/>
    </row>
    <row r="275" spans="1:31" s="4" customFormat="1" x14ac:dyDescent="0.2">
      <c r="A275" s="7"/>
      <c r="B275" s="7"/>
      <c r="C275" s="7"/>
      <c r="D275" s="7"/>
      <c r="E275" s="7"/>
      <c r="F275" s="10"/>
      <c r="G275" s="8"/>
      <c r="H275" s="7"/>
      <c r="I275" s="7"/>
      <c r="J275" s="7"/>
      <c r="K275" s="7"/>
      <c r="L275" s="7"/>
      <c r="M275" s="7"/>
      <c r="N275" s="7"/>
      <c r="O275"/>
      <c r="P275" s="7"/>
      <c r="Q275" s="7"/>
      <c r="R275" s="7"/>
      <c r="S275" s="20"/>
      <c r="T275" s="20"/>
      <c r="U275" s="9"/>
      <c r="V275" s="9"/>
      <c r="W275" s="9"/>
      <c r="X275" s="9"/>
      <c r="Y275" s="9"/>
      <c r="Z275"/>
      <c r="AA275"/>
      <c r="AB275" s="7"/>
      <c r="AC275" s="7"/>
      <c r="AD275" s="7"/>
      <c r="AE275" s="7"/>
    </row>
    <row r="276" spans="1:31" s="4" customFormat="1" x14ac:dyDescent="0.2">
      <c r="A276" s="7"/>
      <c r="B276" s="7"/>
      <c r="C276" s="7"/>
      <c r="D276" s="7"/>
      <c r="E276"/>
      <c r="F276" s="1"/>
      <c r="G276" s="2"/>
      <c r="H276"/>
      <c r="I276" s="7"/>
      <c r="J276" s="7"/>
      <c r="K276" s="7"/>
      <c r="L276" s="7"/>
      <c r="M276"/>
      <c r="N276"/>
      <c r="O276"/>
      <c r="P276" s="7"/>
      <c r="Q276" s="7"/>
      <c r="R276" s="7"/>
      <c r="S276" s="20"/>
      <c r="T276" s="20"/>
      <c r="U276" s="6"/>
      <c r="V276" s="6"/>
      <c r="W276" s="6"/>
      <c r="X276" s="6"/>
      <c r="Y276" s="6"/>
      <c r="Z276"/>
      <c r="AA276"/>
      <c r="AB276"/>
      <c r="AC276"/>
      <c r="AD276"/>
      <c r="AE276"/>
    </row>
    <row r="277" spans="1:31" s="4" customFormat="1" x14ac:dyDescent="0.2">
      <c r="A277"/>
      <c r="B277"/>
      <c r="C277" s="7"/>
      <c r="D277" s="7"/>
      <c r="E277"/>
      <c r="F277" s="1"/>
      <c r="G277" s="2"/>
      <c r="H277"/>
      <c r="I277" s="7"/>
      <c r="J277" s="7"/>
      <c r="K277" s="7"/>
      <c r="L277" s="7"/>
      <c r="M277" s="7"/>
      <c r="N277" s="7"/>
      <c r="O277"/>
      <c r="P277" s="7"/>
      <c r="Q277" s="7"/>
      <c r="R277" s="7"/>
      <c r="S277" s="20"/>
      <c r="T277" s="20"/>
      <c r="U277" s="6"/>
      <c r="V277" s="6"/>
      <c r="W277" s="6"/>
      <c r="X277" s="6"/>
      <c r="Y277" s="6"/>
      <c r="Z277"/>
      <c r="AA277"/>
      <c r="AB277"/>
      <c r="AC277"/>
      <c r="AD277"/>
      <c r="AE277"/>
    </row>
    <row r="278" spans="1:31" s="4" customFormat="1" x14ac:dyDescent="0.2">
      <c r="A278"/>
      <c r="B278"/>
      <c r="C278"/>
      <c r="D278"/>
      <c r="E278"/>
      <c r="F278" s="1"/>
      <c r="G278" s="2"/>
      <c r="H278"/>
      <c r="I278"/>
      <c r="J278" s="7"/>
      <c r="K278" s="7"/>
      <c r="L278" s="7"/>
      <c r="M278" s="7"/>
      <c r="N278" s="7"/>
      <c r="O278"/>
      <c r="P278" s="7"/>
      <c r="Q278" s="7"/>
      <c r="R278" s="7"/>
      <c r="S278" s="20"/>
      <c r="T278" s="20"/>
      <c r="U278"/>
      <c r="V278"/>
      <c r="W278"/>
      <c r="X278"/>
      <c r="Y278"/>
      <c r="Z278"/>
      <c r="AA278"/>
      <c r="AB278"/>
      <c r="AC278"/>
      <c r="AD278"/>
      <c r="AE278"/>
    </row>
    <row r="279" spans="1:31" s="4" customFormat="1" x14ac:dyDescent="0.2">
      <c r="A279"/>
      <c r="B279"/>
      <c r="C279"/>
      <c r="D279"/>
      <c r="E279"/>
      <c r="F279" s="1"/>
      <c r="G279" s="2"/>
      <c r="H279"/>
      <c r="I279" s="7"/>
      <c r="J279" s="7"/>
      <c r="K279" s="7"/>
      <c r="L279" s="7"/>
      <c r="M279" s="7"/>
      <c r="N279" s="7"/>
      <c r="O279"/>
      <c r="P279" s="7"/>
      <c r="Q279" s="7"/>
      <c r="R279" s="7"/>
      <c r="S279" s="20"/>
      <c r="T279" s="20"/>
      <c r="U279" s="6"/>
      <c r="V279" s="6"/>
      <c r="W279" s="6"/>
      <c r="X279" s="6"/>
      <c r="Y279" s="6"/>
      <c r="Z279"/>
      <c r="AA279"/>
      <c r="AB279"/>
      <c r="AC279"/>
      <c r="AD279"/>
      <c r="AE279"/>
    </row>
    <row r="280" spans="1:31" s="4" customFormat="1" x14ac:dyDescent="0.2">
      <c r="A280"/>
      <c r="B280"/>
      <c r="C280"/>
      <c r="D280"/>
      <c r="E280"/>
      <c r="F280" s="1"/>
      <c r="G280" s="2"/>
      <c r="H280"/>
      <c r="I280" s="7"/>
      <c r="J280" s="7"/>
      <c r="K280" s="7"/>
      <c r="L280" s="7"/>
      <c r="M280" s="7"/>
      <c r="N280"/>
      <c r="O280"/>
      <c r="P280" s="7"/>
      <c r="Q280" s="7"/>
      <c r="R280" s="7"/>
      <c r="S280" s="20"/>
      <c r="T280" s="20"/>
      <c r="U280" s="6"/>
      <c r="V280" s="6"/>
      <c r="W280" s="6"/>
      <c r="X280" s="6"/>
      <c r="Y280" s="6"/>
      <c r="Z280"/>
      <c r="AA280"/>
      <c r="AB280"/>
      <c r="AC280"/>
      <c r="AD280"/>
      <c r="AE280"/>
    </row>
    <row r="281" spans="1:31" s="4" customFormat="1" x14ac:dyDescent="0.2">
      <c r="A281"/>
      <c r="B281"/>
      <c r="C281"/>
      <c r="D281"/>
      <c r="E281"/>
      <c r="F281" s="1"/>
      <c r="G281" s="2"/>
      <c r="H281"/>
      <c r="I281"/>
      <c r="J281"/>
      <c r="K281"/>
      <c r="L281"/>
      <c r="M281"/>
      <c r="N281"/>
      <c r="O281"/>
      <c r="P281"/>
      <c r="Q281"/>
      <c r="R281"/>
      <c r="S281" s="19"/>
      <c r="T281" s="19"/>
      <c r="U281"/>
      <c r="V281"/>
      <c r="W281"/>
      <c r="X281"/>
      <c r="Y281"/>
      <c r="Z281"/>
      <c r="AA281"/>
      <c r="AB281"/>
      <c r="AC281"/>
      <c r="AD281"/>
      <c r="AE281"/>
    </row>
    <row r="282" spans="1:31" s="4" customFormat="1" x14ac:dyDescent="0.2">
      <c r="A282"/>
      <c r="B282"/>
      <c r="C282"/>
      <c r="D282"/>
      <c r="E282"/>
      <c r="F282" s="1"/>
      <c r="G282" s="2"/>
      <c r="H282"/>
      <c r="I282"/>
      <c r="J282"/>
      <c r="K282"/>
      <c r="L282"/>
      <c r="M282"/>
      <c r="N282"/>
      <c r="O282"/>
      <c r="P282"/>
      <c r="Q282"/>
      <c r="R282"/>
      <c r="S282" s="19"/>
      <c r="T282" s="19"/>
      <c r="U282"/>
      <c r="V282"/>
      <c r="W282"/>
      <c r="X282"/>
      <c r="Y282"/>
      <c r="Z282"/>
      <c r="AA282"/>
      <c r="AB282"/>
      <c r="AC282"/>
      <c r="AD282"/>
      <c r="AE282"/>
    </row>
    <row r="283" spans="1:31" s="4" customFormat="1" x14ac:dyDescent="0.2">
      <c r="A283"/>
      <c r="B283"/>
      <c r="C283"/>
      <c r="D283"/>
      <c r="E283"/>
      <c r="F283" s="1"/>
      <c r="G283" s="2"/>
      <c r="H283"/>
      <c r="I283"/>
      <c r="J283"/>
      <c r="K283"/>
      <c r="L283"/>
      <c r="M283"/>
      <c r="N283"/>
      <c r="O283"/>
      <c r="P283"/>
      <c r="Q283"/>
      <c r="R283"/>
      <c r="S283" s="19"/>
      <c r="T283" s="19"/>
      <c r="U283"/>
      <c r="V283"/>
      <c r="W283"/>
      <c r="X283"/>
      <c r="Y283"/>
      <c r="Z283"/>
      <c r="AA283"/>
      <c r="AB283"/>
      <c r="AC283"/>
      <c r="AD283"/>
      <c r="AE283"/>
    </row>
    <row r="284" spans="1:31" s="4" customFormat="1" x14ac:dyDescent="0.2">
      <c r="A284"/>
      <c r="B284"/>
      <c r="C284"/>
      <c r="D284"/>
      <c r="E284"/>
      <c r="F284" s="1"/>
      <c r="G284" s="2"/>
      <c r="H284"/>
      <c r="I284"/>
      <c r="J284"/>
      <c r="K284"/>
      <c r="L284"/>
      <c r="M284"/>
      <c r="N284"/>
      <c r="O284"/>
      <c r="P284"/>
      <c r="Q284"/>
      <c r="R284"/>
      <c r="S284" s="19"/>
      <c r="T284" s="19"/>
      <c r="U284"/>
      <c r="V284"/>
      <c r="W284"/>
      <c r="X284"/>
      <c r="Y284"/>
      <c r="Z284"/>
      <c r="AA284"/>
      <c r="AB284"/>
      <c r="AC284"/>
      <c r="AD284"/>
      <c r="AE284"/>
    </row>
    <row r="285" spans="1:31" s="4" customFormat="1" x14ac:dyDescent="0.2">
      <c r="A285"/>
      <c r="B285"/>
      <c r="C285"/>
      <c r="D285"/>
      <c r="E285"/>
      <c r="F285" s="1"/>
      <c r="G285" s="2"/>
      <c r="H285"/>
      <c r="I285"/>
      <c r="J285"/>
      <c r="K285"/>
      <c r="L285"/>
      <c r="M285"/>
      <c r="N285"/>
      <c r="O285"/>
      <c r="P285"/>
      <c r="Q285"/>
      <c r="R285"/>
      <c r="S285" s="19"/>
      <c r="T285" s="19"/>
      <c r="U285"/>
      <c r="V285"/>
      <c r="W285"/>
      <c r="X285"/>
      <c r="Y285"/>
      <c r="Z285"/>
      <c r="AA285"/>
      <c r="AB285"/>
      <c r="AC285"/>
      <c r="AD285"/>
      <c r="AE285"/>
    </row>
    <row r="286" spans="1:31" s="4" customFormat="1" x14ac:dyDescent="0.2">
      <c r="A286"/>
      <c r="B286"/>
      <c r="C286"/>
      <c r="D286"/>
      <c r="E286"/>
      <c r="F286" s="1"/>
      <c r="G286" s="2"/>
      <c r="H286"/>
      <c r="I286"/>
      <c r="J286"/>
      <c r="K286"/>
      <c r="L286"/>
      <c r="M286"/>
      <c r="N286"/>
      <c r="O286"/>
      <c r="P286"/>
      <c r="Q286"/>
      <c r="R286"/>
      <c r="S286" s="19"/>
      <c r="T286" s="19"/>
      <c r="U286"/>
      <c r="V286"/>
      <c r="W286"/>
      <c r="X286"/>
      <c r="Y286"/>
      <c r="Z286"/>
      <c r="AA286"/>
      <c r="AB286"/>
      <c r="AC286"/>
      <c r="AD286"/>
      <c r="AE286"/>
    </row>
    <row r="287" spans="1:31" s="4" customFormat="1" x14ac:dyDescent="0.2">
      <c r="A287"/>
      <c r="B287"/>
      <c r="C287"/>
      <c r="D287"/>
      <c r="E287"/>
      <c r="F287" s="1"/>
      <c r="G287" s="2"/>
      <c r="H287"/>
      <c r="I287"/>
      <c r="J287"/>
      <c r="K287"/>
      <c r="L287"/>
      <c r="M287"/>
      <c r="N287"/>
      <c r="O287"/>
      <c r="P287"/>
      <c r="Q287"/>
      <c r="R287"/>
      <c r="S287" s="19"/>
      <c r="T287" s="19"/>
      <c r="U287"/>
      <c r="V287"/>
      <c r="W287"/>
      <c r="X287"/>
      <c r="Y287"/>
      <c r="Z287"/>
      <c r="AA287"/>
      <c r="AB287"/>
      <c r="AC287"/>
      <c r="AD287"/>
      <c r="AE287"/>
    </row>
    <row r="288" spans="1:31" s="4" customFormat="1" x14ac:dyDescent="0.2">
      <c r="A288"/>
      <c r="B288"/>
      <c r="C288"/>
      <c r="D288"/>
      <c r="E288"/>
      <c r="F288" s="1"/>
      <c r="G288" s="2"/>
      <c r="H288"/>
      <c r="I288"/>
      <c r="J288" s="7"/>
      <c r="K288"/>
      <c r="L288"/>
      <c r="M288"/>
      <c r="N288"/>
      <c r="O288"/>
      <c r="P288" s="7"/>
      <c r="Q288" s="7"/>
      <c r="R288" s="7"/>
      <c r="S288" s="20"/>
      <c r="T288" s="20"/>
      <c r="U288" s="9"/>
      <c r="V288" s="6"/>
      <c r="W288" s="6"/>
      <c r="X288" s="6"/>
      <c r="Y288" s="6"/>
      <c r="Z288" s="6"/>
      <c r="AA288"/>
      <c r="AB288"/>
      <c r="AC288"/>
      <c r="AD288"/>
      <c r="AE288"/>
    </row>
    <row r="289" spans="1:31" x14ac:dyDescent="0.2">
      <c r="F289" s="1"/>
      <c r="G289" s="2"/>
    </row>
    <row r="290" spans="1:31" s="7" customFormat="1" x14ac:dyDescent="0.2">
      <c r="A290"/>
      <c r="B290"/>
      <c r="C290"/>
      <c r="D290"/>
      <c r="E290"/>
      <c r="F290" s="1"/>
      <c r="G290" s="2"/>
      <c r="H290"/>
      <c r="I290"/>
      <c r="J290"/>
      <c r="K290"/>
      <c r="L290"/>
      <c r="M290"/>
      <c r="N290"/>
      <c r="O290"/>
      <c r="P290"/>
      <c r="Q290"/>
      <c r="R290"/>
      <c r="S290" s="19"/>
      <c r="T290" s="19"/>
      <c r="U290"/>
      <c r="V290"/>
      <c r="W290"/>
      <c r="X290"/>
      <c r="Y290"/>
      <c r="Z290"/>
      <c r="AA290"/>
      <c r="AB290"/>
      <c r="AC290"/>
      <c r="AD290"/>
      <c r="AE290"/>
    </row>
    <row r="291" spans="1:31" s="7" customFormat="1" x14ac:dyDescent="0.2">
      <c r="A291"/>
      <c r="B291"/>
      <c r="C291"/>
      <c r="D291"/>
      <c r="E291"/>
      <c r="F291" s="1"/>
      <c r="G291" s="2"/>
      <c r="H291"/>
      <c r="I291"/>
      <c r="J291"/>
      <c r="K291"/>
      <c r="L291"/>
      <c r="M291"/>
      <c r="N291"/>
      <c r="O291"/>
      <c r="P291"/>
      <c r="Q291"/>
      <c r="R291"/>
      <c r="S291" s="19"/>
      <c r="T291" s="19"/>
      <c r="U291" s="6"/>
      <c r="V291" s="6"/>
      <c r="W291" s="6"/>
      <c r="X291" s="6"/>
      <c r="Y291" s="6"/>
      <c r="Z291"/>
      <c r="AA291"/>
      <c r="AB291"/>
      <c r="AC291"/>
      <c r="AD291"/>
      <c r="AE291"/>
    </row>
    <row r="292" spans="1:31" s="7" customFormat="1" x14ac:dyDescent="0.2">
      <c r="A292"/>
      <c r="B292"/>
      <c r="C292"/>
      <c r="D292"/>
      <c r="E292"/>
      <c r="F292" s="1"/>
      <c r="G292" s="2"/>
      <c r="H292"/>
      <c r="I292"/>
      <c r="J292"/>
      <c r="K292"/>
      <c r="L292"/>
      <c r="M292"/>
      <c r="N292"/>
      <c r="O292"/>
      <c r="P292"/>
      <c r="Q292"/>
      <c r="R292"/>
      <c r="S292" s="19"/>
      <c r="T292" s="19"/>
      <c r="U292" s="6"/>
      <c r="V292" s="6"/>
      <c r="W292" s="6"/>
      <c r="X292" s="6"/>
      <c r="Y292" s="6"/>
      <c r="Z292"/>
      <c r="AA292"/>
      <c r="AB292"/>
      <c r="AC292"/>
      <c r="AD292"/>
      <c r="AE292"/>
    </row>
    <row r="293" spans="1:31" s="7" customFormat="1" x14ac:dyDescent="0.2">
      <c r="A293"/>
      <c r="B293"/>
      <c r="C293"/>
      <c r="D293"/>
      <c r="E293"/>
      <c r="F293" s="1"/>
      <c r="G293" s="2"/>
      <c r="H293"/>
      <c r="I293"/>
      <c r="J293"/>
      <c r="K293"/>
      <c r="L293"/>
      <c r="M293"/>
      <c r="N293"/>
      <c r="O293"/>
      <c r="P293"/>
      <c r="Q293"/>
      <c r="R293"/>
      <c r="S293" s="19"/>
      <c r="T293" s="19"/>
      <c r="U293" s="6"/>
      <c r="V293" s="6"/>
      <c r="W293" s="6"/>
      <c r="X293" s="6"/>
      <c r="Y293" s="6"/>
      <c r="Z293"/>
      <c r="AA293"/>
      <c r="AB293"/>
      <c r="AC293"/>
      <c r="AD293"/>
      <c r="AE293"/>
    </row>
    <row r="294" spans="1:31" x14ac:dyDescent="0.2">
      <c r="F294" s="1"/>
      <c r="G294" s="2"/>
      <c r="U294" s="6"/>
      <c r="V294" s="6"/>
      <c r="W294" s="6"/>
      <c r="X294" s="6"/>
      <c r="Y294" s="6"/>
    </row>
    <row r="295" spans="1:31" x14ac:dyDescent="0.2">
      <c r="F295" s="1"/>
      <c r="G295" s="2"/>
      <c r="J295" s="7"/>
      <c r="K295" s="7"/>
      <c r="S295" s="20"/>
      <c r="T295" s="20"/>
      <c r="U295" s="6"/>
      <c r="V295" s="6"/>
      <c r="W295" s="6"/>
      <c r="X295" s="6"/>
      <c r="Y295" s="6"/>
    </row>
    <row r="296" spans="1:31" x14ac:dyDescent="0.2">
      <c r="F296" s="1"/>
      <c r="G296" s="2"/>
      <c r="I296" s="7"/>
      <c r="J296" s="7"/>
      <c r="K296" s="7"/>
      <c r="M296" s="7"/>
      <c r="N296" s="7"/>
      <c r="O296" s="7"/>
      <c r="P296" s="7"/>
      <c r="Q296" s="7"/>
      <c r="R296" s="7"/>
      <c r="S296" s="20"/>
      <c r="T296" s="20"/>
      <c r="U296" s="6"/>
      <c r="V296" s="6"/>
      <c r="W296" s="6"/>
      <c r="X296" s="6"/>
      <c r="Y296" s="6"/>
    </row>
    <row r="297" spans="1:31" x14ac:dyDescent="0.2">
      <c r="F297" s="1"/>
      <c r="G297" s="2"/>
      <c r="I297" s="7"/>
      <c r="J297" s="7"/>
      <c r="K297" s="7"/>
      <c r="L297" s="7"/>
      <c r="P297" s="7"/>
      <c r="Q297" s="7"/>
      <c r="R297" s="7"/>
      <c r="S297" s="20"/>
      <c r="T297" s="20"/>
      <c r="U297" s="6"/>
      <c r="V297" s="6"/>
      <c r="W297" s="6"/>
      <c r="X297" s="6"/>
      <c r="Y297" s="6"/>
      <c r="Z297" s="6"/>
    </row>
    <row r="298" spans="1:31" x14ac:dyDescent="0.2">
      <c r="F298" s="1"/>
      <c r="G298" s="2"/>
      <c r="I298" s="7"/>
      <c r="J298" s="7"/>
      <c r="K298" s="7"/>
      <c r="L298" s="7"/>
      <c r="P298" s="7"/>
      <c r="Q298" s="7"/>
      <c r="R298" s="7"/>
      <c r="S298" s="20"/>
      <c r="T298" s="20"/>
      <c r="U298" s="6"/>
      <c r="V298" s="6"/>
      <c r="W298" s="6"/>
      <c r="X298" s="6"/>
      <c r="Y298" s="6"/>
      <c r="Z298" s="6"/>
    </row>
    <row r="299" spans="1:31" x14ac:dyDescent="0.2">
      <c r="F299" s="1"/>
      <c r="G299" s="2"/>
      <c r="I299" s="7"/>
      <c r="J299" s="7"/>
      <c r="K299" s="7"/>
      <c r="L299" s="7"/>
      <c r="P299" s="7"/>
      <c r="Q299" s="7"/>
      <c r="R299" s="7"/>
      <c r="S299" s="20"/>
      <c r="T299" s="20"/>
      <c r="U299" s="7"/>
      <c r="V299" s="6"/>
      <c r="W299" s="6"/>
      <c r="X299" s="6"/>
      <c r="Y299" s="6"/>
      <c r="Z299" s="6"/>
    </row>
    <row r="300" spans="1:31" x14ac:dyDescent="0.2">
      <c r="F300" s="1"/>
      <c r="G300" s="2"/>
      <c r="I300" s="7"/>
      <c r="J300" s="7"/>
      <c r="K300" s="7"/>
      <c r="L300" s="7"/>
      <c r="P300" s="7"/>
      <c r="Q300" s="7"/>
      <c r="R300" s="7"/>
      <c r="S300" s="20"/>
      <c r="T300" s="20"/>
      <c r="U300" s="6"/>
      <c r="V300" s="6"/>
      <c r="W300" s="6"/>
      <c r="X300" s="6"/>
      <c r="Y300" s="6"/>
      <c r="Z300" s="6"/>
    </row>
    <row r="301" spans="1:31" ht="17" customHeight="1" x14ac:dyDescent="0.2">
      <c r="F301" s="1"/>
      <c r="G301" s="2"/>
      <c r="I301" s="7"/>
      <c r="J301" s="7"/>
      <c r="K301" s="7"/>
      <c r="L301" s="7"/>
      <c r="P301" s="7"/>
      <c r="Q301" s="7"/>
      <c r="R301" s="7"/>
      <c r="S301" s="20"/>
      <c r="T301" s="20"/>
      <c r="U301" s="7"/>
      <c r="V301" s="6"/>
      <c r="W301" s="6"/>
      <c r="X301" s="6"/>
      <c r="Y301" s="6"/>
      <c r="Z301" s="6"/>
    </row>
    <row r="302" spans="1:31" ht="15" customHeight="1" x14ac:dyDescent="0.2">
      <c r="F302" s="1"/>
      <c r="G302" s="2"/>
    </row>
    <row r="303" spans="1:31" x14ac:dyDescent="0.2">
      <c r="F303" s="1"/>
      <c r="G303" s="2"/>
    </row>
    <row r="304" spans="1:31" x14ac:dyDescent="0.2">
      <c r="F304" s="1"/>
      <c r="G304" s="2"/>
    </row>
    <row r="305" spans="1:31" x14ac:dyDescent="0.2">
      <c r="A305" s="4"/>
      <c r="B305" s="4"/>
      <c r="C305" s="4"/>
      <c r="D305" s="4"/>
      <c r="E305" s="4"/>
      <c r="F305" s="13"/>
      <c r="G305" s="14"/>
      <c r="H305" s="4"/>
      <c r="I305" s="4"/>
      <c r="J305" s="4"/>
      <c r="K305" s="4"/>
      <c r="L305" s="4"/>
      <c r="M305" s="4"/>
      <c r="N305" s="4"/>
      <c r="P305" s="4"/>
      <c r="Q305" s="4"/>
      <c r="R305" s="4"/>
      <c r="S305" s="21"/>
      <c r="T305" s="21"/>
      <c r="U305" s="15"/>
      <c r="V305" s="15"/>
      <c r="W305" s="15"/>
      <c r="X305" s="15"/>
      <c r="Y305" s="15"/>
      <c r="AB305" s="4"/>
      <c r="AC305" s="4"/>
      <c r="AD305" s="4"/>
      <c r="AE305" s="4"/>
    </row>
    <row r="306" spans="1:31" x14ac:dyDescent="0.2">
      <c r="A306" s="4"/>
      <c r="B306" s="4"/>
      <c r="C306" s="4"/>
      <c r="D306" s="4"/>
      <c r="E306" s="4"/>
      <c r="F306" s="13"/>
      <c r="G306" s="14"/>
      <c r="H306" s="4"/>
      <c r="I306" s="4"/>
      <c r="J306" s="4"/>
      <c r="K306" s="4"/>
      <c r="L306" s="4"/>
      <c r="M306" s="4"/>
      <c r="N306" s="4"/>
      <c r="P306" s="4"/>
      <c r="Q306" s="4"/>
      <c r="R306" s="4"/>
      <c r="S306" s="21"/>
      <c r="T306" s="21"/>
      <c r="U306" s="15"/>
      <c r="V306" s="15"/>
      <c r="W306" s="15"/>
      <c r="X306" s="15"/>
      <c r="Y306" s="15"/>
      <c r="AB306" s="4"/>
      <c r="AC306" s="4"/>
      <c r="AD306" s="4"/>
      <c r="AE306" s="4"/>
    </row>
    <row r="307" spans="1:31" x14ac:dyDescent="0.2">
      <c r="A307" s="4"/>
      <c r="B307" s="4"/>
      <c r="C307" s="4"/>
      <c r="D307" s="4"/>
      <c r="E307" s="4"/>
      <c r="F307" s="13"/>
      <c r="G307" s="14"/>
      <c r="H307" s="4"/>
      <c r="I307" s="4"/>
      <c r="J307" s="4"/>
      <c r="K307" s="4"/>
      <c r="L307" s="4"/>
      <c r="M307" s="4"/>
      <c r="N307" s="4"/>
      <c r="P307" s="4"/>
      <c r="Q307" s="4"/>
      <c r="R307" s="4"/>
      <c r="S307" s="21"/>
      <c r="T307" s="21"/>
      <c r="U307" s="15"/>
      <c r="V307" s="15"/>
      <c r="W307" s="15"/>
      <c r="X307" s="15"/>
      <c r="Y307" s="15"/>
      <c r="AB307" s="4"/>
      <c r="AC307" s="4"/>
      <c r="AD307" s="4"/>
      <c r="AE307" s="4"/>
    </row>
    <row r="308" spans="1:31" x14ac:dyDescent="0.2">
      <c r="A308" s="4"/>
      <c r="B308" s="4"/>
      <c r="C308" s="4"/>
      <c r="D308" s="4"/>
      <c r="E308" s="4"/>
      <c r="F308" s="13"/>
      <c r="G308" s="14"/>
      <c r="H308" s="4"/>
      <c r="I308" s="4"/>
      <c r="J308" s="4"/>
      <c r="K308" s="4"/>
      <c r="L308" s="4"/>
      <c r="M308" s="4"/>
      <c r="N308" s="4"/>
      <c r="P308" s="4"/>
      <c r="Q308" s="4"/>
      <c r="R308" s="4"/>
      <c r="S308" s="21"/>
      <c r="T308" s="21"/>
      <c r="U308" s="15"/>
      <c r="V308" s="15"/>
      <c r="W308" s="15"/>
      <c r="X308" s="15"/>
      <c r="Y308" s="15"/>
      <c r="AB308" s="4"/>
      <c r="AC308" s="4"/>
      <c r="AD308" s="4"/>
      <c r="AE308" s="4"/>
    </row>
    <row r="309" spans="1:31" x14ac:dyDescent="0.2">
      <c r="A309" s="4"/>
      <c r="B309" s="4"/>
      <c r="C309" s="4"/>
      <c r="D309" s="4"/>
      <c r="E309" s="4"/>
      <c r="F309" s="13"/>
      <c r="G309" s="14"/>
      <c r="H309" s="4"/>
      <c r="I309" s="4"/>
      <c r="J309" s="4"/>
      <c r="K309" s="4"/>
      <c r="L309" s="4"/>
      <c r="M309" s="4"/>
      <c r="N309" s="4"/>
      <c r="P309" s="4"/>
      <c r="Q309" s="4"/>
      <c r="R309" s="4"/>
      <c r="S309" s="21"/>
      <c r="T309" s="21"/>
      <c r="U309" s="15"/>
      <c r="V309" s="15"/>
      <c r="W309" s="15"/>
      <c r="X309" s="15"/>
      <c r="Y309" s="15"/>
      <c r="AB309" s="4"/>
      <c r="AC309" s="4"/>
      <c r="AD309" s="4"/>
      <c r="AE309" s="4"/>
    </row>
    <row r="310" spans="1:31" ht="16" customHeight="1" x14ac:dyDescent="0.2">
      <c r="A310" s="4"/>
      <c r="B310" s="4"/>
      <c r="C310" s="4"/>
      <c r="D310" s="4"/>
      <c r="E310" s="4"/>
      <c r="F310" s="13"/>
      <c r="G310" s="14"/>
      <c r="H310" s="4"/>
      <c r="I310" s="4"/>
      <c r="J310" s="4"/>
      <c r="K310" s="4"/>
      <c r="L310" s="4"/>
      <c r="M310" s="4"/>
      <c r="N310" s="4"/>
      <c r="P310" s="4"/>
      <c r="Q310" s="4"/>
      <c r="R310" s="4"/>
      <c r="S310" s="21"/>
      <c r="T310" s="21"/>
      <c r="U310" s="15"/>
      <c r="V310" s="15"/>
      <c r="W310" s="15"/>
      <c r="X310" s="15"/>
      <c r="Y310" s="15"/>
      <c r="AB310" s="4"/>
      <c r="AC310" s="4"/>
      <c r="AD310" s="4"/>
      <c r="AE310" s="4"/>
    </row>
    <row r="311" spans="1:31" x14ac:dyDescent="0.2">
      <c r="F311" s="1"/>
      <c r="G311" s="2"/>
      <c r="J311" s="7"/>
      <c r="K311" s="7"/>
      <c r="L311" s="7"/>
      <c r="Q311" s="7"/>
      <c r="R311" s="7"/>
      <c r="S311" s="20"/>
      <c r="T311" s="20"/>
      <c r="U311" s="6"/>
      <c r="V311" s="6"/>
      <c r="W311" s="6"/>
      <c r="X311" s="6"/>
      <c r="Y311" s="6"/>
    </row>
    <row r="312" spans="1:31" x14ac:dyDescent="0.2">
      <c r="F312" s="1"/>
      <c r="G312" s="2"/>
      <c r="J312" s="7"/>
      <c r="K312" s="7"/>
      <c r="L312" s="7"/>
      <c r="Q312" s="7"/>
      <c r="R312" s="7"/>
      <c r="S312" s="20"/>
      <c r="T312" s="20"/>
      <c r="U312" s="6"/>
      <c r="V312" s="6"/>
      <c r="W312" s="6"/>
      <c r="X312" s="6"/>
      <c r="Y312" s="6"/>
    </row>
    <row r="313" spans="1:31" x14ac:dyDescent="0.2">
      <c r="F313" s="1"/>
      <c r="G313" s="2"/>
      <c r="J313" s="7"/>
      <c r="L313" s="7"/>
      <c r="Q313" s="7"/>
      <c r="R313" s="7"/>
      <c r="S313" s="20"/>
      <c r="T313" s="20"/>
      <c r="U313" s="6"/>
      <c r="V313" s="6"/>
      <c r="W313" s="6"/>
      <c r="X313" s="6"/>
      <c r="Y313" s="6"/>
    </row>
    <row r="314" spans="1:31" x14ac:dyDescent="0.2">
      <c r="F314" s="1"/>
      <c r="G314" s="2"/>
      <c r="I314" s="7"/>
      <c r="J314" s="7"/>
      <c r="K314" s="7"/>
      <c r="M314" s="7"/>
      <c r="P314" s="7"/>
      <c r="Q314" s="7"/>
      <c r="R314" s="7"/>
      <c r="S314" s="20"/>
      <c r="T314" s="20"/>
      <c r="U314" s="6"/>
      <c r="V314" s="6"/>
      <c r="W314" s="6"/>
      <c r="X314" s="6"/>
      <c r="Y314" s="6"/>
    </row>
    <row r="315" spans="1:31" x14ac:dyDescent="0.2">
      <c r="F315" s="1"/>
      <c r="G315" s="2"/>
      <c r="I315" s="7"/>
      <c r="J315" s="7"/>
      <c r="K315" s="7"/>
      <c r="M315" s="7"/>
      <c r="P315" s="7"/>
      <c r="Q315" s="7"/>
      <c r="R315" s="7"/>
      <c r="S315" s="20"/>
      <c r="T315" s="20"/>
      <c r="U315" s="6"/>
      <c r="V315" s="6"/>
      <c r="W315" s="6"/>
      <c r="X315" s="6"/>
      <c r="Y315" s="6"/>
    </row>
    <row r="316" spans="1:31" x14ac:dyDescent="0.2">
      <c r="F316" s="1"/>
      <c r="G316" s="2"/>
      <c r="I316" s="7"/>
      <c r="J316" s="7"/>
      <c r="M316" s="7"/>
      <c r="P316" s="7"/>
      <c r="Q316" s="7"/>
      <c r="R316" s="7"/>
      <c r="S316" s="20"/>
      <c r="T316" s="20"/>
      <c r="U316" s="6"/>
      <c r="V316" s="6"/>
      <c r="W316" s="6"/>
      <c r="X316" s="6"/>
      <c r="Y316" s="6"/>
    </row>
    <row r="317" spans="1:31" x14ac:dyDescent="0.2">
      <c r="F317" s="1"/>
      <c r="G317" s="2"/>
      <c r="I317" s="7"/>
      <c r="J317" s="7"/>
      <c r="M317" s="7"/>
      <c r="P317" s="7"/>
      <c r="Q317" s="7"/>
      <c r="R317" s="7"/>
      <c r="S317" s="20"/>
      <c r="T317" s="20"/>
      <c r="U317" s="6"/>
      <c r="V317" s="6"/>
      <c r="W317" s="6"/>
      <c r="X317" s="6"/>
      <c r="Y317" s="6"/>
    </row>
    <row r="318" spans="1:31" x14ac:dyDescent="0.2">
      <c r="F318" s="1"/>
      <c r="G318" s="2"/>
      <c r="I318" s="7"/>
      <c r="J318" s="7"/>
      <c r="M318" s="7"/>
      <c r="P318" s="7"/>
      <c r="Q318" s="7"/>
      <c r="R318" s="7"/>
      <c r="S318" s="20"/>
      <c r="T318" s="20"/>
      <c r="U318" s="6"/>
      <c r="V318" s="6"/>
      <c r="W318" s="6"/>
      <c r="X318" s="6"/>
      <c r="Y318" s="6"/>
    </row>
    <row r="319" spans="1:31" x14ac:dyDescent="0.2">
      <c r="F319" s="1"/>
      <c r="G319" s="2"/>
      <c r="I319" s="7"/>
      <c r="J319" s="7"/>
      <c r="M319" s="7"/>
      <c r="P319" s="7"/>
      <c r="Q319" s="7"/>
      <c r="R319" s="7"/>
      <c r="S319" s="20"/>
      <c r="T319" s="20"/>
      <c r="U319" s="6"/>
      <c r="V319" s="6"/>
      <c r="W319" s="6"/>
      <c r="X319" s="6"/>
      <c r="Y319" s="2"/>
    </row>
    <row r="320" spans="1:31" x14ac:dyDescent="0.2">
      <c r="F320" s="1"/>
      <c r="G320" s="2"/>
      <c r="I320" s="7"/>
      <c r="J320" s="7"/>
      <c r="M320" s="7"/>
      <c r="P320" s="7"/>
      <c r="Q320" s="7"/>
      <c r="R320" s="7"/>
      <c r="S320" s="20"/>
      <c r="T320" s="20"/>
      <c r="U320" s="6"/>
      <c r="V320" s="6"/>
      <c r="W320" s="6"/>
      <c r="X320" s="6"/>
      <c r="Y320" s="6"/>
    </row>
    <row r="321" spans="6:25" x14ac:dyDescent="0.2">
      <c r="F321" s="1"/>
      <c r="G321" s="2"/>
      <c r="I321" s="7"/>
      <c r="J321" s="7"/>
      <c r="M321" s="7"/>
      <c r="P321" s="7"/>
      <c r="Q321" s="7"/>
      <c r="R321" s="7"/>
      <c r="S321" s="20"/>
      <c r="T321" s="20"/>
      <c r="U321" s="6"/>
      <c r="V321" s="6"/>
      <c r="W321" s="6"/>
      <c r="X321" s="6"/>
      <c r="Y321" s="6"/>
    </row>
    <row r="322" spans="6:25" x14ac:dyDescent="0.2">
      <c r="F322" s="1"/>
      <c r="G322" s="2"/>
      <c r="I322" s="7"/>
      <c r="J322" s="7"/>
      <c r="M322" s="7"/>
      <c r="P322" s="7"/>
      <c r="Q322" s="7"/>
      <c r="R322" s="7"/>
      <c r="S322" s="20"/>
      <c r="T322" s="20"/>
      <c r="U322" s="6"/>
      <c r="V322" s="6"/>
      <c r="W322" s="6"/>
      <c r="X322" s="6"/>
      <c r="Y322" s="6"/>
    </row>
    <row r="323" spans="6:25" x14ac:dyDescent="0.2">
      <c r="F323" s="1"/>
      <c r="G323" s="2"/>
      <c r="I323" s="7"/>
      <c r="J323" s="7"/>
      <c r="M323" s="7"/>
      <c r="P323" s="7"/>
      <c r="Q323" s="7"/>
      <c r="R323" s="7"/>
      <c r="S323" s="20"/>
      <c r="T323" s="20"/>
      <c r="U323" s="6"/>
      <c r="V323" s="6"/>
      <c r="W323" s="6"/>
      <c r="X323" s="6"/>
      <c r="Y323" s="6"/>
    </row>
    <row r="324" spans="6:25" x14ac:dyDescent="0.2">
      <c r="F324" s="1"/>
      <c r="G324" s="2"/>
      <c r="I324" s="7"/>
      <c r="J324" s="7"/>
      <c r="M324" s="7"/>
      <c r="P324" s="7"/>
      <c r="Q324" s="7"/>
      <c r="R324" s="7"/>
      <c r="S324" s="20"/>
      <c r="T324" s="20"/>
      <c r="U324" s="6"/>
      <c r="V324" s="6"/>
      <c r="W324" s="6"/>
      <c r="X324" s="6"/>
      <c r="Y324" s="6"/>
    </row>
    <row r="325" spans="6:25" x14ac:dyDescent="0.2">
      <c r="F325" s="1"/>
      <c r="G325" s="2"/>
      <c r="I325" s="7"/>
      <c r="J325" s="7"/>
      <c r="M325" s="7"/>
      <c r="P325" s="7"/>
      <c r="Q325" s="7"/>
      <c r="R325" s="7"/>
      <c r="S325" s="20"/>
      <c r="T325" s="20"/>
      <c r="U325" s="6"/>
      <c r="V325" s="6"/>
      <c r="W325" s="6"/>
      <c r="X325" s="6"/>
      <c r="Y325" s="6"/>
    </row>
    <row r="326" spans="6:25" x14ac:dyDescent="0.2">
      <c r="F326" s="1"/>
      <c r="G326" s="2"/>
      <c r="I326" s="7"/>
      <c r="J326" s="7"/>
      <c r="M326" s="7"/>
      <c r="P326" s="7"/>
      <c r="Q326" s="7"/>
      <c r="R326" s="7"/>
      <c r="S326" s="20"/>
      <c r="T326" s="20"/>
      <c r="U326" s="6"/>
      <c r="V326" s="6"/>
      <c r="W326" s="6"/>
      <c r="X326" s="6"/>
      <c r="Y326" s="6"/>
    </row>
    <row r="327" spans="6:25" x14ac:dyDescent="0.2">
      <c r="F327" s="1"/>
      <c r="G327" s="2"/>
      <c r="I327" s="7"/>
      <c r="J327" s="7"/>
      <c r="M327" s="7"/>
      <c r="P327" s="7"/>
      <c r="Q327" s="7"/>
      <c r="R327" s="7"/>
      <c r="S327" s="20"/>
      <c r="T327" s="20"/>
      <c r="U327" s="6"/>
      <c r="V327" s="6"/>
      <c r="W327" s="6"/>
      <c r="X327" s="6"/>
      <c r="Y327" s="6"/>
    </row>
    <row r="328" spans="6:25" x14ac:dyDescent="0.2">
      <c r="F328" s="1"/>
      <c r="G328" s="2"/>
      <c r="I328" s="7"/>
      <c r="J328" s="7"/>
      <c r="M328" s="7"/>
      <c r="P328" s="7"/>
      <c r="Q328" s="7"/>
      <c r="R328" s="7"/>
      <c r="S328" s="20"/>
      <c r="T328" s="20"/>
      <c r="U328" s="6"/>
      <c r="V328" s="6"/>
      <c r="W328" s="6"/>
      <c r="X328" s="6"/>
      <c r="Y328" s="6"/>
    </row>
    <row r="329" spans="6:25" x14ac:dyDescent="0.2">
      <c r="F329" s="1"/>
      <c r="G329" s="2"/>
      <c r="I329" s="7"/>
      <c r="J329" s="7"/>
      <c r="M329" s="7"/>
      <c r="P329" s="7"/>
      <c r="Q329" s="7"/>
      <c r="R329" s="7"/>
      <c r="S329" s="20"/>
      <c r="T329" s="20"/>
      <c r="U329" s="6"/>
      <c r="V329" s="6"/>
      <c r="W329" s="6"/>
      <c r="X329" s="6"/>
      <c r="Y329" s="6"/>
    </row>
    <row r="330" spans="6:25" x14ac:dyDescent="0.2">
      <c r="F330" s="1"/>
      <c r="G330" s="2"/>
      <c r="I330" s="7"/>
      <c r="J330" s="7"/>
      <c r="M330" s="7"/>
      <c r="P330" s="7"/>
      <c r="Q330" s="7"/>
      <c r="R330" s="7"/>
      <c r="S330" s="20"/>
      <c r="T330" s="20"/>
      <c r="U330" s="6"/>
      <c r="V330" s="6"/>
      <c r="W330" s="6"/>
      <c r="X330" s="6"/>
      <c r="Y330" s="6"/>
    </row>
    <row r="331" spans="6:25" x14ac:dyDescent="0.2">
      <c r="F331" s="1"/>
      <c r="G331" s="2"/>
      <c r="I331" s="7"/>
      <c r="J331" s="7"/>
      <c r="M331" s="7"/>
      <c r="P331" s="7"/>
      <c r="Q331" s="7"/>
      <c r="R331" s="7"/>
      <c r="S331" s="20"/>
      <c r="T331" s="20"/>
      <c r="U331" s="6"/>
      <c r="V331" s="6"/>
      <c r="W331" s="6"/>
      <c r="X331" s="6"/>
      <c r="Y331" s="6"/>
    </row>
    <row r="332" spans="6:25" x14ac:dyDescent="0.2">
      <c r="F332" s="1"/>
      <c r="G332" s="2"/>
      <c r="I332" s="7"/>
      <c r="J332" s="7"/>
      <c r="M332" s="7"/>
      <c r="P332" s="7"/>
      <c r="Q332" s="7"/>
      <c r="R332" s="7"/>
      <c r="S332" s="20"/>
      <c r="T332" s="20"/>
      <c r="U332" s="6"/>
      <c r="V332" s="6"/>
      <c r="W332" s="6"/>
      <c r="X332" s="6"/>
      <c r="Y332" s="6"/>
    </row>
    <row r="333" spans="6:25" x14ac:dyDescent="0.2">
      <c r="F333" s="1"/>
      <c r="G333" s="2"/>
      <c r="I333" s="7"/>
      <c r="J333" s="7"/>
      <c r="M333" s="7"/>
      <c r="P333" s="7"/>
      <c r="Q333" s="7"/>
      <c r="R333" s="7"/>
      <c r="S333" s="20"/>
      <c r="T333" s="20"/>
      <c r="U333" s="6"/>
      <c r="V333" s="6"/>
      <c r="W333" s="6"/>
      <c r="X333" s="6"/>
      <c r="Y333" s="6"/>
    </row>
    <row r="334" spans="6:25" x14ac:dyDescent="0.2">
      <c r="F334" s="1"/>
      <c r="G334" s="2"/>
      <c r="I334" s="7"/>
      <c r="J334" s="7"/>
      <c r="M334" s="7"/>
      <c r="P334" s="7"/>
      <c r="Q334" s="7"/>
      <c r="R334" s="7"/>
      <c r="S334" s="20"/>
      <c r="T334" s="20"/>
      <c r="U334" s="6"/>
      <c r="V334" s="6"/>
      <c r="W334" s="6"/>
      <c r="X334" s="6"/>
      <c r="Y334" s="6"/>
    </row>
    <row r="335" spans="6:25" x14ac:dyDescent="0.2">
      <c r="F335" s="1"/>
      <c r="G335" s="2"/>
      <c r="I335" s="7"/>
      <c r="J335" s="7"/>
      <c r="M335" s="7"/>
      <c r="P335" s="7"/>
      <c r="Q335" s="7"/>
      <c r="R335" s="7"/>
      <c r="S335" s="20"/>
      <c r="T335" s="20"/>
      <c r="U335" s="6"/>
      <c r="V335" s="6"/>
      <c r="W335" s="6"/>
      <c r="X335" s="6"/>
      <c r="Y335" s="6"/>
    </row>
    <row r="336" spans="6:25" x14ac:dyDescent="0.2">
      <c r="F336" s="1"/>
      <c r="G336" s="2"/>
      <c r="I336" s="7"/>
      <c r="J336" s="7"/>
      <c r="M336" s="7"/>
      <c r="P336" s="7"/>
      <c r="Q336" s="7"/>
      <c r="R336" s="7"/>
      <c r="S336" s="20"/>
      <c r="T336" s="20"/>
      <c r="U336" s="6"/>
      <c r="V336" s="6"/>
      <c r="W336" s="6"/>
      <c r="X336" s="6"/>
      <c r="Y336" s="6"/>
    </row>
    <row r="337" spans="6:29" x14ac:dyDescent="0.2">
      <c r="F337" s="1"/>
      <c r="G337" s="2"/>
      <c r="I337" s="7"/>
      <c r="J337" s="7"/>
      <c r="M337" s="7"/>
      <c r="P337" s="7"/>
      <c r="Q337" s="7"/>
      <c r="R337" s="7"/>
      <c r="S337" s="20"/>
      <c r="T337" s="20"/>
      <c r="U337" s="6"/>
      <c r="V337" s="6"/>
      <c r="W337" s="6"/>
      <c r="X337" s="6"/>
      <c r="Y337" s="6"/>
    </row>
    <row r="338" spans="6:29" x14ac:dyDescent="0.2">
      <c r="F338" s="1"/>
      <c r="G338" s="2"/>
      <c r="I338" s="7"/>
      <c r="J338" s="7"/>
      <c r="M338" s="7"/>
      <c r="P338" s="7"/>
      <c r="Q338" s="7"/>
      <c r="R338" s="7"/>
      <c r="S338" s="20"/>
      <c r="T338" s="20"/>
      <c r="U338" s="6"/>
      <c r="V338" s="6"/>
      <c r="W338" s="6"/>
      <c r="X338" s="6"/>
      <c r="Y338" s="6"/>
    </row>
    <row r="339" spans="6:29" x14ac:dyDescent="0.2">
      <c r="F339" s="1"/>
      <c r="G339" s="2"/>
      <c r="I339" s="7"/>
      <c r="J339" s="7"/>
      <c r="M339" s="7"/>
      <c r="P339" s="7"/>
      <c r="Q339" s="7"/>
      <c r="R339" s="7"/>
      <c r="S339" s="20"/>
      <c r="T339" s="20"/>
      <c r="U339" s="6"/>
      <c r="V339" s="6"/>
      <c r="W339" s="6"/>
      <c r="X339" s="6"/>
      <c r="Y339" s="6"/>
    </row>
    <row r="340" spans="6:29" x14ac:dyDescent="0.2">
      <c r="F340" s="1"/>
      <c r="G340" s="2"/>
      <c r="I340" s="7"/>
      <c r="J340" s="7"/>
      <c r="M340" s="7"/>
      <c r="P340" s="7"/>
      <c r="Q340" s="7"/>
      <c r="R340" s="7"/>
      <c r="S340" s="20"/>
      <c r="T340" s="20"/>
      <c r="U340" s="6"/>
      <c r="V340" s="6"/>
      <c r="W340" s="6"/>
      <c r="X340" s="6"/>
      <c r="Y340" s="6"/>
    </row>
    <row r="341" spans="6:29" x14ac:dyDescent="0.2">
      <c r="F341" s="1"/>
      <c r="G341" s="2"/>
      <c r="I341" s="7"/>
      <c r="J341" s="7"/>
      <c r="M341" s="7"/>
      <c r="P341" s="7"/>
      <c r="Q341" s="7"/>
      <c r="R341" s="7"/>
      <c r="S341" s="20"/>
      <c r="T341" s="20"/>
      <c r="U341" s="6"/>
      <c r="V341" s="6"/>
      <c r="W341" s="6"/>
      <c r="X341" s="6"/>
      <c r="Y341" s="6"/>
    </row>
    <row r="342" spans="6:29" x14ac:dyDescent="0.2">
      <c r="F342" s="1"/>
      <c r="G342" s="2"/>
      <c r="I342" s="7"/>
      <c r="J342" s="7"/>
      <c r="M342" s="7"/>
      <c r="P342" s="7"/>
      <c r="Q342" s="7"/>
      <c r="R342" s="7"/>
      <c r="S342" s="20"/>
      <c r="T342" s="20"/>
      <c r="U342" s="6"/>
      <c r="V342" s="6"/>
      <c r="W342" s="6"/>
      <c r="X342" s="6"/>
      <c r="Y342" s="6"/>
    </row>
    <row r="343" spans="6:29" x14ac:dyDescent="0.2">
      <c r="F343" s="1"/>
      <c r="G343" s="2"/>
      <c r="I343" s="7"/>
      <c r="J343" s="7"/>
      <c r="M343" s="7"/>
      <c r="P343" s="7"/>
      <c r="Q343" s="7"/>
      <c r="R343" s="7"/>
      <c r="S343" s="20"/>
      <c r="T343" s="20"/>
      <c r="U343" s="6"/>
      <c r="V343" s="6"/>
      <c r="W343" s="6"/>
      <c r="X343" s="6"/>
      <c r="Y343" s="6"/>
    </row>
    <row r="344" spans="6:29" x14ac:dyDescent="0.2">
      <c r="F344" s="1"/>
      <c r="G344" s="2"/>
      <c r="I344" s="7"/>
      <c r="J344" s="7"/>
      <c r="M344" s="7"/>
      <c r="P344" s="7"/>
      <c r="Q344" s="7"/>
      <c r="R344" s="7"/>
      <c r="S344" s="20"/>
      <c r="T344" s="20"/>
      <c r="U344" s="6"/>
      <c r="V344" s="6"/>
      <c r="W344" s="6"/>
      <c r="X344" s="6"/>
      <c r="Y344" s="6"/>
      <c r="AC344" s="5"/>
    </row>
    <row r="345" spans="6:29" x14ac:dyDescent="0.2">
      <c r="F345" s="1"/>
      <c r="G345" s="2"/>
      <c r="I345" s="7"/>
      <c r="J345" s="7"/>
      <c r="M345" s="7"/>
      <c r="P345" s="7"/>
      <c r="Q345" s="7"/>
      <c r="R345" s="7"/>
      <c r="S345" s="20"/>
      <c r="T345" s="20"/>
      <c r="U345" s="6"/>
      <c r="V345" s="6"/>
      <c r="W345" s="6"/>
      <c r="X345" s="6"/>
      <c r="Y345" s="6"/>
    </row>
    <row r="346" spans="6:29" x14ac:dyDescent="0.2">
      <c r="F346" s="1"/>
      <c r="G346" s="2"/>
      <c r="I346" s="7"/>
      <c r="J346" s="7"/>
      <c r="M346" s="7"/>
      <c r="P346" s="7"/>
      <c r="Q346" s="7"/>
      <c r="R346" s="7"/>
      <c r="S346" s="20"/>
      <c r="T346" s="20"/>
      <c r="U346" s="6"/>
      <c r="V346" s="6"/>
      <c r="W346" s="6"/>
      <c r="X346" s="6"/>
      <c r="Y346" s="6"/>
    </row>
    <row r="347" spans="6:29" x14ac:dyDescent="0.2">
      <c r="F347" s="1"/>
      <c r="G347" s="2"/>
      <c r="I347" s="7"/>
      <c r="J347" s="7"/>
      <c r="M347" s="7"/>
      <c r="P347" s="7"/>
      <c r="Q347" s="7"/>
      <c r="R347" s="7"/>
      <c r="S347" s="20"/>
      <c r="T347" s="20"/>
      <c r="U347" s="6"/>
      <c r="V347" s="6"/>
      <c r="W347" s="6"/>
      <c r="X347" s="6"/>
      <c r="Y347" s="6"/>
    </row>
    <row r="348" spans="6:29" x14ac:dyDescent="0.2">
      <c r="F348" s="1"/>
      <c r="G348" s="2"/>
      <c r="I348" s="7"/>
      <c r="J348" s="7"/>
      <c r="M348" s="7"/>
      <c r="P348" s="7"/>
      <c r="Q348" s="7"/>
      <c r="R348" s="7"/>
      <c r="S348" s="20"/>
      <c r="T348" s="20"/>
      <c r="U348" s="6"/>
      <c r="V348" s="6"/>
      <c r="W348" s="6"/>
      <c r="X348" s="6"/>
      <c r="Y348" s="6"/>
    </row>
    <row r="349" spans="6:29" x14ac:dyDescent="0.2">
      <c r="F349" s="1"/>
      <c r="G349" s="2"/>
      <c r="I349" s="7"/>
      <c r="J349" s="7"/>
      <c r="M349" s="7"/>
      <c r="P349" s="7"/>
      <c r="Q349" s="7"/>
      <c r="R349" s="7"/>
      <c r="S349" s="20"/>
      <c r="T349" s="20"/>
      <c r="U349" s="6"/>
      <c r="V349" s="6"/>
      <c r="W349" s="6"/>
      <c r="X349" s="6"/>
      <c r="Y349" s="6"/>
    </row>
    <row r="350" spans="6:29" x14ac:dyDescent="0.2">
      <c r="F350" s="1"/>
      <c r="G350" s="2"/>
      <c r="I350" s="7"/>
      <c r="J350" s="7"/>
      <c r="M350" s="7"/>
      <c r="P350" s="7"/>
      <c r="Q350" s="7"/>
      <c r="R350" s="7"/>
      <c r="S350" s="20"/>
      <c r="T350" s="20"/>
      <c r="U350" s="6"/>
      <c r="V350" s="6"/>
      <c r="W350" s="6"/>
      <c r="X350" s="6"/>
      <c r="Y350" s="6"/>
    </row>
    <row r="351" spans="6:29" x14ac:dyDescent="0.2">
      <c r="F351" s="1"/>
      <c r="G351" s="2"/>
      <c r="I351" s="7"/>
      <c r="J351" s="7"/>
      <c r="M351" s="7"/>
      <c r="P351" s="7"/>
      <c r="Q351" s="7"/>
      <c r="R351" s="7"/>
      <c r="S351" s="20"/>
      <c r="T351" s="20"/>
      <c r="U351" s="6"/>
      <c r="V351" s="6"/>
      <c r="W351" s="6"/>
      <c r="X351" s="6"/>
      <c r="Y351" s="6"/>
    </row>
    <row r="352" spans="6:29" x14ac:dyDescent="0.2">
      <c r="F352" s="1"/>
      <c r="G352" s="2"/>
      <c r="I352" s="7"/>
      <c r="J352" s="7"/>
      <c r="M352" s="7"/>
      <c r="P352" s="7"/>
      <c r="Q352" s="7"/>
      <c r="R352" s="7"/>
      <c r="S352" s="20"/>
      <c r="T352" s="20"/>
      <c r="U352" s="6"/>
      <c r="V352" s="6"/>
      <c r="W352" s="6"/>
      <c r="X352" s="6"/>
      <c r="Y352" s="6"/>
    </row>
    <row r="353" spans="1:31" x14ac:dyDescent="0.2">
      <c r="F353" s="1"/>
      <c r="G353" s="2"/>
      <c r="I353" s="7"/>
      <c r="M353" s="7"/>
      <c r="P353" s="7"/>
      <c r="Q353" s="7"/>
      <c r="R353" s="7"/>
      <c r="S353" s="20"/>
      <c r="T353" s="20"/>
      <c r="U353" s="6"/>
      <c r="V353" s="6"/>
      <c r="W353" s="6"/>
      <c r="X353" s="6"/>
      <c r="Y353" s="6"/>
    </row>
    <row r="354" spans="1:31" x14ac:dyDescent="0.2">
      <c r="F354" s="1"/>
      <c r="G354" s="2"/>
      <c r="I354" s="7"/>
      <c r="M354" s="7"/>
      <c r="P354" s="7"/>
      <c r="Q354" s="7"/>
      <c r="R354" s="7"/>
      <c r="S354" s="20"/>
      <c r="T354" s="20"/>
      <c r="U354" s="6"/>
      <c r="V354" s="6"/>
      <c r="W354" s="6"/>
      <c r="X354" s="6"/>
      <c r="Y354" s="6"/>
    </row>
    <row r="355" spans="1:31" x14ac:dyDescent="0.2">
      <c r="F355" s="1"/>
      <c r="G355" s="2"/>
      <c r="I355" s="7"/>
      <c r="M355" s="7"/>
      <c r="P355" s="7"/>
      <c r="Q355" s="7"/>
      <c r="R355" s="7"/>
      <c r="S355" s="20"/>
      <c r="T355" s="20"/>
      <c r="U355" s="6"/>
      <c r="V355" s="6"/>
      <c r="W355" s="6"/>
      <c r="X355" s="6"/>
      <c r="Y355" s="6"/>
    </row>
    <row r="356" spans="1:31" x14ac:dyDescent="0.2">
      <c r="F356" s="1"/>
      <c r="G356" s="2"/>
      <c r="I356" s="7"/>
      <c r="M356" s="7"/>
      <c r="P356" s="7"/>
      <c r="Q356" s="7"/>
      <c r="R356" s="7"/>
      <c r="S356" s="20"/>
      <c r="T356" s="20"/>
      <c r="U356" s="7"/>
      <c r="V356" s="6"/>
      <c r="W356" s="6"/>
      <c r="X356" s="6"/>
      <c r="Y356" s="6"/>
    </row>
    <row r="357" spans="1:31" x14ac:dyDescent="0.2">
      <c r="F357" s="1"/>
      <c r="G357" s="2"/>
      <c r="I357" s="7"/>
      <c r="M357" s="7"/>
      <c r="P357" s="7"/>
      <c r="Q357" s="7"/>
      <c r="R357" s="7"/>
      <c r="S357" s="20"/>
      <c r="T357" s="20"/>
      <c r="U357" s="7"/>
      <c r="V357" s="6"/>
      <c r="W357" s="6"/>
      <c r="X357" s="6"/>
      <c r="Y357" s="6"/>
    </row>
    <row r="358" spans="1:31" x14ac:dyDescent="0.2">
      <c r="F358" s="1"/>
      <c r="G358" s="2"/>
      <c r="I358" s="7"/>
      <c r="M358" s="7"/>
      <c r="P358" s="7"/>
      <c r="Q358" s="7"/>
      <c r="R358" s="7"/>
      <c r="S358" s="20"/>
      <c r="T358" s="20"/>
      <c r="U358" s="6"/>
      <c r="V358" s="6"/>
      <c r="W358" s="6"/>
      <c r="X358" s="6"/>
      <c r="Y358" s="6"/>
    </row>
    <row r="359" spans="1:31" x14ac:dyDescent="0.2">
      <c r="F359" s="1"/>
      <c r="G359" s="2"/>
      <c r="I359" s="7"/>
      <c r="M359" s="7"/>
      <c r="P359" s="7"/>
      <c r="Q359" s="7"/>
      <c r="R359" s="7"/>
      <c r="S359" s="20"/>
      <c r="T359" s="20"/>
      <c r="U359" s="6"/>
      <c r="V359" s="6"/>
      <c r="W359" s="6"/>
      <c r="X359" s="6"/>
      <c r="Y359" s="6"/>
    </row>
    <row r="360" spans="1:31" x14ac:dyDescent="0.2">
      <c r="F360" s="1"/>
      <c r="G360" s="2"/>
      <c r="I360" s="7"/>
      <c r="M360" s="7"/>
      <c r="P360" s="7"/>
      <c r="Q360" s="7"/>
      <c r="R360" s="7"/>
      <c r="S360" s="20"/>
      <c r="T360" s="20"/>
      <c r="U360" s="6"/>
      <c r="V360" s="6"/>
      <c r="W360" s="6"/>
      <c r="X360" s="6"/>
      <c r="Y360" s="6"/>
    </row>
    <row r="361" spans="1:31" x14ac:dyDescent="0.2">
      <c r="F361" s="1"/>
      <c r="G361" s="2"/>
      <c r="I361" s="7"/>
      <c r="M361" s="7"/>
      <c r="P361" s="7"/>
      <c r="Q361" s="7"/>
      <c r="R361" s="7"/>
      <c r="S361" s="20"/>
      <c r="T361" s="20"/>
      <c r="U361" s="6"/>
      <c r="V361" s="6"/>
      <c r="W361" s="6"/>
      <c r="X361" s="6"/>
      <c r="Y361" s="6"/>
    </row>
    <row r="362" spans="1:31" x14ac:dyDescent="0.2">
      <c r="F362" s="1"/>
      <c r="G362" s="2"/>
      <c r="I362" s="7"/>
      <c r="M362" s="7"/>
      <c r="P362" s="7"/>
      <c r="Q362" s="7"/>
      <c r="R362" s="7"/>
      <c r="S362" s="20"/>
      <c r="T362" s="20"/>
      <c r="U362" s="6"/>
      <c r="V362" s="6"/>
      <c r="W362" s="6"/>
      <c r="X362" s="6"/>
      <c r="Y362" s="6"/>
    </row>
    <row r="363" spans="1:31" x14ac:dyDescent="0.2">
      <c r="F363" s="1"/>
      <c r="G363" s="2"/>
    </row>
    <row r="364" spans="1:31" x14ac:dyDescent="0.2">
      <c r="A364" s="7"/>
      <c r="B364" s="7"/>
      <c r="C364" s="7"/>
      <c r="D364" s="7"/>
      <c r="F364" s="1"/>
      <c r="G364" s="2"/>
      <c r="I364" s="7"/>
      <c r="J364" s="7"/>
      <c r="K364" s="7"/>
      <c r="L364" s="7"/>
      <c r="P364" s="7"/>
      <c r="Q364" s="7"/>
      <c r="R364" s="7"/>
      <c r="S364" s="20"/>
      <c r="T364" s="20"/>
      <c r="U364" s="6"/>
      <c r="V364" s="6"/>
      <c r="W364" s="6"/>
      <c r="X364" s="6"/>
      <c r="Y364" s="6"/>
    </row>
    <row r="365" spans="1:31" x14ac:dyDescent="0.2">
      <c r="C365" s="7"/>
      <c r="D365" s="7"/>
      <c r="F365" s="1"/>
      <c r="G365" s="2"/>
      <c r="I365" s="7"/>
      <c r="J365" s="7"/>
      <c r="K365" s="7"/>
      <c r="L365" s="7"/>
      <c r="P365" s="7"/>
      <c r="Q365" s="7"/>
      <c r="R365" s="7"/>
      <c r="S365" s="20"/>
      <c r="T365" s="20"/>
      <c r="U365" s="6"/>
      <c r="V365" s="6"/>
      <c r="W365" s="6"/>
      <c r="X365" s="6"/>
      <c r="Y365" s="6"/>
    </row>
    <row r="366" spans="1:31" x14ac:dyDescent="0.2">
      <c r="A366" s="7"/>
      <c r="B366" s="7"/>
      <c r="C366" s="7"/>
      <c r="D366" s="7"/>
      <c r="E366" s="7"/>
      <c r="F366" s="10"/>
      <c r="G366" s="8"/>
      <c r="H366" s="7"/>
      <c r="I366" s="7"/>
      <c r="J366" s="7"/>
      <c r="K366" s="7"/>
      <c r="L366" s="7"/>
      <c r="M366" s="7"/>
      <c r="N366" s="7"/>
      <c r="P366" s="7"/>
      <c r="Q366" s="7"/>
      <c r="R366" s="20"/>
      <c r="S366" s="20"/>
      <c r="T366" s="20"/>
      <c r="U366" s="9"/>
      <c r="V366" s="9"/>
      <c r="W366" s="9"/>
      <c r="X366" s="9"/>
      <c r="Y366" s="9"/>
      <c r="AB366" s="7"/>
      <c r="AC366" s="7"/>
      <c r="AD366" s="7"/>
      <c r="AE366" s="7"/>
    </row>
    <row r="367" spans="1:31" x14ac:dyDescent="0.2">
      <c r="A367" s="4"/>
      <c r="B367" s="4"/>
      <c r="C367" s="4"/>
      <c r="D367" s="4"/>
      <c r="E367" s="4"/>
      <c r="F367" s="13"/>
      <c r="G367" s="14"/>
      <c r="H367" s="4"/>
      <c r="I367" s="4"/>
      <c r="J367" s="4"/>
      <c r="K367" s="4"/>
      <c r="L367" s="4"/>
      <c r="M367" s="4"/>
      <c r="N367" s="4"/>
      <c r="O367" s="4"/>
      <c r="P367" s="4"/>
      <c r="Q367" s="4"/>
      <c r="R367" s="4"/>
      <c r="S367" s="21"/>
      <c r="T367" s="21"/>
      <c r="U367" s="15"/>
      <c r="V367" s="15"/>
      <c r="W367" s="15"/>
      <c r="X367" s="15"/>
      <c r="Y367" s="15"/>
      <c r="AB367" s="4"/>
      <c r="AC367" s="4"/>
      <c r="AD367" s="4"/>
      <c r="AE367" s="4"/>
    </row>
    <row r="368" spans="1:31" x14ac:dyDescent="0.2">
      <c r="F368" s="1"/>
      <c r="G368" s="2"/>
      <c r="I368" s="7"/>
      <c r="J368" s="7"/>
      <c r="K368" s="7"/>
      <c r="L368" s="7"/>
      <c r="M368" s="7"/>
      <c r="P368" s="7"/>
      <c r="Q368" s="7"/>
      <c r="R368" s="7"/>
      <c r="S368" s="20"/>
      <c r="T368" s="20"/>
      <c r="U368" s="6"/>
      <c r="V368" s="6"/>
      <c r="W368" s="6"/>
      <c r="X368" s="6"/>
      <c r="Y368" s="6"/>
    </row>
    <row r="369" spans="3:26" x14ac:dyDescent="0.2">
      <c r="F369" s="1"/>
      <c r="G369" s="2"/>
      <c r="I369" s="7"/>
      <c r="K369" s="7"/>
      <c r="L369" s="7"/>
      <c r="M369" s="7"/>
      <c r="O369" s="7"/>
      <c r="P369" s="7"/>
      <c r="Q369" s="7"/>
      <c r="S369" s="20"/>
      <c r="T369" s="20"/>
      <c r="U369" s="6"/>
      <c r="V369" s="6"/>
      <c r="W369" s="6"/>
      <c r="X369" s="6"/>
      <c r="Y369" s="6"/>
    </row>
    <row r="370" spans="3:26" x14ac:dyDescent="0.2">
      <c r="F370" s="1"/>
      <c r="G370" s="2"/>
      <c r="I370" s="7"/>
      <c r="J370" s="7"/>
      <c r="K370" s="7"/>
      <c r="L370" s="7"/>
      <c r="P370" s="7"/>
      <c r="Q370" s="7"/>
      <c r="R370" s="7"/>
      <c r="S370" s="20"/>
      <c r="T370" s="20"/>
      <c r="U370" s="6"/>
      <c r="V370" s="6"/>
      <c r="W370" s="6"/>
      <c r="X370" s="6"/>
      <c r="Y370" s="6"/>
      <c r="Z370" s="6"/>
    </row>
    <row r="371" spans="3:26" x14ac:dyDescent="0.2">
      <c r="F371" s="1"/>
      <c r="G371" s="2"/>
      <c r="J371" s="7"/>
      <c r="P371" s="7"/>
      <c r="Q371" s="7"/>
      <c r="R371" s="7"/>
      <c r="S371" s="20"/>
      <c r="T371" s="20"/>
      <c r="U371" s="6"/>
      <c r="V371" s="6"/>
      <c r="W371" s="6"/>
      <c r="X371" s="6"/>
      <c r="Y371" s="6"/>
      <c r="Z371" s="6"/>
    </row>
    <row r="372" spans="3:26" x14ac:dyDescent="0.2">
      <c r="F372" s="1"/>
      <c r="G372" s="2"/>
      <c r="J372" s="7"/>
      <c r="P372" s="7"/>
      <c r="Q372" s="7"/>
      <c r="R372" s="7"/>
      <c r="S372" s="20"/>
      <c r="T372" s="20"/>
      <c r="U372" s="9"/>
      <c r="V372" s="6"/>
      <c r="W372" s="6"/>
      <c r="X372" s="6"/>
      <c r="Y372" s="6"/>
      <c r="Z372" s="6"/>
    </row>
    <row r="373" spans="3:26" x14ac:dyDescent="0.2">
      <c r="F373" s="1"/>
      <c r="G373" s="2"/>
    </row>
    <row r="374" spans="3:26" x14ac:dyDescent="0.2">
      <c r="F374" s="1"/>
      <c r="G374" s="2"/>
    </row>
    <row r="375" spans="3:26" x14ac:dyDescent="0.2">
      <c r="F375" s="1"/>
      <c r="G375" s="2"/>
    </row>
    <row r="376" spans="3:26" x14ac:dyDescent="0.2">
      <c r="F376" s="1"/>
      <c r="G376" s="2"/>
      <c r="R376" s="5"/>
    </row>
    <row r="377" spans="3:26" x14ac:dyDescent="0.2">
      <c r="C377" s="7"/>
      <c r="D377" s="7"/>
      <c r="F377" s="1"/>
      <c r="G377" s="2"/>
      <c r="I377" s="7"/>
      <c r="J377" s="7"/>
      <c r="K377" s="7"/>
      <c r="L377" s="7"/>
      <c r="P377" s="7"/>
      <c r="Q377" s="7"/>
      <c r="R377" s="7"/>
      <c r="S377" s="20"/>
      <c r="T377" s="20"/>
      <c r="U377" s="6"/>
      <c r="V377" s="6"/>
      <c r="W377" s="6"/>
      <c r="X377" s="6"/>
      <c r="Y377" s="6"/>
    </row>
    <row r="378" spans="3:26" x14ac:dyDescent="0.2">
      <c r="C378" s="7"/>
      <c r="D378" s="7"/>
      <c r="F378" s="1"/>
      <c r="G378" s="2"/>
      <c r="I378" s="7"/>
      <c r="J378" s="7"/>
      <c r="K378" s="7"/>
      <c r="L378" s="7"/>
      <c r="M378" s="7"/>
      <c r="N378" s="7"/>
      <c r="P378" s="7"/>
      <c r="Q378" s="7"/>
      <c r="R378" s="7"/>
      <c r="S378" s="20"/>
      <c r="T378" s="20"/>
      <c r="U378" s="6"/>
      <c r="V378" s="6"/>
      <c r="W378" s="6"/>
      <c r="X378" s="6"/>
      <c r="Y378" s="6"/>
    </row>
    <row r="379" spans="3:26" x14ac:dyDescent="0.2">
      <c r="F379" s="1"/>
      <c r="G379" s="2"/>
    </row>
    <row r="380" spans="3:26" x14ac:dyDescent="0.2">
      <c r="F380" s="1"/>
      <c r="G380" s="2"/>
      <c r="I380" s="7"/>
      <c r="J380" s="7"/>
      <c r="K380" s="7"/>
      <c r="L380" s="7"/>
      <c r="M380" s="7"/>
      <c r="N380" s="7"/>
      <c r="P380" s="7"/>
      <c r="Q380" s="7"/>
      <c r="R380" s="7"/>
      <c r="S380" s="20"/>
      <c r="T380" s="20"/>
      <c r="U380" s="6"/>
      <c r="V380" s="6"/>
      <c r="W380" s="6"/>
      <c r="X380" s="6"/>
      <c r="Y380" s="6"/>
    </row>
    <row r="381" spans="3:26" x14ac:dyDescent="0.2">
      <c r="F381" s="1"/>
      <c r="G381" s="2"/>
      <c r="I381" s="7"/>
      <c r="J381" s="7"/>
      <c r="K381" s="7"/>
      <c r="U381" s="6"/>
      <c r="V381" s="6"/>
      <c r="W381" s="6"/>
      <c r="X381" s="6"/>
      <c r="Y381" s="6"/>
    </row>
    <row r="382" spans="3:26" x14ac:dyDescent="0.2">
      <c r="F382" s="1"/>
      <c r="G382" s="2"/>
      <c r="I382" s="7"/>
      <c r="J382" s="7"/>
      <c r="K382" s="7"/>
      <c r="L382" s="7"/>
      <c r="U382" s="6"/>
      <c r="V382" s="6"/>
      <c r="W382" s="6"/>
      <c r="X382" s="6"/>
      <c r="Y382" s="6"/>
    </row>
    <row r="383" spans="3:26" x14ac:dyDescent="0.2">
      <c r="F383" s="1"/>
      <c r="G383" s="2"/>
      <c r="I383" s="7"/>
      <c r="J383" s="7"/>
      <c r="K383" s="7"/>
      <c r="L383" s="7"/>
      <c r="U383" s="6"/>
      <c r="V383" s="6"/>
      <c r="W383" s="6"/>
      <c r="X383" s="6"/>
      <c r="Y383" s="6"/>
    </row>
    <row r="384" spans="3:26" x14ac:dyDescent="0.2">
      <c r="F384" s="1"/>
      <c r="G384" s="2"/>
      <c r="I384" s="7"/>
      <c r="J384" s="7"/>
      <c r="K384" s="7"/>
      <c r="L384" s="7"/>
      <c r="M384" s="7"/>
      <c r="N384" s="7"/>
      <c r="P384" s="7"/>
      <c r="Q384" s="7"/>
      <c r="R384" s="7"/>
      <c r="S384" s="20"/>
      <c r="T384" s="20"/>
      <c r="U384" s="6"/>
      <c r="V384" s="6"/>
      <c r="W384" s="6"/>
      <c r="X384" s="6"/>
      <c r="Y384" s="6"/>
    </row>
    <row r="385" spans="6:26" x14ac:dyDescent="0.2">
      <c r="F385" s="1"/>
      <c r="G385" s="2"/>
      <c r="I385" s="7"/>
      <c r="J385" s="7"/>
      <c r="K385" s="7"/>
      <c r="L385" s="7"/>
      <c r="M385" s="7"/>
      <c r="N385" s="7"/>
      <c r="P385" s="7"/>
      <c r="Q385" s="7"/>
      <c r="R385" s="7"/>
      <c r="S385" s="20"/>
      <c r="T385" s="20"/>
      <c r="U385" s="6"/>
      <c r="V385" s="6"/>
      <c r="W385" s="6"/>
      <c r="X385" s="6"/>
      <c r="Y385" s="6"/>
    </row>
    <row r="386" spans="6:26" x14ac:dyDescent="0.2">
      <c r="F386" s="1"/>
      <c r="G386" s="2"/>
      <c r="I386" s="7"/>
      <c r="J386" s="7"/>
      <c r="K386" s="7"/>
      <c r="L386" s="7"/>
      <c r="M386" s="7"/>
      <c r="P386" s="7"/>
      <c r="Q386" s="7"/>
      <c r="R386" s="7"/>
      <c r="S386" s="20"/>
      <c r="T386" s="20"/>
      <c r="U386" s="6"/>
      <c r="V386" s="6"/>
      <c r="W386" s="6"/>
      <c r="X386" s="6"/>
      <c r="Y386" s="6"/>
    </row>
    <row r="387" spans="6:26" x14ac:dyDescent="0.2">
      <c r="F387" s="1"/>
      <c r="G387" s="2"/>
      <c r="I387" s="7"/>
      <c r="J387" s="7"/>
      <c r="K387" s="7"/>
      <c r="L387" s="7"/>
      <c r="M387" s="7"/>
      <c r="P387" s="7"/>
      <c r="Q387" s="7"/>
      <c r="R387" s="7"/>
      <c r="S387" s="20"/>
      <c r="T387" s="20"/>
      <c r="U387" s="6"/>
      <c r="V387" s="6"/>
      <c r="W387" s="6"/>
      <c r="X387" s="6"/>
      <c r="Y387" s="6"/>
    </row>
    <row r="388" spans="6:26" x14ac:dyDescent="0.2">
      <c r="F388" s="1"/>
      <c r="G388" s="2"/>
      <c r="I388" s="7"/>
      <c r="J388" s="7"/>
      <c r="K388" s="7"/>
      <c r="L388" s="7"/>
      <c r="M388" s="7"/>
      <c r="P388" s="7"/>
      <c r="Q388" s="7"/>
      <c r="R388" s="7"/>
      <c r="S388" s="20"/>
      <c r="T388" s="20"/>
      <c r="U388" s="6"/>
      <c r="V388" s="6"/>
      <c r="W388" s="6"/>
      <c r="X388" s="6"/>
      <c r="Y388" s="6"/>
    </row>
    <row r="389" spans="6:26" x14ac:dyDescent="0.2">
      <c r="F389" s="1"/>
      <c r="G389" s="2"/>
      <c r="I389" s="7"/>
      <c r="K389" s="7"/>
      <c r="L389" s="7"/>
      <c r="M389" s="7"/>
      <c r="P389" s="7"/>
      <c r="Q389" s="7"/>
      <c r="R389" s="7"/>
      <c r="S389" s="20"/>
      <c r="T389" s="20"/>
      <c r="U389" s="6"/>
      <c r="V389" s="6"/>
      <c r="W389" s="6"/>
      <c r="X389" s="6"/>
      <c r="Y389" s="6"/>
    </row>
    <row r="390" spans="6:26" x14ac:dyDescent="0.2">
      <c r="F390" s="1"/>
      <c r="G390" s="2"/>
      <c r="I390" s="7"/>
      <c r="K390" s="7"/>
      <c r="L390" s="7"/>
      <c r="M390" s="7"/>
      <c r="P390" s="7"/>
      <c r="Q390" s="7"/>
      <c r="R390" s="7"/>
      <c r="S390" s="20"/>
      <c r="T390" s="20"/>
      <c r="U390" s="6"/>
      <c r="V390" s="6"/>
      <c r="W390" s="6"/>
      <c r="X390" s="6"/>
      <c r="Y390" s="6"/>
    </row>
    <row r="391" spans="6:26" x14ac:dyDescent="0.2">
      <c r="F391" s="1"/>
      <c r="G391" s="2"/>
      <c r="I391" s="7"/>
      <c r="K391" s="7"/>
      <c r="L391" s="7"/>
      <c r="M391" s="7"/>
      <c r="P391" s="7"/>
      <c r="Q391" s="7"/>
      <c r="R391" s="7"/>
      <c r="S391" s="20"/>
      <c r="T391" s="20"/>
      <c r="U391" s="6"/>
      <c r="V391" s="6"/>
      <c r="W391" s="6"/>
      <c r="X391" s="6"/>
      <c r="Y391" s="6"/>
    </row>
    <row r="392" spans="6:26" x14ac:dyDescent="0.2">
      <c r="F392" s="1"/>
      <c r="G392" s="2"/>
      <c r="I392" s="7"/>
      <c r="K392" s="7"/>
      <c r="L392" s="7"/>
      <c r="M392" s="7"/>
      <c r="P392" s="7"/>
      <c r="Q392" s="7"/>
      <c r="R392" s="7"/>
      <c r="S392" s="20"/>
      <c r="T392" s="20"/>
      <c r="U392" s="6"/>
      <c r="V392" s="6"/>
      <c r="W392" s="6"/>
      <c r="X392" s="6"/>
      <c r="Y392" s="6"/>
    </row>
    <row r="393" spans="6:26" x14ac:dyDescent="0.2">
      <c r="F393" s="1"/>
      <c r="G393" s="2"/>
      <c r="I393" s="7"/>
      <c r="K393" s="7"/>
      <c r="L393" s="7"/>
      <c r="M393" s="7"/>
      <c r="P393" s="7"/>
      <c r="Q393" s="7"/>
      <c r="R393" s="7"/>
      <c r="S393" s="20"/>
      <c r="T393" s="20"/>
      <c r="U393" s="6"/>
      <c r="V393" s="6"/>
      <c r="W393" s="6"/>
      <c r="X393" s="6"/>
      <c r="Y393" s="6"/>
    </row>
    <row r="394" spans="6:26" x14ac:dyDescent="0.2">
      <c r="F394" s="1"/>
      <c r="G394" s="2"/>
      <c r="I394" s="7"/>
      <c r="J394" s="7"/>
      <c r="K394" s="7"/>
      <c r="L394" s="7"/>
      <c r="M394" s="7"/>
      <c r="P394" s="7"/>
      <c r="Q394" s="7"/>
      <c r="R394" s="7"/>
      <c r="S394" s="20"/>
      <c r="T394" s="20"/>
      <c r="U394" s="6"/>
      <c r="V394" s="6"/>
      <c r="W394" s="6"/>
      <c r="X394" s="6"/>
      <c r="Y394" s="6"/>
      <c r="Z394" s="6"/>
    </row>
    <row r="395" spans="6:26" x14ac:dyDescent="0.2">
      <c r="F395" s="1"/>
      <c r="G395" s="2"/>
      <c r="I395" s="7"/>
      <c r="J395" s="7"/>
      <c r="K395" s="7"/>
      <c r="L395" s="7"/>
      <c r="P395" s="7"/>
      <c r="Q395" s="7"/>
      <c r="R395" s="7"/>
      <c r="S395" s="20"/>
      <c r="T395" s="20"/>
      <c r="U395" s="6"/>
      <c r="V395" s="6"/>
      <c r="W395" s="6"/>
      <c r="X395" s="6"/>
      <c r="Y395" s="6"/>
      <c r="Z395" s="6"/>
    </row>
    <row r="396" spans="6:26" x14ac:dyDescent="0.2">
      <c r="F396" s="1"/>
      <c r="G396" s="2"/>
      <c r="I396" s="7"/>
      <c r="J396" s="7"/>
      <c r="K396" s="7"/>
      <c r="L396" s="7"/>
      <c r="P396" s="7"/>
      <c r="Q396" s="7"/>
      <c r="R396" s="7"/>
      <c r="S396" s="20"/>
      <c r="T396" s="20"/>
      <c r="U396" s="6"/>
      <c r="V396" s="6"/>
      <c r="W396" s="6"/>
      <c r="X396" s="6"/>
      <c r="Y396" s="6"/>
      <c r="Z396" s="6"/>
    </row>
    <row r="397" spans="6:26" x14ac:dyDescent="0.2">
      <c r="F397" s="1"/>
      <c r="G397" s="2"/>
      <c r="I397" s="7"/>
      <c r="J397" s="7"/>
      <c r="K397" s="7"/>
      <c r="L397" s="7"/>
      <c r="P397" s="7"/>
      <c r="Q397" s="7"/>
      <c r="R397" s="7"/>
      <c r="S397" s="20"/>
      <c r="T397" s="20"/>
      <c r="U397" s="6"/>
      <c r="V397" s="6"/>
      <c r="W397" s="6"/>
      <c r="X397" s="6"/>
      <c r="Y397" s="6"/>
      <c r="Z397" s="6"/>
    </row>
    <row r="398" spans="6:26" x14ac:dyDescent="0.2">
      <c r="F398" s="1"/>
      <c r="G398" s="2"/>
      <c r="I398" s="7"/>
      <c r="J398" s="7"/>
      <c r="K398" s="7"/>
      <c r="L398" s="7"/>
      <c r="P398" s="7"/>
      <c r="Q398" s="7"/>
      <c r="R398" s="7"/>
      <c r="S398" s="20"/>
      <c r="T398" s="20"/>
      <c r="U398" s="6"/>
      <c r="V398" s="6"/>
      <c r="W398" s="6"/>
      <c r="X398" s="6"/>
      <c r="Y398" s="6"/>
      <c r="Z398" s="6"/>
    </row>
    <row r="399" spans="6:26" x14ac:dyDescent="0.2">
      <c r="F399" s="1"/>
      <c r="G399" s="2"/>
      <c r="I399" s="7"/>
      <c r="J399" s="7"/>
      <c r="K399" s="7"/>
      <c r="L399" s="7"/>
      <c r="P399" s="7"/>
      <c r="Q399" s="7"/>
      <c r="R399" s="7"/>
      <c r="S399" s="20"/>
      <c r="T399" s="20"/>
      <c r="U399" s="6"/>
      <c r="V399" s="6"/>
      <c r="W399" s="6"/>
      <c r="X399" s="6"/>
      <c r="Y399" s="6"/>
      <c r="Z399" s="6"/>
    </row>
    <row r="400" spans="6:26" x14ac:dyDescent="0.2">
      <c r="F400" s="1"/>
      <c r="G400" s="2"/>
      <c r="J400" s="7"/>
      <c r="P400" s="7"/>
      <c r="Q400" s="7"/>
      <c r="R400" s="7"/>
      <c r="S400" s="20"/>
      <c r="T400" s="20"/>
      <c r="U400" s="6"/>
      <c r="V400" s="6"/>
      <c r="W400" s="6"/>
      <c r="X400" s="6"/>
      <c r="Y400" s="6"/>
      <c r="Z400" s="6"/>
    </row>
    <row r="401" spans="1:31" x14ac:dyDescent="0.2">
      <c r="F401" s="1"/>
      <c r="G401" s="2"/>
      <c r="J401" s="7"/>
      <c r="P401" s="7"/>
      <c r="Q401" s="7"/>
      <c r="R401" s="7"/>
      <c r="S401" s="20"/>
      <c r="T401" s="20"/>
      <c r="U401" s="9"/>
      <c r="V401" s="6"/>
      <c r="W401" s="6"/>
      <c r="X401" s="6"/>
      <c r="Y401" s="6"/>
      <c r="Z401" s="6"/>
    </row>
    <row r="402" spans="1:31" x14ac:dyDescent="0.2">
      <c r="F402" s="1"/>
      <c r="G402" s="2"/>
      <c r="I402" s="7"/>
      <c r="J402" s="7"/>
      <c r="K402" s="7"/>
      <c r="L402" s="7"/>
      <c r="M402" s="7"/>
      <c r="O402" s="7"/>
      <c r="P402" s="7"/>
      <c r="Q402" s="7"/>
      <c r="R402" s="7"/>
      <c r="S402" s="20"/>
      <c r="T402" s="20"/>
      <c r="U402" s="6"/>
      <c r="V402" s="6"/>
      <c r="W402" s="6"/>
      <c r="X402" s="6"/>
      <c r="Y402" s="6"/>
    </row>
    <row r="403" spans="1:31" x14ac:dyDescent="0.2">
      <c r="F403" s="1"/>
      <c r="G403" s="2"/>
      <c r="I403" s="7"/>
      <c r="K403" s="7"/>
      <c r="L403" s="7"/>
      <c r="M403" s="7"/>
      <c r="P403" s="7"/>
      <c r="Q403" s="7"/>
      <c r="R403" s="7"/>
      <c r="S403" s="20"/>
      <c r="T403" s="20"/>
      <c r="U403" s="6"/>
      <c r="V403" s="6"/>
      <c r="W403" s="6"/>
      <c r="X403" s="6"/>
      <c r="Y403" s="6"/>
    </row>
    <row r="404" spans="1:31" x14ac:dyDescent="0.2">
      <c r="F404" s="1"/>
      <c r="G404" s="2"/>
      <c r="I404" s="7"/>
      <c r="J404" s="7"/>
      <c r="K404" s="7"/>
      <c r="L404" s="7"/>
      <c r="U404" s="6"/>
      <c r="V404" s="6"/>
      <c r="W404" s="6"/>
      <c r="X404" s="6"/>
      <c r="Y404" s="6"/>
    </row>
    <row r="405" spans="1:31" x14ac:dyDescent="0.2">
      <c r="F405" s="1"/>
      <c r="G405" s="2"/>
      <c r="I405" s="7"/>
      <c r="J405" s="7"/>
      <c r="K405" s="7"/>
      <c r="L405" s="7"/>
      <c r="U405" s="6"/>
      <c r="V405" s="6"/>
      <c r="W405" s="6"/>
      <c r="X405" s="6"/>
      <c r="Y405" s="6"/>
    </row>
    <row r="406" spans="1:31" x14ac:dyDescent="0.2">
      <c r="F406" s="1"/>
      <c r="G406" s="2"/>
      <c r="U406" s="6"/>
      <c r="V406" s="6"/>
      <c r="W406" s="6"/>
      <c r="X406" s="6"/>
      <c r="Y406" s="6"/>
    </row>
    <row r="407" spans="1:31" x14ac:dyDescent="0.2">
      <c r="A407" s="7"/>
      <c r="B407" s="7"/>
      <c r="C407" s="7"/>
      <c r="D407" s="7"/>
      <c r="E407" s="7"/>
      <c r="F407" s="10"/>
      <c r="G407" s="8"/>
      <c r="H407" s="7"/>
      <c r="I407" s="7"/>
      <c r="J407" s="7"/>
      <c r="K407" s="7"/>
      <c r="L407" s="7"/>
      <c r="M407" s="7"/>
      <c r="N407" s="7"/>
      <c r="P407" s="7"/>
      <c r="Q407" s="7"/>
      <c r="R407" s="7"/>
      <c r="S407" s="20"/>
      <c r="T407" s="20"/>
      <c r="U407" s="9"/>
      <c r="V407" s="9"/>
      <c r="W407" s="9"/>
      <c r="X407" s="9"/>
      <c r="Y407" s="9"/>
      <c r="AB407" s="7"/>
      <c r="AC407" s="7"/>
      <c r="AD407" s="7"/>
      <c r="AE407" s="7"/>
    </row>
    <row r="408" spans="1:31" x14ac:dyDescent="0.2">
      <c r="A408" s="7"/>
      <c r="B408" s="7"/>
      <c r="C408" s="7"/>
      <c r="D408" s="7"/>
      <c r="E408" s="7"/>
      <c r="F408" s="10"/>
      <c r="G408" s="8"/>
      <c r="H408" s="7"/>
      <c r="I408" s="7"/>
      <c r="J408" s="7"/>
      <c r="K408" s="7"/>
      <c r="L408" s="7"/>
      <c r="M408" s="7"/>
      <c r="N408" s="7"/>
      <c r="P408" s="7"/>
      <c r="Q408" s="7"/>
      <c r="R408" s="7"/>
      <c r="S408" s="20"/>
      <c r="T408" s="20"/>
      <c r="U408" s="9"/>
      <c r="V408" s="9"/>
      <c r="W408" s="9"/>
      <c r="X408" s="9"/>
      <c r="Y408" s="9"/>
      <c r="AB408" s="7"/>
      <c r="AC408" s="7"/>
      <c r="AD408" s="7"/>
      <c r="AE408" s="7"/>
    </row>
    <row r="409" spans="1:31" x14ac:dyDescent="0.2">
      <c r="A409" s="7"/>
      <c r="B409" s="7"/>
      <c r="C409" s="7"/>
      <c r="D409" s="7"/>
      <c r="F409" s="1"/>
      <c r="G409" s="2"/>
      <c r="I409" s="7"/>
      <c r="J409" s="7"/>
      <c r="K409" s="7"/>
      <c r="L409" s="7"/>
      <c r="P409" s="7"/>
      <c r="Q409" s="7"/>
      <c r="R409" s="20"/>
      <c r="S409" s="20"/>
      <c r="T409" s="20"/>
      <c r="U409" s="9"/>
      <c r="V409" s="9"/>
      <c r="W409" s="9"/>
      <c r="X409" s="9"/>
      <c r="Y409" s="9"/>
    </row>
    <row r="410" spans="1:31" x14ac:dyDescent="0.2">
      <c r="F410" s="1"/>
      <c r="G410" s="2"/>
      <c r="I410" s="7"/>
      <c r="J410" s="7"/>
      <c r="K410" s="7"/>
      <c r="L410" s="7"/>
      <c r="M410" s="7"/>
      <c r="N410" s="7"/>
      <c r="P410" s="7"/>
      <c r="Q410" s="7"/>
      <c r="R410" s="7"/>
      <c r="S410" s="20"/>
      <c r="T410" s="20"/>
      <c r="U410" s="6"/>
      <c r="V410" s="6"/>
      <c r="W410" s="6"/>
      <c r="X410" s="6"/>
      <c r="Y410" s="6"/>
    </row>
    <row r="411" spans="1:31" x14ac:dyDescent="0.2">
      <c r="F411" s="1"/>
      <c r="G411" s="2"/>
      <c r="I411" s="7"/>
      <c r="J411" s="7"/>
      <c r="K411" s="7"/>
      <c r="L411" s="7"/>
      <c r="M411" s="7"/>
      <c r="P411" s="7"/>
      <c r="Q411" s="7"/>
      <c r="U411" s="6"/>
      <c r="V411" s="6"/>
      <c r="W411" s="6"/>
      <c r="X411" s="6"/>
      <c r="Y411" s="6"/>
    </row>
    <row r="412" spans="1:31" x14ac:dyDescent="0.2">
      <c r="F412" s="1"/>
      <c r="G412" s="2"/>
    </row>
    <row r="413" spans="1:31" x14ac:dyDescent="0.2">
      <c r="F413" s="1"/>
      <c r="G413" s="2"/>
    </row>
    <row r="414" spans="1:31" x14ac:dyDescent="0.2">
      <c r="F414" s="1"/>
      <c r="G414" s="2"/>
    </row>
    <row r="415" spans="1:31" x14ac:dyDescent="0.2">
      <c r="F415" s="1"/>
      <c r="G415" s="2"/>
    </row>
    <row r="416" spans="1:31" x14ac:dyDescent="0.2">
      <c r="A416" s="7"/>
      <c r="B416" s="7"/>
      <c r="C416" s="7"/>
      <c r="D416" s="7"/>
      <c r="F416" s="1"/>
      <c r="G416" s="3"/>
      <c r="I416" s="7"/>
      <c r="J416" s="7"/>
      <c r="K416" s="7"/>
      <c r="L416" s="7"/>
      <c r="M416" s="7"/>
      <c r="N416" s="7"/>
      <c r="O416" s="7"/>
      <c r="P416" s="7"/>
      <c r="Q416" s="7"/>
      <c r="R416" s="20"/>
      <c r="S416" s="20"/>
      <c r="T416" s="20"/>
      <c r="U416" s="9"/>
      <c r="V416" s="9"/>
      <c r="W416" s="9"/>
      <c r="X416" s="9"/>
      <c r="Y416" s="9"/>
    </row>
    <row r="417" spans="1:31" x14ac:dyDescent="0.2">
      <c r="F417" s="1"/>
      <c r="G417" s="2"/>
      <c r="J417" s="7"/>
      <c r="K417" s="7"/>
      <c r="L417" s="7"/>
      <c r="M417" s="7"/>
      <c r="N417" s="7"/>
      <c r="O417" s="7"/>
      <c r="P417" s="7"/>
      <c r="Q417" s="7"/>
      <c r="R417" s="7"/>
      <c r="S417" s="20"/>
      <c r="T417" s="20"/>
      <c r="U417" s="6"/>
      <c r="V417" s="6"/>
      <c r="W417" s="6"/>
      <c r="X417" s="6"/>
      <c r="Y417" s="6"/>
    </row>
    <row r="418" spans="1:31" x14ac:dyDescent="0.2">
      <c r="F418" s="1"/>
      <c r="G418" s="2"/>
      <c r="I418" s="7"/>
      <c r="J418" s="7"/>
      <c r="K418" s="7"/>
      <c r="L418" s="7"/>
      <c r="M418" s="7"/>
      <c r="P418" s="7"/>
      <c r="Q418" s="7"/>
      <c r="R418" s="7"/>
      <c r="S418" s="20"/>
      <c r="T418" s="20"/>
      <c r="U418" s="6"/>
      <c r="V418" s="6"/>
      <c r="W418" s="6"/>
      <c r="X418" s="6"/>
      <c r="Y418" s="6"/>
      <c r="Z418" s="6"/>
    </row>
    <row r="419" spans="1:31" x14ac:dyDescent="0.2">
      <c r="C419" s="7"/>
      <c r="D419" s="7"/>
      <c r="F419" s="1"/>
      <c r="G419" s="2"/>
      <c r="I419" s="7"/>
      <c r="J419" s="7"/>
      <c r="K419" s="7"/>
      <c r="L419" s="7"/>
      <c r="O419" s="7"/>
      <c r="P419" s="7"/>
      <c r="Q419" s="7"/>
      <c r="R419" s="20"/>
      <c r="S419" s="20"/>
      <c r="T419" s="20"/>
      <c r="U419" s="6"/>
      <c r="V419" s="6"/>
      <c r="W419" s="6"/>
      <c r="X419" s="6"/>
      <c r="Y419" s="6"/>
    </row>
    <row r="420" spans="1:31" x14ac:dyDescent="0.2">
      <c r="C420" s="7"/>
      <c r="D420" s="7"/>
      <c r="F420" s="1"/>
      <c r="G420" s="2"/>
      <c r="I420" s="7"/>
      <c r="J420" s="7"/>
      <c r="K420" s="7"/>
      <c r="L420" s="7"/>
      <c r="O420" s="7"/>
      <c r="P420" s="7"/>
      <c r="Q420" s="7"/>
      <c r="R420" s="20"/>
      <c r="S420" s="20"/>
      <c r="T420" s="20"/>
      <c r="U420" s="6"/>
      <c r="V420" s="6"/>
      <c r="W420" s="6"/>
      <c r="X420" s="6"/>
      <c r="Y420" s="6"/>
    </row>
    <row r="421" spans="1:31" x14ac:dyDescent="0.2">
      <c r="C421" s="7"/>
      <c r="D421" s="7"/>
      <c r="F421" s="1"/>
      <c r="G421" s="2"/>
      <c r="I421" s="7"/>
      <c r="J421" s="7"/>
      <c r="K421" s="7"/>
      <c r="L421" s="7"/>
      <c r="O421" s="7"/>
      <c r="P421" s="7"/>
      <c r="Q421" s="7"/>
      <c r="R421" s="20"/>
      <c r="S421" s="20"/>
      <c r="T421" s="20"/>
      <c r="U421" s="6"/>
      <c r="V421" s="6"/>
      <c r="W421" s="6"/>
      <c r="X421" s="6"/>
      <c r="Y421" s="6"/>
    </row>
    <row r="422" spans="1:31" x14ac:dyDescent="0.2">
      <c r="C422" s="7"/>
      <c r="D422" s="7"/>
      <c r="F422" s="1"/>
      <c r="G422" s="2"/>
      <c r="I422" s="7"/>
      <c r="J422" s="7"/>
      <c r="K422" s="7"/>
      <c r="L422" s="7"/>
      <c r="O422" s="7"/>
      <c r="P422" s="7"/>
      <c r="Q422" s="7"/>
      <c r="R422" s="20"/>
      <c r="S422" s="20"/>
      <c r="T422" s="20"/>
      <c r="U422" s="6"/>
      <c r="V422" s="6"/>
      <c r="W422" s="6"/>
      <c r="X422" s="6"/>
      <c r="Y422" s="6"/>
    </row>
    <row r="423" spans="1:31" x14ac:dyDescent="0.2">
      <c r="F423" s="1"/>
      <c r="G423" s="2"/>
      <c r="I423" s="7"/>
      <c r="J423" s="7"/>
      <c r="K423" s="7"/>
      <c r="L423" s="7"/>
      <c r="O423" s="7"/>
      <c r="P423" s="7"/>
      <c r="Q423" s="7"/>
      <c r="R423" s="7"/>
      <c r="S423" s="20"/>
      <c r="T423" s="20"/>
      <c r="U423" s="6"/>
      <c r="V423" s="6"/>
      <c r="W423" s="6"/>
      <c r="X423" s="6"/>
      <c r="Y423" s="6"/>
    </row>
    <row r="424" spans="1:31" x14ac:dyDescent="0.2">
      <c r="F424" s="1"/>
      <c r="G424" s="2"/>
      <c r="I424" s="7"/>
      <c r="J424" s="7"/>
      <c r="K424" s="7"/>
      <c r="L424" s="7"/>
      <c r="M424" s="7"/>
      <c r="P424" s="7"/>
      <c r="Q424" s="7"/>
      <c r="R424" s="7"/>
      <c r="S424" s="20"/>
      <c r="T424" s="20"/>
      <c r="U424" s="6"/>
      <c r="V424" s="6"/>
      <c r="W424" s="6"/>
      <c r="X424" s="6"/>
      <c r="Y424" s="6"/>
      <c r="Z424" s="6"/>
    </row>
    <row r="425" spans="1:31" x14ac:dyDescent="0.2">
      <c r="C425" s="7"/>
      <c r="D425" s="7"/>
      <c r="F425" s="1"/>
      <c r="G425" s="2"/>
      <c r="I425" s="7"/>
      <c r="J425" s="7"/>
      <c r="K425" s="7"/>
      <c r="L425" s="7"/>
      <c r="O425" s="7"/>
      <c r="P425" s="7"/>
      <c r="Q425" s="7"/>
      <c r="R425" s="20"/>
      <c r="S425" s="20"/>
      <c r="T425" s="20"/>
      <c r="U425" s="6"/>
      <c r="V425" s="6"/>
      <c r="W425" s="6"/>
      <c r="X425" s="6"/>
      <c r="Y425" s="6"/>
    </row>
    <row r="426" spans="1:31" x14ac:dyDescent="0.2">
      <c r="F426" s="1"/>
      <c r="G426" s="17"/>
      <c r="J426" s="7"/>
      <c r="K426" s="7"/>
      <c r="L426" s="7"/>
      <c r="M426" s="7"/>
      <c r="N426" s="7"/>
      <c r="O426" s="7"/>
      <c r="P426" s="7"/>
      <c r="Q426" s="7"/>
      <c r="R426" s="7"/>
      <c r="U426" s="6"/>
      <c r="V426" s="6"/>
      <c r="W426" s="6"/>
      <c r="X426" s="6"/>
      <c r="Y426" s="6"/>
    </row>
    <row r="427" spans="1:31" x14ac:dyDescent="0.2">
      <c r="C427" s="7"/>
      <c r="D427" s="7"/>
      <c r="F427" s="1"/>
      <c r="G427" s="2"/>
      <c r="I427" s="7"/>
      <c r="J427" s="7"/>
      <c r="K427" s="7"/>
      <c r="L427" s="7"/>
      <c r="O427" s="7"/>
      <c r="P427" s="7"/>
      <c r="Q427" s="7"/>
      <c r="R427" s="20"/>
      <c r="S427" s="20"/>
      <c r="T427" s="20"/>
      <c r="U427" s="6"/>
      <c r="V427" s="6"/>
      <c r="W427" s="6"/>
      <c r="X427" s="6"/>
      <c r="Y427" s="6"/>
    </row>
    <row r="428" spans="1:31" x14ac:dyDescent="0.2">
      <c r="F428" s="1"/>
      <c r="G428" s="2"/>
    </row>
    <row r="429" spans="1:31" x14ac:dyDescent="0.2">
      <c r="A429" s="7"/>
      <c r="B429" s="7"/>
      <c r="C429" s="7"/>
      <c r="D429" s="7"/>
      <c r="E429" s="7"/>
      <c r="F429" s="10"/>
      <c r="G429" s="8"/>
      <c r="H429" s="7"/>
      <c r="I429" s="7"/>
      <c r="J429" s="7"/>
      <c r="K429" s="7"/>
      <c r="L429" s="7"/>
      <c r="M429" s="7"/>
      <c r="N429" s="7"/>
      <c r="O429" s="7"/>
      <c r="P429" s="7"/>
      <c r="Q429" s="7"/>
      <c r="R429" s="20"/>
      <c r="S429" s="20"/>
      <c r="T429" s="20"/>
      <c r="U429" s="9"/>
      <c r="V429" s="9"/>
      <c r="W429" s="9"/>
      <c r="X429" s="9"/>
      <c r="Y429" s="9"/>
      <c r="AB429" s="7"/>
      <c r="AC429" s="7"/>
      <c r="AD429" s="7"/>
      <c r="AE429" s="7"/>
    </row>
    <row r="430" spans="1:31" x14ac:dyDescent="0.2">
      <c r="F430" s="1"/>
      <c r="G430" s="2"/>
      <c r="I430" s="7"/>
      <c r="J430" s="7"/>
      <c r="K430" s="7"/>
      <c r="L430" s="7"/>
      <c r="M430" s="7"/>
      <c r="P430" s="7"/>
      <c r="Q430" s="7"/>
      <c r="R430" s="7"/>
      <c r="S430" s="20"/>
      <c r="T430" s="20"/>
      <c r="U430" s="6"/>
      <c r="V430" s="6"/>
      <c r="W430" s="6"/>
      <c r="X430" s="6"/>
      <c r="Y430" s="6"/>
      <c r="Z430" s="6"/>
    </row>
    <row r="431" spans="1:31" x14ac:dyDescent="0.2">
      <c r="F431" s="1"/>
      <c r="G431" s="2"/>
      <c r="I431" s="7"/>
      <c r="J431" s="7"/>
      <c r="K431" s="7"/>
      <c r="L431" s="7"/>
      <c r="M431" s="7"/>
      <c r="P431" s="7"/>
      <c r="Q431" s="7"/>
      <c r="R431" s="7"/>
      <c r="S431" s="20"/>
      <c r="T431" s="20"/>
      <c r="U431" s="6"/>
      <c r="V431" s="6"/>
      <c r="W431" s="6"/>
      <c r="X431" s="6"/>
      <c r="Y431" s="6"/>
    </row>
    <row r="432" spans="1:31" x14ac:dyDescent="0.2">
      <c r="F432" s="1"/>
      <c r="G432" s="2"/>
      <c r="I432" s="7"/>
      <c r="J432" s="7"/>
      <c r="K432" s="7"/>
      <c r="L432" s="7"/>
      <c r="M432" s="7"/>
      <c r="O432" s="7"/>
      <c r="P432" s="7"/>
      <c r="Q432" s="7"/>
      <c r="R432" s="7"/>
      <c r="S432" s="20"/>
      <c r="T432" s="20"/>
      <c r="U432" s="6"/>
      <c r="V432" s="6"/>
      <c r="W432" s="6"/>
      <c r="X432" s="6"/>
      <c r="Y432" s="6"/>
    </row>
    <row r="433" spans="1:31" x14ac:dyDescent="0.2">
      <c r="F433" s="1"/>
      <c r="G433" s="2"/>
      <c r="I433" s="7"/>
      <c r="J433" s="7"/>
      <c r="K433" s="7"/>
      <c r="L433" s="7"/>
      <c r="M433" s="7"/>
      <c r="O433" s="7"/>
      <c r="P433" s="7"/>
      <c r="Q433" s="7"/>
      <c r="R433" s="7"/>
      <c r="S433" s="20"/>
      <c r="T433" s="20"/>
      <c r="U433" s="7"/>
      <c r="V433" s="6"/>
      <c r="W433" s="6"/>
      <c r="X433" s="6"/>
      <c r="Y433" s="6"/>
    </row>
    <row r="434" spans="1:31" x14ac:dyDescent="0.2">
      <c r="F434" s="1"/>
      <c r="G434" s="2"/>
      <c r="I434" s="7"/>
      <c r="J434" s="7"/>
      <c r="K434" s="7"/>
      <c r="L434" s="7"/>
      <c r="M434" s="7"/>
      <c r="N434" s="7"/>
      <c r="O434" s="7"/>
      <c r="P434" s="7"/>
      <c r="Q434" s="7"/>
      <c r="R434" s="20"/>
      <c r="S434" s="20"/>
      <c r="T434" s="20"/>
      <c r="U434" s="6"/>
      <c r="V434" s="6"/>
      <c r="W434" s="6"/>
      <c r="X434" s="6"/>
      <c r="Y434" s="6"/>
    </row>
    <row r="435" spans="1:31" x14ac:dyDescent="0.2">
      <c r="F435" s="1"/>
      <c r="G435" s="2"/>
      <c r="J435" s="7"/>
      <c r="K435" s="7"/>
      <c r="L435" s="7"/>
      <c r="M435" s="7"/>
      <c r="N435" s="7"/>
      <c r="O435" s="7"/>
      <c r="P435" s="7"/>
      <c r="Q435" s="7"/>
      <c r="R435" s="7"/>
      <c r="S435" s="20"/>
      <c r="T435" s="20"/>
      <c r="U435" s="6"/>
      <c r="V435" s="6"/>
      <c r="W435" s="6"/>
      <c r="X435" s="6"/>
      <c r="Y435" s="6"/>
    </row>
    <row r="436" spans="1:31" x14ac:dyDescent="0.2">
      <c r="F436" s="1"/>
      <c r="G436" s="2"/>
      <c r="J436" s="7"/>
      <c r="K436" s="7"/>
      <c r="L436" s="7"/>
      <c r="O436" s="7"/>
      <c r="Q436" s="7"/>
      <c r="R436" s="7"/>
      <c r="S436" s="20"/>
      <c r="T436" s="20"/>
      <c r="U436" s="6"/>
      <c r="V436" s="6"/>
      <c r="W436" s="6"/>
      <c r="X436" s="6"/>
      <c r="Y436" s="6"/>
    </row>
    <row r="437" spans="1:31" x14ac:dyDescent="0.2">
      <c r="F437" s="1"/>
    </row>
    <row r="438" spans="1:31" x14ac:dyDescent="0.2">
      <c r="F438" s="1"/>
      <c r="G438" s="2"/>
    </row>
    <row r="439" spans="1:31" x14ac:dyDescent="0.2">
      <c r="F439" s="1"/>
      <c r="G439" s="2"/>
    </row>
    <row r="440" spans="1:31" x14ac:dyDescent="0.2">
      <c r="F440" s="1"/>
      <c r="G440" s="2"/>
    </row>
    <row r="441" spans="1:31" x14ac:dyDescent="0.2">
      <c r="F441" s="1"/>
      <c r="G441" s="2"/>
    </row>
    <row r="442" spans="1:31" x14ac:dyDescent="0.2">
      <c r="F442" s="1"/>
      <c r="G442" s="2"/>
      <c r="R442" s="5"/>
    </row>
    <row r="443" spans="1:31" x14ac:dyDescent="0.2">
      <c r="F443" s="1"/>
      <c r="G443" s="2"/>
    </row>
    <row r="444" spans="1:31" x14ac:dyDescent="0.2">
      <c r="F444" s="1"/>
      <c r="G444" s="2"/>
      <c r="U444" s="6"/>
      <c r="V444" s="6"/>
      <c r="W444" s="6"/>
      <c r="X444" s="6"/>
      <c r="Y444" s="6"/>
    </row>
    <row r="445" spans="1:31" x14ac:dyDescent="0.2">
      <c r="A445" s="7"/>
      <c r="B445" s="7"/>
      <c r="C445" s="7"/>
      <c r="D445" s="7"/>
      <c r="E445" s="7"/>
      <c r="F445" s="10"/>
      <c r="G445" s="8"/>
      <c r="H445" s="7"/>
      <c r="I445" s="7"/>
      <c r="J445" s="7"/>
      <c r="K445" s="7"/>
      <c r="L445" s="7"/>
      <c r="M445" s="7"/>
      <c r="N445" s="7"/>
      <c r="P445" s="7"/>
      <c r="Q445" s="7"/>
      <c r="R445" s="7"/>
      <c r="S445" s="20"/>
      <c r="T445" s="20"/>
      <c r="U445" s="9"/>
      <c r="V445" s="9"/>
      <c r="W445" s="9"/>
      <c r="X445" s="9"/>
      <c r="Y445" s="9"/>
      <c r="AB445" s="7"/>
      <c r="AC445" s="7"/>
      <c r="AD445" s="7"/>
      <c r="AE445" s="7"/>
    </row>
    <row r="446" spans="1:31" x14ac:dyDescent="0.2">
      <c r="F446" s="1"/>
      <c r="G446" s="2"/>
    </row>
    <row r="447" spans="1:31" x14ac:dyDescent="0.2">
      <c r="F447" s="1"/>
      <c r="G447" s="2"/>
    </row>
    <row r="448" spans="1:31" x14ac:dyDescent="0.2">
      <c r="F448" s="1"/>
      <c r="G448" s="2"/>
    </row>
    <row r="449" spans="1:31" x14ac:dyDescent="0.2">
      <c r="A449" s="7"/>
      <c r="B449" s="7"/>
      <c r="C449" s="7"/>
      <c r="D449" s="7"/>
      <c r="E449" s="7"/>
      <c r="F449" s="10"/>
      <c r="G449" s="8"/>
      <c r="H449" s="7"/>
      <c r="I449" s="7"/>
      <c r="J449" s="7"/>
      <c r="K449" s="7"/>
      <c r="L449" s="7"/>
      <c r="M449" s="7"/>
      <c r="N449" s="7"/>
      <c r="O449" s="7"/>
      <c r="P449" s="7"/>
      <c r="Q449" s="7"/>
      <c r="R449" s="7"/>
      <c r="S449" s="20"/>
      <c r="T449" s="20"/>
      <c r="U449" s="9"/>
      <c r="V449" s="9"/>
      <c r="W449" s="9"/>
      <c r="X449" s="9"/>
      <c r="Y449" s="9"/>
      <c r="AB449" s="7"/>
      <c r="AC449" s="7"/>
      <c r="AD449" s="7"/>
      <c r="AE449" s="7"/>
    </row>
    <row r="450" spans="1:31" x14ac:dyDescent="0.2">
      <c r="F450" s="1"/>
      <c r="G450" s="2"/>
      <c r="J450" s="7"/>
      <c r="K450" s="7"/>
      <c r="S450" s="20"/>
      <c r="T450" s="20"/>
      <c r="U450" s="6"/>
      <c r="V450" s="6"/>
      <c r="W450" s="6"/>
      <c r="X450" s="6"/>
      <c r="Y450" s="6"/>
    </row>
    <row r="451" spans="1:31" x14ac:dyDescent="0.2">
      <c r="F451" s="1"/>
      <c r="G451" s="2"/>
      <c r="I451" s="7"/>
      <c r="J451" s="7"/>
      <c r="K451" s="7"/>
      <c r="L451" s="7"/>
      <c r="M451" s="7"/>
      <c r="N451" s="7"/>
      <c r="O451" s="7"/>
      <c r="P451" s="7"/>
      <c r="Q451" s="7"/>
      <c r="R451" s="7"/>
      <c r="S451" s="20"/>
      <c r="T451" s="20"/>
      <c r="U451" s="6"/>
      <c r="V451" s="6"/>
      <c r="W451" s="6"/>
      <c r="X451" s="6"/>
      <c r="Y451" s="6"/>
    </row>
    <row r="452" spans="1:31" x14ac:dyDescent="0.2">
      <c r="F452" s="1"/>
      <c r="G452" s="2"/>
      <c r="I452" s="7"/>
      <c r="J452" s="7"/>
      <c r="K452" s="7"/>
      <c r="L452" s="7"/>
      <c r="M452" s="7"/>
      <c r="P452" s="7"/>
      <c r="Q452" s="7"/>
      <c r="R452" s="7"/>
      <c r="S452" s="20"/>
      <c r="T452" s="20"/>
      <c r="U452" s="6"/>
      <c r="V452" s="6"/>
      <c r="W452" s="6"/>
      <c r="X452" s="6"/>
      <c r="Y452" s="6"/>
    </row>
    <row r="453" spans="1:31" x14ac:dyDescent="0.2">
      <c r="F453" s="1"/>
      <c r="G453" s="2"/>
      <c r="I453" s="7"/>
      <c r="J453" s="7"/>
      <c r="K453" s="7"/>
      <c r="L453" s="7"/>
      <c r="P453" s="7"/>
      <c r="Q453" s="7"/>
      <c r="R453" s="7"/>
      <c r="S453" s="20"/>
      <c r="T453" s="20"/>
      <c r="U453" s="6"/>
      <c r="V453" s="6"/>
      <c r="W453" s="6"/>
      <c r="X453" s="6"/>
      <c r="Y453" s="6"/>
      <c r="Z453" s="6"/>
    </row>
    <row r="454" spans="1:31" x14ac:dyDescent="0.2">
      <c r="F454" s="1"/>
      <c r="G454" s="2"/>
      <c r="J454" s="7"/>
      <c r="K454" s="7"/>
      <c r="S454" s="20"/>
      <c r="T454" s="20"/>
      <c r="U454" s="7"/>
      <c r="V454" s="6"/>
      <c r="W454" s="6"/>
      <c r="X454" s="6"/>
      <c r="Y454" s="6"/>
    </row>
    <row r="455" spans="1:31" x14ac:dyDescent="0.2">
      <c r="F455" s="1"/>
      <c r="G455" s="2"/>
    </row>
    <row r="456" spans="1:31" x14ac:dyDescent="0.2">
      <c r="F456" s="1"/>
      <c r="G456" s="2"/>
    </row>
    <row r="457" spans="1:31" x14ac:dyDescent="0.2">
      <c r="F457" s="1"/>
      <c r="G457" s="2"/>
    </row>
    <row r="458" spans="1:31" x14ac:dyDescent="0.2">
      <c r="F458" s="1"/>
      <c r="G458" s="2"/>
    </row>
    <row r="459" spans="1:31" x14ac:dyDescent="0.2">
      <c r="F459" s="1"/>
      <c r="G459" s="2"/>
    </row>
    <row r="460" spans="1:31" x14ac:dyDescent="0.2">
      <c r="F460" s="1"/>
      <c r="G460" s="2"/>
    </row>
    <row r="461" spans="1:31" x14ac:dyDescent="0.2">
      <c r="F461" s="1"/>
      <c r="G461" s="2"/>
    </row>
    <row r="462" spans="1:31" x14ac:dyDescent="0.2">
      <c r="F462" s="1"/>
      <c r="G462" s="2"/>
    </row>
    <row r="463" spans="1:31" x14ac:dyDescent="0.2">
      <c r="F463" s="1"/>
      <c r="G463" s="2"/>
    </row>
    <row r="464" spans="1:31" x14ac:dyDescent="0.2">
      <c r="F464" s="1"/>
      <c r="G464" s="2"/>
      <c r="U464" s="6"/>
      <c r="V464" s="6"/>
      <c r="W464" s="6"/>
      <c r="X464" s="6"/>
      <c r="Y464" s="6"/>
    </row>
    <row r="465" spans="1:31" x14ac:dyDescent="0.2">
      <c r="F465" s="1"/>
      <c r="G465" s="2"/>
    </row>
    <row r="466" spans="1:31" x14ac:dyDescent="0.2">
      <c r="F466" s="1"/>
      <c r="G466" s="2"/>
      <c r="U466" s="6"/>
      <c r="V466" s="6"/>
      <c r="W466" s="6"/>
      <c r="X466" s="6"/>
      <c r="Y466" s="6"/>
    </row>
    <row r="467" spans="1:31" x14ac:dyDescent="0.2">
      <c r="F467" s="1"/>
      <c r="G467" s="2"/>
      <c r="U467" s="6"/>
      <c r="V467" s="6"/>
      <c r="W467" s="6"/>
      <c r="X467" s="6"/>
      <c r="Y467" s="6"/>
    </row>
    <row r="468" spans="1:31" x14ac:dyDescent="0.2">
      <c r="F468" s="1"/>
      <c r="G468" s="2"/>
      <c r="U468" s="6"/>
      <c r="V468" s="6"/>
      <c r="W468" s="6"/>
      <c r="X468" s="6"/>
      <c r="Y468" s="6"/>
    </row>
    <row r="469" spans="1:31" x14ac:dyDescent="0.2">
      <c r="F469" s="1"/>
      <c r="G469" s="3"/>
      <c r="U469" s="6"/>
      <c r="V469" s="6"/>
      <c r="W469" s="6"/>
      <c r="X469" s="6"/>
      <c r="Y469" s="6"/>
    </row>
    <row r="470" spans="1:31" x14ac:dyDescent="0.2">
      <c r="A470" s="7"/>
      <c r="B470" s="7"/>
      <c r="C470" s="7"/>
      <c r="D470" s="7"/>
      <c r="E470" s="7"/>
      <c r="F470" s="10"/>
      <c r="G470" s="8"/>
      <c r="H470" s="7"/>
      <c r="I470" s="7"/>
      <c r="J470" s="7"/>
      <c r="K470" s="7"/>
      <c r="L470" s="7"/>
      <c r="M470" s="7"/>
      <c r="N470" s="7"/>
      <c r="O470" s="7"/>
      <c r="P470" s="7"/>
      <c r="Q470" s="7"/>
      <c r="R470" s="7"/>
      <c r="S470" s="20"/>
      <c r="T470" s="20"/>
      <c r="U470" s="9"/>
      <c r="V470" s="9"/>
      <c r="W470" s="9"/>
      <c r="X470" s="9"/>
      <c r="Y470" s="9"/>
      <c r="AB470" s="7"/>
      <c r="AC470" s="7"/>
      <c r="AD470" s="7"/>
      <c r="AE470" s="7"/>
    </row>
    <row r="471" spans="1:31" x14ac:dyDescent="0.2">
      <c r="A471" s="7"/>
      <c r="B471" s="7"/>
      <c r="C471" s="7"/>
      <c r="D471" s="7"/>
      <c r="F471" s="1"/>
      <c r="G471" s="2"/>
      <c r="I471" s="7"/>
      <c r="J471" s="7"/>
      <c r="K471" s="7"/>
      <c r="L471" s="7"/>
      <c r="P471" s="7"/>
      <c r="Q471" s="7"/>
      <c r="R471" s="7"/>
      <c r="S471" s="20"/>
      <c r="T471" s="20"/>
      <c r="U471" s="9"/>
      <c r="V471" s="9"/>
      <c r="W471" s="9"/>
      <c r="X471" s="9"/>
      <c r="Y471" s="9"/>
    </row>
    <row r="472" spans="1:31" x14ac:dyDescent="0.2">
      <c r="A472" s="7"/>
      <c r="B472" s="7"/>
      <c r="C472" s="7"/>
      <c r="D472" s="7"/>
      <c r="F472" s="1"/>
      <c r="G472" s="2"/>
      <c r="I472" s="7"/>
      <c r="J472" s="7"/>
      <c r="K472" s="7"/>
      <c r="L472" s="7"/>
      <c r="P472" s="7"/>
      <c r="Q472" s="7"/>
      <c r="R472" s="7"/>
      <c r="S472" s="20"/>
      <c r="T472" s="20"/>
      <c r="U472" s="9"/>
      <c r="V472" s="9"/>
      <c r="W472" s="9"/>
      <c r="X472" s="9"/>
      <c r="Y472" s="9"/>
    </row>
    <row r="473" spans="1:31" x14ac:dyDescent="0.2">
      <c r="F473" s="1"/>
      <c r="G473" s="2"/>
      <c r="U473" s="6"/>
      <c r="V473" s="6"/>
      <c r="W473" s="6"/>
      <c r="X473" s="6"/>
      <c r="Y473" s="6"/>
    </row>
    <row r="474" spans="1:31" x14ac:dyDescent="0.2">
      <c r="F474" s="1"/>
      <c r="G474" s="2"/>
      <c r="U474" s="6"/>
      <c r="V474" s="6"/>
      <c r="W474" s="6"/>
      <c r="X474" s="6"/>
      <c r="Y474" s="6"/>
    </row>
    <row r="475" spans="1:31" x14ac:dyDescent="0.2">
      <c r="F475" s="1"/>
      <c r="G475" s="2"/>
      <c r="U475" s="6"/>
      <c r="V475" s="6"/>
      <c r="W475" s="6"/>
      <c r="X475" s="6"/>
      <c r="Y475" s="6"/>
    </row>
    <row r="476" spans="1:31" x14ac:dyDescent="0.2">
      <c r="F476" s="1"/>
      <c r="G476" s="2"/>
      <c r="U476" s="6"/>
      <c r="V476" s="6"/>
      <c r="W476" s="6"/>
      <c r="X476" s="6"/>
      <c r="Y476" s="6"/>
    </row>
    <row r="477" spans="1:31" x14ac:dyDescent="0.2">
      <c r="F477" s="1"/>
      <c r="G477" s="2"/>
      <c r="U477" s="6"/>
      <c r="V477" s="6"/>
      <c r="W477" s="6"/>
      <c r="X477" s="6"/>
      <c r="Y477" s="6"/>
    </row>
    <row r="478" spans="1:31" x14ac:dyDescent="0.2">
      <c r="F478" s="1"/>
      <c r="G478" s="2"/>
    </row>
    <row r="479" spans="1:31" x14ac:dyDescent="0.2">
      <c r="F479" s="1"/>
      <c r="G479" s="2"/>
    </row>
    <row r="480" spans="1:31" x14ac:dyDescent="0.2">
      <c r="F480" s="1"/>
      <c r="G480" s="2"/>
    </row>
    <row r="481" spans="1:31" x14ac:dyDescent="0.2">
      <c r="F481" s="1"/>
      <c r="G481" s="2"/>
    </row>
    <row r="482" spans="1:31" x14ac:dyDescent="0.2">
      <c r="F482" s="1"/>
      <c r="G482" s="2"/>
    </row>
    <row r="483" spans="1:31" x14ac:dyDescent="0.2">
      <c r="F483" s="1"/>
      <c r="G483" s="2"/>
    </row>
    <row r="484" spans="1:31" x14ac:dyDescent="0.2">
      <c r="F484" s="1"/>
      <c r="G484" s="2"/>
    </row>
    <row r="485" spans="1:31" x14ac:dyDescent="0.2">
      <c r="F485" s="1"/>
      <c r="G485" s="2"/>
    </row>
    <row r="486" spans="1:31" x14ac:dyDescent="0.2">
      <c r="F486" s="1"/>
      <c r="G486" s="2"/>
    </row>
    <row r="487" spans="1:31" x14ac:dyDescent="0.2">
      <c r="F487" s="1"/>
      <c r="G487" s="2"/>
    </row>
    <row r="488" spans="1:31" x14ac:dyDescent="0.2">
      <c r="F488" s="1"/>
      <c r="G488" s="2"/>
    </row>
    <row r="489" spans="1:31" x14ac:dyDescent="0.2">
      <c r="F489" s="1"/>
      <c r="G489" s="2"/>
      <c r="U489" s="6"/>
      <c r="V489" s="6"/>
      <c r="W489" s="6"/>
      <c r="X489" s="6"/>
      <c r="Y489" s="6"/>
    </row>
    <row r="490" spans="1:31" x14ac:dyDescent="0.2">
      <c r="F490" s="1"/>
      <c r="G490" s="2"/>
      <c r="U490" s="6"/>
      <c r="V490" s="6"/>
      <c r="W490" s="6"/>
      <c r="X490" s="6"/>
      <c r="Y490" s="6"/>
    </row>
    <row r="491" spans="1:31" x14ac:dyDescent="0.2">
      <c r="F491" s="1"/>
      <c r="G491" s="2"/>
      <c r="U491" s="6"/>
      <c r="V491" s="6"/>
      <c r="W491" s="6"/>
      <c r="X491" s="6"/>
    </row>
    <row r="492" spans="1:31" x14ac:dyDescent="0.2">
      <c r="F492" s="1"/>
      <c r="G492" s="3"/>
      <c r="U492" s="6"/>
      <c r="V492" s="6"/>
      <c r="W492" s="6"/>
      <c r="X492" s="6"/>
      <c r="Y492" s="6"/>
    </row>
    <row r="493" spans="1:31" x14ac:dyDescent="0.2">
      <c r="A493" s="7"/>
      <c r="B493" s="7"/>
      <c r="C493" s="7"/>
      <c r="D493" s="7"/>
      <c r="E493" s="7"/>
      <c r="F493" s="10"/>
      <c r="G493" s="8"/>
      <c r="H493" s="7"/>
      <c r="I493" s="7"/>
      <c r="J493" s="7"/>
      <c r="K493" s="7"/>
      <c r="L493" s="7"/>
      <c r="M493" s="7"/>
      <c r="N493" s="7"/>
      <c r="O493" s="7"/>
      <c r="P493" s="7"/>
      <c r="Q493" s="7"/>
      <c r="R493" s="7"/>
      <c r="S493" s="20"/>
      <c r="T493" s="20"/>
      <c r="U493" s="9"/>
      <c r="V493" s="9"/>
      <c r="W493" s="9"/>
      <c r="X493" s="9"/>
      <c r="Y493" s="9"/>
      <c r="AB493" s="7"/>
      <c r="AC493" s="7"/>
      <c r="AD493" s="7"/>
      <c r="AE493" s="7"/>
    </row>
    <row r="494" spans="1:31" x14ac:dyDescent="0.2">
      <c r="A494" s="7"/>
      <c r="B494" s="7"/>
      <c r="C494" s="7"/>
      <c r="D494" s="7"/>
      <c r="F494" s="1"/>
      <c r="G494" s="2"/>
      <c r="I494" s="7"/>
      <c r="J494" s="7"/>
      <c r="K494" s="7"/>
      <c r="L494" s="7"/>
      <c r="O494" s="7"/>
      <c r="P494" s="7"/>
      <c r="Q494" s="7"/>
      <c r="R494" s="7"/>
      <c r="S494" s="20"/>
      <c r="T494" s="20"/>
      <c r="U494" s="6"/>
      <c r="V494" s="6"/>
      <c r="W494" s="6"/>
      <c r="X494" s="6"/>
      <c r="Y494" s="6"/>
    </row>
    <row r="495" spans="1:31" x14ac:dyDescent="0.2">
      <c r="C495" s="7"/>
      <c r="D495" s="7"/>
      <c r="F495" s="1"/>
      <c r="G495" s="2"/>
      <c r="I495" s="7"/>
      <c r="J495" s="7"/>
      <c r="K495" s="7"/>
      <c r="L495" s="7"/>
      <c r="O495" s="7"/>
      <c r="P495" s="7"/>
      <c r="Q495" s="7"/>
      <c r="R495" s="7"/>
      <c r="S495" s="20"/>
      <c r="T495" s="20"/>
      <c r="U495" s="6"/>
      <c r="V495" s="6"/>
      <c r="W495" s="6"/>
      <c r="X495" s="6"/>
      <c r="Y495" s="6"/>
    </row>
    <row r="496" spans="1:31" x14ac:dyDescent="0.2">
      <c r="C496" s="7"/>
      <c r="D496" s="7"/>
      <c r="F496" s="1"/>
      <c r="G496" s="2"/>
      <c r="I496" s="7"/>
      <c r="J496" s="7"/>
      <c r="K496" s="7"/>
      <c r="L496" s="7"/>
      <c r="O496" s="7"/>
      <c r="P496" s="7"/>
      <c r="Q496" s="7"/>
      <c r="R496" s="7"/>
      <c r="S496" s="20"/>
      <c r="T496" s="20"/>
      <c r="U496" s="6"/>
      <c r="V496" s="6"/>
      <c r="W496" s="6"/>
      <c r="X496" s="6"/>
      <c r="Y496" s="6"/>
    </row>
    <row r="497" spans="1:31" x14ac:dyDescent="0.2">
      <c r="A497" s="4"/>
      <c r="B497" s="4"/>
      <c r="C497" s="4"/>
      <c r="D497" s="4"/>
      <c r="E497" s="4"/>
      <c r="F497" s="13"/>
      <c r="G497" s="14"/>
      <c r="H497" s="4"/>
      <c r="I497" s="4"/>
      <c r="J497" s="4"/>
      <c r="K497" s="4"/>
      <c r="L497" s="4"/>
      <c r="M497" s="4"/>
      <c r="N497" s="4"/>
      <c r="O497" s="4"/>
      <c r="P497" s="4"/>
      <c r="Q497" s="4"/>
      <c r="R497" s="4"/>
      <c r="S497" s="21"/>
      <c r="T497" s="21"/>
      <c r="U497" s="15"/>
      <c r="V497" s="15"/>
      <c r="W497" s="15"/>
      <c r="X497" s="15"/>
      <c r="Y497" s="15"/>
      <c r="AB497" s="15"/>
      <c r="AC497" s="4"/>
      <c r="AD497" s="4"/>
      <c r="AE497" s="4"/>
    </row>
    <row r="498" spans="1:31" x14ac:dyDescent="0.2">
      <c r="A498" s="4"/>
      <c r="B498" s="4"/>
      <c r="C498" s="4"/>
      <c r="D498" s="4"/>
      <c r="E498" s="4"/>
      <c r="F498" s="13"/>
      <c r="G498" s="14"/>
      <c r="H498" s="4"/>
      <c r="I498" s="4"/>
      <c r="J498" s="4"/>
      <c r="K498" s="4"/>
      <c r="L498" s="4"/>
      <c r="M498" s="4"/>
      <c r="N498" s="4"/>
      <c r="O498" s="4"/>
      <c r="P498" s="4"/>
      <c r="Q498" s="4"/>
      <c r="R498" s="4"/>
      <c r="S498" s="21"/>
      <c r="T498" s="21"/>
      <c r="U498" s="15"/>
      <c r="V498" s="15"/>
      <c r="W498" s="15"/>
      <c r="X498" s="15"/>
      <c r="Y498" s="15"/>
      <c r="AB498" s="4"/>
      <c r="AC498" s="4"/>
      <c r="AD498" s="4"/>
      <c r="AE498" s="4"/>
    </row>
    <row r="499" spans="1:31" x14ac:dyDescent="0.2">
      <c r="C499" s="7"/>
      <c r="D499" s="7"/>
      <c r="F499" s="1"/>
      <c r="G499" s="2"/>
      <c r="I499" s="7"/>
      <c r="J499" s="7"/>
      <c r="K499" s="7"/>
      <c r="L499" s="7"/>
      <c r="O499" s="7"/>
      <c r="P499" s="7"/>
      <c r="Q499" s="7"/>
      <c r="R499" s="20"/>
      <c r="S499" s="20"/>
      <c r="T499" s="20"/>
      <c r="U499" s="6"/>
      <c r="V499" s="6"/>
      <c r="W499" s="6"/>
      <c r="X499" s="6"/>
      <c r="Y499" s="6"/>
    </row>
    <row r="500" spans="1:31" x14ac:dyDescent="0.2">
      <c r="C500" s="7"/>
      <c r="D500" s="7"/>
      <c r="F500" s="1"/>
      <c r="G500" s="2"/>
      <c r="I500" s="7"/>
      <c r="J500" s="7"/>
      <c r="K500" s="7"/>
      <c r="L500" s="7"/>
      <c r="O500" s="7"/>
      <c r="P500" s="7"/>
      <c r="Q500" s="7"/>
      <c r="R500" s="20"/>
      <c r="S500" s="20"/>
      <c r="T500" s="20"/>
      <c r="U500" s="6"/>
      <c r="V500" s="6"/>
      <c r="W500" s="6"/>
      <c r="X500" s="6"/>
    </row>
    <row r="501" spans="1:31" x14ac:dyDescent="0.2">
      <c r="C501" s="7"/>
      <c r="D501" s="7"/>
      <c r="F501" s="1"/>
      <c r="G501" s="2"/>
      <c r="I501" s="7"/>
      <c r="J501" s="7"/>
      <c r="K501" s="7"/>
      <c r="L501" s="7"/>
      <c r="O501" s="7"/>
      <c r="P501" s="7"/>
      <c r="Q501" s="7"/>
      <c r="R501" s="20"/>
      <c r="S501" s="20"/>
      <c r="T501" s="20"/>
      <c r="U501" s="6"/>
      <c r="V501" s="6"/>
      <c r="W501" s="6"/>
      <c r="X501" s="6"/>
      <c r="Y501" s="6"/>
    </row>
    <row r="502" spans="1:31" x14ac:dyDescent="0.2">
      <c r="F502" s="1"/>
      <c r="G502" s="2"/>
      <c r="I502" s="7"/>
      <c r="J502" s="7"/>
      <c r="K502" s="7"/>
      <c r="L502" s="7"/>
      <c r="O502" s="7"/>
      <c r="P502" s="7"/>
      <c r="Q502" s="7"/>
      <c r="R502" s="7"/>
      <c r="S502" s="20"/>
      <c r="T502" s="20"/>
      <c r="U502" s="6"/>
      <c r="V502" s="6"/>
      <c r="W502" s="6"/>
      <c r="X502" s="6"/>
      <c r="Y502" s="6"/>
    </row>
    <row r="503" spans="1:31" x14ac:dyDescent="0.2">
      <c r="F503" s="1"/>
      <c r="G503" s="2"/>
      <c r="I503" s="7"/>
      <c r="J503" s="7"/>
      <c r="K503" s="7"/>
      <c r="L503" s="7"/>
      <c r="M503" s="7"/>
      <c r="N503" s="7"/>
      <c r="O503" s="7"/>
      <c r="P503" s="7"/>
      <c r="Q503" s="7"/>
      <c r="R503" s="7"/>
      <c r="S503" s="20"/>
      <c r="T503" s="20"/>
      <c r="U503" s="6"/>
      <c r="V503" s="6"/>
      <c r="W503" s="6"/>
      <c r="X503" s="6"/>
      <c r="Y503" s="6"/>
    </row>
    <row r="504" spans="1:31" x14ac:dyDescent="0.2">
      <c r="F504" s="1"/>
      <c r="G504" s="2"/>
      <c r="I504" s="7"/>
      <c r="J504" s="7"/>
      <c r="K504" s="7"/>
      <c r="L504" s="7"/>
      <c r="M504" s="7"/>
      <c r="N504" s="7"/>
      <c r="O504" s="7"/>
      <c r="P504" s="7"/>
      <c r="Q504" s="7"/>
      <c r="R504" s="7"/>
      <c r="S504" s="20"/>
      <c r="T504" s="20"/>
      <c r="U504" s="6"/>
      <c r="V504" s="6"/>
      <c r="W504" s="6"/>
      <c r="X504" s="6"/>
      <c r="Y504" s="6"/>
    </row>
    <row r="505" spans="1:31" x14ac:dyDescent="0.2">
      <c r="F505" s="1"/>
      <c r="G505" s="2"/>
      <c r="I505" s="7"/>
      <c r="J505" s="7"/>
      <c r="K505" s="7"/>
      <c r="L505" s="7"/>
      <c r="O505" s="7"/>
      <c r="P505" s="7"/>
      <c r="Q505" s="7"/>
      <c r="R505" s="7"/>
      <c r="S505" s="20"/>
      <c r="T505" s="20"/>
      <c r="U505" s="6"/>
      <c r="V505" s="6"/>
      <c r="W505" s="6"/>
      <c r="X505" s="6"/>
      <c r="Y505" s="6"/>
    </row>
    <row r="506" spans="1:31" x14ac:dyDescent="0.2">
      <c r="F506" s="1"/>
      <c r="G506" s="2"/>
      <c r="J506" s="7"/>
      <c r="K506" s="7"/>
      <c r="L506" s="7"/>
      <c r="M506" s="7"/>
      <c r="N506" s="7"/>
      <c r="O506" s="7"/>
      <c r="P506" s="7"/>
      <c r="Q506" s="7"/>
      <c r="R506" s="20"/>
      <c r="S506" s="20"/>
      <c r="T506" s="20"/>
      <c r="U506" s="6"/>
      <c r="V506" s="6"/>
      <c r="W506" s="6"/>
      <c r="X506" s="6"/>
    </row>
    <row r="507" spans="1:31" x14ac:dyDescent="0.2">
      <c r="F507" s="1"/>
      <c r="G507" s="2"/>
      <c r="J507" s="7"/>
      <c r="K507" s="7"/>
      <c r="L507" s="7"/>
      <c r="M507" s="7"/>
      <c r="N507" s="7"/>
      <c r="O507" s="7"/>
      <c r="P507" s="7"/>
      <c r="Q507" s="7"/>
      <c r="R507" s="20"/>
      <c r="S507" s="20"/>
      <c r="T507" s="20"/>
      <c r="U507" s="6"/>
      <c r="V507" s="6"/>
      <c r="W507" s="6"/>
      <c r="X507" s="6"/>
      <c r="Y507" s="6"/>
    </row>
    <row r="508" spans="1:31" x14ac:dyDescent="0.2">
      <c r="F508" s="1"/>
      <c r="G508" s="2"/>
      <c r="J508" s="7"/>
      <c r="Q508" s="7"/>
      <c r="R508" s="7"/>
      <c r="S508" s="20"/>
      <c r="T508" s="20"/>
      <c r="U508" s="6"/>
      <c r="V508" s="6"/>
      <c r="W508" s="6"/>
      <c r="X508" s="6"/>
      <c r="Y508" s="6"/>
    </row>
    <row r="509" spans="1:31" x14ac:dyDescent="0.2">
      <c r="F509" s="1"/>
      <c r="G509" s="2"/>
      <c r="I509" s="7"/>
      <c r="J509" s="7"/>
      <c r="K509" s="7"/>
      <c r="U509" s="6"/>
      <c r="V509" s="6"/>
      <c r="W509" s="6"/>
      <c r="X509" s="6"/>
      <c r="Y509" s="6"/>
    </row>
    <row r="510" spans="1:31" x14ac:dyDescent="0.2">
      <c r="F510" s="1"/>
      <c r="G510" s="2"/>
      <c r="I510" s="7"/>
      <c r="J510" s="7"/>
      <c r="K510" s="7"/>
      <c r="U510" s="6"/>
      <c r="V510" s="6"/>
      <c r="W510" s="6"/>
      <c r="X510" s="6"/>
      <c r="Y510" s="6"/>
    </row>
    <row r="511" spans="1:31" x14ac:dyDescent="0.2">
      <c r="F511" s="1"/>
      <c r="G511" s="2"/>
      <c r="I511" s="7"/>
      <c r="J511" s="7"/>
      <c r="K511" s="7"/>
      <c r="L511" s="7"/>
      <c r="M511" s="7"/>
      <c r="N511" s="7"/>
      <c r="O511" s="7"/>
      <c r="P511" s="7"/>
      <c r="Q511" s="7"/>
      <c r="R511" s="7"/>
      <c r="S511" s="20"/>
      <c r="T511" s="20"/>
      <c r="U511" s="6"/>
      <c r="V511" s="6"/>
      <c r="W511" s="6"/>
      <c r="X511" s="6"/>
      <c r="Y511" s="6"/>
    </row>
    <row r="512" spans="1:31" x14ac:dyDescent="0.2">
      <c r="F512" s="1"/>
      <c r="G512" s="2"/>
      <c r="I512" s="7"/>
      <c r="J512" s="7"/>
      <c r="K512" s="7"/>
      <c r="L512" s="7"/>
      <c r="M512" s="7"/>
      <c r="O512" s="7"/>
      <c r="P512" s="7"/>
      <c r="Q512" s="7"/>
      <c r="R512" s="7"/>
      <c r="S512" s="20"/>
      <c r="T512" s="20"/>
      <c r="U512" s="6"/>
      <c r="V512" s="6"/>
      <c r="W512" s="6"/>
      <c r="X512" s="6"/>
      <c r="Y512" s="6"/>
    </row>
    <row r="513" spans="6:26" x14ac:dyDescent="0.2">
      <c r="F513" s="1"/>
      <c r="G513" s="2"/>
      <c r="I513" s="7"/>
      <c r="K513" s="7"/>
      <c r="L513" s="7"/>
      <c r="M513" s="7"/>
      <c r="O513" s="7"/>
      <c r="P513" s="7"/>
      <c r="Q513" s="7"/>
      <c r="R513" s="7"/>
      <c r="S513" s="20"/>
      <c r="T513" s="20"/>
      <c r="U513" s="6"/>
      <c r="V513" s="6"/>
      <c r="W513" s="6"/>
      <c r="X513" s="6"/>
      <c r="Y513" s="6"/>
    </row>
    <row r="514" spans="6:26" x14ac:dyDescent="0.2">
      <c r="F514" s="1"/>
      <c r="G514" s="2"/>
      <c r="I514" s="7"/>
      <c r="K514" s="7"/>
      <c r="L514" s="7"/>
      <c r="M514" s="7"/>
      <c r="O514" s="7"/>
      <c r="P514" s="7"/>
      <c r="Q514" s="7"/>
      <c r="R514" s="7"/>
      <c r="S514" s="20"/>
      <c r="T514" s="20"/>
      <c r="U514" s="6"/>
      <c r="V514" s="6"/>
      <c r="W514" s="6"/>
      <c r="X514" s="6"/>
      <c r="Y514" s="6"/>
    </row>
    <row r="515" spans="6:26" x14ac:dyDescent="0.2">
      <c r="F515" s="1"/>
      <c r="G515" s="2"/>
      <c r="I515" s="7"/>
      <c r="K515" s="7"/>
      <c r="L515" s="7"/>
      <c r="M515" s="7"/>
      <c r="O515" s="7"/>
      <c r="P515" s="7"/>
      <c r="Q515" s="7"/>
      <c r="R515" s="7"/>
      <c r="S515" s="20"/>
      <c r="T515" s="20"/>
      <c r="U515" s="6"/>
      <c r="V515" s="6"/>
      <c r="W515" s="6"/>
      <c r="X515" s="6"/>
      <c r="Y515" s="6"/>
    </row>
    <row r="516" spans="6:26" x14ac:dyDescent="0.2">
      <c r="F516" s="1"/>
      <c r="G516" s="2"/>
      <c r="I516" s="7"/>
      <c r="K516" s="7"/>
      <c r="L516" s="7"/>
      <c r="M516" s="7"/>
      <c r="O516" s="7"/>
      <c r="P516" s="7"/>
      <c r="Q516" s="7"/>
      <c r="R516" s="7"/>
      <c r="S516" s="20"/>
      <c r="T516" s="20"/>
      <c r="U516" s="6"/>
      <c r="V516" s="6"/>
      <c r="W516" s="6"/>
      <c r="X516" s="6"/>
      <c r="Y516" s="6"/>
    </row>
    <row r="517" spans="6:26" x14ac:dyDescent="0.2">
      <c r="F517" s="1"/>
      <c r="G517" s="2"/>
      <c r="I517" s="7"/>
      <c r="K517" s="7"/>
      <c r="L517" s="7"/>
      <c r="M517" s="7"/>
      <c r="O517" s="7"/>
      <c r="P517" s="7"/>
      <c r="Q517" s="7"/>
      <c r="R517" s="7"/>
      <c r="S517" s="20"/>
      <c r="T517" s="20"/>
      <c r="U517" s="6"/>
      <c r="V517" s="6"/>
      <c r="W517" s="6"/>
      <c r="X517" s="6"/>
      <c r="Y517" s="6"/>
    </row>
    <row r="518" spans="6:26" x14ac:dyDescent="0.2">
      <c r="F518" s="1"/>
      <c r="G518" s="2"/>
      <c r="I518" s="7"/>
      <c r="K518" s="7"/>
      <c r="L518" s="7"/>
      <c r="M518" s="7"/>
      <c r="O518" s="7"/>
      <c r="P518" s="7"/>
      <c r="Q518" s="7"/>
      <c r="R518" s="7"/>
      <c r="S518" s="20"/>
      <c r="T518" s="20"/>
      <c r="U518" s="6"/>
      <c r="V518" s="6"/>
      <c r="W518" s="6"/>
      <c r="X518" s="6"/>
      <c r="Y518" s="6"/>
    </row>
    <row r="519" spans="6:26" x14ac:dyDescent="0.2">
      <c r="F519" s="1"/>
      <c r="G519" s="2"/>
      <c r="I519" s="7"/>
      <c r="K519" s="7"/>
      <c r="L519" s="7"/>
      <c r="M519" s="7"/>
      <c r="O519" s="7"/>
      <c r="P519" s="7"/>
      <c r="Q519" s="7"/>
      <c r="R519" s="7"/>
      <c r="S519" s="20"/>
      <c r="T519" s="20"/>
      <c r="U519" s="6"/>
      <c r="V519" s="6"/>
      <c r="W519" s="6"/>
      <c r="X519" s="6"/>
      <c r="Y519" s="6"/>
    </row>
    <row r="520" spans="6:26" x14ac:dyDescent="0.2">
      <c r="F520" s="1"/>
      <c r="G520" s="2"/>
      <c r="I520" s="7"/>
      <c r="K520" s="7"/>
      <c r="L520" s="7"/>
      <c r="M520" s="7"/>
      <c r="O520" s="7"/>
      <c r="P520" s="7"/>
      <c r="Q520" s="7"/>
      <c r="R520" s="7"/>
      <c r="S520" s="20"/>
      <c r="T520" s="20"/>
      <c r="U520" s="6"/>
      <c r="V520" s="6"/>
      <c r="W520" s="6"/>
      <c r="X520" s="6"/>
      <c r="Y520" s="6"/>
    </row>
    <row r="521" spans="6:26" x14ac:dyDescent="0.2">
      <c r="F521" s="1"/>
      <c r="G521" s="2"/>
      <c r="I521" s="7"/>
      <c r="J521" s="7"/>
      <c r="K521" s="7"/>
      <c r="L521" s="7"/>
      <c r="M521" s="7"/>
      <c r="O521" s="7"/>
      <c r="P521" s="7"/>
      <c r="Q521" s="7"/>
      <c r="S521" s="20"/>
      <c r="T521" s="20"/>
      <c r="U521" s="6"/>
      <c r="V521" s="6"/>
      <c r="W521" s="6"/>
      <c r="X521" s="6"/>
      <c r="Y521" s="6"/>
    </row>
    <row r="522" spans="6:26" x14ac:dyDescent="0.2">
      <c r="F522" s="1"/>
      <c r="G522" s="2"/>
      <c r="I522" s="7"/>
      <c r="J522" s="7"/>
      <c r="K522" s="7"/>
      <c r="L522" s="7"/>
      <c r="M522" s="7"/>
      <c r="P522" s="7"/>
      <c r="Q522" s="7"/>
      <c r="R522" s="7"/>
      <c r="S522" s="20"/>
      <c r="T522" s="20"/>
      <c r="U522" s="6"/>
      <c r="V522" s="6"/>
      <c r="W522" s="6"/>
      <c r="Y522" s="6"/>
      <c r="Z522" s="6"/>
    </row>
    <row r="523" spans="6:26" x14ac:dyDescent="0.2">
      <c r="F523" s="1"/>
      <c r="G523" s="2"/>
      <c r="I523" s="7"/>
      <c r="J523" s="7"/>
      <c r="K523" s="7"/>
      <c r="L523" s="7"/>
      <c r="M523" s="7"/>
      <c r="P523" s="7"/>
      <c r="Q523" s="7"/>
      <c r="R523" s="7"/>
      <c r="S523" s="20"/>
      <c r="T523" s="20"/>
      <c r="U523" s="6"/>
      <c r="V523" s="6"/>
      <c r="W523" s="6"/>
      <c r="X523" s="6"/>
      <c r="Y523" s="6"/>
      <c r="Z523" s="6"/>
    </row>
    <row r="524" spans="6:26" x14ac:dyDescent="0.2">
      <c r="F524" s="1"/>
      <c r="G524" s="2"/>
      <c r="I524" s="7"/>
      <c r="J524" s="7"/>
      <c r="K524" s="7"/>
      <c r="L524" s="7"/>
      <c r="M524" s="7"/>
      <c r="P524" s="7"/>
      <c r="Q524" s="7"/>
      <c r="R524" s="7"/>
      <c r="S524" s="20"/>
      <c r="T524" s="20"/>
      <c r="U524" s="6"/>
      <c r="V524" s="6"/>
      <c r="W524" s="6"/>
      <c r="X524" s="6"/>
      <c r="Y524" s="6"/>
    </row>
    <row r="525" spans="6:26" x14ac:dyDescent="0.2">
      <c r="F525" s="1"/>
      <c r="G525" s="2"/>
      <c r="I525" s="7"/>
      <c r="J525" s="7"/>
      <c r="K525" s="7"/>
      <c r="L525" s="7"/>
      <c r="M525" s="7"/>
      <c r="P525" s="7"/>
      <c r="Q525" s="7"/>
      <c r="R525" s="7"/>
      <c r="S525" s="20"/>
      <c r="T525" s="20"/>
      <c r="U525" s="6"/>
      <c r="V525" s="6"/>
      <c r="W525" s="6"/>
      <c r="X525" s="6"/>
      <c r="Y525" s="6"/>
    </row>
    <row r="526" spans="6:26" x14ac:dyDescent="0.2">
      <c r="F526" s="1"/>
      <c r="G526" s="2"/>
      <c r="I526" s="7"/>
      <c r="J526" s="7"/>
      <c r="K526" s="7"/>
      <c r="L526" s="7"/>
      <c r="M526" s="7"/>
      <c r="P526" s="7"/>
      <c r="Q526" s="7"/>
      <c r="R526" s="7"/>
      <c r="S526" s="20"/>
      <c r="T526" s="20"/>
      <c r="U526" s="6"/>
      <c r="V526" s="6"/>
      <c r="W526" s="6"/>
      <c r="X526" s="6"/>
      <c r="Y526" s="6"/>
    </row>
    <row r="527" spans="6:26" x14ac:dyDescent="0.2">
      <c r="F527" s="1"/>
      <c r="G527" s="2"/>
      <c r="I527" s="7"/>
      <c r="J527" s="7"/>
      <c r="K527" s="7"/>
      <c r="L527" s="7"/>
      <c r="M527" s="7"/>
      <c r="P527" s="7"/>
      <c r="Q527" s="7"/>
      <c r="R527" s="7"/>
      <c r="S527" s="20"/>
      <c r="T527" s="20"/>
      <c r="U527" s="6"/>
      <c r="V527" s="6"/>
      <c r="W527" s="6"/>
      <c r="X527" s="6"/>
      <c r="Y527" s="6"/>
    </row>
    <row r="528" spans="6:26" x14ac:dyDescent="0.2">
      <c r="F528" s="1"/>
      <c r="G528" s="2"/>
      <c r="I528" s="7"/>
      <c r="J528" s="7"/>
      <c r="K528" s="7"/>
      <c r="L528" s="7"/>
      <c r="M528" s="7"/>
      <c r="P528" s="7"/>
      <c r="Q528" s="7"/>
      <c r="R528" s="7"/>
      <c r="S528" s="20"/>
      <c r="T528" s="20"/>
      <c r="U528" s="6"/>
      <c r="V528" s="6"/>
      <c r="W528" s="6"/>
      <c r="X528" s="6"/>
      <c r="Y528" s="6"/>
    </row>
    <row r="529" spans="6:26" x14ac:dyDescent="0.2">
      <c r="F529" s="1"/>
      <c r="G529" s="2"/>
      <c r="I529" s="7"/>
      <c r="J529" s="7"/>
      <c r="K529" s="7"/>
      <c r="L529" s="7"/>
      <c r="M529" s="7"/>
      <c r="P529" s="7"/>
      <c r="Q529" s="7"/>
      <c r="R529" s="7"/>
      <c r="S529" s="20"/>
      <c r="T529" s="20"/>
      <c r="U529" s="6"/>
      <c r="V529" s="6"/>
      <c r="W529" s="6"/>
      <c r="X529" s="6"/>
      <c r="Y529" s="6"/>
    </row>
    <row r="530" spans="6:26" x14ac:dyDescent="0.2">
      <c r="F530" s="1"/>
      <c r="G530" s="2"/>
      <c r="I530" s="7"/>
      <c r="J530" s="7"/>
      <c r="K530" s="7"/>
      <c r="L530" s="7"/>
      <c r="M530" s="7"/>
      <c r="P530" s="7"/>
      <c r="Q530" s="7"/>
      <c r="R530" s="7"/>
      <c r="S530" s="20"/>
      <c r="T530" s="20"/>
      <c r="U530" s="6"/>
      <c r="V530" s="6"/>
      <c r="W530" s="6"/>
      <c r="X530" s="6"/>
      <c r="Y530" s="6"/>
    </row>
    <row r="531" spans="6:26" x14ac:dyDescent="0.2">
      <c r="F531" s="1"/>
      <c r="G531" s="2"/>
      <c r="I531" s="7"/>
      <c r="J531" s="7"/>
      <c r="K531" s="7"/>
      <c r="L531" s="7"/>
      <c r="M531" s="7"/>
      <c r="P531" s="7"/>
      <c r="Q531" s="7"/>
      <c r="R531" s="7"/>
      <c r="S531" s="20"/>
      <c r="T531" s="20"/>
      <c r="U531" s="6"/>
      <c r="V531" s="6"/>
      <c r="W531" s="6"/>
      <c r="X531" s="6"/>
      <c r="Y531" s="6"/>
    </row>
    <row r="532" spans="6:26" x14ac:dyDescent="0.2">
      <c r="F532" s="1"/>
      <c r="G532" s="2"/>
      <c r="I532" s="7"/>
      <c r="J532" s="7"/>
      <c r="K532" s="7"/>
      <c r="L532" s="7"/>
      <c r="P532" s="7"/>
      <c r="Q532" s="7"/>
      <c r="R532" s="7"/>
      <c r="S532" s="20"/>
      <c r="T532" s="20"/>
      <c r="U532" s="6"/>
      <c r="V532" s="6"/>
      <c r="W532" s="6"/>
      <c r="X532" s="6"/>
      <c r="Y532" s="6"/>
      <c r="Z532" s="6"/>
    </row>
    <row r="533" spans="6:26" x14ac:dyDescent="0.2">
      <c r="F533" s="1"/>
      <c r="G533" s="2"/>
      <c r="I533" s="7"/>
      <c r="J533" s="7"/>
      <c r="K533" s="7"/>
      <c r="L533" s="7"/>
      <c r="P533" s="7"/>
      <c r="Q533" s="7"/>
      <c r="R533" s="7"/>
      <c r="S533" s="20"/>
      <c r="T533" s="20"/>
      <c r="U533" s="6"/>
      <c r="V533" s="6"/>
      <c r="W533" s="6"/>
      <c r="X533" s="6"/>
      <c r="Y533" s="6"/>
      <c r="Z533" s="6"/>
    </row>
    <row r="534" spans="6:26" x14ac:dyDescent="0.2">
      <c r="F534" s="1"/>
      <c r="G534" s="2"/>
      <c r="I534" s="7"/>
      <c r="J534" s="7"/>
      <c r="K534" s="7"/>
      <c r="L534" s="7"/>
      <c r="P534" s="7"/>
      <c r="Q534" s="7"/>
      <c r="R534" s="7"/>
      <c r="S534" s="20"/>
      <c r="T534" s="20"/>
      <c r="U534" s="6"/>
      <c r="V534" s="6"/>
      <c r="W534" s="6"/>
      <c r="X534" s="6"/>
      <c r="Y534" s="6"/>
      <c r="Z534" s="6"/>
    </row>
    <row r="535" spans="6:26" x14ac:dyDescent="0.2">
      <c r="F535" s="1"/>
      <c r="G535" s="2"/>
      <c r="I535" s="7"/>
      <c r="J535" s="7"/>
      <c r="K535" s="7"/>
      <c r="L535" s="7"/>
      <c r="M535" s="7"/>
      <c r="P535" s="7"/>
      <c r="Q535" s="7"/>
      <c r="R535" s="7"/>
      <c r="S535" s="20"/>
      <c r="T535" s="20"/>
      <c r="U535" s="6"/>
      <c r="V535" s="6"/>
      <c r="W535" s="6"/>
      <c r="X535" s="6"/>
      <c r="Y535" s="6"/>
      <c r="Z535" s="6"/>
    </row>
    <row r="536" spans="6:26" x14ac:dyDescent="0.2">
      <c r="F536" s="1"/>
      <c r="G536" s="2"/>
      <c r="I536" s="7"/>
      <c r="J536" s="7"/>
      <c r="K536" s="7"/>
      <c r="L536" s="7"/>
      <c r="P536" s="7"/>
      <c r="Q536" s="7"/>
      <c r="R536" s="7"/>
      <c r="S536" s="20"/>
      <c r="T536" s="20"/>
      <c r="U536" s="6"/>
      <c r="V536" s="6"/>
      <c r="W536" s="6"/>
      <c r="X536" s="6"/>
      <c r="Y536" s="6"/>
      <c r="Z536" s="6"/>
    </row>
    <row r="537" spans="6:26" x14ac:dyDescent="0.2">
      <c r="F537" s="1"/>
      <c r="G537" s="2"/>
      <c r="I537" s="7"/>
      <c r="J537" s="7"/>
      <c r="K537" s="7"/>
      <c r="L537" s="7"/>
      <c r="P537" s="7"/>
      <c r="Q537" s="7"/>
      <c r="R537" s="7"/>
      <c r="S537" s="20"/>
      <c r="T537" s="20"/>
      <c r="U537" s="6"/>
      <c r="V537" s="6"/>
      <c r="W537" s="6"/>
      <c r="X537" s="6"/>
      <c r="Y537" s="6"/>
      <c r="Z537" s="6"/>
    </row>
    <row r="538" spans="6:26" x14ac:dyDescent="0.2">
      <c r="F538" s="1"/>
      <c r="G538" s="2"/>
      <c r="I538" s="7"/>
      <c r="J538" s="7"/>
      <c r="K538" s="7"/>
      <c r="L538" s="7"/>
      <c r="P538" s="7"/>
      <c r="Q538" s="7"/>
      <c r="R538" s="7"/>
      <c r="S538" s="20"/>
      <c r="T538" s="20"/>
      <c r="U538" s="6"/>
      <c r="V538" s="6"/>
      <c r="W538" s="6"/>
      <c r="X538" s="6"/>
      <c r="Y538" s="6"/>
      <c r="Z538" s="6"/>
    </row>
    <row r="539" spans="6:26" x14ac:dyDescent="0.2">
      <c r="F539" s="1"/>
      <c r="G539" s="2"/>
      <c r="I539" s="7"/>
      <c r="J539" s="7"/>
      <c r="K539" s="7"/>
      <c r="L539" s="7"/>
      <c r="P539" s="7"/>
      <c r="Q539" s="7"/>
      <c r="R539" s="7"/>
      <c r="S539" s="20"/>
      <c r="T539" s="20"/>
      <c r="U539" s="6"/>
      <c r="V539" s="6"/>
      <c r="W539" s="6"/>
      <c r="X539" s="6"/>
      <c r="Y539" s="6"/>
      <c r="Z539" s="6"/>
    </row>
    <row r="540" spans="6:26" x14ac:dyDescent="0.2">
      <c r="F540" s="1"/>
      <c r="G540" s="2"/>
      <c r="I540" s="7"/>
      <c r="J540" s="7"/>
      <c r="K540" s="7"/>
      <c r="L540" s="7"/>
      <c r="P540" s="7"/>
      <c r="Q540" s="7"/>
      <c r="R540" s="7"/>
      <c r="S540" s="20"/>
      <c r="T540" s="20"/>
      <c r="U540" s="6"/>
      <c r="V540" s="6"/>
      <c r="W540" s="6"/>
      <c r="X540" s="6"/>
      <c r="Y540" s="6"/>
      <c r="Z540" s="6"/>
    </row>
    <row r="541" spans="6:26" x14ac:dyDescent="0.2">
      <c r="F541" s="1"/>
      <c r="G541" s="2"/>
      <c r="I541" s="7"/>
      <c r="J541" s="7"/>
      <c r="K541" s="7"/>
      <c r="L541" s="7"/>
      <c r="P541" s="7"/>
      <c r="Q541" s="7"/>
      <c r="R541" s="7"/>
      <c r="S541" s="20"/>
      <c r="T541" s="20"/>
      <c r="U541" s="6"/>
      <c r="V541" s="6"/>
      <c r="W541" s="6"/>
      <c r="X541" s="6"/>
      <c r="Y541" s="6"/>
      <c r="Z541" s="6"/>
    </row>
    <row r="542" spans="6:26" x14ac:dyDescent="0.2">
      <c r="F542" s="1"/>
      <c r="G542" s="2"/>
      <c r="I542" s="7"/>
      <c r="J542" s="7"/>
      <c r="K542" s="7"/>
      <c r="L542" s="7"/>
      <c r="P542" s="7"/>
      <c r="Q542" s="7"/>
      <c r="R542" s="7"/>
      <c r="S542" s="20"/>
      <c r="T542" s="20"/>
      <c r="U542" s="6"/>
      <c r="V542" s="6"/>
      <c r="W542" s="6"/>
      <c r="X542" s="6"/>
      <c r="Y542" s="6"/>
      <c r="Z542" s="6"/>
    </row>
    <row r="543" spans="6:26" x14ac:dyDescent="0.2">
      <c r="F543" s="1"/>
      <c r="G543" s="2"/>
      <c r="I543" s="7"/>
      <c r="J543" s="7"/>
      <c r="K543" s="7"/>
      <c r="L543" s="7"/>
      <c r="P543" s="7"/>
      <c r="Q543" s="7"/>
      <c r="R543" s="7"/>
      <c r="S543" s="20"/>
      <c r="T543" s="20"/>
      <c r="U543" s="6"/>
      <c r="V543" s="6"/>
      <c r="W543" s="6"/>
      <c r="X543" s="6"/>
      <c r="Y543" s="6"/>
      <c r="Z543" s="6"/>
    </row>
    <row r="544" spans="6:26" x14ac:dyDescent="0.2">
      <c r="F544" s="1"/>
      <c r="G544" s="2"/>
      <c r="I544" s="7"/>
      <c r="J544" s="7"/>
      <c r="K544" s="7"/>
      <c r="L544" s="7"/>
      <c r="P544" s="7"/>
      <c r="Q544" s="7"/>
      <c r="R544" s="7"/>
      <c r="S544" s="20"/>
      <c r="T544" s="20"/>
      <c r="U544" s="6"/>
      <c r="V544" s="6"/>
      <c r="W544" s="6"/>
      <c r="X544" s="6"/>
      <c r="Y544" s="6"/>
      <c r="Z544" s="6"/>
    </row>
    <row r="545" spans="6:26" x14ac:dyDescent="0.2">
      <c r="F545" s="1"/>
      <c r="G545" s="2"/>
      <c r="I545" s="7"/>
      <c r="J545" s="7"/>
      <c r="K545" s="7"/>
      <c r="L545" s="7"/>
      <c r="P545" s="7"/>
      <c r="Q545" s="7"/>
      <c r="R545" s="7"/>
      <c r="S545" s="20"/>
      <c r="T545" s="20"/>
      <c r="U545" s="6"/>
      <c r="V545" s="6"/>
      <c r="W545" s="6"/>
      <c r="X545" s="6"/>
      <c r="Y545" s="6"/>
      <c r="Z545" s="6"/>
    </row>
    <row r="546" spans="6:26" x14ac:dyDescent="0.2">
      <c r="F546" s="1"/>
      <c r="G546" s="2"/>
      <c r="I546" s="7"/>
      <c r="J546" s="7"/>
      <c r="K546" s="7"/>
      <c r="L546" s="7"/>
      <c r="P546" s="7"/>
      <c r="Q546" s="7"/>
      <c r="R546" s="7"/>
      <c r="S546" s="20"/>
      <c r="T546" s="20"/>
      <c r="U546" s="6"/>
      <c r="V546" s="6"/>
      <c r="W546" s="6"/>
      <c r="X546" s="6"/>
      <c r="Y546" s="6"/>
      <c r="Z546" s="6"/>
    </row>
    <row r="547" spans="6:26" x14ac:dyDescent="0.2">
      <c r="F547" s="1"/>
      <c r="G547" s="2"/>
      <c r="I547" s="7"/>
      <c r="J547" s="7"/>
      <c r="K547" s="7"/>
      <c r="L547" s="7"/>
      <c r="P547" s="7"/>
      <c r="Q547" s="7"/>
      <c r="R547" s="7"/>
      <c r="S547" s="20"/>
      <c r="T547" s="20"/>
      <c r="U547" s="6"/>
      <c r="V547" s="6"/>
      <c r="W547" s="6"/>
      <c r="X547" s="6"/>
      <c r="Y547" s="6"/>
      <c r="Z547" s="6"/>
    </row>
    <row r="548" spans="6:26" x14ac:dyDescent="0.2">
      <c r="F548" s="1"/>
      <c r="G548" s="2"/>
      <c r="I548" s="7"/>
      <c r="J548" s="7"/>
      <c r="K548" s="7"/>
      <c r="L548" s="7"/>
      <c r="P548" s="7"/>
      <c r="Q548" s="7"/>
      <c r="R548" s="7"/>
      <c r="S548" s="20"/>
      <c r="T548" s="20"/>
      <c r="U548" s="6"/>
      <c r="V548" s="6"/>
      <c r="W548" s="6"/>
      <c r="X548" s="6"/>
      <c r="Y548" s="6"/>
      <c r="Z548" s="6"/>
    </row>
    <row r="549" spans="6:26" x14ac:dyDescent="0.2">
      <c r="F549" s="1"/>
      <c r="G549" s="2"/>
      <c r="I549" s="7"/>
      <c r="J549" s="7"/>
      <c r="K549" s="7"/>
      <c r="L549" s="7"/>
      <c r="P549" s="7"/>
      <c r="Q549" s="7"/>
      <c r="R549" s="7"/>
      <c r="S549" s="20"/>
      <c r="T549" s="20"/>
      <c r="U549" s="6"/>
      <c r="V549" s="6"/>
      <c r="W549" s="6"/>
      <c r="X549" s="6"/>
      <c r="Y549" s="6"/>
      <c r="Z549" s="6"/>
    </row>
    <row r="550" spans="6:26" x14ac:dyDescent="0.2">
      <c r="F550" s="1"/>
      <c r="G550" s="2"/>
      <c r="I550" s="7"/>
      <c r="J550" s="7"/>
      <c r="K550" s="7"/>
      <c r="L550" s="7"/>
      <c r="P550" s="7"/>
      <c r="Q550" s="7"/>
      <c r="R550" s="7"/>
      <c r="S550" s="20"/>
      <c r="T550" s="20"/>
      <c r="U550" s="6"/>
      <c r="V550" s="6"/>
      <c r="W550" s="6"/>
      <c r="X550" s="6"/>
      <c r="Y550" s="6"/>
      <c r="Z550" s="6"/>
    </row>
    <row r="551" spans="6:26" x14ac:dyDescent="0.2">
      <c r="F551" s="1"/>
      <c r="G551" s="2"/>
      <c r="I551" s="7"/>
      <c r="J551" s="7"/>
      <c r="K551" s="7"/>
      <c r="L551" s="7"/>
      <c r="P551" s="7"/>
      <c r="Q551" s="7"/>
      <c r="R551" s="7"/>
      <c r="S551" s="20"/>
      <c r="T551" s="20"/>
      <c r="U551" s="6"/>
      <c r="V551" s="6"/>
      <c r="W551" s="6"/>
      <c r="X551" s="6"/>
      <c r="Y551" s="6"/>
      <c r="Z551" s="6"/>
    </row>
    <row r="552" spans="6:26" x14ac:dyDescent="0.2">
      <c r="F552" s="1"/>
      <c r="G552" s="2"/>
      <c r="I552" s="7"/>
      <c r="J552" s="7"/>
      <c r="K552" s="7"/>
      <c r="L552" s="7"/>
      <c r="P552" s="7"/>
      <c r="Q552" s="7"/>
      <c r="R552" s="7"/>
      <c r="S552" s="20"/>
      <c r="T552" s="20"/>
      <c r="U552" s="6"/>
      <c r="V552" s="6"/>
      <c r="W552" s="6"/>
      <c r="X552" s="6"/>
      <c r="Y552" s="6"/>
      <c r="Z552" s="6"/>
    </row>
    <row r="553" spans="6:26" x14ac:dyDescent="0.2">
      <c r="F553" s="1"/>
      <c r="G553" s="2"/>
      <c r="I553" s="7"/>
      <c r="J553" s="7"/>
      <c r="K553" s="7"/>
      <c r="L553" s="7"/>
      <c r="P553" s="7"/>
      <c r="Q553" s="7"/>
      <c r="R553" s="7"/>
      <c r="S553" s="20"/>
      <c r="T553" s="20"/>
      <c r="U553" s="6"/>
      <c r="V553" s="6"/>
      <c r="W553" s="6"/>
      <c r="X553" s="6"/>
      <c r="Y553" s="6"/>
      <c r="Z553" s="6"/>
    </row>
    <row r="554" spans="6:26" x14ac:dyDescent="0.2">
      <c r="F554" s="1"/>
      <c r="G554" s="2"/>
      <c r="I554" s="7"/>
      <c r="J554" s="7"/>
      <c r="K554" s="7"/>
      <c r="L554" s="7"/>
      <c r="P554" s="7"/>
      <c r="Q554" s="7"/>
      <c r="R554" s="7"/>
      <c r="S554" s="20"/>
      <c r="T554" s="20"/>
      <c r="U554" s="6"/>
      <c r="V554" s="6"/>
      <c r="W554" s="6"/>
      <c r="X554" s="6"/>
      <c r="Y554" s="6"/>
      <c r="Z554" s="6"/>
    </row>
    <row r="555" spans="6:26" x14ac:dyDescent="0.2">
      <c r="F555" s="1"/>
      <c r="G555" s="2"/>
      <c r="I555" s="7"/>
      <c r="J555" s="7"/>
      <c r="K555" s="7"/>
      <c r="L555" s="7"/>
      <c r="P555" s="7"/>
      <c r="Q555" s="7"/>
      <c r="R555" s="7"/>
      <c r="S555" s="20"/>
      <c r="T555" s="20"/>
      <c r="U555" s="6"/>
      <c r="V555" s="6"/>
      <c r="W555" s="6"/>
      <c r="X555" s="6"/>
      <c r="Y555" s="6"/>
      <c r="Z555" s="6"/>
    </row>
    <row r="556" spans="6:26" x14ac:dyDescent="0.2">
      <c r="F556" s="1"/>
      <c r="G556" s="2"/>
      <c r="I556" s="7"/>
      <c r="J556" s="7"/>
      <c r="K556" s="7"/>
      <c r="L556" s="7"/>
      <c r="P556" s="7"/>
      <c r="Q556" s="7"/>
      <c r="R556" s="7"/>
      <c r="S556" s="20"/>
      <c r="T556" s="20"/>
      <c r="U556" s="6"/>
      <c r="V556" s="6"/>
      <c r="W556" s="6"/>
      <c r="X556" s="6"/>
      <c r="Y556" s="6"/>
      <c r="Z556" s="6"/>
    </row>
    <row r="557" spans="6:26" x14ac:dyDescent="0.2">
      <c r="F557" s="1"/>
      <c r="G557" s="2"/>
      <c r="J557" s="7"/>
      <c r="K557" s="7"/>
      <c r="P557" s="7"/>
      <c r="Q557" s="7"/>
      <c r="R557" s="7"/>
      <c r="S557" s="20"/>
      <c r="T557" s="20"/>
      <c r="U557" s="6"/>
      <c r="V557" s="6"/>
      <c r="W557" s="6"/>
      <c r="X557" s="6"/>
      <c r="Y557" s="6"/>
      <c r="Z557" s="6"/>
    </row>
    <row r="558" spans="6:26" x14ac:dyDescent="0.2">
      <c r="F558" s="1"/>
      <c r="G558" s="2"/>
      <c r="J558" s="7"/>
      <c r="K558" s="7"/>
      <c r="P558" s="7"/>
      <c r="Q558" s="7"/>
      <c r="R558" s="7"/>
      <c r="S558" s="20"/>
      <c r="T558" s="20"/>
      <c r="U558" s="6"/>
      <c r="V558" s="6"/>
      <c r="W558" s="6"/>
      <c r="X558" s="6"/>
      <c r="Y558" s="6"/>
      <c r="Z558" s="6"/>
    </row>
    <row r="559" spans="6:26" x14ac:dyDescent="0.2">
      <c r="F559" s="1"/>
      <c r="G559" s="2"/>
      <c r="J559" s="7"/>
      <c r="K559" s="7"/>
      <c r="L559" s="7"/>
      <c r="P559" s="7"/>
      <c r="Q559" s="7"/>
      <c r="R559" s="7"/>
      <c r="S559" s="20"/>
      <c r="T559" s="20"/>
      <c r="U559" s="6"/>
      <c r="V559" s="6"/>
      <c r="W559" s="6"/>
      <c r="X559" s="6"/>
      <c r="Y559" s="6"/>
      <c r="Z559" s="6"/>
    </row>
    <row r="560" spans="6:26" x14ac:dyDescent="0.2">
      <c r="F560" s="1"/>
      <c r="G560" s="2"/>
      <c r="J560" s="7"/>
      <c r="K560" s="7"/>
      <c r="L560" s="7"/>
      <c r="P560" s="7"/>
      <c r="Q560" s="7"/>
      <c r="R560" s="7"/>
      <c r="S560" s="20"/>
      <c r="T560" s="20"/>
      <c r="U560" s="6"/>
      <c r="V560" s="6"/>
      <c r="W560" s="6"/>
      <c r="X560" s="6"/>
      <c r="Y560" s="6"/>
      <c r="Z560" s="6"/>
    </row>
    <row r="561" spans="6:26" x14ac:dyDescent="0.2">
      <c r="F561" s="1"/>
      <c r="G561" s="2"/>
      <c r="J561" s="7"/>
      <c r="L561" s="7"/>
      <c r="P561" s="7"/>
      <c r="Q561" s="7"/>
      <c r="R561" s="7"/>
      <c r="S561" s="20"/>
      <c r="T561" s="20"/>
      <c r="U561" s="6"/>
      <c r="V561" s="6"/>
      <c r="W561" s="6"/>
      <c r="X561" s="6"/>
      <c r="Y561" s="6"/>
      <c r="Z561" s="6"/>
    </row>
    <row r="562" spans="6:26" x14ac:dyDescent="0.2">
      <c r="F562" s="1"/>
      <c r="G562" s="2"/>
      <c r="J562" s="7"/>
      <c r="P562" s="7"/>
      <c r="Q562" s="7"/>
      <c r="R562" s="7"/>
      <c r="S562" s="20"/>
      <c r="T562" s="20"/>
      <c r="U562" s="6"/>
      <c r="V562" s="6"/>
      <c r="W562" s="6"/>
      <c r="X562" s="6"/>
      <c r="Y562" s="6"/>
      <c r="Z562" s="6"/>
    </row>
    <row r="563" spans="6:26" x14ac:dyDescent="0.2">
      <c r="F563" s="1"/>
      <c r="G563" s="2"/>
      <c r="J563" s="7"/>
      <c r="P563" s="7"/>
      <c r="Q563" s="7"/>
      <c r="R563" s="7"/>
      <c r="S563" s="20"/>
      <c r="T563" s="20"/>
      <c r="U563" s="6"/>
      <c r="V563" s="6"/>
      <c r="W563" s="6"/>
      <c r="X563" s="6"/>
      <c r="Y563" s="6"/>
      <c r="Z563" s="6"/>
    </row>
    <row r="564" spans="6:26" x14ac:dyDescent="0.2">
      <c r="F564" s="1"/>
      <c r="G564" s="2"/>
      <c r="J564" s="7"/>
      <c r="P564" s="7"/>
      <c r="Q564" s="7"/>
      <c r="R564" s="7"/>
      <c r="S564" s="20"/>
      <c r="T564" s="20"/>
      <c r="U564" s="6"/>
      <c r="V564" s="6"/>
      <c r="W564" s="6"/>
      <c r="X564" s="6"/>
      <c r="Y564" s="6"/>
      <c r="Z564" s="6"/>
    </row>
    <row r="565" spans="6:26" x14ac:dyDescent="0.2">
      <c r="F565" s="1"/>
      <c r="G565" s="2"/>
      <c r="J565" s="7"/>
      <c r="P565" s="7"/>
      <c r="Q565" s="7"/>
      <c r="R565" s="7"/>
      <c r="S565" s="20"/>
      <c r="T565" s="20"/>
      <c r="U565" s="9"/>
      <c r="V565" s="6"/>
      <c r="W565" s="6"/>
      <c r="X565" s="6"/>
      <c r="Y565" s="6"/>
      <c r="Z565" s="6"/>
    </row>
    <row r="566" spans="6:26" x14ac:dyDescent="0.2">
      <c r="F566" s="1"/>
      <c r="G566" s="2"/>
      <c r="J566" s="7"/>
      <c r="P566" s="7"/>
      <c r="Q566" s="7"/>
      <c r="R566" s="7"/>
      <c r="S566" s="20"/>
      <c r="T566" s="20"/>
      <c r="U566" s="9"/>
      <c r="V566" s="6"/>
      <c r="W566" s="6"/>
      <c r="X566" s="6"/>
      <c r="Y566" s="6"/>
      <c r="Z566" s="6"/>
    </row>
    <row r="567" spans="6:26" x14ac:dyDescent="0.2">
      <c r="F567" s="1"/>
      <c r="G567" s="2"/>
      <c r="J567" s="7"/>
      <c r="P567" s="7"/>
      <c r="Q567" s="7"/>
      <c r="R567" s="7"/>
      <c r="S567" s="20"/>
      <c r="T567" s="20"/>
      <c r="U567" s="9"/>
      <c r="V567" s="6"/>
      <c r="W567" s="6"/>
      <c r="X567" s="6"/>
      <c r="Y567" s="6"/>
      <c r="Z567" s="6"/>
    </row>
    <row r="568" spans="6:26" x14ac:dyDescent="0.2">
      <c r="F568" s="1"/>
      <c r="G568" s="2"/>
      <c r="J568" s="7"/>
      <c r="P568" s="7"/>
      <c r="Q568" s="7"/>
      <c r="R568" s="7"/>
      <c r="S568" s="20"/>
      <c r="T568" s="20"/>
      <c r="U568" s="9"/>
      <c r="V568" s="6"/>
      <c r="W568" s="6"/>
      <c r="X568" s="6"/>
      <c r="Y568" s="6"/>
      <c r="Z568" s="6"/>
    </row>
    <row r="569" spans="6:26" x14ac:dyDescent="0.2">
      <c r="F569" s="1"/>
      <c r="G569" s="2"/>
      <c r="J569" s="7"/>
      <c r="P569" s="7"/>
      <c r="Q569" s="7"/>
      <c r="R569" s="7"/>
      <c r="S569" s="20"/>
      <c r="T569" s="20"/>
      <c r="U569" s="9"/>
      <c r="V569" s="6"/>
      <c r="W569" s="6"/>
      <c r="X569" s="6"/>
      <c r="Y569" s="6"/>
      <c r="Z569" s="6"/>
    </row>
    <row r="570" spans="6:26" x14ac:dyDescent="0.2">
      <c r="F570" s="1"/>
      <c r="G570" s="2"/>
      <c r="J570" s="7"/>
      <c r="P570" s="7"/>
      <c r="Q570" s="7"/>
      <c r="R570" s="7"/>
      <c r="S570" s="20"/>
      <c r="T570" s="20"/>
      <c r="U570" s="9"/>
      <c r="V570" s="6"/>
      <c r="W570" s="6"/>
      <c r="X570" s="6"/>
      <c r="Y570" s="6"/>
      <c r="Z570" s="6"/>
    </row>
    <row r="571" spans="6:26" x14ac:dyDescent="0.2">
      <c r="F571" s="1"/>
      <c r="G571" s="2"/>
      <c r="J571" s="7"/>
      <c r="P571" s="7"/>
      <c r="Q571" s="7"/>
      <c r="R571" s="7"/>
      <c r="S571" s="20"/>
      <c r="T571" s="20"/>
      <c r="U571" s="9"/>
      <c r="V571" s="6"/>
      <c r="W571" s="6"/>
      <c r="X571" s="6"/>
      <c r="Y571" s="6"/>
      <c r="Z571" s="6"/>
    </row>
    <row r="572" spans="6:26" x14ac:dyDescent="0.2">
      <c r="F572" s="1"/>
      <c r="G572" s="2"/>
      <c r="J572" s="7"/>
      <c r="P572" s="7"/>
      <c r="Q572" s="7"/>
      <c r="R572" s="7"/>
      <c r="S572" s="20"/>
      <c r="T572" s="20"/>
      <c r="U572" s="9"/>
      <c r="V572" s="6"/>
      <c r="W572" s="6"/>
      <c r="X572" s="6"/>
      <c r="Y572" s="6"/>
      <c r="Z572" s="6"/>
    </row>
    <row r="573" spans="6:26" x14ac:dyDescent="0.2">
      <c r="F573" s="1"/>
      <c r="G573" s="2"/>
    </row>
    <row r="574" spans="6:26" x14ac:dyDescent="0.2">
      <c r="F574" s="1"/>
      <c r="G574" s="2"/>
    </row>
    <row r="575" spans="6:26" x14ac:dyDescent="0.2">
      <c r="F575" s="1"/>
      <c r="G575" s="2"/>
    </row>
    <row r="576" spans="6:26" x14ac:dyDescent="0.2">
      <c r="F576" s="1"/>
      <c r="G576" s="2"/>
    </row>
    <row r="577" spans="6:7" x14ac:dyDescent="0.2">
      <c r="F577" s="1"/>
      <c r="G577" s="2"/>
    </row>
    <row r="578" spans="6:7" x14ac:dyDescent="0.2">
      <c r="F578" s="1"/>
      <c r="G578" s="2"/>
    </row>
    <row r="579" spans="6:7" x14ac:dyDescent="0.2">
      <c r="F579" s="1"/>
      <c r="G579" s="2"/>
    </row>
    <row r="580" spans="6:7" x14ac:dyDescent="0.2">
      <c r="F580" s="1"/>
      <c r="G580" s="2"/>
    </row>
    <row r="581" spans="6:7" x14ac:dyDescent="0.2">
      <c r="F581" s="1"/>
      <c r="G581" s="2"/>
    </row>
    <row r="582" spans="6:7" x14ac:dyDescent="0.2">
      <c r="F582" s="1"/>
      <c r="G582" s="2"/>
    </row>
    <row r="583" spans="6:7" x14ac:dyDescent="0.2">
      <c r="F583" s="1"/>
      <c r="G583" s="2"/>
    </row>
    <row r="584" spans="6:7" x14ac:dyDescent="0.2">
      <c r="F584" s="1"/>
      <c r="G584" s="2"/>
    </row>
    <row r="585" spans="6:7" x14ac:dyDescent="0.2">
      <c r="F585" s="1"/>
      <c r="G585" s="2"/>
    </row>
    <row r="586" spans="6:7" x14ac:dyDescent="0.2">
      <c r="F586" s="1"/>
      <c r="G586" s="2"/>
    </row>
    <row r="587" spans="6:7" x14ac:dyDescent="0.2">
      <c r="F587" s="1"/>
      <c r="G587" s="2"/>
    </row>
    <row r="588" spans="6:7" x14ac:dyDescent="0.2">
      <c r="F588" s="1"/>
      <c r="G588" s="2"/>
    </row>
    <row r="589" spans="6:7" x14ac:dyDescent="0.2">
      <c r="F589" s="1"/>
      <c r="G589" s="2"/>
    </row>
    <row r="590" spans="6:7" x14ac:dyDescent="0.2">
      <c r="F590" s="1"/>
      <c r="G590" s="2"/>
    </row>
    <row r="591" spans="6:7" x14ac:dyDescent="0.2">
      <c r="F591" s="1"/>
      <c r="G591" s="2"/>
    </row>
    <row r="592" spans="6:7" x14ac:dyDescent="0.2">
      <c r="F592" s="1"/>
      <c r="G592" s="2"/>
    </row>
    <row r="593" spans="6:25" x14ac:dyDescent="0.2">
      <c r="F593" s="1"/>
      <c r="G593" s="2"/>
    </row>
    <row r="594" spans="6:25" x14ac:dyDescent="0.2">
      <c r="F594" s="1"/>
      <c r="G594" s="2"/>
    </row>
    <row r="595" spans="6:25" x14ac:dyDescent="0.2">
      <c r="F595" s="1"/>
      <c r="G595" s="2"/>
      <c r="I595" s="5"/>
    </row>
    <row r="596" spans="6:25" x14ac:dyDescent="0.2">
      <c r="F596" s="1"/>
      <c r="G596" s="2"/>
    </row>
    <row r="597" spans="6:25" x14ac:dyDescent="0.2">
      <c r="F597" s="1"/>
      <c r="G597" s="2"/>
    </row>
    <row r="598" spans="6:25" x14ac:dyDescent="0.2">
      <c r="F598" s="1"/>
      <c r="G598" s="2"/>
    </row>
    <row r="599" spans="6:25" x14ac:dyDescent="0.2">
      <c r="F599" s="1"/>
      <c r="G599" s="2"/>
    </row>
    <row r="600" spans="6:25" x14ac:dyDescent="0.2">
      <c r="F600" s="1"/>
      <c r="G600" s="2"/>
    </row>
    <row r="601" spans="6:25" x14ac:dyDescent="0.2">
      <c r="F601" s="1"/>
      <c r="G601" s="2"/>
    </row>
    <row r="602" spans="6:25" x14ac:dyDescent="0.2">
      <c r="F602" s="1"/>
      <c r="G602" s="2"/>
    </row>
    <row r="603" spans="6:25" x14ac:dyDescent="0.2">
      <c r="F603" s="1"/>
      <c r="G603" s="2"/>
    </row>
    <row r="604" spans="6:25" x14ac:dyDescent="0.2">
      <c r="F604" s="1"/>
      <c r="G604" s="2"/>
    </row>
    <row r="605" spans="6:25" x14ac:dyDescent="0.2">
      <c r="F605" s="1"/>
      <c r="G605" s="2"/>
    </row>
    <row r="606" spans="6:25" x14ac:dyDescent="0.2">
      <c r="F606" s="1"/>
      <c r="G606" s="2"/>
      <c r="Y606" s="6"/>
    </row>
    <row r="607" spans="6:25" x14ac:dyDescent="0.2">
      <c r="F607" s="1"/>
      <c r="G607" s="2"/>
      <c r="Y607" s="6"/>
    </row>
    <row r="608" spans="6:25" x14ac:dyDescent="0.2">
      <c r="F608" s="1"/>
      <c r="G608" s="2"/>
    </row>
    <row r="609" spans="6:25" x14ac:dyDescent="0.2">
      <c r="F609" s="1"/>
      <c r="G609" s="2"/>
    </row>
    <row r="610" spans="6:25" x14ac:dyDescent="0.2">
      <c r="F610" s="1"/>
      <c r="G610" s="2"/>
    </row>
    <row r="611" spans="6:25" x14ac:dyDescent="0.2">
      <c r="F611" s="1"/>
      <c r="G611" s="2"/>
    </row>
    <row r="612" spans="6:25" x14ac:dyDescent="0.2">
      <c r="F612" s="1"/>
    </row>
    <row r="613" spans="6:25" x14ac:dyDescent="0.2">
      <c r="F613" s="1"/>
      <c r="G613" s="2"/>
    </row>
    <row r="614" spans="6:25" x14ac:dyDescent="0.2">
      <c r="F614" s="1"/>
      <c r="G614" s="2"/>
    </row>
    <row r="615" spans="6:25" x14ac:dyDescent="0.2">
      <c r="F615" s="1"/>
      <c r="G615" s="2"/>
    </row>
    <row r="616" spans="6:25" x14ac:dyDescent="0.2">
      <c r="F616" s="1"/>
      <c r="G616" s="2"/>
    </row>
    <row r="617" spans="6:25" x14ac:dyDescent="0.2">
      <c r="F617" s="1"/>
      <c r="G617" s="2"/>
      <c r="U617" s="6"/>
      <c r="V617" s="6"/>
      <c r="W617" s="6"/>
      <c r="X617" s="6"/>
      <c r="Y617" s="6"/>
    </row>
    <row r="618" spans="6:25" x14ac:dyDescent="0.2">
      <c r="F618" s="1"/>
      <c r="G618" s="2"/>
      <c r="U618" s="6"/>
      <c r="V618" s="6"/>
      <c r="W618" s="6"/>
      <c r="X618" s="6"/>
      <c r="Y618" s="6"/>
    </row>
    <row r="619" spans="6:25" x14ac:dyDescent="0.2">
      <c r="F619" s="1"/>
      <c r="G619" s="2"/>
      <c r="U619" s="6"/>
      <c r="V619" s="6"/>
      <c r="W619" s="6"/>
      <c r="X619" s="6"/>
      <c r="Y619" s="6"/>
    </row>
    <row r="620" spans="6:25" x14ac:dyDescent="0.2">
      <c r="F620" s="1"/>
      <c r="G620" s="2"/>
      <c r="U620" s="6"/>
      <c r="V620" s="6"/>
      <c r="W620" s="6"/>
      <c r="X620" s="6"/>
      <c r="Y620" s="6"/>
    </row>
    <row r="621" spans="6:25" x14ac:dyDescent="0.2">
      <c r="F621" s="1"/>
      <c r="G621" s="2"/>
      <c r="U621" s="6"/>
      <c r="V621" s="6"/>
      <c r="W621" s="6"/>
      <c r="X621" s="6"/>
      <c r="Y621" s="6"/>
    </row>
    <row r="622" spans="6:25" x14ac:dyDescent="0.2">
      <c r="F622" s="1"/>
      <c r="G622" s="2"/>
      <c r="U622" s="6"/>
      <c r="V622" s="6"/>
      <c r="W622" s="6"/>
      <c r="X622" s="6"/>
      <c r="Y622" s="6"/>
    </row>
    <row r="623" spans="6:25" x14ac:dyDescent="0.2">
      <c r="F623" s="1"/>
      <c r="G623" s="2"/>
      <c r="U623" s="6"/>
      <c r="V623" s="6"/>
      <c r="W623" s="6"/>
      <c r="X623" s="6"/>
      <c r="Y623" s="6"/>
    </row>
    <row r="624" spans="6:25" x14ac:dyDescent="0.2">
      <c r="F624" s="1"/>
      <c r="G624" s="2"/>
      <c r="U624" s="6"/>
      <c r="V624" s="6"/>
      <c r="W624" s="6"/>
      <c r="X624" s="6"/>
      <c r="Y624" s="6"/>
    </row>
    <row r="625" spans="1:31" x14ac:dyDescent="0.2">
      <c r="F625" s="1"/>
      <c r="G625" s="2"/>
      <c r="U625" s="6"/>
      <c r="V625" s="6"/>
      <c r="W625" s="6"/>
      <c r="X625" s="6"/>
      <c r="Y625" s="6"/>
    </row>
    <row r="626" spans="1:31" x14ac:dyDescent="0.2">
      <c r="A626" s="7"/>
      <c r="B626" s="7"/>
      <c r="C626" s="7"/>
      <c r="D626" s="7"/>
      <c r="E626" s="7"/>
      <c r="F626" s="10"/>
      <c r="G626" s="8"/>
      <c r="H626" s="7"/>
      <c r="I626" s="7"/>
      <c r="J626" s="7"/>
      <c r="K626" s="7"/>
      <c r="L626" s="7"/>
      <c r="M626" s="7"/>
      <c r="N626" s="7"/>
      <c r="P626" s="7"/>
      <c r="Q626" s="7"/>
      <c r="R626" s="7"/>
      <c r="S626" s="20"/>
      <c r="T626" s="20"/>
      <c r="U626" s="9"/>
      <c r="V626" s="9"/>
      <c r="W626" s="9"/>
      <c r="X626" s="9"/>
      <c r="Y626" s="7"/>
      <c r="AB626" s="7"/>
      <c r="AC626" s="7"/>
      <c r="AD626" s="7"/>
      <c r="AE626" s="7"/>
    </row>
    <row r="627" spans="1:31" x14ac:dyDescent="0.2">
      <c r="A627" s="7"/>
      <c r="B627" s="7"/>
      <c r="C627" s="7"/>
      <c r="D627" s="7"/>
      <c r="E627" s="7"/>
      <c r="F627" s="10"/>
      <c r="G627" s="8"/>
      <c r="H627" s="7"/>
      <c r="I627" s="7"/>
      <c r="J627" s="7"/>
      <c r="K627" s="7"/>
      <c r="L627" s="7"/>
      <c r="M627" s="7"/>
      <c r="N627" s="7"/>
      <c r="P627" s="7"/>
      <c r="Q627" s="7"/>
      <c r="R627" s="7"/>
      <c r="S627" s="20"/>
      <c r="T627" s="20"/>
      <c r="U627" s="9"/>
      <c r="V627" s="7"/>
      <c r="W627" s="7"/>
      <c r="X627" s="9"/>
      <c r="Y627" s="9"/>
      <c r="AB627" s="7"/>
      <c r="AC627" s="7"/>
      <c r="AD627" s="7"/>
      <c r="AE627" s="7"/>
    </row>
    <row r="628" spans="1:31" x14ac:dyDescent="0.2">
      <c r="A628" s="7"/>
      <c r="B628" s="7"/>
      <c r="C628" s="7"/>
      <c r="D628" s="7"/>
      <c r="E628" s="7"/>
      <c r="F628" s="10"/>
      <c r="G628" s="8"/>
      <c r="H628" s="7"/>
      <c r="I628" s="7"/>
      <c r="J628" s="7"/>
      <c r="K628" s="7"/>
      <c r="L628" s="7"/>
      <c r="M628" s="7"/>
      <c r="N628" s="7"/>
      <c r="P628" s="7"/>
      <c r="Q628" s="7"/>
      <c r="R628" s="7"/>
      <c r="S628" s="20"/>
      <c r="T628" s="20"/>
      <c r="U628" s="9"/>
      <c r="V628" s="9"/>
      <c r="W628" s="9"/>
      <c r="X628" s="9"/>
      <c r="Y628" s="22"/>
      <c r="AB628" s="7"/>
      <c r="AC628" s="7"/>
      <c r="AD628" s="7"/>
      <c r="AE628" s="7"/>
    </row>
    <row r="629" spans="1:31" x14ac:dyDescent="0.2">
      <c r="A629" s="7"/>
      <c r="B629" s="7"/>
      <c r="C629" s="7"/>
      <c r="D629" s="7"/>
      <c r="E629" s="7"/>
      <c r="F629" s="10"/>
      <c r="G629" s="8"/>
      <c r="H629" s="7"/>
      <c r="I629" s="7"/>
      <c r="J629" s="7"/>
      <c r="K629" s="7"/>
      <c r="L629" s="7"/>
      <c r="M629" s="7"/>
      <c r="N629" s="7"/>
      <c r="P629" s="7"/>
      <c r="Q629" s="7"/>
      <c r="R629" s="7"/>
      <c r="S629" s="20"/>
      <c r="T629" s="20"/>
      <c r="U629" s="9"/>
      <c r="V629" s="9"/>
      <c r="W629" s="9"/>
      <c r="X629" s="9"/>
      <c r="Y629" s="9"/>
      <c r="AB629" s="7"/>
      <c r="AC629" s="7"/>
      <c r="AD629" s="7"/>
      <c r="AE629" s="7"/>
    </row>
    <row r="630" spans="1:31" x14ac:dyDescent="0.2">
      <c r="A630" s="7"/>
      <c r="B630" s="7"/>
      <c r="C630" s="7"/>
      <c r="D630" s="7"/>
      <c r="E630" s="7"/>
      <c r="F630" s="10"/>
      <c r="G630" s="8"/>
      <c r="H630" s="7"/>
      <c r="I630" s="7"/>
      <c r="J630" s="7"/>
      <c r="K630" s="7"/>
      <c r="L630" s="7"/>
      <c r="M630" s="7"/>
      <c r="N630" s="7"/>
      <c r="P630" s="7"/>
      <c r="Q630" s="7"/>
      <c r="R630" s="7"/>
      <c r="S630" s="20"/>
      <c r="T630" s="20"/>
      <c r="U630" s="9"/>
      <c r="V630" s="9"/>
      <c r="W630" s="9"/>
      <c r="X630" s="9"/>
      <c r="Y630" s="9"/>
      <c r="AB630" s="7"/>
      <c r="AC630" s="7"/>
      <c r="AD630" s="7"/>
      <c r="AE630" s="7"/>
    </row>
    <row r="631" spans="1:31" x14ac:dyDescent="0.2">
      <c r="A631" s="7"/>
      <c r="B631" s="7"/>
      <c r="C631" s="7"/>
      <c r="D631" s="7"/>
      <c r="E631" s="7"/>
      <c r="F631" s="10"/>
      <c r="G631" s="8"/>
      <c r="H631" s="7"/>
      <c r="I631" s="7"/>
      <c r="J631" s="7"/>
      <c r="K631" s="7"/>
      <c r="L631" s="7"/>
      <c r="M631" s="7"/>
      <c r="N631" s="7"/>
      <c r="P631" s="7"/>
      <c r="Q631" s="7"/>
      <c r="R631" s="7"/>
      <c r="S631" s="20"/>
      <c r="T631" s="20"/>
      <c r="U631" s="9"/>
      <c r="V631" s="9"/>
      <c r="W631" s="9"/>
      <c r="X631" s="9"/>
      <c r="Y631" s="9"/>
      <c r="AB631" s="7"/>
      <c r="AC631" s="7"/>
      <c r="AD631" s="7"/>
      <c r="AE631" s="7"/>
    </row>
    <row r="632" spans="1:31" x14ac:dyDescent="0.2">
      <c r="A632" s="7"/>
      <c r="B632" s="7"/>
      <c r="C632" s="7"/>
      <c r="D632" s="7"/>
      <c r="E632" s="7"/>
      <c r="F632" s="10"/>
      <c r="G632" s="8"/>
      <c r="H632" s="7"/>
      <c r="I632" s="7"/>
      <c r="J632" s="7"/>
      <c r="K632" s="7"/>
      <c r="L632" s="7"/>
      <c r="M632" s="7"/>
      <c r="N632" s="7"/>
      <c r="P632" s="7"/>
      <c r="Q632" s="7"/>
      <c r="R632" s="7"/>
      <c r="S632" s="20"/>
      <c r="T632" s="20"/>
      <c r="U632" s="9"/>
      <c r="V632" s="9"/>
      <c r="W632" s="9"/>
      <c r="X632" s="9"/>
      <c r="Y632" s="9"/>
      <c r="AB632" s="7"/>
      <c r="AC632" s="7"/>
      <c r="AD632" s="7"/>
      <c r="AE632" s="7"/>
    </row>
    <row r="633" spans="1:31" x14ac:dyDescent="0.2">
      <c r="A633" s="7"/>
      <c r="B633" s="7"/>
      <c r="C633" s="7"/>
      <c r="D633" s="7"/>
      <c r="E633" s="7"/>
      <c r="F633" s="10"/>
      <c r="G633" s="8"/>
      <c r="H633" s="7"/>
      <c r="I633" s="7"/>
      <c r="J633" s="7"/>
      <c r="K633" s="7"/>
      <c r="L633" s="7"/>
      <c r="M633" s="7"/>
      <c r="N633" s="7"/>
      <c r="P633" s="7"/>
      <c r="Q633" s="7"/>
      <c r="R633" s="7"/>
      <c r="S633" s="20"/>
      <c r="T633" s="20"/>
      <c r="U633" s="9"/>
      <c r="V633" s="9"/>
      <c r="W633" s="9"/>
      <c r="X633" s="9"/>
      <c r="Y633" s="9"/>
      <c r="AB633" s="7"/>
      <c r="AC633" s="7"/>
      <c r="AD633" s="7"/>
      <c r="AE633" s="7"/>
    </row>
    <row r="634" spans="1:31" x14ac:dyDescent="0.2">
      <c r="A634" s="7"/>
      <c r="B634" s="7"/>
      <c r="C634" s="7"/>
      <c r="D634" s="7"/>
      <c r="F634" s="1"/>
      <c r="G634" s="2"/>
      <c r="I634" s="7"/>
      <c r="J634" s="7"/>
      <c r="K634" s="7"/>
      <c r="L634" s="7"/>
      <c r="M634" s="7"/>
      <c r="N634" s="7"/>
      <c r="P634" s="7"/>
      <c r="Q634" s="7"/>
      <c r="R634" s="7"/>
      <c r="S634" s="20"/>
      <c r="T634" s="20"/>
      <c r="U634" s="9"/>
      <c r="V634" s="9"/>
      <c r="W634" s="9"/>
      <c r="X634" s="9"/>
      <c r="Y634" s="9"/>
    </row>
    <row r="635" spans="1:31" x14ac:dyDescent="0.2">
      <c r="A635" s="7"/>
      <c r="B635" s="7"/>
      <c r="C635" s="7"/>
      <c r="D635" s="7"/>
      <c r="F635" s="1"/>
      <c r="G635" s="2"/>
      <c r="I635" s="7"/>
      <c r="J635" s="7"/>
      <c r="K635" s="7"/>
      <c r="L635" s="7"/>
      <c r="M635" s="7"/>
      <c r="N635" s="7"/>
      <c r="P635" s="7"/>
      <c r="Q635" s="7"/>
      <c r="R635" s="7"/>
      <c r="S635" s="20"/>
      <c r="T635" s="20"/>
      <c r="U635" s="9"/>
      <c r="V635" s="9"/>
      <c r="W635" s="9"/>
      <c r="X635" s="9"/>
      <c r="Y635" s="9"/>
    </row>
    <row r="636" spans="1:31" x14ac:dyDescent="0.2">
      <c r="A636" s="7"/>
      <c r="B636" s="7"/>
      <c r="C636" s="7"/>
      <c r="D636" s="7"/>
      <c r="F636" s="1"/>
      <c r="G636" s="2"/>
      <c r="I636" s="7"/>
      <c r="J636" s="7"/>
      <c r="K636" s="7"/>
      <c r="L636" s="7"/>
      <c r="M636" s="7"/>
      <c r="N636" s="7"/>
      <c r="P636" s="7"/>
      <c r="Q636" s="7"/>
      <c r="R636" s="7"/>
      <c r="S636" s="20"/>
      <c r="T636" s="20"/>
      <c r="U636" s="9"/>
      <c r="V636" s="9"/>
      <c r="W636" s="9"/>
      <c r="X636" s="9"/>
      <c r="Y636" s="9"/>
    </row>
    <row r="637" spans="1:31" x14ac:dyDescent="0.2">
      <c r="A637" s="7"/>
      <c r="B637" s="7"/>
      <c r="C637" s="7"/>
      <c r="D637" s="7"/>
      <c r="F637" s="1"/>
      <c r="G637" s="2"/>
      <c r="I637" s="7"/>
      <c r="J637" s="7"/>
      <c r="K637" s="7"/>
      <c r="L637" s="7"/>
      <c r="Q637" s="7"/>
      <c r="R637" s="7"/>
      <c r="S637" s="20"/>
      <c r="T637" s="20"/>
      <c r="U637" s="9"/>
      <c r="V637" s="9"/>
      <c r="W637" s="9"/>
      <c r="X637" s="9"/>
      <c r="Y637" s="9"/>
    </row>
    <row r="638" spans="1:31" x14ac:dyDescent="0.2">
      <c r="A638" s="7"/>
      <c r="B638" s="7"/>
      <c r="C638" s="7"/>
      <c r="D638" s="7"/>
      <c r="E638" s="5"/>
      <c r="F638" s="11"/>
      <c r="G638" s="2"/>
      <c r="I638" s="7"/>
      <c r="J638" s="7"/>
      <c r="K638" s="7"/>
      <c r="L638" s="7"/>
      <c r="M638" s="7"/>
      <c r="N638" s="7"/>
      <c r="P638" s="7"/>
      <c r="Q638" s="7"/>
      <c r="R638" s="20"/>
      <c r="S638" s="20"/>
      <c r="T638" s="20"/>
      <c r="U638" s="9"/>
      <c r="V638" s="9"/>
      <c r="W638" s="9"/>
      <c r="X638" s="9"/>
      <c r="Y638" s="9"/>
    </row>
    <row r="639" spans="1:31" x14ac:dyDescent="0.2">
      <c r="A639" s="4"/>
      <c r="B639" s="4"/>
      <c r="C639" s="4"/>
      <c r="D639" s="4"/>
      <c r="E639" s="4"/>
      <c r="F639" s="13"/>
      <c r="G639" s="14"/>
      <c r="H639" s="4"/>
      <c r="I639" s="4"/>
      <c r="J639" s="4"/>
      <c r="K639" s="4"/>
      <c r="L639" s="4"/>
      <c r="M639" s="4"/>
      <c r="N639" s="4"/>
      <c r="P639" s="4"/>
      <c r="Q639" s="4"/>
      <c r="R639" s="4"/>
      <c r="S639" s="21"/>
      <c r="T639" s="21"/>
      <c r="U639" s="15"/>
      <c r="V639" s="15"/>
      <c r="W639" s="15"/>
      <c r="X639" s="15"/>
      <c r="Y639" s="15"/>
      <c r="AB639" s="4"/>
      <c r="AC639" s="4"/>
      <c r="AD639" s="4"/>
      <c r="AE639" s="4"/>
    </row>
    <row r="640" spans="1:31" x14ac:dyDescent="0.2">
      <c r="A640" s="7"/>
      <c r="B640" s="7"/>
      <c r="C640" s="7"/>
      <c r="D640" s="7"/>
      <c r="F640" s="1"/>
      <c r="G640" s="2"/>
      <c r="I640" s="7"/>
      <c r="J640" s="7"/>
      <c r="K640" s="7"/>
      <c r="L640" s="7"/>
      <c r="P640" s="7"/>
      <c r="Q640" s="7"/>
      <c r="R640" s="7"/>
      <c r="S640" s="20"/>
      <c r="T640" s="20"/>
      <c r="U640" s="6"/>
      <c r="V640" s="6"/>
      <c r="W640" s="6"/>
      <c r="X640" s="6"/>
      <c r="Y640" s="6"/>
    </row>
    <row r="641" spans="1:31" x14ac:dyDescent="0.2">
      <c r="A641" s="7"/>
      <c r="B641" s="7"/>
      <c r="C641" s="7"/>
      <c r="D641" s="7"/>
      <c r="E641" s="7"/>
      <c r="F641" s="10"/>
      <c r="G641" s="8"/>
      <c r="H641" s="7"/>
      <c r="I641" s="7"/>
      <c r="J641" s="7"/>
      <c r="K641" s="7"/>
      <c r="L641" s="7"/>
      <c r="M641" s="7"/>
      <c r="N641" s="7"/>
      <c r="O641" s="7"/>
      <c r="P641" s="7"/>
      <c r="Q641" s="7"/>
      <c r="R641" s="20"/>
      <c r="S641" s="20"/>
      <c r="T641" s="20"/>
      <c r="U641" s="9"/>
      <c r="V641" s="9"/>
      <c r="W641" s="9"/>
      <c r="X641" s="9"/>
      <c r="Y641" s="9"/>
      <c r="AB641" s="7"/>
      <c r="AC641" s="7"/>
      <c r="AD641" s="7"/>
      <c r="AE641" s="7"/>
    </row>
    <row r="642" spans="1:31" x14ac:dyDescent="0.2">
      <c r="A642" s="7"/>
      <c r="B642" s="7"/>
      <c r="C642" s="7"/>
      <c r="D642" s="7"/>
      <c r="E642" s="7"/>
      <c r="F642" s="10"/>
      <c r="G642" s="8"/>
      <c r="H642" s="7"/>
      <c r="I642" s="7"/>
      <c r="J642" s="7"/>
      <c r="K642" s="7"/>
      <c r="L642" s="7"/>
      <c r="M642" s="7"/>
      <c r="N642" s="7"/>
      <c r="P642" s="7"/>
      <c r="Q642" s="7"/>
      <c r="R642" s="20"/>
      <c r="S642" s="20"/>
      <c r="T642" s="20"/>
      <c r="U642" s="9"/>
      <c r="V642" s="9"/>
      <c r="W642" s="9"/>
      <c r="X642" s="9"/>
      <c r="Y642" s="9"/>
      <c r="AB642" s="7"/>
      <c r="AC642" s="7"/>
      <c r="AD642" s="7"/>
      <c r="AE642" s="7"/>
    </row>
    <row r="643" spans="1:31" x14ac:dyDescent="0.2">
      <c r="A643" s="7"/>
      <c r="B643" s="7"/>
      <c r="C643" s="7"/>
      <c r="D643" s="7"/>
      <c r="E643" s="7"/>
      <c r="F643" s="10"/>
      <c r="G643" s="8"/>
      <c r="H643" s="7"/>
      <c r="I643" s="7"/>
      <c r="J643" s="7"/>
      <c r="K643" s="7"/>
      <c r="L643" s="7"/>
      <c r="M643" s="7"/>
      <c r="N643" s="7"/>
      <c r="P643" s="7"/>
      <c r="Q643" s="7"/>
      <c r="R643" s="20"/>
      <c r="S643" s="20"/>
      <c r="T643" s="20"/>
      <c r="U643" s="9"/>
      <c r="V643" s="9"/>
      <c r="W643" s="9"/>
      <c r="X643" s="9"/>
      <c r="Y643" s="9"/>
      <c r="AB643" s="7"/>
      <c r="AC643" s="7"/>
      <c r="AD643" s="7"/>
      <c r="AE643" s="7"/>
    </row>
    <row r="644" spans="1:31" x14ac:dyDescent="0.2">
      <c r="A644" s="7"/>
      <c r="B644" s="7"/>
      <c r="C644" s="7"/>
      <c r="D644" s="7"/>
      <c r="E644" s="7"/>
      <c r="F644" s="10"/>
      <c r="G644" s="8"/>
      <c r="H644" s="7"/>
      <c r="I644" s="7"/>
      <c r="J644" s="7"/>
      <c r="K644" s="7"/>
      <c r="L644" s="7"/>
      <c r="M644" s="7"/>
      <c r="N644" s="7"/>
      <c r="P644" s="7"/>
      <c r="Q644" s="7"/>
      <c r="R644" s="20"/>
      <c r="S644" s="20"/>
      <c r="T644" s="20"/>
      <c r="U644" s="9"/>
      <c r="V644" s="9"/>
      <c r="W644" s="9"/>
      <c r="X644" s="9"/>
      <c r="Y644" s="9"/>
      <c r="AB644" s="7"/>
      <c r="AC644" s="7"/>
      <c r="AD644" s="7"/>
      <c r="AE644" s="7"/>
    </row>
    <row r="645" spans="1:31" x14ac:dyDescent="0.2">
      <c r="A645" s="7"/>
      <c r="B645" s="7"/>
      <c r="C645" s="7"/>
      <c r="D645" s="7"/>
      <c r="F645" s="1"/>
      <c r="G645" s="2"/>
      <c r="I645" s="7"/>
      <c r="J645" s="7"/>
      <c r="K645" s="7"/>
      <c r="L645" s="7"/>
      <c r="P645" s="7"/>
      <c r="Q645" s="7"/>
      <c r="R645" s="20"/>
      <c r="S645" s="20"/>
      <c r="T645" s="20"/>
      <c r="U645" s="6"/>
      <c r="V645" s="9"/>
      <c r="W645" s="9"/>
      <c r="X645" s="6"/>
      <c r="Y645" s="6"/>
    </row>
    <row r="646" spans="1:31" x14ac:dyDescent="0.2">
      <c r="A646" s="7"/>
      <c r="B646" s="7"/>
      <c r="C646" s="7"/>
      <c r="D646" s="7"/>
      <c r="F646" s="1"/>
      <c r="G646" s="2"/>
      <c r="I646" s="7"/>
      <c r="J646" s="7"/>
      <c r="K646" s="7"/>
      <c r="L646" s="7"/>
      <c r="P646" s="7"/>
      <c r="Q646" s="7"/>
      <c r="R646" s="20"/>
      <c r="S646" s="20"/>
      <c r="T646" s="20"/>
      <c r="U646" s="6"/>
      <c r="V646" s="6"/>
      <c r="W646" s="6"/>
      <c r="X646" s="6"/>
      <c r="Y646" s="6"/>
    </row>
    <row r="647" spans="1:31" x14ac:dyDescent="0.2">
      <c r="A647" s="7"/>
      <c r="B647" s="7"/>
      <c r="C647" s="7"/>
      <c r="D647" s="7"/>
      <c r="F647" s="1"/>
      <c r="G647" s="2"/>
      <c r="I647" s="7"/>
      <c r="J647" s="7"/>
      <c r="K647" s="7"/>
      <c r="L647" s="7"/>
      <c r="P647" s="7"/>
      <c r="Q647" s="7"/>
      <c r="R647" s="7"/>
      <c r="S647" s="20"/>
      <c r="T647" s="20"/>
      <c r="U647" s="6"/>
      <c r="V647" s="6"/>
      <c r="W647" s="6"/>
      <c r="X647" s="6"/>
      <c r="Y647" s="6"/>
    </row>
    <row r="648" spans="1:31" x14ac:dyDescent="0.2">
      <c r="C648" s="7"/>
      <c r="D648" s="7"/>
      <c r="F648" s="1"/>
      <c r="G648" s="2"/>
      <c r="I648" s="7"/>
      <c r="J648" s="7"/>
      <c r="K648" s="7"/>
      <c r="L648" s="7"/>
      <c r="P648" s="7"/>
      <c r="Q648" s="7"/>
      <c r="R648" s="7"/>
      <c r="S648" s="20"/>
      <c r="T648" s="20"/>
      <c r="U648" s="6"/>
      <c r="V648" s="6"/>
      <c r="W648" s="6"/>
      <c r="X648" s="6"/>
      <c r="Y648" s="6"/>
    </row>
    <row r="649" spans="1:31" x14ac:dyDescent="0.2">
      <c r="C649" s="7"/>
      <c r="D649" s="7"/>
      <c r="F649" s="1"/>
      <c r="G649" s="2"/>
      <c r="I649" s="7"/>
      <c r="J649" s="7"/>
      <c r="K649" s="7"/>
      <c r="L649" s="7"/>
      <c r="P649" s="7"/>
      <c r="Q649" s="7"/>
      <c r="R649" s="7"/>
      <c r="S649" s="20"/>
      <c r="T649" s="20"/>
      <c r="U649" s="6"/>
      <c r="V649" s="6"/>
      <c r="W649" s="6"/>
      <c r="X649" s="6"/>
      <c r="Y649" s="6"/>
    </row>
    <row r="650" spans="1:31" x14ac:dyDescent="0.2">
      <c r="C650" s="7"/>
      <c r="D650" s="7"/>
      <c r="F650" s="1"/>
      <c r="G650" s="2"/>
      <c r="I650" s="7"/>
      <c r="J650" s="7"/>
      <c r="K650" s="7"/>
      <c r="L650" s="7"/>
      <c r="P650" s="7"/>
      <c r="Q650" s="7"/>
      <c r="R650" s="7"/>
      <c r="S650" s="20"/>
      <c r="T650" s="20"/>
      <c r="U650" s="6"/>
      <c r="V650" s="6"/>
      <c r="W650" s="6"/>
      <c r="X650" s="6"/>
      <c r="Y650" s="6"/>
    </row>
    <row r="651" spans="1:31" x14ac:dyDescent="0.2">
      <c r="C651" s="7"/>
      <c r="D651" s="7"/>
      <c r="F651" s="1"/>
      <c r="G651" s="2"/>
      <c r="I651" s="7"/>
      <c r="J651" s="7"/>
      <c r="K651" s="7"/>
      <c r="L651" s="7"/>
      <c r="M651" s="7"/>
      <c r="N651" s="7"/>
      <c r="P651" s="7"/>
      <c r="Q651" s="7"/>
      <c r="R651" s="7"/>
      <c r="S651" s="20"/>
      <c r="T651" s="20"/>
      <c r="U651" s="6"/>
      <c r="V651" s="6"/>
      <c r="W651" s="6"/>
      <c r="X651" s="6"/>
      <c r="Y651" s="6"/>
    </row>
    <row r="652" spans="1:31" x14ac:dyDescent="0.2">
      <c r="C652" s="7"/>
      <c r="D652" s="7"/>
      <c r="F652" s="1"/>
      <c r="G652" s="2"/>
      <c r="I652" s="7"/>
      <c r="J652" s="7"/>
      <c r="K652" s="7"/>
      <c r="L652" s="7"/>
      <c r="M652" s="7"/>
      <c r="N652" s="7"/>
      <c r="P652" s="7"/>
      <c r="Q652" s="7"/>
      <c r="R652" s="7"/>
      <c r="S652" s="20"/>
      <c r="T652" s="20"/>
      <c r="U652" s="6"/>
      <c r="V652" s="6"/>
      <c r="W652" s="6"/>
      <c r="X652" s="6"/>
      <c r="Y652" s="6"/>
    </row>
    <row r="653" spans="1:31" x14ac:dyDescent="0.2">
      <c r="C653" s="7"/>
      <c r="D653" s="7"/>
      <c r="F653" s="1"/>
      <c r="G653" s="2"/>
      <c r="I653" s="7"/>
      <c r="J653" s="7"/>
      <c r="K653" s="7"/>
      <c r="L653" s="7"/>
      <c r="M653" s="7"/>
      <c r="N653" s="7"/>
      <c r="P653" s="7"/>
      <c r="Q653" s="7"/>
      <c r="R653" s="7"/>
      <c r="S653" s="20"/>
      <c r="T653" s="20"/>
      <c r="U653" s="6"/>
      <c r="V653" s="6"/>
      <c r="W653" s="6"/>
      <c r="X653" s="6"/>
      <c r="Y653" s="6"/>
    </row>
    <row r="654" spans="1:31" x14ac:dyDescent="0.2">
      <c r="A654" s="4"/>
      <c r="B654" s="4"/>
      <c r="C654" s="4"/>
      <c r="D654" s="4"/>
      <c r="E654" s="4"/>
      <c r="F654" s="13"/>
      <c r="G654" s="14"/>
      <c r="H654" s="4"/>
      <c r="I654" s="4"/>
      <c r="J654" s="4"/>
      <c r="K654" s="4"/>
      <c r="L654" s="4"/>
      <c r="M654" s="4"/>
      <c r="N654" s="4"/>
      <c r="P654" s="4"/>
      <c r="Q654" s="4"/>
      <c r="R654" s="4"/>
      <c r="S654" s="21"/>
      <c r="T654" s="21"/>
      <c r="U654" s="15"/>
      <c r="V654" s="15"/>
      <c r="W654" s="15"/>
      <c r="X654" s="15"/>
      <c r="Y654" s="15"/>
      <c r="AB654" s="4"/>
      <c r="AC654" s="4"/>
      <c r="AD654" s="4"/>
      <c r="AE654" s="4"/>
    </row>
    <row r="655" spans="1:31" x14ac:dyDescent="0.2">
      <c r="A655" s="4"/>
      <c r="B655" s="4"/>
      <c r="C655" s="4"/>
      <c r="D655" s="4"/>
      <c r="E655" s="4"/>
      <c r="F655" s="13"/>
      <c r="G655" s="14"/>
      <c r="H655" s="4"/>
      <c r="I655" s="4"/>
      <c r="J655" s="4"/>
      <c r="K655" s="4"/>
      <c r="L655" s="4"/>
      <c r="M655" s="4"/>
      <c r="N655" s="4"/>
      <c r="P655" s="4"/>
      <c r="Q655" s="4"/>
      <c r="R655" s="4"/>
      <c r="S655" s="21"/>
      <c r="T655" s="21"/>
      <c r="U655" s="15"/>
      <c r="V655" s="15"/>
      <c r="W655" s="15"/>
      <c r="X655" s="15"/>
      <c r="Y655" s="15"/>
      <c r="AB655" s="4"/>
      <c r="AC655" s="4"/>
      <c r="AD655" s="4"/>
      <c r="AE655" s="4"/>
    </row>
    <row r="656" spans="1:31" x14ac:dyDescent="0.2">
      <c r="A656" s="4"/>
      <c r="B656" s="4"/>
      <c r="C656" s="4"/>
      <c r="D656" s="4"/>
      <c r="E656" s="4"/>
      <c r="F656" s="13"/>
      <c r="G656" s="14"/>
      <c r="H656" s="4"/>
      <c r="I656" s="4"/>
      <c r="J656" s="4"/>
      <c r="K656" s="4"/>
      <c r="L656" s="4"/>
      <c r="M656" s="4"/>
      <c r="N656" s="4"/>
      <c r="P656" s="4"/>
      <c r="Q656" s="4"/>
      <c r="R656" s="4"/>
      <c r="S656" s="21"/>
      <c r="T656" s="21"/>
      <c r="U656" s="15"/>
      <c r="V656" s="15"/>
      <c r="W656" s="15"/>
      <c r="X656" s="15"/>
      <c r="Y656" s="15"/>
      <c r="AB656" s="4"/>
      <c r="AC656" s="4"/>
      <c r="AD656" s="4"/>
      <c r="AE656" s="4"/>
    </row>
    <row r="657" spans="1:31" x14ac:dyDescent="0.2">
      <c r="A657" s="4"/>
      <c r="B657" s="4"/>
      <c r="C657" s="4"/>
      <c r="D657" s="4"/>
      <c r="E657" s="4"/>
      <c r="F657" s="13"/>
      <c r="G657" s="14"/>
      <c r="H657" s="4"/>
      <c r="I657" s="4"/>
      <c r="J657" s="4"/>
      <c r="K657" s="4"/>
      <c r="L657" s="4"/>
      <c r="M657" s="4"/>
      <c r="N657" s="4"/>
      <c r="P657" s="4"/>
      <c r="Q657" s="4"/>
      <c r="R657" s="4"/>
      <c r="S657" s="21"/>
      <c r="T657" s="21"/>
      <c r="U657" s="15"/>
      <c r="V657" s="15"/>
      <c r="W657" s="15"/>
      <c r="X657" s="15"/>
      <c r="Y657" s="15"/>
      <c r="AB657" s="4"/>
      <c r="AC657" s="4"/>
      <c r="AD657" s="4"/>
      <c r="AE657" s="4"/>
    </row>
    <row r="658" spans="1:31" x14ac:dyDescent="0.2">
      <c r="A658" s="4"/>
      <c r="B658" s="4"/>
      <c r="C658" s="4"/>
      <c r="D658" s="4"/>
      <c r="E658" s="4"/>
      <c r="F658" s="13"/>
      <c r="G658" s="14"/>
      <c r="H658" s="4"/>
      <c r="I658" s="4"/>
      <c r="J658" s="4"/>
      <c r="K658" s="4"/>
      <c r="L658" s="4"/>
      <c r="M658" s="4"/>
      <c r="N658" s="4"/>
      <c r="P658" s="4"/>
      <c r="Q658" s="4"/>
      <c r="R658" s="4"/>
      <c r="S658" s="21"/>
      <c r="T658" s="21"/>
      <c r="U658" s="15"/>
      <c r="V658" s="15"/>
      <c r="W658" s="15"/>
      <c r="X658" s="15"/>
      <c r="Y658" s="15"/>
      <c r="AB658" s="4"/>
      <c r="AC658" s="4"/>
      <c r="AD658" s="4"/>
      <c r="AE658" s="4"/>
    </row>
    <row r="659" spans="1:31" x14ac:dyDescent="0.2">
      <c r="A659" s="4"/>
      <c r="B659" s="4"/>
      <c r="C659" s="4"/>
      <c r="D659" s="4"/>
      <c r="E659" s="4"/>
      <c r="F659" s="13"/>
      <c r="G659" s="14"/>
      <c r="H659" s="4"/>
      <c r="I659" s="4"/>
      <c r="J659" s="4"/>
      <c r="K659" s="4"/>
      <c r="L659" s="4"/>
      <c r="M659" s="4"/>
      <c r="N659" s="4"/>
      <c r="P659" s="4"/>
      <c r="Q659" s="4"/>
      <c r="R659" s="4"/>
      <c r="S659" s="21"/>
      <c r="T659" s="21"/>
      <c r="U659" s="15"/>
      <c r="V659" s="15"/>
      <c r="W659" s="15"/>
      <c r="X659" s="15"/>
      <c r="Y659" s="15"/>
      <c r="AB659" s="4"/>
      <c r="AC659" s="4"/>
      <c r="AD659" s="4"/>
      <c r="AE659" s="4"/>
    </row>
    <row r="660" spans="1:31" x14ac:dyDescent="0.2">
      <c r="A660" s="7"/>
      <c r="B660" s="7"/>
      <c r="C660" s="7"/>
      <c r="D660" s="7"/>
      <c r="E660" s="7"/>
      <c r="F660" s="10"/>
      <c r="G660" s="8"/>
      <c r="H660" s="7"/>
      <c r="I660" s="7"/>
      <c r="J660" s="7"/>
      <c r="K660" s="7"/>
      <c r="L660" s="7"/>
      <c r="M660" s="7"/>
      <c r="N660" s="7"/>
      <c r="P660" s="7"/>
      <c r="Q660" s="7"/>
      <c r="R660" s="20"/>
      <c r="S660" s="20"/>
      <c r="T660" s="20"/>
      <c r="U660" s="9"/>
      <c r="V660" s="9"/>
      <c r="W660" s="9"/>
      <c r="X660" s="9"/>
      <c r="Y660" s="9"/>
      <c r="AB660" s="7"/>
      <c r="AC660" s="7"/>
      <c r="AD660" s="7"/>
      <c r="AE660" s="7"/>
    </row>
    <row r="661" spans="1:31" x14ac:dyDescent="0.2">
      <c r="C661" s="7"/>
      <c r="D661" s="7"/>
      <c r="F661" s="1"/>
      <c r="G661" s="2"/>
      <c r="I661" s="7"/>
      <c r="J661" s="7"/>
      <c r="K661" s="7"/>
      <c r="L661" s="7"/>
      <c r="P661" s="7"/>
      <c r="Q661" s="7"/>
      <c r="R661" s="20"/>
      <c r="S661" s="20"/>
      <c r="T661" s="20"/>
      <c r="U661" s="6"/>
      <c r="V661" s="6"/>
      <c r="W661" s="6"/>
      <c r="X661" s="6"/>
      <c r="Y661" s="6"/>
    </row>
    <row r="662" spans="1:31" x14ac:dyDescent="0.2">
      <c r="C662" s="7"/>
      <c r="D662" s="7"/>
      <c r="F662" s="1"/>
      <c r="G662" s="2"/>
      <c r="I662" s="7"/>
      <c r="J662" s="7"/>
      <c r="K662" s="7"/>
      <c r="L662" s="7"/>
      <c r="P662" s="7"/>
      <c r="Q662" s="7"/>
      <c r="R662" s="20"/>
      <c r="S662" s="20"/>
      <c r="T662" s="20"/>
      <c r="U662" s="6"/>
      <c r="V662" s="6"/>
      <c r="W662" s="6"/>
      <c r="X662" s="6"/>
      <c r="Y662" s="6"/>
    </row>
    <row r="663" spans="1:31" x14ac:dyDescent="0.2">
      <c r="C663" s="7"/>
      <c r="D663" s="7"/>
      <c r="F663" s="1"/>
      <c r="G663" s="2"/>
      <c r="I663" s="7"/>
      <c r="J663" s="7"/>
      <c r="K663" s="7"/>
      <c r="L663" s="7"/>
      <c r="P663" s="7"/>
      <c r="Q663" s="7"/>
      <c r="R663" s="20"/>
      <c r="S663" s="20"/>
      <c r="T663" s="20"/>
      <c r="U663" s="6"/>
      <c r="V663" s="6"/>
      <c r="W663" s="6"/>
      <c r="X663" s="6"/>
      <c r="Y663" s="6"/>
    </row>
    <row r="664" spans="1:31" x14ac:dyDescent="0.2">
      <c r="C664" s="7"/>
      <c r="D664" s="7"/>
      <c r="F664" s="1"/>
      <c r="G664" s="2"/>
      <c r="I664" s="7"/>
      <c r="J664" s="7"/>
      <c r="K664" s="7"/>
      <c r="L664" s="7"/>
      <c r="P664" s="7"/>
      <c r="Q664" s="7"/>
      <c r="R664" s="20"/>
      <c r="S664" s="20"/>
      <c r="T664" s="20"/>
      <c r="U664" s="6"/>
      <c r="V664" s="6"/>
      <c r="W664" s="6"/>
      <c r="X664" s="6"/>
      <c r="Y664" s="6"/>
    </row>
    <row r="665" spans="1:31" x14ac:dyDescent="0.2">
      <c r="C665" s="7"/>
      <c r="D665" s="7"/>
      <c r="F665" s="1"/>
      <c r="G665" s="2"/>
      <c r="I665" s="7"/>
      <c r="J665" s="7"/>
      <c r="K665" s="7"/>
      <c r="L665" s="7"/>
      <c r="P665" s="7"/>
      <c r="Q665" s="7"/>
      <c r="R665" s="20"/>
      <c r="S665" s="20"/>
      <c r="T665" s="20"/>
      <c r="U665" s="6"/>
      <c r="V665" s="6"/>
      <c r="W665" s="6"/>
      <c r="X665" s="6"/>
      <c r="Y665" s="6"/>
      <c r="AB665" s="6"/>
    </row>
    <row r="666" spans="1:31" x14ac:dyDescent="0.2">
      <c r="F666" s="1"/>
      <c r="G666" s="2"/>
      <c r="I666" s="7"/>
      <c r="J666" s="7"/>
      <c r="K666" s="7"/>
      <c r="L666" s="7"/>
      <c r="M666" s="7"/>
      <c r="N666" s="7"/>
      <c r="P666" s="7"/>
      <c r="Q666" s="7"/>
      <c r="R666" s="7"/>
      <c r="S666" s="20"/>
      <c r="T666" s="20"/>
      <c r="U666" s="6"/>
      <c r="V666" s="6"/>
      <c r="W666" s="6"/>
      <c r="X666" s="6"/>
      <c r="Y666" s="6"/>
    </row>
    <row r="667" spans="1:31" x14ac:dyDescent="0.2">
      <c r="F667" s="1"/>
      <c r="G667" s="2"/>
      <c r="I667" s="7"/>
      <c r="J667" s="7"/>
      <c r="K667" s="7"/>
      <c r="L667" s="7"/>
      <c r="M667" s="7"/>
      <c r="N667" s="7"/>
      <c r="P667" s="7"/>
      <c r="Q667" s="7"/>
      <c r="R667" s="7"/>
      <c r="S667" s="20"/>
      <c r="T667" s="20"/>
      <c r="U667" s="6"/>
      <c r="V667" s="6"/>
      <c r="W667" s="6"/>
      <c r="X667" s="6"/>
      <c r="Y667" s="6"/>
    </row>
    <row r="668" spans="1:31" x14ac:dyDescent="0.2">
      <c r="F668" s="1"/>
      <c r="G668" s="2"/>
      <c r="I668" s="7"/>
      <c r="J668" s="7"/>
      <c r="K668" s="7"/>
      <c r="L668" s="7"/>
      <c r="P668" s="7"/>
      <c r="Q668" s="7"/>
      <c r="R668" s="7"/>
      <c r="S668" s="20"/>
      <c r="T668" s="20"/>
      <c r="U668" s="6"/>
      <c r="V668" s="6"/>
      <c r="W668" s="6"/>
      <c r="X668" s="6"/>
      <c r="Y668" s="6"/>
    </row>
    <row r="669" spans="1:31" x14ac:dyDescent="0.2">
      <c r="F669" s="1"/>
      <c r="G669" s="2"/>
    </row>
    <row r="670" spans="1:31" x14ac:dyDescent="0.2">
      <c r="F670" s="1"/>
      <c r="G670" s="2"/>
      <c r="I670" s="7"/>
      <c r="J670" s="7"/>
      <c r="K670" s="7"/>
      <c r="L670" s="7"/>
      <c r="M670" s="7"/>
      <c r="N670" s="7"/>
      <c r="P670" s="7"/>
      <c r="Q670" s="7"/>
      <c r="R670" s="20"/>
      <c r="S670" s="20"/>
      <c r="T670" s="20"/>
      <c r="U670" s="6"/>
      <c r="V670" s="6"/>
      <c r="W670" s="6"/>
      <c r="X670" s="6"/>
      <c r="Y670" s="6"/>
    </row>
    <row r="671" spans="1:31" x14ac:dyDescent="0.2">
      <c r="F671" s="1"/>
      <c r="G671" s="2"/>
      <c r="I671" s="7"/>
      <c r="J671" s="7"/>
      <c r="K671" s="7"/>
      <c r="L671" s="7"/>
      <c r="M671" s="7"/>
      <c r="N671" s="7"/>
      <c r="P671" s="7"/>
      <c r="Q671" s="7"/>
      <c r="R671" s="20"/>
      <c r="S671" s="20"/>
      <c r="T671" s="20"/>
      <c r="U671" s="6"/>
      <c r="V671" s="6"/>
      <c r="W671" s="6"/>
      <c r="X671" s="6"/>
      <c r="Y671" s="6"/>
    </row>
    <row r="672" spans="1:31" x14ac:dyDescent="0.2">
      <c r="F672" s="1"/>
      <c r="G672" s="2"/>
      <c r="I672" s="7"/>
      <c r="J672" s="7"/>
      <c r="K672" s="7"/>
      <c r="L672" s="7"/>
      <c r="M672" s="7"/>
      <c r="N672" s="7"/>
      <c r="P672" s="7"/>
      <c r="Q672" s="7"/>
      <c r="R672" s="20"/>
      <c r="S672" s="20"/>
      <c r="T672" s="20"/>
      <c r="U672" s="6"/>
      <c r="V672" s="6"/>
      <c r="W672" s="6"/>
      <c r="X672" s="6"/>
      <c r="Y672" s="6"/>
    </row>
    <row r="673" spans="6:25" x14ac:dyDescent="0.2">
      <c r="F673" s="1"/>
      <c r="G673" s="2"/>
      <c r="I673" s="7"/>
      <c r="J673" s="7"/>
      <c r="K673" s="7"/>
      <c r="L673" s="7"/>
      <c r="M673" s="7"/>
      <c r="N673" s="7"/>
      <c r="P673" s="7"/>
      <c r="Q673" s="7"/>
      <c r="R673" s="20"/>
      <c r="S673" s="20"/>
      <c r="T673" s="20"/>
      <c r="U673" s="6"/>
      <c r="V673" s="6"/>
      <c r="W673" s="6"/>
      <c r="X673" s="6"/>
      <c r="Y673" s="6"/>
    </row>
    <row r="674" spans="6:25" x14ac:dyDescent="0.2">
      <c r="F674" s="1"/>
      <c r="G674" s="2"/>
      <c r="I674" s="7"/>
      <c r="J674" s="7"/>
      <c r="K674" s="7"/>
      <c r="L674" s="7"/>
      <c r="M674" s="7"/>
      <c r="N674" s="7"/>
      <c r="P674" s="7"/>
      <c r="Q674" s="7"/>
      <c r="R674" s="20"/>
      <c r="S674" s="20"/>
      <c r="T674" s="20"/>
      <c r="U674" s="6"/>
      <c r="W674" s="6"/>
      <c r="X674" s="6"/>
      <c r="Y674" s="6"/>
    </row>
    <row r="675" spans="6:25" x14ac:dyDescent="0.2">
      <c r="F675" s="1"/>
      <c r="G675" s="2"/>
      <c r="I675" s="7"/>
      <c r="J675" s="7"/>
      <c r="K675" s="7"/>
      <c r="L675" s="7"/>
      <c r="M675" s="7"/>
      <c r="N675" s="7"/>
      <c r="P675" s="7"/>
      <c r="Q675" s="7"/>
      <c r="R675" s="20"/>
      <c r="S675" s="20"/>
      <c r="T675" s="20"/>
      <c r="U675" s="6"/>
      <c r="V675" s="6"/>
      <c r="W675" s="6"/>
      <c r="X675" s="6"/>
      <c r="Y675" s="6"/>
    </row>
    <row r="676" spans="6:25" x14ac:dyDescent="0.2">
      <c r="F676" s="1"/>
      <c r="G676" s="2"/>
      <c r="J676" s="7"/>
      <c r="K676" s="7"/>
      <c r="L676" s="7"/>
      <c r="M676" s="7"/>
      <c r="N676" s="7"/>
      <c r="P676" s="7"/>
      <c r="Q676" s="7"/>
      <c r="R676" s="7"/>
      <c r="S676" s="20"/>
      <c r="T676" s="20"/>
      <c r="U676" s="6"/>
      <c r="V676" s="6"/>
      <c r="W676" s="6"/>
      <c r="X676" s="6"/>
      <c r="Y676" s="6"/>
    </row>
    <row r="677" spans="6:25" x14ac:dyDescent="0.2">
      <c r="F677" s="1"/>
      <c r="G677" s="2"/>
      <c r="J677" s="7"/>
      <c r="K677" s="7"/>
      <c r="L677" s="7"/>
      <c r="M677" s="7"/>
      <c r="N677" s="7"/>
      <c r="P677" s="7"/>
      <c r="Q677" s="7"/>
      <c r="R677" s="7"/>
      <c r="S677" s="20"/>
      <c r="T677" s="20"/>
      <c r="U677" s="6"/>
      <c r="V677" s="6"/>
      <c r="W677" s="6"/>
      <c r="X677" s="6"/>
      <c r="Y677" s="6"/>
    </row>
    <row r="678" spans="6:25" x14ac:dyDescent="0.2">
      <c r="F678" s="1"/>
      <c r="G678" s="2"/>
      <c r="J678" s="7"/>
      <c r="K678" s="7"/>
      <c r="L678" s="7"/>
      <c r="M678" s="7"/>
      <c r="N678" s="7"/>
      <c r="P678" s="7"/>
      <c r="Q678" s="7"/>
      <c r="R678" s="7"/>
      <c r="S678" s="20"/>
      <c r="T678" s="20"/>
      <c r="U678" s="6"/>
      <c r="V678" s="6"/>
      <c r="W678" s="6"/>
      <c r="X678" s="6"/>
      <c r="Y678" s="6"/>
    </row>
    <row r="679" spans="6:25" x14ac:dyDescent="0.2">
      <c r="F679" s="1"/>
      <c r="G679" s="2"/>
      <c r="J679" s="7"/>
      <c r="K679" s="7"/>
      <c r="L679" s="7"/>
      <c r="Q679" s="7"/>
      <c r="R679" s="7"/>
      <c r="S679" s="20"/>
      <c r="T679" s="20"/>
      <c r="U679" s="6"/>
      <c r="V679" s="6"/>
      <c r="W679" s="6"/>
      <c r="X679" s="6"/>
      <c r="Y679" s="6"/>
    </row>
    <row r="680" spans="6:25" x14ac:dyDescent="0.2">
      <c r="F680" s="1"/>
      <c r="G680" s="2"/>
      <c r="J680" s="7"/>
      <c r="K680" s="7"/>
      <c r="L680" s="7"/>
      <c r="M680" s="7"/>
      <c r="N680" s="7"/>
      <c r="P680" s="7"/>
      <c r="Q680" s="7"/>
      <c r="R680" s="7"/>
      <c r="S680" s="20"/>
      <c r="T680" s="20"/>
      <c r="U680" s="6"/>
      <c r="V680" s="6"/>
      <c r="W680" s="6"/>
      <c r="X680" s="6"/>
      <c r="Y680" s="6"/>
    </row>
    <row r="681" spans="6:25" x14ac:dyDescent="0.2">
      <c r="F681" s="1"/>
      <c r="G681" s="2"/>
      <c r="J681" s="7"/>
      <c r="K681" s="7"/>
      <c r="L681" s="7"/>
      <c r="Q681" s="7"/>
      <c r="R681" s="7"/>
      <c r="S681" s="20"/>
      <c r="T681" s="20"/>
      <c r="U681" s="6"/>
      <c r="V681" s="6"/>
      <c r="W681" s="6"/>
      <c r="X681" s="6"/>
      <c r="Y681" s="6"/>
    </row>
    <row r="682" spans="6:25" x14ac:dyDescent="0.2">
      <c r="F682" s="1"/>
      <c r="G682" s="2"/>
      <c r="J682" s="7"/>
      <c r="K682" s="7"/>
      <c r="L682" s="7"/>
      <c r="Q682" s="7"/>
      <c r="R682" s="7"/>
      <c r="S682" s="20"/>
      <c r="T682" s="20"/>
      <c r="U682" s="6"/>
      <c r="V682" s="6"/>
      <c r="W682" s="6"/>
      <c r="X682" s="6"/>
      <c r="Y682" s="6"/>
    </row>
    <row r="683" spans="6:25" x14ac:dyDescent="0.2">
      <c r="F683" s="1"/>
      <c r="G683" s="2"/>
      <c r="J683" s="7"/>
      <c r="K683" s="7"/>
      <c r="L683" s="7"/>
      <c r="Q683" s="7"/>
      <c r="R683" s="7"/>
      <c r="S683" s="20"/>
      <c r="T683" s="20"/>
      <c r="U683" s="6"/>
      <c r="V683" s="6"/>
      <c r="W683" s="6"/>
      <c r="X683" s="6"/>
      <c r="Y683" s="6"/>
    </row>
    <row r="684" spans="6:25" x14ac:dyDescent="0.2">
      <c r="F684" s="1"/>
      <c r="G684" s="2"/>
      <c r="J684" s="7"/>
      <c r="K684" s="7"/>
      <c r="L684" s="7"/>
      <c r="Q684" s="7"/>
      <c r="R684" s="7"/>
      <c r="S684" s="20"/>
      <c r="T684" s="20"/>
      <c r="U684" s="6"/>
      <c r="V684" s="6"/>
      <c r="W684" s="6"/>
      <c r="X684" s="6"/>
      <c r="Y684" s="6"/>
    </row>
    <row r="685" spans="6:25" x14ac:dyDescent="0.2">
      <c r="F685" s="1"/>
      <c r="G685" s="2"/>
      <c r="J685" s="7"/>
      <c r="Q685" s="7"/>
      <c r="R685" s="7"/>
      <c r="S685" s="20"/>
      <c r="T685" s="20"/>
      <c r="U685" s="6"/>
      <c r="V685" s="6"/>
      <c r="W685" s="6"/>
      <c r="X685" s="6"/>
      <c r="Y685" s="6"/>
    </row>
    <row r="686" spans="6:25" x14ac:dyDescent="0.2">
      <c r="F686" s="1"/>
      <c r="G686" s="2"/>
      <c r="J686" s="7"/>
      <c r="Q686" s="7"/>
      <c r="R686" s="7"/>
      <c r="S686" s="20"/>
      <c r="T686" s="20"/>
      <c r="U686" s="6"/>
      <c r="V686" s="6"/>
      <c r="W686" s="6"/>
      <c r="X686" s="6"/>
      <c r="Y686" s="6"/>
    </row>
    <row r="687" spans="6:25" x14ac:dyDescent="0.2">
      <c r="F687" s="1"/>
      <c r="G687" s="2"/>
      <c r="J687" s="7"/>
      <c r="Q687" s="7"/>
      <c r="R687" s="7"/>
      <c r="S687" s="20"/>
      <c r="T687" s="20"/>
      <c r="U687" s="6"/>
      <c r="V687" s="6"/>
      <c r="W687" s="6"/>
      <c r="X687" s="6"/>
      <c r="Y687" s="6"/>
    </row>
    <row r="688" spans="6:25" x14ac:dyDescent="0.2">
      <c r="F688" s="1"/>
      <c r="G688" s="2"/>
      <c r="J688" s="7"/>
      <c r="R688" s="7"/>
      <c r="S688" s="20"/>
      <c r="T688" s="20"/>
      <c r="U688" s="6"/>
      <c r="V688" s="6"/>
      <c r="W688" s="6"/>
      <c r="X688" s="6"/>
      <c r="Y688" s="6"/>
    </row>
    <row r="689" spans="6:25" x14ac:dyDescent="0.2">
      <c r="F689" s="1"/>
      <c r="G689" s="2"/>
      <c r="J689" s="7"/>
      <c r="Q689" s="7"/>
      <c r="R689" s="7"/>
      <c r="S689" s="20"/>
      <c r="T689" s="20"/>
      <c r="U689" s="6"/>
      <c r="V689" s="6"/>
      <c r="W689" s="6"/>
      <c r="X689" s="6"/>
      <c r="Y689" s="6"/>
    </row>
    <row r="690" spans="6:25" x14ac:dyDescent="0.2">
      <c r="F690" s="1"/>
      <c r="G690" s="2"/>
      <c r="J690" s="7"/>
      <c r="Q690" s="7"/>
      <c r="R690" s="7"/>
      <c r="S690" s="20"/>
      <c r="T690" s="20"/>
      <c r="U690" s="7"/>
      <c r="V690" s="7"/>
      <c r="W690" s="6"/>
      <c r="X690" s="6"/>
      <c r="Y690" s="6"/>
    </row>
    <row r="691" spans="6:25" x14ac:dyDescent="0.2">
      <c r="F691" s="1"/>
      <c r="G691" s="2"/>
      <c r="J691" s="7"/>
      <c r="R691" s="7"/>
      <c r="S691" s="20"/>
      <c r="T691" s="20"/>
      <c r="U691" s="6"/>
      <c r="V691" s="6"/>
      <c r="W691" s="6"/>
      <c r="X691" s="6"/>
      <c r="Y691" s="6"/>
    </row>
    <row r="692" spans="6:25" x14ac:dyDescent="0.2">
      <c r="F692" s="1"/>
      <c r="G692" s="2"/>
      <c r="J692" s="7"/>
      <c r="R692" s="7"/>
      <c r="S692" s="20"/>
      <c r="T692" s="20"/>
      <c r="U692" s="6"/>
      <c r="V692" s="6"/>
      <c r="W692" s="6"/>
      <c r="X692" s="6"/>
      <c r="Y692" s="6"/>
    </row>
    <row r="693" spans="6:25" x14ac:dyDescent="0.2">
      <c r="F693" s="1"/>
      <c r="G693" s="2"/>
      <c r="J693" s="7"/>
      <c r="R693" s="7"/>
      <c r="S693" s="20"/>
      <c r="T693" s="20"/>
      <c r="U693" s="6"/>
      <c r="V693" s="6"/>
      <c r="W693" s="6"/>
      <c r="X693" s="6"/>
      <c r="Y693" s="6"/>
    </row>
    <row r="694" spans="6:25" x14ac:dyDescent="0.2">
      <c r="F694" s="1"/>
      <c r="G694" s="2"/>
      <c r="J694" s="7"/>
      <c r="R694" s="7"/>
      <c r="S694" s="20"/>
      <c r="T694" s="20"/>
      <c r="U694" s="6"/>
      <c r="V694" s="6"/>
      <c r="W694" s="6"/>
      <c r="X694" s="6"/>
      <c r="Y694" s="6"/>
    </row>
    <row r="695" spans="6:25" x14ac:dyDescent="0.2">
      <c r="F695" s="1"/>
      <c r="G695" s="2"/>
      <c r="J695" s="7"/>
      <c r="K695" s="7"/>
      <c r="U695" s="6"/>
      <c r="V695" s="6"/>
      <c r="W695" s="6"/>
      <c r="X695" s="6"/>
      <c r="Y695" s="6"/>
    </row>
    <row r="696" spans="6:25" x14ac:dyDescent="0.2">
      <c r="F696" s="1"/>
      <c r="G696" s="2"/>
      <c r="J696" s="7"/>
      <c r="K696" s="7"/>
      <c r="L696" s="7"/>
      <c r="U696" s="6"/>
      <c r="V696" s="6"/>
      <c r="W696" s="6"/>
      <c r="X696" s="6"/>
      <c r="Y696" s="6"/>
    </row>
    <row r="697" spans="6:25" x14ac:dyDescent="0.2">
      <c r="F697" s="1"/>
      <c r="G697" s="2"/>
      <c r="J697" s="7"/>
      <c r="K697" s="7"/>
      <c r="S697" s="20"/>
      <c r="T697" s="20"/>
      <c r="U697" s="6"/>
      <c r="V697" s="6"/>
      <c r="W697" s="6"/>
      <c r="X697" s="6"/>
      <c r="Y697" s="6"/>
    </row>
    <row r="698" spans="6:25" x14ac:dyDescent="0.2">
      <c r="F698" s="1"/>
      <c r="G698" s="2"/>
      <c r="J698" s="7"/>
      <c r="K698" s="7"/>
      <c r="S698" s="20"/>
      <c r="T698" s="20"/>
      <c r="U698" s="7"/>
      <c r="V698" s="6"/>
      <c r="W698" s="6"/>
      <c r="X698" s="6"/>
      <c r="Y698" s="6"/>
    </row>
    <row r="699" spans="6:25" x14ac:dyDescent="0.2">
      <c r="F699" s="1"/>
      <c r="G699" s="2"/>
      <c r="J699" s="7"/>
      <c r="K699" s="7"/>
      <c r="U699" s="6"/>
      <c r="V699" s="6"/>
      <c r="W699" s="6"/>
      <c r="X699" s="6"/>
      <c r="Y699" s="6"/>
    </row>
    <row r="700" spans="6:25" x14ac:dyDescent="0.2">
      <c r="F700" s="1"/>
      <c r="G700" s="2"/>
      <c r="J700" s="7"/>
      <c r="K700" s="7"/>
      <c r="U700" s="6"/>
      <c r="V700" s="6"/>
      <c r="W700" s="6"/>
      <c r="X700" s="6"/>
      <c r="Y700" s="6"/>
    </row>
    <row r="701" spans="6:25" x14ac:dyDescent="0.2">
      <c r="F701" s="1"/>
      <c r="G701" s="2"/>
      <c r="I701" s="7"/>
      <c r="J701" s="7"/>
      <c r="K701" s="7"/>
      <c r="V701" s="6"/>
      <c r="W701" s="6"/>
      <c r="X701" s="6"/>
      <c r="Y701" s="6"/>
    </row>
    <row r="702" spans="6:25" x14ac:dyDescent="0.2">
      <c r="F702" s="1"/>
      <c r="G702" s="2"/>
      <c r="I702" s="7"/>
      <c r="J702" s="7"/>
      <c r="K702" s="7"/>
      <c r="U702" s="6"/>
      <c r="V702" s="6"/>
      <c r="W702" s="6"/>
      <c r="X702" s="6"/>
      <c r="Y702" s="6"/>
    </row>
    <row r="703" spans="6:25" x14ac:dyDescent="0.2">
      <c r="F703" s="1"/>
      <c r="G703" s="2"/>
      <c r="I703" s="7"/>
      <c r="J703" s="7"/>
      <c r="K703" s="7"/>
      <c r="U703" s="6"/>
      <c r="V703" s="6"/>
      <c r="W703" s="6"/>
      <c r="X703" s="6"/>
      <c r="Y703" s="6"/>
    </row>
    <row r="704" spans="6:25" x14ac:dyDescent="0.2">
      <c r="F704" s="1"/>
      <c r="G704" s="2"/>
      <c r="I704" s="7"/>
      <c r="J704" s="7"/>
      <c r="K704" s="7"/>
      <c r="U704" s="6"/>
      <c r="V704" s="6"/>
      <c r="W704" s="6"/>
      <c r="X704" s="6"/>
      <c r="Y704" s="6"/>
    </row>
    <row r="705" spans="6:29" x14ac:dyDescent="0.2">
      <c r="F705" s="1"/>
      <c r="G705" s="2"/>
      <c r="I705" s="7"/>
      <c r="J705" s="7"/>
      <c r="K705" s="7"/>
      <c r="U705" s="6"/>
      <c r="V705" s="6"/>
      <c r="W705" s="6"/>
      <c r="X705" s="6"/>
      <c r="Y705" s="6"/>
    </row>
    <row r="706" spans="6:29" x14ac:dyDescent="0.2">
      <c r="F706" s="1"/>
      <c r="G706" s="2"/>
      <c r="I706" s="7"/>
      <c r="J706" s="7"/>
      <c r="K706" s="7"/>
      <c r="L706" s="7"/>
      <c r="U706" s="6"/>
      <c r="V706" s="6"/>
      <c r="W706" s="6"/>
      <c r="X706" s="6"/>
      <c r="Y706" s="6"/>
    </row>
    <row r="707" spans="6:29" x14ac:dyDescent="0.2">
      <c r="F707" s="1"/>
      <c r="G707" s="2"/>
      <c r="I707" s="7"/>
      <c r="J707" s="7"/>
      <c r="K707" s="7"/>
      <c r="L707" s="7"/>
      <c r="U707" s="6"/>
      <c r="V707" s="6"/>
      <c r="W707" s="6"/>
      <c r="X707" s="6"/>
      <c r="Y707" s="6"/>
    </row>
    <row r="708" spans="6:29" x14ac:dyDescent="0.2">
      <c r="F708" s="1"/>
      <c r="G708" s="2"/>
      <c r="I708" s="7"/>
      <c r="J708" s="7"/>
      <c r="K708" s="7"/>
      <c r="L708" s="7"/>
      <c r="U708" s="6"/>
      <c r="V708" s="6"/>
      <c r="W708" s="6"/>
      <c r="X708" s="6"/>
      <c r="Y708" s="6"/>
    </row>
    <row r="709" spans="6:29" x14ac:dyDescent="0.2">
      <c r="F709" s="1"/>
      <c r="G709" s="2"/>
      <c r="I709" s="7"/>
      <c r="J709" s="7"/>
      <c r="K709" s="7"/>
      <c r="L709" s="7"/>
      <c r="M709" s="7"/>
      <c r="N709" s="7"/>
      <c r="P709" s="7"/>
      <c r="Q709" s="7"/>
      <c r="R709" s="7"/>
      <c r="S709" s="20"/>
      <c r="T709" s="20"/>
      <c r="U709" s="6"/>
      <c r="V709" s="6"/>
      <c r="W709" s="6"/>
      <c r="X709" s="6"/>
      <c r="Y709" s="6"/>
    </row>
    <row r="710" spans="6:29" x14ac:dyDescent="0.2">
      <c r="F710" s="1"/>
      <c r="G710" s="2"/>
      <c r="I710" s="7"/>
      <c r="J710" s="7"/>
      <c r="K710" s="7"/>
      <c r="L710" s="7"/>
      <c r="M710" s="7"/>
      <c r="N710" s="7"/>
      <c r="P710" s="7"/>
      <c r="Q710" s="7"/>
      <c r="R710" s="7"/>
      <c r="S710" s="20"/>
      <c r="T710" s="20"/>
      <c r="U710" s="6"/>
      <c r="V710" s="6"/>
      <c r="W710" s="6"/>
      <c r="X710" s="6"/>
      <c r="Y710" s="6"/>
    </row>
    <row r="711" spans="6:29" x14ac:dyDescent="0.2">
      <c r="F711" s="1"/>
      <c r="G711" s="2"/>
      <c r="I711" s="7"/>
      <c r="J711" s="7"/>
      <c r="K711" s="7"/>
      <c r="L711" s="7"/>
      <c r="M711" s="7"/>
      <c r="N711" s="7"/>
      <c r="P711" s="7"/>
      <c r="Q711" s="7"/>
      <c r="R711" s="7"/>
      <c r="S711" s="20"/>
      <c r="T711" s="20"/>
      <c r="U711" s="6"/>
      <c r="V711" s="6"/>
      <c r="W711" s="6"/>
      <c r="X711" s="6"/>
      <c r="Y711" s="6"/>
    </row>
    <row r="712" spans="6:29" x14ac:dyDescent="0.2">
      <c r="F712" s="1"/>
      <c r="G712" s="2"/>
      <c r="I712" s="7"/>
      <c r="J712" s="7"/>
      <c r="K712" s="7"/>
      <c r="L712" s="7"/>
      <c r="M712" s="7"/>
      <c r="N712" s="7"/>
      <c r="P712" s="7"/>
      <c r="Q712" s="7"/>
      <c r="R712" s="7"/>
      <c r="S712" s="20"/>
      <c r="T712" s="20"/>
      <c r="U712" s="6"/>
      <c r="V712" s="6"/>
      <c r="W712" s="6"/>
      <c r="X712" s="6"/>
      <c r="Y712" s="6"/>
    </row>
    <row r="713" spans="6:29" x14ac:dyDescent="0.2">
      <c r="F713" s="1"/>
      <c r="G713" s="2"/>
      <c r="I713" s="7"/>
      <c r="J713" s="7"/>
      <c r="K713" s="7"/>
      <c r="L713" s="7"/>
      <c r="M713" s="7"/>
      <c r="N713" s="7"/>
      <c r="P713" s="7"/>
      <c r="Q713" s="7"/>
      <c r="R713" s="7"/>
      <c r="S713" s="20"/>
      <c r="T713" s="20"/>
      <c r="U713" s="6"/>
      <c r="V713" s="6"/>
      <c r="W713" s="6"/>
      <c r="X713" s="6"/>
      <c r="Y713" s="6"/>
    </row>
    <row r="714" spans="6:29" x14ac:dyDescent="0.2">
      <c r="F714" s="1"/>
      <c r="G714" s="2"/>
      <c r="I714" s="7"/>
      <c r="J714" s="7"/>
      <c r="K714" s="7"/>
      <c r="L714" s="7"/>
      <c r="M714" s="7"/>
      <c r="N714" s="7"/>
      <c r="P714" s="7"/>
      <c r="Q714" s="7"/>
      <c r="R714" s="7"/>
      <c r="S714" s="20"/>
      <c r="T714" s="20"/>
      <c r="U714" s="6"/>
      <c r="V714" s="6"/>
      <c r="W714" s="6"/>
      <c r="X714" s="6"/>
      <c r="Y714" s="6"/>
    </row>
    <row r="715" spans="6:29" x14ac:dyDescent="0.2">
      <c r="F715" s="1"/>
      <c r="G715" s="2"/>
      <c r="I715" s="7"/>
      <c r="J715" s="7"/>
      <c r="K715" s="7"/>
      <c r="L715" s="7"/>
      <c r="M715" s="7"/>
      <c r="N715" s="7"/>
      <c r="P715" s="7"/>
      <c r="Q715" s="7"/>
      <c r="R715" s="7"/>
      <c r="S715" s="20"/>
      <c r="T715" s="20"/>
      <c r="U715" s="6"/>
      <c r="V715" s="6"/>
      <c r="W715" s="6"/>
      <c r="X715" s="6"/>
      <c r="Y715" s="6"/>
    </row>
    <row r="716" spans="6:29" x14ac:dyDescent="0.2">
      <c r="F716" s="1"/>
      <c r="G716" s="2"/>
      <c r="I716" s="7"/>
      <c r="J716" s="7"/>
      <c r="K716" s="7"/>
      <c r="L716" s="7"/>
      <c r="M716" s="7"/>
      <c r="N716" s="7"/>
      <c r="P716" s="7"/>
      <c r="Q716" s="7"/>
      <c r="R716" s="7"/>
      <c r="S716" s="20"/>
      <c r="T716" s="20"/>
      <c r="U716" s="6"/>
      <c r="V716" s="6"/>
      <c r="W716" s="6"/>
      <c r="X716" s="6"/>
      <c r="Y716" s="6"/>
    </row>
    <row r="717" spans="6:29" x14ac:dyDescent="0.2">
      <c r="F717" s="1"/>
      <c r="G717" s="2"/>
      <c r="I717" s="7"/>
      <c r="J717" s="7"/>
      <c r="K717" s="7"/>
      <c r="L717" s="7"/>
      <c r="M717" s="7"/>
      <c r="N717" s="7"/>
      <c r="P717" s="7"/>
      <c r="Q717" s="7"/>
      <c r="R717" s="7"/>
      <c r="S717" s="20"/>
      <c r="T717" s="20"/>
      <c r="U717" s="6"/>
      <c r="V717" s="6"/>
      <c r="W717" s="6"/>
      <c r="X717" s="6"/>
      <c r="Y717" s="6"/>
    </row>
    <row r="718" spans="6:29" x14ac:dyDescent="0.2">
      <c r="F718" s="1"/>
      <c r="G718" s="2"/>
      <c r="I718" s="7"/>
      <c r="J718" s="7"/>
      <c r="K718" s="7"/>
      <c r="L718" s="7"/>
      <c r="M718" s="7"/>
      <c r="N718" s="7"/>
      <c r="P718" s="7"/>
      <c r="Q718" s="7"/>
      <c r="R718" s="7"/>
      <c r="S718" s="20"/>
      <c r="T718" s="20"/>
      <c r="U718" s="6"/>
      <c r="V718" s="6"/>
      <c r="W718" s="6"/>
      <c r="X718" s="6"/>
      <c r="Y718" s="6"/>
    </row>
    <row r="719" spans="6:29" x14ac:dyDescent="0.2">
      <c r="F719" s="1"/>
      <c r="G719" s="2"/>
      <c r="I719" s="7"/>
      <c r="J719" s="7"/>
      <c r="K719" s="7"/>
      <c r="L719" s="7"/>
      <c r="M719" s="7"/>
      <c r="N719" s="7"/>
      <c r="P719" s="7"/>
      <c r="Q719" s="7"/>
      <c r="R719" s="7"/>
      <c r="S719" s="20"/>
      <c r="T719" s="20"/>
      <c r="U719" s="6"/>
      <c r="V719" s="6"/>
      <c r="W719" s="6"/>
      <c r="X719" s="6"/>
      <c r="Y719" s="6"/>
      <c r="AC719" s="5"/>
    </row>
    <row r="720" spans="6:29" x14ac:dyDescent="0.2">
      <c r="F720" s="1"/>
      <c r="G720" s="2"/>
      <c r="I720" s="7"/>
      <c r="J720" s="7"/>
      <c r="K720" s="7"/>
      <c r="L720" s="7"/>
      <c r="M720" s="7"/>
      <c r="N720" s="7"/>
      <c r="P720" s="7"/>
      <c r="Q720" s="7"/>
      <c r="R720" s="7"/>
      <c r="S720" s="20"/>
      <c r="T720" s="20"/>
      <c r="U720" s="6"/>
      <c r="V720" s="6"/>
      <c r="W720" s="6"/>
      <c r="X720" s="6"/>
      <c r="Y720" s="6"/>
    </row>
    <row r="721" spans="6:29" x14ac:dyDescent="0.2">
      <c r="F721" s="1"/>
      <c r="G721" s="2"/>
      <c r="I721" s="7"/>
      <c r="J721" s="7"/>
      <c r="K721" s="7"/>
      <c r="L721" s="7"/>
      <c r="M721" s="7"/>
      <c r="N721" s="7"/>
      <c r="P721" s="7"/>
      <c r="Q721" s="7"/>
      <c r="R721" s="7"/>
      <c r="S721" s="20"/>
      <c r="T721" s="20"/>
      <c r="U721" s="6"/>
      <c r="V721" s="6"/>
      <c r="W721" s="6"/>
      <c r="X721" s="6"/>
      <c r="Y721" s="6"/>
      <c r="AC721" s="5"/>
    </row>
    <row r="722" spans="6:29" x14ac:dyDescent="0.2">
      <c r="F722" s="1"/>
      <c r="G722" s="2"/>
      <c r="I722" s="7"/>
      <c r="J722" s="7"/>
      <c r="K722" s="7"/>
      <c r="M722" s="7"/>
      <c r="N722" s="7"/>
      <c r="P722" s="7"/>
      <c r="Q722" s="7"/>
      <c r="R722" s="7"/>
      <c r="S722" s="20"/>
      <c r="T722" s="20"/>
      <c r="U722" s="6"/>
      <c r="V722" s="6"/>
      <c r="W722" s="6"/>
      <c r="X722" s="6"/>
      <c r="Y722" s="6"/>
    </row>
    <row r="723" spans="6:29" x14ac:dyDescent="0.2">
      <c r="F723" s="1"/>
      <c r="G723" s="2"/>
      <c r="I723" s="7"/>
      <c r="J723" s="7"/>
      <c r="K723" s="7"/>
      <c r="L723" s="7"/>
      <c r="M723" s="7"/>
      <c r="P723" s="7"/>
      <c r="Q723" s="7"/>
      <c r="R723" s="7"/>
      <c r="S723" s="20"/>
      <c r="T723" s="20"/>
      <c r="U723" s="6"/>
      <c r="V723" s="6"/>
      <c r="W723" s="6"/>
      <c r="X723" s="6"/>
      <c r="Y723" s="6"/>
      <c r="AC723" s="6"/>
    </row>
    <row r="724" spans="6:29" x14ac:dyDescent="0.2">
      <c r="F724" s="1"/>
      <c r="G724" s="2"/>
      <c r="I724" s="7"/>
      <c r="J724" s="7"/>
      <c r="K724" s="7"/>
      <c r="L724" s="7"/>
      <c r="M724" s="7"/>
      <c r="P724" s="7"/>
      <c r="Q724" s="7"/>
      <c r="R724" s="7"/>
      <c r="S724" s="20"/>
      <c r="T724" s="20"/>
      <c r="U724" s="6"/>
      <c r="V724" s="6"/>
      <c r="W724" s="6"/>
      <c r="X724" s="6"/>
      <c r="Y724" s="6"/>
    </row>
    <row r="725" spans="6:29" x14ac:dyDescent="0.2">
      <c r="F725" s="1"/>
      <c r="G725" s="2"/>
      <c r="I725" s="7"/>
      <c r="K725" s="7"/>
      <c r="L725" s="7"/>
      <c r="M725" s="7"/>
      <c r="P725" s="7"/>
      <c r="Q725" s="7"/>
      <c r="R725" s="7"/>
      <c r="S725" s="20"/>
      <c r="T725" s="20"/>
      <c r="U725" s="6"/>
      <c r="V725" s="6"/>
      <c r="W725" s="6"/>
      <c r="X725" s="6"/>
      <c r="Y725" s="6"/>
    </row>
    <row r="726" spans="6:29" x14ac:dyDescent="0.2">
      <c r="F726" s="1"/>
      <c r="G726" s="2"/>
      <c r="I726" s="7"/>
      <c r="K726" s="7"/>
      <c r="L726" s="7"/>
      <c r="M726" s="7"/>
      <c r="P726" s="7"/>
      <c r="Q726" s="7"/>
      <c r="R726" s="7"/>
      <c r="S726" s="20"/>
      <c r="T726" s="20"/>
      <c r="U726" s="6"/>
      <c r="V726" s="6"/>
      <c r="W726" s="6"/>
      <c r="X726" s="6"/>
      <c r="Y726" s="6"/>
    </row>
    <row r="727" spans="6:29" x14ac:dyDescent="0.2">
      <c r="F727" s="1"/>
      <c r="G727" s="2"/>
      <c r="I727" s="7"/>
      <c r="J727" s="7"/>
      <c r="K727" s="7"/>
      <c r="M727" s="7"/>
      <c r="P727" s="7"/>
      <c r="Q727" s="7"/>
      <c r="R727" s="7"/>
      <c r="S727" s="20"/>
      <c r="T727" s="20"/>
      <c r="U727" s="6"/>
      <c r="V727" s="6"/>
      <c r="W727" s="6"/>
      <c r="X727" s="6"/>
      <c r="Y727" s="6"/>
    </row>
    <row r="728" spans="6:29" x14ac:dyDescent="0.2">
      <c r="F728" s="1"/>
      <c r="G728" s="2"/>
      <c r="I728" s="7"/>
      <c r="J728" s="7"/>
      <c r="K728" s="7"/>
      <c r="M728" s="7"/>
      <c r="P728" s="7"/>
      <c r="Q728" s="7"/>
      <c r="R728" s="7"/>
      <c r="S728" s="20"/>
      <c r="T728" s="20"/>
      <c r="U728" s="6"/>
      <c r="V728" s="6"/>
      <c r="W728" s="6"/>
      <c r="X728" s="6"/>
      <c r="Y728" s="6"/>
    </row>
    <row r="729" spans="6:29" x14ac:dyDescent="0.2">
      <c r="F729" s="1"/>
      <c r="G729" s="2"/>
      <c r="I729" s="7"/>
      <c r="J729" s="7"/>
      <c r="K729" s="7"/>
      <c r="M729" s="7"/>
      <c r="P729" s="7"/>
      <c r="Q729" s="7"/>
      <c r="R729" s="7"/>
      <c r="S729" s="20"/>
      <c r="T729" s="20"/>
      <c r="U729" s="6"/>
      <c r="V729" s="6"/>
      <c r="W729" s="6"/>
      <c r="X729" s="6"/>
      <c r="Y729" s="6"/>
    </row>
    <row r="730" spans="6:29" x14ac:dyDescent="0.2">
      <c r="F730" s="1"/>
      <c r="G730" s="2"/>
      <c r="I730" s="7"/>
      <c r="J730" s="7"/>
      <c r="K730" s="7"/>
      <c r="M730" s="7"/>
      <c r="P730" s="7"/>
      <c r="Q730" s="7"/>
      <c r="R730" s="7"/>
      <c r="S730" s="20"/>
      <c r="T730" s="20"/>
      <c r="U730" s="6"/>
      <c r="V730" s="6"/>
      <c r="W730" s="6"/>
      <c r="X730" s="6"/>
      <c r="Y730" s="6"/>
    </row>
    <row r="731" spans="6:29" x14ac:dyDescent="0.2">
      <c r="F731" s="1"/>
      <c r="G731" s="2"/>
      <c r="I731" s="7"/>
      <c r="J731" s="7"/>
      <c r="K731" s="7"/>
      <c r="M731" s="7"/>
      <c r="P731" s="7"/>
      <c r="Q731" s="7"/>
      <c r="R731" s="7"/>
      <c r="S731" s="20"/>
      <c r="T731" s="20"/>
      <c r="U731" s="6"/>
      <c r="V731" s="6"/>
      <c r="W731" s="6"/>
      <c r="X731" s="6"/>
      <c r="Y731" s="6"/>
    </row>
    <row r="732" spans="6:29" x14ac:dyDescent="0.2">
      <c r="F732" s="1"/>
      <c r="G732" s="2"/>
      <c r="I732" s="7"/>
      <c r="J732" s="7"/>
      <c r="K732" s="7"/>
      <c r="M732" s="7"/>
      <c r="P732" s="7"/>
      <c r="Q732" s="7"/>
      <c r="R732" s="7"/>
      <c r="S732" s="20"/>
      <c r="T732" s="20"/>
      <c r="U732" s="6"/>
      <c r="V732" s="6"/>
      <c r="W732" s="6"/>
      <c r="X732" s="6"/>
      <c r="Y732" s="6"/>
    </row>
    <row r="733" spans="6:29" x14ac:dyDescent="0.2">
      <c r="F733" s="1"/>
      <c r="G733" s="2"/>
      <c r="I733" s="7"/>
      <c r="J733" s="7"/>
      <c r="K733" s="7"/>
      <c r="M733" s="7"/>
      <c r="P733" s="7"/>
      <c r="Q733" s="7"/>
      <c r="R733" s="7"/>
      <c r="S733" s="20"/>
      <c r="T733" s="20"/>
      <c r="U733" s="6"/>
      <c r="V733" s="6"/>
      <c r="W733" s="6"/>
      <c r="X733" s="6"/>
      <c r="Y733" s="6"/>
    </row>
    <row r="734" spans="6:29" x14ac:dyDescent="0.2">
      <c r="F734" s="1"/>
      <c r="G734" s="2"/>
      <c r="I734" s="7"/>
      <c r="J734" s="7"/>
      <c r="K734" s="7"/>
      <c r="M734" s="7"/>
      <c r="P734" s="7"/>
      <c r="Q734" s="7"/>
      <c r="R734" s="7"/>
      <c r="S734" s="20"/>
      <c r="T734" s="20"/>
      <c r="U734" s="6"/>
      <c r="V734" s="6"/>
      <c r="W734" s="6"/>
      <c r="X734" s="6"/>
      <c r="Y734" s="6"/>
    </row>
    <row r="735" spans="6:29" x14ac:dyDescent="0.2">
      <c r="F735" s="1"/>
      <c r="G735" s="2"/>
      <c r="I735" s="7"/>
      <c r="J735" s="7"/>
      <c r="K735" s="7"/>
      <c r="M735" s="7"/>
      <c r="P735" s="7"/>
      <c r="Q735" s="7"/>
      <c r="R735" s="7"/>
      <c r="S735" s="20"/>
      <c r="T735" s="20"/>
      <c r="U735" s="6"/>
      <c r="V735" s="6"/>
      <c r="W735" s="6"/>
      <c r="X735" s="6"/>
      <c r="Y735" s="6"/>
    </row>
    <row r="736" spans="6:29" x14ac:dyDescent="0.2">
      <c r="F736" s="1"/>
      <c r="G736" s="2"/>
      <c r="I736" s="7"/>
      <c r="J736" s="7"/>
      <c r="K736" s="7"/>
      <c r="L736" s="7"/>
      <c r="M736" s="7"/>
      <c r="P736" s="7"/>
      <c r="Q736" s="7"/>
      <c r="R736" s="7"/>
      <c r="S736" s="20"/>
      <c r="T736" s="20"/>
      <c r="U736" s="6"/>
      <c r="V736" s="6"/>
      <c r="W736" s="6"/>
      <c r="X736" s="6"/>
      <c r="Y736" s="6"/>
    </row>
    <row r="737" spans="6:25" x14ac:dyDescent="0.2">
      <c r="F737" s="1"/>
      <c r="G737" s="2"/>
      <c r="I737" s="7"/>
      <c r="K737" s="7"/>
      <c r="L737" s="7"/>
      <c r="M737" s="7"/>
      <c r="P737" s="7"/>
      <c r="Q737" s="7"/>
      <c r="R737" s="7"/>
      <c r="S737" s="20"/>
      <c r="T737" s="20"/>
      <c r="U737" s="6"/>
      <c r="V737" s="6"/>
      <c r="W737" s="6"/>
      <c r="X737" s="6"/>
      <c r="Y737" s="6"/>
    </row>
    <row r="738" spans="6:25" x14ac:dyDescent="0.2">
      <c r="F738" s="1"/>
      <c r="G738" s="2"/>
      <c r="I738" s="7"/>
      <c r="K738" s="7"/>
      <c r="L738" s="7"/>
      <c r="M738" s="7"/>
      <c r="P738" s="7"/>
      <c r="Q738" s="7"/>
      <c r="R738" s="7"/>
      <c r="S738" s="20"/>
      <c r="T738" s="20"/>
      <c r="U738" s="6"/>
      <c r="V738" s="6"/>
      <c r="W738" s="6"/>
      <c r="X738" s="6"/>
      <c r="Y738" s="6"/>
    </row>
    <row r="739" spans="6:25" x14ac:dyDescent="0.2">
      <c r="F739" s="1"/>
      <c r="G739" s="2"/>
      <c r="I739" s="7"/>
      <c r="K739" s="7"/>
      <c r="L739" s="7"/>
      <c r="M739" s="7"/>
      <c r="P739" s="7"/>
      <c r="Q739" s="7"/>
      <c r="R739" s="7"/>
      <c r="S739" s="20"/>
      <c r="T739" s="20"/>
      <c r="U739" s="6"/>
      <c r="V739" s="6"/>
      <c r="W739" s="6"/>
      <c r="X739" s="6"/>
      <c r="Y739" s="6"/>
    </row>
    <row r="740" spans="6:25" x14ac:dyDescent="0.2">
      <c r="F740" s="1"/>
      <c r="G740" s="2"/>
      <c r="I740" s="7"/>
      <c r="K740" s="7"/>
      <c r="L740" s="7"/>
      <c r="M740" s="7"/>
      <c r="P740" s="7"/>
      <c r="Q740" s="7"/>
      <c r="R740" s="7"/>
      <c r="S740" s="20"/>
      <c r="T740" s="20"/>
      <c r="U740" s="6"/>
      <c r="V740" s="6"/>
      <c r="W740" s="6"/>
      <c r="X740" s="6"/>
      <c r="Y740" s="6"/>
    </row>
    <row r="741" spans="6:25" x14ac:dyDescent="0.2">
      <c r="F741" s="1"/>
      <c r="G741" s="2"/>
      <c r="I741" s="7"/>
      <c r="K741" s="7"/>
      <c r="L741" s="7"/>
      <c r="M741" s="7"/>
      <c r="P741" s="7"/>
      <c r="Q741" s="7"/>
      <c r="R741" s="7"/>
      <c r="S741" s="20"/>
      <c r="T741" s="20"/>
      <c r="U741" s="6"/>
      <c r="V741" s="6"/>
      <c r="W741" s="6"/>
      <c r="X741" s="6"/>
      <c r="Y741" s="6"/>
    </row>
    <row r="742" spans="6:25" x14ac:dyDescent="0.2">
      <c r="F742" s="1"/>
      <c r="G742" s="2"/>
      <c r="I742" s="7"/>
      <c r="K742" s="7"/>
      <c r="L742" s="7"/>
      <c r="M742" s="7"/>
      <c r="P742" s="7"/>
      <c r="Q742" s="7"/>
      <c r="R742" s="7"/>
      <c r="S742" s="20"/>
      <c r="T742" s="20"/>
      <c r="U742" s="6"/>
      <c r="V742" s="6"/>
      <c r="W742" s="6"/>
      <c r="X742" s="6"/>
      <c r="Y742" s="6"/>
    </row>
    <row r="743" spans="6:25" x14ac:dyDescent="0.2">
      <c r="F743" s="1"/>
      <c r="G743" s="2"/>
      <c r="I743" s="7"/>
      <c r="K743" s="7"/>
      <c r="L743" s="7"/>
      <c r="M743" s="7"/>
      <c r="P743" s="7"/>
      <c r="Q743" s="7"/>
      <c r="R743" s="7"/>
      <c r="S743" s="20"/>
      <c r="T743" s="20"/>
      <c r="U743" s="6"/>
      <c r="V743" s="6"/>
      <c r="W743" s="6"/>
      <c r="X743" s="6"/>
      <c r="Y743" s="6"/>
    </row>
    <row r="744" spans="6:25" x14ac:dyDescent="0.2">
      <c r="F744" s="1"/>
      <c r="G744" s="2"/>
      <c r="I744" s="7"/>
      <c r="K744" s="7"/>
      <c r="L744" s="7"/>
      <c r="M744" s="7"/>
      <c r="P744" s="7"/>
      <c r="Q744" s="7"/>
      <c r="R744" s="7"/>
      <c r="S744" s="20"/>
      <c r="T744" s="20"/>
      <c r="U744" s="6"/>
      <c r="V744" s="6"/>
      <c r="W744" s="6"/>
      <c r="X744" s="6"/>
      <c r="Y744" s="6"/>
    </row>
    <row r="745" spans="6:25" x14ac:dyDescent="0.2">
      <c r="F745" s="1"/>
      <c r="G745" s="2"/>
      <c r="I745" s="7"/>
      <c r="K745" s="7"/>
      <c r="L745" s="7"/>
      <c r="M745" s="7"/>
      <c r="P745" s="7"/>
      <c r="Q745" s="7"/>
      <c r="R745" s="7"/>
      <c r="S745" s="20"/>
      <c r="T745" s="20"/>
      <c r="U745" s="6"/>
      <c r="V745" s="6"/>
      <c r="W745" s="6"/>
      <c r="X745" s="6"/>
      <c r="Y745" s="6"/>
    </row>
    <row r="746" spans="6:25" x14ac:dyDescent="0.2">
      <c r="F746" s="1"/>
      <c r="G746" s="2"/>
      <c r="I746" s="7"/>
      <c r="J746" s="7"/>
      <c r="K746" s="7"/>
      <c r="L746" s="7"/>
      <c r="M746" s="7"/>
      <c r="P746" s="7"/>
      <c r="Q746" s="7"/>
      <c r="R746" s="7"/>
      <c r="S746" s="20"/>
      <c r="T746" s="20"/>
      <c r="U746" s="6"/>
      <c r="V746" s="6"/>
      <c r="W746" s="6"/>
      <c r="X746" s="6"/>
      <c r="Y746" s="6"/>
    </row>
    <row r="747" spans="6:25" x14ac:dyDescent="0.2">
      <c r="F747" s="1"/>
      <c r="G747" s="2"/>
      <c r="I747" s="7"/>
      <c r="J747" s="7"/>
      <c r="K747" s="7"/>
      <c r="L747" s="7"/>
      <c r="M747" s="7"/>
      <c r="P747" s="7"/>
      <c r="Q747" s="7"/>
      <c r="R747" s="7"/>
      <c r="S747" s="20"/>
      <c r="T747" s="20"/>
      <c r="U747" s="6"/>
      <c r="V747" s="6"/>
      <c r="W747" s="6"/>
      <c r="X747" s="6"/>
      <c r="Y747" s="6"/>
    </row>
    <row r="748" spans="6:25" x14ac:dyDescent="0.2">
      <c r="F748" s="1"/>
      <c r="G748" s="2"/>
      <c r="I748" s="7"/>
      <c r="J748" s="7"/>
      <c r="K748" s="7"/>
      <c r="L748" s="7"/>
      <c r="M748" s="7"/>
      <c r="P748" s="7"/>
      <c r="Q748" s="7"/>
      <c r="R748" s="7"/>
      <c r="S748" s="20"/>
      <c r="T748" s="20"/>
      <c r="U748" s="6"/>
      <c r="V748" s="6"/>
      <c r="W748" s="6"/>
      <c r="X748" s="6"/>
      <c r="Y748" s="6"/>
    </row>
    <row r="749" spans="6:25" x14ac:dyDescent="0.2">
      <c r="F749" s="1"/>
      <c r="G749" s="2"/>
      <c r="I749" s="7"/>
      <c r="J749" s="7"/>
      <c r="K749" s="7"/>
      <c r="L749" s="7"/>
      <c r="M749" s="7"/>
      <c r="P749" s="7"/>
      <c r="Q749" s="7"/>
      <c r="R749" s="7"/>
      <c r="S749" s="20"/>
      <c r="T749" s="20"/>
      <c r="U749" s="6"/>
      <c r="V749" s="6"/>
      <c r="W749" s="6"/>
      <c r="X749" s="6"/>
      <c r="Y749" s="6"/>
    </row>
    <row r="750" spans="6:25" x14ac:dyDescent="0.2">
      <c r="F750" s="1"/>
      <c r="G750" s="2"/>
      <c r="I750" s="7"/>
      <c r="J750" s="7"/>
      <c r="K750" s="7"/>
      <c r="L750" s="7"/>
      <c r="M750" s="7"/>
      <c r="P750" s="7"/>
      <c r="Q750" s="7"/>
      <c r="R750" s="7"/>
      <c r="S750" s="20"/>
      <c r="T750" s="20"/>
      <c r="U750" s="6"/>
      <c r="V750" s="6"/>
      <c r="W750" s="6"/>
      <c r="X750" s="6"/>
      <c r="Y750" s="6"/>
    </row>
    <row r="751" spans="6:25" x14ac:dyDescent="0.2">
      <c r="F751" s="1"/>
      <c r="G751" s="2"/>
      <c r="I751" s="7"/>
      <c r="J751" s="7"/>
      <c r="K751" s="7"/>
      <c r="L751" s="7"/>
      <c r="M751" s="7"/>
      <c r="P751" s="7"/>
      <c r="Q751" s="7"/>
      <c r="R751" s="7"/>
      <c r="S751" s="20"/>
      <c r="T751" s="20"/>
      <c r="U751" s="6"/>
      <c r="V751" s="6"/>
      <c r="W751" s="6"/>
      <c r="X751" s="6"/>
      <c r="Y751" s="6"/>
    </row>
    <row r="752" spans="6:25" x14ac:dyDescent="0.2">
      <c r="F752" s="1"/>
      <c r="G752" s="2"/>
      <c r="I752" s="7"/>
      <c r="J752" s="7"/>
      <c r="K752" s="7"/>
      <c r="L752" s="7"/>
      <c r="M752" s="7"/>
      <c r="P752" s="7"/>
      <c r="Q752" s="7"/>
      <c r="R752" s="7"/>
      <c r="S752" s="20"/>
      <c r="T752" s="20"/>
      <c r="U752" s="6"/>
      <c r="V752" s="6"/>
      <c r="W752" s="6"/>
      <c r="X752" s="6"/>
      <c r="Y752" s="6"/>
    </row>
    <row r="753" spans="6:26" x14ac:dyDescent="0.2">
      <c r="F753" s="1"/>
      <c r="G753" s="2"/>
      <c r="I753" s="7"/>
      <c r="J753" s="7"/>
      <c r="K753" s="7"/>
      <c r="L753" s="7"/>
      <c r="M753" s="7"/>
      <c r="P753" s="7"/>
      <c r="Q753" s="7"/>
      <c r="R753" s="7"/>
      <c r="S753" s="20"/>
      <c r="T753" s="20"/>
      <c r="U753" s="6"/>
      <c r="V753" s="6"/>
      <c r="W753" s="6"/>
      <c r="X753" s="6"/>
      <c r="Y753" s="6"/>
    </row>
    <row r="754" spans="6:26" x14ac:dyDescent="0.2">
      <c r="F754" s="1"/>
      <c r="G754" s="2"/>
      <c r="I754" s="7"/>
      <c r="J754" s="7"/>
      <c r="K754" s="7"/>
      <c r="L754" s="7"/>
      <c r="M754" s="7"/>
      <c r="P754" s="7"/>
      <c r="Q754" s="7"/>
      <c r="R754" s="7"/>
      <c r="S754" s="20"/>
      <c r="T754" s="20"/>
      <c r="U754" s="6"/>
      <c r="V754" s="6"/>
      <c r="W754" s="6"/>
      <c r="X754" s="6"/>
      <c r="Y754" s="6"/>
    </row>
    <row r="755" spans="6:26" x14ac:dyDescent="0.2">
      <c r="F755" s="1"/>
      <c r="G755" s="2"/>
      <c r="I755" s="7"/>
      <c r="J755" s="7"/>
      <c r="K755" s="7"/>
      <c r="L755" s="7"/>
      <c r="M755" s="7"/>
      <c r="P755" s="7"/>
      <c r="Q755" s="7"/>
      <c r="R755" s="7"/>
      <c r="S755" s="20"/>
      <c r="T755" s="20"/>
      <c r="U755" s="6"/>
      <c r="V755" s="6"/>
      <c r="W755" s="6"/>
      <c r="X755" s="6"/>
      <c r="Y755" s="6"/>
    </row>
    <row r="756" spans="6:26" x14ac:dyDescent="0.2">
      <c r="F756" s="1"/>
      <c r="G756" s="2"/>
      <c r="I756" s="7"/>
      <c r="J756" s="7"/>
      <c r="K756" s="7"/>
      <c r="L756" s="7"/>
      <c r="M756" s="7"/>
      <c r="P756" s="7"/>
      <c r="Q756" s="7"/>
      <c r="R756" s="7"/>
      <c r="S756" s="20"/>
      <c r="T756" s="20"/>
      <c r="U756" s="6"/>
      <c r="V756" s="6"/>
      <c r="W756" s="6"/>
      <c r="X756" s="6"/>
      <c r="Y756" s="6"/>
    </row>
    <row r="757" spans="6:26" x14ac:dyDescent="0.2">
      <c r="F757" s="1"/>
      <c r="G757" s="2"/>
      <c r="I757" s="7"/>
      <c r="J757" s="7"/>
      <c r="K757" s="7"/>
      <c r="L757" s="7"/>
      <c r="M757" s="7"/>
      <c r="P757" s="7"/>
      <c r="Q757" s="7"/>
      <c r="R757" s="7"/>
      <c r="S757" s="20"/>
      <c r="T757" s="20"/>
      <c r="U757" s="6"/>
      <c r="V757" s="6"/>
      <c r="W757" s="6"/>
      <c r="X757" s="6"/>
      <c r="Y757" s="6"/>
      <c r="Z757" s="6"/>
    </row>
    <row r="758" spans="6:26" x14ac:dyDescent="0.2">
      <c r="F758" s="1"/>
      <c r="G758" s="2"/>
      <c r="I758" s="7"/>
      <c r="J758" s="7"/>
      <c r="K758" s="7"/>
      <c r="L758" s="7"/>
      <c r="M758" s="7"/>
      <c r="P758" s="7"/>
      <c r="Q758" s="7"/>
      <c r="R758" s="7"/>
      <c r="S758" s="20"/>
      <c r="T758" s="20"/>
      <c r="U758" s="6"/>
      <c r="V758" s="6"/>
      <c r="W758" s="6"/>
      <c r="X758" s="6"/>
      <c r="Y758" s="6"/>
      <c r="Z758" s="6"/>
    </row>
    <row r="759" spans="6:26" x14ac:dyDescent="0.2">
      <c r="F759" s="1"/>
      <c r="G759" s="2"/>
      <c r="I759" s="7"/>
      <c r="J759" s="7"/>
      <c r="K759" s="7"/>
      <c r="L759" s="7"/>
      <c r="M759" s="7"/>
      <c r="P759" s="7"/>
      <c r="Q759" s="7"/>
      <c r="R759" s="7"/>
      <c r="S759" s="20"/>
      <c r="T759" s="20"/>
      <c r="U759" s="6"/>
      <c r="V759" s="6"/>
      <c r="W759" s="6"/>
      <c r="X759" s="6"/>
      <c r="Y759" s="6"/>
      <c r="Z759" s="6"/>
    </row>
    <row r="760" spans="6:26" x14ac:dyDescent="0.2">
      <c r="F760" s="1"/>
      <c r="G760" s="2"/>
      <c r="I760" s="7"/>
      <c r="J760" s="7"/>
      <c r="K760" s="7"/>
      <c r="L760" s="7"/>
      <c r="M760" s="7"/>
      <c r="P760" s="7"/>
      <c r="Q760" s="7"/>
      <c r="R760" s="7"/>
      <c r="S760" s="20"/>
      <c r="T760" s="20"/>
      <c r="U760" s="6"/>
      <c r="V760" s="6"/>
      <c r="W760" s="6"/>
      <c r="X760" s="6"/>
      <c r="Y760" s="6"/>
      <c r="Z760" s="6"/>
    </row>
    <row r="761" spans="6:26" x14ac:dyDescent="0.2">
      <c r="F761" s="1"/>
      <c r="G761" s="2"/>
      <c r="I761" s="7"/>
      <c r="J761" s="7"/>
      <c r="K761" s="7"/>
      <c r="L761" s="7"/>
      <c r="M761" s="7"/>
      <c r="P761" s="7"/>
      <c r="Q761" s="7"/>
      <c r="R761" s="7"/>
      <c r="S761" s="20"/>
      <c r="T761" s="20"/>
      <c r="U761" s="6"/>
      <c r="V761" s="6"/>
      <c r="W761" s="6"/>
      <c r="X761" s="6"/>
      <c r="Y761" s="6"/>
      <c r="Z761" s="6"/>
    </row>
    <row r="762" spans="6:26" x14ac:dyDescent="0.2">
      <c r="F762" s="1"/>
      <c r="G762" s="2"/>
      <c r="I762" s="7"/>
      <c r="J762" s="7"/>
      <c r="K762" s="7"/>
      <c r="L762" s="7"/>
      <c r="M762" s="7"/>
      <c r="P762" s="7"/>
      <c r="Q762" s="7"/>
      <c r="R762" s="7"/>
      <c r="S762" s="20"/>
      <c r="T762" s="20"/>
      <c r="U762" s="6"/>
      <c r="V762" s="6"/>
      <c r="W762" s="6"/>
      <c r="X762" s="6"/>
      <c r="Y762" s="6"/>
      <c r="Z762" s="6"/>
    </row>
    <row r="763" spans="6:26" x14ac:dyDescent="0.2">
      <c r="F763" s="1"/>
      <c r="G763" s="2"/>
      <c r="I763" s="7"/>
      <c r="J763" s="7"/>
      <c r="K763" s="7"/>
      <c r="L763" s="7"/>
      <c r="P763" s="7"/>
      <c r="Q763" s="7"/>
      <c r="R763" s="7"/>
      <c r="S763" s="20"/>
      <c r="T763" s="20"/>
      <c r="U763" s="6"/>
      <c r="V763" s="6"/>
      <c r="W763" s="6"/>
      <c r="X763" s="6"/>
      <c r="Y763" s="6"/>
      <c r="Z763" s="6"/>
    </row>
    <row r="764" spans="6:26" x14ac:dyDescent="0.2">
      <c r="F764" s="1"/>
      <c r="G764" s="2"/>
      <c r="I764" s="7"/>
      <c r="J764" s="7"/>
      <c r="K764" s="7"/>
      <c r="L764" s="7"/>
      <c r="P764" s="7"/>
      <c r="Q764" s="7"/>
      <c r="R764" s="7"/>
      <c r="S764" s="20"/>
      <c r="T764" s="20"/>
      <c r="U764" s="6"/>
      <c r="V764" s="6"/>
      <c r="W764" s="6"/>
      <c r="X764" s="6"/>
      <c r="Y764" s="6"/>
    </row>
    <row r="765" spans="6:26" x14ac:dyDescent="0.2">
      <c r="F765" s="1"/>
      <c r="G765" s="2"/>
      <c r="I765" s="7"/>
      <c r="J765" s="7"/>
      <c r="K765" s="7"/>
      <c r="L765" s="7"/>
      <c r="P765" s="7"/>
      <c r="Q765" s="7"/>
      <c r="R765" s="7"/>
      <c r="S765" s="20"/>
      <c r="T765" s="20"/>
      <c r="U765" s="6"/>
      <c r="V765" s="6"/>
      <c r="W765" s="6"/>
      <c r="X765" s="6"/>
      <c r="Y765" s="6"/>
      <c r="Z765" s="6"/>
    </row>
    <row r="766" spans="6:26" x14ac:dyDescent="0.2">
      <c r="F766" s="1"/>
      <c r="G766" s="2"/>
      <c r="I766" s="7"/>
      <c r="J766" s="7"/>
      <c r="K766" s="7"/>
      <c r="L766" s="7"/>
      <c r="P766" s="7"/>
      <c r="Q766" s="7"/>
      <c r="R766" s="7"/>
      <c r="S766" s="20"/>
      <c r="T766" s="20"/>
      <c r="U766" s="6"/>
      <c r="V766" s="6"/>
      <c r="W766" s="6"/>
      <c r="X766" s="6"/>
      <c r="Y766" s="6"/>
      <c r="Z766" s="6"/>
    </row>
    <row r="767" spans="6:26" x14ac:dyDescent="0.2">
      <c r="F767" s="1"/>
      <c r="G767" s="2"/>
      <c r="I767" s="7"/>
      <c r="J767" s="7"/>
      <c r="K767" s="7"/>
      <c r="L767" s="7"/>
      <c r="P767" s="7"/>
      <c r="Q767" s="7"/>
      <c r="R767" s="7"/>
      <c r="S767" s="20"/>
      <c r="T767" s="20"/>
      <c r="U767" s="6"/>
      <c r="V767" s="6"/>
      <c r="W767" s="6"/>
      <c r="X767" s="6"/>
      <c r="Y767" s="6"/>
      <c r="Z767" s="6"/>
    </row>
    <row r="768" spans="6:26" x14ac:dyDescent="0.2">
      <c r="F768" s="1"/>
      <c r="G768" s="2"/>
      <c r="I768" s="7"/>
      <c r="J768" s="7"/>
      <c r="K768" s="7"/>
      <c r="L768" s="7"/>
      <c r="M768" s="7"/>
      <c r="P768" s="7"/>
      <c r="Q768" s="7"/>
      <c r="R768" s="7"/>
      <c r="S768" s="20"/>
      <c r="T768" s="20"/>
      <c r="U768" s="6"/>
      <c r="V768" s="6"/>
      <c r="W768" s="6"/>
      <c r="X768" s="6"/>
      <c r="Y768" s="6"/>
      <c r="Z768" s="6"/>
    </row>
    <row r="769" spans="6:26" x14ac:dyDescent="0.2">
      <c r="F769" s="1"/>
      <c r="G769" s="2"/>
      <c r="I769" s="7"/>
      <c r="J769" s="7"/>
      <c r="K769" s="7"/>
      <c r="L769" s="7"/>
      <c r="M769" s="7"/>
      <c r="P769" s="7"/>
      <c r="Q769" s="7"/>
      <c r="R769" s="7"/>
      <c r="S769" s="20"/>
      <c r="T769" s="20"/>
      <c r="U769" s="6"/>
      <c r="V769" s="6"/>
      <c r="W769" s="6"/>
      <c r="X769" s="6"/>
      <c r="Y769" s="6"/>
      <c r="Z769" s="6"/>
    </row>
    <row r="770" spans="6:26" x14ac:dyDescent="0.2">
      <c r="F770" s="1"/>
      <c r="G770" s="2"/>
      <c r="I770" s="7"/>
      <c r="J770" s="7"/>
      <c r="K770" s="7"/>
      <c r="L770" s="7"/>
      <c r="M770" s="7"/>
      <c r="P770" s="7"/>
      <c r="Q770" s="7"/>
      <c r="R770" s="7"/>
      <c r="S770" s="20"/>
      <c r="T770" s="20"/>
      <c r="U770" s="6"/>
      <c r="V770" s="6"/>
      <c r="W770" s="6"/>
      <c r="X770" s="6"/>
      <c r="Y770" s="6"/>
      <c r="Z770" s="6"/>
    </row>
    <row r="771" spans="6:26" x14ac:dyDescent="0.2">
      <c r="F771" s="1"/>
      <c r="G771" s="2"/>
      <c r="I771" s="7"/>
      <c r="J771" s="7"/>
      <c r="K771" s="7"/>
      <c r="L771" s="7"/>
      <c r="P771" s="7"/>
      <c r="Q771" s="7"/>
      <c r="R771" s="7"/>
      <c r="S771" s="20"/>
      <c r="T771" s="20"/>
      <c r="U771" s="6"/>
      <c r="V771" s="6"/>
      <c r="W771" s="6"/>
      <c r="X771" s="6"/>
      <c r="Y771" s="6"/>
      <c r="Z771" s="6"/>
    </row>
    <row r="772" spans="6:26" x14ac:dyDescent="0.2">
      <c r="F772" s="1"/>
      <c r="G772" s="2"/>
      <c r="I772" s="7"/>
      <c r="J772" s="7"/>
      <c r="K772" s="7"/>
      <c r="L772" s="7"/>
      <c r="P772" s="7"/>
      <c r="Q772" s="7"/>
      <c r="R772" s="7"/>
      <c r="S772" s="20"/>
      <c r="T772" s="20"/>
      <c r="U772" s="6"/>
      <c r="V772" s="6"/>
      <c r="W772" s="6"/>
      <c r="X772" s="6"/>
      <c r="Y772" s="6"/>
      <c r="Z772" s="6"/>
    </row>
    <row r="773" spans="6:26" x14ac:dyDescent="0.2">
      <c r="F773" s="1"/>
      <c r="G773" s="2"/>
      <c r="I773" s="7"/>
      <c r="J773" s="7"/>
      <c r="K773" s="7"/>
      <c r="L773" s="7"/>
      <c r="P773" s="7"/>
      <c r="Q773" s="7"/>
      <c r="R773" s="7"/>
      <c r="S773" s="20"/>
      <c r="T773" s="20"/>
      <c r="U773" s="6"/>
      <c r="V773" s="6"/>
      <c r="W773" s="6"/>
      <c r="X773" s="6"/>
      <c r="Y773" s="6"/>
      <c r="Z773" s="6"/>
    </row>
    <row r="774" spans="6:26" x14ac:dyDescent="0.2">
      <c r="F774" s="1"/>
      <c r="G774" s="2"/>
      <c r="I774" s="7"/>
      <c r="J774" s="7"/>
      <c r="K774" s="7"/>
      <c r="L774" s="7"/>
      <c r="P774" s="7"/>
      <c r="Q774" s="7"/>
      <c r="R774" s="7"/>
      <c r="S774" s="20"/>
      <c r="T774" s="20"/>
      <c r="U774" s="6"/>
      <c r="V774" s="6"/>
      <c r="W774" s="6"/>
      <c r="X774" s="6"/>
      <c r="Y774" s="6"/>
      <c r="Z774" s="6"/>
    </row>
    <row r="775" spans="6:26" x14ac:dyDescent="0.2">
      <c r="F775" s="1"/>
      <c r="G775" s="2"/>
      <c r="I775" s="7"/>
      <c r="J775" s="7"/>
      <c r="K775" s="7"/>
      <c r="L775" s="7"/>
      <c r="P775" s="7"/>
      <c r="Q775" s="7"/>
      <c r="R775" s="7"/>
      <c r="S775" s="20"/>
      <c r="T775" s="20"/>
      <c r="U775" s="6"/>
      <c r="V775" s="6"/>
      <c r="W775" s="6"/>
      <c r="X775" s="6"/>
      <c r="Y775" s="6"/>
      <c r="Z775" s="6"/>
    </row>
    <row r="776" spans="6:26" x14ac:dyDescent="0.2">
      <c r="F776" s="1"/>
      <c r="G776" s="2"/>
      <c r="I776" s="7"/>
      <c r="J776" s="7"/>
      <c r="K776" s="7"/>
      <c r="L776" s="7"/>
      <c r="P776" s="7"/>
      <c r="Q776" s="7"/>
      <c r="R776" s="7"/>
      <c r="S776" s="20"/>
      <c r="T776" s="20"/>
      <c r="U776" s="6"/>
      <c r="V776" s="6"/>
      <c r="W776" s="6"/>
      <c r="X776" s="6"/>
      <c r="Y776" s="6"/>
      <c r="Z776" s="6"/>
    </row>
    <row r="777" spans="6:26" x14ac:dyDescent="0.2">
      <c r="F777" s="1"/>
      <c r="G777" s="2"/>
      <c r="I777" s="7"/>
      <c r="J777" s="7"/>
      <c r="K777" s="7"/>
      <c r="L777" s="7"/>
      <c r="P777" s="7"/>
      <c r="Q777" s="7"/>
      <c r="R777" s="7"/>
      <c r="S777" s="20"/>
      <c r="T777" s="20"/>
      <c r="U777" s="6"/>
      <c r="V777" s="6"/>
      <c r="W777" s="6"/>
      <c r="X777" s="6"/>
      <c r="Y777" s="6"/>
      <c r="Z777" s="6"/>
    </row>
    <row r="778" spans="6:26" x14ac:dyDescent="0.2">
      <c r="F778" s="1"/>
      <c r="G778" s="2"/>
      <c r="I778" s="7"/>
      <c r="J778" s="7"/>
      <c r="K778" s="7"/>
      <c r="L778" s="7"/>
      <c r="P778" s="7"/>
      <c r="Q778" s="7"/>
      <c r="R778" s="7"/>
      <c r="S778" s="20"/>
      <c r="T778" s="20"/>
      <c r="U778" s="6"/>
      <c r="V778" s="6"/>
      <c r="W778" s="6"/>
      <c r="X778" s="6"/>
      <c r="Y778" s="6"/>
      <c r="Z778" s="6"/>
    </row>
    <row r="779" spans="6:26" x14ac:dyDescent="0.2">
      <c r="F779" s="1"/>
      <c r="G779" s="2"/>
      <c r="I779" s="7"/>
      <c r="J779" s="7"/>
      <c r="K779" s="7"/>
      <c r="L779" s="7"/>
      <c r="P779" s="7"/>
      <c r="Q779" s="7"/>
      <c r="R779" s="7"/>
      <c r="S779" s="20"/>
      <c r="T779" s="20"/>
      <c r="U779" s="6"/>
      <c r="V779" s="6"/>
      <c r="W779" s="6"/>
      <c r="X779" s="6"/>
      <c r="Y779" s="6"/>
      <c r="Z779" s="6"/>
    </row>
    <row r="780" spans="6:26" x14ac:dyDescent="0.2">
      <c r="F780" s="1"/>
      <c r="G780" s="2"/>
      <c r="I780" s="7"/>
      <c r="J780" s="7"/>
      <c r="K780" s="7"/>
      <c r="L780" s="7"/>
      <c r="P780" s="7"/>
      <c r="Q780" s="7"/>
      <c r="R780" s="7"/>
      <c r="S780" s="20"/>
      <c r="T780" s="20"/>
      <c r="U780" s="6"/>
      <c r="V780" s="6"/>
      <c r="W780" s="6"/>
      <c r="X780" s="6"/>
      <c r="Y780" s="6"/>
      <c r="Z780" s="6"/>
    </row>
    <row r="781" spans="6:26" x14ac:dyDescent="0.2">
      <c r="F781" s="1"/>
      <c r="G781" s="2"/>
      <c r="I781" s="7"/>
      <c r="J781" s="7"/>
      <c r="K781" s="7"/>
      <c r="L781" s="7"/>
      <c r="P781" s="7"/>
      <c r="Q781" s="7"/>
      <c r="R781" s="7"/>
      <c r="S781" s="20"/>
      <c r="T781" s="20"/>
      <c r="U781" s="6"/>
      <c r="V781" s="6"/>
      <c r="W781" s="6"/>
      <c r="X781" s="6"/>
      <c r="Y781" s="6"/>
      <c r="Z781" s="6"/>
    </row>
    <row r="782" spans="6:26" x14ac:dyDescent="0.2">
      <c r="F782" s="1"/>
      <c r="G782" s="2"/>
      <c r="I782" s="7"/>
      <c r="J782" s="7"/>
      <c r="K782" s="7"/>
      <c r="L782" s="7"/>
      <c r="P782" s="7"/>
      <c r="Q782" s="7"/>
      <c r="R782" s="7"/>
      <c r="S782" s="20"/>
      <c r="T782" s="20"/>
      <c r="U782" s="6"/>
      <c r="V782" s="6"/>
      <c r="W782" s="6"/>
      <c r="X782" s="6"/>
      <c r="Y782" s="6"/>
      <c r="Z782" s="6"/>
    </row>
    <row r="783" spans="6:26" x14ac:dyDescent="0.2">
      <c r="F783" s="1"/>
      <c r="G783" s="2"/>
      <c r="I783" s="7"/>
      <c r="J783" s="7"/>
      <c r="K783" s="7"/>
      <c r="L783" s="7"/>
      <c r="P783" s="7"/>
      <c r="Q783" s="7"/>
      <c r="R783" s="7"/>
      <c r="S783" s="20"/>
      <c r="T783" s="20"/>
      <c r="U783" s="6"/>
      <c r="V783" s="6"/>
      <c r="W783" s="6"/>
      <c r="X783" s="6"/>
      <c r="Y783" s="6"/>
      <c r="Z783" s="6"/>
    </row>
    <row r="784" spans="6:26" x14ac:dyDescent="0.2">
      <c r="F784" s="1"/>
      <c r="G784" s="2"/>
      <c r="I784" s="7"/>
      <c r="J784" s="7"/>
      <c r="K784" s="7"/>
      <c r="L784" s="7"/>
      <c r="P784" s="7"/>
      <c r="Q784" s="7"/>
      <c r="R784" s="7"/>
      <c r="S784" s="20"/>
      <c r="T784" s="20"/>
      <c r="U784" s="6"/>
      <c r="V784" s="6"/>
      <c r="W784" s="6"/>
      <c r="X784" s="6"/>
      <c r="Y784" s="6"/>
      <c r="Z784" s="6"/>
    </row>
    <row r="785" spans="6:26" x14ac:dyDescent="0.2">
      <c r="F785" s="1"/>
      <c r="G785" s="2"/>
      <c r="I785" s="7"/>
      <c r="J785" s="7"/>
      <c r="K785" s="7"/>
      <c r="L785" s="7"/>
      <c r="P785" s="7"/>
      <c r="R785" s="7"/>
      <c r="S785" s="20"/>
      <c r="T785" s="20"/>
      <c r="U785" s="6"/>
      <c r="V785" s="6"/>
      <c r="W785" s="6"/>
      <c r="X785" s="6"/>
      <c r="Y785" s="6"/>
      <c r="Z785" s="6"/>
    </row>
    <row r="786" spans="6:26" x14ac:dyDescent="0.2">
      <c r="F786" s="1"/>
      <c r="G786" s="2"/>
      <c r="I786" s="7"/>
      <c r="J786" s="7"/>
      <c r="K786" s="7"/>
      <c r="L786" s="7"/>
      <c r="P786" s="7"/>
      <c r="Q786" s="7"/>
      <c r="R786" s="7"/>
      <c r="S786" s="20"/>
      <c r="T786" s="20"/>
      <c r="U786" s="6"/>
      <c r="V786" s="6"/>
      <c r="W786" s="6"/>
      <c r="X786" s="6"/>
      <c r="Y786" s="6"/>
      <c r="Z786" s="6"/>
    </row>
    <row r="787" spans="6:26" x14ac:dyDescent="0.2">
      <c r="F787" s="1"/>
      <c r="G787" s="2"/>
      <c r="I787" s="7"/>
      <c r="J787" s="7"/>
      <c r="K787" s="7"/>
      <c r="L787" s="7"/>
      <c r="P787" s="7"/>
      <c r="Q787" s="7"/>
      <c r="R787" s="7"/>
      <c r="S787" s="20"/>
      <c r="T787" s="20"/>
      <c r="U787" s="6"/>
      <c r="V787" s="6"/>
      <c r="W787" s="6"/>
      <c r="X787" s="6"/>
      <c r="Y787" s="6"/>
      <c r="Z787" s="6"/>
    </row>
    <row r="788" spans="6:26" x14ac:dyDescent="0.2">
      <c r="F788" s="1"/>
      <c r="G788" s="2"/>
      <c r="I788" s="7"/>
      <c r="J788" s="7"/>
      <c r="K788" s="7"/>
      <c r="L788" s="7"/>
      <c r="P788" s="7"/>
      <c r="Q788" s="7"/>
      <c r="R788" s="7"/>
      <c r="S788" s="20"/>
      <c r="T788" s="20"/>
      <c r="U788" s="6"/>
      <c r="V788" s="6"/>
      <c r="W788" s="6"/>
      <c r="X788" s="6"/>
      <c r="Y788" s="6"/>
      <c r="Z788" s="6"/>
    </row>
    <row r="789" spans="6:26" x14ac:dyDescent="0.2">
      <c r="F789" s="1"/>
      <c r="G789" s="2"/>
      <c r="I789" s="7"/>
      <c r="J789" s="7"/>
      <c r="K789" s="7"/>
      <c r="L789" s="7"/>
      <c r="P789" s="7"/>
      <c r="Q789" s="7"/>
      <c r="R789" s="7"/>
      <c r="S789" s="20"/>
      <c r="T789" s="20"/>
      <c r="U789" s="6"/>
      <c r="V789" s="6"/>
      <c r="W789" s="6"/>
      <c r="X789" s="6"/>
      <c r="Y789" s="6"/>
      <c r="Z789" s="6"/>
    </row>
    <row r="790" spans="6:26" x14ac:dyDescent="0.2">
      <c r="F790" s="1"/>
      <c r="G790" s="2"/>
      <c r="I790" s="7"/>
      <c r="J790" s="7"/>
      <c r="K790" s="7"/>
      <c r="L790" s="7"/>
      <c r="P790" s="7"/>
      <c r="Q790" s="7"/>
      <c r="R790" s="7"/>
      <c r="S790" s="20"/>
      <c r="T790" s="20"/>
      <c r="U790" s="6"/>
      <c r="V790" s="6"/>
      <c r="W790" s="6"/>
      <c r="X790" s="6"/>
      <c r="Y790" s="6"/>
      <c r="Z790" s="6"/>
    </row>
    <row r="791" spans="6:26" x14ac:dyDescent="0.2">
      <c r="F791" s="1"/>
      <c r="G791" s="2"/>
      <c r="I791" s="7"/>
      <c r="J791" s="7"/>
      <c r="K791" s="7"/>
      <c r="L791" s="7"/>
      <c r="P791" s="7"/>
      <c r="Q791" s="7"/>
      <c r="R791" s="7"/>
      <c r="S791" s="20"/>
      <c r="T791" s="20"/>
      <c r="U791" s="6"/>
      <c r="V791" s="6"/>
      <c r="W791" s="6"/>
      <c r="X791" s="6"/>
      <c r="Y791" s="6"/>
      <c r="Z791" s="6"/>
    </row>
    <row r="792" spans="6:26" x14ac:dyDescent="0.2">
      <c r="F792" s="1"/>
      <c r="G792" s="2"/>
      <c r="I792" s="7"/>
      <c r="J792" s="7"/>
      <c r="K792" s="7"/>
      <c r="L792" s="7"/>
      <c r="P792" s="7"/>
      <c r="Q792" s="7"/>
      <c r="R792" s="7"/>
      <c r="S792" s="20"/>
      <c r="T792" s="20"/>
      <c r="U792" s="6"/>
      <c r="V792" s="6"/>
      <c r="W792" s="6"/>
      <c r="X792" s="6"/>
      <c r="Y792" s="6"/>
      <c r="Z792" s="6"/>
    </row>
    <row r="793" spans="6:26" x14ac:dyDescent="0.2">
      <c r="F793" s="1"/>
      <c r="G793" s="2"/>
      <c r="J793" s="7"/>
      <c r="P793" s="7"/>
      <c r="Q793" s="7"/>
      <c r="R793" s="7"/>
      <c r="S793" s="20"/>
      <c r="T793" s="20"/>
      <c r="U793" s="6"/>
      <c r="V793" s="6"/>
      <c r="W793" s="6"/>
      <c r="X793" s="6"/>
      <c r="Y793" s="6"/>
      <c r="Z793" s="6"/>
    </row>
    <row r="794" spans="6:26" x14ac:dyDescent="0.2">
      <c r="F794" s="1"/>
      <c r="G794" s="2"/>
      <c r="J794" s="7"/>
      <c r="P794" s="7"/>
      <c r="Q794" s="7"/>
      <c r="R794" s="7"/>
      <c r="S794" s="20"/>
      <c r="T794" s="20"/>
      <c r="U794" s="6"/>
      <c r="V794" s="6"/>
      <c r="W794" s="6"/>
      <c r="X794" s="6"/>
      <c r="Y794" s="6"/>
      <c r="Z794" s="6"/>
    </row>
    <row r="795" spans="6:26" x14ac:dyDescent="0.2">
      <c r="F795" s="1"/>
      <c r="G795" s="2"/>
      <c r="J795" s="7"/>
      <c r="P795" s="7"/>
      <c r="Q795" s="7"/>
      <c r="R795" s="7"/>
      <c r="S795" s="20"/>
      <c r="T795" s="20"/>
      <c r="U795" s="6"/>
      <c r="V795" s="6"/>
      <c r="W795" s="6"/>
      <c r="X795" s="6"/>
      <c r="Y795" s="6"/>
      <c r="Z795" s="6"/>
    </row>
    <row r="796" spans="6:26" x14ac:dyDescent="0.2">
      <c r="F796" s="1"/>
      <c r="G796" s="2"/>
      <c r="J796" s="7"/>
      <c r="P796" s="7"/>
      <c r="Q796" s="7"/>
      <c r="R796" s="7"/>
      <c r="S796" s="20"/>
      <c r="T796" s="20"/>
      <c r="U796" s="6"/>
      <c r="V796" s="6"/>
      <c r="W796" s="6"/>
      <c r="X796" s="6"/>
      <c r="Y796" s="6"/>
      <c r="Z796" s="6"/>
    </row>
    <row r="797" spans="6:26" x14ac:dyDescent="0.2">
      <c r="F797" s="1"/>
      <c r="G797" s="2"/>
      <c r="I797" s="7"/>
      <c r="J797" s="7"/>
      <c r="K797" s="7"/>
      <c r="P797" s="7"/>
      <c r="Q797" s="7"/>
      <c r="R797" s="7"/>
      <c r="S797" s="20"/>
      <c r="T797" s="20"/>
      <c r="U797" s="6"/>
      <c r="V797" s="6"/>
      <c r="W797" s="6"/>
      <c r="X797" s="6"/>
      <c r="Y797" s="6"/>
      <c r="Z797" s="6"/>
    </row>
    <row r="798" spans="6:26" x14ac:dyDescent="0.2">
      <c r="F798" s="1"/>
      <c r="G798" s="2"/>
      <c r="I798" s="7"/>
      <c r="J798" s="7"/>
      <c r="K798" s="7"/>
      <c r="P798" s="7"/>
      <c r="Q798" s="7"/>
      <c r="R798" s="7"/>
      <c r="S798" s="20"/>
      <c r="T798" s="20"/>
      <c r="U798" s="6"/>
      <c r="V798" s="6"/>
      <c r="W798" s="6"/>
      <c r="X798" s="6"/>
      <c r="Y798" s="6"/>
      <c r="Z798" s="6"/>
    </row>
    <row r="799" spans="6:26" x14ac:dyDescent="0.2">
      <c r="F799" s="1"/>
      <c r="G799" s="2"/>
      <c r="J799" s="7"/>
      <c r="K799" s="7"/>
      <c r="L799" s="7"/>
      <c r="M799" s="7"/>
      <c r="P799" s="7"/>
      <c r="Q799" s="7"/>
      <c r="R799" s="7"/>
      <c r="S799" s="20"/>
      <c r="T799" s="20"/>
      <c r="U799" s="6"/>
      <c r="V799" s="6"/>
      <c r="W799" s="6"/>
      <c r="X799" s="6"/>
      <c r="Y799" s="6"/>
      <c r="Z799" s="6"/>
    </row>
    <row r="800" spans="6:26" x14ac:dyDescent="0.2">
      <c r="F800" s="1"/>
      <c r="G800" s="2"/>
      <c r="J800" s="7"/>
      <c r="K800" s="7"/>
      <c r="L800" s="7"/>
      <c r="M800" s="7"/>
      <c r="P800" s="7"/>
      <c r="Q800" s="7"/>
      <c r="R800" s="7"/>
      <c r="S800" s="20"/>
      <c r="T800" s="20"/>
      <c r="U800" s="6"/>
      <c r="V800" s="6"/>
      <c r="W800" s="6"/>
      <c r="X800" s="6"/>
      <c r="Y800" s="6"/>
      <c r="Z800" s="6"/>
    </row>
    <row r="801" spans="6:26" x14ac:dyDescent="0.2">
      <c r="F801" s="1"/>
      <c r="G801" s="2"/>
      <c r="J801" s="7"/>
      <c r="L801" s="7"/>
      <c r="P801" s="7"/>
      <c r="Q801" s="7"/>
      <c r="R801" s="7"/>
      <c r="S801" s="20"/>
      <c r="T801" s="20"/>
      <c r="U801" s="6"/>
      <c r="V801" s="6"/>
      <c r="W801" s="6"/>
      <c r="X801" s="6"/>
      <c r="Y801" s="6"/>
      <c r="Z801" s="6"/>
    </row>
    <row r="802" spans="6:26" x14ac:dyDescent="0.2">
      <c r="F802" s="1"/>
      <c r="G802" s="2"/>
      <c r="J802" s="7"/>
      <c r="P802" s="7"/>
      <c r="Q802" s="7"/>
      <c r="R802" s="7"/>
      <c r="S802" s="20"/>
      <c r="T802" s="20"/>
      <c r="U802" s="6"/>
      <c r="V802" s="6"/>
      <c r="W802" s="6"/>
      <c r="X802" s="6"/>
      <c r="Y802" s="6"/>
      <c r="Z802" s="6"/>
    </row>
    <row r="803" spans="6:26" x14ac:dyDescent="0.2">
      <c r="F803" s="1"/>
      <c r="G803" s="2"/>
      <c r="J803" s="7"/>
      <c r="P803" s="7"/>
      <c r="Q803" s="7"/>
      <c r="R803" s="7"/>
      <c r="S803" s="20"/>
      <c r="T803" s="20"/>
      <c r="U803" s="6"/>
      <c r="V803" s="6"/>
      <c r="W803" s="6"/>
      <c r="X803" s="6"/>
      <c r="Y803" s="6"/>
      <c r="Z803" s="6"/>
    </row>
    <row r="804" spans="6:26" x14ac:dyDescent="0.2">
      <c r="F804" s="1"/>
      <c r="G804" s="2"/>
      <c r="J804" s="7"/>
      <c r="P804" s="7"/>
      <c r="Q804" s="7"/>
      <c r="R804" s="7"/>
      <c r="S804" s="20"/>
      <c r="T804" s="20"/>
      <c r="U804" s="6"/>
      <c r="V804" s="6"/>
      <c r="W804" s="6"/>
      <c r="X804" s="6"/>
      <c r="Y804" s="6"/>
      <c r="Z804" s="6"/>
    </row>
    <row r="805" spans="6:26" x14ac:dyDescent="0.2">
      <c r="F805" s="1"/>
      <c r="G805" s="2"/>
      <c r="J805" s="7"/>
      <c r="P805" s="7"/>
      <c r="Q805" s="7"/>
      <c r="R805" s="7"/>
      <c r="S805" s="20"/>
      <c r="T805" s="20"/>
      <c r="U805" s="6"/>
      <c r="V805" s="6"/>
      <c r="W805" s="6"/>
      <c r="X805" s="6"/>
      <c r="Y805" s="6"/>
      <c r="Z805" s="6"/>
    </row>
    <row r="806" spans="6:26" x14ac:dyDescent="0.2">
      <c r="F806" s="1"/>
      <c r="G806" s="2"/>
      <c r="J806" s="7"/>
      <c r="P806" s="7"/>
      <c r="Q806" s="7"/>
      <c r="R806" s="7"/>
      <c r="S806" s="20"/>
      <c r="T806" s="20"/>
      <c r="U806" s="6"/>
      <c r="V806" s="6"/>
      <c r="W806" s="6"/>
      <c r="X806" s="6"/>
      <c r="Y806" s="6"/>
      <c r="Z806" s="6"/>
    </row>
    <row r="807" spans="6:26" x14ac:dyDescent="0.2">
      <c r="F807" s="1"/>
      <c r="G807" s="2"/>
      <c r="J807" s="7"/>
      <c r="P807" s="7"/>
      <c r="Q807" s="7"/>
      <c r="R807" s="7"/>
      <c r="S807" s="20"/>
      <c r="T807" s="20"/>
      <c r="U807" s="6"/>
      <c r="V807" s="6"/>
      <c r="W807" s="6"/>
      <c r="X807" s="6"/>
      <c r="Y807" s="6"/>
      <c r="Z807" s="6"/>
    </row>
    <row r="808" spans="6:26" x14ac:dyDescent="0.2">
      <c r="F808" s="1"/>
      <c r="G808" s="2"/>
      <c r="J808" s="7"/>
      <c r="P808" s="7"/>
      <c r="Q808" s="7"/>
      <c r="R808" s="7"/>
      <c r="S808" s="20"/>
      <c r="T808" s="20"/>
      <c r="U808" s="6"/>
      <c r="V808" s="6"/>
      <c r="W808" s="6"/>
      <c r="X808" s="6"/>
      <c r="Y808" s="6"/>
      <c r="Z808" s="6"/>
    </row>
    <row r="809" spans="6:26" x14ac:dyDescent="0.2">
      <c r="F809" s="1"/>
      <c r="G809" s="2"/>
      <c r="J809" s="7"/>
      <c r="P809" s="7"/>
      <c r="Q809" s="7"/>
      <c r="R809" s="7"/>
      <c r="S809" s="20"/>
      <c r="T809" s="20"/>
      <c r="U809" s="9"/>
      <c r="V809" s="6"/>
      <c r="W809" s="6"/>
      <c r="X809" s="6"/>
      <c r="Y809" s="6"/>
      <c r="Z809" s="6"/>
    </row>
    <row r="810" spans="6:26" x14ac:dyDescent="0.2">
      <c r="F810" s="1"/>
      <c r="G810" s="2"/>
      <c r="J810" s="7"/>
      <c r="P810" s="7"/>
      <c r="Q810" s="7"/>
      <c r="R810" s="7"/>
      <c r="S810" s="20"/>
      <c r="T810" s="20"/>
      <c r="U810" s="9"/>
      <c r="V810" s="6"/>
      <c r="W810" s="6"/>
      <c r="X810" s="6"/>
      <c r="Y810" s="6"/>
      <c r="Z810" s="6"/>
    </row>
    <row r="811" spans="6:26" x14ac:dyDescent="0.2">
      <c r="F811" s="1"/>
      <c r="G811" s="2"/>
      <c r="J811" s="7"/>
      <c r="P811" s="7"/>
      <c r="Q811" s="7"/>
      <c r="R811" s="7"/>
      <c r="S811" s="20"/>
      <c r="T811" s="20"/>
      <c r="U811" s="9"/>
      <c r="V811" s="6"/>
      <c r="W811" s="6"/>
      <c r="X811" s="6"/>
      <c r="Y811" s="6"/>
      <c r="Z811" s="6"/>
    </row>
    <row r="812" spans="6:26" x14ac:dyDescent="0.2">
      <c r="F812" s="1"/>
      <c r="G812" s="2"/>
      <c r="J812" s="7"/>
      <c r="P812" s="7"/>
      <c r="Q812" s="7"/>
      <c r="R812" s="7"/>
      <c r="S812" s="20"/>
      <c r="T812" s="20"/>
      <c r="U812" s="9"/>
      <c r="V812" s="6"/>
      <c r="W812" s="6"/>
      <c r="X812" s="6"/>
      <c r="Y812" s="6"/>
      <c r="Z812" s="6"/>
    </row>
    <row r="813" spans="6:26" x14ac:dyDescent="0.2">
      <c r="F813" s="1"/>
      <c r="G813" s="2"/>
      <c r="J813" s="7"/>
      <c r="P813" s="7"/>
      <c r="Q813" s="7"/>
      <c r="R813" s="7"/>
      <c r="S813" s="20"/>
      <c r="T813" s="20"/>
      <c r="U813" s="9"/>
      <c r="V813" s="6"/>
      <c r="W813" s="6"/>
      <c r="X813" s="6"/>
      <c r="Y813" s="6"/>
      <c r="Z813" s="6"/>
    </row>
    <row r="814" spans="6:26" x14ac:dyDescent="0.2">
      <c r="F814" s="1"/>
      <c r="G814" s="2"/>
      <c r="J814" s="7"/>
      <c r="P814" s="7"/>
      <c r="Q814" s="7"/>
      <c r="R814" s="7"/>
      <c r="S814" s="20"/>
      <c r="T814" s="20"/>
      <c r="U814" s="9"/>
      <c r="V814" s="6"/>
      <c r="W814" s="6"/>
      <c r="X814" s="6"/>
      <c r="Y814" s="6"/>
      <c r="Z814" s="6"/>
    </row>
    <row r="815" spans="6:26" x14ac:dyDescent="0.2">
      <c r="F815" s="1"/>
      <c r="G815" s="2"/>
      <c r="J815" s="7"/>
      <c r="P815" s="7"/>
      <c r="Q815" s="7"/>
      <c r="R815" s="7"/>
      <c r="S815" s="20"/>
      <c r="T815" s="20"/>
      <c r="U815" s="9"/>
      <c r="V815" s="6"/>
      <c r="W815" s="6"/>
      <c r="X815" s="6"/>
      <c r="Y815" s="6"/>
      <c r="Z815" s="6"/>
    </row>
    <row r="816" spans="6:26" x14ac:dyDescent="0.2">
      <c r="F816" s="1"/>
      <c r="G816" s="2"/>
      <c r="J816" s="7"/>
      <c r="P816" s="7"/>
      <c r="Q816" s="7"/>
      <c r="R816" s="7"/>
      <c r="S816" s="20"/>
      <c r="T816" s="20"/>
      <c r="U816" s="9"/>
      <c r="V816" s="6"/>
      <c r="W816" s="6"/>
      <c r="X816" s="6"/>
      <c r="Y816" s="6"/>
      <c r="Z816" s="6"/>
    </row>
    <row r="817" spans="1:31" x14ac:dyDescent="0.2">
      <c r="F817" s="1"/>
      <c r="G817" s="2"/>
      <c r="J817" s="7"/>
      <c r="P817" s="7"/>
      <c r="Q817" s="7"/>
      <c r="R817" s="7"/>
      <c r="S817" s="20"/>
      <c r="T817" s="20"/>
      <c r="U817" s="9"/>
      <c r="V817" s="6"/>
      <c r="W817" s="6"/>
      <c r="X817" s="6"/>
      <c r="Y817" s="6"/>
      <c r="Z817" s="6"/>
    </row>
    <row r="818" spans="1:31" x14ac:dyDescent="0.2">
      <c r="F818" s="1"/>
      <c r="G818" s="2"/>
      <c r="J818" s="7"/>
      <c r="P818" s="7"/>
      <c r="Q818" s="7"/>
      <c r="R818" s="7"/>
      <c r="S818" s="20"/>
      <c r="T818" s="20"/>
      <c r="U818" s="9"/>
      <c r="V818" s="6"/>
      <c r="W818" s="6"/>
      <c r="X818" s="6"/>
      <c r="Y818" s="6"/>
      <c r="Z818" s="6"/>
    </row>
    <row r="819" spans="1:31" x14ac:dyDescent="0.2">
      <c r="F819" s="1"/>
      <c r="G819" s="2"/>
      <c r="J819" s="7"/>
      <c r="P819" s="7"/>
      <c r="Q819" s="7"/>
      <c r="R819" s="7"/>
      <c r="S819" s="20"/>
      <c r="T819" s="20"/>
      <c r="U819" s="9"/>
      <c r="V819" s="6"/>
      <c r="W819" s="6"/>
      <c r="X819" s="6"/>
      <c r="Y819" s="6"/>
      <c r="Z819" s="6"/>
    </row>
    <row r="820" spans="1:31" x14ac:dyDescent="0.2">
      <c r="F820" s="1"/>
      <c r="G820" s="2"/>
      <c r="J820" s="7"/>
      <c r="P820" s="7"/>
      <c r="Q820" s="7"/>
      <c r="R820" s="7"/>
      <c r="S820" s="20"/>
      <c r="T820" s="20"/>
      <c r="U820" s="9"/>
      <c r="V820" s="6"/>
      <c r="W820" s="6"/>
      <c r="X820" s="6"/>
      <c r="Y820" s="6"/>
      <c r="Z820" s="6"/>
    </row>
    <row r="821" spans="1:31" x14ac:dyDescent="0.2">
      <c r="F821" s="1"/>
      <c r="G821" s="2"/>
      <c r="J821" s="7"/>
      <c r="P821" s="7"/>
      <c r="Q821" s="7"/>
      <c r="R821" s="7"/>
      <c r="S821" s="20"/>
      <c r="T821" s="20"/>
      <c r="U821" s="9"/>
      <c r="V821" s="6"/>
      <c r="W821" s="6"/>
      <c r="X821" s="6"/>
      <c r="Y821" s="6"/>
      <c r="Z821" s="6"/>
    </row>
    <row r="822" spans="1:31" x14ac:dyDescent="0.2">
      <c r="F822" s="1"/>
      <c r="G822" s="2"/>
      <c r="J822" s="7"/>
      <c r="P822" s="7"/>
      <c r="Q822" s="7"/>
      <c r="R822" s="7"/>
      <c r="S822" s="20"/>
      <c r="T822" s="20"/>
      <c r="U822" s="9"/>
      <c r="V822" s="6"/>
      <c r="W822" s="6"/>
      <c r="X822" s="6"/>
      <c r="Y822" s="6"/>
      <c r="Z822" s="6"/>
    </row>
    <row r="823" spans="1:31" x14ac:dyDescent="0.2">
      <c r="F823" s="1"/>
      <c r="G823" s="2"/>
      <c r="J823" s="7"/>
      <c r="P823" s="7"/>
      <c r="Q823" s="7"/>
      <c r="R823" s="7"/>
      <c r="S823" s="20"/>
      <c r="T823" s="20"/>
      <c r="U823" s="9"/>
      <c r="V823" s="6"/>
      <c r="W823" s="6"/>
      <c r="X823" s="6"/>
      <c r="Y823" s="6"/>
      <c r="Z823" s="6"/>
    </row>
    <row r="824" spans="1:31" x14ac:dyDescent="0.2">
      <c r="F824" s="1"/>
      <c r="G824" s="2"/>
      <c r="J824" s="7"/>
      <c r="P824" s="7"/>
      <c r="Q824" s="7"/>
      <c r="R824" s="7"/>
      <c r="S824" s="20"/>
      <c r="T824" s="20"/>
      <c r="U824" s="9"/>
      <c r="V824" s="6"/>
      <c r="W824" s="6"/>
      <c r="X824" s="6"/>
      <c r="Y824" s="6"/>
      <c r="Z824" s="6"/>
    </row>
    <row r="825" spans="1:31" x14ac:dyDescent="0.2">
      <c r="F825" s="1"/>
      <c r="G825" s="2"/>
    </row>
    <row r="826" spans="1:31" x14ac:dyDescent="0.2">
      <c r="F826" s="1"/>
      <c r="G826" s="2"/>
      <c r="U826" s="6"/>
      <c r="V826" s="6"/>
      <c r="W826" s="6"/>
      <c r="X826" s="6"/>
      <c r="Y826" s="6"/>
    </row>
    <row r="827" spans="1:31" x14ac:dyDescent="0.2">
      <c r="F827" s="1"/>
      <c r="G827" s="2"/>
      <c r="J827" s="7"/>
      <c r="P827" s="7"/>
      <c r="Q827" s="7"/>
      <c r="R827" s="7"/>
      <c r="S827" s="20"/>
      <c r="T827" s="20"/>
      <c r="U827" s="9"/>
      <c r="V827" s="6"/>
      <c r="W827" s="6"/>
      <c r="X827" s="6"/>
      <c r="Y827" s="6"/>
      <c r="Z827" s="6"/>
    </row>
    <row r="828" spans="1:31" x14ac:dyDescent="0.2">
      <c r="F828" s="1"/>
      <c r="G828" s="2"/>
      <c r="J828" s="7"/>
      <c r="P828" s="7"/>
      <c r="Q828" s="7"/>
      <c r="R828" s="7"/>
      <c r="S828" s="20"/>
      <c r="T828" s="20"/>
      <c r="U828" s="6"/>
      <c r="V828" s="6"/>
      <c r="W828" s="6"/>
      <c r="X828" s="6"/>
      <c r="Y828" s="6"/>
      <c r="Z828" s="6"/>
    </row>
    <row r="829" spans="1:31" x14ac:dyDescent="0.2">
      <c r="F829" s="1"/>
    </row>
    <row r="830" spans="1:31" x14ac:dyDescent="0.2">
      <c r="C830" s="7"/>
      <c r="D830" s="7"/>
      <c r="F830" s="1"/>
      <c r="G830" s="2"/>
      <c r="I830" s="7"/>
      <c r="J830" s="7"/>
      <c r="K830" s="7"/>
      <c r="L830" s="7"/>
      <c r="O830" s="7"/>
      <c r="P830" s="7"/>
      <c r="Q830" s="7"/>
      <c r="R830" s="20"/>
      <c r="S830" s="20"/>
      <c r="T830" s="20"/>
      <c r="U830" s="6"/>
      <c r="V830" s="6"/>
      <c r="W830" s="6"/>
      <c r="X830" s="6"/>
      <c r="Y830" s="6"/>
    </row>
    <row r="831" spans="1:31" x14ac:dyDescent="0.2">
      <c r="A831" s="7"/>
      <c r="B831" s="7"/>
      <c r="C831" s="7"/>
      <c r="D831" s="7"/>
      <c r="E831" s="7"/>
      <c r="F831" s="10"/>
      <c r="G831" s="8"/>
      <c r="H831" s="7"/>
      <c r="I831" s="7"/>
      <c r="J831" s="7"/>
      <c r="K831" s="7"/>
      <c r="L831" s="7"/>
      <c r="M831" s="7"/>
      <c r="N831" s="7"/>
      <c r="P831" s="7"/>
      <c r="Q831" s="7"/>
      <c r="R831" s="7"/>
      <c r="S831" s="20"/>
      <c r="T831" s="20"/>
      <c r="U831" s="9"/>
      <c r="V831" s="9"/>
      <c r="W831" s="9"/>
      <c r="X831" s="9"/>
      <c r="Y831" s="9"/>
      <c r="AB831" s="7"/>
      <c r="AC831" s="7"/>
      <c r="AD831" s="7"/>
      <c r="AE831" s="7"/>
    </row>
    <row r="832" spans="1:31" x14ac:dyDescent="0.2">
      <c r="C832" s="7"/>
      <c r="D832" s="7"/>
      <c r="F832" s="1"/>
      <c r="G832" s="2"/>
      <c r="I832" s="7"/>
      <c r="J832" s="7"/>
      <c r="K832" s="7"/>
      <c r="L832" s="7"/>
      <c r="O832" s="12"/>
      <c r="P832" s="7"/>
      <c r="Q832" s="7"/>
      <c r="R832" s="20"/>
      <c r="S832" s="20"/>
      <c r="T832" s="20"/>
      <c r="U832" s="6"/>
      <c r="V832" s="6"/>
      <c r="W832" s="6"/>
      <c r="X832" s="6"/>
      <c r="Y832" s="6"/>
    </row>
    <row r="833" spans="1:31" x14ac:dyDescent="0.2">
      <c r="F833" s="1"/>
      <c r="G833" s="2"/>
      <c r="U833" s="6"/>
      <c r="V833" s="6"/>
      <c r="W833" s="6"/>
      <c r="X833" s="6"/>
      <c r="Y833" s="6"/>
    </row>
    <row r="834" spans="1:31" x14ac:dyDescent="0.2">
      <c r="F834" s="1"/>
      <c r="G834" s="2"/>
    </row>
    <row r="835" spans="1:31" x14ac:dyDescent="0.2">
      <c r="C835" s="7"/>
      <c r="D835" s="7"/>
      <c r="F835" s="1"/>
      <c r="G835" s="2"/>
      <c r="I835" s="7"/>
      <c r="J835" s="7"/>
      <c r="K835" s="7"/>
      <c r="L835" s="7"/>
      <c r="M835" s="7"/>
      <c r="N835" s="7"/>
      <c r="O835" s="7"/>
      <c r="P835" s="7"/>
      <c r="Q835" s="7"/>
      <c r="R835" s="7"/>
      <c r="S835" s="20"/>
      <c r="T835" s="20"/>
      <c r="U835" s="6"/>
      <c r="V835" s="6"/>
      <c r="W835" s="6"/>
      <c r="X835" s="6"/>
      <c r="Y835" s="6"/>
    </row>
    <row r="836" spans="1:31" x14ac:dyDescent="0.2">
      <c r="F836" s="1"/>
      <c r="G836" s="2"/>
      <c r="I836" s="7"/>
      <c r="J836" s="7"/>
      <c r="K836" s="7"/>
      <c r="U836" s="6"/>
      <c r="V836" s="6"/>
      <c r="W836" s="6"/>
      <c r="X836" s="6"/>
      <c r="Y836" s="6"/>
    </row>
    <row r="837" spans="1:31" x14ac:dyDescent="0.2">
      <c r="F837" s="1"/>
      <c r="G837" s="2"/>
      <c r="I837" s="7"/>
      <c r="J837" s="7"/>
      <c r="K837" s="7"/>
      <c r="L837" s="7"/>
      <c r="M837" s="7"/>
      <c r="P837" s="7"/>
      <c r="Q837" s="7"/>
      <c r="R837" s="7"/>
      <c r="S837" s="20"/>
      <c r="T837" s="20"/>
      <c r="U837" s="6"/>
      <c r="V837" s="6"/>
      <c r="W837" s="6"/>
      <c r="X837" s="6"/>
      <c r="Y837" s="6"/>
      <c r="Z837" s="6"/>
    </row>
    <row r="838" spans="1:31" x14ac:dyDescent="0.2">
      <c r="F838" s="1"/>
      <c r="G838" s="2"/>
      <c r="I838" s="7"/>
      <c r="J838" s="7"/>
      <c r="K838" s="7"/>
      <c r="L838" s="7"/>
      <c r="M838" s="7"/>
      <c r="P838" s="7"/>
      <c r="Q838" s="7"/>
      <c r="R838" s="7"/>
      <c r="S838" s="20"/>
      <c r="T838" s="20"/>
      <c r="U838" s="6"/>
      <c r="V838" s="6"/>
      <c r="W838" s="6"/>
      <c r="X838" s="6"/>
      <c r="Y838" s="6"/>
      <c r="Z838" s="6"/>
    </row>
    <row r="839" spans="1:31" x14ac:dyDescent="0.2">
      <c r="A839" s="7"/>
      <c r="B839" s="7"/>
      <c r="C839" s="7"/>
      <c r="D839" s="7"/>
      <c r="E839" s="7"/>
      <c r="F839" s="10"/>
      <c r="G839" s="8"/>
      <c r="H839" s="7"/>
      <c r="I839" s="7"/>
      <c r="J839" s="7"/>
      <c r="K839" s="7"/>
      <c r="L839" s="7"/>
      <c r="M839" s="7"/>
      <c r="N839" s="7"/>
      <c r="O839" s="7"/>
      <c r="P839" s="7"/>
      <c r="Q839" s="7"/>
      <c r="R839" s="20"/>
      <c r="S839" s="20"/>
      <c r="T839" s="20"/>
      <c r="U839" s="9"/>
      <c r="V839" s="9"/>
      <c r="W839" s="9"/>
      <c r="X839" s="9"/>
      <c r="Y839" s="9"/>
      <c r="AB839" s="7"/>
      <c r="AC839" s="7"/>
      <c r="AD839" s="7"/>
      <c r="AE839" s="7"/>
    </row>
    <row r="840" spans="1:31" x14ac:dyDescent="0.2">
      <c r="A840" s="7"/>
      <c r="B840" s="7"/>
      <c r="C840" s="7"/>
      <c r="D840" s="7"/>
      <c r="F840" s="1"/>
      <c r="G840" s="2"/>
      <c r="I840" s="7"/>
      <c r="J840" s="7"/>
      <c r="K840" s="7"/>
      <c r="L840" s="7"/>
      <c r="O840" s="7"/>
      <c r="P840" s="7"/>
      <c r="Q840" s="7"/>
      <c r="R840" s="20"/>
      <c r="S840" s="20"/>
      <c r="T840" s="20"/>
      <c r="U840" s="6"/>
      <c r="V840" s="6"/>
      <c r="W840" s="6"/>
      <c r="X840" s="6"/>
      <c r="Y840" s="6"/>
    </row>
    <row r="841" spans="1:31" x14ac:dyDescent="0.2">
      <c r="F841" s="1"/>
      <c r="G841" s="2"/>
      <c r="I841" s="7"/>
      <c r="J841" s="7"/>
      <c r="K841" s="7"/>
      <c r="L841" s="7"/>
      <c r="U841" s="6"/>
      <c r="V841" s="6"/>
      <c r="W841" s="6"/>
      <c r="X841" s="6"/>
      <c r="Y841" s="6"/>
    </row>
    <row r="842" spans="1:31" x14ac:dyDescent="0.2">
      <c r="F842" s="1"/>
      <c r="G842" s="2"/>
      <c r="I842" s="7"/>
      <c r="J842" s="7"/>
      <c r="K842" s="7"/>
      <c r="M842" s="7"/>
      <c r="N842" s="7"/>
      <c r="O842" s="7"/>
      <c r="P842" s="7"/>
      <c r="Q842" s="7"/>
      <c r="R842" s="7"/>
      <c r="S842" s="20"/>
      <c r="T842" s="20"/>
      <c r="U842" s="6"/>
      <c r="V842" s="6"/>
      <c r="W842" s="6"/>
      <c r="X842" s="6"/>
      <c r="Y842" s="6"/>
    </row>
    <row r="843" spans="1:31" x14ac:dyDescent="0.2">
      <c r="F843" s="1"/>
      <c r="G843" s="2"/>
      <c r="I843" s="7"/>
      <c r="K843" s="7"/>
      <c r="L843" s="7"/>
      <c r="M843" s="7"/>
      <c r="O843" s="7"/>
      <c r="P843" s="7"/>
      <c r="Q843" s="7"/>
      <c r="R843" s="7"/>
      <c r="S843" s="20"/>
      <c r="T843" s="20"/>
      <c r="U843" s="6"/>
      <c r="V843" s="6"/>
      <c r="W843" s="6"/>
      <c r="X843" s="6"/>
      <c r="Y843" s="6"/>
    </row>
    <row r="844" spans="1:31" x14ac:dyDescent="0.2">
      <c r="F844" s="1"/>
      <c r="G844" s="2"/>
      <c r="I844" s="5"/>
    </row>
    <row r="845" spans="1:31" x14ac:dyDescent="0.2">
      <c r="F845" s="1"/>
      <c r="G845" s="2"/>
      <c r="I845" s="7"/>
      <c r="J845" s="7"/>
      <c r="K845" s="7"/>
      <c r="L845" s="7"/>
      <c r="U845" s="6"/>
      <c r="V845" s="6"/>
      <c r="W845" s="6"/>
      <c r="X845" s="6"/>
      <c r="Y845" s="6"/>
    </row>
    <row r="846" spans="1:31" x14ac:dyDescent="0.2">
      <c r="F846" s="1"/>
      <c r="G846" s="2"/>
      <c r="I846" s="7"/>
      <c r="K846" s="7"/>
      <c r="L846" s="7"/>
      <c r="M846" s="7"/>
      <c r="O846" s="7"/>
      <c r="P846" s="7"/>
      <c r="Q846" s="7"/>
      <c r="R846" s="7"/>
      <c r="S846" s="20"/>
      <c r="T846" s="20"/>
      <c r="U846" s="6"/>
      <c r="V846" s="6"/>
      <c r="W846" s="6"/>
      <c r="X846" s="6"/>
      <c r="Y846" s="6"/>
    </row>
    <row r="847" spans="1:31" x14ac:dyDescent="0.2">
      <c r="F847" s="1"/>
      <c r="G847" s="2"/>
    </row>
    <row r="848" spans="1:31" x14ac:dyDescent="0.2">
      <c r="AA848" s="9">
        <f t="shared" ref="AA848:AA867" si="5">SUM(W848:Z848)</f>
        <v>0</v>
      </c>
    </row>
    <row r="849" spans="19:27" x14ac:dyDescent="0.2">
      <c r="AA849" s="9">
        <f t="shared" si="5"/>
        <v>0</v>
      </c>
    </row>
    <row r="850" spans="19:27" x14ac:dyDescent="0.2">
      <c r="S850"/>
      <c r="AA850" s="9">
        <f t="shared" si="5"/>
        <v>0</v>
      </c>
    </row>
    <row r="851" spans="19:27" x14ac:dyDescent="0.2">
      <c r="S851"/>
      <c r="AA851" s="9">
        <f t="shared" si="5"/>
        <v>0</v>
      </c>
    </row>
    <row r="852" spans="19:27" x14ac:dyDescent="0.2">
      <c r="S852"/>
      <c r="AA852" s="9">
        <f t="shared" si="5"/>
        <v>0</v>
      </c>
    </row>
    <row r="853" spans="19:27" x14ac:dyDescent="0.2">
      <c r="S853"/>
      <c r="AA853" s="9">
        <f t="shared" si="5"/>
        <v>0</v>
      </c>
    </row>
    <row r="854" spans="19:27" x14ac:dyDescent="0.2">
      <c r="S854"/>
      <c r="AA854" s="9">
        <f t="shared" si="5"/>
        <v>0</v>
      </c>
    </row>
    <row r="855" spans="19:27" x14ac:dyDescent="0.2">
      <c r="S855"/>
      <c r="AA855" s="9">
        <f t="shared" si="5"/>
        <v>0</v>
      </c>
    </row>
    <row r="856" spans="19:27" x14ac:dyDescent="0.2">
      <c r="S856"/>
      <c r="AA856" s="9">
        <f t="shared" si="5"/>
        <v>0</v>
      </c>
    </row>
    <row r="857" spans="19:27" x14ac:dyDescent="0.2">
      <c r="S857"/>
      <c r="AA857" s="9">
        <f t="shared" si="5"/>
        <v>0</v>
      </c>
    </row>
    <row r="858" spans="19:27" x14ac:dyDescent="0.2">
      <c r="S858"/>
      <c r="AA858" s="9">
        <f t="shared" si="5"/>
        <v>0</v>
      </c>
    </row>
    <row r="859" spans="19:27" x14ac:dyDescent="0.2">
      <c r="S859"/>
      <c r="AA859" s="9">
        <f t="shared" si="5"/>
        <v>0</v>
      </c>
    </row>
    <row r="860" spans="19:27" x14ac:dyDescent="0.2">
      <c r="S860"/>
      <c r="AA860" s="9">
        <f t="shared" si="5"/>
        <v>0</v>
      </c>
    </row>
    <row r="861" spans="19:27" x14ac:dyDescent="0.2">
      <c r="S861"/>
      <c r="AA861" s="9">
        <f t="shared" si="5"/>
        <v>0</v>
      </c>
    </row>
    <row r="862" spans="19:27" x14ac:dyDescent="0.2">
      <c r="S862"/>
      <c r="AA862" s="9">
        <f t="shared" si="5"/>
        <v>0</v>
      </c>
    </row>
    <row r="863" spans="19:27" x14ac:dyDescent="0.2">
      <c r="S863"/>
      <c r="AA863" s="9">
        <f t="shared" si="5"/>
        <v>0</v>
      </c>
    </row>
    <row r="864" spans="19:27" x14ac:dyDescent="0.2">
      <c r="S864"/>
      <c r="AA864" s="9">
        <f t="shared" si="5"/>
        <v>0</v>
      </c>
    </row>
    <row r="865" spans="19:27" x14ac:dyDescent="0.2">
      <c r="S865"/>
      <c r="AA865" s="9">
        <f t="shared" si="5"/>
        <v>0</v>
      </c>
    </row>
    <row r="866" spans="19:27" x14ac:dyDescent="0.2">
      <c r="S866"/>
      <c r="AA866" s="9">
        <f t="shared" si="5"/>
        <v>0</v>
      </c>
    </row>
    <row r="867" spans="19:27" x14ac:dyDescent="0.2">
      <c r="S867"/>
      <c r="AA867" s="9">
        <f t="shared" si="5"/>
        <v>0</v>
      </c>
    </row>
  </sheetData>
  <autoFilter ref="A1:AE261" xr:uid="{F63307F8-4CE1-B54B-BB7F-C86C05939E6D}">
    <sortState xmlns:xlrd2="http://schemas.microsoft.com/office/spreadsheetml/2017/richdata2" ref="A2:AE261">
      <sortCondition ref="E1:E261"/>
    </sortState>
  </autoFilter>
  <sortState xmlns:xlrd2="http://schemas.microsoft.com/office/spreadsheetml/2017/richdata2" ref="A2:AE867">
    <sortCondition ref="I2:I867"/>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689"/>
  <sheetViews>
    <sheetView workbookViewId="0">
      <pane ySplit="1" topLeftCell="A24" activePane="bottomLeft" state="frozen"/>
      <selection pane="bottomLeft" sqref="A1:XFD1048576"/>
    </sheetView>
  </sheetViews>
  <sheetFormatPr baseColWidth="10" defaultRowHeight="16" x14ac:dyDescent="0.2"/>
  <cols>
    <col min="2" max="2" width="14.6640625" customWidth="1"/>
    <col min="10" max="10" width="10.83203125" style="176"/>
    <col min="11" max="11" width="10.83203125" style="6"/>
    <col min="22" max="22" width="36.5" customWidth="1"/>
    <col min="31" max="31" width="12.1640625" customWidth="1"/>
    <col min="42" max="42" width="11" customWidth="1"/>
  </cols>
  <sheetData>
    <row r="1" spans="1:43" x14ac:dyDescent="0.2">
      <c r="A1" t="s">
        <v>25</v>
      </c>
      <c r="B1" t="s">
        <v>0</v>
      </c>
      <c r="C1" t="s">
        <v>2033</v>
      </c>
      <c r="D1" t="s">
        <v>2034</v>
      </c>
      <c r="E1" t="s">
        <v>1</v>
      </c>
      <c r="F1" t="s">
        <v>2</v>
      </c>
      <c r="G1" t="s">
        <v>4025</v>
      </c>
      <c r="H1" t="s">
        <v>5058</v>
      </c>
      <c r="I1" t="s">
        <v>4</v>
      </c>
      <c r="J1" s="176" t="s">
        <v>5095</v>
      </c>
      <c r="K1" s="6" t="s">
        <v>5099</v>
      </c>
      <c r="L1" t="s">
        <v>3</v>
      </c>
      <c r="M1" t="s">
        <v>9</v>
      </c>
      <c r="N1" t="s">
        <v>106</v>
      </c>
      <c r="O1" t="s">
        <v>5</v>
      </c>
      <c r="P1" t="s">
        <v>6</v>
      </c>
      <c r="Q1" t="s">
        <v>7</v>
      </c>
      <c r="R1" t="s">
        <v>98</v>
      </c>
      <c r="S1" t="s">
        <v>4029</v>
      </c>
      <c r="T1" t="s">
        <v>551</v>
      </c>
      <c r="U1" t="s">
        <v>113</v>
      </c>
      <c r="V1" t="s">
        <v>114</v>
      </c>
      <c r="W1" t="s">
        <v>3995</v>
      </c>
      <c r="X1" t="s">
        <v>3996</v>
      </c>
      <c r="Y1" t="s">
        <v>4000</v>
      </c>
      <c r="Z1" t="s">
        <v>2335</v>
      </c>
      <c r="AA1" t="s">
        <v>2378</v>
      </c>
      <c r="AB1" t="s">
        <v>912</v>
      </c>
      <c r="AC1" s="19" t="s">
        <v>2038</v>
      </c>
      <c r="AD1" s="19" t="s">
        <v>2039</v>
      </c>
      <c r="AE1" s="19" t="s">
        <v>2607</v>
      </c>
      <c r="AF1" s="19" t="s">
        <v>2608</v>
      </c>
      <c r="AG1" s="19" t="s">
        <v>3222</v>
      </c>
      <c r="AH1" t="s">
        <v>19</v>
      </c>
      <c r="AI1" t="s">
        <v>20</v>
      </c>
      <c r="AJ1" t="s">
        <v>18</v>
      </c>
      <c r="AK1" t="s">
        <v>21</v>
      </c>
      <c r="AL1" t="s">
        <v>122</v>
      </c>
      <c r="AM1" t="s">
        <v>8</v>
      </c>
      <c r="AN1" t="s">
        <v>15</v>
      </c>
      <c r="AO1" t="s">
        <v>17</v>
      </c>
      <c r="AP1" t="s">
        <v>56</v>
      </c>
      <c r="AQ1" t="s">
        <v>57</v>
      </c>
    </row>
    <row r="2" spans="1:43" x14ac:dyDescent="0.2">
      <c r="A2" t="s">
        <v>3539</v>
      </c>
      <c r="B2" t="s">
        <v>3540</v>
      </c>
      <c r="C2">
        <v>13</v>
      </c>
      <c r="D2">
        <v>1</v>
      </c>
      <c r="E2" t="s">
        <v>3171</v>
      </c>
      <c r="F2" s="1">
        <v>43580</v>
      </c>
      <c r="G2" s="1" t="s">
        <v>4027</v>
      </c>
      <c r="H2" s="1"/>
      <c r="I2" s="2">
        <v>0.1173611111111111</v>
      </c>
      <c r="J2" s="176">
        <v>1.9560185185185184E-3</v>
      </c>
      <c r="K2" s="6">
        <v>169</v>
      </c>
      <c r="L2" t="s">
        <v>101</v>
      </c>
      <c r="M2" t="s">
        <v>149</v>
      </c>
      <c r="N2" t="s">
        <v>102</v>
      </c>
      <c r="O2" t="s">
        <v>115</v>
      </c>
      <c r="P2" t="s">
        <v>24</v>
      </c>
      <c r="Q2">
        <v>0</v>
      </c>
      <c r="R2">
        <v>0</v>
      </c>
      <c r="T2" s="5" t="s">
        <v>115</v>
      </c>
      <c r="U2" s="5" t="s">
        <v>115</v>
      </c>
      <c r="V2" s="5" t="s">
        <v>115</v>
      </c>
      <c r="W2" s="5"/>
      <c r="X2" s="5"/>
      <c r="Y2" s="5"/>
      <c r="Z2" s="5" t="s">
        <v>115</v>
      </c>
      <c r="AA2" s="5" t="s">
        <v>115</v>
      </c>
      <c r="AB2" s="5" t="s">
        <v>115</v>
      </c>
      <c r="AC2" s="5" t="s">
        <v>115</v>
      </c>
      <c r="AD2" s="5" t="s">
        <v>115</v>
      </c>
      <c r="AE2" s="5" t="s">
        <v>115</v>
      </c>
      <c r="AF2" s="5" t="s">
        <v>115</v>
      </c>
      <c r="AG2" s="5" t="s">
        <v>115</v>
      </c>
      <c r="AH2">
        <v>0</v>
      </c>
      <c r="AI2">
        <v>0</v>
      </c>
      <c r="AJ2">
        <v>0</v>
      </c>
      <c r="AK2">
        <v>0</v>
      </c>
      <c r="AL2">
        <v>169</v>
      </c>
      <c r="AM2">
        <f t="shared" ref="AM2:AM65" si="0">SUM(AH2+AI2+AL2)</f>
        <v>169</v>
      </c>
      <c r="AN2" t="s">
        <v>188</v>
      </c>
    </row>
    <row r="3" spans="1:43" x14ac:dyDescent="0.2">
      <c r="A3" t="s">
        <v>3608</v>
      </c>
      <c r="B3" t="s">
        <v>3606</v>
      </c>
      <c r="C3">
        <v>4</v>
      </c>
      <c r="D3">
        <v>1</v>
      </c>
      <c r="E3" t="s">
        <v>791</v>
      </c>
      <c r="F3" s="1">
        <v>43581</v>
      </c>
      <c r="G3" s="1" t="s">
        <v>4027</v>
      </c>
      <c r="H3" s="1"/>
      <c r="I3" s="2">
        <v>0.25069444444444444</v>
      </c>
      <c r="J3" s="176">
        <v>4.1782407407407402E-3</v>
      </c>
      <c r="K3" s="6">
        <v>361</v>
      </c>
      <c r="M3" t="s">
        <v>924</v>
      </c>
      <c r="N3" t="s">
        <v>187</v>
      </c>
      <c r="O3" t="s">
        <v>1196</v>
      </c>
      <c r="P3">
        <v>1</v>
      </c>
      <c r="Q3">
        <v>0</v>
      </c>
      <c r="R3">
        <v>1</v>
      </c>
      <c r="S3" t="s">
        <v>598</v>
      </c>
      <c r="T3" s="5" t="s">
        <v>2437</v>
      </c>
      <c r="U3" s="5" t="s">
        <v>122</v>
      </c>
      <c r="V3" s="5" t="s">
        <v>3609</v>
      </c>
      <c r="W3" s="5" t="s">
        <v>1196</v>
      </c>
      <c r="X3" s="5" t="s">
        <v>3997</v>
      </c>
      <c r="Y3" s="5" t="s">
        <v>4020</v>
      </c>
      <c r="Z3" s="5" t="s">
        <v>3610</v>
      </c>
      <c r="AA3" s="5" t="s">
        <v>3610</v>
      </c>
      <c r="AB3">
        <v>1</v>
      </c>
      <c r="AC3">
        <v>63.724170000000001</v>
      </c>
      <c r="AD3">
        <v>148.96494000000001</v>
      </c>
      <c r="AE3" s="5" t="s">
        <v>115</v>
      </c>
      <c r="AF3" s="5" t="s">
        <v>115</v>
      </c>
      <c r="AG3" s="5" t="s">
        <v>115</v>
      </c>
      <c r="AH3">
        <v>0</v>
      </c>
      <c r="AI3">
        <v>0</v>
      </c>
      <c r="AJ3">
        <v>0</v>
      </c>
      <c r="AK3">
        <v>0</v>
      </c>
      <c r="AL3">
        <v>253</v>
      </c>
      <c r="AM3">
        <f t="shared" si="0"/>
        <v>253</v>
      </c>
      <c r="AN3" t="s">
        <v>188</v>
      </c>
      <c r="AO3" t="s">
        <v>3611</v>
      </c>
    </row>
    <row r="4" spans="1:43" x14ac:dyDescent="0.2">
      <c r="A4" t="s">
        <v>3661</v>
      </c>
      <c r="B4" t="s">
        <v>3660</v>
      </c>
      <c r="C4">
        <v>15</v>
      </c>
      <c r="D4">
        <v>2</v>
      </c>
      <c r="E4" t="s">
        <v>2487</v>
      </c>
      <c r="F4" s="1">
        <v>43585</v>
      </c>
      <c r="G4" s="1" t="s">
        <v>4027</v>
      </c>
      <c r="H4" s="1"/>
      <c r="I4" s="2">
        <v>0.15416666666666667</v>
      </c>
      <c r="J4" s="176">
        <v>2.5694444444444445E-3</v>
      </c>
      <c r="K4" s="6">
        <v>222</v>
      </c>
      <c r="L4" t="s">
        <v>3626</v>
      </c>
      <c r="M4" t="s">
        <v>2488</v>
      </c>
      <c r="N4" t="s">
        <v>102</v>
      </c>
      <c r="O4" t="s">
        <v>115</v>
      </c>
      <c r="P4">
        <v>1</v>
      </c>
      <c r="Q4">
        <v>0</v>
      </c>
      <c r="R4">
        <v>1</v>
      </c>
      <c r="S4" t="s">
        <v>598</v>
      </c>
      <c r="T4" s="5" t="s">
        <v>2437</v>
      </c>
      <c r="U4" s="5" t="s">
        <v>122</v>
      </c>
      <c r="V4" s="5" t="s">
        <v>2141</v>
      </c>
      <c r="W4" s="5" t="s">
        <v>23</v>
      </c>
      <c r="X4" s="5" t="s">
        <v>3997</v>
      </c>
      <c r="Y4" s="5" t="s">
        <v>4020</v>
      </c>
      <c r="Z4" s="5" t="s">
        <v>3653</v>
      </c>
      <c r="AA4">
        <v>220</v>
      </c>
      <c r="AB4">
        <v>4</v>
      </c>
      <c r="AC4">
        <v>63.720669999999998</v>
      </c>
      <c r="AD4">
        <v>148.98961</v>
      </c>
      <c r="AE4" s="5" t="s">
        <v>115</v>
      </c>
      <c r="AF4" s="5" t="s">
        <v>115</v>
      </c>
      <c r="AG4" s="5" t="s">
        <v>115</v>
      </c>
      <c r="AH4">
        <v>0</v>
      </c>
      <c r="AI4">
        <v>0</v>
      </c>
      <c r="AJ4">
        <v>0</v>
      </c>
      <c r="AK4">
        <v>0</v>
      </c>
      <c r="AL4">
        <v>168</v>
      </c>
      <c r="AM4">
        <f t="shared" si="0"/>
        <v>168</v>
      </c>
      <c r="AN4" t="s">
        <v>188</v>
      </c>
      <c r="AO4" t="s">
        <v>3663</v>
      </c>
    </row>
    <row r="5" spans="1:43" x14ac:dyDescent="0.2">
      <c r="A5" t="s">
        <v>3348</v>
      </c>
      <c r="B5" t="s">
        <v>3349</v>
      </c>
      <c r="C5">
        <v>25</v>
      </c>
      <c r="D5">
        <v>1</v>
      </c>
      <c r="E5" t="s">
        <v>834</v>
      </c>
      <c r="F5" s="1">
        <v>43577</v>
      </c>
      <c r="G5" s="1" t="s">
        <v>4027</v>
      </c>
      <c r="H5" s="1"/>
      <c r="I5" s="2">
        <v>0.10694444444444444</v>
      </c>
      <c r="J5" s="176">
        <v>1.7824074074074072E-3</v>
      </c>
      <c r="K5" s="6">
        <v>154</v>
      </c>
      <c r="L5" t="s">
        <v>101</v>
      </c>
      <c r="M5" t="s">
        <v>466</v>
      </c>
      <c r="N5" t="s">
        <v>102</v>
      </c>
      <c r="O5" t="s">
        <v>115</v>
      </c>
      <c r="P5">
        <v>3</v>
      </c>
      <c r="Q5">
        <v>0</v>
      </c>
      <c r="R5">
        <v>0</v>
      </c>
      <c r="S5" t="s">
        <v>176</v>
      </c>
      <c r="T5" s="5" t="s">
        <v>24</v>
      </c>
      <c r="U5" s="5" t="s">
        <v>122</v>
      </c>
      <c r="V5" s="5" t="s">
        <v>115</v>
      </c>
      <c r="W5" s="5"/>
      <c r="X5" s="5"/>
      <c r="Y5" s="5"/>
      <c r="Z5" s="5" t="s">
        <v>115</v>
      </c>
      <c r="AA5" s="5" t="s">
        <v>115</v>
      </c>
      <c r="AB5" s="5" t="s">
        <v>115</v>
      </c>
      <c r="AC5" s="5" t="s">
        <v>115</v>
      </c>
      <c r="AD5" s="5" t="s">
        <v>115</v>
      </c>
      <c r="AE5" s="5" t="s">
        <v>115</v>
      </c>
      <c r="AF5" s="5" t="s">
        <v>115</v>
      </c>
      <c r="AG5" s="5" t="s">
        <v>115</v>
      </c>
      <c r="AH5">
        <v>0</v>
      </c>
      <c r="AI5">
        <v>0</v>
      </c>
      <c r="AJ5">
        <v>0</v>
      </c>
      <c r="AK5">
        <v>0</v>
      </c>
      <c r="AL5">
        <v>154</v>
      </c>
      <c r="AM5">
        <f t="shared" si="0"/>
        <v>154</v>
      </c>
      <c r="AN5" t="s">
        <v>188</v>
      </c>
    </row>
    <row r="6" spans="1:43" x14ac:dyDescent="0.2">
      <c r="A6" t="s">
        <v>2916</v>
      </c>
      <c r="B6" t="s">
        <v>2917</v>
      </c>
      <c r="C6">
        <v>2</v>
      </c>
      <c r="D6">
        <v>1</v>
      </c>
      <c r="E6" t="s">
        <v>2462</v>
      </c>
      <c r="F6" s="1">
        <v>43559</v>
      </c>
      <c r="G6" s="1" t="s">
        <v>4027</v>
      </c>
      <c r="H6" s="1"/>
      <c r="I6" s="2">
        <v>0.10625</v>
      </c>
      <c r="J6" s="176">
        <v>1.7708333333333332E-3</v>
      </c>
      <c r="K6" s="6">
        <v>153</v>
      </c>
      <c r="M6" t="s">
        <v>64</v>
      </c>
      <c r="N6" t="s">
        <v>102</v>
      </c>
      <c r="O6" t="s">
        <v>115</v>
      </c>
      <c r="P6">
        <v>4</v>
      </c>
      <c r="Q6">
        <v>0</v>
      </c>
      <c r="R6">
        <v>0</v>
      </c>
      <c r="S6" t="s">
        <v>176</v>
      </c>
      <c r="T6" s="5" t="s">
        <v>24</v>
      </c>
      <c r="U6" s="5" t="s">
        <v>122</v>
      </c>
      <c r="V6" s="5" t="s">
        <v>115</v>
      </c>
      <c r="W6" s="5"/>
      <c r="X6" s="5"/>
      <c r="Y6" s="5"/>
      <c r="Z6" s="5" t="s">
        <v>115</v>
      </c>
      <c r="AA6" s="5" t="s">
        <v>115</v>
      </c>
      <c r="AB6" s="5" t="s">
        <v>115</v>
      </c>
      <c r="AC6" s="5" t="s">
        <v>115</v>
      </c>
      <c r="AD6" s="5" t="s">
        <v>115</v>
      </c>
      <c r="AE6" s="5" t="s">
        <v>115</v>
      </c>
      <c r="AF6" s="5" t="s">
        <v>115</v>
      </c>
      <c r="AG6" s="5"/>
      <c r="AH6">
        <v>0</v>
      </c>
      <c r="AI6">
        <v>0</v>
      </c>
      <c r="AJ6">
        <v>0</v>
      </c>
      <c r="AK6">
        <v>0</v>
      </c>
      <c r="AL6">
        <v>153</v>
      </c>
      <c r="AM6">
        <f t="shared" si="0"/>
        <v>153</v>
      </c>
    </row>
    <row r="7" spans="1:43" x14ac:dyDescent="0.2">
      <c r="A7" t="s">
        <v>2756</v>
      </c>
      <c r="B7" t="s">
        <v>2757</v>
      </c>
      <c r="C7">
        <v>14</v>
      </c>
      <c r="D7">
        <v>1</v>
      </c>
      <c r="E7" t="s">
        <v>834</v>
      </c>
      <c r="F7" s="1">
        <v>43554</v>
      </c>
      <c r="G7" s="1" t="s">
        <v>4026</v>
      </c>
      <c r="H7" s="1"/>
      <c r="I7" s="2">
        <v>0.11666666666666665</v>
      </c>
      <c r="J7" s="176">
        <v>1.9444444444444442E-3</v>
      </c>
      <c r="K7" s="6">
        <v>168</v>
      </c>
      <c r="M7" t="s">
        <v>466</v>
      </c>
      <c r="N7" t="s">
        <v>102</v>
      </c>
      <c r="O7" t="s">
        <v>115</v>
      </c>
      <c r="P7">
        <v>4</v>
      </c>
      <c r="Q7">
        <v>0</v>
      </c>
      <c r="R7">
        <v>0</v>
      </c>
      <c r="S7" t="s">
        <v>176</v>
      </c>
      <c r="T7" s="5" t="s">
        <v>24</v>
      </c>
      <c r="U7" s="5" t="s">
        <v>122</v>
      </c>
      <c r="V7" s="5" t="s">
        <v>115</v>
      </c>
      <c r="W7" s="5"/>
      <c r="X7" s="5"/>
      <c r="Y7" s="5"/>
      <c r="Z7" s="5" t="s">
        <v>115</v>
      </c>
      <c r="AA7" s="5" t="s">
        <v>115</v>
      </c>
      <c r="AB7" s="5" t="s">
        <v>115</v>
      </c>
      <c r="AC7" s="5" t="s">
        <v>115</v>
      </c>
      <c r="AD7" s="5" t="s">
        <v>115</v>
      </c>
      <c r="AE7" s="5" t="s">
        <v>115</v>
      </c>
      <c r="AF7" s="5" t="s">
        <v>115</v>
      </c>
      <c r="AG7" s="5"/>
      <c r="AH7">
        <v>0</v>
      </c>
      <c r="AI7">
        <v>0</v>
      </c>
      <c r="AJ7">
        <v>0</v>
      </c>
      <c r="AK7">
        <v>0</v>
      </c>
      <c r="AL7">
        <v>150</v>
      </c>
      <c r="AM7">
        <f t="shared" si="0"/>
        <v>150</v>
      </c>
      <c r="AN7" t="s">
        <v>188</v>
      </c>
    </row>
    <row r="8" spans="1:43" x14ac:dyDescent="0.2">
      <c r="A8" t="s">
        <v>3889</v>
      </c>
      <c r="B8" t="s">
        <v>3890</v>
      </c>
      <c r="C8">
        <v>3</v>
      </c>
      <c r="D8">
        <v>1</v>
      </c>
      <c r="E8" t="s">
        <v>2462</v>
      </c>
      <c r="F8" s="1">
        <v>43591</v>
      </c>
      <c r="G8" s="1" t="s">
        <v>4028</v>
      </c>
      <c r="H8" s="1"/>
      <c r="I8" s="2">
        <v>9.8611111111111108E-2</v>
      </c>
      <c r="J8" s="176">
        <v>1.6435185185185183E-3</v>
      </c>
      <c r="K8" s="6">
        <v>142</v>
      </c>
      <c r="L8" t="s">
        <v>1278</v>
      </c>
      <c r="M8" t="s">
        <v>363</v>
      </c>
      <c r="N8" t="s">
        <v>102</v>
      </c>
      <c r="O8" t="s">
        <v>115</v>
      </c>
      <c r="P8">
        <v>3</v>
      </c>
      <c r="Q8">
        <v>0</v>
      </c>
      <c r="R8">
        <v>0</v>
      </c>
      <c r="S8" t="s">
        <v>176</v>
      </c>
      <c r="T8" s="5" t="s">
        <v>24</v>
      </c>
      <c r="U8" s="5" t="s">
        <v>122</v>
      </c>
      <c r="V8" s="5" t="s">
        <v>115</v>
      </c>
      <c r="W8" s="5"/>
      <c r="X8" s="5"/>
      <c r="Y8" s="5"/>
      <c r="Z8" s="5" t="s">
        <v>115</v>
      </c>
      <c r="AA8" s="5" t="s">
        <v>115</v>
      </c>
      <c r="AB8" s="5" t="s">
        <v>115</v>
      </c>
      <c r="AC8" s="5" t="s">
        <v>115</v>
      </c>
      <c r="AD8" s="5" t="s">
        <v>115</v>
      </c>
      <c r="AE8" s="5" t="s">
        <v>115</v>
      </c>
      <c r="AF8" s="5" t="s">
        <v>115</v>
      </c>
      <c r="AG8" s="5" t="s">
        <v>115</v>
      </c>
      <c r="AH8">
        <v>0</v>
      </c>
      <c r="AI8">
        <v>0</v>
      </c>
      <c r="AJ8">
        <v>0</v>
      </c>
      <c r="AK8">
        <v>0</v>
      </c>
      <c r="AL8">
        <v>144</v>
      </c>
      <c r="AM8">
        <f t="shared" si="0"/>
        <v>144</v>
      </c>
      <c r="AN8" t="s">
        <v>188</v>
      </c>
    </row>
    <row r="9" spans="1:43" x14ac:dyDescent="0.2">
      <c r="A9" t="s">
        <v>3002</v>
      </c>
      <c r="B9" t="s">
        <v>3004</v>
      </c>
      <c r="C9">
        <v>2</v>
      </c>
      <c r="D9">
        <v>1</v>
      </c>
      <c r="E9" t="s">
        <v>324</v>
      </c>
      <c r="F9" s="1">
        <v>43564</v>
      </c>
      <c r="G9" s="1" t="s">
        <v>4027</v>
      </c>
      <c r="H9" s="1"/>
      <c r="I9" s="2">
        <v>6.6666666666666666E-2</v>
      </c>
      <c r="J9" s="176">
        <v>1.1111111111111111E-3</v>
      </c>
      <c r="K9" s="6">
        <v>96</v>
      </c>
      <c r="M9" t="s">
        <v>325</v>
      </c>
      <c r="N9" t="s">
        <v>102</v>
      </c>
      <c r="O9" t="s">
        <v>115</v>
      </c>
      <c r="P9">
        <v>0</v>
      </c>
      <c r="Q9">
        <v>0</v>
      </c>
      <c r="R9">
        <v>0</v>
      </c>
      <c r="T9" s="5" t="s">
        <v>115</v>
      </c>
      <c r="U9" s="5" t="s">
        <v>115</v>
      </c>
      <c r="V9" s="5" t="s">
        <v>115</v>
      </c>
      <c r="W9" s="5"/>
      <c r="X9" s="5"/>
      <c r="Y9" s="5"/>
      <c r="Z9" s="5" t="s">
        <v>115</v>
      </c>
      <c r="AA9" s="5" t="s">
        <v>115</v>
      </c>
      <c r="AB9" s="5" t="s">
        <v>115</v>
      </c>
      <c r="AC9" s="5" t="s">
        <v>115</v>
      </c>
      <c r="AD9" s="5" t="s">
        <v>115</v>
      </c>
      <c r="AE9" s="5" t="s">
        <v>115</v>
      </c>
      <c r="AF9" s="5" t="s">
        <v>115</v>
      </c>
      <c r="AG9" s="5"/>
      <c r="AH9">
        <v>108</v>
      </c>
      <c r="AI9">
        <v>0</v>
      </c>
      <c r="AJ9">
        <v>108</v>
      </c>
      <c r="AK9">
        <v>0</v>
      </c>
      <c r="AL9">
        <v>28</v>
      </c>
      <c r="AM9">
        <f t="shared" si="0"/>
        <v>136</v>
      </c>
      <c r="AN9" t="s">
        <v>188</v>
      </c>
    </row>
    <row r="10" spans="1:43" x14ac:dyDescent="0.2">
      <c r="A10" t="s">
        <v>3333</v>
      </c>
      <c r="B10" t="s">
        <v>3334</v>
      </c>
      <c r="C10">
        <v>18</v>
      </c>
      <c r="D10">
        <v>2</v>
      </c>
      <c r="E10" t="s">
        <v>834</v>
      </c>
      <c r="F10" s="1">
        <v>43577</v>
      </c>
      <c r="G10" s="1" t="s">
        <v>4027</v>
      </c>
      <c r="H10" s="1"/>
      <c r="I10" s="2">
        <v>8.6805555555555566E-2</v>
      </c>
      <c r="J10" s="176">
        <v>1.4467592592592594E-3</v>
      </c>
      <c r="K10" s="6">
        <v>125</v>
      </c>
      <c r="L10" t="s">
        <v>101</v>
      </c>
      <c r="M10" t="s">
        <v>466</v>
      </c>
      <c r="N10" t="s">
        <v>102</v>
      </c>
      <c r="O10" t="s">
        <v>115</v>
      </c>
      <c r="P10">
        <v>1</v>
      </c>
      <c r="Q10">
        <v>0</v>
      </c>
      <c r="R10">
        <v>0</v>
      </c>
      <c r="S10" t="s">
        <v>176</v>
      </c>
      <c r="T10" s="5" t="s">
        <v>24</v>
      </c>
      <c r="U10" s="5" t="s">
        <v>122</v>
      </c>
      <c r="V10" s="5" t="s">
        <v>115</v>
      </c>
      <c r="W10" s="5"/>
      <c r="X10" s="5"/>
      <c r="Y10" s="5"/>
      <c r="Z10" s="5" t="s">
        <v>115</v>
      </c>
      <c r="AA10" s="5" t="s">
        <v>115</v>
      </c>
      <c r="AB10" s="5" t="s">
        <v>115</v>
      </c>
      <c r="AC10" s="5" t="s">
        <v>115</v>
      </c>
      <c r="AD10" s="5" t="s">
        <v>115</v>
      </c>
      <c r="AE10" s="5" t="s">
        <v>115</v>
      </c>
      <c r="AF10" s="5" t="s">
        <v>115</v>
      </c>
      <c r="AG10" s="5" t="s">
        <v>115</v>
      </c>
      <c r="AH10">
        <v>0</v>
      </c>
      <c r="AI10">
        <v>0</v>
      </c>
      <c r="AJ10">
        <v>0</v>
      </c>
      <c r="AK10">
        <v>0</v>
      </c>
      <c r="AL10">
        <v>125</v>
      </c>
      <c r="AM10">
        <f t="shared" si="0"/>
        <v>125</v>
      </c>
      <c r="AN10" t="s">
        <v>188</v>
      </c>
    </row>
    <row r="11" spans="1:43" x14ac:dyDescent="0.2">
      <c r="A11" t="s">
        <v>3699</v>
      </c>
      <c r="B11" t="s">
        <v>3700</v>
      </c>
      <c r="C11">
        <v>7</v>
      </c>
      <c r="D11">
        <v>1</v>
      </c>
      <c r="E11" t="s">
        <v>3171</v>
      </c>
      <c r="F11" s="1">
        <v>43585</v>
      </c>
      <c r="G11" s="1" t="s">
        <v>4027</v>
      </c>
      <c r="H11" s="1"/>
      <c r="I11" s="2">
        <v>8.4722222222222213E-2</v>
      </c>
      <c r="J11" s="176">
        <v>1.4120370370370369E-3</v>
      </c>
      <c r="K11" s="6">
        <v>122</v>
      </c>
      <c r="L11" t="s">
        <v>3626</v>
      </c>
      <c r="M11" t="s">
        <v>149</v>
      </c>
      <c r="N11" t="s">
        <v>102</v>
      </c>
      <c r="O11" t="s">
        <v>115</v>
      </c>
      <c r="P11">
        <v>0</v>
      </c>
      <c r="Q11">
        <v>0</v>
      </c>
      <c r="R11">
        <v>0</v>
      </c>
      <c r="T11" s="5" t="s">
        <v>115</v>
      </c>
      <c r="U11" s="5" t="s">
        <v>115</v>
      </c>
      <c r="V11" s="5" t="s">
        <v>115</v>
      </c>
      <c r="W11" s="5"/>
      <c r="X11" s="5"/>
      <c r="Y11" s="5"/>
      <c r="Z11" s="5" t="s">
        <v>115</v>
      </c>
      <c r="AA11" s="5" t="s">
        <v>115</v>
      </c>
      <c r="AB11" s="5" t="s">
        <v>115</v>
      </c>
      <c r="AC11" s="5" t="s">
        <v>115</v>
      </c>
      <c r="AD11" s="5" t="s">
        <v>115</v>
      </c>
      <c r="AE11" s="5" t="s">
        <v>115</v>
      </c>
      <c r="AF11" s="5" t="s">
        <v>115</v>
      </c>
      <c r="AG11" s="5" t="s">
        <v>115</v>
      </c>
      <c r="AH11">
        <v>0</v>
      </c>
      <c r="AI11">
        <v>0</v>
      </c>
      <c r="AJ11">
        <v>0</v>
      </c>
      <c r="AK11">
        <v>0</v>
      </c>
      <c r="AL11">
        <v>122</v>
      </c>
      <c r="AM11">
        <f t="shared" si="0"/>
        <v>122</v>
      </c>
      <c r="AN11" t="s">
        <v>188</v>
      </c>
    </row>
    <row r="12" spans="1:43" x14ac:dyDescent="0.2">
      <c r="A12" t="s">
        <v>3707</v>
      </c>
      <c r="B12" t="s">
        <v>3708</v>
      </c>
      <c r="C12">
        <v>11</v>
      </c>
      <c r="D12">
        <v>1</v>
      </c>
      <c r="E12" t="s">
        <v>3171</v>
      </c>
      <c r="F12" s="1">
        <v>43585</v>
      </c>
      <c r="G12" s="1" t="s">
        <v>4027</v>
      </c>
      <c r="H12" s="1" t="s">
        <v>4752</v>
      </c>
      <c r="I12" s="2">
        <v>8.4722222222222213E-2</v>
      </c>
      <c r="J12" s="176">
        <v>1.4120370370370369E-3</v>
      </c>
      <c r="K12" s="6">
        <v>122</v>
      </c>
      <c r="L12" t="s">
        <v>3626</v>
      </c>
      <c r="M12" t="s">
        <v>670</v>
      </c>
      <c r="N12" t="s">
        <v>102</v>
      </c>
      <c r="O12" t="s">
        <v>115</v>
      </c>
      <c r="P12" t="s">
        <v>24</v>
      </c>
      <c r="Q12">
        <v>0</v>
      </c>
      <c r="R12">
        <v>0</v>
      </c>
      <c r="T12" s="5" t="s">
        <v>115</v>
      </c>
      <c r="U12" s="5" t="s">
        <v>115</v>
      </c>
      <c r="V12" s="5" t="s">
        <v>115</v>
      </c>
      <c r="W12" s="5"/>
      <c r="X12" s="5"/>
      <c r="Y12" s="5"/>
      <c r="Z12" s="5" t="s">
        <v>115</v>
      </c>
      <c r="AA12" s="5" t="s">
        <v>115</v>
      </c>
      <c r="AB12" s="5" t="s">
        <v>115</v>
      </c>
      <c r="AC12" s="5" t="s">
        <v>115</v>
      </c>
      <c r="AD12" s="5" t="s">
        <v>115</v>
      </c>
      <c r="AE12" s="5" t="s">
        <v>115</v>
      </c>
      <c r="AF12" s="5" t="s">
        <v>115</v>
      </c>
      <c r="AG12" s="5" t="s">
        <v>115</v>
      </c>
      <c r="AH12">
        <v>0</v>
      </c>
      <c r="AI12">
        <v>0</v>
      </c>
      <c r="AJ12">
        <v>0</v>
      </c>
      <c r="AK12">
        <v>0</v>
      </c>
      <c r="AL12">
        <v>122</v>
      </c>
      <c r="AM12">
        <f t="shared" si="0"/>
        <v>122</v>
      </c>
      <c r="AN12" t="s">
        <v>188</v>
      </c>
    </row>
    <row r="13" spans="1:43" x14ac:dyDescent="0.2">
      <c r="A13" t="s">
        <v>2994</v>
      </c>
      <c r="B13" t="s">
        <v>2995</v>
      </c>
      <c r="C13">
        <v>32</v>
      </c>
      <c r="D13">
        <v>1</v>
      </c>
      <c r="E13" t="s">
        <v>834</v>
      </c>
      <c r="F13" s="1">
        <v>43560</v>
      </c>
      <c r="G13" s="1" t="s">
        <v>4027</v>
      </c>
      <c r="H13" s="1"/>
      <c r="I13" s="2">
        <v>7.7083333333333337E-2</v>
      </c>
      <c r="J13" s="176">
        <v>1.2847222222222223E-3</v>
      </c>
      <c r="K13" s="6">
        <v>111</v>
      </c>
      <c r="M13" t="s">
        <v>466</v>
      </c>
      <c r="N13" t="s">
        <v>102</v>
      </c>
      <c r="O13" t="s">
        <v>115</v>
      </c>
      <c r="P13">
        <v>1</v>
      </c>
      <c r="Q13">
        <v>0</v>
      </c>
      <c r="R13">
        <v>0</v>
      </c>
      <c r="S13" t="s">
        <v>176</v>
      </c>
      <c r="T13" s="5" t="s">
        <v>24</v>
      </c>
      <c r="U13" s="5" t="s">
        <v>122</v>
      </c>
      <c r="V13" s="5" t="s">
        <v>115</v>
      </c>
      <c r="W13" s="5"/>
      <c r="X13" s="5"/>
      <c r="Y13" s="5"/>
      <c r="Z13" s="5" t="s">
        <v>115</v>
      </c>
      <c r="AA13" s="5" t="s">
        <v>115</v>
      </c>
      <c r="AB13" s="5" t="s">
        <v>115</v>
      </c>
      <c r="AC13" s="5" t="s">
        <v>115</v>
      </c>
      <c r="AD13" s="5" t="s">
        <v>115</v>
      </c>
      <c r="AE13" s="5" t="s">
        <v>115</v>
      </c>
      <c r="AF13" s="5" t="s">
        <v>115</v>
      </c>
      <c r="AG13" s="5"/>
      <c r="AH13">
        <v>0</v>
      </c>
      <c r="AI13">
        <v>0</v>
      </c>
      <c r="AJ13">
        <v>0</v>
      </c>
      <c r="AK13">
        <v>0</v>
      </c>
      <c r="AL13">
        <v>111</v>
      </c>
      <c r="AM13">
        <f t="shared" si="0"/>
        <v>111</v>
      </c>
      <c r="AN13" t="s">
        <v>188</v>
      </c>
    </row>
    <row r="14" spans="1:43" x14ac:dyDescent="0.2">
      <c r="A14" t="s">
        <v>3319</v>
      </c>
      <c r="B14" t="s">
        <v>3316</v>
      </c>
      <c r="C14">
        <v>11</v>
      </c>
      <c r="D14">
        <v>1</v>
      </c>
      <c r="E14" t="s">
        <v>834</v>
      </c>
      <c r="F14" s="1">
        <v>43577</v>
      </c>
      <c r="G14" s="1" t="s">
        <v>4027</v>
      </c>
      <c r="H14" s="1"/>
      <c r="I14" s="2">
        <v>9.6527777777777768E-2</v>
      </c>
      <c r="J14" s="176">
        <v>1.6087962962962963E-3</v>
      </c>
      <c r="K14" s="6">
        <v>139</v>
      </c>
      <c r="L14" t="s">
        <v>101</v>
      </c>
      <c r="M14" t="s">
        <v>466</v>
      </c>
      <c r="N14" t="s">
        <v>102</v>
      </c>
      <c r="O14" t="s">
        <v>115</v>
      </c>
      <c r="P14">
        <v>4</v>
      </c>
      <c r="Q14">
        <v>0</v>
      </c>
      <c r="R14">
        <v>0</v>
      </c>
      <c r="S14" t="s">
        <v>176</v>
      </c>
      <c r="T14" s="5" t="s">
        <v>24</v>
      </c>
      <c r="U14" s="5" t="s">
        <v>122</v>
      </c>
      <c r="V14" s="5" t="s">
        <v>115</v>
      </c>
      <c r="W14" s="5"/>
      <c r="X14" s="5"/>
      <c r="Y14" s="5"/>
      <c r="Z14" s="5" t="s">
        <v>115</v>
      </c>
      <c r="AA14" s="5" t="s">
        <v>115</v>
      </c>
      <c r="AB14" s="5" t="s">
        <v>115</v>
      </c>
      <c r="AC14" s="5" t="s">
        <v>115</v>
      </c>
      <c r="AD14" s="5" t="s">
        <v>115</v>
      </c>
      <c r="AE14" s="5" t="s">
        <v>115</v>
      </c>
      <c r="AF14" s="5" t="s">
        <v>115</v>
      </c>
      <c r="AG14" s="5" t="s">
        <v>115</v>
      </c>
      <c r="AH14">
        <v>0</v>
      </c>
      <c r="AI14">
        <v>0</v>
      </c>
      <c r="AJ14">
        <v>0</v>
      </c>
      <c r="AK14">
        <v>0</v>
      </c>
      <c r="AL14">
        <v>111</v>
      </c>
      <c r="AM14">
        <f t="shared" si="0"/>
        <v>111</v>
      </c>
      <c r="AN14" t="s">
        <v>188</v>
      </c>
    </row>
    <row r="15" spans="1:43" x14ac:dyDescent="0.2">
      <c r="A15" t="s">
        <v>3568</v>
      </c>
      <c r="B15" t="s">
        <v>3569</v>
      </c>
      <c r="C15">
        <v>27</v>
      </c>
      <c r="D15">
        <v>1</v>
      </c>
      <c r="E15" t="s">
        <v>3171</v>
      </c>
      <c r="F15" s="1">
        <v>43580</v>
      </c>
      <c r="G15" s="1" t="s">
        <v>4027</v>
      </c>
      <c r="H15" s="1"/>
      <c r="I15" s="2">
        <v>0.10486111111111111</v>
      </c>
      <c r="J15" s="176">
        <v>1.7476851851851852E-3</v>
      </c>
      <c r="K15" s="6">
        <v>151</v>
      </c>
      <c r="L15" t="s">
        <v>101</v>
      </c>
      <c r="M15" t="s">
        <v>149</v>
      </c>
      <c r="N15" t="s">
        <v>102</v>
      </c>
      <c r="O15" t="s">
        <v>115</v>
      </c>
      <c r="P15">
        <v>1</v>
      </c>
      <c r="Q15">
        <v>0</v>
      </c>
      <c r="R15">
        <v>0</v>
      </c>
      <c r="S15" t="s">
        <v>14</v>
      </c>
      <c r="T15" s="5" t="s">
        <v>2448</v>
      </c>
      <c r="U15" s="5" t="s">
        <v>122</v>
      </c>
      <c r="V15" s="5" t="s">
        <v>115</v>
      </c>
      <c r="W15" s="5"/>
      <c r="X15" s="5"/>
      <c r="Y15" s="5"/>
      <c r="Z15" s="5" t="s">
        <v>115</v>
      </c>
      <c r="AA15" s="5" t="s">
        <v>115</v>
      </c>
      <c r="AB15" s="5" t="s">
        <v>115</v>
      </c>
      <c r="AC15" s="5" t="s">
        <v>115</v>
      </c>
      <c r="AD15" s="5" t="s">
        <v>115</v>
      </c>
      <c r="AE15" s="5" t="s">
        <v>115</v>
      </c>
      <c r="AF15" s="5" t="s">
        <v>115</v>
      </c>
      <c r="AG15" s="5" t="s">
        <v>115</v>
      </c>
      <c r="AH15">
        <v>0</v>
      </c>
      <c r="AI15">
        <v>0</v>
      </c>
      <c r="AJ15">
        <v>0</v>
      </c>
      <c r="AK15">
        <v>0</v>
      </c>
      <c r="AL15">
        <v>111</v>
      </c>
      <c r="AM15">
        <f t="shared" si="0"/>
        <v>111</v>
      </c>
      <c r="AN15" t="s">
        <v>188</v>
      </c>
    </row>
    <row r="16" spans="1:43" x14ac:dyDescent="0.2">
      <c r="A16" t="s">
        <v>2504</v>
      </c>
      <c r="B16" t="s">
        <v>2505</v>
      </c>
      <c r="C16">
        <v>8</v>
      </c>
      <c r="D16">
        <v>1</v>
      </c>
      <c r="E16" t="s">
        <v>2487</v>
      </c>
      <c r="F16" s="1">
        <v>43549</v>
      </c>
      <c r="G16" s="1" t="s">
        <v>4026</v>
      </c>
      <c r="H16" s="1"/>
      <c r="I16" s="2">
        <v>0.10069444444444443</v>
      </c>
      <c r="J16" s="176">
        <v>1.6782407407407406E-3</v>
      </c>
      <c r="K16" s="6">
        <v>145</v>
      </c>
      <c r="L16" s="5" t="s">
        <v>398</v>
      </c>
      <c r="M16" t="s">
        <v>2488</v>
      </c>
      <c r="N16" t="s">
        <v>102</v>
      </c>
      <c r="O16" t="s">
        <v>115</v>
      </c>
      <c r="P16">
        <v>1</v>
      </c>
      <c r="Q16">
        <v>0</v>
      </c>
      <c r="R16">
        <v>0</v>
      </c>
      <c r="S16" t="s">
        <v>598</v>
      </c>
      <c r="T16" t="s">
        <v>2506</v>
      </c>
      <c r="U16" t="s">
        <v>122</v>
      </c>
      <c r="V16" t="s">
        <v>115</v>
      </c>
      <c r="Z16" t="s">
        <v>115</v>
      </c>
      <c r="AA16" t="s">
        <v>115</v>
      </c>
      <c r="AB16" t="s">
        <v>115</v>
      </c>
      <c r="AC16" t="s">
        <v>115</v>
      </c>
      <c r="AD16" t="s">
        <v>115</v>
      </c>
      <c r="AH16">
        <v>0</v>
      </c>
      <c r="AI16">
        <v>0</v>
      </c>
      <c r="AJ16">
        <v>0</v>
      </c>
      <c r="AK16">
        <v>0</v>
      </c>
      <c r="AL16">
        <v>109</v>
      </c>
      <c r="AM16">
        <f t="shared" si="0"/>
        <v>109</v>
      </c>
      <c r="AN16" t="s">
        <v>188</v>
      </c>
      <c r="AO16" t="s">
        <v>2507</v>
      </c>
    </row>
    <row r="17" spans="1:43" x14ac:dyDescent="0.2">
      <c r="A17" t="s">
        <v>3310</v>
      </c>
      <c r="B17" t="s">
        <v>3311</v>
      </c>
      <c r="C17">
        <v>8</v>
      </c>
      <c r="D17">
        <v>1</v>
      </c>
      <c r="E17" t="s">
        <v>834</v>
      </c>
      <c r="F17" s="1">
        <v>43577</v>
      </c>
      <c r="G17" s="1" t="s">
        <v>4027</v>
      </c>
      <c r="H17" s="1"/>
      <c r="I17" s="2">
        <v>6.8749999999999992E-2</v>
      </c>
      <c r="J17" s="176">
        <v>1.1458333333333333E-3</v>
      </c>
      <c r="K17" s="6">
        <v>99</v>
      </c>
      <c r="L17" t="s">
        <v>101</v>
      </c>
      <c r="M17" t="s">
        <v>466</v>
      </c>
      <c r="N17" t="s">
        <v>102</v>
      </c>
      <c r="O17" t="s">
        <v>115</v>
      </c>
      <c r="P17">
        <v>1</v>
      </c>
      <c r="Q17">
        <v>0</v>
      </c>
      <c r="R17">
        <v>0</v>
      </c>
      <c r="S17" t="s">
        <v>176</v>
      </c>
      <c r="T17" s="5" t="s">
        <v>24</v>
      </c>
      <c r="U17" s="5" t="s">
        <v>122</v>
      </c>
      <c r="V17" s="5" t="s">
        <v>115</v>
      </c>
      <c r="W17" s="5"/>
      <c r="X17" s="5"/>
      <c r="Y17" s="5"/>
      <c r="Z17" s="5" t="s">
        <v>115</v>
      </c>
      <c r="AA17" s="5" t="s">
        <v>115</v>
      </c>
      <c r="AB17" s="5" t="s">
        <v>115</v>
      </c>
      <c r="AC17" s="5" t="s">
        <v>115</v>
      </c>
      <c r="AD17" s="5" t="s">
        <v>115</v>
      </c>
      <c r="AE17" s="5" t="s">
        <v>115</v>
      </c>
      <c r="AF17" s="5" t="s">
        <v>115</v>
      </c>
      <c r="AG17" s="5" t="s">
        <v>115</v>
      </c>
      <c r="AH17">
        <v>0</v>
      </c>
      <c r="AI17">
        <v>0</v>
      </c>
      <c r="AJ17">
        <v>0</v>
      </c>
      <c r="AK17">
        <v>0</v>
      </c>
      <c r="AL17">
        <v>99</v>
      </c>
      <c r="AM17">
        <f t="shared" si="0"/>
        <v>99</v>
      </c>
      <c r="AN17" t="s">
        <v>188</v>
      </c>
    </row>
    <row r="18" spans="1:43" x14ac:dyDescent="0.2">
      <c r="A18" t="s">
        <v>3801</v>
      </c>
      <c r="B18" t="s">
        <v>3802</v>
      </c>
      <c r="C18">
        <v>22</v>
      </c>
      <c r="D18">
        <v>1</v>
      </c>
      <c r="E18" t="s">
        <v>3171</v>
      </c>
      <c r="F18" s="1">
        <v>43588</v>
      </c>
      <c r="G18" s="1" t="s">
        <v>4028</v>
      </c>
      <c r="H18" s="1" t="s">
        <v>4752</v>
      </c>
      <c r="I18" s="2">
        <v>6.8749999999999992E-2</v>
      </c>
      <c r="J18" s="176">
        <v>1.1458333333333333E-3</v>
      </c>
      <c r="K18" s="6">
        <v>99</v>
      </c>
      <c r="L18" t="s">
        <v>3187</v>
      </c>
      <c r="M18" t="s">
        <v>670</v>
      </c>
      <c r="N18" t="s">
        <v>102</v>
      </c>
      <c r="O18" t="s">
        <v>115</v>
      </c>
      <c r="P18" t="s">
        <v>24</v>
      </c>
      <c r="Q18">
        <v>0</v>
      </c>
      <c r="R18">
        <v>0</v>
      </c>
      <c r="T18" s="5" t="s">
        <v>115</v>
      </c>
      <c r="U18" s="5" t="s">
        <v>115</v>
      </c>
      <c r="V18" s="5" t="s">
        <v>115</v>
      </c>
      <c r="W18" s="5"/>
      <c r="X18" s="5"/>
      <c r="Y18" s="5"/>
      <c r="Z18" s="5" t="s">
        <v>115</v>
      </c>
      <c r="AA18" s="5" t="s">
        <v>115</v>
      </c>
      <c r="AB18" s="5" t="s">
        <v>115</v>
      </c>
      <c r="AC18" s="5" t="s">
        <v>115</v>
      </c>
      <c r="AD18" s="5" t="s">
        <v>115</v>
      </c>
      <c r="AE18" s="5" t="s">
        <v>115</v>
      </c>
      <c r="AF18" s="5" t="s">
        <v>115</v>
      </c>
      <c r="AG18" s="5" t="s">
        <v>115</v>
      </c>
      <c r="AH18">
        <v>0</v>
      </c>
      <c r="AI18">
        <v>0</v>
      </c>
      <c r="AJ18">
        <v>0</v>
      </c>
      <c r="AK18">
        <v>0</v>
      </c>
      <c r="AL18">
        <v>99</v>
      </c>
      <c r="AM18">
        <f t="shared" si="0"/>
        <v>99</v>
      </c>
      <c r="AN18" t="s">
        <v>188</v>
      </c>
    </row>
    <row r="19" spans="1:43" x14ac:dyDescent="0.2">
      <c r="A19" t="s">
        <v>3425</v>
      </c>
      <c r="B19" t="s">
        <v>3426</v>
      </c>
      <c r="C19">
        <v>10</v>
      </c>
      <c r="D19">
        <v>1</v>
      </c>
      <c r="E19" t="s">
        <v>3404</v>
      </c>
      <c r="F19" s="1">
        <v>43577</v>
      </c>
      <c r="G19" s="1" t="s">
        <v>4027</v>
      </c>
      <c r="H19" s="1"/>
      <c r="I19" s="2">
        <v>6.805555555555555E-2</v>
      </c>
      <c r="J19" s="176">
        <v>1.1342592592592591E-3</v>
      </c>
      <c r="K19" s="6">
        <v>98</v>
      </c>
      <c r="L19" t="s">
        <v>101</v>
      </c>
      <c r="M19" t="s">
        <v>3405</v>
      </c>
      <c r="N19" t="s">
        <v>102</v>
      </c>
      <c r="O19" t="s">
        <v>115</v>
      </c>
      <c r="P19" t="s">
        <v>24</v>
      </c>
      <c r="Q19">
        <v>0</v>
      </c>
      <c r="R19">
        <v>0</v>
      </c>
      <c r="T19" s="5" t="s">
        <v>115</v>
      </c>
      <c r="U19" s="5" t="s">
        <v>115</v>
      </c>
      <c r="V19" s="5" t="s">
        <v>115</v>
      </c>
      <c r="W19" s="5"/>
      <c r="X19" s="5"/>
      <c r="Y19" s="5"/>
      <c r="Z19" s="5" t="s">
        <v>115</v>
      </c>
      <c r="AA19" s="5" t="s">
        <v>115</v>
      </c>
      <c r="AB19" s="5" t="s">
        <v>115</v>
      </c>
      <c r="AC19" s="5" t="s">
        <v>115</v>
      </c>
      <c r="AD19" s="5" t="s">
        <v>115</v>
      </c>
      <c r="AE19" s="5" t="s">
        <v>115</v>
      </c>
      <c r="AF19" s="5" t="s">
        <v>115</v>
      </c>
      <c r="AG19" s="5" t="s">
        <v>115</v>
      </c>
      <c r="AH19">
        <v>0</v>
      </c>
      <c r="AI19">
        <v>0</v>
      </c>
      <c r="AJ19">
        <v>0</v>
      </c>
      <c r="AK19">
        <v>0</v>
      </c>
      <c r="AL19">
        <v>98</v>
      </c>
      <c r="AM19">
        <f t="shared" si="0"/>
        <v>98</v>
      </c>
      <c r="AN19" t="s">
        <v>188</v>
      </c>
    </row>
    <row r="20" spans="1:43" x14ac:dyDescent="0.2">
      <c r="A20" t="s">
        <v>3545</v>
      </c>
      <c r="B20" t="s">
        <v>3546</v>
      </c>
      <c r="C20">
        <v>16</v>
      </c>
      <c r="D20">
        <v>1</v>
      </c>
      <c r="E20" t="s">
        <v>3171</v>
      </c>
      <c r="F20" s="1">
        <v>43580</v>
      </c>
      <c r="G20" s="1" t="s">
        <v>4027</v>
      </c>
      <c r="H20" s="1"/>
      <c r="I20" s="2">
        <v>6.6666666666666666E-2</v>
      </c>
      <c r="J20" s="176">
        <v>1.1111111111111111E-3</v>
      </c>
      <c r="K20" s="6">
        <v>96</v>
      </c>
      <c r="L20" t="s">
        <v>101</v>
      </c>
      <c r="M20" t="s">
        <v>149</v>
      </c>
      <c r="N20" t="s">
        <v>102</v>
      </c>
      <c r="O20" t="s">
        <v>115</v>
      </c>
      <c r="P20" t="s">
        <v>24</v>
      </c>
      <c r="Q20">
        <v>0</v>
      </c>
      <c r="R20">
        <v>0</v>
      </c>
      <c r="T20" s="5" t="s">
        <v>115</v>
      </c>
      <c r="U20" s="5" t="s">
        <v>115</v>
      </c>
      <c r="V20" s="5" t="s">
        <v>115</v>
      </c>
      <c r="W20" s="5"/>
      <c r="X20" s="5"/>
      <c r="Y20" s="5"/>
      <c r="Z20" s="5" t="s">
        <v>115</v>
      </c>
      <c r="AA20" s="5" t="s">
        <v>115</v>
      </c>
      <c r="AB20" s="5" t="s">
        <v>115</v>
      </c>
      <c r="AC20" s="5" t="s">
        <v>115</v>
      </c>
      <c r="AD20" s="5" t="s">
        <v>115</v>
      </c>
      <c r="AE20" s="5" t="s">
        <v>115</v>
      </c>
      <c r="AF20" s="5" t="s">
        <v>115</v>
      </c>
      <c r="AG20" s="5" t="s">
        <v>115</v>
      </c>
      <c r="AH20">
        <v>0</v>
      </c>
      <c r="AI20">
        <v>0</v>
      </c>
      <c r="AJ20">
        <v>0</v>
      </c>
      <c r="AK20">
        <v>0</v>
      </c>
      <c r="AL20">
        <v>96</v>
      </c>
      <c r="AM20">
        <f t="shared" si="0"/>
        <v>96</v>
      </c>
      <c r="AN20" t="s">
        <v>188</v>
      </c>
    </row>
    <row r="21" spans="1:43" x14ac:dyDescent="0.2">
      <c r="A21" t="s">
        <v>3523</v>
      </c>
      <c r="B21" t="s">
        <v>3524</v>
      </c>
      <c r="C21">
        <v>5</v>
      </c>
      <c r="D21">
        <v>1</v>
      </c>
      <c r="E21" t="s">
        <v>3171</v>
      </c>
      <c r="F21" s="1">
        <v>43580</v>
      </c>
      <c r="G21" s="1" t="s">
        <v>4027</v>
      </c>
      <c r="H21" s="1"/>
      <c r="I21" s="2">
        <v>6.6666666666666666E-2</v>
      </c>
      <c r="J21" s="176">
        <v>1.1111111111111111E-3</v>
      </c>
      <c r="K21" s="6">
        <v>96</v>
      </c>
      <c r="L21" t="s">
        <v>101</v>
      </c>
      <c r="M21" t="s">
        <v>149</v>
      </c>
      <c r="N21" t="s">
        <v>102</v>
      </c>
      <c r="O21" t="s">
        <v>115</v>
      </c>
      <c r="P21" t="s">
        <v>24</v>
      </c>
      <c r="Q21">
        <v>0</v>
      </c>
      <c r="R21">
        <v>0</v>
      </c>
      <c r="T21" s="5" t="s">
        <v>115</v>
      </c>
      <c r="U21" s="5" t="s">
        <v>115</v>
      </c>
      <c r="V21" s="5" t="s">
        <v>115</v>
      </c>
      <c r="W21" s="5"/>
      <c r="X21" s="5"/>
      <c r="Y21" s="5"/>
      <c r="Z21" s="5" t="s">
        <v>115</v>
      </c>
      <c r="AA21" s="5" t="s">
        <v>115</v>
      </c>
      <c r="AB21" s="5" t="s">
        <v>115</v>
      </c>
      <c r="AC21" s="5" t="s">
        <v>115</v>
      </c>
      <c r="AD21" s="5" t="s">
        <v>115</v>
      </c>
      <c r="AE21" s="5" t="s">
        <v>115</v>
      </c>
      <c r="AF21" s="5" t="s">
        <v>115</v>
      </c>
      <c r="AG21" s="5" t="s">
        <v>115</v>
      </c>
      <c r="AH21">
        <v>0</v>
      </c>
      <c r="AI21">
        <v>0</v>
      </c>
      <c r="AJ21">
        <v>0</v>
      </c>
      <c r="AK21">
        <v>0</v>
      </c>
      <c r="AL21">
        <v>96</v>
      </c>
      <c r="AM21">
        <f t="shared" si="0"/>
        <v>96</v>
      </c>
      <c r="AN21" t="s">
        <v>188</v>
      </c>
    </row>
    <row r="22" spans="1:43" x14ac:dyDescent="0.2">
      <c r="A22" t="s">
        <v>3214</v>
      </c>
      <c r="B22" t="s">
        <v>3215</v>
      </c>
      <c r="C22">
        <v>14</v>
      </c>
      <c r="D22">
        <v>1</v>
      </c>
      <c r="E22" t="s">
        <v>2487</v>
      </c>
      <c r="F22" s="1">
        <v>43572</v>
      </c>
      <c r="G22" s="1" t="s">
        <v>4027</v>
      </c>
      <c r="H22" s="1"/>
      <c r="I22" s="2">
        <v>6.5277777777777782E-2</v>
      </c>
      <c r="J22" s="176">
        <v>1.0879629629629629E-3</v>
      </c>
      <c r="K22" s="6">
        <v>94</v>
      </c>
      <c r="L22" t="s">
        <v>3187</v>
      </c>
      <c r="M22" t="s">
        <v>2488</v>
      </c>
      <c r="N22" t="s">
        <v>102</v>
      </c>
      <c r="O22" t="s">
        <v>23</v>
      </c>
      <c r="P22" t="s">
        <v>24</v>
      </c>
      <c r="Q22" t="s">
        <v>24</v>
      </c>
      <c r="R22">
        <v>0</v>
      </c>
      <c r="T22" s="5" t="s">
        <v>115</v>
      </c>
      <c r="U22" s="5" t="s">
        <v>115</v>
      </c>
      <c r="V22" s="5" t="s">
        <v>115</v>
      </c>
      <c r="W22" s="5"/>
      <c r="X22" s="5"/>
      <c r="Y22" s="5"/>
      <c r="Z22" s="5" t="s">
        <v>115</v>
      </c>
      <c r="AA22" s="5" t="s">
        <v>115</v>
      </c>
      <c r="AB22" s="5" t="s">
        <v>115</v>
      </c>
      <c r="AC22" s="5" t="s">
        <v>115</v>
      </c>
      <c r="AD22" s="5" t="s">
        <v>115</v>
      </c>
      <c r="AE22" s="5" t="s">
        <v>115</v>
      </c>
      <c r="AF22" s="5" t="s">
        <v>115</v>
      </c>
      <c r="AG22" s="5"/>
      <c r="AH22">
        <v>77</v>
      </c>
      <c r="AI22">
        <v>0</v>
      </c>
      <c r="AJ22">
        <v>77</v>
      </c>
      <c r="AK22">
        <v>0</v>
      </c>
      <c r="AL22">
        <v>17</v>
      </c>
      <c r="AM22">
        <f t="shared" si="0"/>
        <v>94</v>
      </c>
      <c r="AN22" t="s">
        <v>188</v>
      </c>
    </row>
    <row r="23" spans="1:43" x14ac:dyDescent="0.2">
      <c r="A23" t="s">
        <v>3783</v>
      </c>
      <c r="B23" t="s">
        <v>3784</v>
      </c>
      <c r="C23">
        <v>14</v>
      </c>
      <c r="D23">
        <v>2</v>
      </c>
      <c r="E23" t="s">
        <v>3171</v>
      </c>
      <c r="F23" s="1">
        <v>43588</v>
      </c>
      <c r="G23" s="1" t="s">
        <v>4028</v>
      </c>
      <c r="H23" s="1"/>
      <c r="I23" s="2">
        <v>7.1527777777777787E-2</v>
      </c>
      <c r="J23" s="176">
        <v>1.1921296296296296E-3</v>
      </c>
      <c r="K23" s="6">
        <v>103</v>
      </c>
      <c r="L23" t="s">
        <v>3187</v>
      </c>
      <c r="M23" t="s">
        <v>149</v>
      </c>
      <c r="N23" t="s">
        <v>102</v>
      </c>
      <c r="O23" t="s">
        <v>115</v>
      </c>
      <c r="P23">
        <v>1</v>
      </c>
      <c r="Q23">
        <v>0</v>
      </c>
      <c r="R23">
        <v>0</v>
      </c>
      <c r="S23" t="s">
        <v>176</v>
      </c>
      <c r="T23" s="5" t="s">
        <v>24</v>
      </c>
      <c r="U23" s="5" t="s">
        <v>122</v>
      </c>
      <c r="V23" s="5" t="s">
        <v>115</v>
      </c>
      <c r="W23" s="5"/>
      <c r="X23" s="5"/>
      <c r="Y23" s="5"/>
      <c r="Z23" s="5" t="s">
        <v>115</v>
      </c>
      <c r="AA23" s="5" t="s">
        <v>115</v>
      </c>
      <c r="AB23" s="5" t="s">
        <v>115</v>
      </c>
      <c r="AC23" s="5" t="s">
        <v>115</v>
      </c>
      <c r="AD23" s="5" t="s">
        <v>115</v>
      </c>
      <c r="AE23" s="5" t="s">
        <v>115</v>
      </c>
      <c r="AF23" s="5" t="s">
        <v>115</v>
      </c>
      <c r="AG23" s="5" t="s">
        <v>115</v>
      </c>
      <c r="AH23">
        <v>0</v>
      </c>
      <c r="AI23">
        <v>0</v>
      </c>
      <c r="AJ23">
        <v>0</v>
      </c>
      <c r="AK23">
        <v>0</v>
      </c>
      <c r="AL23">
        <v>92</v>
      </c>
      <c r="AM23">
        <f t="shared" si="0"/>
        <v>92</v>
      </c>
      <c r="AN23" t="s">
        <v>188</v>
      </c>
    </row>
    <row r="24" spans="1:43" x14ac:dyDescent="0.2">
      <c r="A24" t="s">
        <v>3563</v>
      </c>
      <c r="B24" t="s">
        <v>3564</v>
      </c>
      <c r="C24">
        <v>25</v>
      </c>
      <c r="D24">
        <v>1</v>
      </c>
      <c r="E24" t="s">
        <v>3171</v>
      </c>
      <c r="F24" s="1">
        <v>43580</v>
      </c>
      <c r="G24" s="1" t="s">
        <v>4027</v>
      </c>
      <c r="H24" s="1"/>
      <c r="I24" s="2">
        <v>6.3888888888888884E-2</v>
      </c>
      <c r="J24" s="176">
        <v>1.0648148148148147E-3</v>
      </c>
      <c r="K24" s="6">
        <v>92</v>
      </c>
      <c r="L24" t="s">
        <v>101</v>
      </c>
      <c r="M24" t="s">
        <v>149</v>
      </c>
      <c r="N24" t="s">
        <v>102</v>
      </c>
      <c r="O24" t="s">
        <v>115</v>
      </c>
      <c r="P24">
        <v>1</v>
      </c>
      <c r="Q24">
        <v>1</v>
      </c>
      <c r="R24">
        <v>0</v>
      </c>
      <c r="S24" t="s">
        <v>176</v>
      </c>
      <c r="T24" s="5" t="s">
        <v>3565</v>
      </c>
      <c r="U24" s="5" t="s">
        <v>487</v>
      </c>
      <c r="V24" s="5" t="s">
        <v>115</v>
      </c>
      <c r="W24" s="5"/>
      <c r="X24" s="5"/>
      <c r="Y24" s="5"/>
      <c r="Z24" s="5" t="s">
        <v>115</v>
      </c>
      <c r="AA24" s="5" t="s">
        <v>115</v>
      </c>
      <c r="AB24" s="5" t="s">
        <v>115</v>
      </c>
      <c r="AC24" s="5" t="s">
        <v>115</v>
      </c>
      <c r="AD24" s="5" t="s">
        <v>115</v>
      </c>
      <c r="AE24">
        <v>63.724789999999999</v>
      </c>
      <c r="AF24">
        <v>148.94768999999999</v>
      </c>
      <c r="AG24" s="5" t="s">
        <v>115</v>
      </c>
      <c r="AH24">
        <v>2</v>
      </c>
      <c r="AI24">
        <v>0</v>
      </c>
      <c r="AJ24">
        <v>0</v>
      </c>
      <c r="AK24">
        <v>2</v>
      </c>
      <c r="AL24">
        <v>88</v>
      </c>
      <c r="AM24">
        <f t="shared" si="0"/>
        <v>90</v>
      </c>
      <c r="AN24" t="s">
        <v>2374</v>
      </c>
      <c r="AP24">
        <v>1</v>
      </c>
      <c r="AQ24">
        <v>0</v>
      </c>
    </row>
    <row r="25" spans="1:43" x14ac:dyDescent="0.2">
      <c r="A25" t="s">
        <v>3529</v>
      </c>
      <c r="B25" t="s">
        <v>3530</v>
      </c>
      <c r="C25">
        <v>8</v>
      </c>
      <c r="D25">
        <v>1</v>
      </c>
      <c r="E25" t="s">
        <v>3171</v>
      </c>
      <c r="F25" s="1">
        <v>43580</v>
      </c>
      <c r="G25" s="1" t="s">
        <v>4027</v>
      </c>
      <c r="H25" s="1"/>
      <c r="I25" s="2">
        <v>6.1111111111111116E-2</v>
      </c>
      <c r="J25" s="176">
        <v>1.0185185185185186E-3</v>
      </c>
      <c r="K25" s="6">
        <v>88</v>
      </c>
      <c r="L25" t="s">
        <v>101</v>
      </c>
      <c r="M25" t="s">
        <v>149</v>
      </c>
      <c r="N25" t="s">
        <v>102</v>
      </c>
      <c r="O25" t="s">
        <v>115</v>
      </c>
      <c r="P25" t="s">
        <v>24</v>
      </c>
      <c r="Q25">
        <v>0</v>
      </c>
      <c r="R25">
        <v>0</v>
      </c>
      <c r="T25" s="5" t="s">
        <v>115</v>
      </c>
      <c r="U25" s="5" t="s">
        <v>115</v>
      </c>
      <c r="V25" s="5" t="s">
        <v>115</v>
      </c>
      <c r="W25" s="5"/>
      <c r="X25" s="5"/>
      <c r="Y25" s="5"/>
      <c r="Z25" s="5" t="s">
        <v>115</v>
      </c>
      <c r="AA25" s="5" t="s">
        <v>115</v>
      </c>
      <c r="AB25" s="5" t="s">
        <v>115</v>
      </c>
      <c r="AC25" s="5" t="s">
        <v>115</v>
      </c>
      <c r="AD25" s="5" t="s">
        <v>115</v>
      </c>
      <c r="AE25" s="5" t="s">
        <v>115</v>
      </c>
      <c r="AF25" s="5" t="s">
        <v>115</v>
      </c>
      <c r="AG25" s="5" t="s">
        <v>115</v>
      </c>
      <c r="AH25">
        <v>0</v>
      </c>
      <c r="AI25">
        <v>0</v>
      </c>
      <c r="AJ25">
        <v>0</v>
      </c>
      <c r="AK25">
        <v>0</v>
      </c>
      <c r="AL25">
        <v>88</v>
      </c>
      <c r="AM25">
        <f t="shared" si="0"/>
        <v>88</v>
      </c>
      <c r="AN25" t="s">
        <v>188</v>
      </c>
    </row>
    <row r="26" spans="1:43" x14ac:dyDescent="0.2">
      <c r="A26" t="s">
        <v>2905</v>
      </c>
      <c r="B26" t="s">
        <v>2906</v>
      </c>
      <c r="C26">
        <v>1</v>
      </c>
      <c r="D26">
        <v>1</v>
      </c>
      <c r="E26" t="s">
        <v>2601</v>
      </c>
      <c r="F26" s="1">
        <v>43558</v>
      </c>
      <c r="G26" s="1" t="s">
        <v>4027</v>
      </c>
      <c r="H26" s="1"/>
      <c r="I26" s="2">
        <v>9.7222222222222224E-2</v>
      </c>
      <c r="J26" s="176">
        <v>1.6203703703703703E-3</v>
      </c>
      <c r="K26" s="6">
        <v>140</v>
      </c>
      <c r="M26" t="s">
        <v>173</v>
      </c>
      <c r="N26" t="s">
        <v>102</v>
      </c>
      <c r="O26" t="s">
        <v>115</v>
      </c>
      <c r="P26">
        <v>2</v>
      </c>
      <c r="Q26">
        <v>0</v>
      </c>
      <c r="R26">
        <v>0</v>
      </c>
      <c r="S26" t="s">
        <v>176</v>
      </c>
      <c r="T26" s="5" t="s">
        <v>24</v>
      </c>
      <c r="U26" s="5" t="s">
        <v>122</v>
      </c>
      <c r="V26" s="5" t="s">
        <v>115</v>
      </c>
      <c r="W26" s="5"/>
      <c r="X26" s="5"/>
      <c r="Y26" s="5"/>
      <c r="Z26" s="5" t="s">
        <v>115</v>
      </c>
      <c r="AA26" s="5" t="s">
        <v>115</v>
      </c>
      <c r="AB26" s="5" t="s">
        <v>115</v>
      </c>
      <c r="AC26" s="5" t="s">
        <v>115</v>
      </c>
      <c r="AD26" s="5" t="s">
        <v>115</v>
      </c>
      <c r="AE26" s="5" t="s">
        <v>115</v>
      </c>
      <c r="AF26" s="5" t="s">
        <v>115</v>
      </c>
      <c r="AG26" s="5"/>
      <c r="AH26">
        <v>0</v>
      </c>
      <c r="AI26">
        <v>0</v>
      </c>
      <c r="AJ26">
        <v>0</v>
      </c>
      <c r="AK26">
        <v>0</v>
      </c>
      <c r="AL26">
        <v>87</v>
      </c>
      <c r="AM26">
        <f t="shared" si="0"/>
        <v>87</v>
      </c>
      <c r="AN26" t="s">
        <v>188</v>
      </c>
    </row>
    <row r="27" spans="1:43" x14ac:dyDescent="0.2">
      <c r="A27" t="s">
        <v>3335</v>
      </c>
      <c r="B27" t="s">
        <v>3336</v>
      </c>
      <c r="C27">
        <v>19</v>
      </c>
      <c r="D27">
        <v>1</v>
      </c>
      <c r="E27" t="s">
        <v>834</v>
      </c>
      <c r="F27" s="1">
        <v>43577</v>
      </c>
      <c r="G27" s="1" t="s">
        <v>4027</v>
      </c>
      <c r="H27" s="1"/>
      <c r="I27" s="2">
        <v>6.0416666666666667E-2</v>
      </c>
      <c r="J27" s="176">
        <v>1.0069444444444444E-3</v>
      </c>
      <c r="K27" s="6">
        <v>87</v>
      </c>
      <c r="L27" t="s">
        <v>101</v>
      </c>
      <c r="M27" t="s">
        <v>466</v>
      </c>
      <c r="N27" t="s">
        <v>102</v>
      </c>
      <c r="O27" t="s">
        <v>115</v>
      </c>
      <c r="P27">
        <v>1</v>
      </c>
      <c r="Q27">
        <v>0</v>
      </c>
      <c r="R27">
        <v>0</v>
      </c>
      <c r="S27" t="s">
        <v>176</v>
      </c>
      <c r="T27" s="5" t="s">
        <v>24</v>
      </c>
      <c r="U27" s="5" t="s">
        <v>122</v>
      </c>
      <c r="V27" s="5" t="s">
        <v>115</v>
      </c>
      <c r="W27" s="5"/>
      <c r="X27" s="5"/>
      <c r="Y27" s="5"/>
      <c r="Z27" s="5" t="s">
        <v>115</v>
      </c>
      <c r="AA27" s="5" t="s">
        <v>115</v>
      </c>
      <c r="AB27" s="5" t="s">
        <v>115</v>
      </c>
      <c r="AC27" s="5" t="s">
        <v>115</v>
      </c>
      <c r="AD27" s="5" t="s">
        <v>115</v>
      </c>
      <c r="AE27" s="5" t="s">
        <v>115</v>
      </c>
      <c r="AF27" s="5" t="s">
        <v>115</v>
      </c>
      <c r="AG27" s="5" t="s">
        <v>115</v>
      </c>
      <c r="AH27">
        <v>0</v>
      </c>
      <c r="AI27">
        <v>0</v>
      </c>
      <c r="AJ27">
        <v>0</v>
      </c>
      <c r="AK27">
        <v>0</v>
      </c>
      <c r="AL27">
        <v>87</v>
      </c>
      <c r="AM27">
        <f t="shared" si="0"/>
        <v>87</v>
      </c>
      <c r="AN27" t="s">
        <v>188</v>
      </c>
    </row>
    <row r="28" spans="1:43" x14ac:dyDescent="0.2">
      <c r="A28" t="s">
        <v>3533</v>
      </c>
      <c r="B28" t="s">
        <v>3534</v>
      </c>
      <c r="C28">
        <v>10</v>
      </c>
      <c r="D28">
        <v>1</v>
      </c>
      <c r="E28" t="s">
        <v>3171</v>
      </c>
      <c r="F28" s="1">
        <v>43580</v>
      </c>
      <c r="G28" s="1" t="s">
        <v>4027</v>
      </c>
      <c r="H28" s="1"/>
      <c r="I28" s="2">
        <v>6.0416666666666667E-2</v>
      </c>
      <c r="J28" s="176">
        <v>1.0069444444444444E-3</v>
      </c>
      <c r="K28" s="6">
        <v>87</v>
      </c>
      <c r="L28" t="s">
        <v>101</v>
      </c>
      <c r="M28" t="s">
        <v>149</v>
      </c>
      <c r="N28" t="s">
        <v>102</v>
      </c>
      <c r="O28" t="s">
        <v>115</v>
      </c>
      <c r="P28" t="s">
        <v>24</v>
      </c>
      <c r="Q28">
        <v>0</v>
      </c>
      <c r="R28">
        <v>0</v>
      </c>
      <c r="T28" s="5" t="s">
        <v>115</v>
      </c>
      <c r="U28" s="5" t="s">
        <v>115</v>
      </c>
      <c r="V28" s="5" t="s">
        <v>115</v>
      </c>
      <c r="W28" s="5"/>
      <c r="X28" s="5"/>
      <c r="Y28" s="5"/>
      <c r="Z28" s="5" t="s">
        <v>115</v>
      </c>
      <c r="AA28" s="5" t="s">
        <v>115</v>
      </c>
      <c r="AB28" s="5" t="s">
        <v>115</v>
      </c>
      <c r="AC28" s="5" t="s">
        <v>115</v>
      </c>
      <c r="AD28" s="5" t="s">
        <v>115</v>
      </c>
      <c r="AE28" s="5" t="s">
        <v>115</v>
      </c>
      <c r="AF28" s="5" t="s">
        <v>115</v>
      </c>
      <c r="AG28" s="5" t="s">
        <v>115</v>
      </c>
      <c r="AH28">
        <v>0</v>
      </c>
      <c r="AI28">
        <v>0</v>
      </c>
      <c r="AJ28">
        <v>0</v>
      </c>
      <c r="AK28">
        <v>0</v>
      </c>
      <c r="AL28">
        <v>87</v>
      </c>
      <c r="AM28">
        <f t="shared" si="0"/>
        <v>87</v>
      </c>
      <c r="AN28" t="s">
        <v>188</v>
      </c>
    </row>
    <row r="29" spans="1:43" x14ac:dyDescent="0.2">
      <c r="A29" t="s">
        <v>3652</v>
      </c>
      <c r="B29" t="s">
        <v>3651</v>
      </c>
      <c r="C29">
        <v>11</v>
      </c>
      <c r="D29">
        <v>1</v>
      </c>
      <c r="E29" t="s">
        <v>2487</v>
      </c>
      <c r="F29" s="1">
        <v>43585</v>
      </c>
      <c r="G29" s="1" t="s">
        <v>4027</v>
      </c>
      <c r="H29" s="1"/>
      <c r="I29" s="2">
        <v>6.7361111111111108E-2</v>
      </c>
      <c r="J29" s="176">
        <v>1.1226851851851851E-3</v>
      </c>
      <c r="K29" s="6">
        <v>97</v>
      </c>
      <c r="L29" t="s">
        <v>3626</v>
      </c>
      <c r="M29" t="s">
        <v>2498</v>
      </c>
      <c r="N29" t="s">
        <v>102</v>
      </c>
      <c r="O29" t="s">
        <v>115</v>
      </c>
      <c r="P29">
        <v>1</v>
      </c>
      <c r="Q29">
        <v>0</v>
      </c>
      <c r="R29">
        <v>1</v>
      </c>
      <c r="S29" t="s">
        <v>14</v>
      </c>
      <c r="T29" s="5" t="s">
        <v>3279</v>
      </c>
      <c r="U29" s="5" t="s">
        <v>122</v>
      </c>
      <c r="V29" s="5" t="s">
        <v>2088</v>
      </c>
      <c r="W29" s="5" t="s">
        <v>23</v>
      </c>
      <c r="X29" s="5" t="s">
        <v>3997</v>
      </c>
      <c r="Y29" s="5" t="s">
        <v>4021</v>
      </c>
      <c r="Z29" s="5" t="s">
        <v>3653</v>
      </c>
      <c r="AA29">
        <v>220</v>
      </c>
      <c r="AB29" s="32">
        <v>10.9</v>
      </c>
      <c r="AC29">
        <v>63.719990000000003</v>
      </c>
      <c r="AD29">
        <v>148.98865000000001</v>
      </c>
      <c r="AE29" t="s">
        <v>115</v>
      </c>
      <c r="AF29" t="s">
        <v>115</v>
      </c>
      <c r="AG29" s="5" t="s">
        <v>115</v>
      </c>
      <c r="AH29">
        <v>0</v>
      </c>
      <c r="AI29">
        <v>0</v>
      </c>
      <c r="AJ29">
        <v>0</v>
      </c>
      <c r="AK29">
        <v>0</v>
      </c>
      <c r="AL29">
        <v>85</v>
      </c>
      <c r="AM29">
        <f t="shared" si="0"/>
        <v>85</v>
      </c>
      <c r="AN29" t="s">
        <v>188</v>
      </c>
    </row>
    <row r="30" spans="1:43" x14ac:dyDescent="0.2">
      <c r="A30" t="s">
        <v>2984</v>
      </c>
      <c r="B30" t="s">
        <v>2985</v>
      </c>
      <c r="C30">
        <v>27</v>
      </c>
      <c r="D30">
        <v>2</v>
      </c>
      <c r="E30" t="s">
        <v>834</v>
      </c>
      <c r="F30" s="1">
        <v>43560</v>
      </c>
      <c r="G30" s="1" t="s">
        <v>4027</v>
      </c>
      <c r="H30" s="1"/>
      <c r="I30" s="2">
        <v>6.805555555555555E-2</v>
      </c>
      <c r="J30" s="176">
        <v>1.1342592592592591E-3</v>
      </c>
      <c r="K30" s="6">
        <v>98</v>
      </c>
      <c r="M30" t="s">
        <v>466</v>
      </c>
      <c r="N30" t="s">
        <v>102</v>
      </c>
      <c r="O30" t="s">
        <v>23</v>
      </c>
      <c r="P30" t="s">
        <v>24</v>
      </c>
      <c r="Q30">
        <v>0</v>
      </c>
      <c r="R30">
        <v>0</v>
      </c>
      <c r="T30" s="5" t="s">
        <v>115</v>
      </c>
      <c r="U30" s="5" t="s">
        <v>115</v>
      </c>
      <c r="V30" s="5" t="s">
        <v>115</v>
      </c>
      <c r="W30" s="5"/>
      <c r="X30" s="5"/>
      <c r="Y30" s="5"/>
      <c r="Z30" s="5" t="s">
        <v>115</v>
      </c>
      <c r="AA30" s="5" t="s">
        <v>115</v>
      </c>
      <c r="AB30" s="5" t="s">
        <v>115</v>
      </c>
      <c r="AC30" s="5" t="s">
        <v>115</v>
      </c>
      <c r="AD30" s="5" t="s">
        <v>115</v>
      </c>
      <c r="AE30" s="5" t="s">
        <v>115</v>
      </c>
      <c r="AF30" s="5" t="s">
        <v>115</v>
      </c>
      <c r="AG30" s="5"/>
      <c r="AH30">
        <v>0</v>
      </c>
      <c r="AI30">
        <v>0</v>
      </c>
      <c r="AJ30">
        <v>0</v>
      </c>
      <c r="AK30">
        <v>0</v>
      </c>
      <c r="AL30">
        <v>85</v>
      </c>
      <c r="AM30">
        <f t="shared" si="0"/>
        <v>85</v>
      </c>
      <c r="AN30" t="s">
        <v>188</v>
      </c>
    </row>
    <row r="31" spans="1:43" x14ac:dyDescent="0.2">
      <c r="A31" t="s">
        <v>2635</v>
      </c>
      <c r="B31" t="s">
        <v>2636</v>
      </c>
      <c r="C31">
        <v>5</v>
      </c>
      <c r="D31">
        <v>2</v>
      </c>
      <c r="E31" t="s">
        <v>2487</v>
      </c>
      <c r="F31" s="1">
        <v>43551</v>
      </c>
      <c r="G31" s="1" t="s">
        <v>4026</v>
      </c>
      <c r="H31" s="1"/>
      <c r="I31" s="2">
        <v>6.805555555555555E-2</v>
      </c>
      <c r="J31" s="176">
        <v>1.1342592592592591E-3</v>
      </c>
      <c r="K31" s="6">
        <v>98</v>
      </c>
      <c r="L31" s="5" t="s">
        <v>398</v>
      </c>
      <c r="M31" t="s">
        <v>2488</v>
      </c>
      <c r="N31" t="s">
        <v>102</v>
      </c>
      <c r="O31" t="s">
        <v>115</v>
      </c>
      <c r="P31">
        <v>3</v>
      </c>
      <c r="Q31">
        <v>0</v>
      </c>
      <c r="R31">
        <v>0</v>
      </c>
      <c r="S31" t="s">
        <v>176</v>
      </c>
      <c r="T31" t="s">
        <v>24</v>
      </c>
      <c r="U31" t="s">
        <v>122</v>
      </c>
      <c r="V31" t="s">
        <v>115</v>
      </c>
      <c r="Z31" t="s">
        <v>115</v>
      </c>
      <c r="AA31" t="s">
        <v>115</v>
      </c>
      <c r="AB31" t="s">
        <v>115</v>
      </c>
      <c r="AC31" t="s">
        <v>115</v>
      </c>
      <c r="AD31" t="s">
        <v>115</v>
      </c>
      <c r="AE31" t="s">
        <v>115</v>
      </c>
      <c r="AF31" t="s">
        <v>115</v>
      </c>
      <c r="AH31">
        <v>0</v>
      </c>
      <c r="AI31">
        <v>0</v>
      </c>
      <c r="AJ31">
        <v>0</v>
      </c>
      <c r="AK31">
        <v>0</v>
      </c>
      <c r="AL31">
        <v>84</v>
      </c>
      <c r="AM31">
        <f t="shared" si="0"/>
        <v>84</v>
      </c>
      <c r="AN31" t="s">
        <v>188</v>
      </c>
    </row>
    <row r="32" spans="1:43" x14ac:dyDescent="0.2">
      <c r="A32" t="s">
        <v>3574</v>
      </c>
      <c r="B32" t="s">
        <v>3575</v>
      </c>
      <c r="C32">
        <v>30</v>
      </c>
      <c r="D32">
        <v>1</v>
      </c>
      <c r="E32" t="s">
        <v>3171</v>
      </c>
      <c r="F32" s="1">
        <v>43580</v>
      </c>
      <c r="G32" s="1" t="s">
        <v>4027</v>
      </c>
      <c r="H32" s="1"/>
      <c r="I32" s="2">
        <v>5.8333333333333327E-2</v>
      </c>
      <c r="J32" s="176">
        <v>9.7222222222222209E-4</v>
      </c>
      <c r="K32" s="6">
        <v>84</v>
      </c>
      <c r="L32" t="s">
        <v>101</v>
      </c>
      <c r="M32" t="s">
        <v>149</v>
      </c>
      <c r="N32" t="s">
        <v>102</v>
      </c>
      <c r="O32" t="s">
        <v>115</v>
      </c>
      <c r="P32" t="s">
        <v>24</v>
      </c>
      <c r="Q32">
        <v>0</v>
      </c>
      <c r="R32">
        <v>0</v>
      </c>
      <c r="T32" s="5" t="s">
        <v>115</v>
      </c>
      <c r="U32" s="5" t="s">
        <v>115</v>
      </c>
      <c r="V32" s="5" t="s">
        <v>115</v>
      </c>
      <c r="W32" s="5"/>
      <c r="X32" s="5"/>
      <c r="Y32" s="5"/>
      <c r="Z32" s="5" t="s">
        <v>115</v>
      </c>
      <c r="AA32" s="5" t="s">
        <v>115</v>
      </c>
      <c r="AB32" s="5" t="s">
        <v>115</v>
      </c>
      <c r="AC32" s="5" t="s">
        <v>115</v>
      </c>
      <c r="AD32" s="5" t="s">
        <v>115</v>
      </c>
      <c r="AE32" s="5" t="s">
        <v>115</v>
      </c>
      <c r="AF32" s="5" t="s">
        <v>115</v>
      </c>
      <c r="AG32" s="5" t="s">
        <v>115</v>
      </c>
      <c r="AH32">
        <v>0</v>
      </c>
      <c r="AI32">
        <v>0</v>
      </c>
      <c r="AJ32">
        <v>0</v>
      </c>
      <c r="AK32">
        <v>0</v>
      </c>
      <c r="AL32">
        <v>84</v>
      </c>
      <c r="AM32">
        <f t="shared" si="0"/>
        <v>84</v>
      </c>
      <c r="AN32" t="s">
        <v>188</v>
      </c>
    </row>
    <row r="33" spans="1:43" x14ac:dyDescent="0.2">
      <c r="A33" t="s">
        <v>3608</v>
      </c>
      <c r="B33" t="s">
        <v>3606</v>
      </c>
      <c r="C33">
        <v>4</v>
      </c>
      <c r="D33">
        <v>2</v>
      </c>
      <c r="E33" t="s">
        <v>791</v>
      </c>
      <c r="F33" s="1">
        <v>43581</v>
      </c>
      <c r="G33" s="1" t="s">
        <v>4027</v>
      </c>
      <c r="H33" s="1"/>
      <c r="I33" s="2">
        <v>0.25069444444444444</v>
      </c>
      <c r="J33" s="176">
        <v>4.1782407407407402E-3</v>
      </c>
      <c r="K33" s="6">
        <v>361</v>
      </c>
      <c r="M33" t="s">
        <v>924</v>
      </c>
      <c r="N33" t="s">
        <v>102</v>
      </c>
      <c r="O33" t="s">
        <v>115</v>
      </c>
      <c r="P33">
        <v>1</v>
      </c>
      <c r="Q33">
        <v>0</v>
      </c>
      <c r="R33">
        <v>0</v>
      </c>
      <c r="S33" t="s">
        <v>176</v>
      </c>
      <c r="T33" s="5" t="s">
        <v>24</v>
      </c>
      <c r="U33" s="5" t="s">
        <v>122</v>
      </c>
      <c r="V33" s="5" t="s">
        <v>115</v>
      </c>
      <c r="W33" s="5"/>
      <c r="X33" s="5"/>
      <c r="Y33" s="5"/>
      <c r="Z33" s="5" t="s">
        <v>115</v>
      </c>
      <c r="AA33" s="5" t="s">
        <v>115</v>
      </c>
      <c r="AB33" s="5" t="s">
        <v>115</v>
      </c>
      <c r="AC33" s="5" t="s">
        <v>115</v>
      </c>
      <c r="AD33" s="5" t="s">
        <v>115</v>
      </c>
      <c r="AE33" s="5" t="s">
        <v>115</v>
      </c>
      <c r="AF33" s="5" t="s">
        <v>115</v>
      </c>
      <c r="AG33" s="5" t="s">
        <v>115</v>
      </c>
      <c r="AH33">
        <v>0</v>
      </c>
      <c r="AI33">
        <v>0</v>
      </c>
      <c r="AJ33">
        <v>0</v>
      </c>
      <c r="AK33">
        <v>0</v>
      </c>
      <c r="AL33">
        <v>82</v>
      </c>
      <c r="AM33">
        <f t="shared" si="0"/>
        <v>82</v>
      </c>
    </row>
    <row r="34" spans="1:43" x14ac:dyDescent="0.2">
      <c r="A34" t="s">
        <v>3937</v>
      </c>
      <c r="B34" t="s">
        <v>3938</v>
      </c>
      <c r="C34">
        <v>6</v>
      </c>
      <c r="D34">
        <v>1</v>
      </c>
      <c r="E34" t="s">
        <v>324</v>
      </c>
      <c r="F34" s="1">
        <v>43593</v>
      </c>
      <c r="G34" s="1" t="s">
        <v>4028</v>
      </c>
      <c r="H34" s="1"/>
      <c r="I34" s="2">
        <v>5.6944444444444443E-2</v>
      </c>
      <c r="J34" s="176">
        <v>9.4907407407407408E-4</v>
      </c>
      <c r="K34" s="6">
        <v>82</v>
      </c>
      <c r="L34" t="s">
        <v>3929</v>
      </c>
      <c r="M34" t="s">
        <v>325</v>
      </c>
      <c r="N34" t="s">
        <v>102</v>
      </c>
      <c r="O34" t="s">
        <v>115</v>
      </c>
      <c r="P34">
        <v>1</v>
      </c>
      <c r="Q34" t="s">
        <v>24</v>
      </c>
      <c r="R34">
        <v>0</v>
      </c>
      <c r="S34" t="s">
        <v>176</v>
      </c>
      <c r="T34" s="5" t="s">
        <v>24</v>
      </c>
      <c r="U34" s="5" t="s">
        <v>3939</v>
      </c>
      <c r="V34" s="5" t="s">
        <v>115</v>
      </c>
      <c r="W34" s="5"/>
      <c r="X34" s="5"/>
      <c r="Y34" s="5"/>
      <c r="Z34" s="5" t="s">
        <v>115</v>
      </c>
      <c r="AA34" s="5" t="s">
        <v>115</v>
      </c>
      <c r="AB34" s="5" t="s">
        <v>115</v>
      </c>
      <c r="AC34" s="5" t="s">
        <v>115</v>
      </c>
      <c r="AD34" s="5" t="s">
        <v>115</v>
      </c>
      <c r="AE34" s="5" t="s">
        <v>115</v>
      </c>
      <c r="AF34" s="5" t="s">
        <v>115</v>
      </c>
      <c r="AG34" s="5" t="s">
        <v>115</v>
      </c>
      <c r="AH34">
        <v>72</v>
      </c>
      <c r="AI34">
        <v>0</v>
      </c>
      <c r="AJ34">
        <v>48</v>
      </c>
      <c r="AK34">
        <v>24</v>
      </c>
      <c r="AL34">
        <v>10</v>
      </c>
      <c r="AM34">
        <f t="shared" si="0"/>
        <v>82</v>
      </c>
      <c r="AN34" t="s">
        <v>2374</v>
      </c>
    </row>
    <row r="35" spans="1:43" x14ac:dyDescent="0.2">
      <c r="A35" t="s">
        <v>2962</v>
      </c>
      <c r="B35" t="s">
        <v>2963</v>
      </c>
      <c r="C35">
        <v>16</v>
      </c>
      <c r="D35">
        <v>1</v>
      </c>
      <c r="E35" t="s">
        <v>834</v>
      </c>
      <c r="F35" s="1">
        <v>43560</v>
      </c>
      <c r="G35" s="1" t="s">
        <v>4027</v>
      </c>
      <c r="H35" s="1"/>
      <c r="I35" s="2">
        <v>8.7500000000000008E-2</v>
      </c>
      <c r="J35" s="176">
        <v>1.4583333333333334E-3</v>
      </c>
      <c r="K35" s="6">
        <v>126</v>
      </c>
      <c r="M35" t="s">
        <v>466</v>
      </c>
      <c r="N35" t="s">
        <v>111</v>
      </c>
      <c r="O35" t="s">
        <v>23</v>
      </c>
      <c r="P35">
        <v>0</v>
      </c>
      <c r="Q35">
        <v>0</v>
      </c>
      <c r="R35">
        <v>1</v>
      </c>
      <c r="S35" t="s">
        <v>598</v>
      </c>
      <c r="T35" s="5" t="s">
        <v>2801</v>
      </c>
      <c r="U35" s="5" t="s">
        <v>115</v>
      </c>
      <c r="V35" s="5" t="s">
        <v>2088</v>
      </c>
      <c r="W35" s="5" t="s">
        <v>23</v>
      </c>
      <c r="X35" s="5" t="s">
        <v>3997</v>
      </c>
      <c r="Y35" s="5" t="s">
        <v>4021</v>
      </c>
      <c r="AA35">
        <v>60</v>
      </c>
      <c r="AB35">
        <v>15</v>
      </c>
      <c r="AC35">
        <v>63.738950000000003</v>
      </c>
      <c r="AD35">
        <v>148.89493999999999</v>
      </c>
      <c r="AE35" s="5" t="s">
        <v>115</v>
      </c>
      <c r="AF35" s="5" t="s">
        <v>115</v>
      </c>
      <c r="AG35" s="5"/>
      <c r="AH35">
        <v>0</v>
      </c>
      <c r="AI35">
        <v>0</v>
      </c>
      <c r="AJ35">
        <v>0</v>
      </c>
      <c r="AK35">
        <v>0</v>
      </c>
      <c r="AL35">
        <v>81</v>
      </c>
      <c r="AM35">
        <f t="shared" si="0"/>
        <v>81</v>
      </c>
      <c r="AN35" t="s">
        <v>188</v>
      </c>
    </row>
    <row r="36" spans="1:43" x14ac:dyDescent="0.2">
      <c r="A36" t="s">
        <v>3346</v>
      </c>
      <c r="B36" t="s">
        <v>3347</v>
      </c>
      <c r="C36">
        <v>24</v>
      </c>
      <c r="D36">
        <v>1</v>
      </c>
      <c r="E36" t="s">
        <v>834</v>
      </c>
      <c r="F36" s="1">
        <v>43577</v>
      </c>
      <c r="G36" s="1" t="s">
        <v>4027</v>
      </c>
      <c r="H36" s="1"/>
      <c r="I36" s="2">
        <v>5.6250000000000001E-2</v>
      </c>
      <c r="J36" s="176">
        <v>9.3750000000000007E-4</v>
      </c>
      <c r="K36" s="6">
        <v>81</v>
      </c>
      <c r="L36" t="s">
        <v>101</v>
      </c>
      <c r="M36" t="s">
        <v>466</v>
      </c>
      <c r="N36" t="s">
        <v>102</v>
      </c>
      <c r="O36" t="s">
        <v>115</v>
      </c>
      <c r="P36" t="s">
        <v>24</v>
      </c>
      <c r="Q36">
        <v>0</v>
      </c>
      <c r="R36">
        <v>0</v>
      </c>
      <c r="T36" s="5" t="s">
        <v>115</v>
      </c>
      <c r="U36" s="5" t="s">
        <v>115</v>
      </c>
      <c r="V36" s="5" t="s">
        <v>115</v>
      </c>
      <c r="W36" s="5"/>
      <c r="X36" s="5"/>
      <c r="Y36" s="5"/>
      <c r="Z36" s="5" t="s">
        <v>115</v>
      </c>
      <c r="AA36" s="5" t="s">
        <v>115</v>
      </c>
      <c r="AB36" s="5" t="s">
        <v>115</v>
      </c>
      <c r="AC36" s="5" t="s">
        <v>115</v>
      </c>
      <c r="AD36" s="5" t="s">
        <v>115</v>
      </c>
      <c r="AE36" s="5" t="s">
        <v>115</v>
      </c>
      <c r="AF36" s="5" t="s">
        <v>115</v>
      </c>
      <c r="AG36" s="5" t="s">
        <v>115</v>
      </c>
      <c r="AH36">
        <v>0</v>
      </c>
      <c r="AI36">
        <v>0</v>
      </c>
      <c r="AJ36">
        <v>0</v>
      </c>
      <c r="AK36">
        <v>0</v>
      </c>
      <c r="AL36">
        <v>81</v>
      </c>
      <c r="AM36">
        <f t="shared" si="0"/>
        <v>81</v>
      </c>
      <c r="AN36" t="s">
        <v>188</v>
      </c>
    </row>
    <row r="37" spans="1:43" x14ac:dyDescent="0.2">
      <c r="A37" t="s">
        <v>3549</v>
      </c>
      <c r="B37" t="s">
        <v>3550</v>
      </c>
      <c r="C37">
        <v>18</v>
      </c>
      <c r="D37">
        <v>1</v>
      </c>
      <c r="E37" t="s">
        <v>3171</v>
      </c>
      <c r="F37" s="1">
        <v>43580</v>
      </c>
      <c r="G37" s="1" t="s">
        <v>4027</v>
      </c>
      <c r="H37" s="1"/>
      <c r="I37" s="2">
        <v>7.7777777777777779E-2</v>
      </c>
      <c r="J37" s="176">
        <v>1.2962962962962963E-3</v>
      </c>
      <c r="K37" s="6">
        <v>112</v>
      </c>
      <c r="L37" t="s">
        <v>101</v>
      </c>
      <c r="M37" t="s">
        <v>149</v>
      </c>
      <c r="N37" t="s">
        <v>102</v>
      </c>
      <c r="O37" t="s">
        <v>115</v>
      </c>
      <c r="P37" t="s">
        <v>24</v>
      </c>
      <c r="Q37">
        <v>0</v>
      </c>
      <c r="R37">
        <v>0</v>
      </c>
      <c r="T37" s="5" t="s">
        <v>115</v>
      </c>
      <c r="U37" s="5" t="s">
        <v>115</v>
      </c>
      <c r="V37" s="5" t="s">
        <v>115</v>
      </c>
      <c r="W37" s="5"/>
      <c r="X37" s="5"/>
      <c r="Y37" s="5"/>
      <c r="Z37" s="5" t="s">
        <v>115</v>
      </c>
      <c r="AA37" s="5" t="s">
        <v>115</v>
      </c>
      <c r="AB37" s="5" t="s">
        <v>115</v>
      </c>
      <c r="AC37" s="5" t="s">
        <v>115</v>
      </c>
      <c r="AD37" s="5" t="s">
        <v>115</v>
      </c>
      <c r="AE37" s="5" t="s">
        <v>115</v>
      </c>
      <c r="AF37" s="5" t="s">
        <v>115</v>
      </c>
      <c r="AG37" s="5" t="s">
        <v>115</v>
      </c>
      <c r="AH37">
        <v>0</v>
      </c>
      <c r="AI37">
        <v>0</v>
      </c>
      <c r="AJ37">
        <v>0</v>
      </c>
      <c r="AK37">
        <v>0</v>
      </c>
      <c r="AL37">
        <v>80</v>
      </c>
      <c r="AM37">
        <f t="shared" si="0"/>
        <v>80</v>
      </c>
      <c r="AN37" t="s">
        <v>188</v>
      </c>
    </row>
    <row r="38" spans="1:43" x14ac:dyDescent="0.2">
      <c r="A38" t="s">
        <v>3005</v>
      </c>
      <c r="B38" t="s">
        <v>3006</v>
      </c>
      <c r="C38">
        <v>3</v>
      </c>
      <c r="D38">
        <v>1</v>
      </c>
      <c r="E38" t="s">
        <v>324</v>
      </c>
      <c r="F38" s="1">
        <v>43564</v>
      </c>
      <c r="G38" s="1" t="s">
        <v>4027</v>
      </c>
      <c r="H38" s="1"/>
      <c r="I38" s="2">
        <v>5.486111111111111E-2</v>
      </c>
      <c r="J38" s="176">
        <v>9.1435185185185185E-4</v>
      </c>
      <c r="K38" s="6">
        <v>79</v>
      </c>
      <c r="M38" t="s">
        <v>325</v>
      </c>
      <c r="N38" t="s">
        <v>102</v>
      </c>
      <c r="O38" t="s">
        <v>115</v>
      </c>
      <c r="P38" t="s">
        <v>24</v>
      </c>
      <c r="Q38">
        <v>0</v>
      </c>
      <c r="R38">
        <v>0</v>
      </c>
      <c r="T38" s="5" t="s">
        <v>115</v>
      </c>
      <c r="U38" s="5" t="s">
        <v>115</v>
      </c>
      <c r="V38" s="5" t="s">
        <v>115</v>
      </c>
      <c r="W38" s="5"/>
      <c r="X38" s="5"/>
      <c r="Y38" s="5"/>
      <c r="Z38" s="5" t="s">
        <v>115</v>
      </c>
      <c r="AA38" s="5" t="s">
        <v>115</v>
      </c>
      <c r="AB38" s="5" t="s">
        <v>115</v>
      </c>
      <c r="AC38" s="5" t="s">
        <v>115</v>
      </c>
      <c r="AD38" s="5" t="s">
        <v>115</v>
      </c>
      <c r="AE38" s="5" t="s">
        <v>115</v>
      </c>
      <c r="AF38" s="5" t="s">
        <v>115</v>
      </c>
      <c r="AG38" s="5"/>
      <c r="AH38">
        <v>0</v>
      </c>
      <c r="AI38">
        <v>0</v>
      </c>
      <c r="AJ38">
        <v>0</v>
      </c>
      <c r="AK38">
        <v>0</v>
      </c>
      <c r="AL38">
        <v>79</v>
      </c>
      <c r="AM38">
        <f t="shared" si="0"/>
        <v>79</v>
      </c>
      <c r="AN38" t="s">
        <v>188</v>
      </c>
    </row>
    <row r="39" spans="1:43" x14ac:dyDescent="0.2">
      <c r="A39" t="s">
        <v>2616</v>
      </c>
      <c r="B39" t="s">
        <v>2617</v>
      </c>
      <c r="C39">
        <v>5</v>
      </c>
      <c r="D39">
        <v>2</v>
      </c>
      <c r="E39" t="s">
        <v>2601</v>
      </c>
      <c r="F39" s="1">
        <v>43551</v>
      </c>
      <c r="G39" s="1" t="s">
        <v>4026</v>
      </c>
      <c r="H39" s="1"/>
      <c r="I39" s="2">
        <v>6.5277777777777782E-2</v>
      </c>
      <c r="J39" s="176">
        <v>1.0879629629629629E-3</v>
      </c>
      <c r="K39" s="6">
        <v>94</v>
      </c>
      <c r="L39" s="5" t="s">
        <v>398</v>
      </c>
      <c r="M39" t="s">
        <v>173</v>
      </c>
      <c r="N39" t="s">
        <v>102</v>
      </c>
      <c r="O39" t="s">
        <v>23</v>
      </c>
      <c r="P39">
        <v>2</v>
      </c>
      <c r="Q39">
        <v>1</v>
      </c>
      <c r="R39">
        <v>0</v>
      </c>
      <c r="S39" t="s">
        <v>14</v>
      </c>
      <c r="T39" t="s">
        <v>14</v>
      </c>
      <c r="U39" t="s">
        <v>122</v>
      </c>
      <c r="V39" t="s">
        <v>115</v>
      </c>
      <c r="Z39" t="s">
        <v>115</v>
      </c>
      <c r="AA39" t="s">
        <v>115</v>
      </c>
      <c r="AB39" t="s">
        <v>115</v>
      </c>
      <c r="AC39" t="s">
        <v>115</v>
      </c>
      <c r="AD39" t="s">
        <v>115</v>
      </c>
      <c r="AE39" t="s">
        <v>115</v>
      </c>
      <c r="AF39" t="s">
        <v>115</v>
      </c>
      <c r="AH39">
        <v>0</v>
      </c>
      <c r="AI39">
        <v>0</v>
      </c>
      <c r="AJ39">
        <v>0</v>
      </c>
      <c r="AK39">
        <v>0</v>
      </c>
      <c r="AL39">
        <v>78</v>
      </c>
      <c r="AM39">
        <f t="shared" si="0"/>
        <v>78</v>
      </c>
      <c r="AN39" t="s">
        <v>188</v>
      </c>
      <c r="AO39" t="s">
        <v>2618</v>
      </c>
    </row>
    <row r="40" spans="1:43" x14ac:dyDescent="0.2">
      <c r="A40" t="s">
        <v>3061</v>
      </c>
      <c r="B40" t="s">
        <v>3062</v>
      </c>
      <c r="C40">
        <v>5</v>
      </c>
      <c r="D40">
        <v>1</v>
      </c>
      <c r="E40" t="s">
        <v>176</v>
      </c>
      <c r="F40" s="1">
        <v>43566</v>
      </c>
      <c r="G40" s="1" t="s">
        <v>4027</v>
      </c>
      <c r="H40" s="1"/>
      <c r="I40" s="2">
        <v>7.1527777777777787E-2</v>
      </c>
      <c r="J40" s="176">
        <v>1.1921296296296296E-3</v>
      </c>
      <c r="K40" s="6">
        <v>103</v>
      </c>
      <c r="M40" t="s">
        <v>3051</v>
      </c>
      <c r="N40" t="s">
        <v>102</v>
      </c>
      <c r="O40" t="s">
        <v>23</v>
      </c>
      <c r="P40">
        <v>2</v>
      </c>
      <c r="Q40" t="s">
        <v>176</v>
      </c>
      <c r="R40">
        <v>0</v>
      </c>
      <c r="S40" t="s">
        <v>176</v>
      </c>
      <c r="T40" s="5" t="s">
        <v>24</v>
      </c>
      <c r="U40" s="5" t="s">
        <v>939</v>
      </c>
      <c r="V40" s="5" t="s">
        <v>115</v>
      </c>
      <c r="W40" s="5"/>
      <c r="X40" s="5"/>
      <c r="Y40" s="5"/>
      <c r="Z40" s="5" t="s">
        <v>115</v>
      </c>
      <c r="AA40" s="5" t="s">
        <v>115</v>
      </c>
      <c r="AB40" s="5" t="s">
        <v>115</v>
      </c>
      <c r="AC40" s="5" t="s">
        <v>115</v>
      </c>
      <c r="AD40" s="5" t="s">
        <v>115</v>
      </c>
      <c r="AE40" s="5" t="s">
        <v>115</v>
      </c>
      <c r="AF40" s="5" t="s">
        <v>115</v>
      </c>
      <c r="AG40" s="5"/>
      <c r="AH40">
        <v>78</v>
      </c>
      <c r="AI40">
        <v>0</v>
      </c>
      <c r="AJ40">
        <v>78</v>
      </c>
      <c r="AK40">
        <v>0</v>
      </c>
      <c r="AL40">
        <v>0</v>
      </c>
      <c r="AM40">
        <f t="shared" si="0"/>
        <v>78</v>
      </c>
      <c r="AN40" t="s">
        <v>188</v>
      </c>
    </row>
    <row r="41" spans="1:43" x14ac:dyDescent="0.2">
      <c r="A41" t="s">
        <v>3473</v>
      </c>
      <c r="B41" t="s">
        <v>3474</v>
      </c>
      <c r="C41">
        <v>10</v>
      </c>
      <c r="D41">
        <v>1</v>
      </c>
      <c r="E41" t="s">
        <v>2462</v>
      </c>
      <c r="F41" s="1">
        <v>43579</v>
      </c>
      <c r="G41" s="1" t="s">
        <v>4027</v>
      </c>
      <c r="H41" s="1"/>
      <c r="I41" s="2">
        <v>6.3194444444444442E-2</v>
      </c>
      <c r="J41" s="176">
        <v>1.0532407407407407E-3</v>
      </c>
      <c r="K41" s="6">
        <v>91</v>
      </c>
      <c r="L41" t="s">
        <v>101</v>
      </c>
      <c r="M41" t="s">
        <v>363</v>
      </c>
      <c r="N41" t="s">
        <v>102</v>
      </c>
      <c r="O41" t="s">
        <v>115</v>
      </c>
      <c r="P41">
        <v>3</v>
      </c>
      <c r="Q41">
        <v>0</v>
      </c>
      <c r="R41">
        <v>0</v>
      </c>
      <c r="S41" t="s">
        <v>176</v>
      </c>
      <c r="T41" s="5" t="s">
        <v>24</v>
      </c>
      <c r="U41" s="5" t="s">
        <v>122</v>
      </c>
      <c r="V41" s="5" t="s">
        <v>115</v>
      </c>
      <c r="W41" s="5"/>
      <c r="X41" s="5"/>
      <c r="Y41" s="5"/>
      <c r="Z41" s="5" t="s">
        <v>115</v>
      </c>
      <c r="AA41" s="5" t="s">
        <v>115</v>
      </c>
      <c r="AB41" s="5" t="s">
        <v>115</v>
      </c>
      <c r="AC41" s="5" t="s">
        <v>115</v>
      </c>
      <c r="AD41" s="5" t="s">
        <v>115</v>
      </c>
      <c r="AE41" s="5" t="s">
        <v>115</v>
      </c>
      <c r="AF41" s="5" t="s">
        <v>115</v>
      </c>
      <c r="AG41" s="5" t="s">
        <v>115</v>
      </c>
      <c r="AH41">
        <v>0</v>
      </c>
      <c r="AI41">
        <v>0</v>
      </c>
      <c r="AJ41">
        <v>0</v>
      </c>
      <c r="AK41">
        <v>0</v>
      </c>
      <c r="AL41">
        <v>78</v>
      </c>
      <c r="AM41">
        <f t="shared" si="0"/>
        <v>78</v>
      </c>
      <c r="AN41" t="s">
        <v>188</v>
      </c>
    </row>
    <row r="42" spans="1:43" x14ac:dyDescent="0.2">
      <c r="A42" t="s">
        <v>2739</v>
      </c>
      <c r="B42" t="s">
        <v>2740</v>
      </c>
      <c r="C42">
        <v>7</v>
      </c>
      <c r="D42">
        <v>1</v>
      </c>
      <c r="E42" t="s">
        <v>834</v>
      </c>
      <c r="F42" s="1">
        <v>43554</v>
      </c>
      <c r="G42" s="1" t="s">
        <v>4026</v>
      </c>
      <c r="H42" s="1"/>
      <c r="I42" s="2">
        <v>0.11319444444444444</v>
      </c>
      <c r="J42" s="176">
        <v>1.8865740740740742E-3</v>
      </c>
      <c r="K42" s="6">
        <v>163</v>
      </c>
      <c r="M42" t="s">
        <v>466</v>
      </c>
      <c r="N42" t="s">
        <v>102</v>
      </c>
      <c r="O42" t="s">
        <v>115</v>
      </c>
      <c r="P42">
        <v>2</v>
      </c>
      <c r="Q42">
        <v>0</v>
      </c>
      <c r="R42">
        <v>0</v>
      </c>
      <c r="S42" t="s">
        <v>176</v>
      </c>
      <c r="T42" s="5" t="s">
        <v>24</v>
      </c>
      <c r="U42" s="5" t="s">
        <v>122</v>
      </c>
      <c r="V42" s="5" t="s">
        <v>115</v>
      </c>
      <c r="W42" s="5"/>
      <c r="X42" s="5"/>
      <c r="Y42" s="5"/>
      <c r="Z42" s="5" t="s">
        <v>115</v>
      </c>
      <c r="AA42" s="5" t="s">
        <v>115</v>
      </c>
      <c r="AB42" s="5" t="s">
        <v>115</v>
      </c>
      <c r="AC42" s="5" t="s">
        <v>115</v>
      </c>
      <c r="AD42" s="5" t="s">
        <v>115</v>
      </c>
      <c r="AE42" s="5" t="s">
        <v>115</v>
      </c>
      <c r="AF42" s="5" t="s">
        <v>115</v>
      </c>
      <c r="AG42" s="5"/>
      <c r="AH42">
        <v>0</v>
      </c>
      <c r="AI42">
        <v>0</v>
      </c>
      <c r="AJ42">
        <v>0</v>
      </c>
      <c r="AK42">
        <v>0</v>
      </c>
      <c r="AL42">
        <v>77</v>
      </c>
      <c r="AM42">
        <f t="shared" si="0"/>
        <v>77</v>
      </c>
      <c r="AN42" t="s">
        <v>188</v>
      </c>
    </row>
    <row r="43" spans="1:43" x14ac:dyDescent="0.2">
      <c r="A43" t="s">
        <v>3513</v>
      </c>
      <c r="B43" t="s">
        <v>3514</v>
      </c>
      <c r="C43">
        <v>29</v>
      </c>
      <c r="D43">
        <v>2</v>
      </c>
      <c r="E43" t="s">
        <v>2462</v>
      </c>
      <c r="F43" s="1">
        <v>43579</v>
      </c>
      <c r="G43" s="1" t="s">
        <v>4027</v>
      </c>
      <c r="H43" s="1"/>
      <c r="I43" s="2">
        <v>7.0833333333333331E-2</v>
      </c>
      <c r="J43" s="176">
        <v>1.1805555555555556E-3</v>
      </c>
      <c r="K43" s="6">
        <v>102</v>
      </c>
      <c r="L43" t="s">
        <v>101</v>
      </c>
      <c r="M43" t="s">
        <v>363</v>
      </c>
      <c r="N43" t="s">
        <v>102</v>
      </c>
      <c r="O43" t="s">
        <v>115</v>
      </c>
      <c r="P43">
        <v>2</v>
      </c>
      <c r="Q43">
        <v>0</v>
      </c>
      <c r="R43">
        <v>0</v>
      </c>
      <c r="S43" t="s">
        <v>176</v>
      </c>
      <c r="T43" s="5" t="s">
        <v>24</v>
      </c>
      <c r="U43" s="5" t="s">
        <v>122</v>
      </c>
      <c r="V43" s="5" t="s">
        <v>115</v>
      </c>
      <c r="W43" s="5"/>
      <c r="X43" s="5"/>
      <c r="Y43" s="5"/>
      <c r="Z43" s="5" t="s">
        <v>115</v>
      </c>
      <c r="AA43" s="5" t="s">
        <v>115</v>
      </c>
      <c r="AB43" s="5" t="s">
        <v>115</v>
      </c>
      <c r="AC43" s="5" t="s">
        <v>115</v>
      </c>
      <c r="AD43" s="5" t="s">
        <v>115</v>
      </c>
      <c r="AE43" s="5" t="s">
        <v>115</v>
      </c>
      <c r="AF43" s="5" t="s">
        <v>115</v>
      </c>
      <c r="AG43" s="5" t="s">
        <v>115</v>
      </c>
      <c r="AH43">
        <v>0</v>
      </c>
      <c r="AI43">
        <v>0</v>
      </c>
      <c r="AJ43">
        <v>0</v>
      </c>
      <c r="AK43">
        <v>0</v>
      </c>
      <c r="AL43">
        <v>77</v>
      </c>
      <c r="AM43">
        <f t="shared" si="0"/>
        <v>77</v>
      </c>
      <c r="AN43" t="s">
        <v>188</v>
      </c>
    </row>
    <row r="44" spans="1:43" x14ac:dyDescent="0.2">
      <c r="A44" t="s">
        <v>2888</v>
      </c>
      <c r="B44" t="s">
        <v>2889</v>
      </c>
      <c r="C44">
        <v>15</v>
      </c>
      <c r="D44">
        <v>1</v>
      </c>
      <c r="E44" t="s">
        <v>324</v>
      </c>
      <c r="F44" s="1">
        <v>43558</v>
      </c>
      <c r="G44" s="1" t="s">
        <v>4027</v>
      </c>
      <c r="H44" s="1"/>
      <c r="I44" s="2">
        <v>6.1111111111111116E-2</v>
      </c>
      <c r="J44" s="176">
        <v>1.0185185185185186E-3</v>
      </c>
      <c r="K44" s="6">
        <v>88</v>
      </c>
      <c r="M44" t="s">
        <v>325</v>
      </c>
      <c r="N44" t="s">
        <v>102</v>
      </c>
      <c r="O44" t="s">
        <v>23</v>
      </c>
      <c r="P44">
        <v>1</v>
      </c>
      <c r="Q44">
        <v>1</v>
      </c>
      <c r="R44">
        <v>0</v>
      </c>
      <c r="S44" t="s">
        <v>176</v>
      </c>
      <c r="T44" s="5" t="s">
        <v>24</v>
      </c>
      <c r="U44" s="5" t="s">
        <v>2890</v>
      </c>
      <c r="Z44" s="5" t="s">
        <v>115</v>
      </c>
      <c r="AA44" s="5" t="s">
        <v>115</v>
      </c>
      <c r="AB44" s="5" t="s">
        <v>115</v>
      </c>
      <c r="AC44" s="5" t="s">
        <v>115</v>
      </c>
      <c r="AD44" s="5" t="s">
        <v>115</v>
      </c>
      <c r="AE44">
        <v>63.72354</v>
      </c>
      <c r="AF44">
        <v>148.88695000000001</v>
      </c>
      <c r="AH44">
        <v>75</v>
      </c>
      <c r="AI44">
        <v>0</v>
      </c>
      <c r="AJ44">
        <v>75</v>
      </c>
      <c r="AK44">
        <v>0</v>
      </c>
      <c r="AL44">
        <v>0</v>
      </c>
      <c r="AM44">
        <f t="shared" si="0"/>
        <v>75</v>
      </c>
      <c r="AN44" t="s">
        <v>2374</v>
      </c>
      <c r="AO44" t="s">
        <v>2892</v>
      </c>
      <c r="AP44">
        <v>8</v>
      </c>
      <c r="AQ44">
        <v>0</v>
      </c>
    </row>
    <row r="45" spans="1:43" x14ac:dyDescent="0.2">
      <c r="A45" t="s">
        <v>2888</v>
      </c>
      <c r="B45" t="s">
        <v>2889</v>
      </c>
      <c r="C45">
        <v>15</v>
      </c>
      <c r="D45">
        <v>1</v>
      </c>
      <c r="E45" t="s">
        <v>324</v>
      </c>
      <c r="F45" s="1">
        <v>43558</v>
      </c>
      <c r="G45" s="1" t="s">
        <v>4027</v>
      </c>
      <c r="H45" s="1"/>
      <c r="I45" s="2">
        <v>6.1111111111111116E-2</v>
      </c>
      <c r="J45" s="176">
        <v>1.0185185185185186E-3</v>
      </c>
      <c r="K45" s="6">
        <v>88</v>
      </c>
      <c r="M45" t="s">
        <v>325</v>
      </c>
      <c r="N45" t="s">
        <v>102</v>
      </c>
      <c r="O45" t="s">
        <v>23</v>
      </c>
      <c r="P45">
        <v>1</v>
      </c>
      <c r="Q45">
        <v>1</v>
      </c>
      <c r="R45">
        <v>0</v>
      </c>
      <c r="S45" t="s">
        <v>176</v>
      </c>
      <c r="T45" s="5" t="s">
        <v>24</v>
      </c>
      <c r="U45" s="5" t="s">
        <v>2189</v>
      </c>
      <c r="V45" s="5" t="s">
        <v>115</v>
      </c>
      <c r="W45" s="5"/>
      <c r="X45" s="5"/>
      <c r="Y45" s="5"/>
      <c r="Z45" s="5" t="s">
        <v>115</v>
      </c>
      <c r="AA45" s="5" t="s">
        <v>115</v>
      </c>
      <c r="AB45" s="5" t="s">
        <v>115</v>
      </c>
      <c r="AC45" s="5" t="s">
        <v>115</v>
      </c>
      <c r="AD45" s="5" t="s">
        <v>115</v>
      </c>
      <c r="AE45">
        <v>63.72354</v>
      </c>
      <c r="AF45">
        <v>148.88695000000001</v>
      </c>
      <c r="AH45">
        <v>75</v>
      </c>
      <c r="AI45">
        <v>0</v>
      </c>
      <c r="AJ45">
        <v>75</v>
      </c>
      <c r="AK45">
        <v>0</v>
      </c>
      <c r="AL45">
        <v>0</v>
      </c>
      <c r="AM45">
        <f t="shared" si="0"/>
        <v>75</v>
      </c>
      <c r="AN45" t="s">
        <v>2374</v>
      </c>
      <c r="AO45" t="s">
        <v>2891</v>
      </c>
      <c r="AP45">
        <v>8</v>
      </c>
      <c r="AQ45">
        <v>0</v>
      </c>
    </row>
    <row r="46" spans="1:43" x14ac:dyDescent="0.2">
      <c r="A46" t="s">
        <v>3306</v>
      </c>
      <c r="B46" t="s">
        <v>3307</v>
      </c>
      <c r="C46">
        <v>6</v>
      </c>
      <c r="D46">
        <v>1</v>
      </c>
      <c r="E46" t="s">
        <v>834</v>
      </c>
      <c r="F46" s="1">
        <v>43577</v>
      </c>
      <c r="G46" s="1" t="s">
        <v>4027</v>
      </c>
      <c r="H46" s="1"/>
      <c r="I46" s="2">
        <v>5.1388888888888894E-2</v>
      </c>
      <c r="J46" s="176">
        <v>8.564814814814815E-4</v>
      </c>
      <c r="K46" s="6">
        <v>74</v>
      </c>
      <c r="L46" t="s">
        <v>101</v>
      </c>
      <c r="M46" t="s">
        <v>466</v>
      </c>
      <c r="N46" t="s">
        <v>102</v>
      </c>
      <c r="O46" t="s">
        <v>115</v>
      </c>
      <c r="P46">
        <v>1</v>
      </c>
      <c r="Q46">
        <v>0</v>
      </c>
      <c r="R46">
        <v>0</v>
      </c>
      <c r="S46" t="s">
        <v>176</v>
      </c>
      <c r="T46" s="5" t="s">
        <v>24</v>
      </c>
      <c r="U46" s="5" t="s">
        <v>122</v>
      </c>
      <c r="V46" s="5" t="s">
        <v>115</v>
      </c>
      <c r="W46" s="5"/>
      <c r="X46" s="5"/>
      <c r="Y46" s="5"/>
      <c r="Z46" s="5" t="s">
        <v>115</v>
      </c>
      <c r="AA46" s="5" t="s">
        <v>115</v>
      </c>
      <c r="AB46" s="5" t="s">
        <v>115</v>
      </c>
      <c r="AC46" s="5" t="s">
        <v>115</v>
      </c>
      <c r="AD46" s="5" t="s">
        <v>115</v>
      </c>
      <c r="AE46" s="5" t="s">
        <v>115</v>
      </c>
      <c r="AF46" s="5" t="s">
        <v>115</v>
      </c>
      <c r="AG46" s="5" t="s">
        <v>115</v>
      </c>
      <c r="AH46">
        <v>0</v>
      </c>
      <c r="AI46">
        <v>0</v>
      </c>
      <c r="AJ46">
        <v>0</v>
      </c>
      <c r="AK46">
        <v>0</v>
      </c>
      <c r="AL46">
        <v>74</v>
      </c>
      <c r="AM46">
        <f t="shared" si="0"/>
        <v>74</v>
      </c>
      <c r="AN46" t="s">
        <v>188</v>
      </c>
    </row>
    <row r="47" spans="1:43" x14ac:dyDescent="0.2">
      <c r="A47" t="s">
        <v>3200</v>
      </c>
      <c r="B47" t="s">
        <v>3201</v>
      </c>
      <c r="C47">
        <v>8</v>
      </c>
      <c r="D47">
        <v>1</v>
      </c>
      <c r="E47" t="s">
        <v>2487</v>
      </c>
      <c r="F47" s="1">
        <v>43572</v>
      </c>
      <c r="G47" s="1" t="s">
        <v>4027</v>
      </c>
      <c r="H47" s="1"/>
      <c r="I47" s="2">
        <v>5.8333333333333327E-2</v>
      </c>
      <c r="J47" s="176">
        <v>9.7222222222222209E-4</v>
      </c>
      <c r="K47" s="6">
        <v>84</v>
      </c>
      <c r="L47" t="s">
        <v>3187</v>
      </c>
      <c r="M47" t="s">
        <v>2488</v>
      </c>
      <c r="N47" t="s">
        <v>102</v>
      </c>
      <c r="O47" t="s">
        <v>115</v>
      </c>
      <c r="P47">
        <v>1</v>
      </c>
      <c r="Q47" t="s">
        <v>24</v>
      </c>
      <c r="R47">
        <v>0</v>
      </c>
      <c r="S47" t="s">
        <v>176</v>
      </c>
      <c r="T47" s="5" t="s">
        <v>24</v>
      </c>
      <c r="U47" s="5" t="s">
        <v>709</v>
      </c>
      <c r="V47" s="5" t="s">
        <v>115</v>
      </c>
      <c r="W47" s="5"/>
      <c r="X47" s="5"/>
      <c r="Y47" s="5"/>
      <c r="Z47" s="5" t="s">
        <v>115</v>
      </c>
      <c r="AA47" s="5" t="s">
        <v>115</v>
      </c>
      <c r="AB47" s="5" t="s">
        <v>115</v>
      </c>
      <c r="AC47" s="5" t="s">
        <v>115</v>
      </c>
      <c r="AD47" s="5" t="s">
        <v>115</v>
      </c>
      <c r="AE47" s="5" t="s">
        <v>115</v>
      </c>
      <c r="AF47" s="5" t="s">
        <v>115</v>
      </c>
      <c r="AG47" s="5"/>
      <c r="AH47">
        <v>56</v>
      </c>
      <c r="AI47">
        <v>0</v>
      </c>
      <c r="AJ47">
        <v>56</v>
      </c>
      <c r="AK47">
        <v>0</v>
      </c>
      <c r="AL47">
        <v>17</v>
      </c>
      <c r="AM47">
        <f t="shared" si="0"/>
        <v>73</v>
      </c>
      <c r="AP47">
        <v>9</v>
      </c>
      <c r="AQ47">
        <v>0</v>
      </c>
    </row>
    <row r="48" spans="1:43" x14ac:dyDescent="0.2">
      <c r="A48" t="s">
        <v>3344</v>
      </c>
      <c r="B48" t="s">
        <v>3345</v>
      </c>
      <c r="C48">
        <v>23</v>
      </c>
      <c r="D48">
        <v>1</v>
      </c>
      <c r="E48" t="s">
        <v>834</v>
      </c>
      <c r="F48" s="1">
        <v>43577</v>
      </c>
      <c r="G48" s="1" t="s">
        <v>4027</v>
      </c>
      <c r="H48" s="1"/>
      <c r="I48" s="2">
        <v>5.0694444444444452E-2</v>
      </c>
      <c r="J48" s="176">
        <v>8.449074074074075E-4</v>
      </c>
      <c r="K48" s="6">
        <v>73</v>
      </c>
      <c r="L48" t="s">
        <v>101</v>
      </c>
      <c r="M48" t="s">
        <v>466</v>
      </c>
      <c r="N48" t="s">
        <v>102</v>
      </c>
      <c r="O48" t="s">
        <v>115</v>
      </c>
      <c r="P48">
        <v>1</v>
      </c>
      <c r="Q48">
        <v>0</v>
      </c>
      <c r="R48">
        <v>0</v>
      </c>
      <c r="S48" t="s">
        <v>176</v>
      </c>
      <c r="T48" s="5" t="s">
        <v>24</v>
      </c>
      <c r="U48" s="5" t="s">
        <v>122</v>
      </c>
      <c r="V48" s="5" t="s">
        <v>115</v>
      </c>
      <c r="W48" s="5"/>
      <c r="X48" s="5"/>
      <c r="Y48" s="5"/>
      <c r="Z48" s="5" t="s">
        <v>115</v>
      </c>
      <c r="AA48" s="5" t="s">
        <v>115</v>
      </c>
      <c r="AB48" s="5" t="s">
        <v>115</v>
      </c>
      <c r="AC48" s="5" t="s">
        <v>115</v>
      </c>
      <c r="AD48" s="5" t="s">
        <v>115</v>
      </c>
      <c r="AE48" s="5" t="s">
        <v>115</v>
      </c>
      <c r="AF48" s="5" t="s">
        <v>115</v>
      </c>
      <c r="AG48" s="5" t="s">
        <v>115</v>
      </c>
      <c r="AH48">
        <v>0</v>
      </c>
      <c r="AI48">
        <v>0</v>
      </c>
      <c r="AJ48">
        <v>0</v>
      </c>
      <c r="AK48">
        <v>0</v>
      </c>
      <c r="AL48">
        <v>73</v>
      </c>
      <c r="AM48">
        <f t="shared" si="0"/>
        <v>73</v>
      </c>
      <c r="AN48" t="s">
        <v>188</v>
      </c>
      <c r="AO48" t="s">
        <v>2405</v>
      </c>
    </row>
    <row r="49" spans="1:43" x14ac:dyDescent="0.2">
      <c r="A49" t="s">
        <v>3740</v>
      </c>
      <c r="B49" t="s">
        <v>3741</v>
      </c>
      <c r="C49">
        <v>2</v>
      </c>
      <c r="D49">
        <v>1</v>
      </c>
      <c r="E49" t="s">
        <v>2601</v>
      </c>
      <c r="F49" s="1">
        <v>43587</v>
      </c>
      <c r="G49" s="1" t="s">
        <v>4028</v>
      </c>
      <c r="H49" s="1"/>
      <c r="I49" s="2">
        <v>7.4999999999999997E-2</v>
      </c>
      <c r="J49" s="176">
        <v>1.25E-3</v>
      </c>
      <c r="K49" s="6">
        <v>108</v>
      </c>
      <c r="L49" t="s">
        <v>1278</v>
      </c>
      <c r="M49" t="s">
        <v>173</v>
      </c>
      <c r="N49" t="s">
        <v>102</v>
      </c>
      <c r="O49" t="s">
        <v>115</v>
      </c>
      <c r="P49" t="s">
        <v>24</v>
      </c>
      <c r="Q49">
        <v>0</v>
      </c>
      <c r="R49">
        <v>0</v>
      </c>
      <c r="T49" s="5" t="s">
        <v>115</v>
      </c>
      <c r="U49" s="5" t="s">
        <v>115</v>
      </c>
      <c r="V49" s="5" t="s">
        <v>115</v>
      </c>
      <c r="W49" s="5"/>
      <c r="X49" s="5"/>
      <c r="Y49" s="5"/>
      <c r="Z49" s="5" t="s">
        <v>115</v>
      </c>
      <c r="AA49" s="5" t="s">
        <v>115</v>
      </c>
      <c r="AB49" s="5" t="s">
        <v>115</v>
      </c>
      <c r="AC49" s="5" t="s">
        <v>115</v>
      </c>
      <c r="AD49" s="5" t="s">
        <v>115</v>
      </c>
      <c r="AE49" s="5" t="s">
        <v>115</v>
      </c>
      <c r="AF49" s="5" t="s">
        <v>115</v>
      </c>
      <c r="AG49" s="5" t="s">
        <v>115</v>
      </c>
      <c r="AH49">
        <v>0</v>
      </c>
      <c r="AI49">
        <v>0</v>
      </c>
      <c r="AJ49">
        <v>0</v>
      </c>
      <c r="AK49">
        <v>0</v>
      </c>
      <c r="AL49">
        <v>73</v>
      </c>
      <c r="AM49">
        <f t="shared" si="0"/>
        <v>73</v>
      </c>
      <c r="AN49" t="s">
        <v>188</v>
      </c>
    </row>
    <row r="50" spans="1:43" x14ac:dyDescent="0.2">
      <c r="A50" t="s">
        <v>3123</v>
      </c>
      <c r="B50" t="s">
        <v>3126</v>
      </c>
      <c r="C50">
        <v>15</v>
      </c>
      <c r="D50">
        <v>1</v>
      </c>
      <c r="E50" t="s">
        <v>324</v>
      </c>
      <c r="F50" s="1">
        <v>43570</v>
      </c>
      <c r="G50" s="1" t="s">
        <v>4027</v>
      </c>
      <c r="H50" s="1"/>
      <c r="I50" s="2">
        <v>7.8472222222222221E-2</v>
      </c>
      <c r="J50" s="176">
        <v>1.3078703703703705E-3</v>
      </c>
      <c r="K50" s="6">
        <v>113</v>
      </c>
      <c r="L50" t="s">
        <v>101</v>
      </c>
      <c r="M50" t="s">
        <v>325</v>
      </c>
      <c r="N50" t="s">
        <v>102</v>
      </c>
      <c r="O50" t="s">
        <v>115</v>
      </c>
      <c r="P50" t="s">
        <v>24</v>
      </c>
      <c r="Q50">
        <v>0</v>
      </c>
      <c r="R50">
        <v>0</v>
      </c>
      <c r="T50" s="5" t="s">
        <v>115</v>
      </c>
      <c r="U50" s="5" t="s">
        <v>115</v>
      </c>
      <c r="V50" s="5" t="s">
        <v>115</v>
      </c>
      <c r="W50" s="5"/>
      <c r="X50" s="5"/>
      <c r="Y50" s="5"/>
      <c r="Z50" s="5" t="s">
        <v>115</v>
      </c>
      <c r="AA50" s="5" t="s">
        <v>115</v>
      </c>
      <c r="AB50" s="5" t="s">
        <v>115</v>
      </c>
      <c r="AC50" s="5" t="s">
        <v>115</v>
      </c>
      <c r="AD50" s="5" t="s">
        <v>115</v>
      </c>
      <c r="AE50" s="5" t="s">
        <v>115</v>
      </c>
      <c r="AF50" s="5" t="s">
        <v>115</v>
      </c>
      <c r="AG50" s="5"/>
      <c r="AH50">
        <v>0</v>
      </c>
      <c r="AI50">
        <v>0</v>
      </c>
      <c r="AJ50">
        <v>0</v>
      </c>
      <c r="AK50">
        <v>0</v>
      </c>
      <c r="AL50">
        <v>71</v>
      </c>
      <c r="AM50">
        <f t="shared" si="0"/>
        <v>71</v>
      </c>
      <c r="AN50" t="s">
        <v>188</v>
      </c>
    </row>
    <row r="51" spans="1:43" x14ac:dyDescent="0.2">
      <c r="A51" t="s">
        <v>2905</v>
      </c>
      <c r="B51" t="s">
        <v>2945</v>
      </c>
      <c r="C51">
        <v>8</v>
      </c>
      <c r="D51">
        <v>1</v>
      </c>
      <c r="E51" t="s">
        <v>834</v>
      </c>
      <c r="F51" s="1">
        <v>43560</v>
      </c>
      <c r="G51" s="1" t="s">
        <v>4027</v>
      </c>
      <c r="H51" s="1"/>
      <c r="I51" s="2">
        <v>4.8611111111111112E-2</v>
      </c>
      <c r="J51" s="176">
        <v>8.1018518518518516E-4</v>
      </c>
      <c r="K51" s="6">
        <v>70</v>
      </c>
      <c r="M51" t="s">
        <v>466</v>
      </c>
      <c r="N51" t="s">
        <v>102</v>
      </c>
      <c r="O51" t="s">
        <v>115</v>
      </c>
      <c r="P51">
        <v>0</v>
      </c>
      <c r="Q51">
        <v>0</v>
      </c>
      <c r="R51">
        <v>0</v>
      </c>
      <c r="T51" s="5" t="s">
        <v>115</v>
      </c>
      <c r="U51" s="5" t="s">
        <v>115</v>
      </c>
      <c r="V51" s="5" t="s">
        <v>115</v>
      </c>
      <c r="W51" s="5"/>
      <c r="X51" s="5"/>
      <c r="Y51" s="5"/>
      <c r="Z51" s="5" t="s">
        <v>115</v>
      </c>
      <c r="AA51" s="5" t="s">
        <v>115</v>
      </c>
      <c r="AB51" s="5" t="s">
        <v>115</v>
      </c>
      <c r="AC51" s="5" t="s">
        <v>115</v>
      </c>
      <c r="AD51" s="5" t="s">
        <v>115</v>
      </c>
      <c r="AE51" s="5" t="s">
        <v>115</v>
      </c>
      <c r="AF51" s="5" t="s">
        <v>115</v>
      </c>
      <c r="AG51" s="5"/>
      <c r="AH51">
        <v>0</v>
      </c>
      <c r="AI51">
        <v>0</v>
      </c>
      <c r="AJ51">
        <v>0</v>
      </c>
      <c r="AK51">
        <v>0</v>
      </c>
      <c r="AL51">
        <v>70</v>
      </c>
      <c r="AM51">
        <f t="shared" si="0"/>
        <v>70</v>
      </c>
      <c r="AN51" t="s">
        <v>188</v>
      </c>
    </row>
    <row r="52" spans="1:43" x14ac:dyDescent="0.2">
      <c r="A52" t="s">
        <v>3901</v>
      </c>
      <c r="B52" t="s">
        <v>3902</v>
      </c>
      <c r="C52">
        <v>9</v>
      </c>
      <c r="D52">
        <v>1</v>
      </c>
      <c r="E52" t="s">
        <v>2462</v>
      </c>
      <c r="F52" s="1">
        <v>43591</v>
      </c>
      <c r="G52" s="1" t="s">
        <v>4028</v>
      </c>
      <c r="H52" s="1"/>
      <c r="I52" s="2">
        <v>5.6250000000000001E-2</v>
      </c>
      <c r="J52" s="176">
        <v>9.3750000000000007E-4</v>
      </c>
      <c r="K52" s="6">
        <v>81</v>
      </c>
      <c r="L52" t="s">
        <v>1278</v>
      </c>
      <c r="M52" t="s">
        <v>363</v>
      </c>
      <c r="N52" t="s">
        <v>102</v>
      </c>
      <c r="O52" t="s">
        <v>115</v>
      </c>
      <c r="P52">
        <v>1</v>
      </c>
      <c r="Q52">
        <v>0</v>
      </c>
      <c r="R52">
        <v>0</v>
      </c>
      <c r="S52" t="s">
        <v>14</v>
      </c>
      <c r="T52" s="5" t="s">
        <v>2557</v>
      </c>
      <c r="U52" s="5" t="s">
        <v>122</v>
      </c>
      <c r="V52" s="5" t="s">
        <v>115</v>
      </c>
      <c r="W52" s="5"/>
      <c r="X52" s="5"/>
      <c r="Y52" s="5"/>
      <c r="Z52" s="5" t="s">
        <v>115</v>
      </c>
      <c r="AA52" s="5" t="s">
        <v>115</v>
      </c>
      <c r="AB52" s="5" t="s">
        <v>115</v>
      </c>
      <c r="AC52" s="5" t="s">
        <v>115</v>
      </c>
      <c r="AD52" s="5" t="s">
        <v>115</v>
      </c>
      <c r="AE52" s="5" t="s">
        <v>115</v>
      </c>
      <c r="AF52" s="5" t="s">
        <v>115</v>
      </c>
      <c r="AG52" s="5" t="s">
        <v>115</v>
      </c>
      <c r="AH52">
        <v>0</v>
      </c>
      <c r="AI52">
        <v>0</v>
      </c>
      <c r="AJ52">
        <v>0</v>
      </c>
      <c r="AK52">
        <v>0</v>
      </c>
      <c r="AL52">
        <v>70</v>
      </c>
      <c r="AM52">
        <f t="shared" si="0"/>
        <v>70</v>
      </c>
      <c r="AN52" t="s">
        <v>188</v>
      </c>
    </row>
    <row r="53" spans="1:43" x14ac:dyDescent="0.2">
      <c r="A53" t="s">
        <v>3339</v>
      </c>
      <c r="B53" t="s">
        <v>3340</v>
      </c>
      <c r="C53">
        <v>21</v>
      </c>
      <c r="D53">
        <v>1</v>
      </c>
      <c r="E53" t="s">
        <v>834</v>
      </c>
      <c r="F53" s="1">
        <v>43577</v>
      </c>
      <c r="G53" s="1" t="s">
        <v>4027</v>
      </c>
      <c r="H53" s="1"/>
      <c r="I53" s="2">
        <v>4.7916666666666663E-2</v>
      </c>
      <c r="J53" s="176">
        <v>7.9861111111111105E-4</v>
      </c>
      <c r="K53" s="6">
        <v>69</v>
      </c>
      <c r="L53" t="s">
        <v>101</v>
      </c>
      <c r="M53" t="s">
        <v>466</v>
      </c>
      <c r="N53" t="s">
        <v>102</v>
      </c>
      <c r="O53" t="s">
        <v>115</v>
      </c>
      <c r="P53">
        <v>2</v>
      </c>
      <c r="Q53">
        <v>0</v>
      </c>
      <c r="R53">
        <v>0</v>
      </c>
      <c r="S53" t="s">
        <v>176</v>
      </c>
      <c r="T53" s="5" t="s">
        <v>24</v>
      </c>
      <c r="U53" s="5" t="s">
        <v>122</v>
      </c>
      <c r="V53" s="5" t="s">
        <v>115</v>
      </c>
      <c r="W53" s="5"/>
      <c r="X53" s="5"/>
      <c r="Y53" s="5"/>
      <c r="Z53" s="5" t="s">
        <v>115</v>
      </c>
      <c r="AA53" s="5" t="s">
        <v>115</v>
      </c>
      <c r="AB53" s="5" t="s">
        <v>115</v>
      </c>
      <c r="AC53" s="5" t="s">
        <v>115</v>
      </c>
      <c r="AD53" s="5" t="s">
        <v>115</v>
      </c>
      <c r="AE53" s="5" t="s">
        <v>115</v>
      </c>
      <c r="AF53" s="5" t="s">
        <v>115</v>
      </c>
      <c r="AG53" s="5" t="s">
        <v>115</v>
      </c>
      <c r="AH53">
        <v>0</v>
      </c>
      <c r="AI53">
        <v>0</v>
      </c>
      <c r="AJ53">
        <v>0</v>
      </c>
      <c r="AK53">
        <v>0</v>
      </c>
      <c r="AL53">
        <v>69</v>
      </c>
      <c r="AM53">
        <f t="shared" si="0"/>
        <v>69</v>
      </c>
      <c r="AN53" t="s">
        <v>188</v>
      </c>
      <c r="AO53" t="s">
        <v>3341</v>
      </c>
    </row>
    <row r="54" spans="1:43" x14ac:dyDescent="0.2">
      <c r="A54" t="s">
        <v>3350</v>
      </c>
      <c r="B54" t="s">
        <v>3351</v>
      </c>
      <c r="C54">
        <v>26</v>
      </c>
      <c r="D54">
        <v>1</v>
      </c>
      <c r="E54" t="s">
        <v>834</v>
      </c>
      <c r="F54" s="1">
        <v>43577</v>
      </c>
      <c r="G54" s="1" t="s">
        <v>4027</v>
      </c>
      <c r="H54" s="1"/>
      <c r="I54" s="2">
        <v>4.9999999999999996E-2</v>
      </c>
      <c r="J54" s="176">
        <v>8.3333333333333339E-4</v>
      </c>
      <c r="K54" s="6">
        <v>72</v>
      </c>
      <c r="L54" t="s">
        <v>101</v>
      </c>
      <c r="M54" t="s">
        <v>466</v>
      </c>
      <c r="N54" t="s">
        <v>102</v>
      </c>
      <c r="O54" t="s">
        <v>115</v>
      </c>
      <c r="P54">
        <v>2</v>
      </c>
      <c r="Q54">
        <v>0</v>
      </c>
      <c r="R54">
        <v>0</v>
      </c>
      <c r="S54" t="s">
        <v>176</v>
      </c>
      <c r="T54" s="5" t="s">
        <v>24</v>
      </c>
      <c r="U54" s="5" t="s">
        <v>122</v>
      </c>
      <c r="V54" s="5" t="s">
        <v>115</v>
      </c>
      <c r="W54" s="5"/>
      <c r="X54" s="5"/>
      <c r="Y54" s="5"/>
      <c r="Z54" s="5" t="s">
        <v>115</v>
      </c>
      <c r="AA54" s="5" t="s">
        <v>115</v>
      </c>
      <c r="AB54" s="5" t="s">
        <v>115</v>
      </c>
      <c r="AC54" s="5" t="s">
        <v>115</v>
      </c>
      <c r="AD54" s="5" t="s">
        <v>115</v>
      </c>
      <c r="AE54" s="5" t="s">
        <v>115</v>
      </c>
      <c r="AF54" s="5" t="s">
        <v>115</v>
      </c>
      <c r="AG54" s="5" t="s">
        <v>115</v>
      </c>
      <c r="AH54">
        <v>0</v>
      </c>
      <c r="AI54">
        <v>0</v>
      </c>
      <c r="AJ54">
        <v>0</v>
      </c>
      <c r="AK54">
        <v>0</v>
      </c>
      <c r="AL54">
        <v>68</v>
      </c>
      <c r="AM54">
        <f t="shared" si="0"/>
        <v>68</v>
      </c>
      <c r="AN54" t="s">
        <v>188</v>
      </c>
    </row>
    <row r="55" spans="1:43" x14ac:dyDescent="0.2">
      <c r="A55" t="s">
        <v>2759</v>
      </c>
      <c r="B55" t="s">
        <v>2760</v>
      </c>
      <c r="C55">
        <v>15</v>
      </c>
      <c r="D55">
        <v>1</v>
      </c>
      <c r="E55" t="s">
        <v>834</v>
      </c>
      <c r="F55" s="1">
        <v>43554</v>
      </c>
      <c r="G55" s="1" t="s">
        <v>4026</v>
      </c>
      <c r="H55" s="1"/>
      <c r="I55" s="2">
        <v>4.5833333333333337E-2</v>
      </c>
      <c r="J55" s="176">
        <v>7.6388888888888893E-4</v>
      </c>
      <c r="K55" s="6">
        <v>66</v>
      </c>
      <c r="M55" t="s">
        <v>466</v>
      </c>
      <c r="N55" t="s">
        <v>102</v>
      </c>
      <c r="O55" t="s">
        <v>115</v>
      </c>
      <c r="P55">
        <v>3</v>
      </c>
      <c r="Q55">
        <v>0</v>
      </c>
      <c r="R55">
        <v>0</v>
      </c>
      <c r="S55" t="s">
        <v>176</v>
      </c>
      <c r="T55" s="5" t="s">
        <v>2727</v>
      </c>
      <c r="U55" s="5" t="s">
        <v>122</v>
      </c>
      <c r="V55" s="5" t="s">
        <v>115</v>
      </c>
      <c r="W55" s="5"/>
      <c r="X55" s="5"/>
      <c r="Y55" s="5"/>
      <c r="Z55" s="5" t="s">
        <v>115</v>
      </c>
      <c r="AA55" s="5" t="s">
        <v>115</v>
      </c>
      <c r="AB55" s="5" t="s">
        <v>115</v>
      </c>
      <c r="AC55" s="5" t="s">
        <v>115</v>
      </c>
      <c r="AD55" s="5" t="s">
        <v>115</v>
      </c>
      <c r="AE55" s="5" t="s">
        <v>115</v>
      </c>
      <c r="AF55" s="5" t="s">
        <v>115</v>
      </c>
      <c r="AG55" s="5"/>
      <c r="AH55">
        <v>0</v>
      </c>
      <c r="AI55">
        <v>0</v>
      </c>
      <c r="AJ55">
        <v>0</v>
      </c>
      <c r="AK55">
        <v>0</v>
      </c>
      <c r="AL55">
        <v>66</v>
      </c>
      <c r="AM55">
        <f t="shared" si="0"/>
        <v>66</v>
      </c>
      <c r="AN55" t="s">
        <v>188</v>
      </c>
    </row>
    <row r="56" spans="1:43" x14ac:dyDescent="0.2">
      <c r="A56" t="s">
        <v>3110</v>
      </c>
      <c r="B56" t="s">
        <v>3111</v>
      </c>
      <c r="C56">
        <v>8</v>
      </c>
      <c r="D56">
        <v>1</v>
      </c>
      <c r="E56" t="s">
        <v>324</v>
      </c>
      <c r="F56" s="1">
        <v>43570</v>
      </c>
      <c r="G56" s="1" t="s">
        <v>4027</v>
      </c>
      <c r="H56" s="1"/>
      <c r="I56" s="2">
        <v>4.5833333333333337E-2</v>
      </c>
      <c r="J56" s="176">
        <v>7.6388888888888893E-4</v>
      </c>
      <c r="K56" s="6">
        <v>66</v>
      </c>
      <c r="L56" t="s">
        <v>101</v>
      </c>
      <c r="M56" t="s">
        <v>325</v>
      </c>
      <c r="N56" t="s">
        <v>107</v>
      </c>
      <c r="O56" t="s">
        <v>115</v>
      </c>
      <c r="P56">
        <v>0</v>
      </c>
      <c r="Q56">
        <v>0</v>
      </c>
      <c r="R56">
        <v>0</v>
      </c>
      <c r="S56" t="s">
        <v>461</v>
      </c>
      <c r="T56" s="5" t="s">
        <v>2605</v>
      </c>
      <c r="U56" s="5" t="s">
        <v>115</v>
      </c>
      <c r="V56" s="5" t="s">
        <v>115</v>
      </c>
      <c r="W56" s="5"/>
      <c r="X56" s="5"/>
      <c r="Y56" s="5"/>
      <c r="Z56" s="5" t="s">
        <v>115</v>
      </c>
      <c r="AA56" s="5" t="s">
        <v>115</v>
      </c>
      <c r="AB56" s="5" t="s">
        <v>115</v>
      </c>
      <c r="AC56" s="5" t="s">
        <v>115</v>
      </c>
      <c r="AD56" s="5" t="s">
        <v>115</v>
      </c>
      <c r="AE56" s="5" t="s">
        <v>115</v>
      </c>
      <c r="AF56" s="5" t="s">
        <v>115</v>
      </c>
      <c r="AG56" s="5"/>
      <c r="AH56">
        <v>0</v>
      </c>
      <c r="AI56">
        <v>0</v>
      </c>
      <c r="AJ56">
        <v>0</v>
      </c>
      <c r="AK56">
        <v>0</v>
      </c>
      <c r="AL56">
        <v>66</v>
      </c>
      <c r="AM56">
        <f t="shared" si="0"/>
        <v>66</v>
      </c>
      <c r="AO56" t="s">
        <v>3112</v>
      </c>
    </row>
    <row r="57" spans="1:43" x14ac:dyDescent="0.2">
      <c r="A57" t="s">
        <v>3423</v>
      </c>
      <c r="B57" t="s">
        <v>3424</v>
      </c>
      <c r="C57">
        <v>9</v>
      </c>
      <c r="D57">
        <v>1</v>
      </c>
      <c r="E57" t="s">
        <v>3404</v>
      </c>
      <c r="F57" s="1">
        <v>43577</v>
      </c>
      <c r="G57" s="1" t="s">
        <v>4027</v>
      </c>
      <c r="H57" s="1"/>
      <c r="I57" s="2">
        <v>4.5833333333333337E-2</v>
      </c>
      <c r="J57" s="176">
        <v>7.6388888888888893E-4</v>
      </c>
      <c r="K57" s="6">
        <v>66</v>
      </c>
      <c r="L57" t="s">
        <v>101</v>
      </c>
      <c r="M57" t="s">
        <v>3405</v>
      </c>
      <c r="N57" t="s">
        <v>102</v>
      </c>
      <c r="O57" t="s">
        <v>115</v>
      </c>
      <c r="P57">
        <v>1</v>
      </c>
      <c r="Q57">
        <v>0</v>
      </c>
      <c r="R57">
        <v>0</v>
      </c>
      <c r="S57" t="s">
        <v>176</v>
      </c>
      <c r="T57" s="5" t="s">
        <v>24</v>
      </c>
      <c r="U57" s="5" t="s">
        <v>122</v>
      </c>
      <c r="V57" s="5" t="s">
        <v>115</v>
      </c>
      <c r="W57" s="5"/>
      <c r="X57" s="5"/>
      <c r="Y57" s="5"/>
      <c r="Z57" s="5" t="s">
        <v>115</v>
      </c>
      <c r="AA57" s="5" t="s">
        <v>115</v>
      </c>
      <c r="AB57" s="5" t="s">
        <v>115</v>
      </c>
      <c r="AC57" s="5" t="s">
        <v>115</v>
      </c>
      <c r="AD57" s="5" t="s">
        <v>115</v>
      </c>
      <c r="AE57" s="5" t="s">
        <v>115</v>
      </c>
      <c r="AF57" s="5" t="s">
        <v>115</v>
      </c>
      <c r="AG57" s="5" t="s">
        <v>115</v>
      </c>
      <c r="AH57">
        <v>0</v>
      </c>
      <c r="AI57">
        <v>0</v>
      </c>
      <c r="AJ57">
        <v>0</v>
      </c>
      <c r="AK57">
        <v>0</v>
      </c>
      <c r="AL57">
        <v>66</v>
      </c>
      <c r="AM57">
        <f t="shared" si="0"/>
        <v>66</v>
      </c>
      <c r="AN57" t="s">
        <v>188</v>
      </c>
    </row>
    <row r="58" spans="1:43" x14ac:dyDescent="0.2">
      <c r="A58" t="s">
        <v>3891</v>
      </c>
      <c r="B58" t="s">
        <v>3892</v>
      </c>
      <c r="C58">
        <v>4</v>
      </c>
      <c r="D58">
        <v>1</v>
      </c>
      <c r="E58" t="s">
        <v>2462</v>
      </c>
      <c r="F58" s="1">
        <v>43591</v>
      </c>
      <c r="G58" s="1" t="s">
        <v>4028</v>
      </c>
      <c r="H58" s="1"/>
      <c r="I58" s="2">
        <v>4.7222222222222221E-2</v>
      </c>
      <c r="J58" s="176">
        <v>7.8703703703703705E-4</v>
      </c>
      <c r="K58" s="6">
        <v>68</v>
      </c>
      <c r="L58" t="s">
        <v>1278</v>
      </c>
      <c r="M58" t="s">
        <v>363</v>
      </c>
      <c r="N58" t="s">
        <v>102</v>
      </c>
      <c r="O58" t="s">
        <v>115</v>
      </c>
      <c r="P58">
        <v>1</v>
      </c>
      <c r="Q58">
        <v>0</v>
      </c>
      <c r="R58">
        <v>0</v>
      </c>
      <c r="S58" t="s">
        <v>176</v>
      </c>
      <c r="T58" s="5" t="s">
        <v>24</v>
      </c>
      <c r="U58" s="5" t="s">
        <v>122</v>
      </c>
      <c r="V58" s="5" t="s">
        <v>115</v>
      </c>
      <c r="W58" s="5"/>
      <c r="X58" s="5"/>
      <c r="Y58" s="5"/>
      <c r="Z58" s="5" t="s">
        <v>115</v>
      </c>
      <c r="AA58" s="5" t="s">
        <v>115</v>
      </c>
      <c r="AB58" s="5" t="s">
        <v>115</v>
      </c>
      <c r="AC58" s="5" t="s">
        <v>115</v>
      </c>
      <c r="AD58" s="5" t="s">
        <v>115</v>
      </c>
      <c r="AE58" s="5" t="s">
        <v>115</v>
      </c>
      <c r="AF58" s="5" t="s">
        <v>115</v>
      </c>
      <c r="AG58" s="5" t="s">
        <v>115</v>
      </c>
      <c r="AH58">
        <v>0</v>
      </c>
      <c r="AI58">
        <v>0</v>
      </c>
      <c r="AJ58">
        <v>0</v>
      </c>
      <c r="AK58">
        <v>0</v>
      </c>
      <c r="AL58">
        <v>66</v>
      </c>
      <c r="AM58">
        <f t="shared" si="0"/>
        <v>66</v>
      </c>
      <c r="AN58" t="s">
        <v>188</v>
      </c>
    </row>
    <row r="59" spans="1:43" x14ac:dyDescent="0.2">
      <c r="A59" t="s">
        <v>3177</v>
      </c>
      <c r="B59" t="s">
        <v>3178</v>
      </c>
      <c r="C59">
        <v>4</v>
      </c>
      <c r="D59">
        <v>1</v>
      </c>
      <c r="E59" t="s">
        <v>3171</v>
      </c>
      <c r="F59" s="1">
        <v>43571</v>
      </c>
      <c r="G59" s="1" t="s">
        <v>4027</v>
      </c>
      <c r="H59" s="1"/>
      <c r="I59" s="2">
        <v>4.5833333333333337E-2</v>
      </c>
      <c r="J59" s="176">
        <v>7.6388888888888893E-4</v>
      </c>
      <c r="K59" s="6">
        <v>66</v>
      </c>
      <c r="L59" t="s">
        <v>1278</v>
      </c>
      <c r="M59" t="s">
        <v>149</v>
      </c>
      <c r="N59" t="s">
        <v>102</v>
      </c>
      <c r="O59" t="s">
        <v>115</v>
      </c>
      <c r="P59" t="s">
        <v>24</v>
      </c>
      <c r="Q59">
        <v>0</v>
      </c>
      <c r="R59">
        <v>0</v>
      </c>
      <c r="T59" s="5" t="s">
        <v>115</v>
      </c>
      <c r="U59" s="5" t="s">
        <v>115</v>
      </c>
      <c r="V59" s="5" t="s">
        <v>115</v>
      </c>
      <c r="W59" s="5"/>
      <c r="X59" s="5"/>
      <c r="Y59" s="5"/>
      <c r="Z59" s="5" t="s">
        <v>115</v>
      </c>
      <c r="AA59" s="5" t="s">
        <v>115</v>
      </c>
      <c r="AB59" s="5" t="s">
        <v>115</v>
      </c>
      <c r="AC59" s="5" t="s">
        <v>115</v>
      </c>
      <c r="AD59" s="5" t="s">
        <v>115</v>
      </c>
      <c r="AE59" s="5" t="s">
        <v>115</v>
      </c>
      <c r="AF59" s="5" t="s">
        <v>115</v>
      </c>
      <c r="AG59" s="5"/>
      <c r="AH59">
        <v>0</v>
      </c>
      <c r="AI59">
        <v>0</v>
      </c>
      <c r="AJ59">
        <v>0</v>
      </c>
      <c r="AK59">
        <v>0</v>
      </c>
      <c r="AL59">
        <v>66</v>
      </c>
      <c r="AM59">
        <f t="shared" si="0"/>
        <v>66</v>
      </c>
      <c r="AN59" t="s">
        <v>188</v>
      </c>
    </row>
    <row r="60" spans="1:43" x14ac:dyDescent="0.2">
      <c r="A60" t="s">
        <v>3022</v>
      </c>
      <c r="B60" t="s">
        <v>3023</v>
      </c>
      <c r="C60">
        <v>4</v>
      </c>
      <c r="D60">
        <v>1</v>
      </c>
      <c r="E60" t="s">
        <v>2487</v>
      </c>
      <c r="F60" s="1">
        <v>43564</v>
      </c>
      <c r="G60" s="1" t="s">
        <v>4027</v>
      </c>
      <c r="H60" s="1"/>
      <c r="I60" s="2">
        <v>5.7638888888888885E-2</v>
      </c>
      <c r="J60" s="176">
        <v>9.6064814814814808E-4</v>
      </c>
      <c r="K60" s="6">
        <v>83</v>
      </c>
      <c r="M60" t="s">
        <v>2498</v>
      </c>
      <c r="N60" t="s">
        <v>156</v>
      </c>
      <c r="O60" t="s">
        <v>1196</v>
      </c>
      <c r="P60">
        <v>0</v>
      </c>
      <c r="Q60">
        <v>0</v>
      </c>
      <c r="R60">
        <v>1</v>
      </c>
      <c r="S60" t="s">
        <v>598</v>
      </c>
      <c r="T60" s="5" t="s">
        <v>3100</v>
      </c>
      <c r="U60" s="5" t="s">
        <v>122</v>
      </c>
      <c r="V60" s="5" t="s">
        <v>3024</v>
      </c>
      <c r="W60" s="5" t="s">
        <v>1196</v>
      </c>
      <c r="X60" s="5" t="s">
        <v>3997</v>
      </c>
      <c r="Y60" s="5" t="s">
        <v>4020</v>
      </c>
      <c r="Z60" s="5" t="s">
        <v>3025</v>
      </c>
      <c r="AA60" s="5" t="s">
        <v>3025</v>
      </c>
      <c r="AB60" s="5" t="s">
        <v>3026</v>
      </c>
      <c r="AC60">
        <v>63.71922</v>
      </c>
      <c r="AD60">
        <v>148.98706000000001</v>
      </c>
      <c r="AE60" s="5" t="s">
        <v>115</v>
      </c>
      <c r="AF60" s="5" t="s">
        <v>115</v>
      </c>
      <c r="AG60" s="5"/>
      <c r="AH60">
        <v>0</v>
      </c>
      <c r="AI60">
        <v>0</v>
      </c>
      <c r="AJ60">
        <v>0</v>
      </c>
      <c r="AK60">
        <v>0</v>
      </c>
      <c r="AL60">
        <v>65</v>
      </c>
      <c r="AM60">
        <f t="shared" si="0"/>
        <v>65</v>
      </c>
      <c r="AO60" t="s">
        <v>3960</v>
      </c>
    </row>
    <row r="61" spans="1:43" x14ac:dyDescent="0.2">
      <c r="A61" t="s">
        <v>3619</v>
      </c>
      <c r="B61" t="s">
        <v>3625</v>
      </c>
      <c r="C61">
        <v>1</v>
      </c>
      <c r="D61">
        <v>1</v>
      </c>
      <c r="E61" t="s">
        <v>834</v>
      </c>
      <c r="F61" s="1">
        <v>43583</v>
      </c>
      <c r="G61" s="1" t="s">
        <v>4027</v>
      </c>
      <c r="H61" s="1"/>
      <c r="I61" s="2">
        <v>9.0277777777777776E-2</v>
      </c>
      <c r="J61" s="176">
        <v>1.5046296296296294E-3</v>
      </c>
      <c r="K61" s="6">
        <v>130</v>
      </c>
      <c r="L61" t="s">
        <v>3626</v>
      </c>
      <c r="M61" t="s">
        <v>466</v>
      </c>
      <c r="N61" t="s">
        <v>102</v>
      </c>
      <c r="O61" t="s">
        <v>115</v>
      </c>
      <c r="P61">
        <v>8</v>
      </c>
      <c r="Q61">
        <v>0</v>
      </c>
      <c r="R61">
        <v>0</v>
      </c>
      <c r="S61" t="s">
        <v>176</v>
      </c>
      <c r="T61" s="5" t="s">
        <v>2727</v>
      </c>
      <c r="U61" s="5" t="s">
        <v>122</v>
      </c>
      <c r="V61" s="5" t="s">
        <v>115</v>
      </c>
      <c r="W61" s="5"/>
      <c r="X61" s="5"/>
      <c r="Y61" s="5"/>
      <c r="Z61" s="5" t="s">
        <v>115</v>
      </c>
      <c r="AA61" s="5" t="s">
        <v>115</v>
      </c>
      <c r="AB61" s="5" t="s">
        <v>115</v>
      </c>
      <c r="AC61" s="5" t="s">
        <v>115</v>
      </c>
      <c r="AD61" s="5" t="s">
        <v>115</v>
      </c>
      <c r="AE61" s="5" t="s">
        <v>115</v>
      </c>
      <c r="AF61" s="5" t="s">
        <v>115</v>
      </c>
      <c r="AG61" s="5" t="s">
        <v>115</v>
      </c>
      <c r="AH61">
        <v>0</v>
      </c>
      <c r="AI61">
        <v>0</v>
      </c>
      <c r="AJ61">
        <v>0</v>
      </c>
      <c r="AK61">
        <v>0</v>
      </c>
      <c r="AL61">
        <v>65</v>
      </c>
      <c r="AM61">
        <f t="shared" si="0"/>
        <v>65</v>
      </c>
      <c r="AN61" t="s">
        <v>188</v>
      </c>
      <c r="AO61" t="s">
        <v>3621</v>
      </c>
    </row>
    <row r="62" spans="1:43" x14ac:dyDescent="0.2">
      <c r="A62" t="s">
        <v>3619</v>
      </c>
      <c r="B62" t="s">
        <v>3625</v>
      </c>
      <c r="C62">
        <v>1</v>
      </c>
      <c r="D62">
        <v>1</v>
      </c>
      <c r="E62" t="s">
        <v>834</v>
      </c>
      <c r="F62" s="1">
        <v>43583</v>
      </c>
      <c r="G62" s="1" t="s">
        <v>4027</v>
      </c>
      <c r="H62" s="1"/>
      <c r="I62" s="2">
        <v>9.0277777777777776E-2</v>
      </c>
      <c r="J62" s="176">
        <v>1.5046296296296294E-3</v>
      </c>
      <c r="K62" s="6">
        <v>130</v>
      </c>
      <c r="L62" t="s">
        <v>3626</v>
      </c>
      <c r="M62" t="s">
        <v>466</v>
      </c>
      <c r="N62" t="s">
        <v>102</v>
      </c>
      <c r="O62" t="s">
        <v>115</v>
      </c>
      <c r="P62">
        <v>3</v>
      </c>
      <c r="Q62">
        <v>0</v>
      </c>
      <c r="R62">
        <v>0</v>
      </c>
      <c r="S62" t="s">
        <v>598</v>
      </c>
      <c r="T62" s="5" t="s">
        <v>598</v>
      </c>
      <c r="U62" s="5" t="s">
        <v>122</v>
      </c>
      <c r="V62" s="5" t="s">
        <v>115</v>
      </c>
      <c r="W62" s="5"/>
      <c r="X62" s="5"/>
      <c r="Y62" s="5"/>
      <c r="Z62" s="5" t="s">
        <v>115</v>
      </c>
      <c r="AA62" s="5" t="s">
        <v>115</v>
      </c>
      <c r="AB62" s="5" t="s">
        <v>115</v>
      </c>
      <c r="AC62" s="5" t="s">
        <v>115</v>
      </c>
      <c r="AD62" s="5" t="s">
        <v>115</v>
      </c>
      <c r="AE62" s="5" t="s">
        <v>115</v>
      </c>
      <c r="AF62" s="5" t="s">
        <v>115</v>
      </c>
      <c r="AG62" s="5" t="s">
        <v>115</v>
      </c>
      <c r="AH62">
        <v>0</v>
      </c>
      <c r="AI62">
        <v>0</v>
      </c>
      <c r="AJ62">
        <v>0</v>
      </c>
      <c r="AK62">
        <v>0</v>
      </c>
      <c r="AL62">
        <v>65</v>
      </c>
      <c r="AM62">
        <f t="shared" si="0"/>
        <v>65</v>
      </c>
      <c r="AN62" t="s">
        <v>188</v>
      </c>
      <c r="AO62" t="s">
        <v>3620</v>
      </c>
    </row>
    <row r="63" spans="1:43" x14ac:dyDescent="0.2">
      <c r="A63" t="s">
        <v>2964</v>
      </c>
      <c r="B63" t="s">
        <v>2965</v>
      </c>
      <c r="C63">
        <v>17</v>
      </c>
      <c r="D63">
        <v>1</v>
      </c>
      <c r="E63" t="s">
        <v>834</v>
      </c>
      <c r="F63" s="1">
        <v>43560</v>
      </c>
      <c r="G63" s="1" t="s">
        <v>4027</v>
      </c>
      <c r="H63" s="1"/>
      <c r="I63" s="2">
        <v>4.4444444444444446E-2</v>
      </c>
      <c r="J63" s="176">
        <v>7.407407407407407E-4</v>
      </c>
      <c r="K63" s="6">
        <v>64</v>
      </c>
      <c r="M63" t="s">
        <v>466</v>
      </c>
      <c r="N63" t="s">
        <v>102</v>
      </c>
      <c r="O63" t="s">
        <v>115</v>
      </c>
      <c r="P63">
        <v>0</v>
      </c>
      <c r="Q63">
        <v>0</v>
      </c>
      <c r="R63">
        <v>0</v>
      </c>
      <c r="T63" s="5" t="s">
        <v>115</v>
      </c>
      <c r="U63" s="5" t="s">
        <v>115</v>
      </c>
      <c r="V63" s="5" t="s">
        <v>115</v>
      </c>
      <c r="W63" s="5"/>
      <c r="X63" s="5"/>
      <c r="Y63" s="5"/>
      <c r="Z63" s="5" t="s">
        <v>115</v>
      </c>
      <c r="AA63" s="5" t="s">
        <v>115</v>
      </c>
      <c r="AB63" s="5" t="s">
        <v>115</v>
      </c>
      <c r="AC63" s="5" t="s">
        <v>115</v>
      </c>
      <c r="AD63" s="5" t="s">
        <v>115</v>
      </c>
      <c r="AE63" s="5" t="s">
        <v>115</v>
      </c>
      <c r="AF63" s="5" t="s">
        <v>115</v>
      </c>
      <c r="AG63" s="5"/>
      <c r="AH63">
        <v>0</v>
      </c>
      <c r="AI63">
        <v>0</v>
      </c>
      <c r="AJ63">
        <v>0</v>
      </c>
      <c r="AK63">
        <v>0</v>
      </c>
      <c r="AL63">
        <v>64</v>
      </c>
      <c r="AM63">
        <f t="shared" si="0"/>
        <v>64</v>
      </c>
      <c r="AN63" t="s">
        <v>188</v>
      </c>
    </row>
    <row r="64" spans="1:43" x14ac:dyDescent="0.2">
      <c r="A64" t="s">
        <v>3275</v>
      </c>
      <c r="B64" t="s">
        <v>3276</v>
      </c>
      <c r="C64">
        <v>1</v>
      </c>
      <c r="D64">
        <v>2</v>
      </c>
      <c r="E64" t="s">
        <v>2601</v>
      </c>
      <c r="F64" s="1">
        <v>43573</v>
      </c>
      <c r="G64" s="1" t="s">
        <v>4027</v>
      </c>
      <c r="H64" s="1"/>
      <c r="I64" s="2">
        <v>7.7083333333333337E-2</v>
      </c>
      <c r="J64" s="176">
        <v>1.2847222222222223E-3</v>
      </c>
      <c r="K64" s="6">
        <v>111</v>
      </c>
      <c r="L64" t="s">
        <v>3277</v>
      </c>
      <c r="M64" t="s">
        <v>173</v>
      </c>
      <c r="N64" t="s">
        <v>102</v>
      </c>
      <c r="O64" t="s">
        <v>23</v>
      </c>
      <c r="P64">
        <v>1</v>
      </c>
      <c r="Q64" t="s">
        <v>24</v>
      </c>
      <c r="R64">
        <v>0</v>
      </c>
      <c r="S64" t="s">
        <v>176</v>
      </c>
      <c r="T64" s="5" t="s">
        <v>24</v>
      </c>
      <c r="U64" s="5" t="s">
        <v>487</v>
      </c>
      <c r="V64" s="5" t="s">
        <v>115</v>
      </c>
      <c r="W64" s="5"/>
      <c r="X64" s="5"/>
      <c r="Y64" s="5"/>
      <c r="Z64" s="5" t="s">
        <v>115</v>
      </c>
      <c r="AA64" s="5" t="s">
        <v>115</v>
      </c>
      <c r="AB64" s="5" t="s">
        <v>115</v>
      </c>
      <c r="AC64" s="5" t="s">
        <v>115</v>
      </c>
      <c r="AD64" s="5" t="s">
        <v>115</v>
      </c>
      <c r="AE64" s="5" t="s">
        <v>115</v>
      </c>
      <c r="AF64" s="5" t="s">
        <v>115</v>
      </c>
      <c r="AG64" s="5" t="s">
        <v>115</v>
      </c>
      <c r="AH64">
        <v>41</v>
      </c>
      <c r="AI64">
        <v>0</v>
      </c>
      <c r="AJ64">
        <v>0</v>
      </c>
      <c r="AK64">
        <v>41</v>
      </c>
      <c r="AL64">
        <v>23</v>
      </c>
      <c r="AM64">
        <f t="shared" si="0"/>
        <v>64</v>
      </c>
      <c r="AN64" t="s">
        <v>2374</v>
      </c>
      <c r="AP64">
        <v>1</v>
      </c>
      <c r="AQ64">
        <v>0</v>
      </c>
    </row>
    <row r="65" spans="1:43" x14ac:dyDescent="0.2">
      <c r="A65" t="s">
        <v>3555</v>
      </c>
      <c r="B65" t="s">
        <v>3556</v>
      </c>
      <c r="C65">
        <v>21</v>
      </c>
      <c r="D65">
        <v>1</v>
      </c>
      <c r="E65" t="s">
        <v>3171</v>
      </c>
      <c r="F65" s="1">
        <v>43580</v>
      </c>
      <c r="G65" s="1" t="s">
        <v>4027</v>
      </c>
      <c r="H65" s="1"/>
      <c r="I65" s="2">
        <v>4.4444444444444446E-2</v>
      </c>
      <c r="J65" s="176">
        <v>7.407407407407407E-4</v>
      </c>
      <c r="K65" s="6">
        <v>64</v>
      </c>
      <c r="L65" t="s">
        <v>101</v>
      </c>
      <c r="M65" t="s">
        <v>149</v>
      </c>
      <c r="N65" t="s">
        <v>102</v>
      </c>
      <c r="O65" t="s">
        <v>115</v>
      </c>
      <c r="P65" t="s">
        <v>24</v>
      </c>
      <c r="Q65">
        <v>0</v>
      </c>
      <c r="R65">
        <v>0</v>
      </c>
      <c r="T65" s="5" t="s">
        <v>115</v>
      </c>
      <c r="U65" s="5" t="s">
        <v>115</v>
      </c>
      <c r="V65" s="5" t="s">
        <v>115</v>
      </c>
      <c r="W65" s="5"/>
      <c r="X65" s="5"/>
      <c r="Y65" s="5"/>
      <c r="Z65" s="5" t="s">
        <v>115</v>
      </c>
      <c r="AA65" s="5" t="s">
        <v>115</v>
      </c>
      <c r="AB65" s="5" t="s">
        <v>115</v>
      </c>
      <c r="AC65" s="5" t="s">
        <v>115</v>
      </c>
      <c r="AD65" s="5" t="s">
        <v>115</v>
      </c>
      <c r="AE65" s="5" t="s">
        <v>115</v>
      </c>
      <c r="AF65" s="5" t="s">
        <v>115</v>
      </c>
      <c r="AG65" s="5" t="s">
        <v>115</v>
      </c>
      <c r="AH65">
        <v>0</v>
      </c>
      <c r="AI65">
        <v>0</v>
      </c>
      <c r="AJ65">
        <v>0</v>
      </c>
      <c r="AK65">
        <v>0</v>
      </c>
      <c r="AL65">
        <v>64</v>
      </c>
      <c r="AM65">
        <f t="shared" si="0"/>
        <v>64</v>
      </c>
      <c r="AN65" t="s">
        <v>188</v>
      </c>
    </row>
    <row r="66" spans="1:43" x14ac:dyDescent="0.2">
      <c r="A66" t="s">
        <v>3923</v>
      </c>
      <c r="B66" t="s">
        <v>3924</v>
      </c>
      <c r="C66">
        <v>5</v>
      </c>
      <c r="D66">
        <v>1</v>
      </c>
      <c r="E66" t="s">
        <v>2601</v>
      </c>
      <c r="F66" s="1">
        <v>43593</v>
      </c>
      <c r="G66" s="1" t="s">
        <v>4028</v>
      </c>
      <c r="H66" s="1"/>
      <c r="I66" s="2">
        <v>4.4444444444444446E-2</v>
      </c>
      <c r="J66" s="176">
        <v>7.407407407407407E-4</v>
      </c>
      <c r="K66" s="6">
        <v>64</v>
      </c>
      <c r="L66" t="s">
        <v>884</v>
      </c>
      <c r="M66" t="s">
        <v>177</v>
      </c>
      <c r="N66" t="s">
        <v>102</v>
      </c>
      <c r="O66" t="s">
        <v>115</v>
      </c>
      <c r="P66" t="s">
        <v>24</v>
      </c>
      <c r="Q66">
        <v>0</v>
      </c>
      <c r="R66">
        <v>0</v>
      </c>
      <c r="T66" s="5" t="s">
        <v>115</v>
      </c>
      <c r="U66" s="5" t="s">
        <v>115</v>
      </c>
      <c r="V66" s="5" t="s">
        <v>115</v>
      </c>
      <c r="W66" s="5"/>
      <c r="X66" s="5"/>
      <c r="Y66" s="5"/>
      <c r="Z66" s="5" t="s">
        <v>115</v>
      </c>
      <c r="AA66" s="5" t="s">
        <v>115</v>
      </c>
      <c r="AB66" s="5" t="s">
        <v>115</v>
      </c>
      <c r="AC66" s="5" t="s">
        <v>115</v>
      </c>
      <c r="AD66" s="5" t="s">
        <v>115</v>
      </c>
      <c r="AE66" s="5" t="s">
        <v>115</v>
      </c>
      <c r="AF66" s="5" t="s">
        <v>115</v>
      </c>
      <c r="AG66" s="5" t="s">
        <v>115</v>
      </c>
      <c r="AH66">
        <v>0</v>
      </c>
      <c r="AI66">
        <v>0</v>
      </c>
      <c r="AJ66">
        <v>0</v>
      </c>
      <c r="AK66">
        <v>0</v>
      </c>
      <c r="AL66">
        <v>64</v>
      </c>
      <c r="AM66">
        <f t="shared" ref="AM66:AM129" si="1">SUM(AH66+AI66+AL66)</f>
        <v>64</v>
      </c>
      <c r="AN66" t="s">
        <v>188</v>
      </c>
    </row>
    <row r="67" spans="1:43" x14ac:dyDescent="0.2">
      <c r="A67" t="s">
        <v>3300</v>
      </c>
      <c r="B67" t="s">
        <v>3301</v>
      </c>
      <c r="C67">
        <v>3</v>
      </c>
      <c r="D67">
        <v>1</v>
      </c>
      <c r="E67" t="s">
        <v>834</v>
      </c>
      <c r="F67" s="1">
        <v>43577</v>
      </c>
      <c r="G67" s="1" t="s">
        <v>4027</v>
      </c>
      <c r="H67" s="1"/>
      <c r="I67" s="2">
        <v>4.3750000000000004E-2</v>
      </c>
      <c r="J67" s="176">
        <v>7.291666666666667E-4</v>
      </c>
      <c r="K67" s="6">
        <v>63</v>
      </c>
      <c r="L67" t="s">
        <v>101</v>
      </c>
      <c r="M67" t="s">
        <v>466</v>
      </c>
      <c r="N67" t="s">
        <v>102</v>
      </c>
      <c r="O67" t="s">
        <v>115</v>
      </c>
      <c r="P67">
        <v>0</v>
      </c>
      <c r="Q67">
        <v>0</v>
      </c>
      <c r="R67">
        <v>0</v>
      </c>
      <c r="T67" s="5" t="s">
        <v>115</v>
      </c>
      <c r="U67" s="5" t="s">
        <v>115</v>
      </c>
      <c r="V67" s="5" t="s">
        <v>115</v>
      </c>
      <c r="W67" s="5"/>
      <c r="X67" s="5"/>
      <c r="Y67" s="5"/>
      <c r="Z67" s="5" t="s">
        <v>115</v>
      </c>
      <c r="AA67" s="5" t="s">
        <v>115</v>
      </c>
      <c r="AB67" s="5" t="s">
        <v>115</v>
      </c>
      <c r="AC67" s="5" t="s">
        <v>115</v>
      </c>
      <c r="AD67" s="5" t="s">
        <v>115</v>
      </c>
      <c r="AE67" s="5" t="s">
        <v>115</v>
      </c>
      <c r="AF67" s="5" t="s">
        <v>115</v>
      </c>
      <c r="AG67" s="5" t="s">
        <v>115</v>
      </c>
      <c r="AH67">
        <v>0</v>
      </c>
      <c r="AI67">
        <v>0</v>
      </c>
      <c r="AJ67">
        <v>0</v>
      </c>
      <c r="AK67">
        <v>0</v>
      </c>
      <c r="AL67">
        <v>63</v>
      </c>
      <c r="AM67">
        <f t="shared" si="1"/>
        <v>63</v>
      </c>
      <c r="AN67" t="s">
        <v>188</v>
      </c>
    </row>
    <row r="68" spans="1:43" x14ac:dyDescent="0.2">
      <c r="A68" t="s">
        <v>3239</v>
      </c>
      <c r="B68" t="s">
        <v>3240</v>
      </c>
      <c r="C68">
        <v>6</v>
      </c>
      <c r="D68">
        <v>2</v>
      </c>
      <c r="E68" t="s">
        <v>791</v>
      </c>
      <c r="F68" s="1">
        <v>43572</v>
      </c>
      <c r="G68" s="1" t="s">
        <v>4027</v>
      </c>
      <c r="H68" s="1"/>
      <c r="I68" s="2">
        <v>7.6388888888888895E-2</v>
      </c>
      <c r="J68" s="176">
        <v>1.2731481481481483E-3</v>
      </c>
      <c r="K68" s="6">
        <v>110</v>
      </c>
      <c r="L68" t="s">
        <v>3187</v>
      </c>
      <c r="M68" t="s">
        <v>924</v>
      </c>
      <c r="N68" t="s">
        <v>102</v>
      </c>
      <c r="O68" t="s">
        <v>23</v>
      </c>
      <c r="P68">
        <v>1</v>
      </c>
      <c r="Q68">
        <v>0</v>
      </c>
      <c r="R68">
        <v>0</v>
      </c>
      <c r="S68" t="s">
        <v>14</v>
      </c>
      <c r="T68" s="5" t="s">
        <v>3241</v>
      </c>
      <c r="U68" s="5" t="s">
        <v>122</v>
      </c>
      <c r="V68" s="5" t="s">
        <v>115</v>
      </c>
      <c r="W68" s="5"/>
      <c r="X68" s="5"/>
      <c r="Y68" s="5"/>
      <c r="Z68" s="5" t="s">
        <v>115</v>
      </c>
      <c r="AA68" s="5" t="s">
        <v>115</v>
      </c>
      <c r="AB68" s="5" t="s">
        <v>115</v>
      </c>
      <c r="AC68" s="5" t="s">
        <v>115</v>
      </c>
      <c r="AD68" s="5" t="s">
        <v>115</v>
      </c>
      <c r="AE68" s="5" t="s">
        <v>115</v>
      </c>
      <c r="AF68" s="5" t="s">
        <v>115</v>
      </c>
      <c r="AG68" s="5" t="s">
        <v>115</v>
      </c>
      <c r="AH68">
        <v>38</v>
      </c>
      <c r="AI68">
        <v>0</v>
      </c>
      <c r="AJ68">
        <v>38</v>
      </c>
      <c r="AK68">
        <v>0</v>
      </c>
      <c r="AL68">
        <v>24</v>
      </c>
      <c r="AM68">
        <f t="shared" si="1"/>
        <v>62</v>
      </c>
      <c r="AN68" t="s">
        <v>188</v>
      </c>
    </row>
    <row r="69" spans="1:43" x14ac:dyDescent="0.2">
      <c r="A69" t="s">
        <v>3500</v>
      </c>
      <c r="B69" t="s">
        <v>3501</v>
      </c>
      <c r="C69">
        <v>23</v>
      </c>
      <c r="D69">
        <v>1</v>
      </c>
      <c r="E69" t="s">
        <v>2462</v>
      </c>
      <c r="F69" s="1">
        <v>43579</v>
      </c>
      <c r="G69" s="1" t="s">
        <v>4027</v>
      </c>
      <c r="H69" s="1"/>
      <c r="I69" s="2">
        <v>4.3055555555555562E-2</v>
      </c>
      <c r="J69" s="176">
        <v>7.175925925925927E-4</v>
      </c>
      <c r="K69" s="6">
        <v>62</v>
      </c>
      <c r="L69" t="s">
        <v>101</v>
      </c>
      <c r="M69" t="s">
        <v>363</v>
      </c>
      <c r="N69" t="s">
        <v>102</v>
      </c>
      <c r="O69" t="s">
        <v>115</v>
      </c>
      <c r="P69">
        <v>1</v>
      </c>
      <c r="Q69">
        <v>0</v>
      </c>
      <c r="R69">
        <v>0</v>
      </c>
      <c r="S69" t="s">
        <v>176</v>
      </c>
      <c r="T69" s="5" t="s">
        <v>24</v>
      </c>
      <c r="U69" s="5" t="s">
        <v>122</v>
      </c>
      <c r="V69" s="5" t="s">
        <v>115</v>
      </c>
      <c r="W69" s="5"/>
      <c r="X69" s="5"/>
      <c r="Y69" s="5"/>
      <c r="Z69" s="5" t="s">
        <v>115</v>
      </c>
      <c r="AA69" s="5" t="s">
        <v>115</v>
      </c>
      <c r="AB69" s="5" t="s">
        <v>115</v>
      </c>
      <c r="AC69" s="5" t="s">
        <v>115</v>
      </c>
      <c r="AD69" s="5" t="s">
        <v>115</v>
      </c>
      <c r="AE69" s="5" t="s">
        <v>115</v>
      </c>
      <c r="AF69" s="5" t="s">
        <v>115</v>
      </c>
      <c r="AG69" s="5" t="s">
        <v>115</v>
      </c>
      <c r="AH69">
        <v>0</v>
      </c>
      <c r="AI69">
        <v>0</v>
      </c>
      <c r="AJ69">
        <v>0</v>
      </c>
      <c r="AK69">
        <v>0</v>
      </c>
      <c r="AL69">
        <v>62</v>
      </c>
      <c r="AM69">
        <f t="shared" si="1"/>
        <v>62</v>
      </c>
      <c r="AN69" t="s">
        <v>188</v>
      </c>
    </row>
    <row r="70" spans="1:43" x14ac:dyDescent="0.2">
      <c r="A70" t="s">
        <v>2730</v>
      </c>
      <c r="B70" t="s">
        <v>2731</v>
      </c>
      <c r="C70">
        <v>2</v>
      </c>
      <c r="D70">
        <v>1</v>
      </c>
      <c r="E70" t="s">
        <v>834</v>
      </c>
      <c r="F70" s="1">
        <v>43554</v>
      </c>
      <c r="G70" s="1" t="s">
        <v>4026</v>
      </c>
      <c r="H70" s="1"/>
      <c r="I70" s="2">
        <v>4.3055555555555562E-2</v>
      </c>
      <c r="J70" s="176">
        <v>7.175925925925927E-4</v>
      </c>
      <c r="K70" s="6">
        <v>62</v>
      </c>
      <c r="M70" t="s">
        <v>466</v>
      </c>
      <c r="N70" t="s">
        <v>102</v>
      </c>
      <c r="O70" t="s">
        <v>115</v>
      </c>
      <c r="P70" t="s">
        <v>24</v>
      </c>
      <c r="Q70">
        <v>0</v>
      </c>
      <c r="R70">
        <v>0</v>
      </c>
      <c r="T70" s="5" t="s">
        <v>115</v>
      </c>
      <c r="U70" s="5" t="s">
        <v>115</v>
      </c>
      <c r="V70" s="5" t="s">
        <v>115</v>
      </c>
      <c r="W70" s="5"/>
      <c r="X70" s="5"/>
      <c r="Y70" s="5"/>
      <c r="Z70" s="5" t="s">
        <v>115</v>
      </c>
      <c r="AA70" s="5" t="s">
        <v>115</v>
      </c>
      <c r="AB70" s="5" t="s">
        <v>115</v>
      </c>
      <c r="AC70" s="5" t="s">
        <v>115</v>
      </c>
      <c r="AD70" s="5" t="s">
        <v>115</v>
      </c>
      <c r="AE70" s="5" t="s">
        <v>115</v>
      </c>
      <c r="AF70" s="5" t="s">
        <v>115</v>
      </c>
      <c r="AG70" s="5"/>
      <c r="AH70">
        <v>0</v>
      </c>
      <c r="AI70">
        <v>0</v>
      </c>
      <c r="AJ70">
        <v>0</v>
      </c>
      <c r="AK70">
        <v>0</v>
      </c>
      <c r="AL70">
        <v>62</v>
      </c>
      <c r="AM70">
        <f t="shared" si="1"/>
        <v>62</v>
      </c>
      <c r="AN70" t="s">
        <v>188</v>
      </c>
    </row>
    <row r="71" spans="1:43" x14ac:dyDescent="0.2">
      <c r="A71" t="s">
        <v>3001</v>
      </c>
      <c r="B71" t="s">
        <v>3003</v>
      </c>
      <c r="C71">
        <v>1</v>
      </c>
      <c r="D71">
        <v>1</v>
      </c>
      <c r="E71" t="s">
        <v>324</v>
      </c>
      <c r="F71" s="1">
        <v>43564</v>
      </c>
      <c r="G71" s="1" t="s">
        <v>4027</v>
      </c>
      <c r="H71" s="1"/>
      <c r="I71" s="2">
        <v>4.9999999999999996E-2</v>
      </c>
      <c r="J71" s="176">
        <v>8.3333333333333339E-4</v>
      </c>
      <c r="K71" s="6">
        <v>72</v>
      </c>
      <c r="L71" t="s">
        <v>101</v>
      </c>
      <c r="M71" t="s">
        <v>325</v>
      </c>
      <c r="N71" t="s">
        <v>102</v>
      </c>
      <c r="O71" t="s">
        <v>115</v>
      </c>
      <c r="P71" t="s">
        <v>24</v>
      </c>
      <c r="Q71">
        <v>0</v>
      </c>
      <c r="R71">
        <v>0</v>
      </c>
      <c r="T71" s="5" t="s">
        <v>115</v>
      </c>
      <c r="U71" s="5" t="s">
        <v>115</v>
      </c>
      <c r="V71" s="5" t="s">
        <v>115</v>
      </c>
      <c r="W71" s="5"/>
      <c r="X71" s="5"/>
      <c r="Y71" s="5"/>
      <c r="Z71" s="5" t="s">
        <v>115</v>
      </c>
      <c r="AA71" s="5" t="s">
        <v>115</v>
      </c>
      <c r="AB71" s="5" t="s">
        <v>115</v>
      </c>
      <c r="AC71" s="5" t="s">
        <v>115</v>
      </c>
      <c r="AD71" s="5" t="s">
        <v>115</v>
      </c>
      <c r="AE71" s="5" t="s">
        <v>115</v>
      </c>
      <c r="AF71" s="5" t="s">
        <v>115</v>
      </c>
      <c r="AG71" s="5"/>
      <c r="AH71">
        <v>0</v>
      </c>
      <c r="AI71">
        <v>0</v>
      </c>
      <c r="AJ71">
        <v>0</v>
      </c>
      <c r="AK71">
        <v>0</v>
      </c>
      <c r="AL71">
        <v>62</v>
      </c>
      <c r="AM71">
        <f t="shared" si="1"/>
        <v>62</v>
      </c>
      <c r="AN71" t="s">
        <v>188</v>
      </c>
    </row>
    <row r="72" spans="1:43" x14ac:dyDescent="0.2">
      <c r="A72" t="s">
        <v>3593</v>
      </c>
      <c r="B72" t="s">
        <v>3594</v>
      </c>
      <c r="C72">
        <v>38</v>
      </c>
      <c r="D72">
        <v>1</v>
      </c>
      <c r="E72" t="s">
        <v>3171</v>
      </c>
      <c r="F72" s="1">
        <v>43580</v>
      </c>
      <c r="G72" s="1" t="s">
        <v>4027</v>
      </c>
      <c r="H72" s="1"/>
      <c r="I72" s="2">
        <v>4.4444444444444446E-2</v>
      </c>
      <c r="J72" s="176">
        <v>7.407407407407407E-4</v>
      </c>
      <c r="K72" s="6">
        <v>64</v>
      </c>
      <c r="L72" t="s">
        <v>101</v>
      </c>
      <c r="M72" t="s">
        <v>149</v>
      </c>
      <c r="N72" t="s">
        <v>102</v>
      </c>
      <c r="O72" t="s">
        <v>115</v>
      </c>
      <c r="P72" t="s">
        <v>24</v>
      </c>
      <c r="Q72">
        <v>0</v>
      </c>
      <c r="R72">
        <v>0</v>
      </c>
      <c r="T72" s="5" t="s">
        <v>115</v>
      </c>
      <c r="U72" s="5" t="s">
        <v>115</v>
      </c>
      <c r="V72" s="5" t="s">
        <v>115</v>
      </c>
      <c r="W72" s="5"/>
      <c r="X72" s="5"/>
      <c r="Y72" s="5"/>
      <c r="Z72" s="5" t="s">
        <v>115</v>
      </c>
      <c r="AA72" s="5" t="s">
        <v>115</v>
      </c>
      <c r="AB72" s="5" t="s">
        <v>115</v>
      </c>
      <c r="AC72" s="5" t="s">
        <v>115</v>
      </c>
      <c r="AD72" s="5" t="s">
        <v>115</v>
      </c>
      <c r="AE72" s="5" t="s">
        <v>115</v>
      </c>
      <c r="AF72" s="5" t="s">
        <v>115</v>
      </c>
      <c r="AG72" s="5" t="s">
        <v>115</v>
      </c>
      <c r="AH72">
        <v>0</v>
      </c>
      <c r="AI72">
        <v>0</v>
      </c>
      <c r="AJ72">
        <v>0</v>
      </c>
      <c r="AK72">
        <v>0</v>
      </c>
      <c r="AL72">
        <v>62</v>
      </c>
      <c r="AM72">
        <f t="shared" si="1"/>
        <v>62</v>
      </c>
      <c r="AN72" t="s">
        <v>188</v>
      </c>
    </row>
    <row r="73" spans="1:43" x14ac:dyDescent="0.2">
      <c r="A73" t="s">
        <v>3482</v>
      </c>
      <c r="B73" t="s">
        <v>3483</v>
      </c>
      <c r="C73">
        <v>14</v>
      </c>
      <c r="D73">
        <v>1</v>
      </c>
      <c r="E73" t="s">
        <v>2462</v>
      </c>
      <c r="F73" s="1">
        <v>43579</v>
      </c>
      <c r="G73" s="1" t="s">
        <v>4027</v>
      </c>
      <c r="H73" s="1"/>
      <c r="I73" s="2">
        <v>4.8611111111111112E-2</v>
      </c>
      <c r="J73" s="176">
        <v>8.1018518518518516E-4</v>
      </c>
      <c r="K73" s="6">
        <v>70</v>
      </c>
      <c r="L73" t="s">
        <v>101</v>
      </c>
      <c r="M73" t="s">
        <v>64</v>
      </c>
      <c r="N73" t="s">
        <v>102</v>
      </c>
      <c r="O73" t="s">
        <v>115</v>
      </c>
      <c r="P73">
        <v>1</v>
      </c>
      <c r="Q73">
        <v>0</v>
      </c>
      <c r="R73">
        <v>0</v>
      </c>
      <c r="S73" t="s">
        <v>176</v>
      </c>
      <c r="T73" s="5" t="s">
        <v>24</v>
      </c>
      <c r="U73" s="5" t="s">
        <v>122</v>
      </c>
      <c r="V73" s="5" t="s">
        <v>115</v>
      </c>
      <c r="W73" s="5"/>
      <c r="X73" s="5"/>
      <c r="Y73" s="5"/>
      <c r="Z73" s="5" t="s">
        <v>115</v>
      </c>
      <c r="AA73" s="5" t="s">
        <v>115</v>
      </c>
      <c r="AB73" s="5" t="s">
        <v>115</v>
      </c>
      <c r="AC73" s="5" t="s">
        <v>115</v>
      </c>
      <c r="AD73" s="5" t="s">
        <v>115</v>
      </c>
      <c r="AE73" s="5" t="s">
        <v>115</v>
      </c>
      <c r="AF73" s="5" t="s">
        <v>115</v>
      </c>
      <c r="AG73" s="5" t="s">
        <v>115</v>
      </c>
      <c r="AH73">
        <v>0</v>
      </c>
      <c r="AI73">
        <v>0</v>
      </c>
      <c r="AJ73">
        <v>0</v>
      </c>
      <c r="AK73">
        <v>0</v>
      </c>
      <c r="AL73">
        <v>61</v>
      </c>
      <c r="AM73">
        <f t="shared" si="1"/>
        <v>61</v>
      </c>
      <c r="AN73" t="s">
        <v>188</v>
      </c>
    </row>
    <row r="74" spans="1:43" x14ac:dyDescent="0.2">
      <c r="A74" t="s">
        <v>3212</v>
      </c>
      <c r="B74" t="s">
        <v>3213</v>
      </c>
      <c r="C74">
        <v>13</v>
      </c>
      <c r="D74">
        <v>1</v>
      </c>
      <c r="E74" t="s">
        <v>2487</v>
      </c>
      <c r="F74" s="1">
        <v>43572</v>
      </c>
      <c r="G74" s="1" t="s">
        <v>4027</v>
      </c>
      <c r="H74" s="1"/>
      <c r="I74" s="2">
        <v>4.7916666666666663E-2</v>
      </c>
      <c r="J74" s="176">
        <v>7.9861111111111105E-4</v>
      </c>
      <c r="K74" s="6">
        <v>69</v>
      </c>
      <c r="L74" t="s">
        <v>3187</v>
      </c>
      <c r="M74" t="s">
        <v>2488</v>
      </c>
      <c r="N74" t="s">
        <v>102</v>
      </c>
      <c r="O74" t="s">
        <v>23</v>
      </c>
      <c r="P74" t="s">
        <v>24</v>
      </c>
      <c r="Q74" t="s">
        <v>24</v>
      </c>
      <c r="R74">
        <v>0</v>
      </c>
      <c r="T74" s="5" t="s">
        <v>115</v>
      </c>
      <c r="U74" s="5" t="s">
        <v>115</v>
      </c>
      <c r="V74" s="5" t="s">
        <v>115</v>
      </c>
      <c r="W74" s="5"/>
      <c r="X74" s="5"/>
      <c r="Y74" s="5"/>
      <c r="Z74" s="5" t="s">
        <v>115</v>
      </c>
      <c r="AA74" s="5" t="s">
        <v>115</v>
      </c>
      <c r="AB74" s="5" t="s">
        <v>115</v>
      </c>
      <c r="AC74" s="5" t="s">
        <v>115</v>
      </c>
      <c r="AD74" s="5" t="s">
        <v>115</v>
      </c>
      <c r="AE74" s="5" t="s">
        <v>115</v>
      </c>
      <c r="AF74" s="5" t="s">
        <v>115</v>
      </c>
      <c r="AG74" s="5"/>
      <c r="AH74">
        <v>46</v>
      </c>
      <c r="AI74">
        <v>15</v>
      </c>
      <c r="AJ74">
        <v>46</v>
      </c>
      <c r="AK74">
        <v>15</v>
      </c>
      <c r="AL74">
        <v>0</v>
      </c>
      <c r="AM74">
        <f t="shared" si="1"/>
        <v>61</v>
      </c>
    </row>
    <row r="75" spans="1:43" x14ac:dyDescent="0.2">
      <c r="A75" t="s">
        <v>3659</v>
      </c>
      <c r="B75" t="s">
        <v>3658</v>
      </c>
      <c r="C75">
        <v>14</v>
      </c>
      <c r="D75">
        <v>1</v>
      </c>
      <c r="E75" t="s">
        <v>2487</v>
      </c>
      <c r="F75" s="1">
        <v>43585</v>
      </c>
      <c r="G75" s="1" t="s">
        <v>4027</v>
      </c>
      <c r="H75" s="1"/>
      <c r="I75" s="2">
        <v>4.2361111111111106E-2</v>
      </c>
      <c r="J75" s="176">
        <v>7.0601851851851847E-4</v>
      </c>
      <c r="K75" s="6">
        <v>61</v>
      </c>
      <c r="L75" t="s">
        <v>3626</v>
      </c>
      <c r="M75" t="s">
        <v>2488</v>
      </c>
      <c r="N75" t="s">
        <v>102</v>
      </c>
      <c r="O75" t="s">
        <v>115</v>
      </c>
      <c r="P75" t="s">
        <v>24</v>
      </c>
      <c r="Q75">
        <v>0</v>
      </c>
      <c r="R75">
        <v>0</v>
      </c>
      <c r="T75" s="5" t="s">
        <v>115</v>
      </c>
      <c r="U75" s="5" t="s">
        <v>115</v>
      </c>
      <c r="V75" s="5" t="s">
        <v>115</v>
      </c>
      <c r="W75" s="5"/>
      <c r="X75" s="5"/>
      <c r="Y75" s="5"/>
      <c r="Z75" s="5" t="s">
        <v>115</v>
      </c>
      <c r="AA75" s="5" t="s">
        <v>115</v>
      </c>
      <c r="AB75" s="5" t="s">
        <v>115</v>
      </c>
      <c r="AC75" s="5" t="s">
        <v>115</v>
      </c>
      <c r="AD75" s="5" t="s">
        <v>115</v>
      </c>
      <c r="AE75" s="5" t="s">
        <v>115</v>
      </c>
      <c r="AF75" s="5" t="s">
        <v>115</v>
      </c>
      <c r="AG75" s="5" t="s">
        <v>115</v>
      </c>
      <c r="AH75">
        <v>0</v>
      </c>
      <c r="AI75">
        <v>0</v>
      </c>
      <c r="AJ75">
        <v>0</v>
      </c>
      <c r="AK75">
        <v>0</v>
      </c>
      <c r="AL75">
        <v>61</v>
      </c>
      <c r="AM75">
        <f t="shared" si="1"/>
        <v>61</v>
      </c>
      <c r="AN75" t="s">
        <v>188</v>
      </c>
    </row>
    <row r="76" spans="1:43" x14ac:dyDescent="0.2">
      <c r="A76" t="s">
        <v>2744</v>
      </c>
      <c r="B76" t="s">
        <v>2745</v>
      </c>
      <c r="C76">
        <v>9</v>
      </c>
      <c r="D76">
        <v>1</v>
      </c>
      <c r="E76" t="s">
        <v>834</v>
      </c>
      <c r="F76" s="1">
        <v>43554</v>
      </c>
      <c r="G76" s="1" t="s">
        <v>4026</v>
      </c>
      <c r="H76" s="1"/>
      <c r="I76" s="2">
        <v>4.1666666666666664E-2</v>
      </c>
      <c r="J76" s="176">
        <v>6.9444444444444447E-4</v>
      </c>
      <c r="K76" s="6">
        <v>60</v>
      </c>
      <c r="M76" t="s">
        <v>466</v>
      </c>
      <c r="N76" t="s">
        <v>102</v>
      </c>
      <c r="O76" t="s">
        <v>115</v>
      </c>
      <c r="P76">
        <v>4</v>
      </c>
      <c r="Q76">
        <v>0</v>
      </c>
      <c r="R76">
        <v>0</v>
      </c>
      <c r="S76" t="s">
        <v>176</v>
      </c>
      <c r="T76" s="5" t="s">
        <v>24</v>
      </c>
      <c r="U76" s="5" t="s">
        <v>122</v>
      </c>
      <c r="V76" s="5" t="s">
        <v>115</v>
      </c>
      <c r="W76" s="5"/>
      <c r="X76" s="5"/>
      <c r="Y76" s="5"/>
      <c r="Z76" s="5" t="s">
        <v>115</v>
      </c>
      <c r="AA76" s="5" t="s">
        <v>115</v>
      </c>
      <c r="AB76" s="5" t="s">
        <v>115</v>
      </c>
      <c r="AC76" s="5" t="s">
        <v>115</v>
      </c>
      <c r="AD76" s="5" t="s">
        <v>115</v>
      </c>
      <c r="AE76" s="5" t="s">
        <v>115</v>
      </c>
      <c r="AF76" s="5" t="s">
        <v>115</v>
      </c>
      <c r="AG76" s="5"/>
      <c r="AH76">
        <v>0</v>
      </c>
      <c r="AI76">
        <v>0</v>
      </c>
      <c r="AJ76">
        <v>0</v>
      </c>
      <c r="AK76">
        <v>0</v>
      </c>
      <c r="AL76">
        <v>60</v>
      </c>
      <c r="AM76">
        <f t="shared" si="1"/>
        <v>60</v>
      </c>
      <c r="AN76" t="s">
        <v>188</v>
      </c>
    </row>
    <row r="77" spans="1:43" x14ac:dyDescent="0.2">
      <c r="A77" t="s">
        <v>3073</v>
      </c>
      <c r="B77" t="s">
        <v>3074</v>
      </c>
      <c r="C77">
        <v>2</v>
      </c>
      <c r="D77">
        <v>2</v>
      </c>
      <c r="E77" t="s">
        <v>2601</v>
      </c>
      <c r="F77" s="1">
        <v>43570</v>
      </c>
      <c r="G77" s="1" t="s">
        <v>4027</v>
      </c>
      <c r="H77" s="1"/>
      <c r="I77" s="2">
        <v>6.805555555555555E-2</v>
      </c>
      <c r="J77" s="176">
        <v>1.1342592592592591E-3</v>
      </c>
      <c r="K77" s="6">
        <v>98</v>
      </c>
      <c r="L77" t="s">
        <v>101</v>
      </c>
      <c r="M77" t="s">
        <v>173</v>
      </c>
      <c r="N77" t="s">
        <v>102</v>
      </c>
      <c r="O77" t="s">
        <v>115</v>
      </c>
      <c r="P77">
        <v>1</v>
      </c>
      <c r="Q77">
        <v>0</v>
      </c>
      <c r="R77">
        <v>0</v>
      </c>
      <c r="S77" t="s">
        <v>176</v>
      </c>
      <c r="T77" s="5" t="s">
        <v>24</v>
      </c>
      <c r="U77" s="5" t="s">
        <v>122</v>
      </c>
      <c r="V77" s="5" t="s">
        <v>115</v>
      </c>
      <c r="W77" s="5"/>
      <c r="X77" s="5"/>
      <c r="Y77" s="5"/>
      <c r="Z77" s="5" t="s">
        <v>115</v>
      </c>
      <c r="AA77" s="5" t="s">
        <v>115</v>
      </c>
      <c r="AB77" s="5" t="s">
        <v>115</v>
      </c>
      <c r="AC77" s="5" t="s">
        <v>115</v>
      </c>
      <c r="AD77" s="5" t="s">
        <v>115</v>
      </c>
      <c r="AE77" s="5" t="s">
        <v>115</v>
      </c>
      <c r="AF77" s="5" t="s">
        <v>115</v>
      </c>
      <c r="AG77" s="5"/>
      <c r="AH77">
        <v>0</v>
      </c>
      <c r="AI77">
        <v>0</v>
      </c>
      <c r="AJ77">
        <v>0</v>
      </c>
      <c r="AK77">
        <v>0</v>
      </c>
      <c r="AL77">
        <v>60</v>
      </c>
      <c r="AM77">
        <f t="shared" si="1"/>
        <v>60</v>
      </c>
    </row>
    <row r="78" spans="1:43" x14ac:dyDescent="0.2">
      <c r="A78" t="s">
        <v>3400</v>
      </c>
      <c r="B78" t="s">
        <v>3401</v>
      </c>
      <c r="C78">
        <v>22</v>
      </c>
      <c r="D78">
        <v>1</v>
      </c>
      <c r="E78" t="s">
        <v>3171</v>
      </c>
      <c r="F78" s="1">
        <v>43577</v>
      </c>
      <c r="G78" s="1" t="s">
        <v>4027</v>
      </c>
      <c r="H78" s="1" t="s">
        <v>4752</v>
      </c>
      <c r="I78" s="2">
        <v>6.7361111111111108E-2</v>
      </c>
      <c r="J78" s="176">
        <v>1.1226851851851851E-3</v>
      </c>
      <c r="K78" s="6">
        <v>97</v>
      </c>
      <c r="L78" t="s">
        <v>101</v>
      </c>
      <c r="M78" t="s">
        <v>670</v>
      </c>
      <c r="N78" t="s">
        <v>102</v>
      </c>
      <c r="O78" t="s">
        <v>115</v>
      </c>
      <c r="P78">
        <v>1</v>
      </c>
      <c r="Q78">
        <v>0</v>
      </c>
      <c r="R78">
        <v>0</v>
      </c>
      <c r="S78" t="s">
        <v>176</v>
      </c>
      <c r="T78" s="5" t="s">
        <v>2727</v>
      </c>
      <c r="U78" s="5" t="s">
        <v>122</v>
      </c>
      <c r="V78" s="5" t="s">
        <v>115</v>
      </c>
      <c r="W78" s="5"/>
      <c r="X78" s="5"/>
      <c r="Y78" s="5"/>
      <c r="Z78" s="5" t="s">
        <v>115</v>
      </c>
      <c r="AA78" s="5" t="s">
        <v>115</v>
      </c>
      <c r="AB78" s="5" t="s">
        <v>115</v>
      </c>
      <c r="AC78" s="5" t="s">
        <v>115</v>
      </c>
      <c r="AD78" s="5" t="s">
        <v>115</v>
      </c>
      <c r="AE78" s="5" t="s">
        <v>115</v>
      </c>
      <c r="AF78" s="5" t="s">
        <v>115</v>
      </c>
      <c r="AG78" s="5" t="s">
        <v>115</v>
      </c>
      <c r="AH78">
        <v>0</v>
      </c>
      <c r="AI78">
        <v>0</v>
      </c>
      <c r="AJ78">
        <v>0</v>
      </c>
      <c r="AK78">
        <v>0</v>
      </c>
      <c r="AL78">
        <v>60</v>
      </c>
      <c r="AM78">
        <f t="shared" si="1"/>
        <v>60</v>
      </c>
      <c r="AN78" t="s">
        <v>188</v>
      </c>
    </row>
    <row r="79" spans="1:43" x14ac:dyDescent="0.2">
      <c r="A79" t="s">
        <v>2792</v>
      </c>
      <c r="B79" t="s">
        <v>2793</v>
      </c>
      <c r="C79">
        <v>3</v>
      </c>
      <c r="D79">
        <v>1</v>
      </c>
      <c r="E79" t="s">
        <v>138</v>
      </c>
      <c r="F79" s="1">
        <v>43556</v>
      </c>
      <c r="G79" s="1" t="s">
        <v>4027</v>
      </c>
      <c r="H79" s="1"/>
      <c r="I79" s="2">
        <v>4.1666666666666664E-2</v>
      </c>
      <c r="J79" s="176">
        <v>6.9444444444444447E-4</v>
      </c>
      <c r="K79" s="6">
        <v>60</v>
      </c>
      <c r="M79" t="s">
        <v>173</v>
      </c>
      <c r="N79" t="s">
        <v>102</v>
      </c>
      <c r="O79" t="s">
        <v>115</v>
      </c>
      <c r="P79" t="s">
        <v>24</v>
      </c>
      <c r="Q79">
        <v>0</v>
      </c>
      <c r="R79">
        <v>0</v>
      </c>
      <c r="T79" s="5" t="s">
        <v>115</v>
      </c>
      <c r="U79" s="5" t="s">
        <v>115</v>
      </c>
      <c r="V79" s="5" t="s">
        <v>115</v>
      </c>
      <c r="W79" s="5"/>
      <c r="X79" s="5"/>
      <c r="Y79" s="5"/>
      <c r="Z79" s="5" t="s">
        <v>115</v>
      </c>
      <c r="AA79" s="5" t="s">
        <v>115</v>
      </c>
      <c r="AB79" s="5" t="s">
        <v>115</v>
      </c>
      <c r="AC79" s="5" t="s">
        <v>115</v>
      </c>
      <c r="AD79" s="5" t="s">
        <v>115</v>
      </c>
      <c r="AE79" s="5" t="s">
        <v>115</v>
      </c>
      <c r="AF79" s="5" t="s">
        <v>115</v>
      </c>
      <c r="AG79" s="5"/>
      <c r="AH79">
        <v>0</v>
      </c>
      <c r="AI79">
        <v>0</v>
      </c>
      <c r="AJ79">
        <v>0</v>
      </c>
      <c r="AK79">
        <v>0</v>
      </c>
      <c r="AL79">
        <v>60</v>
      </c>
      <c r="AM79">
        <f t="shared" si="1"/>
        <v>60</v>
      </c>
      <c r="AN79" t="s">
        <v>188</v>
      </c>
    </row>
    <row r="80" spans="1:43" x14ac:dyDescent="0.2">
      <c r="A80" t="s">
        <v>3226</v>
      </c>
      <c r="B80" t="s">
        <v>3227</v>
      </c>
      <c r="C80">
        <v>18</v>
      </c>
      <c r="D80">
        <v>1</v>
      </c>
      <c r="E80" t="s">
        <v>2487</v>
      </c>
      <c r="F80" s="1">
        <v>43572</v>
      </c>
      <c r="G80" s="1" t="s">
        <v>4027</v>
      </c>
      <c r="H80" s="1"/>
      <c r="I80" s="2">
        <v>5.2083333333333336E-2</v>
      </c>
      <c r="J80" s="176">
        <v>8.6805555555555551E-4</v>
      </c>
      <c r="K80" s="6">
        <v>75</v>
      </c>
      <c r="L80" t="s">
        <v>3187</v>
      </c>
      <c r="M80" t="s">
        <v>2488</v>
      </c>
      <c r="N80" t="s">
        <v>102</v>
      </c>
      <c r="O80" t="s">
        <v>23</v>
      </c>
      <c r="P80">
        <v>1</v>
      </c>
      <c r="Q80">
        <v>0</v>
      </c>
      <c r="R80">
        <v>0</v>
      </c>
      <c r="S80" t="s">
        <v>598</v>
      </c>
      <c r="T80" s="5" t="s">
        <v>598</v>
      </c>
      <c r="U80" s="5" t="s">
        <v>1035</v>
      </c>
      <c r="V80" s="5" t="s">
        <v>115</v>
      </c>
      <c r="W80" s="5"/>
      <c r="X80" s="5"/>
      <c r="Y80" s="5"/>
      <c r="Z80" s="5" t="s">
        <v>115</v>
      </c>
      <c r="AA80" s="5" t="s">
        <v>115</v>
      </c>
      <c r="AB80" s="5" t="s">
        <v>115</v>
      </c>
      <c r="AC80" s="5" t="s">
        <v>115</v>
      </c>
      <c r="AD80" s="5" t="s">
        <v>115</v>
      </c>
      <c r="AE80" s="5" t="s">
        <v>115</v>
      </c>
      <c r="AF80" s="5" t="s">
        <v>115</v>
      </c>
      <c r="AG80" s="5" t="s">
        <v>115</v>
      </c>
      <c r="AH80">
        <v>56</v>
      </c>
      <c r="AI80">
        <v>2</v>
      </c>
      <c r="AJ80">
        <v>56</v>
      </c>
      <c r="AK80">
        <v>2</v>
      </c>
      <c r="AL80">
        <v>0</v>
      </c>
      <c r="AM80">
        <f t="shared" si="1"/>
        <v>58</v>
      </c>
      <c r="AN80" t="s">
        <v>123</v>
      </c>
      <c r="AP80">
        <v>2</v>
      </c>
      <c r="AQ80">
        <v>1</v>
      </c>
    </row>
    <row r="81" spans="1:40" x14ac:dyDescent="0.2">
      <c r="A81" t="s">
        <v>3232</v>
      </c>
      <c r="B81" t="s">
        <v>3233</v>
      </c>
      <c r="C81">
        <v>3</v>
      </c>
      <c r="D81">
        <v>2</v>
      </c>
      <c r="E81" t="s">
        <v>791</v>
      </c>
      <c r="F81" s="1">
        <v>43572</v>
      </c>
      <c r="G81" s="1" t="s">
        <v>4027</v>
      </c>
      <c r="H81" s="1"/>
      <c r="I81" s="2">
        <v>4.7916666666666663E-2</v>
      </c>
      <c r="J81" s="176">
        <v>7.9861111111111105E-4</v>
      </c>
      <c r="K81" s="6">
        <v>69</v>
      </c>
      <c r="L81" t="s">
        <v>3187</v>
      </c>
      <c r="M81" t="s">
        <v>924</v>
      </c>
      <c r="N81" t="s">
        <v>102</v>
      </c>
      <c r="O81" t="s">
        <v>115</v>
      </c>
      <c r="P81">
        <v>1</v>
      </c>
      <c r="Q81">
        <v>0</v>
      </c>
      <c r="R81">
        <v>0</v>
      </c>
      <c r="S81" t="s">
        <v>14</v>
      </c>
      <c r="T81" s="5" t="s">
        <v>14</v>
      </c>
      <c r="U81" s="5" t="s">
        <v>122</v>
      </c>
      <c r="V81" s="5" t="s">
        <v>115</v>
      </c>
      <c r="W81" s="5"/>
      <c r="X81" s="5"/>
      <c r="Y81" s="5"/>
      <c r="Z81" s="5" t="s">
        <v>115</v>
      </c>
      <c r="AA81" s="5" t="s">
        <v>115</v>
      </c>
      <c r="AB81" s="5" t="s">
        <v>115</v>
      </c>
      <c r="AC81" s="5" t="s">
        <v>115</v>
      </c>
      <c r="AD81" s="5" t="s">
        <v>115</v>
      </c>
      <c r="AE81" s="5" t="s">
        <v>115</v>
      </c>
      <c r="AF81" s="5" t="s">
        <v>115</v>
      </c>
      <c r="AG81" s="5" t="s">
        <v>115</v>
      </c>
      <c r="AH81">
        <v>0</v>
      </c>
      <c r="AI81">
        <v>0</v>
      </c>
      <c r="AJ81">
        <v>0</v>
      </c>
      <c r="AK81">
        <v>0</v>
      </c>
      <c r="AL81">
        <v>58</v>
      </c>
      <c r="AM81">
        <f t="shared" si="1"/>
        <v>58</v>
      </c>
    </row>
    <row r="82" spans="1:40" x14ac:dyDescent="0.2">
      <c r="A82" t="s">
        <v>3578</v>
      </c>
      <c r="B82" t="s">
        <v>3579</v>
      </c>
      <c r="C82">
        <v>32</v>
      </c>
      <c r="D82">
        <v>1</v>
      </c>
      <c r="E82" t="s">
        <v>3171</v>
      </c>
      <c r="F82" s="1">
        <v>43580</v>
      </c>
      <c r="G82" s="1" t="s">
        <v>4027</v>
      </c>
      <c r="H82" s="1"/>
      <c r="I82" s="2">
        <v>4.027777777777778E-2</v>
      </c>
      <c r="J82" s="176">
        <v>6.7129629629629625E-4</v>
      </c>
      <c r="K82" s="6">
        <v>58</v>
      </c>
      <c r="L82" t="s">
        <v>101</v>
      </c>
      <c r="M82" t="s">
        <v>149</v>
      </c>
      <c r="N82" t="s">
        <v>102</v>
      </c>
      <c r="O82" t="s">
        <v>115</v>
      </c>
      <c r="P82">
        <v>0</v>
      </c>
      <c r="Q82">
        <v>0</v>
      </c>
      <c r="R82">
        <v>0</v>
      </c>
      <c r="T82" s="5" t="s">
        <v>115</v>
      </c>
      <c r="U82" s="5" t="s">
        <v>115</v>
      </c>
      <c r="V82" s="5" t="s">
        <v>115</v>
      </c>
      <c r="W82" s="5"/>
      <c r="X82" s="5"/>
      <c r="Y82" s="5"/>
      <c r="Z82" s="5" t="s">
        <v>115</v>
      </c>
      <c r="AA82" s="5" t="s">
        <v>115</v>
      </c>
      <c r="AB82" s="5" t="s">
        <v>115</v>
      </c>
      <c r="AC82" s="5" t="s">
        <v>115</v>
      </c>
      <c r="AD82" s="5" t="s">
        <v>115</v>
      </c>
      <c r="AE82" s="5" t="s">
        <v>115</v>
      </c>
      <c r="AF82" s="5" t="s">
        <v>115</v>
      </c>
      <c r="AG82" s="5" t="s">
        <v>115</v>
      </c>
      <c r="AH82">
        <v>0</v>
      </c>
      <c r="AI82">
        <v>0</v>
      </c>
      <c r="AJ82">
        <v>0</v>
      </c>
      <c r="AK82">
        <v>0</v>
      </c>
      <c r="AL82">
        <v>58</v>
      </c>
      <c r="AM82">
        <f t="shared" si="1"/>
        <v>58</v>
      </c>
      <c r="AN82" t="s">
        <v>188</v>
      </c>
    </row>
    <row r="83" spans="1:40" x14ac:dyDescent="0.2">
      <c r="A83" t="s">
        <v>3645</v>
      </c>
      <c r="B83" t="s">
        <v>3644</v>
      </c>
      <c r="C83">
        <v>8</v>
      </c>
      <c r="D83">
        <v>1</v>
      </c>
      <c r="E83" t="s">
        <v>2487</v>
      </c>
      <c r="F83" s="1">
        <v>43585</v>
      </c>
      <c r="G83" s="1" t="s">
        <v>4027</v>
      </c>
      <c r="H83" s="1"/>
      <c r="I83" s="2">
        <v>4.2361111111111106E-2</v>
      </c>
      <c r="J83" s="176">
        <v>7.0601851851851847E-4</v>
      </c>
      <c r="K83" s="6">
        <v>61</v>
      </c>
      <c r="L83" t="s">
        <v>3626</v>
      </c>
      <c r="M83" t="s">
        <v>2488</v>
      </c>
      <c r="N83" t="s">
        <v>102</v>
      </c>
      <c r="O83" t="s">
        <v>115</v>
      </c>
      <c r="P83">
        <v>0</v>
      </c>
      <c r="Q83">
        <v>0</v>
      </c>
      <c r="R83">
        <v>0</v>
      </c>
      <c r="T83" s="5" t="s">
        <v>115</v>
      </c>
      <c r="U83" s="5" t="s">
        <v>115</v>
      </c>
      <c r="V83" s="5" t="s">
        <v>115</v>
      </c>
      <c r="W83" s="5"/>
      <c r="X83" s="5"/>
      <c r="Y83" s="5"/>
      <c r="Z83" s="5" t="s">
        <v>115</v>
      </c>
      <c r="AA83" s="5" t="s">
        <v>115</v>
      </c>
      <c r="AB83" s="5" t="s">
        <v>115</v>
      </c>
      <c r="AC83" s="5" t="s">
        <v>115</v>
      </c>
      <c r="AD83" s="5" t="s">
        <v>115</v>
      </c>
      <c r="AE83" s="5" t="s">
        <v>115</v>
      </c>
      <c r="AF83" s="5" t="s">
        <v>115</v>
      </c>
      <c r="AG83" s="5" t="s">
        <v>115</v>
      </c>
      <c r="AH83">
        <v>0</v>
      </c>
      <c r="AI83">
        <v>0</v>
      </c>
      <c r="AJ83">
        <v>0</v>
      </c>
      <c r="AK83">
        <v>0</v>
      </c>
      <c r="AL83">
        <v>58</v>
      </c>
      <c r="AM83">
        <f t="shared" si="1"/>
        <v>58</v>
      </c>
      <c r="AN83" t="s">
        <v>188</v>
      </c>
    </row>
    <row r="84" spans="1:40" x14ac:dyDescent="0.2">
      <c r="A84" t="s">
        <v>3790</v>
      </c>
      <c r="B84" t="s">
        <v>3791</v>
      </c>
      <c r="C84">
        <v>17</v>
      </c>
      <c r="D84">
        <v>1</v>
      </c>
      <c r="E84" t="s">
        <v>3171</v>
      </c>
      <c r="F84" s="1">
        <v>43591</v>
      </c>
      <c r="G84" s="1" t="s">
        <v>4028</v>
      </c>
      <c r="H84" s="1"/>
      <c r="I84" s="2">
        <v>4.027777777777778E-2</v>
      </c>
      <c r="J84" s="176">
        <v>6.7129629629629625E-4</v>
      </c>
      <c r="K84" s="6">
        <v>58</v>
      </c>
      <c r="L84" t="s">
        <v>3187</v>
      </c>
      <c r="M84" t="s">
        <v>149</v>
      </c>
      <c r="N84" t="s">
        <v>102</v>
      </c>
      <c r="O84" t="s">
        <v>115</v>
      </c>
      <c r="P84">
        <v>0</v>
      </c>
      <c r="Q84">
        <v>0</v>
      </c>
      <c r="R84">
        <v>0</v>
      </c>
      <c r="T84" s="5" t="s">
        <v>115</v>
      </c>
      <c r="U84" s="5" t="s">
        <v>115</v>
      </c>
      <c r="V84" s="5" t="s">
        <v>115</v>
      </c>
      <c r="W84" s="5"/>
      <c r="X84" s="5"/>
      <c r="Y84" s="5"/>
      <c r="Z84" s="5" t="s">
        <v>115</v>
      </c>
      <c r="AA84" s="5" t="s">
        <v>115</v>
      </c>
      <c r="AB84" s="5" t="s">
        <v>115</v>
      </c>
      <c r="AC84" s="5" t="s">
        <v>115</v>
      </c>
      <c r="AD84" s="5" t="s">
        <v>115</v>
      </c>
      <c r="AE84" s="5" t="s">
        <v>115</v>
      </c>
      <c r="AF84" s="5" t="s">
        <v>115</v>
      </c>
      <c r="AG84" s="5" t="s">
        <v>115</v>
      </c>
      <c r="AH84">
        <v>0</v>
      </c>
      <c r="AI84">
        <v>0</v>
      </c>
      <c r="AJ84">
        <v>0</v>
      </c>
      <c r="AK84">
        <v>0</v>
      </c>
      <c r="AL84">
        <v>58</v>
      </c>
      <c r="AM84">
        <f t="shared" si="1"/>
        <v>58</v>
      </c>
      <c r="AN84" t="s">
        <v>188</v>
      </c>
    </row>
    <row r="85" spans="1:40" x14ac:dyDescent="0.2">
      <c r="A85" t="s">
        <v>3631</v>
      </c>
      <c r="B85" t="s">
        <v>3637</v>
      </c>
      <c r="C85">
        <v>2</v>
      </c>
      <c r="D85">
        <v>1</v>
      </c>
      <c r="E85" t="s">
        <v>2487</v>
      </c>
      <c r="F85" s="1">
        <v>43585</v>
      </c>
      <c r="G85" s="1" t="s">
        <v>4027</v>
      </c>
      <c r="H85" s="1"/>
      <c r="I85" s="2">
        <v>4.027777777777778E-2</v>
      </c>
      <c r="J85" s="176">
        <v>6.7129629629629625E-4</v>
      </c>
      <c r="K85" s="6">
        <v>58</v>
      </c>
      <c r="L85" t="s">
        <v>3626</v>
      </c>
      <c r="M85" t="s">
        <v>2488</v>
      </c>
      <c r="N85" t="s">
        <v>102</v>
      </c>
      <c r="O85" t="s">
        <v>115</v>
      </c>
      <c r="P85" t="s">
        <v>24</v>
      </c>
      <c r="Q85">
        <v>0</v>
      </c>
      <c r="R85">
        <v>0</v>
      </c>
      <c r="T85" s="5" t="s">
        <v>115</v>
      </c>
      <c r="U85" s="5" t="s">
        <v>115</v>
      </c>
      <c r="V85" s="5" t="s">
        <v>115</v>
      </c>
      <c r="W85" s="5"/>
      <c r="X85" s="5"/>
      <c r="Y85" s="5"/>
      <c r="Z85" s="5" t="s">
        <v>115</v>
      </c>
      <c r="AA85" s="5" t="s">
        <v>115</v>
      </c>
      <c r="AB85" s="5" t="s">
        <v>115</v>
      </c>
      <c r="AC85" s="5" t="s">
        <v>115</v>
      </c>
      <c r="AD85" s="5" t="s">
        <v>115</v>
      </c>
      <c r="AE85" s="5" t="s">
        <v>115</v>
      </c>
      <c r="AF85" s="5" t="s">
        <v>115</v>
      </c>
      <c r="AG85" s="5" t="s">
        <v>115</v>
      </c>
      <c r="AH85">
        <v>0</v>
      </c>
      <c r="AI85">
        <v>0</v>
      </c>
      <c r="AJ85">
        <v>0</v>
      </c>
      <c r="AK85">
        <v>0</v>
      </c>
      <c r="AL85">
        <v>58</v>
      </c>
      <c r="AM85">
        <f t="shared" si="1"/>
        <v>58</v>
      </c>
      <c r="AN85" t="s">
        <v>188</v>
      </c>
    </row>
    <row r="86" spans="1:40" x14ac:dyDescent="0.2">
      <c r="A86" t="s">
        <v>2986</v>
      </c>
      <c r="B86" t="s">
        <v>2987</v>
      </c>
      <c r="C86">
        <v>28</v>
      </c>
      <c r="D86">
        <v>1</v>
      </c>
      <c r="E86" t="s">
        <v>834</v>
      </c>
      <c r="F86" s="1">
        <v>43560</v>
      </c>
      <c r="G86" s="1" t="s">
        <v>4027</v>
      </c>
      <c r="H86" s="1"/>
      <c r="I86" s="2">
        <v>3.9583333333333331E-2</v>
      </c>
      <c r="J86" s="176">
        <v>6.5972222222222213E-4</v>
      </c>
      <c r="K86" s="6">
        <v>57</v>
      </c>
      <c r="M86" t="s">
        <v>466</v>
      </c>
      <c r="N86" t="s">
        <v>102</v>
      </c>
      <c r="O86" t="s">
        <v>115</v>
      </c>
      <c r="P86">
        <v>0</v>
      </c>
      <c r="Q86">
        <v>0</v>
      </c>
      <c r="R86">
        <v>0</v>
      </c>
      <c r="T86" s="5" t="s">
        <v>115</v>
      </c>
      <c r="U86" s="5" t="s">
        <v>115</v>
      </c>
      <c r="V86" s="5" t="s">
        <v>115</v>
      </c>
      <c r="W86" s="5"/>
      <c r="X86" s="5"/>
      <c r="Y86" s="5"/>
      <c r="Z86" s="5" t="s">
        <v>115</v>
      </c>
      <c r="AA86" s="5" t="s">
        <v>115</v>
      </c>
      <c r="AB86" s="5" t="s">
        <v>115</v>
      </c>
      <c r="AC86" s="5" t="s">
        <v>115</v>
      </c>
      <c r="AD86" s="5" t="s">
        <v>115</v>
      </c>
      <c r="AE86" s="5" t="s">
        <v>115</v>
      </c>
      <c r="AF86" s="5" t="s">
        <v>115</v>
      </c>
      <c r="AG86" s="5"/>
      <c r="AH86">
        <v>0</v>
      </c>
      <c r="AI86">
        <v>0</v>
      </c>
      <c r="AJ86">
        <v>0</v>
      </c>
      <c r="AK86">
        <v>0</v>
      </c>
      <c r="AL86">
        <v>57</v>
      </c>
      <c r="AM86">
        <f t="shared" si="1"/>
        <v>57</v>
      </c>
    </row>
    <row r="87" spans="1:40" x14ac:dyDescent="0.2">
      <c r="A87" t="s">
        <v>3134</v>
      </c>
      <c r="B87" t="s">
        <v>3818</v>
      </c>
      <c r="C87">
        <v>20</v>
      </c>
      <c r="D87">
        <v>1</v>
      </c>
      <c r="E87" t="s">
        <v>324</v>
      </c>
      <c r="F87" s="1">
        <v>43570</v>
      </c>
      <c r="G87" s="1" t="s">
        <v>4027</v>
      </c>
      <c r="H87" s="1"/>
      <c r="I87" s="2">
        <v>5.8333333333333327E-2</v>
      </c>
      <c r="J87" s="176">
        <v>9.7222222222222209E-4</v>
      </c>
      <c r="K87" s="6">
        <v>84</v>
      </c>
      <c r="L87" t="s">
        <v>101</v>
      </c>
      <c r="M87" t="s">
        <v>325</v>
      </c>
      <c r="N87" t="s">
        <v>102</v>
      </c>
      <c r="O87" t="s">
        <v>115</v>
      </c>
      <c r="P87">
        <v>0</v>
      </c>
      <c r="Q87">
        <v>0</v>
      </c>
      <c r="R87">
        <v>0</v>
      </c>
      <c r="T87" s="5" t="s">
        <v>115</v>
      </c>
      <c r="U87" s="5" t="s">
        <v>115</v>
      </c>
      <c r="V87" s="5" t="s">
        <v>115</v>
      </c>
      <c r="W87" s="5"/>
      <c r="X87" s="5"/>
      <c r="Y87" s="5"/>
      <c r="Z87" s="5" t="s">
        <v>115</v>
      </c>
      <c r="AA87" s="5" t="s">
        <v>115</v>
      </c>
      <c r="AB87" s="5" t="s">
        <v>115</v>
      </c>
      <c r="AC87" s="5" t="s">
        <v>115</v>
      </c>
      <c r="AD87" s="5" t="s">
        <v>115</v>
      </c>
      <c r="AE87" s="5" t="s">
        <v>115</v>
      </c>
      <c r="AF87" s="5" t="s">
        <v>115</v>
      </c>
      <c r="AG87" s="5"/>
      <c r="AH87">
        <v>0</v>
      </c>
      <c r="AI87">
        <v>0</v>
      </c>
      <c r="AJ87">
        <v>0</v>
      </c>
      <c r="AK87">
        <v>0</v>
      </c>
      <c r="AL87">
        <v>57</v>
      </c>
      <c r="AM87">
        <f t="shared" si="1"/>
        <v>57</v>
      </c>
      <c r="AN87" t="s">
        <v>188</v>
      </c>
    </row>
    <row r="88" spans="1:40" x14ac:dyDescent="0.2">
      <c r="A88" t="s">
        <v>3460</v>
      </c>
      <c r="B88" t="s">
        <v>3461</v>
      </c>
      <c r="C88">
        <v>4</v>
      </c>
      <c r="D88">
        <v>1</v>
      </c>
      <c r="E88" t="s">
        <v>2462</v>
      </c>
      <c r="F88" s="1">
        <v>43579</v>
      </c>
      <c r="G88" s="1" t="s">
        <v>4027</v>
      </c>
      <c r="H88" s="1"/>
      <c r="I88" s="2">
        <v>4.9999999999999996E-2</v>
      </c>
      <c r="J88" s="176">
        <v>8.3333333333333339E-4</v>
      </c>
      <c r="K88" s="6">
        <v>72</v>
      </c>
      <c r="L88" t="s">
        <v>101</v>
      </c>
      <c r="M88" t="s">
        <v>64</v>
      </c>
      <c r="N88" t="s">
        <v>102</v>
      </c>
      <c r="O88" t="s">
        <v>115</v>
      </c>
      <c r="P88">
        <v>0</v>
      </c>
      <c r="Q88">
        <v>0</v>
      </c>
      <c r="R88">
        <v>0</v>
      </c>
      <c r="T88" s="5" t="s">
        <v>115</v>
      </c>
      <c r="U88" s="5" t="s">
        <v>115</v>
      </c>
      <c r="V88" s="5" t="s">
        <v>115</v>
      </c>
      <c r="W88" s="5"/>
      <c r="X88" s="5"/>
      <c r="Y88" s="5"/>
      <c r="Z88" s="5" t="s">
        <v>115</v>
      </c>
      <c r="AA88" s="5" t="s">
        <v>115</v>
      </c>
      <c r="AB88" s="5" t="s">
        <v>115</v>
      </c>
      <c r="AC88" s="5" t="s">
        <v>115</v>
      </c>
      <c r="AD88" s="5" t="s">
        <v>115</v>
      </c>
      <c r="AE88" s="5" t="s">
        <v>115</v>
      </c>
      <c r="AF88" s="5" t="s">
        <v>115</v>
      </c>
      <c r="AG88" s="5" t="s">
        <v>115</v>
      </c>
      <c r="AH88">
        <v>0</v>
      </c>
      <c r="AI88">
        <v>0</v>
      </c>
      <c r="AJ88">
        <v>0</v>
      </c>
      <c r="AK88">
        <v>0</v>
      </c>
      <c r="AL88">
        <v>56</v>
      </c>
      <c r="AM88">
        <f t="shared" si="1"/>
        <v>56</v>
      </c>
      <c r="AN88" t="s">
        <v>188</v>
      </c>
    </row>
    <row r="89" spans="1:40" x14ac:dyDescent="0.2">
      <c r="A89" t="s">
        <v>3570</v>
      </c>
      <c r="B89" t="s">
        <v>3571</v>
      </c>
      <c r="C89">
        <v>28</v>
      </c>
      <c r="D89">
        <v>1</v>
      </c>
      <c r="E89" t="s">
        <v>3171</v>
      </c>
      <c r="F89" s="1">
        <v>43580</v>
      </c>
      <c r="G89" s="1" t="s">
        <v>4027</v>
      </c>
      <c r="H89" s="1"/>
      <c r="I89" s="2">
        <v>3.888888888888889E-2</v>
      </c>
      <c r="J89" s="176">
        <v>6.4814814814814813E-4</v>
      </c>
      <c r="K89" s="6">
        <v>56</v>
      </c>
      <c r="L89" t="s">
        <v>101</v>
      </c>
      <c r="M89" t="s">
        <v>149</v>
      </c>
      <c r="N89" t="s">
        <v>102</v>
      </c>
      <c r="O89" t="s">
        <v>115</v>
      </c>
      <c r="P89">
        <v>0</v>
      </c>
      <c r="Q89">
        <v>0</v>
      </c>
      <c r="R89">
        <v>0</v>
      </c>
      <c r="T89" s="5" t="s">
        <v>115</v>
      </c>
      <c r="U89" s="5" t="s">
        <v>115</v>
      </c>
      <c r="V89" s="5" t="s">
        <v>115</v>
      </c>
      <c r="W89" s="5"/>
      <c r="X89" s="5"/>
      <c r="Y89" s="5"/>
      <c r="Z89" s="5" t="s">
        <v>115</v>
      </c>
      <c r="AA89" s="5" t="s">
        <v>115</v>
      </c>
      <c r="AB89" s="5" t="s">
        <v>115</v>
      </c>
      <c r="AC89" s="5" t="s">
        <v>115</v>
      </c>
      <c r="AD89" s="5" t="s">
        <v>115</v>
      </c>
      <c r="AE89" s="5" t="s">
        <v>115</v>
      </c>
      <c r="AF89" s="5" t="s">
        <v>115</v>
      </c>
      <c r="AG89" s="5" t="s">
        <v>115</v>
      </c>
      <c r="AH89">
        <v>0</v>
      </c>
      <c r="AI89">
        <v>0</v>
      </c>
      <c r="AJ89">
        <v>0</v>
      </c>
      <c r="AK89">
        <v>0</v>
      </c>
      <c r="AL89">
        <v>56</v>
      </c>
      <c r="AM89">
        <f t="shared" si="1"/>
        <v>56</v>
      </c>
      <c r="AN89" t="s">
        <v>188</v>
      </c>
    </row>
    <row r="90" spans="1:40" x14ac:dyDescent="0.2">
      <c r="A90" t="s">
        <v>2647</v>
      </c>
      <c r="B90" t="s">
        <v>2648</v>
      </c>
      <c r="C90">
        <v>11</v>
      </c>
      <c r="D90">
        <v>1</v>
      </c>
      <c r="E90" t="s">
        <v>2487</v>
      </c>
      <c r="F90" s="1">
        <v>43551</v>
      </c>
      <c r="G90" s="1" t="s">
        <v>4026</v>
      </c>
      <c r="H90" s="1"/>
      <c r="I90" s="2">
        <v>3.8194444444444441E-2</v>
      </c>
      <c r="J90" s="176">
        <v>6.3657407407407402E-4</v>
      </c>
      <c r="K90" s="6">
        <v>55</v>
      </c>
      <c r="L90" s="5" t="s">
        <v>398</v>
      </c>
      <c r="M90" t="s">
        <v>2488</v>
      </c>
      <c r="N90" t="s">
        <v>102</v>
      </c>
      <c r="O90" t="s">
        <v>115</v>
      </c>
      <c r="P90">
        <v>1</v>
      </c>
      <c r="Q90">
        <v>0</v>
      </c>
      <c r="R90">
        <v>0</v>
      </c>
      <c r="S90" t="s">
        <v>176</v>
      </c>
      <c r="T90" t="s">
        <v>24</v>
      </c>
      <c r="U90" t="s">
        <v>122</v>
      </c>
      <c r="V90" t="s">
        <v>115</v>
      </c>
      <c r="Z90" t="s">
        <v>115</v>
      </c>
      <c r="AA90" t="s">
        <v>115</v>
      </c>
      <c r="AB90" t="s">
        <v>115</v>
      </c>
      <c r="AC90" t="s">
        <v>115</v>
      </c>
      <c r="AD90" t="s">
        <v>115</v>
      </c>
      <c r="AE90" t="s">
        <v>115</v>
      </c>
      <c r="AF90" t="s">
        <v>115</v>
      </c>
      <c r="AH90">
        <v>0</v>
      </c>
      <c r="AI90">
        <v>0</v>
      </c>
      <c r="AJ90">
        <v>0</v>
      </c>
      <c r="AK90">
        <v>0</v>
      </c>
      <c r="AL90">
        <v>55</v>
      </c>
      <c r="AM90">
        <f t="shared" si="1"/>
        <v>55</v>
      </c>
      <c r="AN90" t="s">
        <v>188</v>
      </c>
    </row>
    <row r="91" spans="1:40" x14ac:dyDescent="0.2">
      <c r="A91" t="s">
        <v>2568</v>
      </c>
      <c r="B91" t="s">
        <v>2569</v>
      </c>
      <c r="C91">
        <v>10</v>
      </c>
      <c r="D91">
        <v>1</v>
      </c>
      <c r="E91" t="s">
        <v>324</v>
      </c>
      <c r="F91" s="1">
        <v>43550</v>
      </c>
      <c r="G91" s="1" t="s">
        <v>4026</v>
      </c>
      <c r="H91" s="1"/>
      <c r="I91" s="2">
        <v>3.8194444444444441E-2</v>
      </c>
      <c r="J91" s="176">
        <v>6.3657407407407402E-4</v>
      </c>
      <c r="K91" s="6">
        <v>55</v>
      </c>
      <c r="L91" s="5" t="s">
        <v>640</v>
      </c>
      <c r="M91" t="s">
        <v>325</v>
      </c>
      <c r="N91" t="s">
        <v>102</v>
      </c>
      <c r="O91" t="s">
        <v>115</v>
      </c>
      <c r="P91" t="s">
        <v>24</v>
      </c>
      <c r="Q91">
        <v>0</v>
      </c>
      <c r="R91">
        <v>0</v>
      </c>
      <c r="T91" t="s">
        <v>115</v>
      </c>
      <c r="U91" t="s">
        <v>115</v>
      </c>
      <c r="V91" t="s">
        <v>115</v>
      </c>
      <c r="Z91" t="s">
        <v>115</v>
      </c>
      <c r="AA91" t="s">
        <v>115</v>
      </c>
      <c r="AB91" t="s">
        <v>115</v>
      </c>
      <c r="AC91" t="s">
        <v>115</v>
      </c>
      <c r="AD91" t="s">
        <v>115</v>
      </c>
      <c r="AH91">
        <v>0</v>
      </c>
      <c r="AI91">
        <v>0</v>
      </c>
      <c r="AJ91">
        <v>0</v>
      </c>
      <c r="AK91">
        <v>0</v>
      </c>
      <c r="AL91">
        <v>55</v>
      </c>
      <c r="AM91">
        <f t="shared" si="1"/>
        <v>55</v>
      </c>
      <c r="AN91" t="s">
        <v>188</v>
      </c>
    </row>
    <row r="92" spans="1:40" x14ac:dyDescent="0.2">
      <c r="A92" t="s">
        <v>2928</v>
      </c>
      <c r="B92" t="s">
        <v>2929</v>
      </c>
      <c r="C92">
        <v>1</v>
      </c>
      <c r="D92">
        <v>1</v>
      </c>
      <c r="E92" t="s">
        <v>834</v>
      </c>
      <c r="F92" s="1">
        <v>43560</v>
      </c>
      <c r="G92" s="1" t="s">
        <v>4027</v>
      </c>
      <c r="H92" s="1"/>
      <c r="I92" s="2">
        <v>3.8194444444444441E-2</v>
      </c>
      <c r="J92" s="176">
        <v>6.3657407407407402E-4</v>
      </c>
      <c r="K92" s="6">
        <v>55</v>
      </c>
      <c r="M92" t="s">
        <v>466</v>
      </c>
      <c r="N92" t="s">
        <v>102</v>
      </c>
      <c r="O92" t="s">
        <v>115</v>
      </c>
      <c r="P92" t="s">
        <v>24</v>
      </c>
      <c r="Q92">
        <v>0</v>
      </c>
      <c r="R92">
        <v>0</v>
      </c>
      <c r="T92" s="5" t="s">
        <v>115</v>
      </c>
      <c r="U92" s="5" t="s">
        <v>115</v>
      </c>
      <c r="V92" s="5" t="s">
        <v>115</v>
      </c>
      <c r="W92" s="5"/>
      <c r="X92" s="5"/>
      <c r="Y92" s="5"/>
      <c r="Z92" s="5" t="s">
        <v>115</v>
      </c>
      <c r="AA92" s="5" t="s">
        <v>115</v>
      </c>
      <c r="AB92" s="5" t="s">
        <v>115</v>
      </c>
      <c r="AC92" s="5" t="s">
        <v>115</v>
      </c>
      <c r="AD92" s="5" t="s">
        <v>115</v>
      </c>
      <c r="AE92" s="5" t="s">
        <v>115</v>
      </c>
      <c r="AF92" s="5" t="s">
        <v>115</v>
      </c>
      <c r="AG92" s="5"/>
      <c r="AH92">
        <v>0</v>
      </c>
      <c r="AI92">
        <v>0</v>
      </c>
      <c r="AJ92">
        <v>0</v>
      </c>
      <c r="AK92">
        <v>0</v>
      </c>
      <c r="AL92">
        <v>55</v>
      </c>
      <c r="AM92">
        <f t="shared" si="1"/>
        <v>55</v>
      </c>
      <c r="AN92" t="s">
        <v>188</v>
      </c>
    </row>
    <row r="93" spans="1:40" x14ac:dyDescent="0.2">
      <c r="A93" t="s">
        <v>2496</v>
      </c>
      <c r="B93" t="s">
        <v>2497</v>
      </c>
      <c r="C93">
        <v>5</v>
      </c>
      <c r="D93">
        <v>1</v>
      </c>
      <c r="E93" t="s">
        <v>2487</v>
      </c>
      <c r="F93" s="1">
        <v>43549</v>
      </c>
      <c r="G93" s="1" t="s">
        <v>4026</v>
      </c>
      <c r="H93" s="1"/>
      <c r="I93" s="2">
        <v>4.1666666666666664E-2</v>
      </c>
      <c r="J93" s="176">
        <v>6.9444444444444447E-4</v>
      </c>
      <c r="K93" s="6">
        <v>60</v>
      </c>
      <c r="L93" s="5" t="s">
        <v>398</v>
      </c>
      <c r="M93" t="s">
        <v>2498</v>
      </c>
      <c r="N93" t="s">
        <v>102</v>
      </c>
      <c r="O93" t="s">
        <v>115</v>
      </c>
      <c r="P93">
        <v>1</v>
      </c>
      <c r="Q93">
        <v>0</v>
      </c>
      <c r="R93">
        <v>0</v>
      </c>
      <c r="S93" t="s">
        <v>14</v>
      </c>
      <c r="T93" t="s">
        <v>14</v>
      </c>
      <c r="U93" t="s">
        <v>122</v>
      </c>
      <c r="V93" t="s">
        <v>115</v>
      </c>
      <c r="Z93" t="s">
        <v>115</v>
      </c>
      <c r="AA93" t="s">
        <v>115</v>
      </c>
      <c r="AB93" t="s">
        <v>115</v>
      </c>
      <c r="AC93" t="s">
        <v>115</v>
      </c>
      <c r="AD93" t="s">
        <v>115</v>
      </c>
      <c r="AH93">
        <v>0</v>
      </c>
      <c r="AI93">
        <v>0</v>
      </c>
      <c r="AJ93">
        <v>0</v>
      </c>
      <c r="AK93">
        <v>0</v>
      </c>
      <c r="AL93">
        <v>54</v>
      </c>
      <c r="AM93">
        <f t="shared" si="1"/>
        <v>54</v>
      </c>
      <c r="AN93" t="s">
        <v>188</v>
      </c>
    </row>
    <row r="94" spans="1:40" x14ac:dyDescent="0.2">
      <c r="A94" t="s">
        <v>3019</v>
      </c>
      <c r="B94" t="s">
        <v>3020</v>
      </c>
      <c r="C94">
        <v>3</v>
      </c>
      <c r="D94">
        <v>1</v>
      </c>
      <c r="E94" t="s">
        <v>2487</v>
      </c>
      <c r="F94" s="1">
        <v>43564</v>
      </c>
      <c r="G94" s="1" t="s">
        <v>4027</v>
      </c>
      <c r="H94" s="1"/>
      <c r="I94" s="2">
        <v>3.7499999999999999E-2</v>
      </c>
      <c r="J94" s="176">
        <v>6.2500000000000001E-4</v>
      </c>
      <c r="K94" s="6">
        <v>54</v>
      </c>
      <c r="M94" t="s">
        <v>2498</v>
      </c>
      <c r="N94" t="s">
        <v>102</v>
      </c>
      <c r="O94" t="s">
        <v>115</v>
      </c>
      <c r="P94">
        <v>1</v>
      </c>
      <c r="Q94">
        <v>0</v>
      </c>
      <c r="R94">
        <v>0</v>
      </c>
      <c r="S94" t="s">
        <v>598</v>
      </c>
      <c r="T94" s="5" t="s">
        <v>2506</v>
      </c>
      <c r="U94" s="5" t="s">
        <v>122</v>
      </c>
      <c r="V94" s="5" t="s">
        <v>115</v>
      </c>
      <c r="W94" s="5"/>
      <c r="X94" s="5"/>
      <c r="Y94" s="5"/>
      <c r="Z94" s="5" t="s">
        <v>115</v>
      </c>
      <c r="AA94" s="5" t="s">
        <v>115</v>
      </c>
      <c r="AB94" s="5" t="s">
        <v>115</v>
      </c>
      <c r="AC94" s="5" t="s">
        <v>115</v>
      </c>
      <c r="AD94" s="5" t="s">
        <v>115</v>
      </c>
      <c r="AE94" s="5" t="s">
        <v>115</v>
      </c>
      <c r="AF94" s="5" t="s">
        <v>115</v>
      </c>
      <c r="AG94" s="5"/>
      <c r="AH94">
        <v>0</v>
      </c>
      <c r="AI94">
        <v>0</v>
      </c>
      <c r="AJ94">
        <v>0</v>
      </c>
      <c r="AK94">
        <v>0</v>
      </c>
      <c r="AL94">
        <v>54</v>
      </c>
      <c r="AM94">
        <f t="shared" si="1"/>
        <v>54</v>
      </c>
    </row>
    <row r="95" spans="1:40" x14ac:dyDescent="0.2">
      <c r="A95" t="s">
        <v>3661</v>
      </c>
      <c r="B95" t="s">
        <v>3660</v>
      </c>
      <c r="C95">
        <v>15</v>
      </c>
      <c r="D95">
        <v>1</v>
      </c>
      <c r="E95" t="s">
        <v>2487</v>
      </c>
      <c r="F95" s="1">
        <v>43585</v>
      </c>
      <c r="G95" s="1" t="s">
        <v>4027</v>
      </c>
      <c r="H95" s="1"/>
      <c r="I95" s="2">
        <v>0.15416666666666667</v>
      </c>
      <c r="J95" s="176">
        <v>2.5694444444444445E-3</v>
      </c>
      <c r="K95" s="6">
        <v>222</v>
      </c>
      <c r="L95" t="s">
        <v>3626</v>
      </c>
      <c r="M95" t="s">
        <v>2488</v>
      </c>
      <c r="N95" t="s">
        <v>102</v>
      </c>
      <c r="O95" t="s">
        <v>115</v>
      </c>
      <c r="P95">
        <v>1</v>
      </c>
      <c r="Q95">
        <v>0</v>
      </c>
      <c r="R95">
        <v>0</v>
      </c>
      <c r="S95" t="s">
        <v>176</v>
      </c>
      <c r="T95" s="5" t="s">
        <v>24</v>
      </c>
      <c r="U95" s="5" t="s">
        <v>122</v>
      </c>
      <c r="V95" s="5" t="s">
        <v>115</v>
      </c>
      <c r="W95" s="5"/>
      <c r="X95" s="5"/>
      <c r="Y95" s="5"/>
      <c r="Z95" s="5" t="s">
        <v>115</v>
      </c>
      <c r="AA95" s="5" t="s">
        <v>115</v>
      </c>
      <c r="AB95" s="5" t="s">
        <v>115</v>
      </c>
      <c r="AC95" s="5" t="s">
        <v>115</v>
      </c>
      <c r="AD95" s="5" t="s">
        <v>115</v>
      </c>
      <c r="AE95" s="5" t="s">
        <v>115</v>
      </c>
      <c r="AF95" s="5" t="s">
        <v>115</v>
      </c>
      <c r="AG95" s="5" t="s">
        <v>115</v>
      </c>
      <c r="AH95">
        <v>0</v>
      </c>
      <c r="AI95">
        <v>0</v>
      </c>
      <c r="AJ95">
        <v>0</v>
      </c>
      <c r="AK95">
        <v>0</v>
      </c>
      <c r="AL95">
        <v>54</v>
      </c>
      <c r="AM95">
        <f t="shared" si="1"/>
        <v>54</v>
      </c>
    </row>
    <row r="96" spans="1:40" x14ac:dyDescent="0.2">
      <c r="A96" t="s">
        <v>3764</v>
      </c>
      <c r="B96" t="s">
        <v>3765</v>
      </c>
      <c r="C96">
        <v>5</v>
      </c>
      <c r="D96">
        <v>1</v>
      </c>
      <c r="E96" t="s">
        <v>3171</v>
      </c>
      <c r="F96" s="1">
        <v>43588</v>
      </c>
      <c r="G96" s="1" t="s">
        <v>4028</v>
      </c>
      <c r="H96" s="1" t="s">
        <v>4752</v>
      </c>
      <c r="I96" s="2">
        <v>3.7499999999999999E-2</v>
      </c>
      <c r="J96" s="176">
        <v>6.2500000000000001E-4</v>
      </c>
      <c r="K96" s="6">
        <v>54</v>
      </c>
      <c r="L96" t="s">
        <v>3187</v>
      </c>
      <c r="M96" t="s">
        <v>670</v>
      </c>
      <c r="N96" t="s">
        <v>102</v>
      </c>
      <c r="O96" t="s">
        <v>115</v>
      </c>
      <c r="P96">
        <v>1</v>
      </c>
      <c r="Q96">
        <v>0</v>
      </c>
      <c r="R96">
        <v>0</v>
      </c>
      <c r="S96" t="s">
        <v>176</v>
      </c>
      <c r="T96" s="5" t="s">
        <v>24</v>
      </c>
      <c r="U96" s="5" t="s">
        <v>122</v>
      </c>
      <c r="V96" s="5" t="s">
        <v>115</v>
      </c>
      <c r="W96" s="5"/>
      <c r="X96" s="5"/>
      <c r="Y96" s="5"/>
      <c r="Z96" s="5" t="s">
        <v>115</v>
      </c>
      <c r="AA96" s="5" t="s">
        <v>115</v>
      </c>
      <c r="AB96" s="5" t="s">
        <v>115</v>
      </c>
      <c r="AC96" s="5" t="s">
        <v>115</v>
      </c>
      <c r="AD96" s="5" t="s">
        <v>115</v>
      </c>
      <c r="AE96" s="5" t="s">
        <v>115</v>
      </c>
      <c r="AF96" s="5" t="s">
        <v>115</v>
      </c>
      <c r="AG96" s="5" t="s">
        <v>115</v>
      </c>
      <c r="AH96">
        <v>0</v>
      </c>
      <c r="AI96">
        <v>0</v>
      </c>
      <c r="AJ96">
        <v>0</v>
      </c>
      <c r="AK96">
        <v>0</v>
      </c>
      <c r="AL96">
        <v>54</v>
      </c>
      <c r="AM96">
        <f t="shared" si="1"/>
        <v>54</v>
      </c>
      <c r="AN96" t="s">
        <v>188</v>
      </c>
    </row>
    <row r="97" spans="1:41" x14ac:dyDescent="0.2">
      <c r="A97" t="s">
        <v>3795</v>
      </c>
      <c r="B97" t="s">
        <v>3796</v>
      </c>
      <c r="C97">
        <v>19</v>
      </c>
      <c r="D97">
        <v>1</v>
      </c>
      <c r="E97" t="s">
        <v>3171</v>
      </c>
      <c r="F97" s="1">
        <v>43588</v>
      </c>
      <c r="G97" s="1" t="s">
        <v>4028</v>
      </c>
      <c r="H97" s="1"/>
      <c r="I97" s="2">
        <v>4.2361111111111106E-2</v>
      </c>
      <c r="J97" s="176">
        <v>7.0601851851851847E-4</v>
      </c>
      <c r="K97" s="6">
        <v>61</v>
      </c>
      <c r="L97" t="s">
        <v>3187</v>
      </c>
      <c r="M97" t="s">
        <v>149</v>
      </c>
      <c r="N97" t="s">
        <v>102</v>
      </c>
      <c r="O97" t="s">
        <v>115</v>
      </c>
      <c r="P97">
        <v>1</v>
      </c>
      <c r="Q97">
        <v>0</v>
      </c>
      <c r="R97">
        <v>0</v>
      </c>
      <c r="S97" t="s">
        <v>176</v>
      </c>
      <c r="T97" s="5" t="s">
        <v>24</v>
      </c>
      <c r="U97" s="5" t="s">
        <v>122</v>
      </c>
      <c r="V97" s="5" t="s">
        <v>115</v>
      </c>
      <c r="W97" s="5"/>
      <c r="X97" s="5"/>
      <c r="Y97" s="5"/>
      <c r="Z97" s="5" t="s">
        <v>115</v>
      </c>
      <c r="AA97" s="5" t="s">
        <v>115</v>
      </c>
      <c r="AB97" s="5" t="s">
        <v>115</v>
      </c>
      <c r="AC97" s="5" t="s">
        <v>115</v>
      </c>
      <c r="AD97" s="5" t="s">
        <v>115</v>
      </c>
      <c r="AE97" s="5" t="s">
        <v>115</v>
      </c>
      <c r="AF97" s="5" t="s">
        <v>115</v>
      </c>
      <c r="AG97" s="5" t="s">
        <v>115</v>
      </c>
      <c r="AH97">
        <v>0</v>
      </c>
      <c r="AI97">
        <v>0</v>
      </c>
      <c r="AJ97">
        <v>0</v>
      </c>
      <c r="AK97">
        <v>0</v>
      </c>
      <c r="AL97">
        <v>54</v>
      </c>
      <c r="AM97">
        <f t="shared" si="1"/>
        <v>54</v>
      </c>
      <c r="AN97" t="s">
        <v>188</v>
      </c>
    </row>
    <row r="98" spans="1:41" x14ac:dyDescent="0.2">
      <c r="A98" t="s">
        <v>3867</v>
      </c>
      <c r="B98" t="s">
        <v>3868</v>
      </c>
      <c r="C98">
        <v>3</v>
      </c>
      <c r="D98">
        <v>1</v>
      </c>
      <c r="E98" t="s">
        <v>2601</v>
      </c>
      <c r="F98" s="1">
        <v>43590</v>
      </c>
      <c r="G98" s="1" t="s">
        <v>4028</v>
      </c>
      <c r="H98" s="1"/>
      <c r="I98" s="2">
        <v>4.027777777777778E-2</v>
      </c>
      <c r="J98" s="176">
        <v>6.7129629629629625E-4</v>
      </c>
      <c r="K98" s="6">
        <v>58</v>
      </c>
      <c r="L98" t="s">
        <v>1278</v>
      </c>
      <c r="M98" t="s">
        <v>173</v>
      </c>
      <c r="N98" t="s">
        <v>102</v>
      </c>
      <c r="O98" t="s">
        <v>115</v>
      </c>
      <c r="P98">
        <v>1</v>
      </c>
      <c r="Q98">
        <v>0</v>
      </c>
      <c r="R98">
        <v>0</v>
      </c>
      <c r="S98" t="s">
        <v>176</v>
      </c>
      <c r="T98" s="5" t="s">
        <v>24</v>
      </c>
      <c r="U98" s="5" t="s">
        <v>122</v>
      </c>
      <c r="V98" s="5" t="s">
        <v>115</v>
      </c>
      <c r="W98" s="5"/>
      <c r="X98" s="5"/>
      <c r="Y98" s="5"/>
      <c r="Z98" s="5" t="s">
        <v>115</v>
      </c>
      <c r="AA98" s="5" t="s">
        <v>115</v>
      </c>
      <c r="AB98" s="5" t="s">
        <v>115</v>
      </c>
      <c r="AC98" s="5" t="s">
        <v>115</v>
      </c>
      <c r="AD98" s="5" t="s">
        <v>115</v>
      </c>
      <c r="AE98" s="5" t="s">
        <v>115</v>
      </c>
      <c r="AF98" s="5" t="s">
        <v>115</v>
      </c>
      <c r="AG98" s="5" t="s">
        <v>115</v>
      </c>
      <c r="AH98">
        <v>0</v>
      </c>
      <c r="AI98">
        <v>0</v>
      </c>
      <c r="AJ98">
        <v>0</v>
      </c>
      <c r="AK98">
        <v>0</v>
      </c>
      <c r="AL98">
        <v>54</v>
      </c>
      <c r="AM98">
        <f t="shared" si="1"/>
        <v>54</v>
      </c>
      <c r="AN98" t="s">
        <v>188</v>
      </c>
      <c r="AO98" t="s">
        <v>3869</v>
      </c>
    </row>
    <row r="99" spans="1:41" x14ac:dyDescent="0.2">
      <c r="A99" t="s">
        <v>3908</v>
      </c>
      <c r="B99" t="s">
        <v>3909</v>
      </c>
      <c r="C99">
        <v>12</v>
      </c>
      <c r="D99">
        <v>1</v>
      </c>
      <c r="E99" t="s">
        <v>2462</v>
      </c>
      <c r="F99" s="1">
        <v>43591</v>
      </c>
      <c r="G99" s="1" t="s">
        <v>4028</v>
      </c>
      <c r="H99" s="1"/>
      <c r="I99" s="2">
        <v>3.7499999999999999E-2</v>
      </c>
      <c r="J99" s="176">
        <v>6.2500000000000001E-4</v>
      </c>
      <c r="K99" s="6">
        <v>54</v>
      </c>
      <c r="L99" t="s">
        <v>1278</v>
      </c>
      <c r="M99" t="s">
        <v>64</v>
      </c>
      <c r="N99" t="s">
        <v>102</v>
      </c>
      <c r="O99" t="s">
        <v>115</v>
      </c>
      <c r="P99">
        <v>1</v>
      </c>
      <c r="Q99">
        <v>0</v>
      </c>
      <c r="R99">
        <v>0</v>
      </c>
      <c r="S99" t="s">
        <v>598</v>
      </c>
      <c r="T99" s="5" t="s">
        <v>2801</v>
      </c>
      <c r="U99" s="5" t="s">
        <v>115</v>
      </c>
      <c r="V99" s="5" t="s">
        <v>115</v>
      </c>
      <c r="W99" s="5"/>
      <c r="X99" s="5"/>
      <c r="Y99" s="5"/>
      <c r="Z99" s="5" t="s">
        <v>115</v>
      </c>
      <c r="AA99" s="5" t="s">
        <v>115</v>
      </c>
      <c r="AB99" s="5" t="s">
        <v>115</v>
      </c>
      <c r="AC99" s="5" t="s">
        <v>115</v>
      </c>
      <c r="AD99" s="5" t="s">
        <v>115</v>
      </c>
      <c r="AE99" s="5" t="s">
        <v>115</v>
      </c>
      <c r="AF99" s="5" t="s">
        <v>115</v>
      </c>
      <c r="AG99" s="5" t="s">
        <v>115</v>
      </c>
      <c r="AH99">
        <v>0</v>
      </c>
      <c r="AI99">
        <v>0</v>
      </c>
      <c r="AJ99">
        <v>0</v>
      </c>
      <c r="AK99">
        <v>0</v>
      </c>
      <c r="AL99">
        <v>54</v>
      </c>
      <c r="AM99">
        <f t="shared" si="1"/>
        <v>54</v>
      </c>
      <c r="AN99" t="s">
        <v>188</v>
      </c>
    </row>
    <row r="100" spans="1:41" x14ac:dyDescent="0.2">
      <c r="A100" t="s">
        <v>3742</v>
      </c>
      <c r="B100" t="s">
        <v>3743</v>
      </c>
      <c r="C100">
        <v>3</v>
      </c>
      <c r="D100">
        <v>1</v>
      </c>
      <c r="E100" t="s">
        <v>2601</v>
      </c>
      <c r="F100" s="1">
        <v>43587</v>
      </c>
      <c r="G100" s="1" t="s">
        <v>4028</v>
      </c>
      <c r="H100" s="1"/>
      <c r="I100" s="2">
        <v>3.888888888888889E-2</v>
      </c>
      <c r="J100" s="176">
        <v>6.4814814814814813E-4</v>
      </c>
      <c r="K100" s="6">
        <v>56</v>
      </c>
      <c r="L100" t="s">
        <v>1278</v>
      </c>
      <c r="M100" t="s">
        <v>177</v>
      </c>
      <c r="N100" t="s">
        <v>187</v>
      </c>
      <c r="O100" t="s">
        <v>23</v>
      </c>
      <c r="P100" t="s">
        <v>24</v>
      </c>
      <c r="Q100">
        <v>0</v>
      </c>
      <c r="R100">
        <v>1</v>
      </c>
      <c r="S100" t="s">
        <v>176</v>
      </c>
      <c r="T100" s="5" t="s">
        <v>24</v>
      </c>
      <c r="U100" s="5" t="s">
        <v>24</v>
      </c>
      <c r="V100" s="5" t="s">
        <v>3744</v>
      </c>
      <c r="W100" s="5" t="s">
        <v>23</v>
      </c>
      <c r="X100" s="5" t="s">
        <v>3999</v>
      </c>
      <c r="Y100" s="5" t="s">
        <v>4020</v>
      </c>
      <c r="Z100" t="s">
        <v>2457</v>
      </c>
      <c r="AA100">
        <v>32</v>
      </c>
      <c r="AB100" s="5" t="s">
        <v>176</v>
      </c>
      <c r="AC100">
        <v>63.72598</v>
      </c>
      <c r="AD100">
        <v>148.96046000000001</v>
      </c>
      <c r="AE100" s="5" t="s">
        <v>115</v>
      </c>
      <c r="AF100" s="5" t="s">
        <v>115</v>
      </c>
      <c r="AG100" s="5" t="s">
        <v>115</v>
      </c>
      <c r="AH100">
        <v>0</v>
      </c>
      <c r="AI100">
        <v>0</v>
      </c>
      <c r="AJ100">
        <v>0</v>
      </c>
      <c r="AK100">
        <v>0</v>
      </c>
      <c r="AL100">
        <v>54</v>
      </c>
      <c r="AM100">
        <f t="shared" si="1"/>
        <v>54</v>
      </c>
      <c r="AN100" t="s">
        <v>188</v>
      </c>
      <c r="AO100" t="s">
        <v>3754</v>
      </c>
    </row>
    <row r="101" spans="1:41" x14ac:dyDescent="0.2">
      <c r="A101" t="s">
        <v>2703</v>
      </c>
      <c r="B101" t="s">
        <v>2704</v>
      </c>
      <c r="C101">
        <v>11</v>
      </c>
      <c r="D101">
        <v>1</v>
      </c>
      <c r="E101" t="s">
        <v>324</v>
      </c>
      <c r="F101" s="1">
        <v>43554</v>
      </c>
      <c r="G101" s="1" t="s">
        <v>4026</v>
      </c>
      <c r="H101" s="1"/>
      <c r="I101" s="2">
        <v>3.8194444444444441E-2</v>
      </c>
      <c r="J101" s="176">
        <v>6.3657407407407402E-4</v>
      </c>
      <c r="K101" s="6">
        <v>55</v>
      </c>
      <c r="M101" t="s">
        <v>325</v>
      </c>
      <c r="N101" t="s">
        <v>102</v>
      </c>
      <c r="O101" t="s">
        <v>115</v>
      </c>
      <c r="P101">
        <v>1</v>
      </c>
      <c r="Q101">
        <v>0</v>
      </c>
      <c r="R101">
        <v>0</v>
      </c>
      <c r="S101" t="s">
        <v>176</v>
      </c>
      <c r="T101" t="s">
        <v>24</v>
      </c>
      <c r="U101" t="s">
        <v>122</v>
      </c>
      <c r="V101" t="s">
        <v>115</v>
      </c>
      <c r="Z101" t="s">
        <v>115</v>
      </c>
      <c r="AA101" t="s">
        <v>115</v>
      </c>
      <c r="AB101" t="s">
        <v>115</v>
      </c>
      <c r="AC101" t="s">
        <v>115</v>
      </c>
      <c r="AD101" t="s">
        <v>115</v>
      </c>
      <c r="AE101" t="s">
        <v>115</v>
      </c>
      <c r="AF101" t="s">
        <v>115</v>
      </c>
      <c r="AH101">
        <v>0</v>
      </c>
      <c r="AI101">
        <v>0</v>
      </c>
      <c r="AJ101">
        <v>0</v>
      </c>
      <c r="AK101">
        <v>0</v>
      </c>
      <c r="AL101">
        <v>53</v>
      </c>
      <c r="AM101">
        <f t="shared" si="1"/>
        <v>53</v>
      </c>
      <c r="AN101" t="s">
        <v>188</v>
      </c>
    </row>
    <row r="102" spans="1:41" x14ac:dyDescent="0.2">
      <c r="A102" t="s">
        <v>3314</v>
      </c>
      <c r="B102" t="s">
        <v>3315</v>
      </c>
      <c r="C102">
        <v>10</v>
      </c>
      <c r="D102">
        <v>1</v>
      </c>
      <c r="E102" t="s">
        <v>834</v>
      </c>
      <c r="F102" s="1">
        <v>43577</v>
      </c>
      <c r="G102" s="1" t="s">
        <v>4027</v>
      </c>
      <c r="H102" s="1"/>
      <c r="I102" s="2">
        <v>3.888888888888889E-2</v>
      </c>
      <c r="J102" s="176">
        <v>6.4814814814814813E-4</v>
      </c>
      <c r="K102" s="6">
        <v>56</v>
      </c>
      <c r="L102" t="s">
        <v>101</v>
      </c>
      <c r="M102" t="s">
        <v>466</v>
      </c>
      <c r="N102" t="s">
        <v>102</v>
      </c>
      <c r="O102" t="s">
        <v>115</v>
      </c>
      <c r="P102">
        <v>0</v>
      </c>
      <c r="Q102">
        <v>0</v>
      </c>
      <c r="R102">
        <v>0</v>
      </c>
      <c r="T102" s="5" t="s">
        <v>115</v>
      </c>
      <c r="U102" s="5" t="s">
        <v>115</v>
      </c>
      <c r="V102" s="5" t="s">
        <v>115</v>
      </c>
      <c r="W102" s="5"/>
      <c r="X102" s="5"/>
      <c r="Y102" s="5"/>
      <c r="Z102" s="5" t="s">
        <v>115</v>
      </c>
      <c r="AA102" s="5" t="s">
        <v>115</v>
      </c>
      <c r="AB102" s="5" t="s">
        <v>115</v>
      </c>
      <c r="AC102" s="5" t="s">
        <v>115</v>
      </c>
      <c r="AD102" s="5" t="s">
        <v>115</v>
      </c>
      <c r="AE102" s="5" t="s">
        <v>115</v>
      </c>
      <c r="AF102" s="5" t="s">
        <v>115</v>
      </c>
      <c r="AG102" s="5" t="s">
        <v>115</v>
      </c>
      <c r="AH102">
        <v>0</v>
      </c>
      <c r="AI102">
        <v>0</v>
      </c>
      <c r="AJ102">
        <v>0</v>
      </c>
      <c r="AK102">
        <v>0</v>
      </c>
      <c r="AL102">
        <v>53</v>
      </c>
      <c r="AM102">
        <f t="shared" si="1"/>
        <v>53</v>
      </c>
      <c r="AN102" t="s">
        <v>188</v>
      </c>
    </row>
    <row r="103" spans="1:41" x14ac:dyDescent="0.2">
      <c r="A103" t="s">
        <v>3531</v>
      </c>
      <c r="B103" t="s">
        <v>3532</v>
      </c>
      <c r="C103">
        <v>9</v>
      </c>
      <c r="D103">
        <v>1</v>
      </c>
      <c r="E103" t="s">
        <v>3171</v>
      </c>
      <c r="F103" s="1">
        <v>43580</v>
      </c>
      <c r="G103" s="1" t="s">
        <v>4027</v>
      </c>
      <c r="H103" s="1"/>
      <c r="I103" s="2">
        <v>3.6805555555555557E-2</v>
      </c>
      <c r="J103" s="176">
        <v>6.134259259259259E-4</v>
      </c>
      <c r="K103" s="6">
        <v>53</v>
      </c>
      <c r="L103" t="s">
        <v>101</v>
      </c>
      <c r="M103" t="s">
        <v>149</v>
      </c>
      <c r="N103" t="s">
        <v>102</v>
      </c>
      <c r="O103" t="s">
        <v>115</v>
      </c>
      <c r="P103">
        <v>1</v>
      </c>
      <c r="Q103">
        <v>0</v>
      </c>
      <c r="R103">
        <v>0</v>
      </c>
      <c r="S103" t="s">
        <v>176</v>
      </c>
      <c r="T103" s="5" t="s">
        <v>24</v>
      </c>
      <c r="U103" s="5" t="s">
        <v>263</v>
      </c>
      <c r="V103" s="5" t="s">
        <v>115</v>
      </c>
      <c r="W103" s="5"/>
      <c r="X103" s="5"/>
      <c r="Y103" s="5"/>
      <c r="Z103" s="5" t="s">
        <v>115</v>
      </c>
      <c r="AA103" s="5" t="s">
        <v>115</v>
      </c>
      <c r="AB103" s="5" t="s">
        <v>115</v>
      </c>
      <c r="AC103" s="5" t="s">
        <v>115</v>
      </c>
      <c r="AD103" s="5" t="s">
        <v>115</v>
      </c>
      <c r="AE103" s="5" t="s">
        <v>115</v>
      </c>
      <c r="AF103" s="5" t="s">
        <v>115</v>
      </c>
      <c r="AG103" s="5" t="s">
        <v>115</v>
      </c>
      <c r="AH103">
        <v>2</v>
      </c>
      <c r="AI103">
        <v>0</v>
      </c>
      <c r="AJ103">
        <v>2</v>
      </c>
      <c r="AK103">
        <v>0</v>
      </c>
      <c r="AL103">
        <v>51</v>
      </c>
      <c r="AM103">
        <f t="shared" si="1"/>
        <v>53</v>
      </c>
      <c r="AN103" t="s">
        <v>188</v>
      </c>
    </row>
    <row r="104" spans="1:41" x14ac:dyDescent="0.2">
      <c r="A104" t="s">
        <v>2510</v>
      </c>
      <c r="B104" t="s">
        <v>2511</v>
      </c>
      <c r="C104">
        <v>10</v>
      </c>
      <c r="D104">
        <v>1</v>
      </c>
      <c r="E104" t="s">
        <v>2487</v>
      </c>
      <c r="F104" s="1">
        <v>43549</v>
      </c>
      <c r="G104" s="1" t="s">
        <v>4026</v>
      </c>
      <c r="H104" s="1"/>
      <c r="I104" s="2">
        <v>3.7499999999999999E-2</v>
      </c>
      <c r="J104" s="176">
        <v>6.2500000000000001E-4</v>
      </c>
      <c r="K104" s="6">
        <v>54</v>
      </c>
      <c r="L104" s="5" t="s">
        <v>640</v>
      </c>
      <c r="M104" t="s">
        <v>2488</v>
      </c>
      <c r="N104" t="s">
        <v>102</v>
      </c>
      <c r="O104" t="s">
        <v>115</v>
      </c>
      <c r="P104">
        <v>0</v>
      </c>
      <c r="Q104">
        <v>0</v>
      </c>
      <c r="R104">
        <v>0</v>
      </c>
      <c r="T104" t="s">
        <v>115</v>
      </c>
      <c r="U104" t="s">
        <v>115</v>
      </c>
      <c r="V104" t="s">
        <v>115</v>
      </c>
      <c r="Z104" t="s">
        <v>115</v>
      </c>
      <c r="AA104" t="s">
        <v>115</v>
      </c>
      <c r="AB104" t="s">
        <v>115</v>
      </c>
      <c r="AC104" t="s">
        <v>115</v>
      </c>
      <c r="AD104" t="s">
        <v>115</v>
      </c>
      <c r="AH104">
        <v>0</v>
      </c>
      <c r="AI104">
        <v>0</v>
      </c>
      <c r="AJ104">
        <v>0</v>
      </c>
      <c r="AK104">
        <v>0</v>
      </c>
      <c r="AL104">
        <v>52</v>
      </c>
      <c r="AM104">
        <f t="shared" si="1"/>
        <v>52</v>
      </c>
      <c r="AN104" t="s">
        <v>188</v>
      </c>
    </row>
    <row r="105" spans="1:41" x14ac:dyDescent="0.2">
      <c r="A105" t="s">
        <v>3397</v>
      </c>
      <c r="B105" t="s">
        <v>3398</v>
      </c>
      <c r="C105">
        <v>20</v>
      </c>
      <c r="D105">
        <v>1</v>
      </c>
      <c r="E105" t="s">
        <v>3171</v>
      </c>
      <c r="F105" s="1">
        <v>43577</v>
      </c>
      <c r="G105" s="1" t="s">
        <v>4027</v>
      </c>
      <c r="H105" s="1" t="s">
        <v>4752</v>
      </c>
      <c r="I105" s="2">
        <v>4.3055555555555562E-2</v>
      </c>
      <c r="J105" s="176">
        <v>7.175925925925927E-4</v>
      </c>
      <c r="K105" s="6">
        <v>62</v>
      </c>
      <c r="L105" t="s">
        <v>101</v>
      </c>
      <c r="M105" t="s">
        <v>670</v>
      </c>
      <c r="N105" t="s">
        <v>102</v>
      </c>
      <c r="O105" t="s">
        <v>115</v>
      </c>
      <c r="P105">
        <v>3</v>
      </c>
      <c r="Q105">
        <v>0</v>
      </c>
      <c r="R105">
        <v>0</v>
      </c>
      <c r="S105" t="s">
        <v>176</v>
      </c>
      <c r="T105" s="5" t="s">
        <v>2727</v>
      </c>
      <c r="U105" s="5" t="s">
        <v>122</v>
      </c>
      <c r="V105" s="5" t="s">
        <v>115</v>
      </c>
      <c r="W105" s="5"/>
      <c r="X105" s="5"/>
      <c r="Y105" s="5"/>
      <c r="Z105" s="5" t="s">
        <v>115</v>
      </c>
      <c r="AA105" s="5" t="s">
        <v>115</v>
      </c>
      <c r="AB105" s="5" t="s">
        <v>115</v>
      </c>
      <c r="AC105" s="5" t="s">
        <v>115</v>
      </c>
      <c r="AD105" s="5" t="s">
        <v>115</v>
      </c>
      <c r="AE105" s="5" t="s">
        <v>115</v>
      </c>
      <c r="AF105" s="5" t="s">
        <v>115</v>
      </c>
      <c r="AG105" s="5" t="s">
        <v>115</v>
      </c>
      <c r="AH105">
        <v>0</v>
      </c>
      <c r="AI105">
        <v>0</v>
      </c>
      <c r="AJ105">
        <v>0</v>
      </c>
      <c r="AK105">
        <v>0</v>
      </c>
      <c r="AL105">
        <v>52</v>
      </c>
      <c r="AM105">
        <f t="shared" si="1"/>
        <v>52</v>
      </c>
      <c r="AN105" t="s">
        <v>188</v>
      </c>
    </row>
    <row r="106" spans="1:41" x14ac:dyDescent="0.2">
      <c r="A106" t="s">
        <v>2815</v>
      </c>
      <c r="B106" t="s">
        <v>2816</v>
      </c>
      <c r="C106">
        <v>14</v>
      </c>
      <c r="D106">
        <v>2</v>
      </c>
      <c r="E106" t="s">
        <v>138</v>
      </c>
      <c r="F106" s="1">
        <v>43556</v>
      </c>
      <c r="G106" s="1" t="s">
        <v>4027</v>
      </c>
      <c r="H106" s="1"/>
      <c r="I106" s="2">
        <v>9.1666666666666674E-2</v>
      </c>
      <c r="J106" s="176">
        <v>1.5277777777777779E-3</v>
      </c>
      <c r="K106" s="6">
        <v>132</v>
      </c>
      <c r="M106" t="s">
        <v>173</v>
      </c>
      <c r="N106" t="s">
        <v>187</v>
      </c>
      <c r="O106" t="s">
        <v>23</v>
      </c>
      <c r="P106">
        <v>1</v>
      </c>
      <c r="Q106">
        <v>0</v>
      </c>
      <c r="R106">
        <v>0</v>
      </c>
      <c r="S106" t="s">
        <v>14</v>
      </c>
      <c r="T106" s="5" t="s">
        <v>14</v>
      </c>
      <c r="U106" s="5" t="s">
        <v>122</v>
      </c>
      <c r="V106" s="5" t="s">
        <v>115</v>
      </c>
      <c r="W106" s="5"/>
      <c r="X106" s="5"/>
      <c r="Y106" s="5"/>
      <c r="Z106" s="5" t="s">
        <v>115</v>
      </c>
      <c r="AA106" s="5" t="s">
        <v>115</v>
      </c>
      <c r="AB106" s="5" t="s">
        <v>115</v>
      </c>
      <c r="AC106" s="5" t="s">
        <v>115</v>
      </c>
      <c r="AD106" s="5" t="s">
        <v>115</v>
      </c>
      <c r="AE106" s="5" t="s">
        <v>115</v>
      </c>
      <c r="AF106" s="5" t="s">
        <v>115</v>
      </c>
      <c r="AG106" s="5"/>
      <c r="AH106">
        <v>0</v>
      </c>
      <c r="AI106">
        <v>0</v>
      </c>
      <c r="AJ106">
        <v>0</v>
      </c>
      <c r="AK106">
        <v>0</v>
      </c>
      <c r="AL106">
        <v>51</v>
      </c>
      <c r="AM106">
        <f t="shared" si="1"/>
        <v>51</v>
      </c>
      <c r="AN106" t="s">
        <v>188</v>
      </c>
    </row>
    <row r="107" spans="1:41" x14ac:dyDescent="0.2">
      <c r="A107" t="s">
        <v>3318</v>
      </c>
      <c r="B107" t="s">
        <v>3320</v>
      </c>
      <c r="C107">
        <v>12</v>
      </c>
      <c r="D107">
        <v>1</v>
      </c>
      <c r="E107" t="s">
        <v>834</v>
      </c>
      <c r="F107" s="1">
        <v>43577</v>
      </c>
      <c r="G107" s="1" t="s">
        <v>4027</v>
      </c>
      <c r="H107" s="1"/>
      <c r="I107" s="2">
        <v>3.5416666666666666E-2</v>
      </c>
      <c r="J107" s="176">
        <v>5.9027777777777778E-4</v>
      </c>
      <c r="K107" s="6">
        <v>51</v>
      </c>
      <c r="L107" t="s">
        <v>101</v>
      </c>
      <c r="M107" t="s">
        <v>466</v>
      </c>
      <c r="N107" t="s">
        <v>102</v>
      </c>
      <c r="O107" t="s">
        <v>115</v>
      </c>
      <c r="P107">
        <v>1</v>
      </c>
      <c r="Q107">
        <v>0</v>
      </c>
      <c r="R107">
        <v>0</v>
      </c>
      <c r="S107" t="s">
        <v>176</v>
      </c>
      <c r="T107" s="5" t="s">
        <v>24</v>
      </c>
      <c r="U107" s="5" t="s">
        <v>122</v>
      </c>
      <c r="V107" s="5" t="s">
        <v>115</v>
      </c>
      <c r="W107" s="5"/>
      <c r="X107" s="5"/>
      <c r="Y107" s="5"/>
      <c r="Z107" s="5" t="s">
        <v>115</v>
      </c>
      <c r="AA107" s="5" t="s">
        <v>115</v>
      </c>
      <c r="AB107" s="5" t="s">
        <v>115</v>
      </c>
      <c r="AC107" s="5" t="s">
        <v>115</v>
      </c>
      <c r="AD107" s="5" t="s">
        <v>115</v>
      </c>
      <c r="AE107" s="5" t="s">
        <v>115</v>
      </c>
      <c r="AF107" s="5" t="s">
        <v>115</v>
      </c>
      <c r="AG107" s="5" t="s">
        <v>115</v>
      </c>
      <c r="AH107">
        <v>0</v>
      </c>
      <c r="AI107">
        <v>0</v>
      </c>
      <c r="AJ107">
        <v>0</v>
      </c>
      <c r="AK107">
        <v>0</v>
      </c>
      <c r="AL107">
        <v>51</v>
      </c>
      <c r="AM107">
        <f t="shared" si="1"/>
        <v>51</v>
      </c>
      <c r="AN107" t="s">
        <v>188</v>
      </c>
    </row>
    <row r="108" spans="1:41" x14ac:dyDescent="0.2">
      <c r="A108" t="s">
        <v>3329</v>
      </c>
      <c r="B108" t="s">
        <v>3330</v>
      </c>
      <c r="C108">
        <v>16</v>
      </c>
      <c r="D108">
        <v>1</v>
      </c>
      <c r="E108" t="s">
        <v>834</v>
      </c>
      <c r="F108" s="1">
        <v>43577</v>
      </c>
      <c r="G108" s="1" t="s">
        <v>4027</v>
      </c>
      <c r="H108" s="1"/>
      <c r="I108" s="2">
        <v>3.5416666666666666E-2</v>
      </c>
      <c r="J108" s="176">
        <v>5.9027777777777778E-4</v>
      </c>
      <c r="K108" s="6">
        <v>51</v>
      </c>
      <c r="L108" t="s">
        <v>101</v>
      </c>
      <c r="M108" t="s">
        <v>466</v>
      </c>
      <c r="N108" t="s">
        <v>102</v>
      </c>
      <c r="O108" t="s">
        <v>115</v>
      </c>
      <c r="P108">
        <v>2</v>
      </c>
      <c r="Q108">
        <v>0</v>
      </c>
      <c r="R108">
        <v>0</v>
      </c>
      <c r="S108" t="s">
        <v>176</v>
      </c>
      <c r="T108" s="5" t="s">
        <v>24</v>
      </c>
      <c r="U108" s="5" t="s">
        <v>115</v>
      </c>
      <c r="V108" s="5" t="s">
        <v>115</v>
      </c>
      <c r="W108" s="5"/>
      <c r="X108" s="5"/>
      <c r="Y108" s="5"/>
      <c r="Z108" s="5" t="s">
        <v>115</v>
      </c>
      <c r="AA108" s="5" t="s">
        <v>115</v>
      </c>
      <c r="AB108" s="5" t="s">
        <v>115</v>
      </c>
      <c r="AC108" s="5" t="s">
        <v>115</v>
      </c>
      <c r="AD108" s="5" t="s">
        <v>115</v>
      </c>
      <c r="AE108" s="5" t="s">
        <v>115</v>
      </c>
      <c r="AF108" s="5" t="s">
        <v>115</v>
      </c>
      <c r="AG108" s="5" t="s">
        <v>115</v>
      </c>
      <c r="AH108">
        <v>0</v>
      </c>
      <c r="AI108">
        <v>0</v>
      </c>
      <c r="AJ108">
        <v>0</v>
      </c>
      <c r="AK108">
        <v>0</v>
      </c>
      <c r="AL108">
        <v>51</v>
      </c>
      <c r="AM108">
        <f t="shared" si="1"/>
        <v>51</v>
      </c>
      <c r="AN108" t="s">
        <v>188</v>
      </c>
    </row>
    <row r="109" spans="1:41" x14ac:dyDescent="0.2">
      <c r="A109" t="s">
        <v>3376</v>
      </c>
      <c r="B109" t="s">
        <v>3377</v>
      </c>
      <c r="C109">
        <v>11</v>
      </c>
      <c r="D109">
        <v>1</v>
      </c>
      <c r="E109" t="s">
        <v>3171</v>
      </c>
      <c r="F109" s="1">
        <v>43577</v>
      </c>
      <c r="G109" s="1" t="s">
        <v>4027</v>
      </c>
      <c r="H109" s="1" t="s">
        <v>4752</v>
      </c>
      <c r="I109" s="2">
        <v>3.888888888888889E-2</v>
      </c>
      <c r="J109" s="176">
        <v>6.4814814814814813E-4</v>
      </c>
      <c r="K109" s="6">
        <v>56</v>
      </c>
      <c r="L109" t="s">
        <v>101</v>
      </c>
      <c r="M109" t="s">
        <v>670</v>
      </c>
      <c r="N109" t="s">
        <v>102</v>
      </c>
      <c r="O109" t="s">
        <v>115</v>
      </c>
      <c r="P109" t="s">
        <v>24</v>
      </c>
      <c r="Q109">
        <v>0</v>
      </c>
      <c r="R109">
        <v>0</v>
      </c>
      <c r="T109" s="5" t="s">
        <v>115</v>
      </c>
      <c r="U109" s="5" t="s">
        <v>115</v>
      </c>
      <c r="V109" s="5" t="s">
        <v>115</v>
      </c>
      <c r="W109" s="5"/>
      <c r="X109" s="5"/>
      <c r="Y109" s="5"/>
      <c r="Z109" s="5" t="s">
        <v>115</v>
      </c>
      <c r="AA109" s="5" t="s">
        <v>115</v>
      </c>
      <c r="AB109" s="5" t="s">
        <v>115</v>
      </c>
      <c r="AC109" s="5" t="s">
        <v>115</v>
      </c>
      <c r="AD109" s="5" t="s">
        <v>115</v>
      </c>
      <c r="AE109" s="5" t="s">
        <v>115</v>
      </c>
      <c r="AF109" s="5" t="s">
        <v>115</v>
      </c>
      <c r="AG109" s="5" t="s">
        <v>115</v>
      </c>
      <c r="AH109">
        <v>0</v>
      </c>
      <c r="AI109">
        <v>0</v>
      </c>
      <c r="AJ109">
        <v>0</v>
      </c>
      <c r="AK109">
        <v>0</v>
      </c>
      <c r="AL109">
        <v>51</v>
      </c>
      <c r="AM109">
        <f t="shared" si="1"/>
        <v>51</v>
      </c>
      <c r="AN109" t="s">
        <v>188</v>
      </c>
    </row>
    <row r="110" spans="1:41" x14ac:dyDescent="0.2">
      <c r="A110" t="s">
        <v>2561</v>
      </c>
      <c r="B110" t="s">
        <v>2562</v>
      </c>
      <c r="C110">
        <v>7</v>
      </c>
      <c r="D110">
        <v>1</v>
      </c>
      <c r="E110" t="s">
        <v>324</v>
      </c>
      <c r="F110" s="1">
        <v>43550</v>
      </c>
      <c r="G110" s="1" t="s">
        <v>4026</v>
      </c>
      <c r="H110" s="1"/>
      <c r="I110" s="2">
        <v>3.4722222222222224E-2</v>
      </c>
      <c r="J110" s="176">
        <v>5.7870370370370378E-4</v>
      </c>
      <c r="K110" s="6">
        <v>50</v>
      </c>
      <c r="L110" s="5" t="s">
        <v>640</v>
      </c>
      <c r="M110" t="s">
        <v>325</v>
      </c>
      <c r="N110" t="s">
        <v>102</v>
      </c>
      <c r="O110" t="s">
        <v>115</v>
      </c>
      <c r="P110">
        <v>1</v>
      </c>
      <c r="Q110">
        <v>0</v>
      </c>
      <c r="R110">
        <v>0</v>
      </c>
      <c r="S110" t="s">
        <v>176</v>
      </c>
      <c r="T110" t="s">
        <v>24</v>
      </c>
      <c r="U110" t="s">
        <v>122</v>
      </c>
      <c r="V110" t="s">
        <v>115</v>
      </c>
      <c r="Z110" t="s">
        <v>115</v>
      </c>
      <c r="AA110" t="s">
        <v>115</v>
      </c>
      <c r="AB110" t="s">
        <v>115</v>
      </c>
      <c r="AC110" t="s">
        <v>115</v>
      </c>
      <c r="AD110" t="s">
        <v>115</v>
      </c>
      <c r="AH110">
        <v>0</v>
      </c>
      <c r="AI110">
        <v>0</v>
      </c>
      <c r="AJ110">
        <v>0</v>
      </c>
      <c r="AK110">
        <v>0</v>
      </c>
      <c r="AL110">
        <v>50</v>
      </c>
      <c r="AM110">
        <f t="shared" si="1"/>
        <v>50</v>
      </c>
      <c r="AN110" t="s">
        <v>188</v>
      </c>
    </row>
    <row r="111" spans="1:41" x14ac:dyDescent="0.2">
      <c r="A111" t="s">
        <v>3705</v>
      </c>
      <c r="B111" t="s">
        <v>3706</v>
      </c>
      <c r="C111">
        <v>10</v>
      </c>
      <c r="D111">
        <v>1</v>
      </c>
      <c r="E111" t="s">
        <v>3171</v>
      </c>
      <c r="F111" s="1">
        <v>43585</v>
      </c>
      <c r="G111" s="1" t="s">
        <v>4027</v>
      </c>
      <c r="H111" s="1" t="s">
        <v>4752</v>
      </c>
      <c r="I111" s="2">
        <v>3.4722222222222224E-2</v>
      </c>
      <c r="J111" s="176">
        <v>5.7870370370370378E-4</v>
      </c>
      <c r="K111" s="6">
        <v>50</v>
      </c>
      <c r="L111" t="s">
        <v>3626</v>
      </c>
      <c r="M111" t="s">
        <v>670</v>
      </c>
      <c r="N111" t="s">
        <v>102</v>
      </c>
      <c r="O111" t="s">
        <v>115</v>
      </c>
      <c r="P111">
        <v>2</v>
      </c>
      <c r="Q111">
        <v>0</v>
      </c>
      <c r="R111">
        <v>0</v>
      </c>
      <c r="S111" t="s">
        <v>176</v>
      </c>
      <c r="T111" s="5" t="s">
        <v>24</v>
      </c>
      <c r="U111" s="5" t="s">
        <v>122</v>
      </c>
      <c r="V111" s="5" t="s">
        <v>115</v>
      </c>
      <c r="W111" s="5"/>
      <c r="X111" s="5"/>
      <c r="Y111" s="5"/>
      <c r="Z111" s="5" t="s">
        <v>115</v>
      </c>
      <c r="AA111" s="5" t="s">
        <v>115</v>
      </c>
      <c r="AB111" s="5" t="s">
        <v>115</v>
      </c>
      <c r="AC111" s="5" t="s">
        <v>115</v>
      </c>
      <c r="AD111" s="5" t="s">
        <v>115</v>
      </c>
      <c r="AE111" s="5" t="s">
        <v>115</v>
      </c>
      <c r="AF111" s="5" t="s">
        <v>115</v>
      </c>
      <c r="AG111" s="5" t="s">
        <v>115</v>
      </c>
      <c r="AH111">
        <v>0</v>
      </c>
      <c r="AI111">
        <v>0</v>
      </c>
      <c r="AJ111">
        <v>0</v>
      </c>
      <c r="AK111">
        <v>0</v>
      </c>
      <c r="AL111">
        <v>50</v>
      </c>
      <c r="AM111">
        <f t="shared" si="1"/>
        <v>50</v>
      </c>
      <c r="AN111" t="s">
        <v>188</v>
      </c>
    </row>
    <row r="112" spans="1:41" x14ac:dyDescent="0.2">
      <c r="A112" t="s">
        <v>3325</v>
      </c>
      <c r="B112" t="s">
        <v>3326</v>
      </c>
      <c r="C112">
        <v>14</v>
      </c>
      <c r="D112">
        <v>1</v>
      </c>
      <c r="E112" t="s">
        <v>834</v>
      </c>
      <c r="F112" s="1">
        <v>43577</v>
      </c>
      <c r="G112" s="1" t="s">
        <v>4027</v>
      </c>
      <c r="H112" s="1"/>
      <c r="I112" s="2">
        <v>3.4722222222222224E-2</v>
      </c>
      <c r="J112" s="176">
        <v>5.7870370370370378E-4</v>
      </c>
      <c r="K112" s="6">
        <v>50</v>
      </c>
      <c r="L112" t="s">
        <v>101</v>
      </c>
      <c r="M112" t="s">
        <v>466</v>
      </c>
      <c r="N112" t="s">
        <v>102</v>
      </c>
      <c r="O112" t="s">
        <v>115</v>
      </c>
      <c r="P112" t="s">
        <v>24</v>
      </c>
      <c r="Q112">
        <v>0</v>
      </c>
      <c r="R112">
        <v>0</v>
      </c>
      <c r="T112" s="5" t="s">
        <v>115</v>
      </c>
      <c r="U112" s="5" t="s">
        <v>115</v>
      </c>
      <c r="V112" s="5" t="s">
        <v>115</v>
      </c>
      <c r="W112" s="5"/>
      <c r="X112" s="5"/>
      <c r="Y112" s="5"/>
      <c r="Z112" s="5" t="s">
        <v>115</v>
      </c>
      <c r="AA112" s="5" t="s">
        <v>115</v>
      </c>
      <c r="AB112" s="5" t="s">
        <v>115</v>
      </c>
      <c r="AC112" s="5" t="s">
        <v>115</v>
      </c>
      <c r="AD112" s="5" t="s">
        <v>115</v>
      </c>
      <c r="AE112" s="5" t="s">
        <v>115</v>
      </c>
      <c r="AF112" s="5" t="s">
        <v>115</v>
      </c>
      <c r="AG112" s="5" t="s">
        <v>115</v>
      </c>
      <c r="AH112">
        <v>0</v>
      </c>
      <c r="AI112">
        <v>0</v>
      </c>
      <c r="AJ112">
        <v>0</v>
      </c>
      <c r="AK112">
        <v>0</v>
      </c>
      <c r="AL112">
        <v>50</v>
      </c>
      <c r="AM112">
        <f t="shared" si="1"/>
        <v>50</v>
      </c>
      <c r="AN112" t="s">
        <v>188</v>
      </c>
    </row>
    <row r="113" spans="1:43" x14ac:dyDescent="0.2">
      <c r="A113" t="s">
        <v>3862</v>
      </c>
      <c r="B113" t="s">
        <v>3863</v>
      </c>
      <c r="C113">
        <v>1</v>
      </c>
      <c r="D113">
        <v>1</v>
      </c>
      <c r="E113" t="s">
        <v>2601</v>
      </c>
      <c r="F113" s="1">
        <v>43590</v>
      </c>
      <c r="G113" s="1" t="s">
        <v>4028</v>
      </c>
      <c r="H113" s="1"/>
      <c r="I113" s="2">
        <v>3.4027777777777775E-2</v>
      </c>
      <c r="J113" s="176">
        <v>5.6712962962962956E-4</v>
      </c>
      <c r="K113" s="6">
        <v>49</v>
      </c>
      <c r="L113" t="s">
        <v>1278</v>
      </c>
      <c r="M113" t="s">
        <v>177</v>
      </c>
      <c r="N113" t="s">
        <v>102</v>
      </c>
      <c r="O113" t="s">
        <v>115</v>
      </c>
      <c r="P113" t="s">
        <v>24</v>
      </c>
      <c r="Q113">
        <v>0</v>
      </c>
      <c r="R113">
        <v>0</v>
      </c>
      <c r="T113" s="5" t="s">
        <v>115</v>
      </c>
      <c r="U113" s="5" t="s">
        <v>115</v>
      </c>
      <c r="V113" s="5" t="s">
        <v>115</v>
      </c>
      <c r="W113" s="5"/>
      <c r="X113" s="5"/>
      <c r="Y113" s="5"/>
      <c r="Z113" s="5" t="s">
        <v>115</v>
      </c>
      <c r="AA113" s="5" t="s">
        <v>115</v>
      </c>
      <c r="AB113" s="5" t="s">
        <v>115</v>
      </c>
      <c r="AC113" s="5" t="s">
        <v>115</v>
      </c>
      <c r="AD113" s="5" t="s">
        <v>115</v>
      </c>
      <c r="AE113" s="5" t="s">
        <v>115</v>
      </c>
      <c r="AF113" s="5" t="s">
        <v>115</v>
      </c>
      <c r="AG113" s="5" t="s">
        <v>115</v>
      </c>
      <c r="AH113">
        <v>0</v>
      </c>
      <c r="AI113">
        <v>0</v>
      </c>
      <c r="AJ113">
        <v>0</v>
      </c>
      <c r="AK113">
        <v>0</v>
      </c>
      <c r="AL113">
        <v>49</v>
      </c>
      <c r="AM113">
        <f t="shared" si="1"/>
        <v>49</v>
      </c>
      <c r="AN113" t="s">
        <v>188</v>
      </c>
    </row>
    <row r="114" spans="1:43" x14ac:dyDescent="0.2">
      <c r="A114" t="s">
        <v>2990</v>
      </c>
      <c r="B114" t="s">
        <v>2991</v>
      </c>
      <c r="C114">
        <v>30</v>
      </c>
      <c r="D114">
        <v>1</v>
      </c>
      <c r="E114" t="s">
        <v>834</v>
      </c>
      <c r="F114" s="1">
        <v>43560</v>
      </c>
      <c r="G114" s="1" t="s">
        <v>4027</v>
      </c>
      <c r="H114" s="1"/>
      <c r="I114" s="2">
        <v>3.3333333333333333E-2</v>
      </c>
      <c r="J114" s="176">
        <v>5.5555555555555556E-4</v>
      </c>
      <c r="K114" s="6">
        <v>48</v>
      </c>
      <c r="M114" t="s">
        <v>466</v>
      </c>
      <c r="N114" t="s">
        <v>102</v>
      </c>
      <c r="O114" t="s">
        <v>115</v>
      </c>
      <c r="P114">
        <v>1</v>
      </c>
      <c r="Q114">
        <v>0</v>
      </c>
      <c r="R114">
        <v>0</v>
      </c>
      <c r="S114" t="s">
        <v>176</v>
      </c>
      <c r="T114" s="5" t="s">
        <v>24</v>
      </c>
      <c r="U114" s="5" t="s">
        <v>122</v>
      </c>
      <c r="V114" s="5" t="s">
        <v>115</v>
      </c>
      <c r="W114" s="5"/>
      <c r="X114" s="5"/>
      <c r="Y114" s="5"/>
      <c r="Z114" s="5" t="s">
        <v>115</v>
      </c>
      <c r="AA114" s="5" t="s">
        <v>115</v>
      </c>
      <c r="AB114" s="5" t="s">
        <v>115</v>
      </c>
      <c r="AC114" s="5" t="s">
        <v>115</v>
      </c>
      <c r="AD114" s="5" t="s">
        <v>115</v>
      </c>
      <c r="AE114" s="5" t="s">
        <v>115</v>
      </c>
      <c r="AF114" s="5" t="s">
        <v>115</v>
      </c>
      <c r="AG114" s="5"/>
      <c r="AH114">
        <v>0</v>
      </c>
      <c r="AI114">
        <v>0</v>
      </c>
      <c r="AJ114">
        <v>0</v>
      </c>
      <c r="AK114">
        <v>0</v>
      </c>
      <c r="AL114">
        <v>48</v>
      </c>
      <c r="AM114">
        <f t="shared" si="1"/>
        <v>48</v>
      </c>
    </row>
    <row r="115" spans="1:43" x14ac:dyDescent="0.2">
      <c r="A115" t="s">
        <v>3097</v>
      </c>
      <c r="B115" t="s">
        <v>3098</v>
      </c>
      <c r="C115">
        <v>3</v>
      </c>
      <c r="D115">
        <v>1</v>
      </c>
      <c r="E115" t="s">
        <v>324</v>
      </c>
      <c r="F115" s="1">
        <v>43570</v>
      </c>
      <c r="G115" s="1" t="s">
        <v>4027</v>
      </c>
      <c r="H115" s="1"/>
      <c r="I115" s="2">
        <v>6.25E-2</v>
      </c>
      <c r="J115" s="176">
        <v>1.0416666666666667E-3</v>
      </c>
      <c r="K115" s="6">
        <v>90</v>
      </c>
      <c r="L115" t="s">
        <v>101</v>
      </c>
      <c r="M115" t="s">
        <v>325</v>
      </c>
      <c r="N115" t="s">
        <v>102</v>
      </c>
      <c r="O115" t="s">
        <v>23</v>
      </c>
      <c r="P115">
        <v>1</v>
      </c>
      <c r="Q115" t="s">
        <v>24</v>
      </c>
      <c r="R115">
        <v>0</v>
      </c>
      <c r="S115" t="s">
        <v>176</v>
      </c>
      <c r="T115" s="5" t="s">
        <v>24</v>
      </c>
      <c r="U115" s="5" t="s">
        <v>709</v>
      </c>
      <c r="V115" s="5" t="s">
        <v>115</v>
      </c>
      <c r="W115" s="5"/>
      <c r="X115" s="5"/>
      <c r="Y115" s="5"/>
      <c r="Z115" s="5" t="s">
        <v>115</v>
      </c>
      <c r="AA115" s="5" t="s">
        <v>115</v>
      </c>
      <c r="AB115" s="5" t="s">
        <v>115</v>
      </c>
      <c r="AC115" s="5" t="s">
        <v>115</v>
      </c>
      <c r="AD115" s="5" t="s">
        <v>115</v>
      </c>
      <c r="AE115" s="5" t="s">
        <v>115</v>
      </c>
      <c r="AF115" s="5" t="s">
        <v>115</v>
      </c>
      <c r="AG115" s="5"/>
      <c r="AH115">
        <v>48</v>
      </c>
      <c r="AI115">
        <v>0</v>
      </c>
      <c r="AJ115">
        <v>48</v>
      </c>
      <c r="AK115">
        <v>0</v>
      </c>
      <c r="AL115">
        <v>0</v>
      </c>
      <c r="AM115">
        <f t="shared" si="1"/>
        <v>48</v>
      </c>
      <c r="AN115" t="s">
        <v>2374</v>
      </c>
      <c r="AP115">
        <v>10</v>
      </c>
      <c r="AQ115">
        <v>0</v>
      </c>
    </row>
    <row r="116" spans="1:43" x14ac:dyDescent="0.2">
      <c r="A116" t="s">
        <v>3179</v>
      </c>
      <c r="B116" t="s">
        <v>3180</v>
      </c>
      <c r="C116">
        <v>5</v>
      </c>
      <c r="D116">
        <v>1</v>
      </c>
      <c r="E116" t="s">
        <v>3171</v>
      </c>
      <c r="F116" s="1">
        <v>43571</v>
      </c>
      <c r="G116" s="1" t="s">
        <v>4027</v>
      </c>
      <c r="H116" s="1"/>
      <c r="I116" s="2">
        <v>3.3333333333333333E-2</v>
      </c>
      <c r="J116" s="176">
        <v>5.5555555555555556E-4</v>
      </c>
      <c r="K116" s="6">
        <v>48</v>
      </c>
      <c r="L116" t="s">
        <v>1278</v>
      </c>
      <c r="M116" t="s">
        <v>149</v>
      </c>
      <c r="N116" t="s">
        <v>102</v>
      </c>
      <c r="O116" t="s">
        <v>115</v>
      </c>
      <c r="P116">
        <v>1</v>
      </c>
      <c r="Q116">
        <v>0</v>
      </c>
      <c r="R116">
        <v>0</v>
      </c>
      <c r="S116" t="s">
        <v>176</v>
      </c>
      <c r="T116" s="5" t="s">
        <v>24</v>
      </c>
      <c r="U116" s="5" t="s">
        <v>122</v>
      </c>
      <c r="V116" s="5" t="s">
        <v>115</v>
      </c>
      <c r="W116" s="5"/>
      <c r="X116" s="5"/>
      <c r="Y116" s="5"/>
      <c r="Z116" s="5" t="s">
        <v>115</v>
      </c>
      <c r="AA116" s="5" t="s">
        <v>115</v>
      </c>
      <c r="AB116" s="5" t="s">
        <v>115</v>
      </c>
      <c r="AC116" s="5" t="s">
        <v>115</v>
      </c>
      <c r="AD116" s="5" t="s">
        <v>115</v>
      </c>
      <c r="AE116" s="5" t="s">
        <v>115</v>
      </c>
      <c r="AF116" s="5" t="s">
        <v>115</v>
      </c>
      <c r="AG116" s="5"/>
      <c r="AH116">
        <v>0</v>
      </c>
      <c r="AI116">
        <v>0</v>
      </c>
      <c r="AJ116">
        <v>0</v>
      </c>
      <c r="AK116">
        <v>0</v>
      </c>
      <c r="AL116">
        <v>48</v>
      </c>
      <c r="AM116">
        <f t="shared" si="1"/>
        <v>48</v>
      </c>
      <c r="AN116" t="s">
        <v>188</v>
      </c>
    </row>
    <row r="117" spans="1:43" x14ac:dyDescent="0.2">
      <c r="A117" t="s">
        <v>3584</v>
      </c>
      <c r="B117" t="s">
        <v>3585</v>
      </c>
      <c r="C117">
        <v>35</v>
      </c>
      <c r="D117">
        <v>1</v>
      </c>
      <c r="E117" t="s">
        <v>3171</v>
      </c>
      <c r="F117" s="1">
        <v>43580</v>
      </c>
      <c r="G117" s="1" t="s">
        <v>4027</v>
      </c>
      <c r="H117" s="1"/>
      <c r="I117" s="2">
        <v>3.4027777777777775E-2</v>
      </c>
      <c r="J117" s="176">
        <v>5.6712962962962956E-4</v>
      </c>
      <c r="K117" s="6">
        <v>49</v>
      </c>
      <c r="L117" t="s">
        <v>101</v>
      </c>
      <c r="M117" t="s">
        <v>149</v>
      </c>
      <c r="N117" t="s">
        <v>102</v>
      </c>
      <c r="O117" t="s">
        <v>115</v>
      </c>
      <c r="P117" t="s">
        <v>24</v>
      </c>
      <c r="Q117">
        <v>0</v>
      </c>
      <c r="R117">
        <v>0</v>
      </c>
      <c r="T117" s="5" t="s">
        <v>115</v>
      </c>
      <c r="U117" s="5" t="s">
        <v>115</v>
      </c>
      <c r="V117" s="5" t="s">
        <v>115</v>
      </c>
      <c r="W117" s="5"/>
      <c r="X117" s="5"/>
      <c r="Y117" s="5"/>
      <c r="Z117" s="5" t="s">
        <v>115</v>
      </c>
      <c r="AA117" s="5" t="s">
        <v>115</v>
      </c>
      <c r="AB117" s="5" t="s">
        <v>115</v>
      </c>
      <c r="AC117" s="5" t="s">
        <v>115</v>
      </c>
      <c r="AD117" s="5" t="s">
        <v>115</v>
      </c>
      <c r="AE117" s="5" t="s">
        <v>115</v>
      </c>
      <c r="AF117" s="5" t="s">
        <v>115</v>
      </c>
      <c r="AG117" s="5" t="s">
        <v>115</v>
      </c>
      <c r="AH117">
        <v>0</v>
      </c>
      <c r="AI117">
        <v>0</v>
      </c>
      <c r="AJ117">
        <v>0</v>
      </c>
      <c r="AK117">
        <v>0</v>
      </c>
      <c r="AL117">
        <v>48</v>
      </c>
      <c r="AM117">
        <f t="shared" si="1"/>
        <v>48</v>
      </c>
      <c r="AN117" t="s">
        <v>188</v>
      </c>
    </row>
    <row r="118" spans="1:43" x14ac:dyDescent="0.2">
      <c r="A118" t="s">
        <v>2992</v>
      </c>
      <c r="B118" t="s">
        <v>2993</v>
      </c>
      <c r="C118">
        <v>31</v>
      </c>
      <c r="D118">
        <v>1</v>
      </c>
      <c r="E118" t="s">
        <v>834</v>
      </c>
      <c r="F118" s="1">
        <v>43560</v>
      </c>
      <c r="G118" s="1" t="s">
        <v>4027</v>
      </c>
      <c r="H118" s="1"/>
      <c r="I118" s="2">
        <v>3.2638888888888891E-2</v>
      </c>
      <c r="J118" s="176">
        <v>5.4398148148148144E-4</v>
      </c>
      <c r="K118" s="6">
        <v>47</v>
      </c>
      <c r="M118" t="s">
        <v>466</v>
      </c>
      <c r="N118" t="s">
        <v>102</v>
      </c>
      <c r="O118" t="s">
        <v>115</v>
      </c>
      <c r="P118">
        <v>0</v>
      </c>
      <c r="Q118">
        <v>0</v>
      </c>
      <c r="R118">
        <v>0</v>
      </c>
      <c r="T118" s="5" t="s">
        <v>115</v>
      </c>
      <c r="U118" s="5" t="s">
        <v>115</v>
      </c>
      <c r="V118" s="5" t="s">
        <v>115</v>
      </c>
      <c r="W118" s="5"/>
      <c r="X118" s="5"/>
      <c r="Y118" s="5"/>
      <c r="Z118" s="5" t="s">
        <v>115</v>
      </c>
      <c r="AA118" s="5" t="s">
        <v>115</v>
      </c>
      <c r="AB118" s="5" t="s">
        <v>115</v>
      </c>
      <c r="AC118" s="5" t="s">
        <v>115</v>
      </c>
      <c r="AD118" s="5" t="s">
        <v>115</v>
      </c>
      <c r="AE118" s="5" t="s">
        <v>115</v>
      </c>
      <c r="AF118" s="5" t="s">
        <v>115</v>
      </c>
      <c r="AG118" s="5"/>
      <c r="AH118">
        <v>0</v>
      </c>
      <c r="AI118">
        <v>0</v>
      </c>
      <c r="AJ118">
        <v>0</v>
      </c>
      <c r="AK118">
        <v>0</v>
      </c>
      <c r="AL118">
        <v>47</v>
      </c>
      <c r="AM118">
        <f t="shared" si="1"/>
        <v>47</v>
      </c>
    </row>
    <row r="119" spans="1:43" x14ac:dyDescent="0.2">
      <c r="A119" t="s">
        <v>3183</v>
      </c>
      <c r="B119" t="s">
        <v>3182</v>
      </c>
      <c r="C119">
        <v>7</v>
      </c>
      <c r="D119">
        <v>2</v>
      </c>
      <c r="E119" t="s">
        <v>3171</v>
      </c>
      <c r="F119" s="1">
        <v>43571</v>
      </c>
      <c r="G119" s="1" t="s">
        <v>4027</v>
      </c>
      <c r="H119" s="1"/>
      <c r="I119" s="2">
        <v>3.6111111111111115E-2</v>
      </c>
      <c r="J119" s="176">
        <v>6.018518518518519E-4</v>
      </c>
      <c r="K119" s="6">
        <v>52</v>
      </c>
      <c r="L119" t="s">
        <v>1278</v>
      </c>
      <c r="M119" t="s">
        <v>149</v>
      </c>
      <c r="N119" t="s">
        <v>102</v>
      </c>
      <c r="O119" t="s">
        <v>115</v>
      </c>
      <c r="P119">
        <v>1</v>
      </c>
      <c r="Q119">
        <v>0</v>
      </c>
      <c r="R119">
        <v>0</v>
      </c>
      <c r="S119" t="s">
        <v>598</v>
      </c>
      <c r="T119" s="5" t="s">
        <v>2506</v>
      </c>
      <c r="U119" s="5" t="s">
        <v>122</v>
      </c>
      <c r="V119" s="5" t="s">
        <v>115</v>
      </c>
      <c r="W119" s="5"/>
      <c r="X119" s="5"/>
      <c r="Y119" s="5"/>
      <c r="Z119" s="5" t="s">
        <v>115</v>
      </c>
      <c r="AA119" s="5" t="s">
        <v>115</v>
      </c>
      <c r="AB119" s="5" t="s">
        <v>115</v>
      </c>
      <c r="AC119" s="5" t="s">
        <v>115</v>
      </c>
      <c r="AD119" s="5" t="s">
        <v>115</v>
      </c>
      <c r="AE119" s="5" t="s">
        <v>115</v>
      </c>
      <c r="AF119" s="5" t="s">
        <v>115</v>
      </c>
      <c r="AG119" s="5"/>
      <c r="AH119">
        <v>0</v>
      </c>
      <c r="AI119">
        <v>0</v>
      </c>
      <c r="AJ119">
        <v>0</v>
      </c>
      <c r="AK119">
        <v>0</v>
      </c>
      <c r="AL119">
        <v>47</v>
      </c>
      <c r="AM119">
        <f t="shared" si="1"/>
        <v>47</v>
      </c>
      <c r="AN119" t="s">
        <v>188</v>
      </c>
    </row>
    <row r="120" spans="1:43" x14ac:dyDescent="0.2">
      <c r="A120" t="s">
        <v>3374</v>
      </c>
      <c r="B120" t="s">
        <v>3375</v>
      </c>
      <c r="C120">
        <v>10</v>
      </c>
      <c r="D120">
        <v>1</v>
      </c>
      <c r="E120" t="s">
        <v>3171</v>
      </c>
      <c r="F120" s="1">
        <v>43577</v>
      </c>
      <c r="G120" s="1" t="s">
        <v>4027</v>
      </c>
      <c r="H120" s="1" t="s">
        <v>4752</v>
      </c>
      <c r="I120" s="2">
        <v>3.2638888888888891E-2</v>
      </c>
      <c r="J120" s="176">
        <v>5.4398148148148144E-4</v>
      </c>
      <c r="K120" s="6">
        <v>47</v>
      </c>
      <c r="L120" t="s">
        <v>101</v>
      </c>
      <c r="M120" t="s">
        <v>670</v>
      </c>
      <c r="N120" t="s">
        <v>102</v>
      </c>
      <c r="O120" t="s">
        <v>115</v>
      </c>
      <c r="P120">
        <v>2</v>
      </c>
      <c r="Q120">
        <v>0</v>
      </c>
      <c r="R120">
        <v>0</v>
      </c>
      <c r="S120" t="s">
        <v>176</v>
      </c>
      <c r="T120" s="5" t="s">
        <v>24</v>
      </c>
      <c r="U120" s="5" t="s">
        <v>122</v>
      </c>
      <c r="V120" s="5" t="s">
        <v>115</v>
      </c>
      <c r="W120" s="5"/>
      <c r="X120" s="5"/>
      <c r="Y120" s="5"/>
      <c r="Z120" s="5" t="s">
        <v>115</v>
      </c>
      <c r="AA120" s="5" t="s">
        <v>115</v>
      </c>
      <c r="AB120" s="5" t="s">
        <v>115</v>
      </c>
      <c r="AC120" s="5" t="s">
        <v>115</v>
      </c>
      <c r="AD120" s="5" t="s">
        <v>115</v>
      </c>
      <c r="AE120" s="5" t="s">
        <v>115</v>
      </c>
      <c r="AF120" s="5" t="s">
        <v>115</v>
      </c>
      <c r="AG120" s="5" t="s">
        <v>115</v>
      </c>
      <c r="AH120">
        <v>0</v>
      </c>
      <c r="AI120">
        <v>0</v>
      </c>
      <c r="AJ120">
        <v>0</v>
      </c>
      <c r="AK120">
        <v>0</v>
      </c>
      <c r="AL120">
        <v>47</v>
      </c>
      <c r="AM120">
        <f t="shared" si="1"/>
        <v>47</v>
      </c>
      <c r="AN120" t="s">
        <v>188</v>
      </c>
    </row>
    <row r="121" spans="1:43" x14ac:dyDescent="0.2">
      <c r="A121" t="s">
        <v>3125</v>
      </c>
      <c r="B121" t="s">
        <v>3128</v>
      </c>
      <c r="C121">
        <v>16</v>
      </c>
      <c r="D121">
        <v>1</v>
      </c>
      <c r="E121" t="s">
        <v>324</v>
      </c>
      <c r="F121" s="1">
        <v>43570</v>
      </c>
      <c r="G121" s="1" t="s">
        <v>4027</v>
      </c>
      <c r="H121" s="1"/>
      <c r="I121" s="2">
        <v>3.2638888888888891E-2</v>
      </c>
      <c r="J121" s="176">
        <v>5.4398148148148144E-4</v>
      </c>
      <c r="K121" s="6">
        <v>47</v>
      </c>
      <c r="L121" t="s">
        <v>101</v>
      </c>
      <c r="M121" t="s">
        <v>325</v>
      </c>
      <c r="N121" t="s">
        <v>102</v>
      </c>
      <c r="O121" t="s">
        <v>115</v>
      </c>
      <c r="P121" t="s">
        <v>24</v>
      </c>
      <c r="Q121">
        <v>0</v>
      </c>
      <c r="R121">
        <v>0</v>
      </c>
      <c r="T121" s="5" t="s">
        <v>115</v>
      </c>
      <c r="U121" s="5" t="s">
        <v>115</v>
      </c>
      <c r="V121" s="5" t="s">
        <v>115</v>
      </c>
      <c r="W121" s="5"/>
      <c r="X121" s="5"/>
      <c r="Y121" s="5"/>
      <c r="Z121" s="5" t="s">
        <v>115</v>
      </c>
      <c r="AA121" s="5" t="s">
        <v>115</v>
      </c>
      <c r="AB121" s="5" t="s">
        <v>115</v>
      </c>
      <c r="AC121" s="5" t="s">
        <v>115</v>
      </c>
      <c r="AD121" s="5" t="s">
        <v>115</v>
      </c>
      <c r="AE121" s="5" t="s">
        <v>115</v>
      </c>
      <c r="AF121" s="5" t="s">
        <v>115</v>
      </c>
      <c r="AG121" s="5"/>
      <c r="AH121">
        <v>0</v>
      </c>
      <c r="AI121">
        <v>0</v>
      </c>
      <c r="AJ121">
        <v>0</v>
      </c>
      <c r="AK121">
        <v>0</v>
      </c>
      <c r="AL121">
        <v>47</v>
      </c>
      <c r="AM121">
        <f t="shared" si="1"/>
        <v>47</v>
      </c>
      <c r="AN121" t="s">
        <v>188</v>
      </c>
    </row>
    <row r="122" spans="1:43" x14ac:dyDescent="0.2">
      <c r="A122" t="s">
        <v>3496</v>
      </c>
      <c r="B122" t="s">
        <v>3497</v>
      </c>
      <c r="C122">
        <v>21</v>
      </c>
      <c r="D122">
        <v>1</v>
      </c>
      <c r="E122" t="s">
        <v>2462</v>
      </c>
      <c r="F122" s="1">
        <v>43579</v>
      </c>
      <c r="G122" s="1" t="s">
        <v>4027</v>
      </c>
      <c r="H122" s="1"/>
      <c r="I122" s="2">
        <v>3.2638888888888891E-2</v>
      </c>
      <c r="J122" s="176">
        <v>5.4398148148148144E-4</v>
      </c>
      <c r="K122" s="6">
        <v>47</v>
      </c>
      <c r="L122" t="s">
        <v>101</v>
      </c>
      <c r="M122" t="s">
        <v>363</v>
      </c>
      <c r="N122" t="s">
        <v>102</v>
      </c>
      <c r="O122" t="s">
        <v>115</v>
      </c>
      <c r="P122" t="s">
        <v>24</v>
      </c>
      <c r="Q122">
        <v>0</v>
      </c>
      <c r="R122">
        <v>0</v>
      </c>
      <c r="T122" s="5" t="s">
        <v>115</v>
      </c>
      <c r="U122" s="5" t="s">
        <v>115</v>
      </c>
      <c r="V122" s="5" t="s">
        <v>115</v>
      </c>
      <c r="W122" s="5"/>
      <c r="X122" s="5"/>
      <c r="Y122" s="5"/>
      <c r="Z122" s="5" t="s">
        <v>115</v>
      </c>
      <c r="AA122" s="5" t="s">
        <v>115</v>
      </c>
      <c r="AB122" s="5" t="s">
        <v>115</v>
      </c>
      <c r="AC122" s="5" t="s">
        <v>115</v>
      </c>
      <c r="AD122" s="5" t="s">
        <v>115</v>
      </c>
      <c r="AE122" s="5" t="s">
        <v>115</v>
      </c>
      <c r="AF122" s="5" t="s">
        <v>115</v>
      </c>
      <c r="AG122" s="5" t="s">
        <v>115</v>
      </c>
      <c r="AH122">
        <v>0</v>
      </c>
      <c r="AI122">
        <v>0</v>
      </c>
      <c r="AJ122">
        <v>0</v>
      </c>
      <c r="AK122">
        <v>0</v>
      </c>
      <c r="AL122">
        <v>47</v>
      </c>
      <c r="AM122">
        <f t="shared" si="1"/>
        <v>47</v>
      </c>
      <c r="AN122" t="s">
        <v>188</v>
      </c>
    </row>
    <row r="123" spans="1:43" x14ac:dyDescent="0.2">
      <c r="A123" t="s">
        <v>3075</v>
      </c>
      <c r="B123" t="s">
        <v>3076</v>
      </c>
      <c r="C123">
        <v>3</v>
      </c>
      <c r="D123">
        <v>1</v>
      </c>
      <c r="E123" t="s">
        <v>2601</v>
      </c>
      <c r="F123" s="1">
        <v>43570</v>
      </c>
      <c r="G123" s="1" t="s">
        <v>4027</v>
      </c>
      <c r="H123" s="1"/>
      <c r="I123" s="2">
        <v>3.1944444444444449E-2</v>
      </c>
      <c r="J123" s="176">
        <v>5.3240740740740744E-4</v>
      </c>
      <c r="K123" s="6">
        <v>46</v>
      </c>
      <c r="L123" t="s">
        <v>101</v>
      </c>
      <c r="M123" t="s">
        <v>173</v>
      </c>
      <c r="N123" t="s">
        <v>102</v>
      </c>
      <c r="O123" t="s">
        <v>115</v>
      </c>
      <c r="P123">
        <v>2</v>
      </c>
      <c r="Q123">
        <v>0</v>
      </c>
      <c r="R123">
        <v>0</v>
      </c>
      <c r="S123" t="s">
        <v>176</v>
      </c>
      <c r="T123" s="5" t="s">
        <v>24</v>
      </c>
      <c r="U123" s="5" t="s">
        <v>122</v>
      </c>
      <c r="V123" s="5" t="s">
        <v>115</v>
      </c>
      <c r="W123" s="5"/>
      <c r="X123" s="5"/>
      <c r="Y123" s="5"/>
      <c r="Z123" s="5" t="s">
        <v>115</v>
      </c>
      <c r="AA123" s="5" t="s">
        <v>115</v>
      </c>
      <c r="AB123" s="5" t="s">
        <v>115</v>
      </c>
      <c r="AC123" s="5" t="s">
        <v>115</v>
      </c>
      <c r="AD123" s="5" t="s">
        <v>115</v>
      </c>
      <c r="AE123" s="5" t="s">
        <v>115</v>
      </c>
      <c r="AF123" s="5" t="s">
        <v>115</v>
      </c>
      <c r="AG123" s="5"/>
      <c r="AH123">
        <v>0</v>
      </c>
      <c r="AI123">
        <v>0</v>
      </c>
      <c r="AJ123">
        <v>0</v>
      </c>
      <c r="AK123">
        <v>0</v>
      </c>
      <c r="AL123">
        <v>46</v>
      </c>
      <c r="AM123">
        <f t="shared" si="1"/>
        <v>46</v>
      </c>
      <c r="AN123" t="s">
        <v>188</v>
      </c>
      <c r="AO123" t="s">
        <v>3077</v>
      </c>
    </row>
    <row r="124" spans="1:43" x14ac:dyDescent="0.2">
      <c r="A124" t="s">
        <v>3429</v>
      </c>
      <c r="B124" t="s">
        <v>3430</v>
      </c>
      <c r="C124">
        <v>1</v>
      </c>
      <c r="D124">
        <v>2</v>
      </c>
      <c r="E124" t="s">
        <v>2601</v>
      </c>
      <c r="F124" s="1">
        <v>43579</v>
      </c>
      <c r="G124" s="1" t="s">
        <v>4027</v>
      </c>
      <c r="H124" s="1"/>
      <c r="I124" s="2">
        <v>5.9722222222222225E-2</v>
      </c>
      <c r="J124" s="176">
        <v>9.9537037037037042E-4</v>
      </c>
      <c r="K124" s="6">
        <v>86</v>
      </c>
      <c r="L124" t="s">
        <v>101</v>
      </c>
      <c r="M124" t="s">
        <v>173</v>
      </c>
      <c r="N124" t="s">
        <v>102</v>
      </c>
      <c r="O124" t="s">
        <v>115</v>
      </c>
      <c r="P124">
        <v>1</v>
      </c>
      <c r="Q124">
        <v>0</v>
      </c>
      <c r="R124">
        <v>0</v>
      </c>
      <c r="S124" t="s">
        <v>176</v>
      </c>
      <c r="T124" s="5" t="s">
        <v>24</v>
      </c>
      <c r="U124" s="5" t="s">
        <v>122</v>
      </c>
      <c r="V124" s="5" t="s">
        <v>115</v>
      </c>
      <c r="W124" s="5"/>
      <c r="X124" s="5"/>
      <c r="Y124" s="5"/>
      <c r="Z124" s="5" t="s">
        <v>115</v>
      </c>
      <c r="AA124" s="5" t="s">
        <v>115</v>
      </c>
      <c r="AB124" s="5" t="s">
        <v>115</v>
      </c>
      <c r="AC124" s="5" t="s">
        <v>115</v>
      </c>
      <c r="AD124" s="5" t="s">
        <v>115</v>
      </c>
      <c r="AE124" s="5" t="s">
        <v>115</v>
      </c>
      <c r="AF124" s="5" t="s">
        <v>115</v>
      </c>
      <c r="AG124" s="5" t="s">
        <v>115</v>
      </c>
      <c r="AH124">
        <v>0</v>
      </c>
      <c r="AI124">
        <v>0</v>
      </c>
      <c r="AJ124">
        <v>0</v>
      </c>
      <c r="AK124">
        <v>0</v>
      </c>
      <c r="AL124">
        <v>46</v>
      </c>
      <c r="AM124">
        <f t="shared" si="1"/>
        <v>46</v>
      </c>
      <c r="AN124" t="s">
        <v>188</v>
      </c>
    </row>
    <row r="125" spans="1:43" x14ac:dyDescent="0.2">
      <c r="A125" t="s">
        <v>3617</v>
      </c>
      <c r="B125" t="s">
        <v>3618</v>
      </c>
      <c r="C125">
        <v>1</v>
      </c>
      <c r="D125">
        <v>1</v>
      </c>
      <c r="E125" t="s">
        <v>791</v>
      </c>
      <c r="F125" s="1">
        <v>43581</v>
      </c>
      <c r="G125" s="1" t="s">
        <v>4027</v>
      </c>
      <c r="H125" s="1"/>
      <c r="I125" s="2">
        <v>3.6111111111111115E-2</v>
      </c>
      <c r="J125" s="176">
        <v>6.018518518518519E-4</v>
      </c>
      <c r="K125" s="6">
        <v>52</v>
      </c>
      <c r="M125" t="s">
        <v>64</v>
      </c>
      <c r="N125" t="s">
        <v>102</v>
      </c>
      <c r="O125" t="s">
        <v>23</v>
      </c>
      <c r="P125" t="s">
        <v>24</v>
      </c>
      <c r="Q125" t="s">
        <v>24</v>
      </c>
      <c r="R125">
        <v>0</v>
      </c>
      <c r="T125" s="5" t="s">
        <v>115</v>
      </c>
      <c r="U125" s="5" t="s">
        <v>115</v>
      </c>
      <c r="V125" s="5" t="s">
        <v>115</v>
      </c>
      <c r="W125" s="5"/>
      <c r="X125" s="5"/>
      <c r="Y125" s="5"/>
      <c r="Z125" s="5" t="s">
        <v>115</v>
      </c>
      <c r="AA125" s="5" t="s">
        <v>115</v>
      </c>
      <c r="AB125" s="5" t="s">
        <v>115</v>
      </c>
      <c r="AC125" s="5" t="s">
        <v>115</v>
      </c>
      <c r="AD125" s="5" t="s">
        <v>115</v>
      </c>
      <c r="AE125" s="5" t="s">
        <v>115</v>
      </c>
      <c r="AF125" s="5" t="s">
        <v>115</v>
      </c>
      <c r="AG125" s="5" t="s">
        <v>115</v>
      </c>
      <c r="AH125">
        <v>46</v>
      </c>
      <c r="AI125">
        <v>0</v>
      </c>
      <c r="AJ125">
        <v>46</v>
      </c>
      <c r="AK125">
        <v>0</v>
      </c>
      <c r="AL125">
        <v>0</v>
      </c>
      <c r="AM125">
        <f t="shared" si="1"/>
        <v>46</v>
      </c>
      <c r="AN125" t="s">
        <v>188</v>
      </c>
    </row>
    <row r="126" spans="1:43" x14ac:dyDescent="0.2">
      <c r="A126" t="s">
        <v>3880</v>
      </c>
      <c r="B126" t="s">
        <v>3881</v>
      </c>
      <c r="C126">
        <v>3</v>
      </c>
      <c r="D126">
        <v>1</v>
      </c>
      <c r="E126" t="s">
        <v>3171</v>
      </c>
      <c r="F126" s="1">
        <v>43591</v>
      </c>
      <c r="G126" s="1" t="s">
        <v>4028</v>
      </c>
      <c r="H126" s="1"/>
      <c r="I126" s="2">
        <v>5.2083333333333336E-2</v>
      </c>
      <c r="J126" s="176">
        <v>8.6805555555555551E-4</v>
      </c>
      <c r="K126" s="6">
        <v>75</v>
      </c>
      <c r="L126" t="s">
        <v>1278</v>
      </c>
      <c r="M126" t="s">
        <v>149</v>
      </c>
      <c r="N126" t="s">
        <v>102</v>
      </c>
      <c r="O126" t="s">
        <v>115</v>
      </c>
      <c r="P126">
        <v>0</v>
      </c>
      <c r="Q126">
        <v>0</v>
      </c>
      <c r="R126">
        <v>0</v>
      </c>
      <c r="T126" s="5" t="s">
        <v>115</v>
      </c>
      <c r="U126" s="5" t="s">
        <v>115</v>
      </c>
      <c r="V126" s="5" t="s">
        <v>115</v>
      </c>
      <c r="W126" s="5"/>
      <c r="X126" s="5"/>
      <c r="Y126" s="5"/>
      <c r="Z126" s="5" t="s">
        <v>115</v>
      </c>
      <c r="AA126" s="5" t="s">
        <v>115</v>
      </c>
      <c r="AB126" s="5" t="s">
        <v>115</v>
      </c>
      <c r="AC126" s="5" t="s">
        <v>115</v>
      </c>
      <c r="AD126" s="5" t="s">
        <v>115</v>
      </c>
      <c r="AE126" s="5" t="s">
        <v>115</v>
      </c>
      <c r="AF126" s="5" t="s">
        <v>115</v>
      </c>
      <c r="AG126" s="5" t="s">
        <v>115</v>
      </c>
      <c r="AH126">
        <v>0</v>
      </c>
      <c r="AI126">
        <v>0</v>
      </c>
      <c r="AJ126">
        <v>0</v>
      </c>
      <c r="AK126">
        <v>0</v>
      </c>
      <c r="AL126">
        <v>45</v>
      </c>
      <c r="AM126">
        <f t="shared" si="1"/>
        <v>45</v>
      </c>
      <c r="AN126" t="s">
        <v>188</v>
      </c>
    </row>
    <row r="127" spans="1:43" x14ac:dyDescent="0.2">
      <c r="A127" t="s">
        <v>3919</v>
      </c>
      <c r="B127" t="s">
        <v>3920</v>
      </c>
      <c r="C127">
        <v>3</v>
      </c>
      <c r="D127">
        <v>1</v>
      </c>
      <c r="E127" t="s">
        <v>2601</v>
      </c>
      <c r="F127" s="1">
        <v>43593</v>
      </c>
      <c r="G127" s="1" t="s">
        <v>4028</v>
      </c>
      <c r="H127" s="1"/>
      <c r="I127" s="2">
        <v>3.125E-2</v>
      </c>
      <c r="J127" s="176">
        <v>5.2083333333333333E-4</v>
      </c>
      <c r="K127" s="6">
        <v>45</v>
      </c>
      <c r="L127" t="s">
        <v>884</v>
      </c>
      <c r="M127" t="s">
        <v>177</v>
      </c>
      <c r="N127" t="s">
        <v>102</v>
      </c>
      <c r="O127" t="s">
        <v>115</v>
      </c>
      <c r="P127">
        <v>1</v>
      </c>
      <c r="Q127">
        <v>0</v>
      </c>
      <c r="R127">
        <v>0</v>
      </c>
      <c r="S127" t="s">
        <v>176</v>
      </c>
      <c r="T127" s="5" t="s">
        <v>24</v>
      </c>
      <c r="U127" s="5" t="s">
        <v>122</v>
      </c>
      <c r="V127" s="5" t="s">
        <v>115</v>
      </c>
      <c r="W127" s="5"/>
      <c r="X127" s="5"/>
      <c r="Y127" s="5"/>
      <c r="Z127" s="5" t="s">
        <v>115</v>
      </c>
      <c r="AA127" s="5" t="s">
        <v>115</v>
      </c>
      <c r="AB127" s="5" t="s">
        <v>115</v>
      </c>
      <c r="AC127" s="5" t="s">
        <v>115</v>
      </c>
      <c r="AD127" s="5" t="s">
        <v>115</v>
      </c>
      <c r="AE127" s="5" t="s">
        <v>115</v>
      </c>
      <c r="AF127" s="5" t="s">
        <v>115</v>
      </c>
      <c r="AG127" s="5" t="s">
        <v>115</v>
      </c>
      <c r="AH127">
        <v>0</v>
      </c>
      <c r="AI127">
        <v>0</v>
      </c>
      <c r="AJ127">
        <v>0</v>
      </c>
      <c r="AK127">
        <v>0</v>
      </c>
      <c r="AL127">
        <v>45</v>
      </c>
      <c r="AM127">
        <f t="shared" si="1"/>
        <v>45</v>
      </c>
      <c r="AN127" t="s">
        <v>188</v>
      </c>
    </row>
    <row r="128" spans="1:43" x14ac:dyDescent="0.2">
      <c r="A128" t="s">
        <v>3925</v>
      </c>
      <c r="B128" t="s">
        <v>3926</v>
      </c>
      <c r="C128">
        <v>1</v>
      </c>
      <c r="D128">
        <v>1</v>
      </c>
      <c r="E128" t="s">
        <v>324</v>
      </c>
      <c r="F128" s="1">
        <v>43593</v>
      </c>
      <c r="G128" s="1" t="s">
        <v>4028</v>
      </c>
      <c r="H128" s="1"/>
      <c r="I128" s="2">
        <v>3.125E-2</v>
      </c>
      <c r="J128" s="176">
        <v>5.2083333333333333E-4</v>
      </c>
      <c r="K128" s="6">
        <v>45</v>
      </c>
      <c r="L128" t="s">
        <v>3929</v>
      </c>
      <c r="M128" t="s">
        <v>337</v>
      </c>
      <c r="N128" t="s">
        <v>102</v>
      </c>
      <c r="O128" t="s">
        <v>115</v>
      </c>
      <c r="P128">
        <v>0</v>
      </c>
      <c r="Q128">
        <v>0</v>
      </c>
      <c r="R128">
        <v>0</v>
      </c>
      <c r="T128" s="5" t="s">
        <v>115</v>
      </c>
      <c r="U128" s="5" t="s">
        <v>115</v>
      </c>
      <c r="V128" s="5" t="s">
        <v>115</v>
      </c>
      <c r="W128" s="5"/>
      <c r="X128" s="5"/>
      <c r="Y128" s="5"/>
      <c r="Z128" s="5" t="s">
        <v>115</v>
      </c>
      <c r="AA128" s="5" t="s">
        <v>115</v>
      </c>
      <c r="AB128" s="5" t="s">
        <v>115</v>
      </c>
      <c r="AC128" s="5" t="s">
        <v>115</v>
      </c>
      <c r="AD128" s="5" t="s">
        <v>115</v>
      </c>
      <c r="AE128" s="5" t="s">
        <v>115</v>
      </c>
      <c r="AF128" s="5" t="s">
        <v>115</v>
      </c>
      <c r="AG128" s="5" t="s">
        <v>115</v>
      </c>
      <c r="AH128">
        <v>0</v>
      </c>
      <c r="AI128">
        <v>0</v>
      </c>
      <c r="AJ128">
        <v>0</v>
      </c>
      <c r="AK128">
        <v>0</v>
      </c>
      <c r="AL128">
        <v>45</v>
      </c>
      <c r="AM128">
        <f t="shared" si="1"/>
        <v>45</v>
      </c>
      <c r="AN128" t="s">
        <v>188</v>
      </c>
    </row>
    <row r="129" spans="1:43" x14ac:dyDescent="0.2">
      <c r="A129" t="s">
        <v>3547</v>
      </c>
      <c r="B129" t="s">
        <v>3548</v>
      </c>
      <c r="C129">
        <v>17</v>
      </c>
      <c r="D129">
        <v>1</v>
      </c>
      <c r="E129" t="s">
        <v>3171</v>
      </c>
      <c r="F129" s="1">
        <v>43580</v>
      </c>
      <c r="G129" s="1" t="s">
        <v>4027</v>
      </c>
      <c r="H129" s="1"/>
      <c r="I129" s="2">
        <v>4.3750000000000004E-2</v>
      </c>
      <c r="J129" s="176">
        <v>7.291666666666667E-4</v>
      </c>
      <c r="K129" s="6">
        <v>63</v>
      </c>
      <c r="L129" t="s">
        <v>101</v>
      </c>
      <c r="M129" t="s">
        <v>149</v>
      </c>
      <c r="N129" t="s">
        <v>102</v>
      </c>
      <c r="O129" t="s">
        <v>115</v>
      </c>
      <c r="P129" t="s">
        <v>24</v>
      </c>
      <c r="Q129">
        <v>0</v>
      </c>
      <c r="R129">
        <v>0</v>
      </c>
      <c r="T129" s="5" t="s">
        <v>115</v>
      </c>
      <c r="U129" s="5" t="s">
        <v>115</v>
      </c>
      <c r="V129" s="5" t="s">
        <v>115</v>
      </c>
      <c r="W129" s="5"/>
      <c r="X129" s="5"/>
      <c r="Y129" s="5"/>
      <c r="Z129" s="5" t="s">
        <v>115</v>
      </c>
      <c r="AA129" s="5" t="s">
        <v>115</v>
      </c>
      <c r="AB129" s="5" t="s">
        <v>115</v>
      </c>
      <c r="AC129" s="5" t="s">
        <v>115</v>
      </c>
      <c r="AD129" s="5" t="s">
        <v>115</v>
      </c>
      <c r="AE129" s="5" t="s">
        <v>115</v>
      </c>
      <c r="AF129" s="5" t="s">
        <v>115</v>
      </c>
      <c r="AG129" s="5" t="s">
        <v>115</v>
      </c>
      <c r="AH129">
        <v>0</v>
      </c>
      <c r="AI129">
        <v>0</v>
      </c>
      <c r="AJ129">
        <v>0</v>
      </c>
      <c r="AK129">
        <v>0</v>
      </c>
      <c r="AL129">
        <v>45</v>
      </c>
      <c r="AM129">
        <f t="shared" si="1"/>
        <v>45</v>
      </c>
      <c r="AN129" t="s">
        <v>188</v>
      </c>
    </row>
    <row r="130" spans="1:43" x14ac:dyDescent="0.2">
      <c r="A130" t="s">
        <v>3723</v>
      </c>
      <c r="B130" t="s">
        <v>3724</v>
      </c>
      <c r="C130">
        <v>1</v>
      </c>
      <c r="D130">
        <v>1</v>
      </c>
      <c r="E130" t="s">
        <v>2462</v>
      </c>
      <c r="F130" s="1">
        <v>43587</v>
      </c>
      <c r="G130" s="1" t="s">
        <v>4028</v>
      </c>
      <c r="H130" s="1"/>
      <c r="I130" s="2">
        <v>3.125E-2</v>
      </c>
      <c r="J130" s="176">
        <v>5.2083333333333333E-4</v>
      </c>
      <c r="K130" s="6">
        <v>45</v>
      </c>
      <c r="L130" t="s">
        <v>1278</v>
      </c>
      <c r="M130" t="s">
        <v>363</v>
      </c>
      <c r="N130" t="s">
        <v>102</v>
      </c>
      <c r="O130" t="s">
        <v>115</v>
      </c>
      <c r="P130" t="s">
        <v>24</v>
      </c>
      <c r="Q130">
        <v>0</v>
      </c>
      <c r="R130">
        <v>0</v>
      </c>
      <c r="T130" s="5" t="s">
        <v>115</v>
      </c>
      <c r="U130" s="5" t="s">
        <v>115</v>
      </c>
      <c r="V130" s="5" t="s">
        <v>115</v>
      </c>
      <c r="W130" s="5"/>
      <c r="X130" s="5"/>
      <c r="Y130" s="5"/>
      <c r="Z130" s="5" t="s">
        <v>115</v>
      </c>
      <c r="AA130" s="5" t="s">
        <v>115</v>
      </c>
      <c r="AB130" s="5" t="s">
        <v>115</v>
      </c>
      <c r="AC130" s="5" t="s">
        <v>115</v>
      </c>
      <c r="AD130" s="5" t="s">
        <v>115</v>
      </c>
      <c r="AE130" s="5" t="s">
        <v>115</v>
      </c>
      <c r="AF130" s="5" t="s">
        <v>115</v>
      </c>
      <c r="AG130" s="5" t="s">
        <v>115</v>
      </c>
      <c r="AH130">
        <v>0</v>
      </c>
      <c r="AI130">
        <v>0</v>
      </c>
      <c r="AJ130">
        <v>0</v>
      </c>
      <c r="AK130">
        <v>0</v>
      </c>
      <c r="AL130">
        <v>45</v>
      </c>
      <c r="AM130">
        <f t="shared" ref="AM130:AM193" si="2">SUM(AH130+AI130+AL130)</f>
        <v>45</v>
      </c>
      <c r="AN130" t="s">
        <v>188</v>
      </c>
    </row>
    <row r="131" spans="1:43" x14ac:dyDescent="0.2">
      <c r="A131" t="s">
        <v>3130</v>
      </c>
      <c r="B131" t="s">
        <v>3133</v>
      </c>
      <c r="C131">
        <v>18</v>
      </c>
      <c r="D131">
        <v>1</v>
      </c>
      <c r="E131" t="s">
        <v>324</v>
      </c>
      <c r="F131" s="1">
        <v>43570</v>
      </c>
      <c r="G131" s="1" t="s">
        <v>4027</v>
      </c>
      <c r="H131" s="1"/>
      <c r="I131" s="2">
        <v>3.0555555555555555E-2</v>
      </c>
      <c r="J131" s="176">
        <v>5.0925925925925921E-4</v>
      </c>
      <c r="K131" s="6">
        <v>44</v>
      </c>
      <c r="L131" t="s">
        <v>101</v>
      </c>
      <c r="M131" t="s">
        <v>325</v>
      </c>
      <c r="N131" t="s">
        <v>102</v>
      </c>
      <c r="O131" t="s">
        <v>115</v>
      </c>
      <c r="P131">
        <v>1</v>
      </c>
      <c r="Q131">
        <v>0</v>
      </c>
      <c r="R131">
        <v>0</v>
      </c>
      <c r="S131" t="s">
        <v>598</v>
      </c>
      <c r="T131" s="5" t="s">
        <v>2506</v>
      </c>
      <c r="U131" s="5" t="s">
        <v>122</v>
      </c>
      <c r="V131" s="5" t="s">
        <v>115</v>
      </c>
      <c r="W131" s="5"/>
      <c r="X131" s="5"/>
      <c r="Y131" s="5"/>
      <c r="Z131" s="5" t="s">
        <v>115</v>
      </c>
      <c r="AA131" s="5" t="s">
        <v>115</v>
      </c>
      <c r="AB131" s="5" t="s">
        <v>115</v>
      </c>
      <c r="AC131" s="5" t="s">
        <v>115</v>
      </c>
      <c r="AD131" s="5" t="s">
        <v>115</v>
      </c>
      <c r="AE131" s="5" t="s">
        <v>115</v>
      </c>
      <c r="AF131" s="5" t="s">
        <v>115</v>
      </c>
      <c r="AG131" s="5"/>
      <c r="AH131">
        <v>0</v>
      </c>
      <c r="AI131">
        <v>0</v>
      </c>
      <c r="AJ131">
        <v>0</v>
      </c>
      <c r="AK131">
        <v>0</v>
      </c>
      <c r="AL131">
        <v>44</v>
      </c>
      <c r="AM131">
        <f t="shared" si="2"/>
        <v>44</v>
      </c>
      <c r="AN131" t="s">
        <v>188</v>
      </c>
    </row>
    <row r="132" spans="1:43" x14ac:dyDescent="0.2">
      <c r="A132" t="s">
        <v>3381</v>
      </c>
      <c r="B132" t="s">
        <v>3382</v>
      </c>
      <c r="C132">
        <v>13</v>
      </c>
      <c r="D132">
        <v>1</v>
      </c>
      <c r="E132" t="s">
        <v>3171</v>
      </c>
      <c r="F132" s="1">
        <v>43577</v>
      </c>
      <c r="G132" s="1" t="s">
        <v>4027</v>
      </c>
      <c r="H132" s="1" t="s">
        <v>4752</v>
      </c>
      <c r="I132" s="2">
        <v>3.9583333333333331E-2</v>
      </c>
      <c r="J132" s="176">
        <v>6.5972222222222213E-4</v>
      </c>
      <c r="K132" s="6">
        <v>57</v>
      </c>
      <c r="L132" t="s">
        <v>101</v>
      </c>
      <c r="M132" t="s">
        <v>670</v>
      </c>
      <c r="N132" t="s">
        <v>102</v>
      </c>
      <c r="O132" t="s">
        <v>115</v>
      </c>
      <c r="P132">
        <v>2</v>
      </c>
      <c r="Q132">
        <v>0</v>
      </c>
      <c r="R132">
        <v>0</v>
      </c>
      <c r="S132" t="s">
        <v>176</v>
      </c>
      <c r="T132" s="5" t="s">
        <v>24</v>
      </c>
      <c r="U132" s="5" t="s">
        <v>122</v>
      </c>
      <c r="V132" s="5" t="s">
        <v>115</v>
      </c>
      <c r="W132" s="5"/>
      <c r="X132" s="5"/>
      <c r="Y132" s="5"/>
      <c r="Z132" s="5" t="s">
        <v>115</v>
      </c>
      <c r="AA132" s="5" t="s">
        <v>115</v>
      </c>
      <c r="AB132" s="5" t="s">
        <v>115</v>
      </c>
      <c r="AC132" s="5" t="s">
        <v>115</v>
      </c>
      <c r="AD132" s="5" t="s">
        <v>115</v>
      </c>
      <c r="AE132" s="5" t="s">
        <v>115</v>
      </c>
      <c r="AF132" s="5" t="s">
        <v>115</v>
      </c>
      <c r="AG132" s="5" t="s">
        <v>115</v>
      </c>
      <c r="AH132">
        <v>0</v>
      </c>
      <c r="AI132">
        <v>0</v>
      </c>
      <c r="AJ132">
        <v>0</v>
      </c>
      <c r="AK132">
        <v>0</v>
      </c>
      <c r="AL132">
        <v>44</v>
      </c>
      <c r="AM132">
        <f t="shared" si="2"/>
        <v>44</v>
      </c>
      <c r="AN132" t="s">
        <v>188</v>
      </c>
    </row>
    <row r="133" spans="1:43" x14ac:dyDescent="0.2">
      <c r="A133" t="s">
        <v>3864</v>
      </c>
      <c r="B133" t="s">
        <v>3865</v>
      </c>
      <c r="C133">
        <v>2</v>
      </c>
      <c r="D133">
        <v>1</v>
      </c>
      <c r="E133" t="s">
        <v>2601</v>
      </c>
      <c r="F133" s="1">
        <v>43590</v>
      </c>
      <c r="G133" s="1" t="s">
        <v>4028</v>
      </c>
      <c r="H133" s="1"/>
      <c r="I133" s="2">
        <v>3.3333333333333333E-2</v>
      </c>
      <c r="J133" s="176">
        <v>5.5555555555555556E-4</v>
      </c>
      <c r="K133" s="6">
        <v>48</v>
      </c>
      <c r="L133" t="s">
        <v>1278</v>
      </c>
      <c r="M133" t="s">
        <v>177</v>
      </c>
      <c r="N133" t="s">
        <v>187</v>
      </c>
      <c r="O133" t="s">
        <v>115</v>
      </c>
      <c r="P133" t="s">
        <v>24</v>
      </c>
      <c r="Q133">
        <v>0</v>
      </c>
      <c r="R133">
        <v>1</v>
      </c>
      <c r="S133" t="s">
        <v>598</v>
      </c>
      <c r="T133" s="5" t="s">
        <v>2437</v>
      </c>
      <c r="U133" s="5" t="s">
        <v>24</v>
      </c>
      <c r="V133" s="5" t="s">
        <v>3866</v>
      </c>
      <c r="W133" s="5" t="s">
        <v>23</v>
      </c>
      <c r="X133" s="5" t="s">
        <v>3999</v>
      </c>
      <c r="Y133" s="5" t="s">
        <v>4021</v>
      </c>
      <c r="Z133" s="5" t="s">
        <v>2551</v>
      </c>
      <c r="AA133">
        <v>355</v>
      </c>
      <c r="AB133" s="5" t="s">
        <v>176</v>
      </c>
      <c r="AC133">
        <v>63.72616</v>
      </c>
      <c r="AD133">
        <v>148.96205</v>
      </c>
      <c r="AE133" s="5" t="s">
        <v>115</v>
      </c>
      <c r="AF133" s="5" t="s">
        <v>115</v>
      </c>
      <c r="AG133" s="5" t="s">
        <v>115</v>
      </c>
      <c r="AH133">
        <v>0</v>
      </c>
      <c r="AI133">
        <v>0</v>
      </c>
      <c r="AJ133">
        <v>0</v>
      </c>
      <c r="AK133">
        <v>0</v>
      </c>
      <c r="AL133">
        <v>44</v>
      </c>
      <c r="AM133">
        <f t="shared" si="2"/>
        <v>44</v>
      </c>
      <c r="AN133" t="s">
        <v>188</v>
      </c>
    </row>
    <row r="134" spans="1:43" x14ac:dyDescent="0.2">
      <c r="A134" t="s">
        <v>3541</v>
      </c>
      <c r="B134" t="s">
        <v>3542</v>
      </c>
      <c r="C134">
        <v>14</v>
      </c>
      <c r="D134">
        <v>1</v>
      </c>
      <c r="E134" t="s">
        <v>3171</v>
      </c>
      <c r="F134" s="1">
        <v>43580</v>
      </c>
      <c r="G134" s="1" t="s">
        <v>4027</v>
      </c>
      <c r="H134" s="1"/>
      <c r="I134" s="2">
        <v>3.0555555555555555E-2</v>
      </c>
      <c r="J134" s="176">
        <v>5.0925925925925921E-4</v>
      </c>
      <c r="K134" s="6">
        <v>44</v>
      </c>
      <c r="L134" t="s">
        <v>101</v>
      </c>
      <c r="M134" t="s">
        <v>149</v>
      </c>
      <c r="N134" t="s">
        <v>102</v>
      </c>
      <c r="O134" t="s">
        <v>115</v>
      </c>
      <c r="P134" t="s">
        <v>24</v>
      </c>
      <c r="Q134">
        <v>0</v>
      </c>
      <c r="R134">
        <v>0</v>
      </c>
      <c r="T134" s="5" t="s">
        <v>115</v>
      </c>
      <c r="U134" s="5" t="s">
        <v>115</v>
      </c>
      <c r="V134" s="5" t="s">
        <v>115</v>
      </c>
      <c r="W134" s="5"/>
      <c r="X134" s="5"/>
      <c r="Y134" s="5"/>
      <c r="Z134" s="5" t="s">
        <v>115</v>
      </c>
      <c r="AA134" s="5" t="s">
        <v>115</v>
      </c>
      <c r="AB134" s="5" t="s">
        <v>115</v>
      </c>
      <c r="AC134" s="5" t="s">
        <v>115</v>
      </c>
      <c r="AD134" s="5" t="s">
        <v>115</v>
      </c>
      <c r="AE134" s="5" t="s">
        <v>115</v>
      </c>
      <c r="AF134" s="5" t="s">
        <v>115</v>
      </c>
      <c r="AG134" s="5" t="s">
        <v>115</v>
      </c>
      <c r="AH134">
        <v>0</v>
      </c>
      <c r="AI134">
        <v>0</v>
      </c>
      <c r="AJ134">
        <v>0</v>
      </c>
      <c r="AK134">
        <v>0</v>
      </c>
      <c r="AL134">
        <v>44</v>
      </c>
      <c r="AM134">
        <f t="shared" si="2"/>
        <v>44</v>
      </c>
      <c r="AN134" t="s">
        <v>188</v>
      </c>
    </row>
    <row r="135" spans="1:43" x14ac:dyDescent="0.2">
      <c r="A135" t="s">
        <v>2907</v>
      </c>
      <c r="B135" t="s">
        <v>2908</v>
      </c>
      <c r="C135">
        <v>2</v>
      </c>
      <c r="D135">
        <v>1</v>
      </c>
      <c r="E135" t="s">
        <v>2601</v>
      </c>
      <c r="F135" s="1">
        <v>43558</v>
      </c>
      <c r="G135" s="1" t="s">
        <v>4027</v>
      </c>
      <c r="H135" s="1"/>
      <c r="I135" s="2">
        <v>3.125E-2</v>
      </c>
      <c r="J135" s="176">
        <v>5.2083333333333333E-4</v>
      </c>
      <c r="K135" s="6">
        <v>45</v>
      </c>
      <c r="M135" t="s">
        <v>173</v>
      </c>
      <c r="N135" t="s">
        <v>102</v>
      </c>
      <c r="O135" t="s">
        <v>115</v>
      </c>
      <c r="P135" t="s">
        <v>24</v>
      </c>
      <c r="Q135">
        <v>0</v>
      </c>
      <c r="R135">
        <v>0</v>
      </c>
      <c r="T135" s="5" t="s">
        <v>115</v>
      </c>
      <c r="U135" s="5" t="s">
        <v>115</v>
      </c>
      <c r="V135" s="5" t="s">
        <v>115</v>
      </c>
      <c r="W135" s="5"/>
      <c r="X135" s="5"/>
      <c r="Y135" s="5"/>
      <c r="Z135" s="5" t="s">
        <v>115</v>
      </c>
      <c r="AA135" s="5" t="s">
        <v>115</v>
      </c>
      <c r="AB135" s="5" t="s">
        <v>115</v>
      </c>
      <c r="AC135" s="5" t="s">
        <v>115</v>
      </c>
      <c r="AD135" s="5" t="s">
        <v>115</v>
      </c>
      <c r="AE135" s="5" t="s">
        <v>115</v>
      </c>
      <c r="AF135" s="5" t="s">
        <v>115</v>
      </c>
      <c r="AG135" s="5"/>
      <c r="AH135">
        <v>0</v>
      </c>
      <c r="AI135">
        <v>0</v>
      </c>
      <c r="AJ135">
        <v>0</v>
      </c>
      <c r="AK135">
        <v>0</v>
      </c>
      <c r="AL135">
        <v>43</v>
      </c>
      <c r="AM135">
        <f t="shared" si="2"/>
        <v>43</v>
      </c>
      <c r="AN135" t="s">
        <v>188</v>
      </c>
    </row>
    <row r="136" spans="1:43" x14ac:dyDescent="0.2">
      <c r="A136" t="s">
        <v>3747</v>
      </c>
      <c r="B136" t="s">
        <v>3748</v>
      </c>
      <c r="C136">
        <v>5</v>
      </c>
      <c r="D136">
        <v>1</v>
      </c>
      <c r="E136" t="s">
        <v>2601</v>
      </c>
      <c r="F136" s="1">
        <v>43587</v>
      </c>
      <c r="G136" s="1" t="s">
        <v>4028</v>
      </c>
      <c r="H136" s="1"/>
      <c r="I136" s="2">
        <v>2.9861111111111113E-2</v>
      </c>
      <c r="J136" s="176">
        <v>4.9768518518518521E-4</v>
      </c>
      <c r="K136" s="6">
        <v>43</v>
      </c>
      <c r="L136" t="s">
        <v>1278</v>
      </c>
      <c r="M136" t="s">
        <v>177</v>
      </c>
      <c r="N136" t="s">
        <v>102</v>
      </c>
      <c r="O136" t="s">
        <v>115</v>
      </c>
      <c r="P136" t="s">
        <v>24</v>
      </c>
      <c r="Q136">
        <v>0</v>
      </c>
      <c r="R136">
        <v>0</v>
      </c>
      <c r="T136" s="5" t="s">
        <v>115</v>
      </c>
      <c r="U136" s="5" t="s">
        <v>115</v>
      </c>
      <c r="V136" s="5" t="s">
        <v>115</v>
      </c>
      <c r="W136" s="5"/>
      <c r="X136" s="5"/>
      <c r="Y136" s="5"/>
      <c r="Z136" s="5" t="s">
        <v>115</v>
      </c>
      <c r="AA136" s="5" t="s">
        <v>115</v>
      </c>
      <c r="AB136" s="5" t="s">
        <v>115</v>
      </c>
      <c r="AC136" s="5" t="s">
        <v>115</v>
      </c>
      <c r="AD136" s="5" t="s">
        <v>115</v>
      </c>
      <c r="AE136" s="5" t="s">
        <v>115</v>
      </c>
      <c r="AF136" s="5" t="s">
        <v>115</v>
      </c>
      <c r="AG136" s="5" t="s">
        <v>115</v>
      </c>
      <c r="AH136">
        <v>0</v>
      </c>
      <c r="AI136">
        <v>0</v>
      </c>
      <c r="AJ136">
        <v>0</v>
      </c>
      <c r="AK136">
        <v>0</v>
      </c>
      <c r="AL136">
        <v>43</v>
      </c>
      <c r="AM136">
        <f t="shared" si="2"/>
        <v>43</v>
      </c>
      <c r="AN136" t="s">
        <v>188</v>
      </c>
    </row>
    <row r="137" spans="1:43" x14ac:dyDescent="0.2">
      <c r="A137" t="s">
        <v>3444</v>
      </c>
      <c r="B137" t="s">
        <v>3445</v>
      </c>
      <c r="C137">
        <v>9</v>
      </c>
      <c r="D137">
        <v>1</v>
      </c>
      <c r="E137" t="s">
        <v>2601</v>
      </c>
      <c r="F137" s="1">
        <v>43579</v>
      </c>
      <c r="G137" s="1" t="s">
        <v>4027</v>
      </c>
      <c r="H137" s="1"/>
      <c r="I137" s="2">
        <v>3.8194444444444441E-2</v>
      </c>
      <c r="J137" s="176">
        <v>6.3657407407407402E-4</v>
      </c>
      <c r="K137" s="6">
        <v>55</v>
      </c>
      <c r="L137" t="s">
        <v>101</v>
      </c>
      <c r="M137" t="s">
        <v>173</v>
      </c>
      <c r="N137" t="s">
        <v>102</v>
      </c>
      <c r="O137" t="s">
        <v>115</v>
      </c>
      <c r="P137">
        <v>1</v>
      </c>
      <c r="Q137">
        <v>0</v>
      </c>
      <c r="R137">
        <v>0</v>
      </c>
      <c r="S137" t="s">
        <v>176</v>
      </c>
      <c r="T137" s="5" t="s">
        <v>24</v>
      </c>
      <c r="U137" s="5" t="s">
        <v>122</v>
      </c>
      <c r="V137" s="5" t="s">
        <v>115</v>
      </c>
      <c r="W137" s="5"/>
      <c r="X137" s="5"/>
      <c r="Y137" s="5"/>
      <c r="Z137" s="5" t="s">
        <v>115</v>
      </c>
      <c r="AA137" s="5" t="s">
        <v>115</v>
      </c>
      <c r="AB137" s="5" t="s">
        <v>115</v>
      </c>
      <c r="AC137" s="5" t="s">
        <v>115</v>
      </c>
      <c r="AD137" s="5" t="s">
        <v>115</v>
      </c>
      <c r="AE137" s="5" t="s">
        <v>115</v>
      </c>
      <c r="AF137" s="5" t="s">
        <v>115</v>
      </c>
      <c r="AG137" s="5" t="s">
        <v>115</v>
      </c>
      <c r="AH137">
        <v>0</v>
      </c>
      <c r="AI137">
        <v>0</v>
      </c>
      <c r="AJ137">
        <v>0</v>
      </c>
      <c r="AK137">
        <v>0</v>
      </c>
      <c r="AL137">
        <v>42</v>
      </c>
      <c r="AM137">
        <f t="shared" si="2"/>
        <v>42</v>
      </c>
    </row>
    <row r="138" spans="1:43" x14ac:dyDescent="0.2">
      <c r="A138" t="s">
        <v>3566</v>
      </c>
      <c r="B138" t="s">
        <v>3567</v>
      </c>
      <c r="C138">
        <v>26</v>
      </c>
      <c r="D138">
        <v>1</v>
      </c>
      <c r="E138" t="s">
        <v>3171</v>
      </c>
      <c r="F138" s="1">
        <v>43580</v>
      </c>
      <c r="G138" s="1" t="s">
        <v>4027</v>
      </c>
      <c r="H138" s="1"/>
      <c r="I138" s="2">
        <v>7.9166666666666663E-2</v>
      </c>
      <c r="J138" s="176">
        <v>1.3194444444444443E-3</v>
      </c>
      <c r="K138" s="6">
        <v>114</v>
      </c>
      <c r="L138" t="s">
        <v>101</v>
      </c>
      <c r="M138" t="s">
        <v>149</v>
      </c>
      <c r="N138" t="s">
        <v>1626</v>
      </c>
      <c r="O138" t="s">
        <v>23</v>
      </c>
      <c r="P138">
        <v>0</v>
      </c>
      <c r="Q138">
        <v>0</v>
      </c>
      <c r="R138">
        <v>0</v>
      </c>
      <c r="T138" s="5" t="s">
        <v>115</v>
      </c>
      <c r="U138" s="5" t="s">
        <v>115</v>
      </c>
      <c r="V138" s="5" t="s">
        <v>115</v>
      </c>
      <c r="W138" s="5"/>
      <c r="X138" s="5"/>
      <c r="Y138" s="5"/>
      <c r="Z138" s="5" t="s">
        <v>115</v>
      </c>
      <c r="AA138" s="5" t="s">
        <v>115</v>
      </c>
      <c r="AB138" s="5" t="s">
        <v>115</v>
      </c>
      <c r="AC138" s="5" t="s">
        <v>115</v>
      </c>
      <c r="AD138" s="5" t="s">
        <v>115</v>
      </c>
      <c r="AE138" s="5" t="s">
        <v>115</v>
      </c>
      <c r="AF138" s="5" t="s">
        <v>115</v>
      </c>
      <c r="AG138" s="5" t="s">
        <v>115</v>
      </c>
      <c r="AH138">
        <v>19</v>
      </c>
      <c r="AI138">
        <v>0</v>
      </c>
      <c r="AJ138">
        <v>19</v>
      </c>
      <c r="AK138">
        <v>0</v>
      </c>
      <c r="AL138">
        <v>23</v>
      </c>
      <c r="AM138">
        <f t="shared" si="2"/>
        <v>42</v>
      </c>
      <c r="AN138" t="s">
        <v>188</v>
      </c>
    </row>
    <row r="139" spans="1:43" x14ac:dyDescent="0.2">
      <c r="A139" t="s">
        <v>3557</v>
      </c>
      <c r="B139" t="s">
        <v>3558</v>
      </c>
      <c r="C139">
        <v>22</v>
      </c>
      <c r="D139">
        <v>1</v>
      </c>
      <c r="E139" t="s">
        <v>3171</v>
      </c>
      <c r="F139" s="1">
        <v>43580</v>
      </c>
      <c r="G139" s="1" t="s">
        <v>4027</v>
      </c>
      <c r="H139" s="1" t="s">
        <v>4752</v>
      </c>
      <c r="I139" s="2">
        <v>2.9166666666666664E-2</v>
      </c>
      <c r="J139" s="176">
        <v>4.8611111111111104E-4</v>
      </c>
      <c r="K139" s="6">
        <v>42</v>
      </c>
      <c r="L139" t="s">
        <v>101</v>
      </c>
      <c r="M139" t="s">
        <v>670</v>
      </c>
      <c r="N139" t="s">
        <v>102</v>
      </c>
      <c r="O139" t="s">
        <v>126</v>
      </c>
      <c r="P139" t="s">
        <v>24</v>
      </c>
      <c r="Q139">
        <v>0</v>
      </c>
      <c r="R139">
        <v>0</v>
      </c>
      <c r="T139" s="5" t="s">
        <v>115</v>
      </c>
      <c r="U139" s="5" t="s">
        <v>115</v>
      </c>
      <c r="V139" s="5" t="s">
        <v>115</v>
      </c>
      <c r="W139" s="5"/>
      <c r="X139" s="5"/>
      <c r="Y139" s="5"/>
      <c r="Z139" s="5" t="s">
        <v>115</v>
      </c>
      <c r="AA139" s="5" t="s">
        <v>115</v>
      </c>
      <c r="AB139" s="5" t="s">
        <v>115</v>
      </c>
      <c r="AC139" s="5" t="s">
        <v>115</v>
      </c>
      <c r="AD139" s="5" t="s">
        <v>115</v>
      </c>
      <c r="AE139" s="5" t="s">
        <v>115</v>
      </c>
      <c r="AF139" s="5" t="s">
        <v>115</v>
      </c>
      <c r="AG139" s="5" t="s">
        <v>115</v>
      </c>
      <c r="AH139">
        <v>0</v>
      </c>
      <c r="AI139">
        <v>0</v>
      </c>
      <c r="AJ139">
        <v>0</v>
      </c>
      <c r="AK139">
        <v>0</v>
      </c>
      <c r="AL139">
        <v>42</v>
      </c>
      <c r="AM139">
        <f t="shared" si="2"/>
        <v>42</v>
      </c>
      <c r="AN139" t="s">
        <v>188</v>
      </c>
    </row>
    <row r="140" spans="1:43" x14ac:dyDescent="0.2">
      <c r="A140" t="s">
        <v>2879</v>
      </c>
      <c r="B140" t="s">
        <v>2880</v>
      </c>
      <c r="C140">
        <v>11</v>
      </c>
      <c r="D140">
        <v>1</v>
      </c>
      <c r="E140" t="s">
        <v>324</v>
      </c>
      <c r="F140" s="1">
        <v>43558</v>
      </c>
      <c r="G140" s="1" t="s">
        <v>4027</v>
      </c>
      <c r="H140" s="1"/>
      <c r="I140" s="2">
        <v>7.4999999999999997E-2</v>
      </c>
      <c r="J140" s="176">
        <v>1.25E-3</v>
      </c>
      <c r="K140" s="6">
        <v>108</v>
      </c>
      <c r="M140" t="s">
        <v>325</v>
      </c>
      <c r="N140" t="s">
        <v>102</v>
      </c>
      <c r="O140" t="s">
        <v>23</v>
      </c>
      <c r="P140">
        <v>1</v>
      </c>
      <c r="Q140" t="s">
        <v>24</v>
      </c>
      <c r="R140">
        <v>0</v>
      </c>
      <c r="S140" t="s">
        <v>176</v>
      </c>
      <c r="T140" s="5" t="s">
        <v>24</v>
      </c>
      <c r="U140" s="5" t="s">
        <v>2068</v>
      </c>
      <c r="V140" s="5" t="s">
        <v>115</v>
      </c>
      <c r="W140" s="5"/>
      <c r="X140" s="5"/>
      <c r="Y140" s="5"/>
      <c r="Z140" s="5" t="s">
        <v>115</v>
      </c>
      <c r="AA140" s="5" t="s">
        <v>115</v>
      </c>
      <c r="AB140" s="5" t="s">
        <v>115</v>
      </c>
      <c r="AC140" s="5" t="s">
        <v>115</v>
      </c>
      <c r="AD140" s="5" t="s">
        <v>115</v>
      </c>
      <c r="AE140" s="5" t="s">
        <v>115</v>
      </c>
      <c r="AF140" s="5" t="s">
        <v>115</v>
      </c>
      <c r="AG140" s="5"/>
      <c r="AH140">
        <v>13</v>
      </c>
      <c r="AI140">
        <v>28</v>
      </c>
      <c r="AJ140">
        <v>13</v>
      </c>
      <c r="AK140">
        <v>28</v>
      </c>
      <c r="AL140">
        <v>0</v>
      </c>
      <c r="AM140">
        <f t="shared" si="2"/>
        <v>41</v>
      </c>
      <c r="AN140" t="s">
        <v>2374</v>
      </c>
      <c r="AO140" t="s">
        <v>2881</v>
      </c>
      <c r="AP140">
        <v>2</v>
      </c>
      <c r="AQ140">
        <v>0</v>
      </c>
    </row>
    <row r="141" spans="1:43" x14ac:dyDescent="0.2">
      <c r="A141" t="s">
        <v>2980</v>
      </c>
      <c r="B141" t="s">
        <v>2981</v>
      </c>
      <c r="C141">
        <v>25</v>
      </c>
      <c r="D141">
        <v>1</v>
      </c>
      <c r="E141" t="s">
        <v>834</v>
      </c>
      <c r="F141" s="1">
        <v>43560</v>
      </c>
      <c r="G141" s="1" t="s">
        <v>4027</v>
      </c>
      <c r="H141" s="1"/>
      <c r="I141" s="2">
        <v>2.8472222222222222E-2</v>
      </c>
      <c r="J141" s="176">
        <v>4.7453703703703704E-4</v>
      </c>
      <c r="K141" s="6">
        <v>41</v>
      </c>
      <c r="M141" t="s">
        <v>466</v>
      </c>
      <c r="N141" t="s">
        <v>102</v>
      </c>
      <c r="O141" t="s">
        <v>115</v>
      </c>
      <c r="P141">
        <v>0</v>
      </c>
      <c r="Q141">
        <v>0</v>
      </c>
      <c r="R141">
        <v>0</v>
      </c>
      <c r="T141" s="5" t="s">
        <v>115</v>
      </c>
      <c r="U141" s="5" t="s">
        <v>115</v>
      </c>
      <c r="V141" s="5" t="s">
        <v>115</v>
      </c>
      <c r="W141" s="5"/>
      <c r="X141" s="5"/>
      <c r="Y141" s="5"/>
      <c r="Z141" s="5" t="s">
        <v>115</v>
      </c>
      <c r="AA141" s="5" t="s">
        <v>115</v>
      </c>
      <c r="AB141" s="5" t="s">
        <v>115</v>
      </c>
      <c r="AC141" s="5" t="s">
        <v>115</v>
      </c>
      <c r="AD141" s="5" t="s">
        <v>115</v>
      </c>
      <c r="AE141" s="5" t="s">
        <v>115</v>
      </c>
      <c r="AF141" s="5" t="s">
        <v>115</v>
      </c>
      <c r="AG141" s="5"/>
      <c r="AH141">
        <v>0</v>
      </c>
      <c r="AI141">
        <v>0</v>
      </c>
      <c r="AJ141">
        <v>0</v>
      </c>
      <c r="AK141">
        <v>0</v>
      </c>
      <c r="AL141">
        <v>41</v>
      </c>
      <c r="AM141">
        <f t="shared" si="2"/>
        <v>41</v>
      </c>
      <c r="AN141" t="s">
        <v>188</v>
      </c>
    </row>
    <row r="142" spans="1:43" x14ac:dyDescent="0.2">
      <c r="A142" t="s">
        <v>2982</v>
      </c>
      <c r="B142" t="s">
        <v>2983</v>
      </c>
      <c r="C142">
        <v>26</v>
      </c>
      <c r="D142">
        <v>1</v>
      </c>
      <c r="E142" t="s">
        <v>834</v>
      </c>
      <c r="F142" s="1">
        <v>43560</v>
      </c>
      <c r="G142" s="1" t="s">
        <v>4027</v>
      </c>
      <c r="H142" s="1"/>
      <c r="I142" s="2">
        <v>2.8472222222222222E-2</v>
      </c>
      <c r="J142" s="176">
        <v>4.7453703703703704E-4</v>
      </c>
      <c r="K142" s="6">
        <v>41</v>
      </c>
      <c r="M142" t="s">
        <v>466</v>
      </c>
      <c r="N142" t="s">
        <v>102</v>
      </c>
      <c r="O142" t="s">
        <v>115</v>
      </c>
      <c r="P142">
        <v>0</v>
      </c>
      <c r="Q142">
        <v>0</v>
      </c>
      <c r="R142">
        <v>0</v>
      </c>
      <c r="T142" s="5" t="s">
        <v>115</v>
      </c>
      <c r="U142" s="5" t="s">
        <v>115</v>
      </c>
      <c r="V142" s="5" t="s">
        <v>115</v>
      </c>
      <c r="W142" s="5"/>
      <c r="X142" s="5"/>
      <c r="Y142" s="5"/>
      <c r="Z142" s="5" t="s">
        <v>115</v>
      </c>
      <c r="AA142" s="5" t="s">
        <v>115</v>
      </c>
      <c r="AB142" s="5" t="s">
        <v>115</v>
      </c>
      <c r="AC142" s="5" t="s">
        <v>115</v>
      </c>
      <c r="AD142" s="5" t="s">
        <v>115</v>
      </c>
      <c r="AE142" s="5" t="s">
        <v>115</v>
      </c>
      <c r="AF142" s="5" t="s">
        <v>115</v>
      </c>
      <c r="AG142" s="5"/>
      <c r="AH142">
        <v>0</v>
      </c>
      <c r="AI142">
        <v>0</v>
      </c>
      <c r="AJ142">
        <v>0</v>
      </c>
      <c r="AK142">
        <v>0</v>
      </c>
      <c r="AL142">
        <v>41</v>
      </c>
      <c r="AM142">
        <f t="shared" si="2"/>
        <v>41</v>
      </c>
      <c r="AN142" t="s">
        <v>188</v>
      </c>
    </row>
    <row r="143" spans="1:43" x14ac:dyDescent="0.2">
      <c r="A143" t="s">
        <v>3079</v>
      </c>
      <c r="B143" t="s">
        <v>3078</v>
      </c>
      <c r="C143">
        <v>4</v>
      </c>
      <c r="D143">
        <v>1</v>
      </c>
      <c r="E143" t="s">
        <v>2601</v>
      </c>
      <c r="F143" s="1">
        <v>43570</v>
      </c>
      <c r="G143" s="1" t="s">
        <v>4027</v>
      </c>
      <c r="H143" s="1"/>
      <c r="I143" s="2">
        <v>2.8472222222222222E-2</v>
      </c>
      <c r="J143" s="176">
        <v>4.7453703703703704E-4</v>
      </c>
      <c r="K143" s="6">
        <v>41</v>
      </c>
      <c r="L143" t="s">
        <v>101</v>
      </c>
      <c r="M143" t="s">
        <v>173</v>
      </c>
      <c r="N143" t="s">
        <v>102</v>
      </c>
      <c r="O143" t="s">
        <v>115</v>
      </c>
      <c r="P143">
        <v>1</v>
      </c>
      <c r="Q143">
        <v>0</v>
      </c>
      <c r="R143">
        <v>0</v>
      </c>
      <c r="S143" t="s">
        <v>176</v>
      </c>
      <c r="T143" s="5" t="s">
        <v>24</v>
      </c>
      <c r="U143" s="5" t="s">
        <v>122</v>
      </c>
      <c r="V143" s="5" t="s">
        <v>115</v>
      </c>
      <c r="W143" s="5"/>
      <c r="X143" s="5"/>
      <c r="Y143" s="5"/>
      <c r="Z143" s="5" t="s">
        <v>115</v>
      </c>
      <c r="AA143" s="5" t="s">
        <v>115</v>
      </c>
      <c r="AB143" s="5" t="s">
        <v>115</v>
      </c>
      <c r="AC143" s="5" t="s">
        <v>115</v>
      </c>
      <c r="AD143" s="5" t="s">
        <v>115</v>
      </c>
      <c r="AE143" s="5" t="s">
        <v>115</v>
      </c>
      <c r="AF143" s="5" t="s">
        <v>115</v>
      </c>
      <c r="AG143" s="5"/>
      <c r="AH143">
        <v>0</v>
      </c>
      <c r="AI143">
        <v>0</v>
      </c>
      <c r="AJ143">
        <v>0</v>
      </c>
      <c r="AK143">
        <v>0</v>
      </c>
      <c r="AL143">
        <v>41</v>
      </c>
      <c r="AM143">
        <f t="shared" si="2"/>
        <v>41</v>
      </c>
      <c r="AN143" t="s">
        <v>188</v>
      </c>
    </row>
    <row r="144" spans="1:43" x14ac:dyDescent="0.2">
      <c r="A144" t="s">
        <v>3220</v>
      </c>
      <c r="B144" t="s">
        <v>3221</v>
      </c>
      <c r="C144">
        <v>17</v>
      </c>
      <c r="D144">
        <v>1</v>
      </c>
      <c r="E144" t="s">
        <v>2487</v>
      </c>
      <c r="F144" s="1">
        <v>43572</v>
      </c>
      <c r="G144" s="1" t="s">
        <v>4027</v>
      </c>
      <c r="H144" s="1"/>
      <c r="I144" s="2">
        <v>2.8472222222222222E-2</v>
      </c>
      <c r="J144" s="176">
        <v>4.7453703703703704E-4</v>
      </c>
      <c r="K144" s="6">
        <v>41</v>
      </c>
      <c r="L144" t="s">
        <v>3187</v>
      </c>
      <c r="M144" t="s">
        <v>2488</v>
      </c>
      <c r="N144" t="s">
        <v>102</v>
      </c>
      <c r="O144" t="s">
        <v>23</v>
      </c>
      <c r="P144">
        <v>2</v>
      </c>
      <c r="Q144">
        <v>1</v>
      </c>
      <c r="R144">
        <v>0</v>
      </c>
      <c r="S144" t="s">
        <v>176</v>
      </c>
      <c r="T144" s="5" t="s">
        <v>24</v>
      </c>
      <c r="U144" s="5" t="s">
        <v>709</v>
      </c>
      <c r="V144" s="5" t="s">
        <v>115</v>
      </c>
      <c r="W144" s="5"/>
      <c r="X144" s="5"/>
      <c r="Y144" s="5"/>
      <c r="Z144" s="5" t="s">
        <v>115</v>
      </c>
      <c r="AA144" s="5" t="s">
        <v>115</v>
      </c>
      <c r="AB144" s="5" t="s">
        <v>115</v>
      </c>
      <c r="AC144" s="5" t="s">
        <v>115</v>
      </c>
      <c r="AD144" s="5" t="s">
        <v>115</v>
      </c>
      <c r="AE144">
        <v>63.720469999999999</v>
      </c>
      <c r="AF144">
        <v>148.98471000000001</v>
      </c>
      <c r="AG144" s="5" t="s">
        <v>3223</v>
      </c>
      <c r="AH144">
        <v>41</v>
      </c>
      <c r="AI144">
        <v>0</v>
      </c>
      <c r="AJ144">
        <v>41</v>
      </c>
      <c r="AK144">
        <v>0</v>
      </c>
      <c r="AL144">
        <v>0</v>
      </c>
      <c r="AM144">
        <f t="shared" si="2"/>
        <v>41</v>
      </c>
      <c r="AN144" t="s">
        <v>3224</v>
      </c>
      <c r="AO144" t="s">
        <v>3225</v>
      </c>
      <c r="AP144">
        <v>10</v>
      </c>
      <c r="AQ144">
        <v>0</v>
      </c>
    </row>
    <row r="145" spans="1:43" x14ac:dyDescent="0.2">
      <c r="A145" t="s">
        <v>3312</v>
      </c>
      <c r="B145" t="s">
        <v>3313</v>
      </c>
      <c r="C145">
        <v>9</v>
      </c>
      <c r="D145">
        <v>1</v>
      </c>
      <c r="E145" t="s">
        <v>834</v>
      </c>
      <c r="F145" s="1">
        <v>43577</v>
      </c>
      <c r="G145" s="1" t="s">
        <v>4027</v>
      </c>
      <c r="H145" s="1"/>
      <c r="I145" s="2">
        <v>3.0555555555555555E-2</v>
      </c>
      <c r="J145" s="176">
        <v>5.0925925925925921E-4</v>
      </c>
      <c r="K145" s="6">
        <v>44</v>
      </c>
      <c r="L145" t="s">
        <v>101</v>
      </c>
      <c r="M145" t="s">
        <v>466</v>
      </c>
      <c r="N145" t="s">
        <v>102</v>
      </c>
      <c r="O145" t="s">
        <v>115</v>
      </c>
      <c r="P145">
        <v>1</v>
      </c>
      <c r="Q145">
        <v>0</v>
      </c>
      <c r="R145">
        <v>0</v>
      </c>
      <c r="S145" t="s">
        <v>176</v>
      </c>
      <c r="T145" s="5" t="s">
        <v>24</v>
      </c>
      <c r="U145" s="5" t="s">
        <v>122</v>
      </c>
      <c r="V145" s="5" t="s">
        <v>115</v>
      </c>
      <c r="W145" s="5"/>
      <c r="X145" s="5"/>
      <c r="Y145" s="5"/>
      <c r="Z145" s="5" t="s">
        <v>115</v>
      </c>
      <c r="AA145" s="5" t="s">
        <v>115</v>
      </c>
      <c r="AB145" s="5" t="s">
        <v>115</v>
      </c>
      <c r="AC145" s="5" t="s">
        <v>115</v>
      </c>
      <c r="AD145" s="5" t="s">
        <v>115</v>
      </c>
      <c r="AE145" s="5" t="s">
        <v>115</v>
      </c>
      <c r="AF145" s="5" t="s">
        <v>115</v>
      </c>
      <c r="AG145" s="5" t="s">
        <v>115</v>
      </c>
      <c r="AH145">
        <v>0</v>
      </c>
      <c r="AI145">
        <v>0</v>
      </c>
      <c r="AJ145">
        <v>0</v>
      </c>
      <c r="AK145">
        <v>0</v>
      </c>
      <c r="AL145">
        <v>41</v>
      </c>
      <c r="AM145">
        <f t="shared" si="2"/>
        <v>41</v>
      </c>
      <c r="AN145" t="s">
        <v>188</v>
      </c>
      <c r="AO145" t="s">
        <v>2405</v>
      </c>
    </row>
    <row r="146" spans="1:43" x14ac:dyDescent="0.2">
      <c r="A146" t="s">
        <v>3175</v>
      </c>
      <c r="B146" t="s">
        <v>3176</v>
      </c>
      <c r="C146">
        <v>3</v>
      </c>
      <c r="D146">
        <v>1</v>
      </c>
      <c r="E146" t="s">
        <v>3171</v>
      </c>
      <c r="F146" s="1">
        <v>43571</v>
      </c>
      <c r="G146" s="1" t="s">
        <v>4027</v>
      </c>
      <c r="H146" s="1"/>
      <c r="I146" s="2">
        <v>4.1666666666666664E-2</v>
      </c>
      <c r="J146" s="176">
        <v>6.9444444444444447E-4</v>
      </c>
      <c r="K146" s="6">
        <v>60</v>
      </c>
      <c r="L146" t="s">
        <v>1278</v>
      </c>
      <c r="M146" t="s">
        <v>149</v>
      </c>
      <c r="N146" t="s">
        <v>102</v>
      </c>
      <c r="O146" t="s">
        <v>115</v>
      </c>
      <c r="P146" t="s">
        <v>24</v>
      </c>
      <c r="Q146">
        <v>0</v>
      </c>
      <c r="R146">
        <v>0</v>
      </c>
      <c r="T146" s="5" t="s">
        <v>115</v>
      </c>
      <c r="U146" s="5" t="s">
        <v>115</v>
      </c>
      <c r="V146" s="5" t="s">
        <v>115</v>
      </c>
      <c r="W146" s="5"/>
      <c r="X146" s="5"/>
      <c r="Y146" s="5"/>
      <c r="Z146" s="5" t="s">
        <v>115</v>
      </c>
      <c r="AA146" s="5" t="s">
        <v>115</v>
      </c>
      <c r="AB146" s="5" t="s">
        <v>115</v>
      </c>
      <c r="AC146" s="5" t="s">
        <v>115</v>
      </c>
      <c r="AD146" s="5" t="s">
        <v>115</v>
      </c>
      <c r="AE146" s="5" t="s">
        <v>115</v>
      </c>
      <c r="AF146" s="5" t="s">
        <v>115</v>
      </c>
      <c r="AG146" s="5"/>
      <c r="AH146">
        <v>0</v>
      </c>
      <c r="AI146">
        <v>0</v>
      </c>
      <c r="AJ146">
        <v>0</v>
      </c>
      <c r="AK146">
        <v>0</v>
      </c>
      <c r="AL146">
        <v>41</v>
      </c>
      <c r="AM146">
        <f t="shared" si="2"/>
        <v>41</v>
      </c>
      <c r="AN146" t="s">
        <v>188</v>
      </c>
    </row>
    <row r="147" spans="1:43" x14ac:dyDescent="0.2">
      <c r="A147" t="s">
        <v>3385</v>
      </c>
      <c r="B147" t="s">
        <v>3386</v>
      </c>
      <c r="C147">
        <v>15</v>
      </c>
      <c r="D147">
        <v>1</v>
      </c>
      <c r="E147" t="s">
        <v>3171</v>
      </c>
      <c r="F147" s="1">
        <v>43577</v>
      </c>
      <c r="G147" s="1" t="s">
        <v>4027</v>
      </c>
      <c r="H147" s="1" t="s">
        <v>4752</v>
      </c>
      <c r="I147" s="2">
        <v>4.5138888888888888E-2</v>
      </c>
      <c r="J147" s="176">
        <v>7.5231481481481471E-4</v>
      </c>
      <c r="K147" s="6">
        <v>65</v>
      </c>
      <c r="L147" t="s">
        <v>101</v>
      </c>
      <c r="M147" t="s">
        <v>670</v>
      </c>
      <c r="N147" t="s">
        <v>102</v>
      </c>
      <c r="O147" t="s">
        <v>115</v>
      </c>
      <c r="P147" t="s">
        <v>24</v>
      </c>
      <c r="Q147">
        <v>0</v>
      </c>
      <c r="R147">
        <v>0</v>
      </c>
      <c r="T147" s="5" t="s">
        <v>115</v>
      </c>
      <c r="U147" s="5" t="s">
        <v>115</v>
      </c>
      <c r="V147" s="5" t="s">
        <v>115</v>
      </c>
      <c r="W147" s="5"/>
      <c r="X147" s="5"/>
      <c r="Y147" s="5"/>
      <c r="Z147" s="5" t="s">
        <v>115</v>
      </c>
      <c r="AA147" s="5" t="s">
        <v>115</v>
      </c>
      <c r="AB147" s="5" t="s">
        <v>115</v>
      </c>
      <c r="AC147" s="5" t="s">
        <v>115</v>
      </c>
      <c r="AD147" s="5" t="s">
        <v>115</v>
      </c>
      <c r="AE147" s="5" t="s">
        <v>115</v>
      </c>
      <c r="AF147" s="5" t="s">
        <v>115</v>
      </c>
      <c r="AG147" s="5" t="s">
        <v>115</v>
      </c>
      <c r="AH147">
        <v>0</v>
      </c>
      <c r="AI147">
        <v>0</v>
      </c>
      <c r="AJ147">
        <v>0</v>
      </c>
      <c r="AK147">
        <v>0</v>
      </c>
      <c r="AL147">
        <v>41</v>
      </c>
      <c r="AM147">
        <f t="shared" si="2"/>
        <v>41</v>
      </c>
      <c r="AN147" t="s">
        <v>188</v>
      </c>
    </row>
    <row r="148" spans="1:43" x14ac:dyDescent="0.2">
      <c r="A148" t="s">
        <v>3502</v>
      </c>
      <c r="B148" t="s">
        <v>3503</v>
      </c>
      <c r="C148">
        <v>24</v>
      </c>
      <c r="D148">
        <v>1</v>
      </c>
      <c r="E148" t="s">
        <v>2462</v>
      </c>
      <c r="F148" s="1">
        <v>43579</v>
      </c>
      <c r="G148" s="1" t="s">
        <v>4027</v>
      </c>
      <c r="H148" s="1"/>
      <c r="I148" s="2">
        <v>2.8472222222222222E-2</v>
      </c>
      <c r="J148" s="176">
        <v>4.7453703703703704E-4</v>
      </c>
      <c r="K148" s="6">
        <v>41</v>
      </c>
      <c r="L148" t="s">
        <v>101</v>
      </c>
      <c r="M148" t="s">
        <v>363</v>
      </c>
      <c r="N148" t="s">
        <v>102</v>
      </c>
      <c r="O148" t="s">
        <v>115</v>
      </c>
      <c r="P148" t="s">
        <v>24</v>
      </c>
      <c r="Q148">
        <v>0</v>
      </c>
      <c r="R148">
        <v>0</v>
      </c>
      <c r="T148" s="5" t="s">
        <v>115</v>
      </c>
      <c r="U148" s="5" t="s">
        <v>115</v>
      </c>
      <c r="V148" s="5" t="s">
        <v>115</v>
      </c>
      <c r="W148" s="5"/>
      <c r="X148" s="5"/>
      <c r="Y148" s="5"/>
      <c r="Z148" s="5" t="s">
        <v>115</v>
      </c>
      <c r="AA148" s="5" t="s">
        <v>115</v>
      </c>
      <c r="AB148" s="5" t="s">
        <v>115</v>
      </c>
      <c r="AC148" s="5" t="s">
        <v>115</v>
      </c>
      <c r="AD148" s="5" t="s">
        <v>115</v>
      </c>
      <c r="AE148" s="5" t="s">
        <v>115</v>
      </c>
      <c r="AF148" s="5" t="s">
        <v>115</v>
      </c>
      <c r="AG148" s="5" t="s">
        <v>115</v>
      </c>
      <c r="AH148">
        <v>0</v>
      </c>
      <c r="AI148">
        <v>0</v>
      </c>
      <c r="AJ148">
        <v>0</v>
      </c>
      <c r="AK148">
        <v>0</v>
      </c>
      <c r="AL148">
        <v>41</v>
      </c>
      <c r="AM148">
        <f t="shared" si="2"/>
        <v>41</v>
      </c>
      <c r="AN148" t="s">
        <v>188</v>
      </c>
    </row>
    <row r="149" spans="1:43" x14ac:dyDescent="0.2">
      <c r="A149" t="s">
        <v>2563</v>
      </c>
      <c r="B149" t="s">
        <v>2564</v>
      </c>
      <c r="C149">
        <v>8</v>
      </c>
      <c r="D149">
        <v>1</v>
      </c>
      <c r="E149" t="s">
        <v>324</v>
      </c>
      <c r="F149" s="1">
        <v>43550</v>
      </c>
      <c r="G149" s="1" t="s">
        <v>4026</v>
      </c>
      <c r="H149" s="1"/>
      <c r="I149" s="2">
        <v>2.7777777777777776E-2</v>
      </c>
      <c r="J149" s="176">
        <v>4.6296296296296293E-4</v>
      </c>
      <c r="K149" s="6">
        <v>40</v>
      </c>
      <c r="L149" s="5" t="s">
        <v>640</v>
      </c>
      <c r="M149" t="s">
        <v>325</v>
      </c>
      <c r="N149" t="s">
        <v>102</v>
      </c>
      <c r="O149" t="s">
        <v>115</v>
      </c>
      <c r="P149">
        <v>1</v>
      </c>
      <c r="Q149">
        <v>0</v>
      </c>
      <c r="R149">
        <v>0</v>
      </c>
      <c r="S149" t="s">
        <v>598</v>
      </c>
      <c r="T149" t="s">
        <v>2565</v>
      </c>
      <c r="U149" t="s">
        <v>122</v>
      </c>
      <c r="V149" t="s">
        <v>115</v>
      </c>
      <c r="Z149" t="s">
        <v>115</v>
      </c>
      <c r="AA149" t="s">
        <v>115</v>
      </c>
      <c r="AB149" t="s">
        <v>115</v>
      </c>
      <c r="AC149" t="s">
        <v>115</v>
      </c>
      <c r="AD149" t="s">
        <v>115</v>
      </c>
      <c r="AH149">
        <v>0</v>
      </c>
      <c r="AI149">
        <v>0</v>
      </c>
      <c r="AJ149">
        <v>0</v>
      </c>
      <c r="AK149">
        <v>0</v>
      </c>
      <c r="AL149">
        <v>40</v>
      </c>
      <c r="AM149">
        <f t="shared" si="2"/>
        <v>40</v>
      </c>
      <c r="AN149" t="s">
        <v>188</v>
      </c>
    </row>
    <row r="150" spans="1:43" x14ac:dyDescent="0.2">
      <c r="A150" t="s">
        <v>2943</v>
      </c>
      <c r="B150" t="s">
        <v>2944</v>
      </c>
      <c r="C150">
        <v>7</v>
      </c>
      <c r="D150">
        <v>1</v>
      </c>
      <c r="E150" t="s">
        <v>834</v>
      </c>
      <c r="F150" s="1">
        <v>43560</v>
      </c>
      <c r="G150" s="1" t="s">
        <v>4027</v>
      </c>
      <c r="H150" s="1"/>
      <c r="I150" s="2">
        <v>2.7777777777777776E-2</v>
      </c>
      <c r="J150" s="176">
        <v>4.6296296296296293E-4</v>
      </c>
      <c r="K150" s="6">
        <v>40</v>
      </c>
      <c r="M150" t="s">
        <v>466</v>
      </c>
      <c r="N150" t="s">
        <v>102</v>
      </c>
      <c r="O150" t="s">
        <v>23</v>
      </c>
      <c r="P150">
        <v>0</v>
      </c>
      <c r="Q150">
        <v>0</v>
      </c>
      <c r="R150">
        <v>0</v>
      </c>
      <c r="T150" s="5" t="s">
        <v>115</v>
      </c>
      <c r="U150" s="5" t="s">
        <v>115</v>
      </c>
      <c r="V150" s="5" t="s">
        <v>115</v>
      </c>
      <c r="W150" s="5"/>
      <c r="X150" s="5"/>
      <c r="Y150" s="5"/>
      <c r="Z150" s="5" t="s">
        <v>115</v>
      </c>
      <c r="AA150" s="5" t="s">
        <v>115</v>
      </c>
      <c r="AB150" s="5" t="s">
        <v>115</v>
      </c>
      <c r="AC150" s="5" t="s">
        <v>115</v>
      </c>
      <c r="AD150" s="5" t="s">
        <v>115</v>
      </c>
      <c r="AE150" s="5" t="s">
        <v>115</v>
      </c>
      <c r="AF150" s="5" t="s">
        <v>115</v>
      </c>
      <c r="AG150" s="5"/>
      <c r="AH150">
        <v>0</v>
      </c>
      <c r="AI150">
        <v>0</v>
      </c>
      <c r="AJ150">
        <v>0</v>
      </c>
      <c r="AK150">
        <v>0</v>
      </c>
      <c r="AL150">
        <v>40</v>
      </c>
      <c r="AM150">
        <f t="shared" si="2"/>
        <v>40</v>
      </c>
      <c r="AN150" t="s">
        <v>188</v>
      </c>
    </row>
    <row r="151" spans="1:43" x14ac:dyDescent="0.2">
      <c r="A151" t="s">
        <v>3107</v>
      </c>
      <c r="B151" t="s">
        <v>3108</v>
      </c>
      <c r="C151">
        <v>7</v>
      </c>
      <c r="D151">
        <v>1</v>
      </c>
      <c r="E151" t="s">
        <v>324</v>
      </c>
      <c r="F151" s="1">
        <v>43570</v>
      </c>
      <c r="G151" s="1" t="s">
        <v>4027</v>
      </c>
      <c r="H151" s="1"/>
      <c r="I151" s="2">
        <v>2.7777777777777776E-2</v>
      </c>
      <c r="J151" s="176">
        <v>4.6296296296296293E-4</v>
      </c>
      <c r="K151" s="6">
        <v>40</v>
      </c>
      <c r="L151" t="s">
        <v>101</v>
      </c>
      <c r="M151" t="s">
        <v>325</v>
      </c>
      <c r="N151" t="s">
        <v>102</v>
      </c>
      <c r="O151" t="s">
        <v>115</v>
      </c>
      <c r="P151">
        <v>1</v>
      </c>
      <c r="Q151">
        <v>0</v>
      </c>
      <c r="R151">
        <v>0</v>
      </c>
      <c r="S151" t="s">
        <v>461</v>
      </c>
      <c r="T151" s="5" t="s">
        <v>2605</v>
      </c>
      <c r="U151" s="5" t="s">
        <v>122</v>
      </c>
      <c r="V151" s="5" t="s">
        <v>115</v>
      </c>
      <c r="W151" s="5"/>
      <c r="X151" s="5"/>
      <c r="Y151" s="5"/>
      <c r="Z151" s="5" t="s">
        <v>115</v>
      </c>
      <c r="AA151" s="5" t="s">
        <v>115</v>
      </c>
      <c r="AB151" s="5" t="s">
        <v>115</v>
      </c>
      <c r="AC151" s="5" t="s">
        <v>115</v>
      </c>
      <c r="AD151" s="5" t="s">
        <v>115</v>
      </c>
      <c r="AE151" s="5" t="s">
        <v>115</v>
      </c>
      <c r="AF151" s="5" t="s">
        <v>115</v>
      </c>
      <c r="AG151" s="5"/>
      <c r="AH151">
        <v>0</v>
      </c>
      <c r="AI151">
        <v>0</v>
      </c>
      <c r="AJ151">
        <v>0</v>
      </c>
      <c r="AK151">
        <v>0</v>
      </c>
      <c r="AL151">
        <v>40</v>
      </c>
      <c r="AM151">
        <f t="shared" si="2"/>
        <v>40</v>
      </c>
      <c r="AO151" t="s">
        <v>3109</v>
      </c>
    </row>
    <row r="152" spans="1:43" x14ac:dyDescent="0.2">
      <c r="A152" t="s">
        <v>3768</v>
      </c>
      <c r="B152" t="s">
        <v>3769</v>
      </c>
      <c r="C152">
        <v>7</v>
      </c>
      <c r="D152">
        <v>1</v>
      </c>
      <c r="E152" t="s">
        <v>3171</v>
      </c>
      <c r="F152" s="1">
        <v>43588</v>
      </c>
      <c r="G152" s="1" t="s">
        <v>4028</v>
      </c>
      <c r="H152" s="1"/>
      <c r="I152" s="2">
        <v>2.7777777777777776E-2</v>
      </c>
      <c r="J152" s="176">
        <v>4.6296296296296293E-4</v>
      </c>
      <c r="K152" s="6">
        <v>40</v>
      </c>
      <c r="L152" t="s">
        <v>3187</v>
      </c>
      <c r="M152" t="s">
        <v>149</v>
      </c>
      <c r="N152" t="s">
        <v>102</v>
      </c>
      <c r="O152" t="s">
        <v>115</v>
      </c>
      <c r="P152">
        <v>0</v>
      </c>
      <c r="Q152">
        <v>0</v>
      </c>
      <c r="R152">
        <v>0</v>
      </c>
      <c r="T152" s="5" t="s">
        <v>115</v>
      </c>
      <c r="U152" s="5" t="s">
        <v>115</v>
      </c>
      <c r="V152" s="5" t="s">
        <v>115</v>
      </c>
      <c r="W152" s="5"/>
      <c r="X152" s="5"/>
      <c r="Y152" s="5"/>
      <c r="Z152" s="5" t="s">
        <v>115</v>
      </c>
      <c r="AA152" s="5" t="s">
        <v>115</v>
      </c>
      <c r="AB152" s="5" t="s">
        <v>115</v>
      </c>
      <c r="AC152" s="5" t="s">
        <v>115</v>
      </c>
      <c r="AD152" s="5" t="s">
        <v>115</v>
      </c>
      <c r="AE152" s="5" t="s">
        <v>115</v>
      </c>
      <c r="AF152" s="5" t="s">
        <v>115</v>
      </c>
      <c r="AG152" s="5" t="s">
        <v>115</v>
      </c>
      <c r="AH152">
        <v>0</v>
      </c>
      <c r="AI152">
        <v>0</v>
      </c>
      <c r="AJ152">
        <v>0</v>
      </c>
      <c r="AK152">
        <v>0</v>
      </c>
      <c r="AL152">
        <v>40</v>
      </c>
      <c r="AM152">
        <f t="shared" si="2"/>
        <v>40</v>
      </c>
      <c r="AN152" t="s">
        <v>188</v>
      </c>
    </row>
    <row r="153" spans="1:43" x14ac:dyDescent="0.2">
      <c r="A153" t="s">
        <v>3745</v>
      </c>
      <c r="B153" t="s">
        <v>3746</v>
      </c>
      <c r="C153">
        <v>4</v>
      </c>
      <c r="D153">
        <v>1</v>
      </c>
      <c r="E153" t="s">
        <v>2601</v>
      </c>
      <c r="F153" s="1">
        <v>43587</v>
      </c>
      <c r="G153" s="1" t="s">
        <v>4028</v>
      </c>
      <c r="H153" s="1"/>
      <c r="I153" s="2">
        <v>2.7777777777777776E-2</v>
      </c>
      <c r="J153" s="176">
        <v>4.6296296296296293E-4</v>
      </c>
      <c r="K153" s="6">
        <v>40</v>
      </c>
      <c r="L153" t="s">
        <v>1278</v>
      </c>
      <c r="M153" t="s">
        <v>177</v>
      </c>
      <c r="N153" t="s">
        <v>102</v>
      </c>
      <c r="O153" t="s">
        <v>115</v>
      </c>
      <c r="P153" t="s">
        <v>24</v>
      </c>
      <c r="Q153">
        <v>0</v>
      </c>
      <c r="R153">
        <v>0</v>
      </c>
      <c r="T153" s="5" t="s">
        <v>115</v>
      </c>
      <c r="U153" s="5" t="s">
        <v>115</v>
      </c>
      <c r="V153" s="5" t="s">
        <v>115</v>
      </c>
      <c r="W153" s="5"/>
      <c r="X153" s="5"/>
      <c r="Y153" s="5"/>
      <c r="Z153" s="5" t="s">
        <v>115</v>
      </c>
      <c r="AA153" s="5" t="s">
        <v>115</v>
      </c>
      <c r="AB153" s="5" t="s">
        <v>115</v>
      </c>
      <c r="AC153" s="5" t="s">
        <v>115</v>
      </c>
      <c r="AD153" s="5" t="s">
        <v>115</v>
      </c>
      <c r="AE153" s="5" t="s">
        <v>115</v>
      </c>
      <c r="AF153" s="5" t="s">
        <v>115</v>
      </c>
      <c r="AG153" s="5" t="s">
        <v>115</v>
      </c>
      <c r="AH153">
        <v>0</v>
      </c>
      <c r="AI153">
        <v>0</v>
      </c>
      <c r="AJ153">
        <v>0</v>
      </c>
      <c r="AK153">
        <v>0</v>
      </c>
      <c r="AL153">
        <v>40</v>
      </c>
      <c r="AM153">
        <f t="shared" si="2"/>
        <v>40</v>
      </c>
      <c r="AN153" t="s">
        <v>188</v>
      </c>
    </row>
    <row r="154" spans="1:43" x14ac:dyDescent="0.2">
      <c r="A154" t="s">
        <v>3275</v>
      </c>
      <c r="B154" t="s">
        <v>3276</v>
      </c>
      <c r="C154">
        <v>1</v>
      </c>
      <c r="D154">
        <v>1</v>
      </c>
      <c r="E154" t="s">
        <v>2601</v>
      </c>
      <c r="F154" s="1">
        <v>43573</v>
      </c>
      <c r="G154" s="1" t="s">
        <v>4027</v>
      </c>
      <c r="H154" s="1"/>
      <c r="I154" s="2">
        <v>7.7083333333333337E-2</v>
      </c>
      <c r="J154" s="176">
        <v>1.2847222222222223E-3</v>
      </c>
      <c r="K154" s="6">
        <v>111</v>
      </c>
      <c r="L154" t="s">
        <v>3277</v>
      </c>
      <c r="M154" t="s">
        <v>173</v>
      </c>
      <c r="N154" t="s">
        <v>102</v>
      </c>
      <c r="O154" t="s">
        <v>115</v>
      </c>
      <c r="P154">
        <v>1</v>
      </c>
      <c r="Q154">
        <v>0</v>
      </c>
      <c r="R154">
        <v>0</v>
      </c>
      <c r="S154" t="s">
        <v>176</v>
      </c>
      <c r="T154" s="5" t="s">
        <v>24</v>
      </c>
      <c r="U154" s="5" t="s">
        <v>122</v>
      </c>
      <c r="V154" s="5" t="s">
        <v>115</v>
      </c>
      <c r="W154" s="5"/>
      <c r="X154" s="5"/>
      <c r="Y154" s="5"/>
      <c r="Z154" s="5" t="s">
        <v>115</v>
      </c>
      <c r="AA154" s="5" t="s">
        <v>115</v>
      </c>
      <c r="AB154" s="5" t="s">
        <v>115</v>
      </c>
      <c r="AC154" s="5" t="s">
        <v>115</v>
      </c>
      <c r="AD154" s="5" t="s">
        <v>115</v>
      </c>
      <c r="AE154" s="5" t="s">
        <v>115</v>
      </c>
      <c r="AF154" s="5" t="s">
        <v>115</v>
      </c>
      <c r="AG154" s="5" t="s">
        <v>115</v>
      </c>
      <c r="AH154">
        <v>0</v>
      </c>
      <c r="AI154">
        <v>0</v>
      </c>
      <c r="AJ154">
        <v>0</v>
      </c>
      <c r="AK154">
        <v>0</v>
      </c>
      <c r="AL154">
        <v>39</v>
      </c>
      <c r="AM154">
        <f t="shared" si="2"/>
        <v>39</v>
      </c>
      <c r="AN154" t="s">
        <v>188</v>
      </c>
    </row>
    <row r="155" spans="1:43" x14ac:dyDescent="0.2">
      <c r="A155" t="s">
        <v>2559</v>
      </c>
      <c r="B155" t="s">
        <v>2560</v>
      </c>
      <c r="C155">
        <v>6</v>
      </c>
      <c r="D155">
        <v>1</v>
      </c>
      <c r="E155" t="s">
        <v>324</v>
      </c>
      <c r="F155" s="1">
        <v>43550</v>
      </c>
      <c r="G155" s="1" t="s">
        <v>4026</v>
      </c>
      <c r="H155" s="1"/>
      <c r="I155" s="2">
        <v>3.2638888888888891E-2</v>
      </c>
      <c r="J155" s="176">
        <v>5.4398148148148144E-4</v>
      </c>
      <c r="K155" s="6">
        <v>47</v>
      </c>
      <c r="L155" s="5" t="s">
        <v>640</v>
      </c>
      <c r="M155" t="s">
        <v>325</v>
      </c>
      <c r="N155" t="s">
        <v>102</v>
      </c>
      <c r="O155" t="s">
        <v>115</v>
      </c>
      <c r="P155" t="s">
        <v>24</v>
      </c>
      <c r="Q155">
        <v>0</v>
      </c>
      <c r="R155">
        <v>0</v>
      </c>
      <c r="T155" t="s">
        <v>115</v>
      </c>
      <c r="U155" t="s">
        <v>115</v>
      </c>
      <c r="V155" t="s">
        <v>115</v>
      </c>
      <c r="Z155" t="s">
        <v>115</v>
      </c>
      <c r="AA155" t="s">
        <v>115</v>
      </c>
      <c r="AB155" t="s">
        <v>115</v>
      </c>
      <c r="AC155" t="s">
        <v>115</v>
      </c>
      <c r="AD155" t="s">
        <v>115</v>
      </c>
      <c r="AH155">
        <v>0</v>
      </c>
      <c r="AI155">
        <v>0</v>
      </c>
      <c r="AJ155">
        <v>0</v>
      </c>
      <c r="AK155">
        <v>0</v>
      </c>
      <c r="AL155">
        <v>39</v>
      </c>
      <c r="AM155">
        <f t="shared" si="2"/>
        <v>39</v>
      </c>
      <c r="AN155" t="s">
        <v>188</v>
      </c>
    </row>
    <row r="156" spans="1:43" x14ac:dyDescent="0.2">
      <c r="A156" t="s">
        <v>2723</v>
      </c>
      <c r="B156" t="s">
        <v>2724</v>
      </c>
      <c r="C156">
        <v>21</v>
      </c>
      <c r="D156">
        <v>1</v>
      </c>
      <c r="E156" t="s">
        <v>324</v>
      </c>
      <c r="F156" s="1">
        <v>43554</v>
      </c>
      <c r="G156" s="1" t="s">
        <v>4026</v>
      </c>
      <c r="H156" s="1"/>
      <c r="I156" s="2">
        <v>2.7083333333333334E-2</v>
      </c>
      <c r="J156" s="176">
        <v>4.5138888888888892E-4</v>
      </c>
      <c r="K156" s="6">
        <v>39</v>
      </c>
      <c r="M156" t="s">
        <v>325</v>
      </c>
      <c r="N156" t="s">
        <v>102</v>
      </c>
      <c r="O156" t="s">
        <v>115</v>
      </c>
      <c r="P156" t="s">
        <v>24</v>
      </c>
      <c r="Q156">
        <v>0</v>
      </c>
      <c r="R156">
        <v>0</v>
      </c>
      <c r="T156" s="5" t="s">
        <v>115</v>
      </c>
      <c r="U156" s="5" t="s">
        <v>115</v>
      </c>
      <c r="V156" s="5" t="s">
        <v>115</v>
      </c>
      <c r="W156" s="5"/>
      <c r="X156" s="5"/>
      <c r="Y156" s="5"/>
      <c r="Z156" s="5" t="s">
        <v>115</v>
      </c>
      <c r="AA156" s="5" t="s">
        <v>115</v>
      </c>
      <c r="AB156" s="5" t="s">
        <v>115</v>
      </c>
      <c r="AC156" s="5" t="s">
        <v>115</v>
      </c>
      <c r="AD156" s="5" t="s">
        <v>115</v>
      </c>
      <c r="AE156" s="5" t="s">
        <v>115</v>
      </c>
      <c r="AF156" s="5" t="s">
        <v>115</v>
      </c>
      <c r="AG156" s="5"/>
      <c r="AH156">
        <v>0</v>
      </c>
      <c r="AI156">
        <v>0</v>
      </c>
      <c r="AJ156">
        <v>0</v>
      </c>
      <c r="AK156">
        <v>0</v>
      </c>
      <c r="AL156">
        <v>39</v>
      </c>
      <c r="AM156">
        <f t="shared" si="2"/>
        <v>39</v>
      </c>
      <c r="AN156" t="s">
        <v>188</v>
      </c>
    </row>
    <row r="157" spans="1:43" x14ac:dyDescent="0.2">
      <c r="A157" t="s">
        <v>2351</v>
      </c>
      <c r="B157" t="s">
        <v>2352</v>
      </c>
      <c r="C157">
        <v>5</v>
      </c>
      <c r="D157">
        <v>1</v>
      </c>
      <c r="E157" t="s">
        <v>2343</v>
      </c>
      <c r="F157" s="1">
        <v>43544</v>
      </c>
      <c r="G157" s="1" t="s">
        <v>4026</v>
      </c>
      <c r="H157" s="1"/>
      <c r="I157" s="2">
        <v>2.6388888888888889E-2</v>
      </c>
      <c r="J157" s="176">
        <v>4.3981481481481481E-4</v>
      </c>
      <c r="K157" s="6">
        <v>38</v>
      </c>
      <c r="L157" t="s">
        <v>101</v>
      </c>
      <c r="M157" t="s">
        <v>2927</v>
      </c>
      <c r="N157" t="s">
        <v>102</v>
      </c>
      <c r="O157" t="s">
        <v>115</v>
      </c>
      <c r="P157">
        <v>5</v>
      </c>
      <c r="Q157">
        <v>0</v>
      </c>
      <c r="R157">
        <v>0</v>
      </c>
      <c r="S157" t="s">
        <v>176</v>
      </c>
      <c r="T157" t="s">
        <v>24</v>
      </c>
      <c r="U157" t="s">
        <v>122</v>
      </c>
      <c r="V157" t="s">
        <v>115</v>
      </c>
      <c r="Z157" t="s">
        <v>115</v>
      </c>
      <c r="AA157" t="s">
        <v>115</v>
      </c>
      <c r="AB157" t="s">
        <v>115</v>
      </c>
      <c r="AC157" t="s">
        <v>115</v>
      </c>
      <c r="AD157" t="s">
        <v>115</v>
      </c>
      <c r="AH157">
        <v>0</v>
      </c>
      <c r="AI157">
        <v>0</v>
      </c>
      <c r="AJ157">
        <v>0</v>
      </c>
      <c r="AK157">
        <v>0</v>
      </c>
      <c r="AL157">
        <v>38</v>
      </c>
      <c r="AM157">
        <f t="shared" si="2"/>
        <v>38</v>
      </c>
      <c r="AN157" t="s">
        <v>188</v>
      </c>
      <c r="AP157">
        <v>0</v>
      </c>
      <c r="AQ157">
        <v>0</v>
      </c>
    </row>
    <row r="158" spans="1:43" x14ac:dyDescent="0.2">
      <c r="A158" t="s">
        <v>2725</v>
      </c>
      <c r="B158" t="s">
        <v>2726</v>
      </c>
      <c r="C158">
        <v>22</v>
      </c>
      <c r="D158">
        <v>1</v>
      </c>
      <c r="E158" t="s">
        <v>324</v>
      </c>
      <c r="F158" s="1">
        <v>43554</v>
      </c>
      <c r="G158" s="1" t="s">
        <v>4026</v>
      </c>
      <c r="H158" s="1"/>
      <c r="I158" s="2">
        <v>2.7777777777777776E-2</v>
      </c>
      <c r="J158" s="176">
        <v>4.6296296296296293E-4</v>
      </c>
      <c r="K158" s="6">
        <v>40</v>
      </c>
      <c r="M158" t="s">
        <v>325</v>
      </c>
      <c r="N158" t="s">
        <v>102</v>
      </c>
      <c r="O158" t="s">
        <v>115</v>
      </c>
      <c r="P158">
        <v>2</v>
      </c>
      <c r="Q158">
        <v>0</v>
      </c>
      <c r="R158">
        <v>0</v>
      </c>
      <c r="S158" t="s">
        <v>176</v>
      </c>
      <c r="T158" s="5" t="s">
        <v>2727</v>
      </c>
      <c r="U158" s="5" t="s">
        <v>122</v>
      </c>
      <c r="V158" s="5" t="s">
        <v>115</v>
      </c>
      <c r="W158" s="5"/>
      <c r="X158" s="5"/>
      <c r="Y158" s="5"/>
      <c r="Z158" s="5" t="s">
        <v>115</v>
      </c>
      <c r="AA158" s="5" t="s">
        <v>115</v>
      </c>
      <c r="AB158" s="5" t="s">
        <v>115</v>
      </c>
      <c r="AC158" s="5" t="s">
        <v>115</v>
      </c>
      <c r="AD158" s="5" t="s">
        <v>115</v>
      </c>
      <c r="AE158" s="5" t="s">
        <v>115</v>
      </c>
      <c r="AF158" s="5" t="s">
        <v>115</v>
      </c>
      <c r="AG158" s="5"/>
      <c r="AH158">
        <v>0</v>
      </c>
      <c r="AI158">
        <v>0</v>
      </c>
      <c r="AJ158">
        <v>0</v>
      </c>
      <c r="AK158">
        <v>0</v>
      </c>
      <c r="AL158">
        <v>38</v>
      </c>
      <c r="AM158">
        <f t="shared" si="2"/>
        <v>38</v>
      </c>
      <c r="AN158" t="s">
        <v>188</v>
      </c>
    </row>
    <row r="159" spans="1:43" x14ac:dyDescent="0.2">
      <c r="A159" t="s">
        <v>2844</v>
      </c>
      <c r="B159" t="s">
        <v>2845</v>
      </c>
      <c r="C159">
        <v>2</v>
      </c>
      <c r="D159">
        <v>1</v>
      </c>
      <c r="E159" t="s">
        <v>140</v>
      </c>
      <c r="F159" s="1">
        <v>43557</v>
      </c>
      <c r="G159" s="1" t="s">
        <v>4027</v>
      </c>
      <c r="H159" s="1"/>
      <c r="I159" s="2">
        <v>2.7777777777777776E-2</v>
      </c>
      <c r="J159" s="176">
        <v>4.6296296296296293E-4</v>
      </c>
      <c r="K159" s="6">
        <v>40</v>
      </c>
      <c r="M159" t="s">
        <v>149</v>
      </c>
      <c r="N159" t="s">
        <v>102</v>
      </c>
      <c r="O159" t="s">
        <v>115</v>
      </c>
      <c r="P159">
        <v>1</v>
      </c>
      <c r="Q159">
        <v>0</v>
      </c>
      <c r="R159">
        <v>0</v>
      </c>
      <c r="S159" t="s">
        <v>176</v>
      </c>
      <c r="T159" s="5" t="s">
        <v>24</v>
      </c>
      <c r="U159" s="5" t="s">
        <v>122</v>
      </c>
      <c r="V159" s="5" t="s">
        <v>115</v>
      </c>
      <c r="W159" s="5"/>
      <c r="X159" s="5"/>
      <c r="Y159" s="5"/>
      <c r="Z159" s="5" t="s">
        <v>115</v>
      </c>
      <c r="AA159" s="5" t="s">
        <v>115</v>
      </c>
      <c r="AB159" s="5" t="s">
        <v>115</v>
      </c>
      <c r="AC159" s="5" t="s">
        <v>115</v>
      </c>
      <c r="AD159" s="5" t="s">
        <v>115</v>
      </c>
      <c r="AE159" s="5" t="s">
        <v>115</v>
      </c>
      <c r="AF159" s="5" t="s">
        <v>115</v>
      </c>
      <c r="AG159" s="5"/>
      <c r="AH159">
        <v>0</v>
      </c>
      <c r="AI159">
        <v>0</v>
      </c>
      <c r="AJ159">
        <v>0</v>
      </c>
      <c r="AK159">
        <v>0</v>
      </c>
      <c r="AL159">
        <v>38</v>
      </c>
      <c r="AM159">
        <f t="shared" si="2"/>
        <v>38</v>
      </c>
      <c r="AN159" t="s">
        <v>188</v>
      </c>
    </row>
    <row r="160" spans="1:43" x14ac:dyDescent="0.2">
      <c r="A160" t="s">
        <v>2872</v>
      </c>
      <c r="B160" t="s">
        <v>2873</v>
      </c>
      <c r="C160">
        <v>8</v>
      </c>
      <c r="D160">
        <v>1</v>
      </c>
      <c r="E160" t="s">
        <v>324</v>
      </c>
      <c r="F160" s="1">
        <v>43558</v>
      </c>
      <c r="G160" s="1" t="s">
        <v>4027</v>
      </c>
      <c r="H160" s="1"/>
      <c r="I160" s="2">
        <v>4.4444444444444446E-2</v>
      </c>
      <c r="J160" s="176">
        <v>7.407407407407407E-4</v>
      </c>
      <c r="K160" s="6">
        <v>64</v>
      </c>
      <c r="M160" t="s">
        <v>325</v>
      </c>
      <c r="N160" t="s">
        <v>102</v>
      </c>
      <c r="O160" t="s">
        <v>23</v>
      </c>
      <c r="P160">
        <v>2</v>
      </c>
      <c r="Q160">
        <v>1</v>
      </c>
      <c r="R160">
        <v>0</v>
      </c>
      <c r="S160" t="s">
        <v>176</v>
      </c>
      <c r="T160" s="5" t="s">
        <v>24</v>
      </c>
      <c r="U160" s="5" t="s">
        <v>487</v>
      </c>
      <c r="V160" s="5" t="s">
        <v>115</v>
      </c>
      <c r="W160" s="5"/>
      <c r="X160" s="5"/>
      <c r="Y160" s="5"/>
      <c r="Z160" s="5" t="s">
        <v>115</v>
      </c>
      <c r="AA160" s="5" t="s">
        <v>115</v>
      </c>
      <c r="AB160" s="5" t="s">
        <v>115</v>
      </c>
      <c r="AC160" s="5" t="s">
        <v>115</v>
      </c>
      <c r="AD160" s="5" t="s">
        <v>115</v>
      </c>
      <c r="AE160">
        <v>63.723619999999997</v>
      </c>
      <c r="AF160">
        <v>148.88756000000001</v>
      </c>
      <c r="AH160">
        <v>38</v>
      </c>
      <c r="AI160">
        <v>0</v>
      </c>
      <c r="AJ160">
        <v>0</v>
      </c>
      <c r="AK160">
        <v>38</v>
      </c>
      <c r="AL160">
        <v>0</v>
      </c>
      <c r="AM160">
        <f t="shared" si="2"/>
        <v>38</v>
      </c>
      <c r="AN160" t="s">
        <v>2374</v>
      </c>
      <c r="AP160">
        <v>2</v>
      </c>
      <c r="AQ160">
        <v>0</v>
      </c>
    </row>
    <row r="161" spans="1:43" x14ac:dyDescent="0.2">
      <c r="A161" t="s">
        <v>2861</v>
      </c>
      <c r="B161" t="s">
        <v>2862</v>
      </c>
      <c r="C161">
        <v>3</v>
      </c>
      <c r="D161">
        <v>1</v>
      </c>
      <c r="E161" t="s">
        <v>324</v>
      </c>
      <c r="F161" s="1">
        <v>43558</v>
      </c>
      <c r="G161" s="1" t="s">
        <v>4027</v>
      </c>
      <c r="H161" s="1"/>
      <c r="I161" s="2">
        <v>2.6388888888888889E-2</v>
      </c>
      <c r="J161" s="176">
        <v>4.3981481481481481E-4</v>
      </c>
      <c r="K161" s="6">
        <v>38</v>
      </c>
      <c r="M161" t="s">
        <v>325</v>
      </c>
      <c r="N161" t="s">
        <v>102</v>
      </c>
      <c r="O161" t="s">
        <v>23</v>
      </c>
      <c r="P161">
        <v>0</v>
      </c>
      <c r="Q161">
        <v>0</v>
      </c>
      <c r="R161">
        <v>0</v>
      </c>
      <c r="T161" s="5" t="s">
        <v>115</v>
      </c>
      <c r="U161" s="5" t="s">
        <v>115</v>
      </c>
      <c r="V161" s="5" t="s">
        <v>115</v>
      </c>
      <c r="W161" s="5"/>
      <c r="X161" s="5"/>
      <c r="Y161" s="5"/>
      <c r="Z161" s="5" t="s">
        <v>115</v>
      </c>
      <c r="AA161" s="5" t="s">
        <v>115</v>
      </c>
      <c r="AB161" s="5" t="s">
        <v>115</v>
      </c>
      <c r="AC161" s="5" t="s">
        <v>115</v>
      </c>
      <c r="AD161" s="5" t="s">
        <v>115</v>
      </c>
      <c r="AE161" s="5" t="s">
        <v>115</v>
      </c>
      <c r="AF161" s="5" t="s">
        <v>115</v>
      </c>
      <c r="AG161" s="5"/>
      <c r="AH161">
        <v>38</v>
      </c>
      <c r="AI161">
        <v>0</v>
      </c>
      <c r="AJ161">
        <v>17</v>
      </c>
      <c r="AK161">
        <v>21</v>
      </c>
      <c r="AL161">
        <v>0</v>
      </c>
      <c r="AM161">
        <f t="shared" si="2"/>
        <v>38</v>
      </c>
      <c r="AN161" t="s">
        <v>188</v>
      </c>
    </row>
    <row r="162" spans="1:43" x14ac:dyDescent="0.2">
      <c r="A162" t="s">
        <v>3081</v>
      </c>
      <c r="B162" t="s">
        <v>3082</v>
      </c>
      <c r="C162">
        <v>6</v>
      </c>
      <c r="D162">
        <v>2</v>
      </c>
      <c r="E162" t="s">
        <v>2601</v>
      </c>
      <c r="F162" s="1">
        <v>43570</v>
      </c>
      <c r="G162" s="1" t="s">
        <v>4027</v>
      </c>
      <c r="H162" s="1"/>
      <c r="I162" s="2">
        <v>2.6388888888888889E-2</v>
      </c>
      <c r="J162" s="176">
        <v>4.3981481481481481E-4</v>
      </c>
      <c r="K162" s="6">
        <v>38</v>
      </c>
      <c r="L162" t="s">
        <v>101</v>
      </c>
      <c r="M162" t="s">
        <v>173</v>
      </c>
      <c r="N162" t="s">
        <v>102</v>
      </c>
      <c r="O162" t="s">
        <v>115</v>
      </c>
      <c r="P162">
        <v>1</v>
      </c>
      <c r="Q162">
        <v>0</v>
      </c>
      <c r="R162">
        <v>0</v>
      </c>
      <c r="S162" t="s">
        <v>176</v>
      </c>
      <c r="T162" s="5" t="s">
        <v>24</v>
      </c>
      <c r="U162" s="5" t="s">
        <v>122</v>
      </c>
      <c r="V162" s="5" t="s">
        <v>115</v>
      </c>
      <c r="W162" s="5"/>
      <c r="X162" s="5"/>
      <c r="Y162" s="5"/>
      <c r="Z162" s="5" t="s">
        <v>115</v>
      </c>
      <c r="AA162" s="5" t="s">
        <v>115</v>
      </c>
      <c r="AB162" s="5" t="s">
        <v>115</v>
      </c>
      <c r="AC162" s="5" t="s">
        <v>115</v>
      </c>
      <c r="AD162" s="5" t="s">
        <v>115</v>
      </c>
      <c r="AE162" s="5" t="s">
        <v>115</v>
      </c>
      <c r="AF162" s="5" t="s">
        <v>115</v>
      </c>
      <c r="AG162" s="5"/>
      <c r="AH162">
        <v>0</v>
      </c>
      <c r="AI162">
        <v>0</v>
      </c>
      <c r="AJ162">
        <v>0</v>
      </c>
      <c r="AK162">
        <v>0</v>
      </c>
      <c r="AL162">
        <v>38</v>
      </c>
      <c r="AM162">
        <f t="shared" si="2"/>
        <v>38</v>
      </c>
      <c r="AN162" t="s">
        <v>188</v>
      </c>
    </row>
    <row r="163" spans="1:43" x14ac:dyDescent="0.2">
      <c r="A163" t="s">
        <v>3141</v>
      </c>
      <c r="B163" t="s">
        <v>3142</v>
      </c>
      <c r="C163">
        <v>2</v>
      </c>
      <c r="D163">
        <v>1</v>
      </c>
      <c r="E163" t="s">
        <v>2462</v>
      </c>
      <c r="F163" s="1">
        <v>43571</v>
      </c>
      <c r="G163" s="1" t="s">
        <v>4027</v>
      </c>
      <c r="H163" s="1"/>
      <c r="I163" s="2">
        <v>2.6388888888888889E-2</v>
      </c>
      <c r="J163" s="176">
        <v>4.3981481481481481E-4</v>
      </c>
      <c r="K163" s="6">
        <v>38</v>
      </c>
      <c r="L163" t="s">
        <v>1278</v>
      </c>
      <c r="M163" t="s">
        <v>64</v>
      </c>
      <c r="N163" t="s">
        <v>102</v>
      </c>
      <c r="O163" t="s">
        <v>23</v>
      </c>
      <c r="P163">
        <v>0</v>
      </c>
      <c r="Q163">
        <v>0</v>
      </c>
      <c r="R163">
        <v>0</v>
      </c>
      <c r="T163" s="5" t="s">
        <v>115</v>
      </c>
      <c r="U163" s="5" t="s">
        <v>115</v>
      </c>
      <c r="V163" s="5" t="s">
        <v>115</v>
      </c>
      <c r="W163" s="5"/>
      <c r="X163" s="5"/>
      <c r="Y163" s="5"/>
      <c r="Z163" s="5" t="s">
        <v>115</v>
      </c>
      <c r="AA163" s="5" t="s">
        <v>115</v>
      </c>
      <c r="AB163" s="5" t="s">
        <v>115</v>
      </c>
      <c r="AC163" s="5" t="s">
        <v>115</v>
      </c>
      <c r="AD163" s="5" t="s">
        <v>115</v>
      </c>
      <c r="AE163" s="5" t="s">
        <v>115</v>
      </c>
      <c r="AF163" s="5" t="s">
        <v>115</v>
      </c>
      <c r="AG163" s="5"/>
      <c r="AH163">
        <v>26</v>
      </c>
      <c r="AI163">
        <v>12</v>
      </c>
      <c r="AJ163">
        <v>26</v>
      </c>
      <c r="AK163">
        <v>12</v>
      </c>
      <c r="AL163">
        <v>0</v>
      </c>
      <c r="AM163">
        <f t="shared" si="2"/>
        <v>38</v>
      </c>
      <c r="AN163" t="s">
        <v>188</v>
      </c>
    </row>
    <row r="164" spans="1:43" x14ac:dyDescent="0.2">
      <c r="A164" t="s">
        <v>3586</v>
      </c>
      <c r="B164" t="s">
        <v>3587</v>
      </c>
      <c r="C164">
        <v>36</v>
      </c>
      <c r="D164">
        <v>1</v>
      </c>
      <c r="E164" t="s">
        <v>3171</v>
      </c>
      <c r="F164" s="1">
        <v>43580</v>
      </c>
      <c r="G164" s="1" t="s">
        <v>4027</v>
      </c>
      <c r="H164" s="1"/>
      <c r="I164" s="2">
        <v>2.7083333333333334E-2</v>
      </c>
      <c r="J164" s="176">
        <v>4.5138888888888892E-4</v>
      </c>
      <c r="K164" s="6">
        <v>39</v>
      </c>
      <c r="L164" t="s">
        <v>101</v>
      </c>
      <c r="M164" t="s">
        <v>149</v>
      </c>
      <c r="N164" t="s">
        <v>102</v>
      </c>
      <c r="O164" t="s">
        <v>1196</v>
      </c>
      <c r="P164">
        <v>1</v>
      </c>
      <c r="Q164" t="s">
        <v>24</v>
      </c>
      <c r="R164">
        <v>0</v>
      </c>
      <c r="S164" t="s">
        <v>176</v>
      </c>
      <c r="T164" s="5" t="s">
        <v>24</v>
      </c>
      <c r="U164" s="5" t="s">
        <v>3590</v>
      </c>
      <c r="V164" s="5" t="s">
        <v>115</v>
      </c>
      <c r="W164" s="5"/>
      <c r="X164" s="5"/>
      <c r="Y164" s="5"/>
      <c r="Z164" s="5" t="s">
        <v>115</v>
      </c>
      <c r="AA164" s="5" t="s">
        <v>115</v>
      </c>
      <c r="AB164" s="5" t="s">
        <v>115</v>
      </c>
      <c r="AC164" s="5" t="s">
        <v>115</v>
      </c>
      <c r="AD164" s="5" t="s">
        <v>115</v>
      </c>
      <c r="AE164" s="5" t="s">
        <v>115</v>
      </c>
      <c r="AF164" s="5" t="s">
        <v>115</v>
      </c>
      <c r="AG164" s="5" t="s">
        <v>115</v>
      </c>
      <c r="AH164">
        <v>3</v>
      </c>
      <c r="AI164">
        <v>0</v>
      </c>
      <c r="AJ164">
        <v>0</v>
      </c>
      <c r="AK164">
        <v>3</v>
      </c>
      <c r="AL164">
        <v>35</v>
      </c>
      <c r="AM164">
        <f t="shared" si="2"/>
        <v>38</v>
      </c>
      <c r="AN164" t="s">
        <v>123</v>
      </c>
      <c r="AP164">
        <v>0</v>
      </c>
      <c r="AQ164">
        <v>1</v>
      </c>
    </row>
    <row r="165" spans="1:43" x14ac:dyDescent="0.2">
      <c r="A165" t="s">
        <v>3614</v>
      </c>
      <c r="B165" t="s">
        <v>3615</v>
      </c>
      <c r="C165">
        <v>6</v>
      </c>
      <c r="D165">
        <v>3</v>
      </c>
      <c r="E165" t="s">
        <v>791</v>
      </c>
      <c r="F165" s="1">
        <v>43581</v>
      </c>
      <c r="G165" s="1" t="s">
        <v>4027</v>
      </c>
      <c r="H165" s="1"/>
      <c r="I165" s="2">
        <v>8.819444444444445E-2</v>
      </c>
      <c r="J165" s="176">
        <v>1.4699074074074074E-3</v>
      </c>
      <c r="K165" s="6">
        <v>127</v>
      </c>
      <c r="M165" t="s">
        <v>924</v>
      </c>
      <c r="N165" t="s">
        <v>102</v>
      </c>
      <c r="O165" t="s">
        <v>115</v>
      </c>
      <c r="P165">
        <v>1</v>
      </c>
      <c r="Q165">
        <v>0</v>
      </c>
      <c r="R165">
        <v>0</v>
      </c>
      <c r="S165" t="s">
        <v>598</v>
      </c>
      <c r="T165" s="5" t="s">
        <v>2437</v>
      </c>
      <c r="U165" s="5" t="s">
        <v>122</v>
      </c>
      <c r="V165" s="5" t="s">
        <v>115</v>
      </c>
      <c r="W165" s="5"/>
      <c r="X165" s="5"/>
      <c r="Y165" s="5"/>
      <c r="Z165" s="5" t="s">
        <v>115</v>
      </c>
      <c r="AA165" s="5" t="s">
        <v>115</v>
      </c>
      <c r="AB165" s="5" t="s">
        <v>115</v>
      </c>
      <c r="AC165" s="5" t="s">
        <v>115</v>
      </c>
      <c r="AD165" s="5" t="s">
        <v>115</v>
      </c>
      <c r="AE165" s="5" t="s">
        <v>115</v>
      </c>
      <c r="AF165" s="5" t="s">
        <v>115</v>
      </c>
      <c r="AG165" s="5" t="s">
        <v>115</v>
      </c>
      <c r="AH165">
        <v>0</v>
      </c>
      <c r="AI165">
        <v>0</v>
      </c>
      <c r="AJ165">
        <v>0</v>
      </c>
      <c r="AK165">
        <v>0</v>
      </c>
      <c r="AL165">
        <v>38</v>
      </c>
      <c r="AM165">
        <f t="shared" si="2"/>
        <v>38</v>
      </c>
      <c r="AN165" t="s">
        <v>188</v>
      </c>
      <c r="AO165" t="s">
        <v>3616</v>
      </c>
    </row>
    <row r="166" spans="1:43" x14ac:dyDescent="0.2">
      <c r="A166" t="s">
        <v>2645</v>
      </c>
      <c r="B166" t="s">
        <v>2646</v>
      </c>
      <c r="C166">
        <v>10</v>
      </c>
      <c r="D166">
        <v>1</v>
      </c>
      <c r="E166" t="s">
        <v>2487</v>
      </c>
      <c r="F166" s="1">
        <v>43551</v>
      </c>
      <c r="G166" s="1" t="s">
        <v>4026</v>
      </c>
      <c r="H166" s="1"/>
      <c r="I166" s="2">
        <v>2.6388888888888889E-2</v>
      </c>
      <c r="J166" s="176">
        <v>4.3981481481481481E-4</v>
      </c>
      <c r="K166" s="6">
        <v>38</v>
      </c>
      <c r="L166" s="5" t="s">
        <v>398</v>
      </c>
      <c r="M166" t="s">
        <v>2488</v>
      </c>
      <c r="N166" t="s">
        <v>102</v>
      </c>
      <c r="O166" t="s">
        <v>115</v>
      </c>
      <c r="P166" t="s">
        <v>24</v>
      </c>
      <c r="Q166">
        <v>0</v>
      </c>
      <c r="R166">
        <v>0</v>
      </c>
      <c r="T166" t="s">
        <v>115</v>
      </c>
      <c r="U166" t="s">
        <v>115</v>
      </c>
      <c r="V166" t="s">
        <v>115</v>
      </c>
      <c r="Z166" t="s">
        <v>115</v>
      </c>
      <c r="AA166" t="s">
        <v>115</v>
      </c>
      <c r="AB166" t="s">
        <v>115</v>
      </c>
      <c r="AC166" t="s">
        <v>115</v>
      </c>
      <c r="AD166" t="s">
        <v>115</v>
      </c>
      <c r="AE166" t="s">
        <v>115</v>
      </c>
      <c r="AF166" t="s">
        <v>115</v>
      </c>
      <c r="AH166">
        <v>0</v>
      </c>
      <c r="AI166">
        <v>0</v>
      </c>
      <c r="AJ166">
        <v>0</v>
      </c>
      <c r="AK166">
        <v>0</v>
      </c>
      <c r="AL166">
        <v>38</v>
      </c>
      <c r="AM166">
        <f t="shared" si="2"/>
        <v>38</v>
      </c>
      <c r="AN166" t="s">
        <v>188</v>
      </c>
    </row>
    <row r="167" spans="1:43" x14ac:dyDescent="0.2">
      <c r="A167" t="s">
        <v>2924</v>
      </c>
      <c r="B167" t="s">
        <v>2925</v>
      </c>
      <c r="C167">
        <v>6</v>
      </c>
      <c r="D167">
        <v>1</v>
      </c>
      <c r="E167" t="s">
        <v>2462</v>
      </c>
      <c r="F167" s="1">
        <v>43559</v>
      </c>
      <c r="G167" s="1" t="s">
        <v>4027</v>
      </c>
      <c r="H167" s="1"/>
      <c r="I167" s="2">
        <v>2.9861111111111113E-2</v>
      </c>
      <c r="J167" s="176">
        <v>4.9768518518518521E-4</v>
      </c>
      <c r="K167" s="6">
        <v>43</v>
      </c>
      <c r="M167" t="s">
        <v>64</v>
      </c>
      <c r="N167" t="s">
        <v>102</v>
      </c>
      <c r="O167" t="s">
        <v>115</v>
      </c>
      <c r="P167" t="s">
        <v>24</v>
      </c>
      <c r="Q167">
        <v>0</v>
      </c>
      <c r="R167">
        <v>0</v>
      </c>
      <c r="T167" s="5" t="s">
        <v>115</v>
      </c>
      <c r="U167" s="5" t="s">
        <v>115</v>
      </c>
      <c r="V167" s="5" t="s">
        <v>115</v>
      </c>
      <c r="W167" s="5"/>
      <c r="X167" s="5"/>
      <c r="Y167" s="5"/>
      <c r="Z167" s="5" t="s">
        <v>115</v>
      </c>
      <c r="AA167" s="5" t="s">
        <v>115</v>
      </c>
      <c r="AB167" s="5" t="s">
        <v>115</v>
      </c>
      <c r="AC167" s="5" t="s">
        <v>115</v>
      </c>
      <c r="AD167" s="5" t="s">
        <v>115</v>
      </c>
      <c r="AE167" s="5" t="s">
        <v>115</v>
      </c>
      <c r="AF167" s="5" t="s">
        <v>115</v>
      </c>
      <c r="AG167" s="5"/>
      <c r="AH167">
        <v>0</v>
      </c>
      <c r="AI167">
        <v>0</v>
      </c>
      <c r="AJ167">
        <v>0</v>
      </c>
      <c r="AK167">
        <v>0</v>
      </c>
      <c r="AL167">
        <v>38</v>
      </c>
      <c r="AM167">
        <f t="shared" si="2"/>
        <v>38</v>
      </c>
      <c r="AN167" t="s">
        <v>188</v>
      </c>
    </row>
    <row r="168" spans="1:43" x14ac:dyDescent="0.2">
      <c r="A168" t="s">
        <v>3185</v>
      </c>
      <c r="B168" t="s">
        <v>3186</v>
      </c>
      <c r="C168">
        <v>1</v>
      </c>
      <c r="D168">
        <v>1</v>
      </c>
      <c r="E168" t="s">
        <v>2487</v>
      </c>
      <c r="F168" s="1">
        <v>43572</v>
      </c>
      <c r="G168" s="1" t="s">
        <v>4027</v>
      </c>
      <c r="H168" s="1"/>
      <c r="I168" s="2">
        <v>3.3333333333333333E-2</v>
      </c>
      <c r="J168" s="176">
        <v>5.5555555555555556E-4</v>
      </c>
      <c r="K168" s="6">
        <v>48</v>
      </c>
      <c r="L168" t="s">
        <v>3187</v>
      </c>
      <c r="M168" t="s">
        <v>2488</v>
      </c>
      <c r="N168" t="s">
        <v>102</v>
      </c>
      <c r="O168" t="s">
        <v>23</v>
      </c>
      <c r="P168" t="s">
        <v>24</v>
      </c>
      <c r="Q168" t="s">
        <v>24</v>
      </c>
      <c r="R168">
        <v>0</v>
      </c>
      <c r="T168" s="5" t="s">
        <v>115</v>
      </c>
      <c r="U168" s="5" t="s">
        <v>115</v>
      </c>
      <c r="V168" s="5" t="s">
        <v>115</v>
      </c>
      <c r="W168" s="5"/>
      <c r="X168" s="5"/>
      <c r="Y168" s="5"/>
      <c r="Z168" s="5" t="s">
        <v>115</v>
      </c>
      <c r="AA168" s="5" t="s">
        <v>115</v>
      </c>
      <c r="AB168" s="5" t="s">
        <v>115</v>
      </c>
      <c r="AC168" s="5" t="s">
        <v>115</v>
      </c>
      <c r="AD168" s="5" t="s">
        <v>115</v>
      </c>
      <c r="AE168" s="5" t="s">
        <v>115</v>
      </c>
      <c r="AF168" s="5" t="s">
        <v>115</v>
      </c>
      <c r="AG168" s="5"/>
      <c r="AH168">
        <v>14</v>
      </c>
      <c r="AI168">
        <v>24</v>
      </c>
      <c r="AJ168">
        <v>14</v>
      </c>
      <c r="AK168">
        <v>24</v>
      </c>
      <c r="AL168">
        <v>0</v>
      </c>
      <c r="AM168">
        <f t="shared" si="2"/>
        <v>38</v>
      </c>
      <c r="AN168" t="s">
        <v>165</v>
      </c>
      <c r="AP168">
        <v>8</v>
      </c>
      <c r="AQ168">
        <v>0</v>
      </c>
    </row>
    <row r="169" spans="1:43" x14ac:dyDescent="0.2">
      <c r="A169" t="s">
        <v>3427</v>
      </c>
      <c r="B169" t="s">
        <v>3428</v>
      </c>
      <c r="C169">
        <v>11</v>
      </c>
      <c r="D169">
        <v>1</v>
      </c>
      <c r="E169" t="s">
        <v>3404</v>
      </c>
      <c r="F169" s="1">
        <v>43577</v>
      </c>
      <c r="G169" s="1" t="s">
        <v>4027</v>
      </c>
      <c r="H169" s="1"/>
      <c r="I169" s="2">
        <v>2.6388888888888889E-2</v>
      </c>
      <c r="J169" s="176">
        <v>4.3981481481481481E-4</v>
      </c>
      <c r="K169" s="6">
        <v>38</v>
      </c>
      <c r="L169" t="s">
        <v>101</v>
      </c>
      <c r="M169" t="s">
        <v>3405</v>
      </c>
      <c r="N169" t="s">
        <v>102</v>
      </c>
      <c r="O169" t="s">
        <v>115</v>
      </c>
      <c r="P169" t="s">
        <v>24</v>
      </c>
      <c r="Q169">
        <v>0</v>
      </c>
      <c r="R169">
        <v>0</v>
      </c>
      <c r="T169" s="5" t="s">
        <v>115</v>
      </c>
      <c r="U169" s="5" t="s">
        <v>115</v>
      </c>
      <c r="V169" s="5" t="s">
        <v>115</v>
      </c>
      <c r="W169" s="5"/>
      <c r="X169" s="5"/>
      <c r="Y169" s="5"/>
      <c r="Z169" s="5" t="s">
        <v>115</v>
      </c>
      <c r="AA169" s="5" t="s">
        <v>115</v>
      </c>
      <c r="AB169" s="5" t="s">
        <v>115</v>
      </c>
      <c r="AC169" s="5" t="s">
        <v>115</v>
      </c>
      <c r="AD169" s="5" t="s">
        <v>115</v>
      </c>
      <c r="AE169" s="5" t="s">
        <v>115</v>
      </c>
      <c r="AF169" s="5" t="s">
        <v>115</v>
      </c>
      <c r="AG169" s="5" t="s">
        <v>115</v>
      </c>
      <c r="AH169">
        <v>0</v>
      </c>
      <c r="AI169">
        <v>0</v>
      </c>
      <c r="AJ169">
        <v>0</v>
      </c>
      <c r="AK169">
        <v>0</v>
      </c>
      <c r="AL169">
        <v>38</v>
      </c>
      <c r="AM169">
        <f t="shared" si="2"/>
        <v>38</v>
      </c>
      <c r="AN169" t="s">
        <v>188</v>
      </c>
    </row>
    <row r="170" spans="1:43" x14ac:dyDescent="0.2">
      <c r="A170" t="s">
        <v>3874</v>
      </c>
      <c r="B170" t="s">
        <v>3875</v>
      </c>
      <c r="C170">
        <v>6</v>
      </c>
      <c r="D170">
        <v>1</v>
      </c>
      <c r="E170" t="s">
        <v>2601</v>
      </c>
      <c r="F170" s="1">
        <v>43590</v>
      </c>
      <c r="G170" s="1" t="s">
        <v>4028</v>
      </c>
      <c r="H170" s="1"/>
      <c r="I170" s="2">
        <v>2.6388888888888889E-2</v>
      </c>
      <c r="J170" s="176">
        <v>4.3981481481481481E-4</v>
      </c>
      <c r="K170" s="6">
        <v>38</v>
      </c>
      <c r="L170" t="s">
        <v>1278</v>
      </c>
      <c r="M170" t="s">
        <v>173</v>
      </c>
      <c r="N170" t="s">
        <v>102</v>
      </c>
      <c r="O170" t="s">
        <v>115</v>
      </c>
      <c r="P170" t="s">
        <v>24</v>
      </c>
      <c r="Q170">
        <v>0</v>
      </c>
      <c r="R170">
        <v>0</v>
      </c>
      <c r="T170" s="5" t="s">
        <v>115</v>
      </c>
      <c r="U170" s="5" t="s">
        <v>115</v>
      </c>
      <c r="V170" s="5" t="s">
        <v>115</v>
      </c>
      <c r="W170" s="5"/>
      <c r="X170" s="5"/>
      <c r="Y170" s="5"/>
      <c r="Z170" s="5" t="s">
        <v>115</v>
      </c>
      <c r="AA170" s="5" t="s">
        <v>115</v>
      </c>
      <c r="AB170" s="5" t="s">
        <v>115</v>
      </c>
      <c r="AC170" s="5" t="s">
        <v>115</v>
      </c>
      <c r="AD170" s="5" t="s">
        <v>115</v>
      </c>
      <c r="AE170" s="5" t="s">
        <v>115</v>
      </c>
      <c r="AF170" s="5" t="s">
        <v>115</v>
      </c>
      <c r="AG170" s="5" t="s">
        <v>115</v>
      </c>
      <c r="AH170">
        <v>0</v>
      </c>
      <c r="AI170">
        <v>0</v>
      </c>
      <c r="AJ170">
        <v>0</v>
      </c>
      <c r="AK170">
        <v>0</v>
      </c>
      <c r="AL170">
        <v>38</v>
      </c>
      <c r="AM170">
        <f t="shared" si="2"/>
        <v>38</v>
      </c>
      <c r="AN170" t="s">
        <v>188</v>
      </c>
    </row>
    <row r="171" spans="1:43" x14ac:dyDescent="0.2">
      <c r="A171" t="s">
        <v>2572</v>
      </c>
      <c r="B171" t="s">
        <v>2573</v>
      </c>
      <c r="C171">
        <v>12</v>
      </c>
      <c r="D171">
        <v>1</v>
      </c>
      <c r="E171" t="s">
        <v>324</v>
      </c>
      <c r="F171" s="1">
        <v>43550</v>
      </c>
      <c r="G171" s="1" t="s">
        <v>4026</v>
      </c>
      <c r="H171" s="1"/>
      <c r="I171" s="2">
        <v>3.4027777777777775E-2</v>
      </c>
      <c r="J171" s="176">
        <v>5.6712962962962956E-4</v>
      </c>
      <c r="K171" s="6">
        <v>49</v>
      </c>
      <c r="L171" s="5" t="s">
        <v>640</v>
      </c>
      <c r="M171" t="s">
        <v>325</v>
      </c>
      <c r="N171" t="s">
        <v>102</v>
      </c>
      <c r="O171" t="s">
        <v>115</v>
      </c>
      <c r="P171">
        <v>0</v>
      </c>
      <c r="Q171">
        <v>0</v>
      </c>
      <c r="R171">
        <v>0</v>
      </c>
      <c r="T171" t="s">
        <v>115</v>
      </c>
      <c r="U171" t="s">
        <v>115</v>
      </c>
      <c r="V171" t="s">
        <v>115</v>
      </c>
      <c r="Z171" t="s">
        <v>115</v>
      </c>
      <c r="AA171" t="s">
        <v>115</v>
      </c>
      <c r="AB171" t="s">
        <v>115</v>
      </c>
      <c r="AC171" t="s">
        <v>115</v>
      </c>
      <c r="AD171" t="s">
        <v>115</v>
      </c>
      <c r="AH171">
        <v>0</v>
      </c>
      <c r="AI171">
        <v>0</v>
      </c>
      <c r="AJ171">
        <v>0</v>
      </c>
      <c r="AK171">
        <v>0</v>
      </c>
      <c r="AL171">
        <v>37</v>
      </c>
      <c r="AM171">
        <f t="shared" si="2"/>
        <v>37</v>
      </c>
      <c r="AN171" t="s">
        <v>188</v>
      </c>
    </row>
    <row r="172" spans="1:43" x14ac:dyDescent="0.2">
      <c r="A172" t="s">
        <v>3304</v>
      </c>
      <c r="B172" t="s">
        <v>3305</v>
      </c>
      <c r="C172">
        <v>5</v>
      </c>
      <c r="D172">
        <v>1</v>
      </c>
      <c r="E172" t="s">
        <v>834</v>
      </c>
      <c r="F172" s="1">
        <v>43577</v>
      </c>
      <c r="G172" s="1" t="s">
        <v>4027</v>
      </c>
      <c r="H172" s="1"/>
      <c r="I172" s="2">
        <v>2.5694444444444447E-2</v>
      </c>
      <c r="J172" s="176">
        <v>4.2824074074074075E-4</v>
      </c>
      <c r="K172" s="6">
        <v>37</v>
      </c>
      <c r="L172" t="s">
        <v>101</v>
      </c>
      <c r="M172" t="s">
        <v>466</v>
      </c>
      <c r="N172" t="s">
        <v>102</v>
      </c>
      <c r="O172" t="s">
        <v>115</v>
      </c>
      <c r="P172">
        <v>1</v>
      </c>
      <c r="Q172">
        <v>0</v>
      </c>
      <c r="R172">
        <v>0</v>
      </c>
      <c r="S172" t="s">
        <v>176</v>
      </c>
      <c r="T172" s="5" t="s">
        <v>24</v>
      </c>
      <c r="U172" s="5" t="s">
        <v>122</v>
      </c>
      <c r="V172" s="5" t="s">
        <v>115</v>
      </c>
      <c r="W172" s="5"/>
      <c r="X172" s="5"/>
      <c r="Y172" s="5"/>
      <c r="Z172" s="5" t="s">
        <v>115</v>
      </c>
      <c r="AA172" s="5" t="s">
        <v>115</v>
      </c>
      <c r="AB172" s="5" t="s">
        <v>115</v>
      </c>
      <c r="AC172" s="5" t="s">
        <v>115</v>
      </c>
      <c r="AD172" s="5" t="s">
        <v>115</v>
      </c>
      <c r="AE172" s="5" t="s">
        <v>115</v>
      </c>
      <c r="AF172" s="5" t="s">
        <v>115</v>
      </c>
      <c r="AG172" s="5" t="s">
        <v>115</v>
      </c>
      <c r="AH172">
        <v>0</v>
      </c>
      <c r="AI172">
        <v>0</v>
      </c>
      <c r="AJ172">
        <v>0</v>
      </c>
      <c r="AK172">
        <v>0</v>
      </c>
      <c r="AL172">
        <v>37</v>
      </c>
      <c r="AM172">
        <f t="shared" si="2"/>
        <v>37</v>
      </c>
      <c r="AN172" t="s">
        <v>188</v>
      </c>
      <c r="AO172" t="s">
        <v>2405</v>
      </c>
    </row>
    <row r="173" spans="1:43" x14ac:dyDescent="0.2">
      <c r="A173" t="s">
        <v>2544</v>
      </c>
      <c r="B173" t="s">
        <v>2545</v>
      </c>
      <c r="C173">
        <v>1</v>
      </c>
      <c r="D173">
        <v>1</v>
      </c>
      <c r="E173" t="s">
        <v>324</v>
      </c>
      <c r="F173" s="1">
        <v>43550</v>
      </c>
      <c r="G173" s="1" t="s">
        <v>4026</v>
      </c>
      <c r="H173" s="1"/>
      <c r="I173" s="2">
        <v>5.2083333333333336E-2</v>
      </c>
      <c r="J173" s="176">
        <v>1.7361111111111112E-4</v>
      </c>
      <c r="K173" s="6">
        <v>15</v>
      </c>
      <c r="L173" s="5" t="s">
        <v>640</v>
      </c>
      <c r="M173" t="s">
        <v>325</v>
      </c>
      <c r="N173" t="s">
        <v>102</v>
      </c>
      <c r="O173" t="s">
        <v>115</v>
      </c>
      <c r="P173" t="s">
        <v>24</v>
      </c>
      <c r="Q173">
        <v>0</v>
      </c>
      <c r="R173">
        <v>0</v>
      </c>
      <c r="T173" t="s">
        <v>115</v>
      </c>
      <c r="U173" t="s">
        <v>115</v>
      </c>
      <c r="V173" t="s">
        <v>115</v>
      </c>
      <c r="Z173" t="s">
        <v>115</v>
      </c>
      <c r="AA173" t="s">
        <v>115</v>
      </c>
      <c r="AB173" t="s">
        <v>115</v>
      </c>
      <c r="AC173" t="s">
        <v>115</v>
      </c>
      <c r="AD173" t="s">
        <v>115</v>
      </c>
      <c r="AH173">
        <v>0</v>
      </c>
      <c r="AI173">
        <v>0</v>
      </c>
      <c r="AJ173">
        <v>0</v>
      </c>
      <c r="AK173">
        <v>0</v>
      </c>
      <c r="AL173">
        <v>37</v>
      </c>
      <c r="AM173">
        <f t="shared" si="2"/>
        <v>37</v>
      </c>
      <c r="AN173" t="s">
        <v>188</v>
      </c>
    </row>
    <row r="174" spans="1:43" x14ac:dyDescent="0.2">
      <c r="A174" t="s">
        <v>2988</v>
      </c>
      <c r="B174" t="s">
        <v>2989</v>
      </c>
      <c r="C174">
        <v>29</v>
      </c>
      <c r="D174">
        <v>1</v>
      </c>
      <c r="E174" t="s">
        <v>834</v>
      </c>
      <c r="F174" s="1">
        <v>43560</v>
      </c>
      <c r="G174" s="1" t="s">
        <v>4027</v>
      </c>
      <c r="H174" s="1"/>
      <c r="I174" s="2">
        <v>2.4999999999999998E-2</v>
      </c>
      <c r="J174" s="176">
        <v>4.1666666666666669E-4</v>
      </c>
      <c r="K174" s="6">
        <v>36</v>
      </c>
      <c r="M174" t="s">
        <v>466</v>
      </c>
      <c r="N174" t="s">
        <v>102</v>
      </c>
      <c r="O174" t="s">
        <v>115</v>
      </c>
      <c r="P174">
        <v>1</v>
      </c>
      <c r="Q174">
        <v>0</v>
      </c>
      <c r="R174">
        <v>0</v>
      </c>
      <c r="S174" t="s">
        <v>176</v>
      </c>
      <c r="T174" s="5" t="s">
        <v>24</v>
      </c>
      <c r="U174" s="5" t="s">
        <v>122</v>
      </c>
      <c r="V174" s="5" t="s">
        <v>115</v>
      </c>
      <c r="W174" s="5"/>
      <c r="X174" s="5"/>
      <c r="Y174" s="5"/>
      <c r="Z174" s="5" t="s">
        <v>115</v>
      </c>
      <c r="AA174" s="5" t="s">
        <v>115</v>
      </c>
      <c r="AB174" s="5" t="s">
        <v>115</v>
      </c>
      <c r="AC174" s="5" t="s">
        <v>115</v>
      </c>
      <c r="AD174" s="5" t="s">
        <v>115</v>
      </c>
      <c r="AE174" s="5" t="s">
        <v>115</v>
      </c>
      <c r="AF174" s="5" t="s">
        <v>115</v>
      </c>
      <c r="AG174" s="5"/>
      <c r="AH174">
        <v>0</v>
      </c>
      <c r="AI174">
        <v>0</v>
      </c>
      <c r="AJ174">
        <v>0</v>
      </c>
      <c r="AK174">
        <v>0</v>
      </c>
      <c r="AL174">
        <v>36</v>
      </c>
      <c r="AM174">
        <f t="shared" si="2"/>
        <v>36</v>
      </c>
      <c r="AN174" t="s">
        <v>188</v>
      </c>
    </row>
    <row r="175" spans="1:43" x14ac:dyDescent="0.2">
      <c r="A175" t="s">
        <v>3009</v>
      </c>
      <c r="B175" t="s">
        <v>3010</v>
      </c>
      <c r="C175">
        <v>5</v>
      </c>
      <c r="D175">
        <v>1</v>
      </c>
      <c r="E175" t="s">
        <v>324</v>
      </c>
      <c r="F175" s="1">
        <v>43564</v>
      </c>
      <c r="G175" s="1" t="s">
        <v>4027</v>
      </c>
      <c r="H175" s="1"/>
      <c r="I175" s="2">
        <v>2.7083333333333334E-2</v>
      </c>
      <c r="J175" s="176">
        <v>4.5138888888888892E-4</v>
      </c>
      <c r="K175" s="6">
        <v>39</v>
      </c>
      <c r="M175" t="s">
        <v>325</v>
      </c>
      <c r="N175" t="s">
        <v>102</v>
      </c>
      <c r="O175" t="s">
        <v>115</v>
      </c>
      <c r="P175">
        <v>0</v>
      </c>
      <c r="Q175">
        <v>0</v>
      </c>
      <c r="R175">
        <v>0</v>
      </c>
      <c r="T175" s="5" t="s">
        <v>115</v>
      </c>
      <c r="U175" s="5" t="s">
        <v>115</v>
      </c>
      <c r="V175" s="5" t="s">
        <v>115</v>
      </c>
      <c r="W175" s="5"/>
      <c r="X175" s="5"/>
      <c r="Y175" s="5"/>
      <c r="Z175" s="5" t="s">
        <v>115</v>
      </c>
      <c r="AA175" s="5" t="s">
        <v>115</v>
      </c>
      <c r="AB175" s="5" t="s">
        <v>115</v>
      </c>
      <c r="AC175" s="5" t="s">
        <v>115</v>
      </c>
      <c r="AD175" s="5" t="s">
        <v>115</v>
      </c>
      <c r="AE175" s="5" t="s">
        <v>115</v>
      </c>
      <c r="AF175" s="5" t="s">
        <v>115</v>
      </c>
      <c r="AG175" s="5"/>
      <c r="AH175">
        <v>0</v>
      </c>
      <c r="AI175">
        <v>0</v>
      </c>
      <c r="AJ175">
        <v>0</v>
      </c>
      <c r="AK175">
        <v>0</v>
      </c>
      <c r="AL175">
        <v>36</v>
      </c>
      <c r="AM175">
        <f t="shared" si="2"/>
        <v>36</v>
      </c>
      <c r="AN175" t="s">
        <v>188</v>
      </c>
    </row>
    <row r="176" spans="1:43" x14ac:dyDescent="0.2">
      <c r="A176" t="s">
        <v>3053</v>
      </c>
      <c r="B176" t="s">
        <v>3057</v>
      </c>
      <c r="C176">
        <v>3</v>
      </c>
      <c r="D176">
        <v>1</v>
      </c>
      <c r="E176" t="s">
        <v>176</v>
      </c>
      <c r="F176" s="1">
        <v>43566</v>
      </c>
      <c r="G176" s="1" t="s">
        <v>4027</v>
      </c>
      <c r="H176" s="1"/>
      <c r="I176" s="2">
        <v>2.4999999999999998E-2</v>
      </c>
      <c r="J176" s="176">
        <v>4.1666666666666669E-4</v>
      </c>
      <c r="K176" s="6">
        <v>36</v>
      </c>
      <c r="M176" t="s">
        <v>3051</v>
      </c>
      <c r="N176" t="s">
        <v>102</v>
      </c>
      <c r="O176" t="s">
        <v>23</v>
      </c>
      <c r="P176">
        <v>1</v>
      </c>
      <c r="Q176">
        <v>0</v>
      </c>
      <c r="R176">
        <v>0</v>
      </c>
      <c r="S176" t="s">
        <v>176</v>
      </c>
      <c r="T176" s="5" t="s">
        <v>3058</v>
      </c>
      <c r="U176" s="5" t="s">
        <v>1035</v>
      </c>
      <c r="V176" s="5" t="s">
        <v>115</v>
      </c>
      <c r="W176" s="5"/>
      <c r="X176" s="5"/>
      <c r="Y176" s="5"/>
      <c r="Z176" s="5" t="s">
        <v>115</v>
      </c>
      <c r="AA176" s="5" t="s">
        <v>115</v>
      </c>
      <c r="AB176" s="5" t="s">
        <v>115</v>
      </c>
      <c r="AC176" s="5" t="s">
        <v>115</v>
      </c>
      <c r="AD176" s="5" t="s">
        <v>115</v>
      </c>
      <c r="AE176" s="5" t="s">
        <v>115</v>
      </c>
      <c r="AF176" s="5" t="s">
        <v>115</v>
      </c>
      <c r="AG176" s="5"/>
      <c r="AH176">
        <v>22</v>
      </c>
      <c r="AI176">
        <v>14</v>
      </c>
      <c r="AJ176">
        <v>22</v>
      </c>
      <c r="AK176">
        <v>14</v>
      </c>
      <c r="AL176">
        <v>0</v>
      </c>
      <c r="AM176">
        <f t="shared" si="2"/>
        <v>36</v>
      </c>
    </row>
    <row r="177" spans="1:43" x14ac:dyDescent="0.2">
      <c r="A177" t="s">
        <v>3055</v>
      </c>
      <c r="B177" t="s">
        <v>3054</v>
      </c>
      <c r="C177">
        <v>2</v>
      </c>
      <c r="D177">
        <v>1</v>
      </c>
      <c r="E177" t="s">
        <v>176</v>
      </c>
      <c r="F177" s="1">
        <v>43566</v>
      </c>
      <c r="G177" s="1" t="s">
        <v>4027</v>
      </c>
      <c r="H177" s="1"/>
      <c r="I177" s="2">
        <v>7.4999999999999997E-2</v>
      </c>
      <c r="J177" s="176">
        <v>1.25E-3</v>
      </c>
      <c r="K177" s="6">
        <v>108</v>
      </c>
      <c r="M177" t="s">
        <v>3051</v>
      </c>
      <c r="N177" t="s">
        <v>102</v>
      </c>
      <c r="O177" t="s">
        <v>23</v>
      </c>
      <c r="P177">
        <v>0</v>
      </c>
      <c r="Q177">
        <v>0</v>
      </c>
      <c r="R177">
        <v>0</v>
      </c>
      <c r="T177" s="5" t="s">
        <v>115</v>
      </c>
      <c r="U177" s="5" t="s">
        <v>115</v>
      </c>
      <c r="V177" s="5" t="s">
        <v>115</v>
      </c>
      <c r="W177" s="5"/>
      <c r="X177" s="5"/>
      <c r="Y177" s="5"/>
      <c r="Z177" s="5" t="s">
        <v>115</v>
      </c>
      <c r="AA177" s="5" t="s">
        <v>115</v>
      </c>
      <c r="AB177" s="5" t="s">
        <v>115</v>
      </c>
      <c r="AC177" s="5" t="s">
        <v>115</v>
      </c>
      <c r="AD177" s="5" t="s">
        <v>115</v>
      </c>
      <c r="AE177" s="5" t="s">
        <v>115</v>
      </c>
      <c r="AF177" s="5" t="s">
        <v>115</v>
      </c>
      <c r="AG177" s="5"/>
      <c r="AH177">
        <v>26</v>
      </c>
      <c r="AI177">
        <v>10</v>
      </c>
      <c r="AJ177">
        <v>0</v>
      </c>
      <c r="AK177">
        <v>36</v>
      </c>
      <c r="AL177">
        <v>0</v>
      </c>
      <c r="AM177">
        <f t="shared" si="2"/>
        <v>36</v>
      </c>
      <c r="AN177" t="s">
        <v>188</v>
      </c>
    </row>
    <row r="178" spans="1:43" x14ac:dyDescent="0.2">
      <c r="A178" t="s">
        <v>3363</v>
      </c>
      <c r="B178" t="s">
        <v>3364</v>
      </c>
      <c r="C178">
        <v>5</v>
      </c>
      <c r="D178">
        <v>1</v>
      </c>
      <c r="E178" t="s">
        <v>3171</v>
      </c>
      <c r="F178" s="1">
        <v>43577</v>
      </c>
      <c r="G178" s="1" t="s">
        <v>4027</v>
      </c>
      <c r="H178" s="1" t="s">
        <v>4752</v>
      </c>
      <c r="I178" s="2">
        <v>2.4999999999999998E-2</v>
      </c>
      <c r="J178" s="176">
        <v>4.1666666666666669E-4</v>
      </c>
      <c r="K178" s="6">
        <v>36</v>
      </c>
      <c r="L178" t="s">
        <v>101</v>
      </c>
      <c r="M178" t="s">
        <v>670</v>
      </c>
      <c r="N178" t="s">
        <v>102</v>
      </c>
      <c r="O178" t="s">
        <v>115</v>
      </c>
      <c r="P178">
        <v>2</v>
      </c>
      <c r="Q178">
        <v>0</v>
      </c>
      <c r="R178">
        <v>0</v>
      </c>
      <c r="S178" t="s">
        <v>176</v>
      </c>
      <c r="T178" s="5" t="s">
        <v>24</v>
      </c>
      <c r="U178" s="5" t="s">
        <v>122</v>
      </c>
      <c r="V178" s="5" t="s">
        <v>115</v>
      </c>
      <c r="W178" s="5"/>
      <c r="X178" s="5"/>
      <c r="Y178" s="5"/>
      <c r="Z178" s="5" t="s">
        <v>115</v>
      </c>
      <c r="AA178" s="5" t="s">
        <v>115</v>
      </c>
      <c r="AB178" s="5" t="s">
        <v>115</v>
      </c>
      <c r="AC178" s="5" t="s">
        <v>115</v>
      </c>
      <c r="AD178" s="5" t="s">
        <v>115</v>
      </c>
      <c r="AE178" s="5" t="s">
        <v>115</v>
      </c>
      <c r="AF178" s="5" t="s">
        <v>115</v>
      </c>
      <c r="AG178" s="5" t="s">
        <v>115</v>
      </c>
      <c r="AH178">
        <v>0</v>
      </c>
      <c r="AI178">
        <v>0</v>
      </c>
      <c r="AJ178">
        <v>0</v>
      </c>
      <c r="AK178">
        <v>0</v>
      </c>
      <c r="AL178">
        <v>36</v>
      </c>
      <c r="AM178">
        <f t="shared" si="2"/>
        <v>36</v>
      </c>
      <c r="AN178" t="s">
        <v>188</v>
      </c>
    </row>
    <row r="179" spans="1:43" x14ac:dyDescent="0.2">
      <c r="A179" t="s">
        <v>3484</v>
      </c>
      <c r="B179" t="s">
        <v>3485</v>
      </c>
      <c r="C179">
        <v>15</v>
      </c>
      <c r="D179">
        <v>1</v>
      </c>
      <c r="E179" t="s">
        <v>2462</v>
      </c>
      <c r="F179" s="1">
        <v>43579</v>
      </c>
      <c r="G179" s="1" t="s">
        <v>4027</v>
      </c>
      <c r="H179" s="1"/>
      <c r="I179" s="2">
        <v>2.4999999999999998E-2</v>
      </c>
      <c r="J179" s="176">
        <v>4.1666666666666669E-4</v>
      </c>
      <c r="K179" s="6">
        <v>36</v>
      </c>
      <c r="L179" t="s">
        <v>101</v>
      </c>
      <c r="M179" t="s">
        <v>64</v>
      </c>
      <c r="N179" t="s">
        <v>102</v>
      </c>
      <c r="O179" t="s">
        <v>115</v>
      </c>
      <c r="P179">
        <v>1</v>
      </c>
      <c r="Q179">
        <v>0</v>
      </c>
      <c r="R179">
        <v>0</v>
      </c>
      <c r="S179" t="s">
        <v>176</v>
      </c>
      <c r="T179" s="5" t="s">
        <v>24</v>
      </c>
      <c r="U179" s="5" t="s">
        <v>122</v>
      </c>
      <c r="V179" s="5" t="s">
        <v>115</v>
      </c>
      <c r="W179" s="5"/>
      <c r="X179" s="5"/>
      <c r="Y179" s="5"/>
      <c r="Z179" s="5" t="s">
        <v>115</v>
      </c>
      <c r="AA179" s="5" t="s">
        <v>115</v>
      </c>
      <c r="AB179" s="5" t="s">
        <v>115</v>
      </c>
      <c r="AC179" s="5" t="s">
        <v>115</v>
      </c>
      <c r="AD179" s="5" t="s">
        <v>115</v>
      </c>
      <c r="AE179" s="5" t="s">
        <v>115</v>
      </c>
      <c r="AF179" s="5" t="s">
        <v>115</v>
      </c>
      <c r="AG179" s="5" t="s">
        <v>115</v>
      </c>
      <c r="AH179">
        <v>0</v>
      </c>
      <c r="AI179">
        <v>0</v>
      </c>
      <c r="AJ179">
        <v>0</v>
      </c>
      <c r="AK179">
        <v>0</v>
      </c>
      <c r="AL179">
        <v>36</v>
      </c>
      <c r="AM179">
        <f t="shared" si="2"/>
        <v>36</v>
      </c>
      <c r="AN179" t="s">
        <v>188</v>
      </c>
    </row>
    <row r="180" spans="1:43" x14ac:dyDescent="0.2">
      <c r="A180" t="s">
        <v>3572</v>
      </c>
      <c r="B180" t="s">
        <v>3573</v>
      </c>
      <c r="C180">
        <v>29</v>
      </c>
      <c r="D180">
        <v>1</v>
      </c>
      <c r="E180" t="s">
        <v>3171</v>
      </c>
      <c r="F180" s="1">
        <v>43580</v>
      </c>
      <c r="G180" s="1" t="s">
        <v>4027</v>
      </c>
      <c r="H180" s="1"/>
      <c r="I180" s="2">
        <v>2.4999999999999998E-2</v>
      </c>
      <c r="J180" s="176">
        <v>4.1666666666666669E-4</v>
      </c>
      <c r="K180" s="6">
        <v>36</v>
      </c>
      <c r="L180" t="s">
        <v>101</v>
      </c>
      <c r="M180" t="s">
        <v>149</v>
      </c>
      <c r="N180" t="s">
        <v>102</v>
      </c>
      <c r="O180" t="s">
        <v>115</v>
      </c>
      <c r="P180">
        <v>1</v>
      </c>
      <c r="Q180">
        <v>0</v>
      </c>
      <c r="R180">
        <v>0</v>
      </c>
      <c r="S180" t="s">
        <v>176</v>
      </c>
      <c r="T180" s="5" t="s">
        <v>24</v>
      </c>
      <c r="U180" s="5" t="s">
        <v>122</v>
      </c>
      <c r="V180" s="5" t="s">
        <v>115</v>
      </c>
      <c r="W180" s="5"/>
      <c r="X180" s="5"/>
      <c r="Y180" s="5"/>
      <c r="Z180" s="5" t="s">
        <v>115</v>
      </c>
      <c r="AA180" s="5" t="s">
        <v>115</v>
      </c>
      <c r="AB180" s="5" t="s">
        <v>115</v>
      </c>
      <c r="AC180" s="5" t="s">
        <v>115</v>
      </c>
      <c r="AD180" s="5" t="s">
        <v>115</v>
      </c>
      <c r="AE180" s="5" t="s">
        <v>115</v>
      </c>
      <c r="AF180" s="5" t="s">
        <v>115</v>
      </c>
      <c r="AG180" s="5" t="s">
        <v>115</v>
      </c>
      <c r="AH180">
        <v>0</v>
      </c>
      <c r="AI180">
        <v>0</v>
      </c>
      <c r="AJ180">
        <v>0</v>
      </c>
      <c r="AK180">
        <v>0</v>
      </c>
      <c r="AL180">
        <v>36</v>
      </c>
      <c r="AM180">
        <f t="shared" si="2"/>
        <v>36</v>
      </c>
      <c r="AN180" t="s">
        <v>188</v>
      </c>
    </row>
    <row r="181" spans="1:43" x14ac:dyDescent="0.2">
      <c r="A181" t="s">
        <v>3755</v>
      </c>
      <c r="B181" t="s">
        <v>3756</v>
      </c>
      <c r="C181">
        <v>1</v>
      </c>
      <c r="D181">
        <v>1</v>
      </c>
      <c r="E181" t="s">
        <v>3171</v>
      </c>
      <c r="F181" s="1">
        <v>43592</v>
      </c>
      <c r="G181" s="1" t="s">
        <v>4028</v>
      </c>
      <c r="H181" s="1"/>
      <c r="I181" s="2">
        <v>2.4999999999999998E-2</v>
      </c>
      <c r="J181" s="176">
        <v>4.1666666666666669E-4</v>
      </c>
      <c r="K181" s="6">
        <v>36</v>
      </c>
      <c r="L181" t="s">
        <v>3187</v>
      </c>
      <c r="M181" t="s">
        <v>149</v>
      </c>
      <c r="N181" t="s">
        <v>102</v>
      </c>
      <c r="O181" t="s">
        <v>115</v>
      </c>
      <c r="P181">
        <v>1</v>
      </c>
      <c r="Q181">
        <v>0</v>
      </c>
      <c r="R181">
        <v>0</v>
      </c>
      <c r="S181" t="s">
        <v>176</v>
      </c>
      <c r="T181" s="5" t="s">
        <v>24</v>
      </c>
      <c r="U181" s="5" t="s">
        <v>122</v>
      </c>
      <c r="V181" s="5" t="s">
        <v>115</v>
      </c>
      <c r="W181" s="5"/>
      <c r="X181" s="5"/>
      <c r="Y181" s="5"/>
      <c r="Z181" s="5" t="s">
        <v>115</v>
      </c>
      <c r="AA181" s="5" t="s">
        <v>115</v>
      </c>
      <c r="AB181" s="5" t="s">
        <v>115</v>
      </c>
      <c r="AC181" s="5" t="s">
        <v>115</v>
      </c>
      <c r="AD181" s="5" t="s">
        <v>115</v>
      </c>
      <c r="AE181" s="5" t="s">
        <v>115</v>
      </c>
      <c r="AF181" s="5" t="s">
        <v>115</v>
      </c>
      <c r="AG181" s="5" t="s">
        <v>115</v>
      </c>
      <c r="AH181">
        <v>0</v>
      </c>
      <c r="AI181">
        <v>0</v>
      </c>
      <c r="AJ181">
        <v>0</v>
      </c>
      <c r="AK181">
        <v>0</v>
      </c>
      <c r="AL181">
        <v>36</v>
      </c>
      <c r="AM181">
        <f t="shared" si="2"/>
        <v>36</v>
      </c>
      <c r="AN181" t="s">
        <v>188</v>
      </c>
    </row>
    <row r="182" spans="1:43" x14ac:dyDescent="0.2">
      <c r="A182" t="s">
        <v>2709</v>
      </c>
      <c r="B182" t="s">
        <v>2707</v>
      </c>
      <c r="C182">
        <v>13</v>
      </c>
      <c r="D182">
        <v>1</v>
      </c>
      <c r="E182" t="s">
        <v>324</v>
      </c>
      <c r="F182" s="1">
        <v>43554</v>
      </c>
      <c r="G182" s="1" t="s">
        <v>4026</v>
      </c>
      <c r="H182" s="1"/>
      <c r="I182" s="2">
        <v>2.4305555555555556E-2</v>
      </c>
      <c r="J182" s="176">
        <v>4.0509259259259258E-4</v>
      </c>
      <c r="K182" s="6">
        <v>35</v>
      </c>
      <c r="M182" t="s">
        <v>325</v>
      </c>
      <c r="N182" t="s">
        <v>102</v>
      </c>
      <c r="O182" t="s">
        <v>115</v>
      </c>
      <c r="P182">
        <v>0</v>
      </c>
      <c r="Q182">
        <v>0</v>
      </c>
      <c r="R182">
        <v>0</v>
      </c>
      <c r="T182" t="s">
        <v>115</v>
      </c>
      <c r="U182" t="s">
        <v>115</v>
      </c>
      <c r="V182" t="s">
        <v>115</v>
      </c>
      <c r="Z182" t="s">
        <v>115</v>
      </c>
      <c r="AA182" t="s">
        <v>115</v>
      </c>
      <c r="AB182" t="s">
        <v>115</v>
      </c>
      <c r="AC182" t="s">
        <v>115</v>
      </c>
      <c r="AD182" t="s">
        <v>115</v>
      </c>
      <c r="AE182" t="s">
        <v>115</v>
      </c>
      <c r="AF182" t="s">
        <v>115</v>
      </c>
      <c r="AH182">
        <v>0</v>
      </c>
      <c r="AI182">
        <v>0</v>
      </c>
      <c r="AJ182">
        <v>0</v>
      </c>
      <c r="AK182">
        <v>0</v>
      </c>
      <c r="AL182">
        <v>35</v>
      </c>
      <c r="AM182">
        <f t="shared" si="2"/>
        <v>35</v>
      </c>
      <c r="AN182" t="s">
        <v>188</v>
      </c>
    </row>
    <row r="183" spans="1:43" x14ac:dyDescent="0.2">
      <c r="A183" t="s">
        <v>3264</v>
      </c>
      <c r="B183" t="s">
        <v>3265</v>
      </c>
      <c r="C183">
        <v>6</v>
      </c>
      <c r="D183">
        <v>1</v>
      </c>
      <c r="E183" t="s">
        <v>2462</v>
      </c>
      <c r="F183" s="1">
        <v>43573</v>
      </c>
      <c r="G183" s="1" t="s">
        <v>4027</v>
      </c>
      <c r="H183" s="1"/>
      <c r="I183" s="2">
        <v>2.4305555555555556E-2</v>
      </c>
      <c r="J183" s="176">
        <v>4.0509259259259258E-4</v>
      </c>
      <c r="K183" s="6">
        <v>35</v>
      </c>
      <c r="L183" t="s">
        <v>398</v>
      </c>
      <c r="M183" t="s">
        <v>363</v>
      </c>
      <c r="N183" t="s">
        <v>102</v>
      </c>
      <c r="O183" t="s">
        <v>12</v>
      </c>
      <c r="P183">
        <v>2</v>
      </c>
      <c r="Q183" t="s">
        <v>24</v>
      </c>
      <c r="R183">
        <v>0</v>
      </c>
      <c r="S183" t="s">
        <v>176</v>
      </c>
      <c r="T183" s="5" t="s">
        <v>24</v>
      </c>
      <c r="U183" s="5" t="s">
        <v>819</v>
      </c>
      <c r="V183" s="5" t="s">
        <v>115</v>
      </c>
      <c r="W183" s="5"/>
      <c r="X183" s="5"/>
      <c r="Y183" s="5"/>
      <c r="Z183" s="5" t="s">
        <v>115</v>
      </c>
      <c r="AA183" s="5" t="s">
        <v>115</v>
      </c>
      <c r="AB183" s="5" t="s">
        <v>115</v>
      </c>
      <c r="AC183" s="5" t="s">
        <v>115</v>
      </c>
      <c r="AD183" s="5" t="s">
        <v>115</v>
      </c>
      <c r="AE183" s="5" t="s">
        <v>115</v>
      </c>
      <c r="AF183" s="5" t="s">
        <v>115</v>
      </c>
      <c r="AG183" s="5" t="s">
        <v>115</v>
      </c>
      <c r="AH183">
        <v>0</v>
      </c>
      <c r="AI183">
        <v>0</v>
      </c>
      <c r="AJ183">
        <v>0</v>
      </c>
      <c r="AK183">
        <v>0</v>
      </c>
      <c r="AL183">
        <v>35</v>
      </c>
      <c r="AM183">
        <f t="shared" si="2"/>
        <v>35</v>
      </c>
      <c r="AN183" t="s">
        <v>2374</v>
      </c>
      <c r="AP183">
        <v>9</v>
      </c>
      <c r="AQ183">
        <v>0</v>
      </c>
    </row>
    <row r="184" spans="1:43" x14ac:dyDescent="0.2">
      <c r="A184" t="s">
        <v>3274</v>
      </c>
      <c r="B184" t="s">
        <v>3278</v>
      </c>
      <c r="C184">
        <v>2</v>
      </c>
      <c r="D184">
        <v>2</v>
      </c>
      <c r="E184" t="s">
        <v>2601</v>
      </c>
      <c r="F184" s="1">
        <v>43573</v>
      </c>
      <c r="G184" s="1" t="s">
        <v>4027</v>
      </c>
      <c r="H184" s="1"/>
      <c r="I184" s="2">
        <v>4.2361111111111106E-2</v>
      </c>
      <c r="J184" s="176">
        <v>7.0601851851851847E-4</v>
      </c>
      <c r="K184" s="6">
        <v>61</v>
      </c>
      <c r="L184" t="s">
        <v>3277</v>
      </c>
      <c r="M184" t="s">
        <v>173</v>
      </c>
      <c r="N184" t="s">
        <v>102</v>
      </c>
      <c r="O184" t="s">
        <v>23</v>
      </c>
      <c r="P184">
        <v>1</v>
      </c>
      <c r="Q184">
        <v>0</v>
      </c>
      <c r="R184">
        <v>0</v>
      </c>
      <c r="S184" t="s">
        <v>598</v>
      </c>
      <c r="T184" s="5" t="s">
        <v>2506</v>
      </c>
      <c r="U184" s="5" t="s">
        <v>263</v>
      </c>
      <c r="V184" s="5" t="s">
        <v>115</v>
      </c>
      <c r="W184" s="5"/>
      <c r="X184" s="5"/>
      <c r="Y184" s="5"/>
      <c r="Z184" s="5" t="s">
        <v>115</v>
      </c>
      <c r="AA184" s="5" t="s">
        <v>115</v>
      </c>
      <c r="AB184" s="5" t="s">
        <v>115</v>
      </c>
      <c r="AC184" s="5" t="s">
        <v>115</v>
      </c>
      <c r="AD184" s="5" t="s">
        <v>115</v>
      </c>
      <c r="AE184" s="5" t="s">
        <v>115</v>
      </c>
      <c r="AF184" s="5" t="s">
        <v>115</v>
      </c>
      <c r="AG184" s="5" t="s">
        <v>115</v>
      </c>
      <c r="AH184">
        <v>35</v>
      </c>
      <c r="AI184">
        <v>0</v>
      </c>
      <c r="AJ184">
        <v>0</v>
      </c>
      <c r="AK184">
        <v>35</v>
      </c>
      <c r="AL184">
        <v>0</v>
      </c>
      <c r="AM184">
        <f t="shared" si="2"/>
        <v>35</v>
      </c>
      <c r="AN184" t="s">
        <v>123</v>
      </c>
      <c r="AP184">
        <v>0</v>
      </c>
      <c r="AQ184">
        <v>1</v>
      </c>
    </row>
    <row r="185" spans="1:43" x14ac:dyDescent="0.2">
      <c r="A185" t="s">
        <v>3392</v>
      </c>
      <c r="B185" t="s">
        <v>3393</v>
      </c>
      <c r="C185">
        <v>18</v>
      </c>
      <c r="D185">
        <v>1</v>
      </c>
      <c r="E185" t="s">
        <v>3171</v>
      </c>
      <c r="F185" s="1">
        <v>43577</v>
      </c>
      <c r="G185" s="1" t="s">
        <v>4027</v>
      </c>
      <c r="H185" s="1"/>
      <c r="I185" s="2">
        <v>2.4305555555555556E-2</v>
      </c>
      <c r="J185" s="176">
        <v>4.0509259259259258E-4</v>
      </c>
      <c r="K185" s="6">
        <v>35</v>
      </c>
      <c r="L185" t="s">
        <v>101</v>
      </c>
      <c r="M185" t="s">
        <v>149</v>
      </c>
      <c r="N185" t="s">
        <v>102</v>
      </c>
      <c r="O185" t="s">
        <v>115</v>
      </c>
      <c r="P185">
        <v>1</v>
      </c>
      <c r="Q185">
        <v>0</v>
      </c>
      <c r="R185">
        <v>0</v>
      </c>
      <c r="S185" t="s">
        <v>598</v>
      </c>
      <c r="T185" s="5" t="s">
        <v>2801</v>
      </c>
      <c r="U185" s="5" t="s">
        <v>122</v>
      </c>
      <c r="V185" s="5" t="s">
        <v>115</v>
      </c>
      <c r="W185" s="5"/>
      <c r="X185" s="5"/>
      <c r="Y185" s="5"/>
      <c r="Z185" s="5" t="s">
        <v>115</v>
      </c>
      <c r="AA185" s="5" t="s">
        <v>115</v>
      </c>
      <c r="AB185" s="5" t="s">
        <v>115</v>
      </c>
      <c r="AC185" s="5" t="s">
        <v>115</v>
      </c>
      <c r="AD185" s="5" t="s">
        <v>115</v>
      </c>
      <c r="AE185" s="5" t="s">
        <v>115</v>
      </c>
      <c r="AF185" s="5" t="s">
        <v>115</v>
      </c>
      <c r="AG185" s="5" t="s">
        <v>115</v>
      </c>
      <c r="AH185">
        <v>0</v>
      </c>
      <c r="AI185">
        <v>0</v>
      </c>
      <c r="AJ185">
        <v>0</v>
      </c>
      <c r="AK185">
        <v>0</v>
      </c>
      <c r="AL185">
        <v>35</v>
      </c>
      <c r="AM185">
        <f t="shared" si="2"/>
        <v>35</v>
      </c>
      <c r="AN185" t="s">
        <v>188</v>
      </c>
    </row>
    <row r="186" spans="1:43" x14ac:dyDescent="0.2">
      <c r="A186" t="s">
        <v>3475</v>
      </c>
      <c r="B186" t="s">
        <v>3476</v>
      </c>
      <c r="C186">
        <v>11</v>
      </c>
      <c r="D186">
        <v>1</v>
      </c>
      <c r="E186" t="s">
        <v>2462</v>
      </c>
      <c r="F186" s="1">
        <v>43579</v>
      </c>
      <c r="G186" s="1" t="s">
        <v>4027</v>
      </c>
      <c r="H186" s="1"/>
      <c r="I186" s="2">
        <v>2.5694444444444447E-2</v>
      </c>
      <c r="J186" s="176">
        <v>4.2824074074074075E-4</v>
      </c>
      <c r="K186" s="6">
        <v>37</v>
      </c>
      <c r="L186" t="s">
        <v>101</v>
      </c>
      <c r="M186" t="s">
        <v>363</v>
      </c>
      <c r="N186" t="s">
        <v>102</v>
      </c>
      <c r="O186" t="s">
        <v>115</v>
      </c>
      <c r="P186">
        <v>1</v>
      </c>
      <c r="Q186">
        <v>0</v>
      </c>
      <c r="R186">
        <v>0</v>
      </c>
      <c r="S186" t="s">
        <v>176</v>
      </c>
      <c r="T186" s="5" t="s">
        <v>24</v>
      </c>
      <c r="U186" s="5" t="s">
        <v>122</v>
      </c>
      <c r="V186" s="5" t="s">
        <v>115</v>
      </c>
      <c r="W186" s="5"/>
      <c r="X186" s="5"/>
      <c r="Y186" s="5"/>
      <c r="Z186" s="5" t="s">
        <v>115</v>
      </c>
      <c r="AA186" s="5" t="s">
        <v>115</v>
      </c>
      <c r="AB186" s="5" t="s">
        <v>115</v>
      </c>
      <c r="AC186" s="5" t="s">
        <v>115</v>
      </c>
      <c r="AD186" s="5" t="s">
        <v>115</v>
      </c>
      <c r="AE186" s="5" t="s">
        <v>115</v>
      </c>
      <c r="AF186" s="5" t="s">
        <v>115</v>
      </c>
      <c r="AG186" s="5" t="s">
        <v>115</v>
      </c>
      <c r="AH186">
        <v>0</v>
      </c>
      <c r="AI186">
        <v>0</v>
      </c>
      <c r="AJ186">
        <v>0</v>
      </c>
      <c r="AK186">
        <v>0</v>
      </c>
      <c r="AL186">
        <v>35</v>
      </c>
      <c r="AM186">
        <f t="shared" si="2"/>
        <v>35</v>
      </c>
      <c r="AN186" t="s">
        <v>188</v>
      </c>
    </row>
    <row r="187" spans="1:43" x14ac:dyDescent="0.2">
      <c r="A187" t="s">
        <v>3551</v>
      </c>
      <c r="B187" t="s">
        <v>3552</v>
      </c>
      <c r="C187">
        <v>19</v>
      </c>
      <c r="D187">
        <v>1</v>
      </c>
      <c r="E187" t="s">
        <v>3171</v>
      </c>
      <c r="F187" s="1">
        <v>43580</v>
      </c>
      <c r="G187" s="1" t="s">
        <v>4027</v>
      </c>
      <c r="H187" s="1"/>
      <c r="I187" s="2">
        <v>2.4305555555555556E-2</v>
      </c>
      <c r="J187" s="176">
        <v>4.0509259259259258E-4</v>
      </c>
      <c r="K187" s="6">
        <v>35</v>
      </c>
      <c r="L187" t="s">
        <v>101</v>
      </c>
      <c r="M187" t="s">
        <v>149</v>
      </c>
      <c r="N187" t="s">
        <v>102</v>
      </c>
      <c r="O187" t="s">
        <v>115</v>
      </c>
      <c r="P187">
        <v>1</v>
      </c>
      <c r="Q187">
        <v>0</v>
      </c>
      <c r="R187">
        <v>0</v>
      </c>
      <c r="S187" t="s">
        <v>176</v>
      </c>
      <c r="T187" s="5" t="s">
        <v>24</v>
      </c>
      <c r="U187" s="5" t="s">
        <v>115</v>
      </c>
      <c r="V187" s="5" t="s">
        <v>115</v>
      </c>
      <c r="W187" s="5"/>
      <c r="X187" s="5"/>
      <c r="Y187" s="5"/>
      <c r="Z187" s="5" t="s">
        <v>115</v>
      </c>
      <c r="AA187" s="5" t="s">
        <v>115</v>
      </c>
      <c r="AB187" s="5" t="s">
        <v>115</v>
      </c>
      <c r="AC187" s="5" t="s">
        <v>115</v>
      </c>
      <c r="AD187" s="5" t="s">
        <v>115</v>
      </c>
      <c r="AE187" s="5" t="s">
        <v>115</v>
      </c>
      <c r="AF187" s="5" t="s">
        <v>115</v>
      </c>
      <c r="AG187" s="5" t="s">
        <v>115</v>
      </c>
      <c r="AH187">
        <v>0</v>
      </c>
      <c r="AI187">
        <v>0</v>
      </c>
      <c r="AJ187">
        <v>0</v>
      </c>
      <c r="AK187">
        <v>0</v>
      </c>
      <c r="AL187">
        <v>35</v>
      </c>
      <c r="AM187">
        <f t="shared" si="2"/>
        <v>35</v>
      </c>
      <c r="AN187" t="s">
        <v>188</v>
      </c>
    </row>
    <row r="188" spans="1:43" x14ac:dyDescent="0.2">
      <c r="A188" t="s">
        <v>2483</v>
      </c>
      <c r="B188" t="s">
        <v>2484</v>
      </c>
      <c r="C188">
        <v>7</v>
      </c>
      <c r="D188">
        <v>1</v>
      </c>
      <c r="E188" t="s">
        <v>140</v>
      </c>
      <c r="F188" s="1">
        <v>43549</v>
      </c>
      <c r="G188" s="1" t="s">
        <v>4026</v>
      </c>
      <c r="H188" s="1"/>
      <c r="I188" s="2">
        <v>2.9166666666666664E-2</v>
      </c>
      <c r="J188" s="176">
        <v>4.8611111111111104E-4</v>
      </c>
      <c r="K188" s="6">
        <v>42</v>
      </c>
      <c r="L188" s="5" t="s">
        <v>398</v>
      </c>
      <c r="M188" t="s">
        <v>149</v>
      </c>
      <c r="N188" t="s">
        <v>102</v>
      </c>
      <c r="O188" t="s">
        <v>115</v>
      </c>
      <c r="P188" t="s">
        <v>24</v>
      </c>
      <c r="Q188" t="s">
        <v>24</v>
      </c>
      <c r="R188" t="s">
        <v>176</v>
      </c>
      <c r="T188" t="s">
        <v>115</v>
      </c>
      <c r="U188" t="s">
        <v>115</v>
      </c>
      <c r="V188" t="s">
        <v>115</v>
      </c>
      <c r="Z188" t="s">
        <v>115</v>
      </c>
      <c r="AA188" t="s">
        <v>115</v>
      </c>
      <c r="AB188" t="s">
        <v>115</v>
      </c>
      <c r="AC188" t="s">
        <v>115</v>
      </c>
      <c r="AD188" t="s">
        <v>115</v>
      </c>
      <c r="AH188" s="6">
        <v>35</v>
      </c>
      <c r="AI188">
        <v>0</v>
      </c>
      <c r="AJ188">
        <v>35</v>
      </c>
      <c r="AK188">
        <v>0</v>
      </c>
      <c r="AL188">
        <v>0</v>
      </c>
      <c r="AM188">
        <f t="shared" si="2"/>
        <v>35</v>
      </c>
      <c r="AN188" t="s">
        <v>188</v>
      </c>
    </row>
    <row r="189" spans="1:43" x14ac:dyDescent="0.2">
      <c r="A189" t="s">
        <v>3488</v>
      </c>
      <c r="B189" t="s">
        <v>3489</v>
      </c>
      <c r="C189">
        <v>17</v>
      </c>
      <c r="D189">
        <v>1</v>
      </c>
      <c r="E189" t="s">
        <v>2462</v>
      </c>
      <c r="F189" s="1">
        <v>43579</v>
      </c>
      <c r="G189" s="1" t="s">
        <v>4027</v>
      </c>
      <c r="H189" s="1"/>
      <c r="I189" s="2">
        <v>2.7083333333333334E-2</v>
      </c>
      <c r="J189" s="176">
        <v>4.5138888888888892E-4</v>
      </c>
      <c r="K189" s="6">
        <v>39</v>
      </c>
      <c r="L189" t="s">
        <v>101</v>
      </c>
      <c r="M189" t="s">
        <v>363</v>
      </c>
      <c r="N189" t="s">
        <v>102</v>
      </c>
      <c r="O189" t="s">
        <v>115</v>
      </c>
      <c r="P189" t="s">
        <v>24</v>
      </c>
      <c r="Q189">
        <v>0</v>
      </c>
      <c r="R189">
        <v>0</v>
      </c>
      <c r="T189" s="5" t="s">
        <v>115</v>
      </c>
      <c r="U189" s="5" t="s">
        <v>115</v>
      </c>
      <c r="V189" s="5" t="s">
        <v>115</v>
      </c>
      <c r="W189" s="5"/>
      <c r="X189" s="5"/>
      <c r="Y189" s="5"/>
      <c r="Z189" s="5" t="s">
        <v>115</v>
      </c>
      <c r="AA189" s="5" t="s">
        <v>115</v>
      </c>
      <c r="AB189" s="5" t="s">
        <v>115</v>
      </c>
      <c r="AC189" s="5" t="s">
        <v>115</v>
      </c>
      <c r="AD189" s="5" t="s">
        <v>115</v>
      </c>
      <c r="AE189" s="5" t="s">
        <v>115</v>
      </c>
      <c r="AF189" s="5" t="s">
        <v>115</v>
      </c>
      <c r="AG189" s="5" t="s">
        <v>115</v>
      </c>
      <c r="AH189">
        <v>0</v>
      </c>
      <c r="AI189">
        <v>0</v>
      </c>
      <c r="AJ189">
        <v>0</v>
      </c>
      <c r="AK189">
        <v>0</v>
      </c>
      <c r="AL189">
        <v>35</v>
      </c>
      <c r="AM189">
        <f t="shared" si="2"/>
        <v>35</v>
      </c>
      <c r="AN189" t="s">
        <v>188</v>
      </c>
    </row>
    <row r="190" spans="1:43" x14ac:dyDescent="0.2">
      <c r="A190" t="s">
        <v>2341</v>
      </c>
      <c r="B190" t="s">
        <v>2342</v>
      </c>
      <c r="C190">
        <v>1</v>
      </c>
      <c r="D190">
        <v>1</v>
      </c>
      <c r="E190" t="s">
        <v>2343</v>
      </c>
      <c r="F190" s="1">
        <v>43544</v>
      </c>
      <c r="G190" s="1" t="s">
        <v>4026</v>
      </c>
      <c r="H190" s="1"/>
      <c r="I190" s="2">
        <v>3.9583333333333331E-2</v>
      </c>
      <c r="J190" s="176">
        <v>6.5972222222222213E-4</v>
      </c>
      <c r="K190" s="6">
        <v>57</v>
      </c>
      <c r="L190" t="s">
        <v>101</v>
      </c>
      <c r="M190" t="s">
        <v>2927</v>
      </c>
      <c r="N190" t="s">
        <v>102</v>
      </c>
      <c r="O190" t="s">
        <v>115</v>
      </c>
      <c r="P190">
        <v>3</v>
      </c>
      <c r="Q190">
        <v>0</v>
      </c>
      <c r="R190">
        <v>0</v>
      </c>
      <c r="S190" t="s">
        <v>176</v>
      </c>
      <c r="T190" t="s">
        <v>24</v>
      </c>
      <c r="U190" t="s">
        <v>122</v>
      </c>
      <c r="V190" t="s">
        <v>115</v>
      </c>
      <c r="Z190" t="s">
        <v>115</v>
      </c>
      <c r="AA190" t="s">
        <v>115</v>
      </c>
      <c r="AB190" t="s">
        <v>115</v>
      </c>
      <c r="AC190" t="s">
        <v>115</v>
      </c>
      <c r="AD190" t="s">
        <v>115</v>
      </c>
      <c r="AH190">
        <v>0</v>
      </c>
      <c r="AI190">
        <v>0</v>
      </c>
      <c r="AJ190">
        <v>0</v>
      </c>
      <c r="AK190">
        <v>0</v>
      </c>
      <c r="AL190">
        <v>34</v>
      </c>
      <c r="AM190">
        <f t="shared" si="2"/>
        <v>34</v>
      </c>
      <c r="AN190" t="s">
        <v>188</v>
      </c>
      <c r="AO190" t="s">
        <v>2344</v>
      </c>
      <c r="AP190">
        <v>0</v>
      </c>
      <c r="AQ190">
        <v>0</v>
      </c>
    </row>
    <row r="191" spans="1:43" x14ac:dyDescent="0.2">
      <c r="A191" t="s">
        <v>2489</v>
      </c>
      <c r="B191" t="s">
        <v>2490</v>
      </c>
      <c r="C191">
        <v>2</v>
      </c>
      <c r="D191">
        <v>1</v>
      </c>
      <c r="E191" t="s">
        <v>2487</v>
      </c>
      <c r="F191" s="1">
        <v>43549</v>
      </c>
      <c r="G191" s="1" t="s">
        <v>4026</v>
      </c>
      <c r="H191" s="1"/>
      <c r="I191" s="2">
        <v>7.5694444444444439E-2</v>
      </c>
      <c r="J191" s="176">
        <v>1.261574074074074E-3</v>
      </c>
      <c r="K191" s="6">
        <v>109</v>
      </c>
      <c r="L191" s="5" t="s">
        <v>398</v>
      </c>
      <c r="M191" t="s">
        <v>2488</v>
      </c>
      <c r="N191" t="s">
        <v>102</v>
      </c>
      <c r="O191" t="s">
        <v>23</v>
      </c>
      <c r="P191">
        <v>0</v>
      </c>
      <c r="Q191">
        <v>0</v>
      </c>
      <c r="R191">
        <v>0</v>
      </c>
      <c r="T191" t="s">
        <v>115</v>
      </c>
      <c r="U191" t="s">
        <v>115</v>
      </c>
      <c r="V191" t="s">
        <v>115</v>
      </c>
      <c r="Z191" t="s">
        <v>115</v>
      </c>
      <c r="AA191" t="s">
        <v>115</v>
      </c>
      <c r="AB191" t="s">
        <v>115</v>
      </c>
      <c r="AC191" t="s">
        <v>115</v>
      </c>
      <c r="AD191" t="s">
        <v>115</v>
      </c>
      <c r="AH191">
        <v>15</v>
      </c>
      <c r="AI191">
        <v>0</v>
      </c>
      <c r="AJ191">
        <v>11</v>
      </c>
      <c r="AK191">
        <v>4</v>
      </c>
      <c r="AL191">
        <v>19</v>
      </c>
      <c r="AM191">
        <f t="shared" si="2"/>
        <v>34</v>
      </c>
      <c r="AN191" t="s">
        <v>2374</v>
      </c>
      <c r="AP191">
        <v>1</v>
      </c>
      <c r="AQ191">
        <v>0</v>
      </c>
    </row>
    <row r="192" spans="1:43" x14ac:dyDescent="0.2">
      <c r="A192" t="s">
        <v>2580</v>
      </c>
      <c r="B192" t="s">
        <v>2581</v>
      </c>
      <c r="C192">
        <v>3</v>
      </c>
      <c r="D192">
        <v>1</v>
      </c>
      <c r="E192" t="s">
        <v>834</v>
      </c>
      <c r="F192" s="1">
        <v>43550</v>
      </c>
      <c r="G192" s="1" t="s">
        <v>4026</v>
      </c>
      <c r="H192" s="1"/>
      <c r="I192" s="2">
        <v>3.888888888888889E-2</v>
      </c>
      <c r="J192" s="176">
        <v>6.4814814814814813E-4</v>
      </c>
      <c r="K192" s="6">
        <v>56</v>
      </c>
      <c r="L192" s="5" t="s">
        <v>2576</v>
      </c>
      <c r="M192" t="s">
        <v>466</v>
      </c>
      <c r="N192" t="s">
        <v>187</v>
      </c>
      <c r="O192" t="s">
        <v>23</v>
      </c>
      <c r="P192">
        <v>1</v>
      </c>
      <c r="Q192">
        <v>0</v>
      </c>
      <c r="R192">
        <v>1</v>
      </c>
      <c r="S192" t="s">
        <v>14</v>
      </c>
      <c r="T192" t="s">
        <v>2582</v>
      </c>
      <c r="U192" t="s">
        <v>122</v>
      </c>
      <c r="V192" t="s">
        <v>2088</v>
      </c>
      <c r="W192" s="5" t="s">
        <v>23</v>
      </c>
      <c r="X192" s="5" t="s">
        <v>3997</v>
      </c>
      <c r="Y192" s="5" t="s">
        <v>4021</v>
      </c>
      <c r="Z192" t="s">
        <v>2551</v>
      </c>
      <c r="AA192">
        <v>335</v>
      </c>
      <c r="AB192">
        <v>3</v>
      </c>
      <c r="AC192">
        <v>63.73948</v>
      </c>
      <c r="AD192">
        <v>148.89815999999999</v>
      </c>
      <c r="AH192">
        <v>0</v>
      </c>
      <c r="AI192">
        <v>0</v>
      </c>
      <c r="AJ192">
        <v>0</v>
      </c>
      <c r="AK192">
        <v>0</v>
      </c>
      <c r="AL192">
        <v>34</v>
      </c>
      <c r="AM192">
        <f t="shared" si="2"/>
        <v>34</v>
      </c>
      <c r="AO192" t="s">
        <v>2583</v>
      </c>
    </row>
    <row r="193" spans="1:43" x14ac:dyDescent="0.2">
      <c r="A193" t="s">
        <v>2594</v>
      </c>
      <c r="B193" t="s">
        <v>2595</v>
      </c>
      <c r="C193">
        <v>2</v>
      </c>
      <c r="D193">
        <v>1</v>
      </c>
      <c r="E193" t="s">
        <v>791</v>
      </c>
      <c r="F193" s="1">
        <v>43550</v>
      </c>
      <c r="G193" s="1" t="s">
        <v>4026</v>
      </c>
      <c r="H193" s="1"/>
      <c r="I193" s="2">
        <v>2.361111111111111E-2</v>
      </c>
      <c r="J193" s="176">
        <v>3.9351851851851852E-4</v>
      </c>
      <c r="K193" s="6">
        <v>34</v>
      </c>
      <c r="L193" s="5" t="s">
        <v>2339</v>
      </c>
      <c r="M193" t="s">
        <v>924</v>
      </c>
      <c r="N193" t="s">
        <v>102</v>
      </c>
      <c r="O193" t="s">
        <v>115</v>
      </c>
      <c r="P193">
        <v>0</v>
      </c>
      <c r="Q193">
        <v>0</v>
      </c>
      <c r="R193">
        <v>0</v>
      </c>
      <c r="T193" t="s">
        <v>115</v>
      </c>
      <c r="U193" t="s">
        <v>115</v>
      </c>
      <c r="V193" t="s">
        <v>115</v>
      </c>
      <c r="Z193" t="s">
        <v>115</v>
      </c>
      <c r="AA193" t="s">
        <v>115</v>
      </c>
      <c r="AB193" t="s">
        <v>115</v>
      </c>
      <c r="AC193" t="s">
        <v>115</v>
      </c>
      <c r="AD193" t="s">
        <v>115</v>
      </c>
      <c r="AH193">
        <v>0</v>
      </c>
      <c r="AI193">
        <v>0</v>
      </c>
      <c r="AJ193">
        <v>0</v>
      </c>
      <c r="AK193">
        <v>0</v>
      </c>
      <c r="AL193">
        <v>34</v>
      </c>
      <c r="AM193">
        <f t="shared" si="2"/>
        <v>34</v>
      </c>
      <c r="AN193" t="s">
        <v>188</v>
      </c>
    </row>
    <row r="194" spans="1:43" x14ac:dyDescent="0.2">
      <c r="A194" t="s">
        <v>2978</v>
      </c>
      <c r="B194" t="s">
        <v>2979</v>
      </c>
      <c r="C194">
        <v>24</v>
      </c>
      <c r="D194">
        <v>1</v>
      </c>
      <c r="E194" t="s">
        <v>834</v>
      </c>
      <c r="F194" s="1">
        <v>43560</v>
      </c>
      <c r="G194" s="1" t="s">
        <v>4027</v>
      </c>
      <c r="H194" s="1"/>
      <c r="I194" s="2">
        <v>2.361111111111111E-2</v>
      </c>
      <c r="J194" s="176">
        <v>3.9351851851851852E-4</v>
      </c>
      <c r="K194" s="6">
        <v>34</v>
      </c>
      <c r="M194" t="s">
        <v>466</v>
      </c>
      <c r="N194" t="s">
        <v>102</v>
      </c>
      <c r="O194" t="s">
        <v>115</v>
      </c>
      <c r="P194">
        <v>0</v>
      </c>
      <c r="Q194">
        <v>0</v>
      </c>
      <c r="R194">
        <v>0</v>
      </c>
      <c r="T194" s="5" t="s">
        <v>115</v>
      </c>
      <c r="U194" s="5" t="s">
        <v>115</v>
      </c>
      <c r="V194" s="5" t="s">
        <v>115</v>
      </c>
      <c r="W194" s="5"/>
      <c r="X194" s="5"/>
      <c r="Y194" s="5"/>
      <c r="Z194" s="5" t="s">
        <v>115</v>
      </c>
      <c r="AA194" s="5" t="s">
        <v>115</v>
      </c>
      <c r="AB194" s="5" t="s">
        <v>115</v>
      </c>
      <c r="AC194" s="5" t="s">
        <v>115</v>
      </c>
      <c r="AD194" s="5" t="s">
        <v>115</v>
      </c>
      <c r="AE194" s="5" t="s">
        <v>115</v>
      </c>
      <c r="AF194" s="5" t="s">
        <v>115</v>
      </c>
      <c r="AG194" s="5"/>
      <c r="AH194">
        <v>0</v>
      </c>
      <c r="AI194">
        <v>0</v>
      </c>
      <c r="AJ194">
        <v>0</v>
      </c>
      <c r="AK194">
        <v>0</v>
      </c>
      <c r="AL194">
        <v>34</v>
      </c>
      <c r="AM194">
        <f t="shared" ref="AM194:AM257" si="3">SUM(AH194+AI194+AL194)</f>
        <v>34</v>
      </c>
      <c r="AN194" t="s">
        <v>188</v>
      </c>
    </row>
    <row r="195" spans="1:43" x14ac:dyDescent="0.2">
      <c r="A195" t="s">
        <v>3216</v>
      </c>
      <c r="B195" t="s">
        <v>3217</v>
      </c>
      <c r="C195">
        <v>15</v>
      </c>
      <c r="D195">
        <v>1</v>
      </c>
      <c r="E195" t="s">
        <v>2487</v>
      </c>
      <c r="F195" s="1">
        <v>43572</v>
      </c>
      <c r="G195" s="1" t="s">
        <v>4027</v>
      </c>
      <c r="H195" s="1"/>
      <c r="I195" s="2">
        <v>3.1944444444444449E-2</v>
      </c>
      <c r="J195" s="176">
        <v>5.3240740740740744E-4</v>
      </c>
      <c r="K195" s="6">
        <v>46</v>
      </c>
      <c r="L195" t="s">
        <v>3187</v>
      </c>
      <c r="M195" t="s">
        <v>2488</v>
      </c>
      <c r="N195" t="s">
        <v>102</v>
      </c>
      <c r="O195" t="s">
        <v>23</v>
      </c>
      <c r="P195">
        <v>0</v>
      </c>
      <c r="Q195">
        <v>0</v>
      </c>
      <c r="R195">
        <v>0</v>
      </c>
      <c r="T195" s="5" t="s">
        <v>115</v>
      </c>
      <c r="U195" s="5" t="s">
        <v>115</v>
      </c>
      <c r="V195" s="5" t="s">
        <v>115</v>
      </c>
      <c r="W195" s="5"/>
      <c r="X195" s="5"/>
      <c r="Y195" s="5"/>
      <c r="Z195" s="5" t="s">
        <v>115</v>
      </c>
      <c r="AA195" s="5" t="s">
        <v>115</v>
      </c>
      <c r="AB195" s="5" t="s">
        <v>115</v>
      </c>
      <c r="AC195" s="5" t="s">
        <v>115</v>
      </c>
      <c r="AD195" s="5" t="s">
        <v>115</v>
      </c>
      <c r="AE195" s="5" t="s">
        <v>115</v>
      </c>
      <c r="AF195" s="5" t="s">
        <v>115</v>
      </c>
      <c r="AG195" s="5"/>
      <c r="AH195">
        <v>13</v>
      </c>
      <c r="AI195">
        <v>0</v>
      </c>
      <c r="AJ195">
        <v>11</v>
      </c>
      <c r="AK195">
        <v>2</v>
      </c>
      <c r="AL195">
        <v>21</v>
      </c>
      <c r="AM195">
        <f t="shared" si="3"/>
        <v>34</v>
      </c>
      <c r="AN195" t="s">
        <v>2374</v>
      </c>
      <c r="AP195">
        <v>2</v>
      </c>
    </row>
    <row r="196" spans="1:43" x14ac:dyDescent="0.2">
      <c r="A196" t="s">
        <v>3697</v>
      </c>
      <c r="B196" t="s">
        <v>3698</v>
      </c>
      <c r="C196">
        <v>6</v>
      </c>
      <c r="D196">
        <v>1</v>
      </c>
      <c r="E196" t="s">
        <v>3171</v>
      </c>
      <c r="F196" s="1">
        <v>43585</v>
      </c>
      <c r="G196" s="1" t="s">
        <v>4027</v>
      </c>
      <c r="H196" s="1"/>
      <c r="I196" s="2">
        <v>2.361111111111111E-2</v>
      </c>
      <c r="J196" s="176">
        <v>3.9351851851851852E-4</v>
      </c>
      <c r="K196" s="6">
        <v>34</v>
      </c>
      <c r="L196" t="s">
        <v>3626</v>
      </c>
      <c r="M196" t="s">
        <v>149</v>
      </c>
      <c r="N196" t="s">
        <v>102</v>
      </c>
      <c r="O196" t="s">
        <v>115</v>
      </c>
      <c r="P196">
        <v>0</v>
      </c>
      <c r="Q196">
        <v>0</v>
      </c>
      <c r="R196">
        <v>0</v>
      </c>
      <c r="T196" s="5" t="s">
        <v>115</v>
      </c>
      <c r="U196" s="5" t="s">
        <v>115</v>
      </c>
      <c r="V196" s="5" t="s">
        <v>115</v>
      </c>
      <c r="W196" s="5"/>
      <c r="X196" s="5"/>
      <c r="Y196" s="5"/>
      <c r="Z196" s="5" t="s">
        <v>115</v>
      </c>
      <c r="AA196" s="5" t="s">
        <v>115</v>
      </c>
      <c r="AB196" s="5" t="s">
        <v>115</v>
      </c>
      <c r="AC196" s="5" t="s">
        <v>115</v>
      </c>
      <c r="AD196" s="5" t="s">
        <v>115</v>
      </c>
      <c r="AE196" s="5" t="s">
        <v>115</v>
      </c>
      <c r="AF196" s="5" t="s">
        <v>115</v>
      </c>
      <c r="AG196" s="5" t="s">
        <v>115</v>
      </c>
      <c r="AH196">
        <v>0</v>
      </c>
      <c r="AI196">
        <v>0</v>
      </c>
      <c r="AJ196">
        <v>0</v>
      </c>
      <c r="AK196">
        <v>0</v>
      </c>
      <c r="AL196">
        <v>34</v>
      </c>
      <c r="AM196">
        <f t="shared" si="3"/>
        <v>34</v>
      </c>
      <c r="AN196" t="s">
        <v>188</v>
      </c>
    </row>
    <row r="197" spans="1:43" x14ac:dyDescent="0.2">
      <c r="A197" t="s">
        <v>2356</v>
      </c>
      <c r="B197" t="s">
        <v>2357</v>
      </c>
      <c r="C197">
        <v>7</v>
      </c>
      <c r="D197">
        <v>1</v>
      </c>
      <c r="E197" t="s">
        <v>2343</v>
      </c>
      <c r="F197" s="1">
        <v>43544</v>
      </c>
      <c r="G197" s="1" t="s">
        <v>4026</v>
      </c>
      <c r="H197" s="1"/>
      <c r="I197" s="2">
        <v>2.361111111111111E-2</v>
      </c>
      <c r="J197" s="176">
        <v>3.9351851851851852E-4</v>
      </c>
      <c r="K197" s="6">
        <v>34</v>
      </c>
      <c r="L197" t="s">
        <v>101</v>
      </c>
      <c r="M197" t="s">
        <v>2355</v>
      </c>
      <c r="N197" t="s">
        <v>102</v>
      </c>
      <c r="O197" t="s">
        <v>115</v>
      </c>
      <c r="P197" t="s">
        <v>24</v>
      </c>
      <c r="Q197">
        <v>0</v>
      </c>
      <c r="R197">
        <v>0</v>
      </c>
      <c r="T197" t="s">
        <v>115</v>
      </c>
      <c r="U197" t="s">
        <v>115</v>
      </c>
      <c r="V197" t="s">
        <v>115</v>
      </c>
      <c r="Z197" t="s">
        <v>115</v>
      </c>
      <c r="AA197" t="s">
        <v>115</v>
      </c>
      <c r="AB197" t="s">
        <v>115</v>
      </c>
      <c r="AC197" t="s">
        <v>115</v>
      </c>
      <c r="AD197" t="s">
        <v>115</v>
      </c>
      <c r="AH197">
        <v>0</v>
      </c>
      <c r="AI197">
        <v>0</v>
      </c>
      <c r="AJ197">
        <v>0</v>
      </c>
      <c r="AK197">
        <v>0</v>
      </c>
      <c r="AL197">
        <v>34</v>
      </c>
      <c r="AM197">
        <f t="shared" si="3"/>
        <v>34</v>
      </c>
      <c r="AN197" t="s">
        <v>188</v>
      </c>
      <c r="AO197" t="s">
        <v>2358</v>
      </c>
      <c r="AP197">
        <v>0</v>
      </c>
      <c r="AQ197">
        <v>0</v>
      </c>
    </row>
    <row r="198" spans="1:43" x14ac:dyDescent="0.2">
      <c r="A198" t="s">
        <v>2732</v>
      </c>
      <c r="B198" t="s">
        <v>2733</v>
      </c>
      <c r="C198">
        <v>3</v>
      </c>
      <c r="D198">
        <v>1</v>
      </c>
      <c r="E198" t="s">
        <v>834</v>
      </c>
      <c r="F198" s="1">
        <v>43554</v>
      </c>
      <c r="G198" s="1" t="s">
        <v>4026</v>
      </c>
      <c r="H198" s="1"/>
      <c r="I198" s="2">
        <v>2.7777777777777776E-2</v>
      </c>
      <c r="J198" s="176">
        <v>4.6296296296296293E-4</v>
      </c>
      <c r="K198" s="6">
        <v>40</v>
      </c>
      <c r="M198" t="s">
        <v>466</v>
      </c>
      <c r="N198" t="s">
        <v>102</v>
      </c>
      <c r="O198" t="s">
        <v>115</v>
      </c>
      <c r="P198" t="s">
        <v>24</v>
      </c>
      <c r="Q198">
        <v>0</v>
      </c>
      <c r="R198">
        <v>0</v>
      </c>
      <c r="T198" s="5" t="s">
        <v>115</v>
      </c>
      <c r="U198" s="5" t="s">
        <v>115</v>
      </c>
      <c r="V198" s="5" t="s">
        <v>115</v>
      </c>
      <c r="W198" s="5"/>
      <c r="X198" s="5"/>
      <c r="Y198" s="5"/>
      <c r="Z198" s="5" t="s">
        <v>115</v>
      </c>
      <c r="AA198" s="5" t="s">
        <v>115</v>
      </c>
      <c r="AB198" s="5" t="s">
        <v>115</v>
      </c>
      <c r="AC198" s="5" t="s">
        <v>115</v>
      </c>
      <c r="AD198" s="5" t="s">
        <v>115</v>
      </c>
      <c r="AE198" s="5" t="s">
        <v>115</v>
      </c>
      <c r="AF198" s="5" t="s">
        <v>115</v>
      </c>
      <c r="AG198" s="5"/>
      <c r="AH198">
        <v>0</v>
      </c>
      <c r="AI198">
        <v>0</v>
      </c>
      <c r="AJ198">
        <v>0</v>
      </c>
      <c r="AK198">
        <v>0</v>
      </c>
      <c r="AL198">
        <v>34</v>
      </c>
      <c r="AM198">
        <f t="shared" si="3"/>
        <v>34</v>
      </c>
      <c r="AN198" t="s">
        <v>188</v>
      </c>
    </row>
    <row r="199" spans="1:43" x14ac:dyDescent="0.2">
      <c r="A199" t="s">
        <v>3778</v>
      </c>
      <c r="B199" t="s">
        <v>3779</v>
      </c>
      <c r="C199">
        <v>12</v>
      </c>
      <c r="D199">
        <v>1</v>
      </c>
      <c r="E199" t="s">
        <v>3171</v>
      </c>
      <c r="F199" s="1">
        <v>43588</v>
      </c>
      <c r="G199" s="1" t="s">
        <v>4028</v>
      </c>
      <c r="H199" s="1"/>
      <c r="I199" s="2">
        <v>2.361111111111111E-2</v>
      </c>
      <c r="J199" s="176">
        <v>3.9351851851851852E-4</v>
      </c>
      <c r="K199" s="6">
        <v>34</v>
      </c>
      <c r="L199" t="s">
        <v>3187</v>
      </c>
      <c r="M199" t="s">
        <v>149</v>
      </c>
      <c r="N199" t="s">
        <v>102</v>
      </c>
      <c r="O199" t="s">
        <v>115</v>
      </c>
      <c r="P199" t="s">
        <v>24</v>
      </c>
      <c r="Q199">
        <v>0</v>
      </c>
      <c r="R199">
        <v>0</v>
      </c>
      <c r="T199" s="5" t="s">
        <v>115</v>
      </c>
      <c r="U199" s="5" t="s">
        <v>115</v>
      </c>
      <c r="V199" s="5" t="s">
        <v>115</v>
      </c>
      <c r="W199" s="5"/>
      <c r="X199" s="5"/>
      <c r="Y199" s="5"/>
      <c r="Z199" s="5" t="s">
        <v>115</v>
      </c>
      <c r="AA199" s="5" t="s">
        <v>115</v>
      </c>
      <c r="AB199" s="5" t="s">
        <v>115</v>
      </c>
      <c r="AC199" s="5" t="s">
        <v>115</v>
      </c>
      <c r="AD199" s="5" t="s">
        <v>115</v>
      </c>
      <c r="AE199" s="5" t="s">
        <v>115</v>
      </c>
      <c r="AF199" s="5" t="s">
        <v>115</v>
      </c>
      <c r="AG199" s="5" t="s">
        <v>115</v>
      </c>
      <c r="AH199">
        <v>0</v>
      </c>
      <c r="AI199">
        <v>0</v>
      </c>
      <c r="AJ199">
        <v>0</v>
      </c>
      <c r="AK199">
        <v>0</v>
      </c>
      <c r="AL199">
        <v>34</v>
      </c>
      <c r="AM199">
        <f t="shared" si="3"/>
        <v>34</v>
      </c>
      <c r="AN199" t="s">
        <v>188</v>
      </c>
    </row>
    <row r="200" spans="1:43" x14ac:dyDescent="0.2">
      <c r="A200" t="s">
        <v>3870</v>
      </c>
      <c r="B200" t="s">
        <v>3871</v>
      </c>
      <c r="C200">
        <v>4</v>
      </c>
      <c r="D200">
        <v>1</v>
      </c>
      <c r="E200" t="s">
        <v>2601</v>
      </c>
      <c r="F200" s="1">
        <v>43590</v>
      </c>
      <c r="G200" s="1" t="s">
        <v>4028</v>
      </c>
      <c r="H200" s="1"/>
      <c r="I200" s="2">
        <v>2.361111111111111E-2</v>
      </c>
      <c r="J200" s="176">
        <v>3.9351851851851852E-4</v>
      </c>
      <c r="K200" s="6">
        <v>34</v>
      </c>
      <c r="L200" t="s">
        <v>1278</v>
      </c>
      <c r="M200" t="s">
        <v>173</v>
      </c>
      <c r="N200" t="s">
        <v>102</v>
      </c>
      <c r="O200" t="s">
        <v>115</v>
      </c>
      <c r="P200" t="s">
        <v>24</v>
      </c>
      <c r="Q200">
        <v>0</v>
      </c>
      <c r="R200">
        <v>0</v>
      </c>
      <c r="T200" s="5" t="s">
        <v>115</v>
      </c>
      <c r="U200" s="5" t="s">
        <v>115</v>
      </c>
      <c r="V200" s="5" t="s">
        <v>115</v>
      </c>
      <c r="W200" s="5"/>
      <c r="X200" s="5"/>
      <c r="Y200" s="5"/>
      <c r="Z200" s="5" t="s">
        <v>115</v>
      </c>
      <c r="AA200" s="5" t="s">
        <v>115</v>
      </c>
      <c r="AB200" s="5" t="s">
        <v>115</v>
      </c>
      <c r="AC200" s="5" t="s">
        <v>115</v>
      </c>
      <c r="AD200" s="5" t="s">
        <v>115</v>
      </c>
      <c r="AE200" s="5" t="s">
        <v>115</v>
      </c>
      <c r="AF200" s="5" t="s">
        <v>115</v>
      </c>
      <c r="AG200" s="5" t="s">
        <v>115</v>
      </c>
      <c r="AH200">
        <v>0</v>
      </c>
      <c r="AI200">
        <v>0</v>
      </c>
      <c r="AJ200">
        <v>0</v>
      </c>
      <c r="AK200">
        <v>0</v>
      </c>
      <c r="AL200">
        <v>34</v>
      </c>
      <c r="AM200">
        <f t="shared" si="3"/>
        <v>34</v>
      </c>
      <c r="AN200" t="s">
        <v>188</v>
      </c>
    </row>
    <row r="201" spans="1:43" x14ac:dyDescent="0.2">
      <c r="A201" t="s">
        <v>2859</v>
      </c>
      <c r="B201" t="s">
        <v>2860</v>
      </c>
      <c r="C201">
        <v>2</v>
      </c>
      <c r="D201">
        <v>1</v>
      </c>
      <c r="E201" t="s">
        <v>324</v>
      </c>
      <c r="F201" s="1">
        <v>43558</v>
      </c>
      <c r="G201" s="1" t="s">
        <v>4027</v>
      </c>
      <c r="H201" s="1"/>
      <c r="I201" s="2">
        <v>2.2916666666666669E-2</v>
      </c>
      <c r="J201" s="176">
        <v>3.8194444444444446E-4</v>
      </c>
      <c r="K201" s="6">
        <v>33</v>
      </c>
      <c r="M201" t="s">
        <v>325</v>
      </c>
      <c r="N201" t="s">
        <v>102</v>
      </c>
      <c r="O201" t="s">
        <v>23</v>
      </c>
      <c r="P201">
        <v>0</v>
      </c>
      <c r="Q201">
        <v>0</v>
      </c>
      <c r="R201">
        <v>0</v>
      </c>
      <c r="T201" s="5" t="s">
        <v>115</v>
      </c>
      <c r="U201" s="5" t="s">
        <v>115</v>
      </c>
      <c r="V201" s="5" t="s">
        <v>115</v>
      </c>
      <c r="W201" s="5"/>
      <c r="X201" s="5"/>
      <c r="Y201" s="5"/>
      <c r="Z201" s="5" t="s">
        <v>115</v>
      </c>
      <c r="AA201" s="5" t="s">
        <v>115</v>
      </c>
      <c r="AB201" s="5" t="s">
        <v>115</v>
      </c>
      <c r="AC201" s="5" t="s">
        <v>115</v>
      </c>
      <c r="AD201" s="5" t="s">
        <v>115</v>
      </c>
      <c r="AE201" s="5" t="s">
        <v>115</v>
      </c>
      <c r="AF201" s="5" t="s">
        <v>115</v>
      </c>
      <c r="AG201" s="5"/>
      <c r="AH201">
        <v>33</v>
      </c>
      <c r="AI201">
        <v>0</v>
      </c>
      <c r="AJ201">
        <v>0</v>
      </c>
      <c r="AK201">
        <v>33</v>
      </c>
      <c r="AL201">
        <v>0</v>
      </c>
      <c r="AM201">
        <f t="shared" si="3"/>
        <v>33</v>
      </c>
      <c r="AN201" t="s">
        <v>188</v>
      </c>
    </row>
    <row r="202" spans="1:43" x14ac:dyDescent="0.2">
      <c r="A202" t="s">
        <v>3137</v>
      </c>
      <c r="B202" t="s">
        <v>3138</v>
      </c>
      <c r="C202">
        <v>1</v>
      </c>
      <c r="D202">
        <v>1</v>
      </c>
      <c r="E202" t="s">
        <v>2462</v>
      </c>
      <c r="F202" s="1">
        <v>43571</v>
      </c>
      <c r="G202" s="1" t="s">
        <v>4027</v>
      </c>
      <c r="H202" s="1"/>
      <c r="I202" s="2">
        <v>4.7222222222222221E-2</v>
      </c>
      <c r="J202" s="176">
        <v>7.8703703703703705E-4</v>
      </c>
      <c r="K202" s="6">
        <v>68</v>
      </c>
      <c r="L202" t="s">
        <v>1278</v>
      </c>
      <c r="M202" t="s">
        <v>64</v>
      </c>
      <c r="N202" t="s">
        <v>102</v>
      </c>
      <c r="O202" t="s">
        <v>23</v>
      </c>
      <c r="P202">
        <v>1</v>
      </c>
      <c r="Q202">
        <v>0</v>
      </c>
      <c r="R202">
        <v>1</v>
      </c>
      <c r="S202" t="s">
        <v>14</v>
      </c>
      <c r="T202" s="5" t="s">
        <v>3139</v>
      </c>
      <c r="U202" s="5" t="s">
        <v>122</v>
      </c>
      <c r="V202" s="5" t="s">
        <v>1035</v>
      </c>
      <c r="W202" s="5" t="s">
        <v>23</v>
      </c>
      <c r="X202" s="5" t="s">
        <v>3997</v>
      </c>
      <c r="Y202" s="5" t="s">
        <v>4006</v>
      </c>
      <c r="Z202" t="s">
        <v>2825</v>
      </c>
      <c r="AA202">
        <v>70</v>
      </c>
      <c r="AB202">
        <v>1</v>
      </c>
      <c r="AC202">
        <v>63.735900000000001</v>
      </c>
      <c r="AD202">
        <v>148.89832000000001</v>
      </c>
      <c r="AE202" s="5" t="s">
        <v>115</v>
      </c>
      <c r="AF202" s="5" t="s">
        <v>115</v>
      </c>
      <c r="AG202" s="5"/>
      <c r="AH202">
        <v>0</v>
      </c>
      <c r="AI202">
        <v>0</v>
      </c>
      <c r="AJ202">
        <v>0</v>
      </c>
      <c r="AK202">
        <v>0</v>
      </c>
      <c r="AL202">
        <v>33</v>
      </c>
      <c r="AM202">
        <f t="shared" si="3"/>
        <v>33</v>
      </c>
      <c r="AN202" t="s">
        <v>188</v>
      </c>
      <c r="AO202" t="s">
        <v>3140</v>
      </c>
    </row>
    <row r="203" spans="1:43" x14ac:dyDescent="0.2">
      <c r="A203" t="s">
        <v>3885</v>
      </c>
      <c r="B203" t="s">
        <v>3886</v>
      </c>
      <c r="C203">
        <v>1</v>
      </c>
      <c r="D203">
        <v>1</v>
      </c>
      <c r="E203" t="s">
        <v>2462</v>
      </c>
      <c r="F203" s="1">
        <v>43591</v>
      </c>
      <c r="G203" s="1" t="s">
        <v>4028</v>
      </c>
      <c r="H203" s="1"/>
      <c r="I203" s="2">
        <v>2.9861111111111113E-2</v>
      </c>
      <c r="J203" s="176">
        <v>4.9768518518518521E-4</v>
      </c>
      <c r="K203" s="6">
        <v>43</v>
      </c>
      <c r="L203" t="s">
        <v>1278</v>
      </c>
      <c r="M203" t="s">
        <v>363</v>
      </c>
      <c r="N203" t="s">
        <v>102</v>
      </c>
      <c r="O203" t="s">
        <v>23</v>
      </c>
      <c r="P203">
        <v>1</v>
      </c>
      <c r="Q203" t="s">
        <v>24</v>
      </c>
      <c r="R203">
        <v>0</v>
      </c>
      <c r="S203" t="s">
        <v>176</v>
      </c>
      <c r="T203" s="5" t="s">
        <v>24</v>
      </c>
      <c r="U203" s="5" t="s">
        <v>709</v>
      </c>
      <c r="V203" s="5" t="s">
        <v>115</v>
      </c>
      <c r="W203" s="5"/>
      <c r="X203" s="5"/>
      <c r="Y203" s="5"/>
      <c r="Z203" s="5" t="s">
        <v>115</v>
      </c>
      <c r="AA203" s="5" t="s">
        <v>115</v>
      </c>
      <c r="AB203" s="5" t="s">
        <v>115</v>
      </c>
      <c r="AC203" s="5" t="s">
        <v>115</v>
      </c>
      <c r="AD203" s="5" t="s">
        <v>115</v>
      </c>
      <c r="AE203" s="5" t="s">
        <v>115</v>
      </c>
      <c r="AF203" s="5" t="s">
        <v>115</v>
      </c>
      <c r="AG203" s="5" t="s">
        <v>115</v>
      </c>
      <c r="AH203">
        <v>0</v>
      </c>
      <c r="AI203">
        <v>0</v>
      </c>
      <c r="AJ203">
        <v>0</v>
      </c>
      <c r="AK203">
        <v>0</v>
      </c>
      <c r="AL203">
        <v>33</v>
      </c>
      <c r="AM203">
        <f t="shared" si="3"/>
        <v>33</v>
      </c>
      <c r="AN203" t="s">
        <v>188</v>
      </c>
    </row>
    <row r="204" spans="1:43" x14ac:dyDescent="0.2">
      <c r="A204" t="s">
        <v>3080</v>
      </c>
      <c r="B204" t="s">
        <v>3083</v>
      </c>
      <c r="C204">
        <v>5</v>
      </c>
      <c r="D204">
        <v>1</v>
      </c>
      <c r="E204" t="s">
        <v>2601</v>
      </c>
      <c r="F204" s="1">
        <v>43570</v>
      </c>
      <c r="G204" s="1" t="s">
        <v>4027</v>
      </c>
      <c r="H204" s="1"/>
      <c r="I204" s="2">
        <v>2.2916666666666669E-2</v>
      </c>
      <c r="J204" s="176">
        <v>3.8194444444444446E-4</v>
      </c>
      <c r="K204" s="6">
        <v>33</v>
      </c>
      <c r="L204" t="s">
        <v>101</v>
      </c>
      <c r="M204" t="s">
        <v>173</v>
      </c>
      <c r="N204" t="s">
        <v>102</v>
      </c>
      <c r="O204" t="s">
        <v>115</v>
      </c>
      <c r="P204" t="s">
        <v>24</v>
      </c>
      <c r="Q204">
        <v>0</v>
      </c>
      <c r="R204">
        <v>0</v>
      </c>
      <c r="T204" s="5" t="s">
        <v>115</v>
      </c>
      <c r="U204" s="5" t="s">
        <v>115</v>
      </c>
      <c r="V204" s="5" t="s">
        <v>115</v>
      </c>
      <c r="W204" s="5"/>
      <c r="X204" s="5"/>
      <c r="Y204" s="5"/>
      <c r="Z204" s="5" t="s">
        <v>115</v>
      </c>
      <c r="AA204" s="5" t="s">
        <v>115</v>
      </c>
      <c r="AB204" s="5" t="s">
        <v>115</v>
      </c>
      <c r="AC204" s="5" t="s">
        <v>115</v>
      </c>
      <c r="AD204" s="5" t="s">
        <v>115</v>
      </c>
      <c r="AE204" s="5" t="s">
        <v>115</v>
      </c>
      <c r="AF204" s="5" t="s">
        <v>115</v>
      </c>
      <c r="AG204" s="5"/>
      <c r="AH204">
        <v>0</v>
      </c>
      <c r="AI204">
        <v>0</v>
      </c>
      <c r="AJ204">
        <v>0</v>
      </c>
      <c r="AK204">
        <v>0</v>
      </c>
      <c r="AL204">
        <v>33</v>
      </c>
      <c r="AM204">
        <f t="shared" si="3"/>
        <v>33</v>
      </c>
      <c r="AN204" t="s">
        <v>188</v>
      </c>
    </row>
    <row r="205" spans="1:43" x14ac:dyDescent="0.2">
      <c r="A205" t="s">
        <v>3367</v>
      </c>
      <c r="B205" t="s">
        <v>3368</v>
      </c>
      <c r="C205">
        <v>7</v>
      </c>
      <c r="D205">
        <v>1</v>
      </c>
      <c r="E205" t="s">
        <v>3171</v>
      </c>
      <c r="F205" s="1">
        <v>43577</v>
      </c>
      <c r="G205" s="1" t="s">
        <v>4027</v>
      </c>
      <c r="H205" s="1" t="s">
        <v>4752</v>
      </c>
      <c r="I205" s="2">
        <v>2.361111111111111E-2</v>
      </c>
      <c r="J205" s="176">
        <v>3.9351851851851852E-4</v>
      </c>
      <c r="K205" s="6">
        <v>34</v>
      </c>
      <c r="L205" t="s">
        <v>101</v>
      </c>
      <c r="M205" t="s">
        <v>670</v>
      </c>
      <c r="N205" t="s">
        <v>102</v>
      </c>
      <c r="O205" t="s">
        <v>23</v>
      </c>
      <c r="P205" t="s">
        <v>24</v>
      </c>
      <c r="Q205" t="s">
        <v>24</v>
      </c>
      <c r="R205">
        <v>0</v>
      </c>
      <c r="T205" s="5" t="s">
        <v>115</v>
      </c>
      <c r="U205" s="5" t="s">
        <v>115</v>
      </c>
      <c r="V205" s="5" t="s">
        <v>115</v>
      </c>
      <c r="W205" s="5"/>
      <c r="X205" s="5"/>
      <c r="Y205" s="5"/>
      <c r="Z205" s="5" t="s">
        <v>115</v>
      </c>
      <c r="AA205" s="5" t="s">
        <v>115</v>
      </c>
      <c r="AB205" s="5" t="s">
        <v>115</v>
      </c>
      <c r="AC205" s="5" t="s">
        <v>115</v>
      </c>
      <c r="AD205" s="5" t="s">
        <v>115</v>
      </c>
      <c r="AE205" s="5" t="s">
        <v>115</v>
      </c>
      <c r="AF205" s="5" t="s">
        <v>115</v>
      </c>
      <c r="AG205" s="5" t="s">
        <v>115</v>
      </c>
      <c r="AH205">
        <v>33</v>
      </c>
      <c r="AI205">
        <v>0</v>
      </c>
      <c r="AJ205">
        <v>0</v>
      </c>
      <c r="AK205">
        <v>33</v>
      </c>
      <c r="AL205">
        <v>0</v>
      </c>
      <c r="AM205">
        <f t="shared" si="3"/>
        <v>33</v>
      </c>
      <c r="AN205" t="s">
        <v>2374</v>
      </c>
      <c r="AO205" t="s">
        <v>3371</v>
      </c>
      <c r="AP205">
        <v>2</v>
      </c>
      <c r="AQ205">
        <v>0</v>
      </c>
    </row>
    <row r="206" spans="1:43" x14ac:dyDescent="0.2">
      <c r="A206" t="s">
        <v>3582</v>
      </c>
      <c r="B206" t="s">
        <v>3583</v>
      </c>
      <c r="C206">
        <v>34</v>
      </c>
      <c r="D206">
        <v>1</v>
      </c>
      <c r="E206" t="s">
        <v>3171</v>
      </c>
      <c r="F206" s="1">
        <v>43580</v>
      </c>
      <c r="G206" s="1" t="s">
        <v>4027</v>
      </c>
      <c r="H206" s="1"/>
      <c r="I206" s="2">
        <v>2.2916666666666669E-2</v>
      </c>
      <c r="J206" s="176">
        <v>3.8194444444444446E-4</v>
      </c>
      <c r="K206" s="6">
        <v>33</v>
      </c>
      <c r="L206" t="s">
        <v>101</v>
      </c>
      <c r="M206" t="s">
        <v>149</v>
      </c>
      <c r="N206" t="s">
        <v>102</v>
      </c>
      <c r="O206" t="s">
        <v>115</v>
      </c>
      <c r="P206" t="s">
        <v>24</v>
      </c>
      <c r="Q206">
        <v>0</v>
      </c>
      <c r="R206">
        <v>0</v>
      </c>
      <c r="T206" s="5" t="s">
        <v>115</v>
      </c>
      <c r="U206" s="5" t="s">
        <v>115</v>
      </c>
      <c r="V206" s="5" t="s">
        <v>115</v>
      </c>
      <c r="W206" s="5"/>
      <c r="X206" s="5"/>
      <c r="Y206" s="5"/>
      <c r="Z206" s="5" t="s">
        <v>115</v>
      </c>
      <c r="AA206" s="5" t="s">
        <v>115</v>
      </c>
      <c r="AB206" s="5" t="s">
        <v>115</v>
      </c>
      <c r="AC206" s="5" t="s">
        <v>115</v>
      </c>
      <c r="AD206" s="5" t="s">
        <v>115</v>
      </c>
      <c r="AE206" s="5" t="s">
        <v>115</v>
      </c>
      <c r="AF206" s="5" t="s">
        <v>115</v>
      </c>
      <c r="AG206" s="5" t="s">
        <v>115</v>
      </c>
      <c r="AH206">
        <v>0</v>
      </c>
      <c r="AI206">
        <v>0</v>
      </c>
      <c r="AJ206">
        <v>0</v>
      </c>
      <c r="AK206">
        <v>0</v>
      </c>
      <c r="AL206">
        <v>33</v>
      </c>
      <c r="AM206">
        <f t="shared" si="3"/>
        <v>33</v>
      </c>
      <c r="AN206" t="s">
        <v>188</v>
      </c>
    </row>
    <row r="207" spans="1:43" x14ac:dyDescent="0.2">
      <c r="A207" t="s">
        <v>2734</v>
      </c>
      <c r="B207" t="s">
        <v>2735</v>
      </c>
      <c r="C207">
        <v>4</v>
      </c>
      <c r="D207">
        <v>1</v>
      </c>
      <c r="E207" t="s">
        <v>834</v>
      </c>
      <c r="F207" s="1">
        <v>43554</v>
      </c>
      <c r="G207" s="1" t="s">
        <v>4026</v>
      </c>
      <c r="H207" s="1"/>
      <c r="I207" s="2">
        <v>2.2222222222222223E-2</v>
      </c>
      <c r="J207" s="176">
        <v>3.7037037037037035E-4</v>
      </c>
      <c r="K207" s="6">
        <v>32</v>
      </c>
      <c r="M207" t="s">
        <v>466</v>
      </c>
      <c r="N207" t="s">
        <v>102</v>
      </c>
      <c r="O207" t="s">
        <v>115</v>
      </c>
      <c r="P207">
        <v>1</v>
      </c>
      <c r="Q207">
        <v>0</v>
      </c>
      <c r="R207">
        <v>0</v>
      </c>
      <c r="S207" t="s">
        <v>14</v>
      </c>
      <c r="T207" s="5" t="s">
        <v>14</v>
      </c>
      <c r="U207" s="5" t="s">
        <v>122</v>
      </c>
      <c r="V207" s="5" t="s">
        <v>115</v>
      </c>
      <c r="W207" s="5"/>
      <c r="X207" s="5"/>
      <c r="Y207" s="5"/>
      <c r="Z207" s="5" t="s">
        <v>115</v>
      </c>
      <c r="AA207" s="5" t="s">
        <v>115</v>
      </c>
      <c r="AB207" s="5" t="s">
        <v>115</v>
      </c>
      <c r="AC207" s="5" t="s">
        <v>115</v>
      </c>
      <c r="AD207" s="5" t="s">
        <v>115</v>
      </c>
      <c r="AE207" s="5" t="s">
        <v>115</v>
      </c>
      <c r="AF207" s="5" t="s">
        <v>115</v>
      </c>
      <c r="AG207" s="5"/>
      <c r="AH207">
        <v>0</v>
      </c>
      <c r="AI207">
        <v>0</v>
      </c>
      <c r="AJ207">
        <v>0</v>
      </c>
      <c r="AK207">
        <v>0</v>
      </c>
      <c r="AL207">
        <v>32</v>
      </c>
      <c r="AM207">
        <f t="shared" si="3"/>
        <v>32</v>
      </c>
      <c r="AN207" t="s">
        <v>188</v>
      </c>
    </row>
    <row r="208" spans="1:43" x14ac:dyDescent="0.2">
      <c r="A208" t="s">
        <v>3034</v>
      </c>
      <c r="B208" t="s">
        <v>3035</v>
      </c>
      <c r="C208">
        <v>8</v>
      </c>
      <c r="D208">
        <v>1</v>
      </c>
      <c r="E208" t="s">
        <v>2487</v>
      </c>
      <c r="F208" s="1">
        <v>43564</v>
      </c>
      <c r="G208" s="1" t="s">
        <v>4027</v>
      </c>
      <c r="H208" s="1"/>
      <c r="I208" s="2">
        <v>2.2222222222222223E-2</v>
      </c>
      <c r="J208" s="176">
        <v>3.7037037037037035E-4</v>
      </c>
      <c r="K208" s="6">
        <v>32</v>
      </c>
      <c r="M208" t="s">
        <v>2498</v>
      </c>
      <c r="N208" t="s">
        <v>102</v>
      </c>
      <c r="O208" t="s">
        <v>115</v>
      </c>
      <c r="P208">
        <v>0</v>
      </c>
      <c r="Q208">
        <v>0</v>
      </c>
      <c r="R208">
        <v>0</v>
      </c>
      <c r="T208" s="5" t="s">
        <v>115</v>
      </c>
      <c r="U208" s="5" t="s">
        <v>115</v>
      </c>
      <c r="V208" s="5" t="s">
        <v>115</v>
      </c>
      <c r="W208" s="5"/>
      <c r="X208" s="5"/>
      <c r="Y208" s="5"/>
      <c r="Z208" s="5" t="s">
        <v>115</v>
      </c>
      <c r="AA208" s="5" t="s">
        <v>115</v>
      </c>
      <c r="AB208" s="5" t="s">
        <v>115</v>
      </c>
      <c r="AC208" s="5" t="s">
        <v>115</v>
      </c>
      <c r="AD208" s="5" t="s">
        <v>115</v>
      </c>
      <c r="AE208" s="5" t="s">
        <v>115</v>
      </c>
      <c r="AF208" s="5" t="s">
        <v>115</v>
      </c>
      <c r="AG208" s="5"/>
      <c r="AH208">
        <v>0</v>
      </c>
      <c r="AI208">
        <v>0</v>
      </c>
      <c r="AJ208">
        <v>0</v>
      </c>
      <c r="AK208">
        <v>0</v>
      </c>
      <c r="AL208">
        <v>32</v>
      </c>
      <c r="AM208">
        <f t="shared" si="3"/>
        <v>32</v>
      </c>
      <c r="AN208" t="s">
        <v>188</v>
      </c>
    </row>
    <row r="209" spans="1:41" x14ac:dyDescent="0.2">
      <c r="A209" t="s">
        <v>3029</v>
      </c>
      <c r="B209" t="s">
        <v>3030</v>
      </c>
      <c r="C209">
        <v>6</v>
      </c>
      <c r="D209">
        <v>1</v>
      </c>
      <c r="E209" t="s">
        <v>2487</v>
      </c>
      <c r="F209" s="1">
        <v>43564</v>
      </c>
      <c r="G209" s="1" t="s">
        <v>4027</v>
      </c>
      <c r="H209" s="1"/>
      <c r="I209" s="2">
        <v>2.2222222222222223E-2</v>
      </c>
      <c r="J209" s="176">
        <v>3.7037037037037035E-4</v>
      </c>
      <c r="K209" s="6">
        <v>32</v>
      </c>
      <c r="M209" t="s">
        <v>2498</v>
      </c>
      <c r="N209" t="s">
        <v>102</v>
      </c>
      <c r="O209" t="s">
        <v>115</v>
      </c>
      <c r="P209">
        <v>0</v>
      </c>
      <c r="Q209">
        <v>0</v>
      </c>
      <c r="R209">
        <v>0</v>
      </c>
      <c r="T209" s="5" t="s">
        <v>115</v>
      </c>
      <c r="U209" s="5" t="s">
        <v>115</v>
      </c>
      <c r="V209" s="5" t="s">
        <v>115</v>
      </c>
      <c r="W209" s="5"/>
      <c r="X209" s="5"/>
      <c r="Y209" s="5"/>
      <c r="Z209" s="5" t="s">
        <v>115</v>
      </c>
      <c r="AA209" s="5" t="s">
        <v>115</v>
      </c>
      <c r="AB209" s="5" t="s">
        <v>115</v>
      </c>
      <c r="AC209" s="5" t="s">
        <v>115</v>
      </c>
      <c r="AD209" s="5" t="s">
        <v>115</v>
      </c>
      <c r="AE209" s="5" t="s">
        <v>115</v>
      </c>
      <c r="AF209" s="5" t="s">
        <v>115</v>
      </c>
      <c r="AG209" s="5"/>
      <c r="AH209">
        <v>0</v>
      </c>
      <c r="AI209">
        <v>0</v>
      </c>
      <c r="AJ209">
        <v>0</v>
      </c>
      <c r="AK209">
        <v>0</v>
      </c>
      <c r="AL209">
        <v>32</v>
      </c>
      <c r="AM209">
        <f t="shared" si="3"/>
        <v>32</v>
      </c>
      <c r="AN209" t="s">
        <v>188</v>
      </c>
    </row>
    <row r="210" spans="1:41" x14ac:dyDescent="0.2">
      <c r="A210" t="s">
        <v>3612</v>
      </c>
      <c r="B210" t="s">
        <v>3613</v>
      </c>
      <c r="C210">
        <v>5</v>
      </c>
      <c r="D210">
        <v>1</v>
      </c>
      <c r="E210" t="s">
        <v>791</v>
      </c>
      <c r="F210" s="1">
        <v>43581</v>
      </c>
      <c r="G210" s="1" t="s">
        <v>4027</v>
      </c>
      <c r="H210" s="1"/>
      <c r="I210" s="2">
        <v>2.2222222222222223E-2</v>
      </c>
      <c r="J210" s="176">
        <v>3.7037037037037035E-4</v>
      </c>
      <c r="K210" s="6">
        <v>32</v>
      </c>
      <c r="M210" t="s">
        <v>924</v>
      </c>
      <c r="N210" t="s">
        <v>102</v>
      </c>
      <c r="O210" t="s">
        <v>115</v>
      </c>
      <c r="P210">
        <v>2</v>
      </c>
      <c r="Q210">
        <v>0</v>
      </c>
      <c r="R210">
        <v>0</v>
      </c>
      <c r="S210" t="s">
        <v>176</v>
      </c>
      <c r="T210" s="5" t="s">
        <v>2727</v>
      </c>
      <c r="U210" s="5" t="s">
        <v>122</v>
      </c>
      <c r="V210" s="5" t="s">
        <v>115</v>
      </c>
      <c r="W210" s="5"/>
      <c r="X210" s="5"/>
      <c r="Y210" s="5"/>
      <c r="Z210" s="5" t="s">
        <v>115</v>
      </c>
      <c r="AA210" s="5" t="s">
        <v>115</v>
      </c>
      <c r="AB210" s="5" t="s">
        <v>115</v>
      </c>
      <c r="AC210" s="5" t="s">
        <v>115</v>
      </c>
      <c r="AD210" s="5" t="s">
        <v>115</v>
      </c>
      <c r="AE210" s="5" t="s">
        <v>115</v>
      </c>
      <c r="AF210" s="5" t="s">
        <v>115</v>
      </c>
      <c r="AG210" s="5" t="s">
        <v>115</v>
      </c>
      <c r="AH210">
        <v>0</v>
      </c>
      <c r="AI210">
        <v>0</v>
      </c>
      <c r="AJ210">
        <v>0</v>
      </c>
      <c r="AK210">
        <v>0</v>
      </c>
      <c r="AL210">
        <v>32</v>
      </c>
      <c r="AM210">
        <f t="shared" si="3"/>
        <v>32</v>
      </c>
      <c r="AN210" t="s">
        <v>188</v>
      </c>
    </row>
    <row r="211" spans="1:41" x14ac:dyDescent="0.2">
      <c r="A211" t="s">
        <v>2643</v>
      </c>
      <c r="B211" t="s">
        <v>2644</v>
      </c>
      <c r="C211">
        <v>9</v>
      </c>
      <c r="D211">
        <v>1</v>
      </c>
      <c r="E211" t="s">
        <v>2487</v>
      </c>
      <c r="F211" s="1">
        <v>43551</v>
      </c>
      <c r="G211" s="1" t="s">
        <v>4026</v>
      </c>
      <c r="H211" s="1"/>
      <c r="I211" s="2">
        <v>2.361111111111111E-2</v>
      </c>
      <c r="J211" s="176">
        <v>3.9351851851851852E-4</v>
      </c>
      <c r="K211" s="6">
        <v>34</v>
      </c>
      <c r="L211" s="5" t="s">
        <v>398</v>
      </c>
      <c r="M211" t="s">
        <v>2488</v>
      </c>
      <c r="N211" t="s">
        <v>102</v>
      </c>
      <c r="O211" t="s">
        <v>115</v>
      </c>
      <c r="P211" t="s">
        <v>24</v>
      </c>
      <c r="Q211">
        <v>0</v>
      </c>
      <c r="R211">
        <v>0</v>
      </c>
      <c r="T211" t="s">
        <v>115</v>
      </c>
      <c r="U211" t="s">
        <v>115</v>
      </c>
      <c r="V211" t="s">
        <v>115</v>
      </c>
      <c r="Z211" t="s">
        <v>115</v>
      </c>
      <c r="AA211" t="s">
        <v>115</v>
      </c>
      <c r="AB211" t="s">
        <v>115</v>
      </c>
      <c r="AC211" t="s">
        <v>115</v>
      </c>
      <c r="AD211" t="s">
        <v>115</v>
      </c>
      <c r="AE211" t="s">
        <v>115</v>
      </c>
      <c r="AF211" t="s">
        <v>115</v>
      </c>
      <c r="AH211">
        <v>0</v>
      </c>
      <c r="AI211">
        <v>0</v>
      </c>
      <c r="AJ211">
        <v>0</v>
      </c>
      <c r="AK211">
        <v>0</v>
      </c>
      <c r="AL211">
        <v>32</v>
      </c>
      <c r="AM211">
        <f t="shared" si="3"/>
        <v>32</v>
      </c>
      <c r="AN211" t="s">
        <v>188</v>
      </c>
    </row>
    <row r="212" spans="1:41" x14ac:dyDescent="0.2">
      <c r="A212" t="s">
        <v>2421</v>
      </c>
      <c r="B212" t="s">
        <v>2422</v>
      </c>
      <c r="C212">
        <v>2</v>
      </c>
      <c r="D212">
        <v>1</v>
      </c>
      <c r="E212" t="s">
        <v>2420</v>
      </c>
      <c r="F212" s="1">
        <v>43546</v>
      </c>
      <c r="G212" s="1" t="s">
        <v>4026</v>
      </c>
      <c r="H212" s="1"/>
      <c r="I212" s="2">
        <v>4.7916666666666663E-2</v>
      </c>
      <c r="J212" s="176">
        <v>7.9861111111111105E-4</v>
      </c>
      <c r="K212" s="6">
        <v>69</v>
      </c>
      <c r="L212" t="s">
        <v>101</v>
      </c>
      <c r="M212" t="s">
        <v>241</v>
      </c>
      <c r="N212" t="s">
        <v>102</v>
      </c>
      <c r="O212" t="s">
        <v>2423</v>
      </c>
      <c r="P212">
        <v>0</v>
      </c>
      <c r="Q212">
        <v>0</v>
      </c>
      <c r="R212">
        <v>0</v>
      </c>
      <c r="T212" t="s">
        <v>115</v>
      </c>
      <c r="U212" t="s">
        <v>115</v>
      </c>
      <c r="V212" t="s">
        <v>115</v>
      </c>
      <c r="Z212" t="s">
        <v>115</v>
      </c>
      <c r="AA212" t="s">
        <v>115</v>
      </c>
      <c r="AB212" t="s">
        <v>115</v>
      </c>
      <c r="AC212" t="s">
        <v>115</v>
      </c>
      <c r="AD212" t="s">
        <v>115</v>
      </c>
      <c r="AH212">
        <v>10</v>
      </c>
      <c r="AI212">
        <v>0</v>
      </c>
      <c r="AJ212">
        <v>10</v>
      </c>
      <c r="AK212">
        <v>0</v>
      </c>
      <c r="AL212">
        <v>21</v>
      </c>
      <c r="AM212">
        <f t="shared" si="3"/>
        <v>31</v>
      </c>
      <c r="AN212" t="s">
        <v>1672</v>
      </c>
      <c r="AO212" t="s">
        <v>2424</v>
      </c>
    </row>
    <row r="213" spans="1:41" x14ac:dyDescent="0.2">
      <c r="A213" t="s">
        <v>2914</v>
      </c>
      <c r="B213" t="s">
        <v>2915</v>
      </c>
      <c r="C213">
        <v>1</v>
      </c>
      <c r="D213">
        <v>1</v>
      </c>
      <c r="E213" t="s">
        <v>2462</v>
      </c>
      <c r="F213" s="1">
        <v>43559</v>
      </c>
      <c r="G213" s="1" t="s">
        <v>4027</v>
      </c>
      <c r="H213" s="1"/>
      <c r="I213" s="2">
        <v>2.1527777777777781E-2</v>
      </c>
      <c r="J213" s="176">
        <v>3.5879629629629635E-4</v>
      </c>
      <c r="K213" s="6">
        <v>31</v>
      </c>
      <c r="M213" t="s">
        <v>64</v>
      </c>
      <c r="N213" t="s">
        <v>102</v>
      </c>
      <c r="O213" t="s">
        <v>115</v>
      </c>
      <c r="P213">
        <v>0</v>
      </c>
      <c r="Q213">
        <v>0</v>
      </c>
      <c r="R213">
        <v>0</v>
      </c>
      <c r="T213" s="5" t="s">
        <v>115</v>
      </c>
      <c r="U213" s="5" t="s">
        <v>115</v>
      </c>
      <c r="V213" s="5" t="s">
        <v>115</v>
      </c>
      <c r="W213" s="5"/>
      <c r="X213" s="5"/>
      <c r="Y213" s="5"/>
      <c r="Z213" s="5" t="s">
        <v>115</v>
      </c>
      <c r="AA213" s="5" t="s">
        <v>115</v>
      </c>
      <c r="AB213" s="5" t="s">
        <v>115</v>
      </c>
      <c r="AC213" s="5" t="s">
        <v>115</v>
      </c>
      <c r="AD213" s="5" t="s">
        <v>115</v>
      </c>
      <c r="AE213" s="5" t="s">
        <v>115</v>
      </c>
      <c r="AF213" s="5" t="s">
        <v>115</v>
      </c>
      <c r="AG213" s="5"/>
      <c r="AH213">
        <v>0</v>
      </c>
      <c r="AI213">
        <v>0</v>
      </c>
      <c r="AJ213">
        <v>0</v>
      </c>
      <c r="AK213">
        <v>0</v>
      </c>
      <c r="AL213">
        <v>31</v>
      </c>
      <c r="AM213">
        <f t="shared" si="3"/>
        <v>31</v>
      </c>
      <c r="AN213" t="s">
        <v>188</v>
      </c>
    </row>
    <row r="214" spans="1:41" x14ac:dyDescent="0.2">
      <c r="A214" t="s">
        <v>3113</v>
      </c>
      <c r="B214" t="s">
        <v>3114</v>
      </c>
      <c r="C214">
        <v>9</v>
      </c>
      <c r="D214">
        <v>1</v>
      </c>
      <c r="E214" t="s">
        <v>324</v>
      </c>
      <c r="F214" s="1">
        <v>43570</v>
      </c>
      <c r="G214" s="1" t="s">
        <v>4027</v>
      </c>
      <c r="H214" s="1"/>
      <c r="I214" s="2">
        <v>2.1527777777777781E-2</v>
      </c>
      <c r="J214" s="176">
        <v>3.5879629629629635E-4</v>
      </c>
      <c r="K214" s="6">
        <v>31</v>
      </c>
      <c r="L214" t="s">
        <v>101</v>
      </c>
      <c r="M214" t="s">
        <v>325</v>
      </c>
      <c r="N214" t="s">
        <v>102</v>
      </c>
      <c r="O214" t="s">
        <v>23</v>
      </c>
      <c r="P214">
        <v>2</v>
      </c>
      <c r="Q214" t="s">
        <v>24</v>
      </c>
      <c r="R214">
        <v>0</v>
      </c>
      <c r="S214" t="s">
        <v>176</v>
      </c>
      <c r="T214" s="5" t="s">
        <v>24</v>
      </c>
      <c r="U214" s="5" t="s">
        <v>2068</v>
      </c>
      <c r="V214" s="5" t="s">
        <v>115</v>
      </c>
      <c r="W214" s="5"/>
      <c r="X214" s="5"/>
      <c r="Y214" s="5"/>
      <c r="Z214" s="5" t="s">
        <v>115</v>
      </c>
      <c r="AA214" s="5" t="s">
        <v>115</v>
      </c>
      <c r="AB214" s="5" t="s">
        <v>115</v>
      </c>
      <c r="AC214" s="5" t="s">
        <v>115</v>
      </c>
      <c r="AD214" s="5" t="s">
        <v>115</v>
      </c>
      <c r="AE214" s="5" t="s">
        <v>115</v>
      </c>
      <c r="AF214" s="5" t="s">
        <v>115</v>
      </c>
      <c r="AG214" s="5"/>
      <c r="AH214">
        <v>31</v>
      </c>
      <c r="AI214">
        <v>0</v>
      </c>
      <c r="AJ214">
        <v>0</v>
      </c>
      <c r="AK214">
        <v>31</v>
      </c>
      <c r="AL214">
        <v>0</v>
      </c>
      <c r="AM214">
        <f t="shared" si="3"/>
        <v>31</v>
      </c>
      <c r="AN214" t="s">
        <v>188</v>
      </c>
    </row>
    <row r="215" spans="1:41" x14ac:dyDescent="0.2">
      <c r="A215" t="s">
        <v>3361</v>
      </c>
      <c r="B215" t="s">
        <v>3362</v>
      </c>
      <c r="C215">
        <v>4</v>
      </c>
      <c r="D215">
        <v>2</v>
      </c>
      <c r="E215" t="s">
        <v>3171</v>
      </c>
      <c r="F215" s="1">
        <v>43577</v>
      </c>
      <c r="G215" s="1" t="s">
        <v>4027</v>
      </c>
      <c r="H215" s="1" t="s">
        <v>4752</v>
      </c>
      <c r="I215" s="2">
        <v>4.3750000000000004E-2</v>
      </c>
      <c r="J215" s="176">
        <v>7.291666666666667E-4</v>
      </c>
      <c r="K215" s="6">
        <v>63</v>
      </c>
      <c r="L215" t="s">
        <v>101</v>
      </c>
      <c r="M215" t="s">
        <v>670</v>
      </c>
      <c r="N215" t="s">
        <v>102</v>
      </c>
      <c r="O215" t="s">
        <v>115</v>
      </c>
      <c r="P215">
        <v>1</v>
      </c>
      <c r="Q215">
        <v>0</v>
      </c>
      <c r="R215">
        <v>0</v>
      </c>
      <c r="S215" t="s">
        <v>176</v>
      </c>
      <c r="T215" s="5" t="s">
        <v>24</v>
      </c>
      <c r="U215" s="5" t="s">
        <v>122</v>
      </c>
      <c r="V215" s="5" t="s">
        <v>115</v>
      </c>
      <c r="W215" s="5"/>
      <c r="X215" s="5"/>
      <c r="Y215" s="5"/>
      <c r="Z215" s="5" t="s">
        <v>115</v>
      </c>
      <c r="AA215" s="5" t="s">
        <v>115</v>
      </c>
      <c r="AB215" s="5" t="s">
        <v>115</v>
      </c>
      <c r="AC215" s="5" t="s">
        <v>115</v>
      </c>
      <c r="AD215" s="5" t="s">
        <v>115</v>
      </c>
      <c r="AE215" s="5" t="s">
        <v>115</v>
      </c>
      <c r="AF215" s="5" t="s">
        <v>115</v>
      </c>
      <c r="AG215" s="5" t="s">
        <v>115</v>
      </c>
      <c r="AH215">
        <v>0</v>
      </c>
      <c r="AI215">
        <v>0</v>
      </c>
      <c r="AJ215">
        <v>0</v>
      </c>
      <c r="AK215">
        <v>0</v>
      </c>
      <c r="AL215">
        <v>31</v>
      </c>
      <c r="AM215">
        <f t="shared" si="3"/>
        <v>31</v>
      </c>
      <c r="AN215" t="s">
        <v>188</v>
      </c>
    </row>
    <row r="216" spans="1:41" x14ac:dyDescent="0.2">
      <c r="A216" t="s">
        <v>3327</v>
      </c>
      <c r="B216" t="s">
        <v>3328</v>
      </c>
      <c r="C216">
        <v>15</v>
      </c>
      <c r="D216">
        <v>1</v>
      </c>
      <c r="E216" t="s">
        <v>834</v>
      </c>
      <c r="F216" s="1">
        <v>43577</v>
      </c>
      <c r="G216" s="1" t="s">
        <v>4027</v>
      </c>
      <c r="H216" s="1"/>
      <c r="I216" s="2">
        <v>2.1527777777777781E-2</v>
      </c>
      <c r="J216" s="176">
        <v>3.5879629629629635E-4</v>
      </c>
      <c r="K216" s="6">
        <v>31</v>
      </c>
      <c r="L216" t="s">
        <v>101</v>
      </c>
      <c r="M216" t="s">
        <v>466</v>
      </c>
      <c r="N216" t="s">
        <v>102</v>
      </c>
      <c r="O216" t="s">
        <v>115</v>
      </c>
      <c r="P216">
        <v>0</v>
      </c>
      <c r="Q216">
        <v>0</v>
      </c>
      <c r="R216">
        <v>0</v>
      </c>
      <c r="T216" s="5" t="s">
        <v>115</v>
      </c>
      <c r="U216" s="5" t="s">
        <v>115</v>
      </c>
      <c r="V216" s="5" t="s">
        <v>115</v>
      </c>
      <c r="W216" s="5"/>
      <c r="X216" s="5"/>
      <c r="Y216" s="5"/>
      <c r="Z216" s="5" t="s">
        <v>115</v>
      </c>
      <c r="AA216" s="5" t="s">
        <v>115</v>
      </c>
      <c r="AB216" s="5" t="s">
        <v>115</v>
      </c>
      <c r="AC216" s="5" t="s">
        <v>115</v>
      </c>
      <c r="AD216" s="5" t="s">
        <v>115</v>
      </c>
      <c r="AE216" s="5" t="s">
        <v>115</v>
      </c>
      <c r="AF216" s="5" t="s">
        <v>115</v>
      </c>
      <c r="AG216" s="5" t="s">
        <v>115</v>
      </c>
      <c r="AH216">
        <v>0</v>
      </c>
      <c r="AI216">
        <v>0</v>
      </c>
      <c r="AJ216">
        <v>0</v>
      </c>
      <c r="AK216">
        <v>0</v>
      </c>
      <c r="AL216">
        <v>31</v>
      </c>
      <c r="AM216">
        <f t="shared" si="3"/>
        <v>31</v>
      </c>
      <c r="AN216" t="s">
        <v>188</v>
      </c>
    </row>
    <row r="217" spans="1:41" x14ac:dyDescent="0.2">
      <c r="A217" t="s">
        <v>3465</v>
      </c>
      <c r="B217" t="s">
        <v>3466</v>
      </c>
      <c r="C217">
        <v>6</v>
      </c>
      <c r="D217">
        <v>1</v>
      </c>
      <c r="E217" t="s">
        <v>2462</v>
      </c>
      <c r="F217" s="1">
        <v>43579</v>
      </c>
      <c r="G217" s="1" t="s">
        <v>4027</v>
      </c>
      <c r="H217" s="1"/>
      <c r="I217" s="2">
        <v>2.1527777777777781E-2</v>
      </c>
      <c r="J217" s="176">
        <v>3.5879629629629635E-4</v>
      </c>
      <c r="K217" s="6">
        <v>31</v>
      </c>
      <c r="L217" t="s">
        <v>101</v>
      </c>
      <c r="M217" t="s">
        <v>64</v>
      </c>
      <c r="N217" t="s">
        <v>102</v>
      </c>
      <c r="O217" t="s">
        <v>115</v>
      </c>
      <c r="P217">
        <v>1</v>
      </c>
      <c r="Q217">
        <v>0</v>
      </c>
      <c r="R217">
        <v>0</v>
      </c>
      <c r="S217" t="s">
        <v>176</v>
      </c>
      <c r="T217" s="5" t="s">
        <v>24</v>
      </c>
      <c r="U217" s="5" t="s">
        <v>122</v>
      </c>
      <c r="V217" s="5" t="s">
        <v>115</v>
      </c>
      <c r="W217" s="5"/>
      <c r="X217" s="5"/>
      <c r="Y217" s="5"/>
      <c r="Z217" s="5" t="s">
        <v>115</v>
      </c>
      <c r="AA217" s="5" t="s">
        <v>115</v>
      </c>
      <c r="AB217" s="5" t="s">
        <v>115</v>
      </c>
      <c r="AC217" s="5" t="s">
        <v>115</v>
      </c>
      <c r="AD217" s="5" t="s">
        <v>115</v>
      </c>
      <c r="AE217" s="5" t="s">
        <v>115</v>
      </c>
      <c r="AF217" s="5" t="s">
        <v>115</v>
      </c>
      <c r="AG217" s="5" t="s">
        <v>115</v>
      </c>
      <c r="AH217">
        <v>0</v>
      </c>
      <c r="AI217">
        <v>0</v>
      </c>
      <c r="AJ217">
        <v>0</v>
      </c>
      <c r="AK217">
        <v>0</v>
      </c>
      <c r="AL217">
        <v>31</v>
      </c>
      <c r="AM217">
        <f t="shared" si="3"/>
        <v>31</v>
      </c>
      <c r="AN217" t="s">
        <v>188</v>
      </c>
    </row>
    <row r="218" spans="1:41" x14ac:dyDescent="0.2">
      <c r="A218" t="s">
        <v>3595</v>
      </c>
      <c r="B218" t="s">
        <v>3596</v>
      </c>
      <c r="C218">
        <v>39</v>
      </c>
      <c r="D218">
        <v>1</v>
      </c>
      <c r="E218" t="s">
        <v>3171</v>
      </c>
      <c r="F218" s="1">
        <v>43580</v>
      </c>
      <c r="G218" s="1" t="s">
        <v>4027</v>
      </c>
      <c r="H218" s="1" t="s">
        <v>4752</v>
      </c>
      <c r="I218" s="2">
        <v>2.2222222222222223E-2</v>
      </c>
      <c r="J218" s="176">
        <v>3.7037037037037035E-4</v>
      </c>
      <c r="K218" s="6">
        <v>32</v>
      </c>
      <c r="L218" t="s">
        <v>101</v>
      </c>
      <c r="M218" t="s">
        <v>670</v>
      </c>
      <c r="N218" t="s">
        <v>102</v>
      </c>
      <c r="O218" t="s">
        <v>115</v>
      </c>
      <c r="P218">
        <v>0</v>
      </c>
      <c r="Q218">
        <v>0</v>
      </c>
      <c r="R218">
        <v>0</v>
      </c>
      <c r="T218" s="5" t="s">
        <v>115</v>
      </c>
      <c r="U218" s="5" t="s">
        <v>115</v>
      </c>
      <c r="V218" s="5" t="s">
        <v>115</v>
      </c>
      <c r="W218" s="5"/>
      <c r="X218" s="5"/>
      <c r="Y218" s="5"/>
      <c r="Z218" s="5" t="s">
        <v>115</v>
      </c>
      <c r="AA218" s="5" t="s">
        <v>115</v>
      </c>
      <c r="AB218" s="5" t="s">
        <v>115</v>
      </c>
      <c r="AC218" s="5" t="s">
        <v>115</v>
      </c>
      <c r="AD218" s="5" t="s">
        <v>115</v>
      </c>
      <c r="AE218" s="5" t="s">
        <v>115</v>
      </c>
      <c r="AF218" s="5" t="s">
        <v>115</v>
      </c>
      <c r="AG218" s="5" t="s">
        <v>115</v>
      </c>
      <c r="AH218">
        <v>0</v>
      </c>
      <c r="AI218">
        <v>0</v>
      </c>
      <c r="AJ218">
        <v>0</v>
      </c>
      <c r="AK218">
        <v>0</v>
      </c>
      <c r="AL218">
        <v>31</v>
      </c>
      <c r="AM218">
        <f t="shared" si="3"/>
        <v>31</v>
      </c>
      <c r="AN218" t="s">
        <v>188</v>
      </c>
    </row>
    <row r="219" spans="1:41" x14ac:dyDescent="0.2">
      <c r="A219" t="s">
        <v>3527</v>
      </c>
      <c r="B219" t="s">
        <v>3528</v>
      </c>
      <c r="C219">
        <v>7</v>
      </c>
      <c r="D219">
        <v>1</v>
      </c>
      <c r="E219" t="s">
        <v>3171</v>
      </c>
      <c r="F219" s="1">
        <v>43580</v>
      </c>
      <c r="G219" s="1" t="s">
        <v>4027</v>
      </c>
      <c r="H219" s="1"/>
      <c r="I219" s="2">
        <v>2.8472222222222222E-2</v>
      </c>
      <c r="J219" s="176">
        <v>4.7453703703703704E-4</v>
      </c>
      <c r="K219" s="6">
        <v>41</v>
      </c>
      <c r="L219" t="s">
        <v>101</v>
      </c>
      <c r="M219" t="s">
        <v>149</v>
      </c>
      <c r="N219" t="s">
        <v>102</v>
      </c>
      <c r="O219" t="s">
        <v>115</v>
      </c>
      <c r="P219">
        <v>0</v>
      </c>
      <c r="Q219">
        <v>0</v>
      </c>
      <c r="R219">
        <v>0</v>
      </c>
      <c r="T219" s="5" t="s">
        <v>115</v>
      </c>
      <c r="U219" s="5" t="s">
        <v>115</v>
      </c>
      <c r="V219" s="5" t="s">
        <v>115</v>
      </c>
      <c r="W219" s="5"/>
      <c r="X219" s="5"/>
      <c r="Y219" s="5"/>
      <c r="Z219" s="5" t="s">
        <v>115</v>
      </c>
      <c r="AA219" s="5" t="s">
        <v>115</v>
      </c>
      <c r="AB219" s="5" t="s">
        <v>115</v>
      </c>
      <c r="AC219" s="5" t="s">
        <v>115</v>
      </c>
      <c r="AD219" s="5" t="s">
        <v>115</v>
      </c>
      <c r="AE219" s="5" t="s">
        <v>115</v>
      </c>
      <c r="AF219" s="5" t="s">
        <v>115</v>
      </c>
      <c r="AG219" s="5" t="s">
        <v>115</v>
      </c>
      <c r="AH219">
        <v>0</v>
      </c>
      <c r="AI219">
        <v>0</v>
      </c>
      <c r="AJ219">
        <v>0</v>
      </c>
      <c r="AK219">
        <v>0</v>
      </c>
      <c r="AL219">
        <v>31</v>
      </c>
      <c r="AM219">
        <f t="shared" si="3"/>
        <v>31</v>
      </c>
      <c r="AN219" t="s">
        <v>188</v>
      </c>
    </row>
    <row r="220" spans="1:41" x14ac:dyDescent="0.2">
      <c r="A220" t="s">
        <v>3622</v>
      </c>
      <c r="B220" t="s">
        <v>3627</v>
      </c>
      <c r="C220">
        <v>2</v>
      </c>
      <c r="D220">
        <v>1</v>
      </c>
      <c r="E220" t="s">
        <v>834</v>
      </c>
      <c r="F220" s="1">
        <v>43583</v>
      </c>
      <c r="G220" s="1" t="s">
        <v>4027</v>
      </c>
      <c r="H220" s="1"/>
      <c r="I220" s="2">
        <v>2.4999999999999998E-2</v>
      </c>
      <c r="J220" s="176">
        <v>4.1666666666666669E-4</v>
      </c>
      <c r="K220" s="6">
        <v>36</v>
      </c>
      <c r="L220" t="s">
        <v>3626</v>
      </c>
      <c r="M220" t="s">
        <v>466</v>
      </c>
      <c r="N220" t="s">
        <v>102</v>
      </c>
      <c r="O220" t="s">
        <v>115</v>
      </c>
      <c r="P220">
        <v>2</v>
      </c>
      <c r="Q220">
        <v>0</v>
      </c>
      <c r="R220">
        <v>0</v>
      </c>
      <c r="S220" t="s">
        <v>14</v>
      </c>
      <c r="T220" s="5" t="s">
        <v>14</v>
      </c>
      <c r="U220" s="5" t="s">
        <v>122</v>
      </c>
      <c r="V220" s="5" t="s">
        <v>115</v>
      </c>
      <c r="W220" s="5"/>
      <c r="X220" s="5"/>
      <c r="Y220" s="5"/>
      <c r="Z220" s="5" t="s">
        <v>115</v>
      </c>
      <c r="AA220" s="5" t="s">
        <v>115</v>
      </c>
      <c r="AB220" s="5" t="s">
        <v>115</v>
      </c>
      <c r="AC220" s="5" t="s">
        <v>115</v>
      </c>
      <c r="AD220" s="5" t="s">
        <v>115</v>
      </c>
      <c r="AE220" s="5" t="s">
        <v>115</v>
      </c>
      <c r="AF220" s="5" t="s">
        <v>115</v>
      </c>
      <c r="AG220" s="5" t="s">
        <v>115</v>
      </c>
      <c r="AH220">
        <v>0</v>
      </c>
      <c r="AI220">
        <v>0</v>
      </c>
      <c r="AJ220">
        <v>0</v>
      </c>
      <c r="AK220">
        <v>0</v>
      </c>
      <c r="AL220">
        <v>31</v>
      </c>
      <c r="AM220">
        <f t="shared" si="3"/>
        <v>31</v>
      </c>
      <c r="AN220" t="s">
        <v>188</v>
      </c>
      <c r="AO220" t="s">
        <v>3623</v>
      </c>
    </row>
    <row r="221" spans="1:41" x14ac:dyDescent="0.2">
      <c r="A221" t="s">
        <v>3727</v>
      </c>
      <c r="B221" t="s">
        <v>3728</v>
      </c>
      <c r="C221">
        <v>3</v>
      </c>
      <c r="D221">
        <v>1</v>
      </c>
      <c r="E221" t="s">
        <v>2462</v>
      </c>
      <c r="F221" s="1">
        <v>43587</v>
      </c>
      <c r="G221" s="1" t="s">
        <v>4028</v>
      </c>
      <c r="H221" s="1"/>
      <c r="I221" s="2">
        <v>2.1527777777777781E-2</v>
      </c>
      <c r="J221" s="176">
        <v>3.5879629629629635E-4</v>
      </c>
      <c r="K221" s="6">
        <v>31</v>
      </c>
      <c r="L221" t="s">
        <v>1278</v>
      </c>
      <c r="M221" t="s">
        <v>363</v>
      </c>
      <c r="N221" t="s">
        <v>102</v>
      </c>
      <c r="O221" t="s">
        <v>115</v>
      </c>
      <c r="P221">
        <v>1</v>
      </c>
      <c r="Q221">
        <v>0</v>
      </c>
      <c r="R221">
        <v>0</v>
      </c>
      <c r="S221" t="s">
        <v>176</v>
      </c>
      <c r="T221" s="5" t="s">
        <v>24</v>
      </c>
      <c r="U221" s="5" t="s">
        <v>115</v>
      </c>
      <c r="V221" s="5" t="s">
        <v>115</v>
      </c>
      <c r="W221" s="5"/>
      <c r="X221" s="5"/>
      <c r="Y221" s="5"/>
      <c r="Z221" s="5" t="s">
        <v>115</v>
      </c>
      <c r="AA221" s="5" t="s">
        <v>115</v>
      </c>
      <c r="AB221" s="5" t="s">
        <v>115</v>
      </c>
      <c r="AC221" s="5" t="s">
        <v>115</v>
      </c>
      <c r="AD221" s="5" t="s">
        <v>115</v>
      </c>
      <c r="AE221" s="5" t="s">
        <v>115</v>
      </c>
      <c r="AF221" s="5" t="s">
        <v>115</v>
      </c>
      <c r="AG221" s="5" t="s">
        <v>115</v>
      </c>
      <c r="AH221">
        <v>0</v>
      </c>
      <c r="AI221">
        <v>0</v>
      </c>
      <c r="AJ221">
        <v>0</v>
      </c>
      <c r="AK221">
        <v>0</v>
      </c>
      <c r="AL221">
        <v>31</v>
      </c>
      <c r="AM221">
        <f t="shared" si="3"/>
        <v>31</v>
      </c>
      <c r="AN221" t="s">
        <v>188</v>
      </c>
    </row>
    <row r="222" spans="1:41" x14ac:dyDescent="0.2">
      <c r="A222" t="s">
        <v>3799</v>
      </c>
      <c r="B222" t="s">
        <v>3800</v>
      </c>
      <c r="C222">
        <v>21</v>
      </c>
      <c r="D222">
        <v>1</v>
      </c>
      <c r="E222" t="s">
        <v>3171</v>
      </c>
      <c r="F222" s="1">
        <v>43588</v>
      </c>
      <c r="G222" s="1" t="s">
        <v>4028</v>
      </c>
      <c r="H222" s="1" t="s">
        <v>4752</v>
      </c>
      <c r="I222" s="2">
        <v>2.1527777777777781E-2</v>
      </c>
      <c r="J222" s="176">
        <v>3.5879629629629635E-4</v>
      </c>
      <c r="K222" s="6">
        <v>31</v>
      </c>
      <c r="L222" t="s">
        <v>3187</v>
      </c>
      <c r="M222" t="s">
        <v>670</v>
      </c>
      <c r="N222" t="s">
        <v>102</v>
      </c>
      <c r="O222" t="s">
        <v>115</v>
      </c>
      <c r="P222">
        <v>1</v>
      </c>
      <c r="Q222">
        <v>0</v>
      </c>
      <c r="R222">
        <v>0</v>
      </c>
      <c r="S222" t="s">
        <v>176</v>
      </c>
      <c r="T222" s="5" t="s">
        <v>24</v>
      </c>
      <c r="U222" s="5" t="s">
        <v>122</v>
      </c>
      <c r="V222" s="5" t="s">
        <v>115</v>
      </c>
      <c r="W222" s="5"/>
      <c r="X222" s="5"/>
      <c r="Y222" s="5"/>
      <c r="Z222" s="5" t="s">
        <v>115</v>
      </c>
      <c r="AA222" s="5" t="s">
        <v>115</v>
      </c>
      <c r="AB222" s="5" t="s">
        <v>115</v>
      </c>
      <c r="AC222" s="5" t="s">
        <v>115</v>
      </c>
      <c r="AD222" s="5" t="s">
        <v>115</v>
      </c>
      <c r="AE222" s="5" t="s">
        <v>115</v>
      </c>
      <c r="AF222" s="5" t="s">
        <v>115</v>
      </c>
      <c r="AG222" s="5" t="s">
        <v>115</v>
      </c>
      <c r="AH222">
        <v>0</v>
      </c>
      <c r="AI222">
        <v>0</v>
      </c>
      <c r="AJ222">
        <v>0</v>
      </c>
      <c r="AK222">
        <v>0</v>
      </c>
      <c r="AL222">
        <v>31</v>
      </c>
      <c r="AM222">
        <f t="shared" si="3"/>
        <v>31</v>
      </c>
      <c r="AN222" t="s">
        <v>188</v>
      </c>
    </row>
    <row r="223" spans="1:41" x14ac:dyDescent="0.2">
      <c r="A223" t="s">
        <v>3895</v>
      </c>
      <c r="B223" t="s">
        <v>3896</v>
      </c>
      <c r="C223">
        <v>6</v>
      </c>
      <c r="D223">
        <v>1</v>
      </c>
      <c r="E223" t="s">
        <v>2462</v>
      </c>
      <c r="F223" s="1">
        <v>43591</v>
      </c>
      <c r="G223" s="1" t="s">
        <v>4028</v>
      </c>
      <c r="H223" s="1"/>
      <c r="I223" s="2">
        <v>7.4305555555555555E-2</v>
      </c>
      <c r="J223" s="176">
        <v>1.2384259259259258E-3</v>
      </c>
      <c r="K223" s="6">
        <v>107</v>
      </c>
      <c r="L223" t="s">
        <v>1278</v>
      </c>
      <c r="M223" t="s">
        <v>363</v>
      </c>
      <c r="N223" t="s">
        <v>102</v>
      </c>
      <c r="O223" t="s">
        <v>115</v>
      </c>
      <c r="P223">
        <v>0</v>
      </c>
      <c r="Q223">
        <v>0</v>
      </c>
      <c r="R223">
        <v>0</v>
      </c>
      <c r="S223" t="s">
        <v>24</v>
      </c>
      <c r="T223" s="5" t="s">
        <v>24</v>
      </c>
      <c r="U223" s="5" t="s">
        <v>24</v>
      </c>
      <c r="V223" s="5" t="s">
        <v>24</v>
      </c>
      <c r="W223" s="5"/>
      <c r="X223" s="5"/>
      <c r="Y223" s="5"/>
      <c r="Z223" s="5" t="s">
        <v>24</v>
      </c>
      <c r="AA223" s="5" t="s">
        <v>24</v>
      </c>
      <c r="AB223" s="5" t="s">
        <v>24</v>
      </c>
      <c r="AC223" s="5" t="s">
        <v>24</v>
      </c>
      <c r="AD223" s="5" t="s">
        <v>24</v>
      </c>
      <c r="AE223" s="5" t="s">
        <v>24</v>
      </c>
      <c r="AF223" s="5" t="s">
        <v>24</v>
      </c>
      <c r="AG223" s="5" t="s">
        <v>24</v>
      </c>
      <c r="AH223">
        <v>0</v>
      </c>
      <c r="AI223">
        <v>0</v>
      </c>
      <c r="AJ223">
        <v>0</v>
      </c>
      <c r="AK223">
        <v>0</v>
      </c>
      <c r="AL223">
        <v>31</v>
      </c>
      <c r="AM223">
        <f t="shared" si="3"/>
        <v>31</v>
      </c>
      <c r="AN223" t="s">
        <v>188</v>
      </c>
    </row>
    <row r="224" spans="1:41" x14ac:dyDescent="0.2">
      <c r="A224" t="s">
        <v>2432</v>
      </c>
      <c r="B224" t="s">
        <v>2433</v>
      </c>
      <c r="C224">
        <v>6</v>
      </c>
      <c r="D224">
        <v>1</v>
      </c>
      <c r="E224" t="s">
        <v>2420</v>
      </c>
      <c r="F224" s="1">
        <v>43546</v>
      </c>
      <c r="G224" s="1" t="s">
        <v>4026</v>
      </c>
      <c r="H224" s="1"/>
      <c r="I224" s="2">
        <v>2.1527777777777781E-2</v>
      </c>
      <c r="J224" s="176">
        <v>3.5879629629629635E-4</v>
      </c>
      <c r="K224" s="6">
        <v>31</v>
      </c>
      <c r="L224" t="s">
        <v>101</v>
      </c>
      <c r="M224" t="s">
        <v>241</v>
      </c>
      <c r="N224" t="s">
        <v>102</v>
      </c>
      <c r="O224" t="s">
        <v>115</v>
      </c>
      <c r="P224" t="s">
        <v>24</v>
      </c>
      <c r="Q224">
        <v>0</v>
      </c>
      <c r="R224">
        <v>0</v>
      </c>
      <c r="T224" t="s">
        <v>115</v>
      </c>
      <c r="U224" t="s">
        <v>115</v>
      </c>
      <c r="V224" t="s">
        <v>115</v>
      </c>
      <c r="Z224" t="s">
        <v>115</v>
      </c>
      <c r="AA224" t="s">
        <v>115</v>
      </c>
      <c r="AB224" t="s">
        <v>115</v>
      </c>
      <c r="AC224" t="s">
        <v>115</v>
      </c>
      <c r="AD224" t="s">
        <v>115</v>
      </c>
      <c r="AH224">
        <v>0</v>
      </c>
      <c r="AI224">
        <v>0</v>
      </c>
      <c r="AJ224">
        <v>0</v>
      </c>
      <c r="AK224">
        <v>0</v>
      </c>
      <c r="AL224">
        <v>31</v>
      </c>
      <c r="AM224">
        <f t="shared" si="3"/>
        <v>31</v>
      </c>
      <c r="AN224" t="s">
        <v>188</v>
      </c>
      <c r="AO224" t="s">
        <v>2434</v>
      </c>
    </row>
    <row r="225" spans="1:41" x14ac:dyDescent="0.2">
      <c r="A225" t="s">
        <v>3515</v>
      </c>
      <c r="B225" t="s">
        <v>3516</v>
      </c>
      <c r="C225">
        <v>1</v>
      </c>
      <c r="D225">
        <v>1</v>
      </c>
      <c r="E225" t="s">
        <v>3171</v>
      </c>
      <c r="F225" s="1">
        <v>43580</v>
      </c>
      <c r="G225" s="1" t="s">
        <v>4027</v>
      </c>
      <c r="H225" s="1"/>
      <c r="I225" s="2">
        <v>2.1527777777777781E-2</v>
      </c>
      <c r="J225" s="176">
        <v>3.5879629629629635E-4</v>
      </c>
      <c r="K225" s="6">
        <v>31</v>
      </c>
      <c r="L225" t="s">
        <v>101</v>
      </c>
      <c r="M225" t="s">
        <v>149</v>
      </c>
      <c r="N225" t="s">
        <v>102</v>
      </c>
      <c r="O225" t="s">
        <v>115</v>
      </c>
      <c r="P225" t="s">
        <v>24</v>
      </c>
      <c r="Q225">
        <v>0</v>
      </c>
      <c r="R225">
        <v>0</v>
      </c>
      <c r="T225" s="5" t="s">
        <v>115</v>
      </c>
      <c r="U225" s="5" t="s">
        <v>115</v>
      </c>
      <c r="V225" s="5" t="s">
        <v>115</v>
      </c>
      <c r="W225" s="5"/>
      <c r="X225" s="5"/>
      <c r="Y225" s="5"/>
      <c r="Z225" s="5" t="s">
        <v>115</v>
      </c>
      <c r="AA225" s="5" t="s">
        <v>115</v>
      </c>
      <c r="AB225" s="5" t="s">
        <v>115</v>
      </c>
      <c r="AC225" s="5" t="s">
        <v>115</v>
      </c>
      <c r="AD225" s="5" t="s">
        <v>115</v>
      </c>
      <c r="AE225" s="5" t="s">
        <v>115</v>
      </c>
      <c r="AF225" s="5" t="s">
        <v>115</v>
      </c>
      <c r="AG225" s="5" t="s">
        <v>115</v>
      </c>
      <c r="AH225">
        <v>0</v>
      </c>
      <c r="AI225">
        <v>0</v>
      </c>
      <c r="AJ225">
        <v>0</v>
      </c>
      <c r="AK225">
        <v>0</v>
      </c>
      <c r="AL225">
        <v>31</v>
      </c>
      <c r="AM225">
        <f t="shared" si="3"/>
        <v>31</v>
      </c>
      <c r="AN225" t="s">
        <v>188</v>
      </c>
    </row>
    <row r="226" spans="1:41" x14ac:dyDescent="0.2">
      <c r="A226" t="s">
        <v>2653</v>
      </c>
      <c r="B226" t="s">
        <v>2654</v>
      </c>
      <c r="C226">
        <v>3</v>
      </c>
      <c r="D226">
        <v>1</v>
      </c>
      <c r="E226" t="s">
        <v>2487</v>
      </c>
      <c r="F226" s="1">
        <v>43551</v>
      </c>
      <c r="G226" s="1" t="s">
        <v>4026</v>
      </c>
      <c r="H226" s="1"/>
      <c r="I226" s="2">
        <v>2.1527777777777781E-2</v>
      </c>
      <c r="J226" s="176">
        <v>3.5879629629629635E-4</v>
      </c>
      <c r="K226" s="6">
        <v>31</v>
      </c>
      <c r="M226" t="s">
        <v>64</v>
      </c>
      <c r="N226" t="s">
        <v>102</v>
      </c>
      <c r="O226" t="s">
        <v>115</v>
      </c>
      <c r="P226">
        <v>0</v>
      </c>
      <c r="Q226">
        <v>0</v>
      </c>
      <c r="R226">
        <v>0</v>
      </c>
      <c r="T226" t="s">
        <v>115</v>
      </c>
      <c r="U226" t="s">
        <v>115</v>
      </c>
      <c r="V226" t="s">
        <v>115</v>
      </c>
      <c r="Z226" t="s">
        <v>115</v>
      </c>
      <c r="AA226" t="s">
        <v>115</v>
      </c>
      <c r="AB226" t="s">
        <v>115</v>
      </c>
      <c r="AC226" t="s">
        <v>115</v>
      </c>
      <c r="AD226" t="s">
        <v>115</v>
      </c>
      <c r="AE226" t="s">
        <v>115</v>
      </c>
      <c r="AF226" t="s">
        <v>115</v>
      </c>
      <c r="AH226">
        <v>0</v>
      </c>
      <c r="AI226">
        <v>0</v>
      </c>
      <c r="AJ226">
        <v>0</v>
      </c>
      <c r="AK226">
        <v>0</v>
      </c>
      <c r="AL226">
        <v>30</v>
      </c>
      <c r="AM226">
        <f t="shared" si="3"/>
        <v>30</v>
      </c>
      <c r="AN226" t="s">
        <v>188</v>
      </c>
    </row>
    <row r="227" spans="1:41" x14ac:dyDescent="0.2">
      <c r="A227" t="s">
        <v>2717</v>
      </c>
      <c r="B227" t="s">
        <v>2718</v>
      </c>
      <c r="C227">
        <v>18</v>
      </c>
      <c r="D227">
        <v>1</v>
      </c>
      <c r="E227" t="s">
        <v>324</v>
      </c>
      <c r="F227" s="1">
        <v>43554</v>
      </c>
      <c r="G227" s="1" t="s">
        <v>4026</v>
      </c>
      <c r="H227" s="1"/>
      <c r="I227" s="2">
        <v>3.1944444444444449E-2</v>
      </c>
      <c r="J227" s="176">
        <v>5.3240740740740744E-4</v>
      </c>
      <c r="K227" s="6">
        <v>46</v>
      </c>
      <c r="M227" t="s">
        <v>325</v>
      </c>
      <c r="N227" t="s">
        <v>102</v>
      </c>
      <c r="O227" t="s">
        <v>115</v>
      </c>
      <c r="P227">
        <v>1</v>
      </c>
      <c r="Q227">
        <v>0</v>
      </c>
      <c r="R227">
        <v>0</v>
      </c>
      <c r="S227" t="s">
        <v>176</v>
      </c>
      <c r="T227" t="s">
        <v>24</v>
      </c>
      <c r="U227" t="s">
        <v>122</v>
      </c>
      <c r="V227" t="s">
        <v>115</v>
      </c>
      <c r="Z227" t="s">
        <v>115</v>
      </c>
      <c r="AA227" t="s">
        <v>115</v>
      </c>
      <c r="AB227" t="s">
        <v>115</v>
      </c>
      <c r="AC227" t="s">
        <v>115</v>
      </c>
      <c r="AD227" t="s">
        <v>115</v>
      </c>
      <c r="AE227" t="s">
        <v>115</v>
      </c>
      <c r="AF227" t="s">
        <v>115</v>
      </c>
      <c r="AH227">
        <v>0</v>
      </c>
      <c r="AI227">
        <v>0</v>
      </c>
      <c r="AJ227">
        <v>0</v>
      </c>
      <c r="AK227">
        <v>0</v>
      </c>
      <c r="AL227">
        <v>30</v>
      </c>
      <c r="AM227">
        <f t="shared" si="3"/>
        <v>30</v>
      </c>
      <c r="AN227" t="s">
        <v>188</v>
      </c>
    </row>
    <row r="228" spans="1:41" x14ac:dyDescent="0.2">
      <c r="A228" t="s">
        <v>2876</v>
      </c>
      <c r="B228" t="s">
        <v>2877</v>
      </c>
      <c r="C228">
        <v>10</v>
      </c>
      <c r="D228">
        <v>1</v>
      </c>
      <c r="E228" t="s">
        <v>324</v>
      </c>
      <c r="F228" s="1">
        <v>43558</v>
      </c>
      <c r="G228" s="1" t="s">
        <v>4027</v>
      </c>
      <c r="H228" s="1"/>
      <c r="I228" s="2">
        <v>4.4444444444444446E-2</v>
      </c>
      <c r="J228" s="176">
        <v>7.407407407407407E-4</v>
      </c>
      <c r="K228" s="6">
        <v>64</v>
      </c>
      <c r="M228" t="s">
        <v>325</v>
      </c>
      <c r="N228" t="s">
        <v>102</v>
      </c>
      <c r="O228" t="s">
        <v>2878</v>
      </c>
      <c r="P228">
        <v>1</v>
      </c>
      <c r="Q228" t="s">
        <v>24</v>
      </c>
      <c r="R228">
        <v>0</v>
      </c>
      <c r="S228" t="s">
        <v>176</v>
      </c>
      <c r="T228" s="5" t="s">
        <v>24</v>
      </c>
      <c r="U228" s="5" t="s">
        <v>2063</v>
      </c>
      <c r="V228" s="5" t="s">
        <v>115</v>
      </c>
      <c r="W228" s="5"/>
      <c r="X228" s="5"/>
      <c r="Y228" s="5"/>
      <c r="Z228" s="5" t="s">
        <v>115</v>
      </c>
      <c r="AA228" s="5" t="s">
        <v>115</v>
      </c>
      <c r="AB228" s="5" t="s">
        <v>115</v>
      </c>
      <c r="AC228" s="5" t="s">
        <v>115</v>
      </c>
      <c r="AD228" s="5" t="s">
        <v>115</v>
      </c>
      <c r="AE228" s="5" t="s">
        <v>115</v>
      </c>
      <c r="AF228" s="5" t="s">
        <v>115</v>
      </c>
      <c r="AG228" s="5"/>
      <c r="AH228">
        <v>30</v>
      </c>
      <c r="AI228">
        <v>0</v>
      </c>
      <c r="AJ228">
        <v>0</v>
      </c>
      <c r="AK228">
        <v>30</v>
      </c>
      <c r="AL228">
        <v>0</v>
      </c>
      <c r="AM228">
        <f t="shared" si="3"/>
        <v>30</v>
      </c>
      <c r="AN228" t="s">
        <v>188</v>
      </c>
    </row>
    <row r="229" spans="1:41" x14ac:dyDescent="0.2">
      <c r="A229" t="s">
        <v>2952</v>
      </c>
      <c r="B229" t="s">
        <v>2953</v>
      </c>
      <c r="C229">
        <v>12</v>
      </c>
      <c r="D229">
        <v>1</v>
      </c>
      <c r="E229" t="s">
        <v>834</v>
      </c>
      <c r="F229" s="1">
        <v>43560</v>
      </c>
      <c r="G229" s="1" t="s">
        <v>4027</v>
      </c>
      <c r="H229" s="1"/>
      <c r="I229" s="2">
        <v>4.2361111111111106E-2</v>
      </c>
      <c r="J229" s="176">
        <v>4.2361111111111106E-2</v>
      </c>
      <c r="K229" s="6">
        <v>60</v>
      </c>
      <c r="M229" t="s">
        <v>466</v>
      </c>
      <c r="N229" t="s">
        <v>102</v>
      </c>
      <c r="O229" t="s">
        <v>23</v>
      </c>
      <c r="P229">
        <v>1</v>
      </c>
      <c r="Q229">
        <v>1</v>
      </c>
      <c r="R229">
        <v>0</v>
      </c>
      <c r="S229" t="s">
        <v>176</v>
      </c>
      <c r="T229" s="5" t="s">
        <v>24</v>
      </c>
      <c r="U229" s="5" t="s">
        <v>709</v>
      </c>
      <c r="V229" s="5" t="s">
        <v>115</v>
      </c>
      <c r="W229" s="5"/>
      <c r="X229" s="5"/>
      <c r="Y229" s="5"/>
      <c r="Z229" s="5" t="s">
        <v>115</v>
      </c>
      <c r="AA229" s="5" t="s">
        <v>115</v>
      </c>
      <c r="AB229" s="5" t="s">
        <v>115</v>
      </c>
      <c r="AC229" s="5" t="s">
        <v>115</v>
      </c>
      <c r="AD229" s="5" t="s">
        <v>115</v>
      </c>
      <c r="AE229">
        <v>63.738799999999998</v>
      </c>
      <c r="AF229">
        <v>148.89569</v>
      </c>
      <c r="AH229">
        <v>0</v>
      </c>
      <c r="AI229">
        <v>0</v>
      </c>
      <c r="AJ229">
        <v>0</v>
      </c>
      <c r="AK229">
        <v>0</v>
      </c>
      <c r="AL229">
        <v>30</v>
      </c>
      <c r="AM229">
        <f t="shared" si="3"/>
        <v>30</v>
      </c>
      <c r="AN229" t="s">
        <v>188</v>
      </c>
      <c r="AO229" t="s">
        <v>2954</v>
      </c>
    </row>
    <row r="230" spans="1:41" x14ac:dyDescent="0.2">
      <c r="A230" t="s">
        <v>3419</v>
      </c>
      <c r="B230" t="s">
        <v>3420</v>
      </c>
      <c r="C230">
        <v>7</v>
      </c>
      <c r="D230">
        <v>1</v>
      </c>
      <c r="E230" t="s">
        <v>3404</v>
      </c>
      <c r="F230" s="1">
        <v>43577</v>
      </c>
      <c r="G230" s="1" t="s">
        <v>4027</v>
      </c>
      <c r="H230" s="1"/>
      <c r="I230" s="2">
        <v>2.0833333333333332E-2</v>
      </c>
      <c r="J230" s="176">
        <v>3.4722222222222224E-4</v>
      </c>
      <c r="K230" s="6">
        <v>30</v>
      </c>
      <c r="L230" t="s">
        <v>101</v>
      </c>
      <c r="M230" t="s">
        <v>3405</v>
      </c>
      <c r="N230" t="s">
        <v>102</v>
      </c>
      <c r="O230" t="s">
        <v>115</v>
      </c>
      <c r="P230">
        <v>1</v>
      </c>
      <c r="Q230">
        <v>0</v>
      </c>
      <c r="R230">
        <v>0</v>
      </c>
      <c r="S230" t="s">
        <v>176</v>
      </c>
      <c r="T230" s="5" t="s">
        <v>24</v>
      </c>
      <c r="U230" s="5" t="s">
        <v>122</v>
      </c>
      <c r="V230" s="5" t="s">
        <v>115</v>
      </c>
      <c r="W230" s="5"/>
      <c r="X230" s="5"/>
      <c r="Y230" s="5"/>
      <c r="Z230" s="5" t="s">
        <v>115</v>
      </c>
      <c r="AA230" s="5" t="s">
        <v>115</v>
      </c>
      <c r="AB230" s="5" t="s">
        <v>115</v>
      </c>
      <c r="AC230" s="5" t="s">
        <v>115</v>
      </c>
      <c r="AD230" s="5" t="s">
        <v>115</v>
      </c>
      <c r="AE230" s="5" t="s">
        <v>115</v>
      </c>
      <c r="AF230" s="5" t="s">
        <v>115</v>
      </c>
      <c r="AG230" s="5" t="s">
        <v>115</v>
      </c>
      <c r="AH230">
        <v>0</v>
      </c>
      <c r="AI230">
        <v>0</v>
      </c>
      <c r="AJ230">
        <v>0</v>
      </c>
      <c r="AK230">
        <v>0</v>
      </c>
      <c r="AL230">
        <v>30</v>
      </c>
      <c r="AM230">
        <f t="shared" si="3"/>
        <v>30</v>
      </c>
      <c r="AN230" t="s">
        <v>188</v>
      </c>
    </row>
    <row r="231" spans="1:41" x14ac:dyDescent="0.2">
      <c r="A231" t="s">
        <v>3361</v>
      </c>
      <c r="B231" t="s">
        <v>3362</v>
      </c>
      <c r="C231">
        <v>4</v>
      </c>
      <c r="D231">
        <v>1</v>
      </c>
      <c r="E231" t="s">
        <v>3171</v>
      </c>
      <c r="F231" s="1">
        <v>43577</v>
      </c>
      <c r="G231" s="1" t="s">
        <v>4027</v>
      </c>
      <c r="H231" s="1" t="s">
        <v>4752</v>
      </c>
      <c r="I231" s="2">
        <v>4.3750000000000004E-2</v>
      </c>
      <c r="J231" s="176">
        <v>7.291666666666667E-4</v>
      </c>
      <c r="K231" s="6">
        <v>63</v>
      </c>
      <c r="L231" t="s">
        <v>101</v>
      </c>
      <c r="M231" t="s">
        <v>670</v>
      </c>
      <c r="N231" t="s">
        <v>102</v>
      </c>
      <c r="O231" t="s">
        <v>115</v>
      </c>
      <c r="P231">
        <v>1</v>
      </c>
      <c r="Q231">
        <v>0</v>
      </c>
      <c r="R231">
        <v>0</v>
      </c>
      <c r="S231" t="s">
        <v>598</v>
      </c>
      <c r="T231" s="5" t="s">
        <v>2437</v>
      </c>
      <c r="U231" s="5" t="s">
        <v>122</v>
      </c>
      <c r="V231" s="5" t="s">
        <v>115</v>
      </c>
      <c r="W231" s="5"/>
      <c r="X231" s="5"/>
      <c r="Y231" s="5"/>
      <c r="Z231" s="5" t="s">
        <v>115</v>
      </c>
      <c r="AA231" s="5" t="s">
        <v>115</v>
      </c>
      <c r="AB231" s="5" t="s">
        <v>115</v>
      </c>
      <c r="AC231" s="5" t="s">
        <v>115</v>
      </c>
      <c r="AD231" s="5" t="s">
        <v>115</v>
      </c>
      <c r="AE231" s="5" t="s">
        <v>115</v>
      </c>
      <c r="AF231" s="5" t="s">
        <v>115</v>
      </c>
      <c r="AG231" s="5" t="s">
        <v>115</v>
      </c>
      <c r="AH231">
        <v>0</v>
      </c>
      <c r="AI231">
        <v>0</v>
      </c>
      <c r="AJ231">
        <v>0</v>
      </c>
      <c r="AK231">
        <v>0</v>
      </c>
      <c r="AL231">
        <v>30</v>
      </c>
      <c r="AM231">
        <f t="shared" si="3"/>
        <v>30</v>
      </c>
      <c r="AN231" t="s">
        <v>188</v>
      </c>
    </row>
    <row r="232" spans="1:41" x14ac:dyDescent="0.2">
      <c r="A232" t="s">
        <v>3576</v>
      </c>
      <c r="B232" t="s">
        <v>3577</v>
      </c>
      <c r="C232">
        <v>31</v>
      </c>
      <c r="D232">
        <v>1</v>
      </c>
      <c r="E232" t="s">
        <v>3171</v>
      </c>
      <c r="F232" s="1">
        <v>43580</v>
      </c>
      <c r="G232" s="1" t="s">
        <v>4027</v>
      </c>
      <c r="H232" s="1"/>
      <c r="I232" s="2">
        <v>2.0833333333333332E-2</v>
      </c>
      <c r="J232" s="176">
        <v>3.4722222222222224E-4</v>
      </c>
      <c r="K232" s="6">
        <v>30</v>
      </c>
      <c r="L232" t="s">
        <v>101</v>
      </c>
      <c r="M232" t="s">
        <v>149</v>
      </c>
      <c r="N232" t="s">
        <v>102</v>
      </c>
      <c r="O232" t="s">
        <v>115</v>
      </c>
      <c r="P232">
        <v>1</v>
      </c>
      <c r="Q232">
        <v>0</v>
      </c>
      <c r="R232">
        <v>0</v>
      </c>
      <c r="S232" t="s">
        <v>176</v>
      </c>
      <c r="T232" s="5" t="s">
        <v>24</v>
      </c>
      <c r="U232" s="5" t="s">
        <v>122</v>
      </c>
      <c r="V232" s="5" t="s">
        <v>115</v>
      </c>
      <c r="W232" s="5"/>
      <c r="X232" s="5"/>
      <c r="Y232" s="5"/>
      <c r="Z232" s="5" t="s">
        <v>115</v>
      </c>
      <c r="AA232" s="5" t="s">
        <v>115</v>
      </c>
      <c r="AB232" s="5" t="s">
        <v>115</v>
      </c>
      <c r="AC232" s="5" t="s">
        <v>115</v>
      </c>
      <c r="AD232" s="5" t="s">
        <v>115</v>
      </c>
      <c r="AE232" s="5" t="s">
        <v>115</v>
      </c>
      <c r="AF232" s="5" t="s">
        <v>115</v>
      </c>
      <c r="AG232" s="5" t="s">
        <v>115</v>
      </c>
      <c r="AH232">
        <v>0</v>
      </c>
      <c r="AI232">
        <v>0</v>
      </c>
      <c r="AJ232">
        <v>0</v>
      </c>
      <c r="AK232">
        <v>0</v>
      </c>
      <c r="AL232">
        <v>30</v>
      </c>
      <c r="AM232">
        <f t="shared" si="3"/>
        <v>30</v>
      </c>
      <c r="AN232" t="s">
        <v>188</v>
      </c>
    </row>
    <row r="233" spans="1:41" x14ac:dyDescent="0.2">
      <c r="A233" t="s">
        <v>3676</v>
      </c>
      <c r="B233" t="s">
        <v>3675</v>
      </c>
      <c r="C233">
        <v>21</v>
      </c>
      <c r="D233">
        <v>1</v>
      </c>
      <c r="E233" t="s">
        <v>2487</v>
      </c>
      <c r="F233" s="1">
        <v>43585</v>
      </c>
      <c r="G233" s="1" t="s">
        <v>4027</v>
      </c>
      <c r="H233" s="1"/>
      <c r="I233" s="2">
        <v>3.3333333333333333E-2</v>
      </c>
      <c r="J233" s="176">
        <v>5.5555555555555556E-4</v>
      </c>
      <c r="K233" s="6">
        <v>48</v>
      </c>
      <c r="L233" t="s">
        <v>3626</v>
      </c>
      <c r="M233" t="s">
        <v>344</v>
      </c>
      <c r="N233" t="s">
        <v>102</v>
      </c>
      <c r="O233" t="s">
        <v>115</v>
      </c>
      <c r="P233">
        <v>0</v>
      </c>
      <c r="Q233">
        <v>0</v>
      </c>
      <c r="R233">
        <v>0</v>
      </c>
      <c r="T233" s="5" t="s">
        <v>115</v>
      </c>
      <c r="U233" s="5" t="s">
        <v>115</v>
      </c>
      <c r="V233" s="5" t="s">
        <v>115</v>
      </c>
      <c r="W233" s="5"/>
      <c r="X233" s="5"/>
      <c r="Y233" s="5"/>
      <c r="Z233" s="5" t="s">
        <v>115</v>
      </c>
      <c r="AA233" s="5" t="s">
        <v>115</v>
      </c>
      <c r="AB233" s="5" t="s">
        <v>115</v>
      </c>
      <c r="AC233" s="5" t="s">
        <v>115</v>
      </c>
      <c r="AD233" s="5" t="s">
        <v>115</v>
      </c>
      <c r="AE233" s="5" t="s">
        <v>115</v>
      </c>
      <c r="AF233" s="5" t="s">
        <v>115</v>
      </c>
      <c r="AG233" s="5" t="s">
        <v>115</v>
      </c>
      <c r="AH233">
        <v>0</v>
      </c>
      <c r="AI233">
        <v>0</v>
      </c>
      <c r="AJ233">
        <v>0</v>
      </c>
      <c r="AK233">
        <v>0</v>
      </c>
      <c r="AL233">
        <v>30</v>
      </c>
      <c r="AM233">
        <f t="shared" si="3"/>
        <v>30</v>
      </c>
      <c r="AN233" t="s">
        <v>188</v>
      </c>
    </row>
    <row r="234" spans="1:41" x14ac:dyDescent="0.2">
      <c r="A234" t="s">
        <v>2788</v>
      </c>
      <c r="B234" t="s">
        <v>2789</v>
      </c>
      <c r="C234">
        <v>1</v>
      </c>
      <c r="D234">
        <v>1</v>
      </c>
      <c r="E234" t="s">
        <v>138</v>
      </c>
      <c r="F234" s="1">
        <v>43556</v>
      </c>
      <c r="G234" s="1" t="s">
        <v>4027</v>
      </c>
      <c r="H234" s="1"/>
      <c r="I234" s="2">
        <v>2.0833333333333332E-2</v>
      </c>
      <c r="J234" s="176">
        <v>3.4722222222222224E-4</v>
      </c>
      <c r="K234" s="6">
        <v>30</v>
      </c>
      <c r="M234" t="s">
        <v>173</v>
      </c>
      <c r="N234" t="s">
        <v>102</v>
      </c>
      <c r="O234" t="s">
        <v>115</v>
      </c>
      <c r="P234" t="s">
        <v>24</v>
      </c>
      <c r="Q234">
        <v>0</v>
      </c>
      <c r="R234">
        <v>0</v>
      </c>
      <c r="T234" s="5" t="s">
        <v>115</v>
      </c>
      <c r="U234" s="5" t="s">
        <v>115</v>
      </c>
      <c r="V234" s="5" t="s">
        <v>115</v>
      </c>
      <c r="W234" s="5"/>
      <c r="X234" s="5"/>
      <c r="Y234" s="5"/>
      <c r="Z234" s="5" t="s">
        <v>115</v>
      </c>
      <c r="AA234" s="5" t="s">
        <v>115</v>
      </c>
      <c r="AB234" s="5" t="s">
        <v>115</v>
      </c>
      <c r="AC234" s="5" t="s">
        <v>115</v>
      </c>
      <c r="AD234" s="5" t="s">
        <v>115</v>
      </c>
      <c r="AE234" s="5" t="s">
        <v>115</v>
      </c>
      <c r="AF234" s="5" t="s">
        <v>115</v>
      </c>
      <c r="AG234" s="5"/>
      <c r="AH234">
        <v>0</v>
      </c>
      <c r="AI234">
        <v>0</v>
      </c>
      <c r="AJ234">
        <v>0</v>
      </c>
      <c r="AK234">
        <v>0</v>
      </c>
      <c r="AL234">
        <v>30</v>
      </c>
      <c r="AM234">
        <f t="shared" si="3"/>
        <v>30</v>
      </c>
      <c r="AN234" t="s">
        <v>188</v>
      </c>
    </row>
    <row r="235" spans="1:41" x14ac:dyDescent="0.2">
      <c r="A235" t="s">
        <v>3007</v>
      </c>
      <c r="B235" t="s">
        <v>3008</v>
      </c>
      <c r="C235">
        <v>4</v>
      </c>
      <c r="D235">
        <v>1</v>
      </c>
      <c r="E235" t="s">
        <v>324</v>
      </c>
      <c r="F235" s="1">
        <v>43564</v>
      </c>
      <c r="G235" s="1" t="s">
        <v>4027</v>
      </c>
      <c r="H235" s="1"/>
      <c r="I235" s="2">
        <v>2.0833333333333332E-2</v>
      </c>
      <c r="J235" s="176">
        <v>3.4722222222222224E-4</v>
      </c>
      <c r="K235" s="6">
        <v>30</v>
      </c>
      <c r="M235" t="s">
        <v>325</v>
      </c>
      <c r="N235" t="s">
        <v>102</v>
      </c>
      <c r="O235" t="s">
        <v>115</v>
      </c>
      <c r="P235" t="s">
        <v>24</v>
      </c>
      <c r="Q235">
        <v>0</v>
      </c>
      <c r="R235">
        <v>0</v>
      </c>
      <c r="T235" s="5" t="s">
        <v>115</v>
      </c>
      <c r="U235" s="5" t="s">
        <v>115</v>
      </c>
      <c r="V235" s="5" t="s">
        <v>115</v>
      </c>
      <c r="W235" s="5"/>
      <c r="X235" s="5"/>
      <c r="Y235" s="5"/>
      <c r="Z235" s="5" t="s">
        <v>115</v>
      </c>
      <c r="AA235" s="5" t="s">
        <v>115</v>
      </c>
      <c r="AB235" s="5" t="s">
        <v>115</v>
      </c>
      <c r="AC235" s="5" t="s">
        <v>115</v>
      </c>
      <c r="AD235" s="5" t="s">
        <v>115</v>
      </c>
      <c r="AE235" s="5" t="s">
        <v>115</v>
      </c>
      <c r="AF235" s="5" t="s">
        <v>115</v>
      </c>
      <c r="AG235" s="5"/>
      <c r="AH235">
        <v>0</v>
      </c>
      <c r="AI235">
        <v>0</v>
      </c>
      <c r="AJ235">
        <v>0</v>
      </c>
      <c r="AK235">
        <v>0</v>
      </c>
      <c r="AL235">
        <v>30</v>
      </c>
      <c r="AM235">
        <f t="shared" si="3"/>
        <v>30</v>
      </c>
      <c r="AN235" t="s">
        <v>188</v>
      </c>
    </row>
    <row r="236" spans="1:41" x14ac:dyDescent="0.2">
      <c r="A236" t="s">
        <v>3508</v>
      </c>
      <c r="B236" t="s">
        <v>3509</v>
      </c>
      <c r="C236">
        <v>27</v>
      </c>
      <c r="D236">
        <v>1</v>
      </c>
      <c r="E236" t="s">
        <v>2462</v>
      </c>
      <c r="F236" s="1">
        <v>43579</v>
      </c>
      <c r="G236" s="1" t="s">
        <v>4027</v>
      </c>
      <c r="H236" s="1"/>
      <c r="I236" s="2">
        <v>2.0833333333333332E-2</v>
      </c>
      <c r="J236" s="176">
        <v>3.4722222222222224E-4</v>
      </c>
      <c r="K236" s="6">
        <v>30</v>
      </c>
      <c r="L236" t="s">
        <v>101</v>
      </c>
      <c r="M236" t="s">
        <v>64</v>
      </c>
      <c r="N236" t="s">
        <v>102</v>
      </c>
      <c r="O236" t="s">
        <v>23</v>
      </c>
      <c r="P236" t="s">
        <v>24</v>
      </c>
      <c r="Q236" t="s">
        <v>24</v>
      </c>
      <c r="R236">
        <v>0</v>
      </c>
      <c r="T236" s="5" t="s">
        <v>115</v>
      </c>
      <c r="U236" s="5" t="s">
        <v>115</v>
      </c>
      <c r="V236" s="5" t="s">
        <v>115</v>
      </c>
      <c r="W236" s="5"/>
      <c r="X236" s="5"/>
      <c r="Y236" s="5"/>
      <c r="Z236" s="5" t="s">
        <v>115</v>
      </c>
      <c r="AA236" s="5" t="s">
        <v>115</v>
      </c>
      <c r="AB236" s="5" t="s">
        <v>115</v>
      </c>
      <c r="AC236" s="5" t="s">
        <v>115</v>
      </c>
      <c r="AD236" s="5" t="s">
        <v>115</v>
      </c>
      <c r="AE236" s="5" t="s">
        <v>115</v>
      </c>
      <c r="AF236" s="5" t="s">
        <v>115</v>
      </c>
      <c r="AG236" s="5" t="s">
        <v>115</v>
      </c>
      <c r="AH236">
        <v>30</v>
      </c>
      <c r="AI236">
        <v>0</v>
      </c>
      <c r="AJ236">
        <v>30</v>
      </c>
      <c r="AK236">
        <v>0</v>
      </c>
      <c r="AL236">
        <v>0</v>
      </c>
      <c r="AM236">
        <f t="shared" si="3"/>
        <v>30</v>
      </c>
      <c r="AN236" t="s">
        <v>165</v>
      </c>
      <c r="AO236" t="s">
        <v>3510</v>
      </c>
    </row>
    <row r="237" spans="1:41" x14ac:dyDescent="0.2">
      <c r="A237" t="s">
        <v>2555</v>
      </c>
      <c r="B237" t="s">
        <v>2556</v>
      </c>
      <c r="C237">
        <v>5</v>
      </c>
      <c r="D237">
        <v>2</v>
      </c>
      <c r="E237" t="s">
        <v>324</v>
      </c>
      <c r="F237" s="1">
        <v>43550</v>
      </c>
      <c r="G237" s="1" t="s">
        <v>4026</v>
      </c>
      <c r="H237" s="1"/>
      <c r="I237" s="2">
        <v>4.5833333333333337E-2</v>
      </c>
      <c r="J237" s="176">
        <v>7.6388888888888893E-4</v>
      </c>
      <c r="K237" s="6">
        <v>66</v>
      </c>
      <c r="L237" s="5" t="s">
        <v>640</v>
      </c>
      <c r="M237" t="s">
        <v>325</v>
      </c>
      <c r="N237" t="s">
        <v>102</v>
      </c>
      <c r="O237" t="s">
        <v>23</v>
      </c>
      <c r="P237">
        <v>1</v>
      </c>
      <c r="Q237">
        <v>0</v>
      </c>
      <c r="R237">
        <v>0</v>
      </c>
      <c r="S237" t="s">
        <v>176</v>
      </c>
      <c r="T237" t="s">
        <v>24</v>
      </c>
      <c r="U237" t="s">
        <v>122</v>
      </c>
      <c r="V237" t="s">
        <v>115</v>
      </c>
      <c r="Z237" t="s">
        <v>115</v>
      </c>
      <c r="AA237" t="s">
        <v>115</v>
      </c>
      <c r="AB237" t="s">
        <v>115</v>
      </c>
      <c r="AC237" t="s">
        <v>115</v>
      </c>
      <c r="AD237" t="s">
        <v>115</v>
      </c>
      <c r="AH237">
        <v>0</v>
      </c>
      <c r="AI237">
        <v>0</v>
      </c>
      <c r="AJ237">
        <v>0</v>
      </c>
      <c r="AK237">
        <v>0</v>
      </c>
      <c r="AL237">
        <v>29</v>
      </c>
      <c r="AM237">
        <f t="shared" si="3"/>
        <v>29</v>
      </c>
      <c r="AN237" t="s">
        <v>188</v>
      </c>
    </row>
    <row r="238" spans="1:41" x14ac:dyDescent="0.2">
      <c r="A238" t="s">
        <v>2728</v>
      </c>
      <c r="B238" t="s">
        <v>2729</v>
      </c>
      <c r="C238">
        <v>1</v>
      </c>
      <c r="D238">
        <v>1</v>
      </c>
      <c r="E238" t="s">
        <v>834</v>
      </c>
      <c r="F238" s="1">
        <v>43554</v>
      </c>
      <c r="G238" s="1" t="s">
        <v>4026</v>
      </c>
      <c r="H238" s="1"/>
      <c r="I238" s="2">
        <v>2.013888888888889E-2</v>
      </c>
      <c r="J238" s="176">
        <v>3.3564814814814812E-4</v>
      </c>
      <c r="K238" s="6">
        <v>29</v>
      </c>
      <c r="M238" t="s">
        <v>466</v>
      </c>
      <c r="N238" t="s">
        <v>102</v>
      </c>
      <c r="O238" t="s">
        <v>115</v>
      </c>
      <c r="P238">
        <v>1</v>
      </c>
      <c r="Q238">
        <v>0</v>
      </c>
      <c r="R238">
        <v>0</v>
      </c>
      <c r="S238" t="s">
        <v>176</v>
      </c>
      <c r="T238" s="5" t="s">
        <v>24</v>
      </c>
      <c r="U238" s="5" t="s">
        <v>122</v>
      </c>
      <c r="V238" s="5" t="s">
        <v>115</v>
      </c>
      <c r="W238" s="5"/>
      <c r="X238" s="5"/>
      <c r="Y238" s="5"/>
      <c r="Z238" s="5" t="s">
        <v>115</v>
      </c>
      <c r="AA238" s="5" t="s">
        <v>115</v>
      </c>
      <c r="AB238" s="5" t="s">
        <v>115</v>
      </c>
      <c r="AC238" s="5" t="s">
        <v>115</v>
      </c>
      <c r="AD238" s="5" t="s">
        <v>115</v>
      </c>
      <c r="AE238" s="5" t="s">
        <v>115</v>
      </c>
      <c r="AF238" s="5" t="s">
        <v>115</v>
      </c>
      <c r="AG238" s="5"/>
      <c r="AH238">
        <v>0</v>
      </c>
      <c r="AI238">
        <v>0</v>
      </c>
      <c r="AJ238">
        <v>0</v>
      </c>
      <c r="AK238">
        <v>0</v>
      </c>
      <c r="AL238">
        <v>29</v>
      </c>
      <c r="AM238">
        <f t="shared" si="3"/>
        <v>29</v>
      </c>
      <c r="AN238" t="s">
        <v>188</v>
      </c>
    </row>
    <row r="239" spans="1:41" x14ac:dyDescent="0.2">
      <c r="A239" t="s">
        <v>3121</v>
      </c>
      <c r="B239" t="s">
        <v>3124</v>
      </c>
      <c r="C239">
        <v>14</v>
      </c>
      <c r="D239">
        <v>1</v>
      </c>
      <c r="E239" t="s">
        <v>324</v>
      </c>
      <c r="F239" s="1">
        <v>43570</v>
      </c>
      <c r="G239" s="1" t="s">
        <v>4027</v>
      </c>
      <c r="H239" s="1"/>
      <c r="I239" s="2">
        <v>9.0972222222222218E-2</v>
      </c>
      <c r="J239" s="176">
        <v>1.5162037037037036E-3</v>
      </c>
      <c r="K239" s="6">
        <v>131</v>
      </c>
      <c r="L239" t="s">
        <v>101</v>
      </c>
      <c r="M239" t="s">
        <v>325</v>
      </c>
      <c r="N239" t="s">
        <v>102</v>
      </c>
      <c r="O239" t="s">
        <v>115</v>
      </c>
      <c r="P239">
        <v>1</v>
      </c>
      <c r="Q239">
        <v>0</v>
      </c>
      <c r="R239">
        <v>0</v>
      </c>
      <c r="S239" t="s">
        <v>176</v>
      </c>
      <c r="T239" s="5" t="s">
        <v>24</v>
      </c>
      <c r="U239" s="5" t="s">
        <v>122</v>
      </c>
      <c r="V239" s="5" t="s">
        <v>115</v>
      </c>
      <c r="W239" s="5"/>
      <c r="X239" s="5"/>
      <c r="Y239" s="5"/>
      <c r="Z239" s="5" t="s">
        <v>115</v>
      </c>
      <c r="AA239" s="5" t="s">
        <v>115</v>
      </c>
      <c r="AB239" s="5" t="s">
        <v>115</v>
      </c>
      <c r="AC239" s="5" t="s">
        <v>115</v>
      </c>
      <c r="AD239" s="5" t="s">
        <v>115</v>
      </c>
      <c r="AE239" s="5" t="s">
        <v>115</v>
      </c>
      <c r="AF239" s="5" t="s">
        <v>115</v>
      </c>
      <c r="AG239" s="5"/>
      <c r="AH239">
        <v>0</v>
      </c>
      <c r="AI239">
        <v>0</v>
      </c>
      <c r="AJ239">
        <v>0</v>
      </c>
      <c r="AK239">
        <v>0</v>
      </c>
      <c r="AL239">
        <v>29</v>
      </c>
      <c r="AM239">
        <f t="shared" si="3"/>
        <v>29</v>
      </c>
      <c r="AN239" t="s">
        <v>188</v>
      </c>
    </row>
    <row r="240" spans="1:41" x14ac:dyDescent="0.2">
      <c r="A240" t="s">
        <v>3440</v>
      </c>
      <c r="B240" t="s">
        <v>3441</v>
      </c>
      <c r="C240">
        <v>7</v>
      </c>
      <c r="D240">
        <v>1</v>
      </c>
      <c r="E240" t="s">
        <v>2601</v>
      </c>
      <c r="F240" s="1">
        <v>43579</v>
      </c>
      <c r="G240" s="1" t="s">
        <v>4027</v>
      </c>
      <c r="H240" s="1"/>
      <c r="I240" s="2">
        <v>2.013888888888889E-2</v>
      </c>
      <c r="J240" s="176">
        <v>3.3564814814814812E-4</v>
      </c>
      <c r="K240" s="6">
        <v>29</v>
      </c>
      <c r="L240" t="s">
        <v>101</v>
      </c>
      <c r="M240" t="s">
        <v>173</v>
      </c>
      <c r="N240" t="s">
        <v>102</v>
      </c>
      <c r="O240" t="s">
        <v>115</v>
      </c>
      <c r="P240">
        <v>0</v>
      </c>
      <c r="Q240">
        <v>0</v>
      </c>
      <c r="R240">
        <v>0</v>
      </c>
      <c r="T240" s="5" t="s">
        <v>115</v>
      </c>
      <c r="U240" s="5" t="s">
        <v>115</v>
      </c>
      <c r="V240" s="5" t="s">
        <v>115</v>
      </c>
      <c r="W240" s="5"/>
      <c r="X240" s="5"/>
      <c r="Y240" s="5"/>
      <c r="Z240" s="5" t="s">
        <v>115</v>
      </c>
      <c r="AA240" s="5" t="s">
        <v>115</v>
      </c>
      <c r="AB240" s="5" t="s">
        <v>115</v>
      </c>
      <c r="AC240" s="5" t="s">
        <v>115</v>
      </c>
      <c r="AD240" s="5" t="s">
        <v>115</v>
      </c>
      <c r="AE240" s="5" t="s">
        <v>115</v>
      </c>
      <c r="AF240" s="5" t="s">
        <v>115</v>
      </c>
      <c r="AG240" s="5" t="s">
        <v>115</v>
      </c>
      <c r="AH240">
        <v>0</v>
      </c>
      <c r="AI240">
        <v>0</v>
      </c>
      <c r="AJ240">
        <v>0</v>
      </c>
      <c r="AK240">
        <v>0</v>
      </c>
      <c r="AL240">
        <v>29</v>
      </c>
      <c r="AM240">
        <f t="shared" si="3"/>
        <v>29</v>
      </c>
      <c r="AN240" t="s">
        <v>188</v>
      </c>
    </row>
    <row r="241" spans="1:43" x14ac:dyDescent="0.2">
      <c r="A241" t="s">
        <v>3701</v>
      </c>
      <c r="B241" t="s">
        <v>3702</v>
      </c>
      <c r="C241">
        <v>8</v>
      </c>
      <c r="D241">
        <v>1</v>
      </c>
      <c r="E241" t="s">
        <v>3171</v>
      </c>
      <c r="F241" s="1">
        <v>43585</v>
      </c>
      <c r="G241" s="1" t="s">
        <v>4027</v>
      </c>
      <c r="H241" s="1" t="s">
        <v>4752</v>
      </c>
      <c r="I241" s="2">
        <v>2.013888888888889E-2</v>
      </c>
      <c r="J241" s="176">
        <v>3.3564814814814812E-4</v>
      </c>
      <c r="K241" s="6">
        <v>29</v>
      </c>
      <c r="L241" t="s">
        <v>3626</v>
      </c>
      <c r="M241" t="s">
        <v>670</v>
      </c>
      <c r="N241" t="s">
        <v>102</v>
      </c>
      <c r="O241" t="s">
        <v>23</v>
      </c>
      <c r="P241">
        <v>1</v>
      </c>
      <c r="Q241">
        <v>0</v>
      </c>
      <c r="R241">
        <v>0</v>
      </c>
      <c r="S241" t="s">
        <v>176</v>
      </c>
      <c r="T241" s="5" t="s">
        <v>24</v>
      </c>
      <c r="U241" s="5" t="s">
        <v>487</v>
      </c>
      <c r="V241" s="5" t="s">
        <v>115</v>
      </c>
      <c r="W241" s="5"/>
      <c r="X241" s="5"/>
      <c r="Y241" s="5"/>
      <c r="Z241" s="5" t="s">
        <v>115</v>
      </c>
      <c r="AA241" s="5" t="s">
        <v>115</v>
      </c>
      <c r="AB241" s="5" t="s">
        <v>115</v>
      </c>
      <c r="AC241" s="5" t="s">
        <v>115</v>
      </c>
      <c r="AD241" s="5" t="s">
        <v>115</v>
      </c>
      <c r="AE241" s="5" t="s">
        <v>115</v>
      </c>
      <c r="AF241" s="5" t="s">
        <v>115</v>
      </c>
      <c r="AG241" s="5" t="s">
        <v>115</v>
      </c>
      <c r="AH241">
        <v>15</v>
      </c>
      <c r="AI241">
        <v>14</v>
      </c>
      <c r="AJ241">
        <v>0</v>
      </c>
      <c r="AK241">
        <v>29</v>
      </c>
      <c r="AL241">
        <v>0</v>
      </c>
      <c r="AM241">
        <f t="shared" si="3"/>
        <v>29</v>
      </c>
      <c r="AN241" t="s">
        <v>188</v>
      </c>
    </row>
    <row r="242" spans="1:43" x14ac:dyDescent="0.2">
      <c r="A242" t="s">
        <v>3632</v>
      </c>
      <c r="B242" t="s">
        <v>3638</v>
      </c>
      <c r="C242">
        <v>3</v>
      </c>
      <c r="D242">
        <v>1</v>
      </c>
      <c r="E242" t="s">
        <v>2487</v>
      </c>
      <c r="F242" s="1">
        <v>43585</v>
      </c>
      <c r="G242" s="1" t="s">
        <v>4027</v>
      </c>
      <c r="H242" s="1"/>
      <c r="I242" s="2">
        <v>2.013888888888889E-2</v>
      </c>
      <c r="J242" s="176">
        <v>3.3564814814814812E-4</v>
      </c>
      <c r="K242" s="6">
        <v>29</v>
      </c>
      <c r="L242" t="s">
        <v>3626</v>
      </c>
      <c r="M242" t="s">
        <v>2488</v>
      </c>
      <c r="N242" t="s">
        <v>102</v>
      </c>
      <c r="O242" t="s">
        <v>115</v>
      </c>
      <c r="P242">
        <v>0</v>
      </c>
      <c r="Q242">
        <v>0</v>
      </c>
      <c r="R242">
        <v>0</v>
      </c>
      <c r="T242" s="5" t="s">
        <v>115</v>
      </c>
      <c r="U242" s="5" t="s">
        <v>115</v>
      </c>
      <c r="V242" s="5" t="s">
        <v>115</v>
      </c>
      <c r="W242" s="5"/>
      <c r="X242" s="5"/>
      <c r="Y242" s="5"/>
      <c r="Z242" s="5" t="s">
        <v>115</v>
      </c>
      <c r="AA242" s="5" t="s">
        <v>115</v>
      </c>
      <c r="AB242" s="5" t="s">
        <v>115</v>
      </c>
      <c r="AC242" s="5" t="s">
        <v>115</v>
      </c>
      <c r="AD242" s="5" t="s">
        <v>115</v>
      </c>
      <c r="AE242" s="5" t="s">
        <v>115</v>
      </c>
      <c r="AF242" s="5" t="s">
        <v>115</v>
      </c>
      <c r="AG242" s="5" t="s">
        <v>115</v>
      </c>
      <c r="AH242">
        <v>0</v>
      </c>
      <c r="AI242">
        <v>0</v>
      </c>
      <c r="AJ242">
        <v>0</v>
      </c>
      <c r="AK242">
        <v>0</v>
      </c>
      <c r="AL242">
        <v>29</v>
      </c>
      <c r="AM242">
        <f t="shared" si="3"/>
        <v>29</v>
      </c>
      <c r="AN242" t="s">
        <v>188</v>
      </c>
    </row>
    <row r="243" spans="1:43" x14ac:dyDescent="0.2">
      <c r="A243" t="s">
        <v>3643</v>
      </c>
      <c r="B243" t="s">
        <v>3642</v>
      </c>
      <c r="C243">
        <v>7</v>
      </c>
      <c r="D243">
        <v>1</v>
      </c>
      <c r="E243" t="s">
        <v>2487</v>
      </c>
      <c r="F243" s="1">
        <v>43585</v>
      </c>
      <c r="G243" s="1" t="s">
        <v>4027</v>
      </c>
      <c r="H243" s="1"/>
      <c r="I243" s="2">
        <v>2.013888888888889E-2</v>
      </c>
      <c r="J243" s="176">
        <v>3.3564814814814812E-4</v>
      </c>
      <c r="K243" s="6">
        <v>29</v>
      </c>
      <c r="L243" t="s">
        <v>3626</v>
      </c>
      <c r="M243" t="s">
        <v>2488</v>
      </c>
      <c r="N243" t="s">
        <v>102</v>
      </c>
      <c r="O243" t="s">
        <v>115</v>
      </c>
      <c r="P243">
        <v>0</v>
      </c>
      <c r="Q243">
        <v>0</v>
      </c>
      <c r="R243">
        <v>0</v>
      </c>
      <c r="T243" s="5" t="s">
        <v>115</v>
      </c>
      <c r="U243" s="5" t="s">
        <v>115</v>
      </c>
      <c r="V243" s="5" t="s">
        <v>115</v>
      </c>
      <c r="W243" s="5"/>
      <c r="X243" s="5"/>
      <c r="Y243" s="5"/>
      <c r="Z243" s="5" t="s">
        <v>115</v>
      </c>
      <c r="AA243" s="5" t="s">
        <v>115</v>
      </c>
      <c r="AB243" s="5" t="s">
        <v>115</v>
      </c>
      <c r="AC243" s="5" t="s">
        <v>115</v>
      </c>
      <c r="AD243" s="5" t="s">
        <v>115</v>
      </c>
      <c r="AE243" s="5" t="s">
        <v>115</v>
      </c>
      <c r="AF243" s="5" t="s">
        <v>115</v>
      </c>
      <c r="AG243" s="5" t="s">
        <v>115</v>
      </c>
      <c r="AH243">
        <v>0</v>
      </c>
      <c r="AI243">
        <v>0</v>
      </c>
      <c r="AJ243">
        <v>0</v>
      </c>
      <c r="AK243">
        <v>0</v>
      </c>
      <c r="AL243">
        <v>29</v>
      </c>
      <c r="AM243">
        <f t="shared" si="3"/>
        <v>29</v>
      </c>
      <c r="AN243" t="s">
        <v>188</v>
      </c>
    </row>
    <row r="244" spans="1:43" x14ac:dyDescent="0.2">
      <c r="A244" t="s">
        <v>3803</v>
      </c>
      <c r="B244" t="s">
        <v>3804</v>
      </c>
      <c r="C244">
        <v>1</v>
      </c>
      <c r="D244">
        <v>1</v>
      </c>
      <c r="E244" t="s">
        <v>834</v>
      </c>
      <c r="F244" s="1">
        <v>43588</v>
      </c>
      <c r="G244" s="1" t="s">
        <v>4028</v>
      </c>
      <c r="H244" s="1"/>
      <c r="I244" s="2">
        <v>2.013888888888889E-2</v>
      </c>
      <c r="J244" s="176">
        <v>3.3564814814814812E-4</v>
      </c>
      <c r="K244" s="6">
        <v>29</v>
      </c>
      <c r="L244" t="s">
        <v>1278</v>
      </c>
      <c r="M244" t="s">
        <v>466</v>
      </c>
      <c r="N244" t="s">
        <v>102</v>
      </c>
      <c r="O244" t="s">
        <v>115</v>
      </c>
      <c r="P244">
        <v>1</v>
      </c>
      <c r="Q244">
        <v>0</v>
      </c>
      <c r="R244">
        <v>0</v>
      </c>
      <c r="S244" t="s">
        <v>176</v>
      </c>
      <c r="T244" s="5" t="s">
        <v>24</v>
      </c>
      <c r="U244" s="5" t="s">
        <v>122</v>
      </c>
      <c r="V244" s="5" t="s">
        <v>115</v>
      </c>
      <c r="W244" s="5"/>
      <c r="X244" s="5"/>
      <c r="Y244" s="5"/>
      <c r="Z244" s="5" t="s">
        <v>115</v>
      </c>
      <c r="AA244" s="5" t="s">
        <v>115</v>
      </c>
      <c r="AB244" s="5" t="s">
        <v>115</v>
      </c>
      <c r="AC244" s="5" t="s">
        <v>115</v>
      </c>
      <c r="AD244" s="5" t="s">
        <v>115</v>
      </c>
      <c r="AE244" s="5" t="s">
        <v>115</v>
      </c>
      <c r="AF244" s="5" t="s">
        <v>115</v>
      </c>
      <c r="AG244" s="5" t="s">
        <v>115</v>
      </c>
      <c r="AH244">
        <v>0</v>
      </c>
      <c r="AI244">
        <v>0</v>
      </c>
      <c r="AJ244">
        <v>0</v>
      </c>
      <c r="AK244">
        <v>0</v>
      </c>
      <c r="AL244">
        <v>29</v>
      </c>
      <c r="AM244">
        <f t="shared" si="3"/>
        <v>29</v>
      </c>
      <c r="AN244" t="s">
        <v>188</v>
      </c>
    </row>
    <row r="245" spans="1:43" x14ac:dyDescent="0.2">
      <c r="A245" t="s">
        <v>3930</v>
      </c>
      <c r="B245" t="s">
        <v>3931</v>
      </c>
      <c r="C245">
        <v>3</v>
      </c>
      <c r="D245">
        <v>1</v>
      </c>
      <c r="E245" t="s">
        <v>324</v>
      </c>
      <c r="F245" s="1">
        <v>43593</v>
      </c>
      <c r="G245" s="1" t="s">
        <v>4028</v>
      </c>
      <c r="H245" s="1"/>
      <c r="I245" s="2">
        <v>2.1527777777777781E-2</v>
      </c>
      <c r="J245" s="176">
        <v>3.5879629629629635E-4</v>
      </c>
      <c r="K245" s="6">
        <v>31</v>
      </c>
      <c r="L245" t="s">
        <v>3929</v>
      </c>
      <c r="M245" t="s">
        <v>325</v>
      </c>
      <c r="N245" t="s">
        <v>102</v>
      </c>
      <c r="O245" t="s">
        <v>115</v>
      </c>
      <c r="P245">
        <v>4</v>
      </c>
      <c r="Q245">
        <v>0</v>
      </c>
      <c r="R245">
        <v>0</v>
      </c>
      <c r="S245" t="s">
        <v>176</v>
      </c>
      <c r="T245" s="5" t="s">
        <v>24</v>
      </c>
      <c r="U245" s="5" t="s">
        <v>122</v>
      </c>
      <c r="V245" s="5" t="s">
        <v>115</v>
      </c>
      <c r="W245" s="5"/>
      <c r="X245" s="5"/>
      <c r="Y245" s="5"/>
      <c r="Z245" s="5" t="s">
        <v>115</v>
      </c>
      <c r="AA245" s="5" t="s">
        <v>115</v>
      </c>
      <c r="AB245" s="5" t="s">
        <v>115</v>
      </c>
      <c r="AC245" s="5" t="s">
        <v>115</v>
      </c>
      <c r="AD245" s="5" t="s">
        <v>115</v>
      </c>
      <c r="AE245" s="5" t="s">
        <v>115</v>
      </c>
      <c r="AF245" s="5" t="s">
        <v>115</v>
      </c>
      <c r="AG245" s="5" t="s">
        <v>115</v>
      </c>
      <c r="AH245">
        <v>0</v>
      </c>
      <c r="AI245">
        <v>0</v>
      </c>
      <c r="AJ245">
        <v>0</v>
      </c>
      <c r="AK245">
        <v>0</v>
      </c>
      <c r="AL245">
        <v>29</v>
      </c>
      <c r="AM245">
        <f t="shared" si="3"/>
        <v>29</v>
      </c>
      <c r="AN245" t="s">
        <v>188</v>
      </c>
    </row>
    <row r="246" spans="1:43" x14ac:dyDescent="0.2">
      <c r="A246" t="s">
        <v>2512</v>
      </c>
      <c r="B246" t="s">
        <v>2513</v>
      </c>
      <c r="C246">
        <v>11</v>
      </c>
      <c r="D246">
        <v>1</v>
      </c>
      <c r="E246" t="s">
        <v>2487</v>
      </c>
      <c r="F246" s="1">
        <v>43549</v>
      </c>
      <c r="G246" s="1" t="s">
        <v>4026</v>
      </c>
      <c r="H246" s="1"/>
      <c r="I246" s="2">
        <v>2.013888888888889E-2</v>
      </c>
      <c r="J246" s="176">
        <v>3.3564814814814812E-4</v>
      </c>
      <c r="K246" s="6">
        <v>29</v>
      </c>
      <c r="L246" s="5" t="s">
        <v>640</v>
      </c>
      <c r="M246" t="s">
        <v>2488</v>
      </c>
      <c r="N246" t="s">
        <v>102</v>
      </c>
      <c r="O246" t="s">
        <v>115</v>
      </c>
      <c r="P246" t="s">
        <v>24</v>
      </c>
      <c r="Q246">
        <v>0</v>
      </c>
      <c r="R246">
        <v>0</v>
      </c>
      <c r="T246" t="s">
        <v>115</v>
      </c>
      <c r="U246" t="s">
        <v>115</v>
      </c>
      <c r="V246" t="s">
        <v>115</v>
      </c>
      <c r="Z246" t="s">
        <v>115</v>
      </c>
      <c r="AA246" t="s">
        <v>115</v>
      </c>
      <c r="AB246" t="s">
        <v>115</v>
      </c>
      <c r="AC246" t="s">
        <v>115</v>
      </c>
      <c r="AD246" t="s">
        <v>115</v>
      </c>
      <c r="AH246">
        <v>0</v>
      </c>
      <c r="AI246">
        <v>0</v>
      </c>
      <c r="AJ246">
        <v>0</v>
      </c>
      <c r="AK246">
        <v>0</v>
      </c>
      <c r="AL246">
        <v>29</v>
      </c>
      <c r="AM246">
        <f t="shared" si="3"/>
        <v>29</v>
      </c>
      <c r="AN246" t="s">
        <v>188</v>
      </c>
    </row>
    <row r="247" spans="1:43" x14ac:dyDescent="0.2">
      <c r="A247" t="s">
        <v>2807</v>
      </c>
      <c r="B247" t="s">
        <v>2808</v>
      </c>
      <c r="C247">
        <v>10</v>
      </c>
      <c r="D247">
        <v>1</v>
      </c>
      <c r="E247" t="s">
        <v>138</v>
      </c>
      <c r="F247" s="1">
        <v>43556</v>
      </c>
      <c r="G247" s="1" t="s">
        <v>4027</v>
      </c>
      <c r="H247" s="1"/>
      <c r="I247" s="2">
        <v>2.5694444444444447E-2</v>
      </c>
      <c r="J247" s="176">
        <v>4.2824074074074075E-4</v>
      </c>
      <c r="K247" s="6">
        <v>37</v>
      </c>
      <c r="M247" t="s">
        <v>173</v>
      </c>
      <c r="N247" t="s">
        <v>102</v>
      </c>
      <c r="O247" t="s">
        <v>115</v>
      </c>
      <c r="P247" t="s">
        <v>24</v>
      </c>
      <c r="Q247">
        <v>0</v>
      </c>
      <c r="R247">
        <v>0</v>
      </c>
      <c r="T247" s="5" t="s">
        <v>115</v>
      </c>
      <c r="U247" s="5" t="s">
        <v>115</v>
      </c>
      <c r="V247" s="5" t="s">
        <v>115</v>
      </c>
      <c r="W247" s="5"/>
      <c r="X247" s="5"/>
      <c r="Y247" s="5"/>
      <c r="Z247" s="5" t="s">
        <v>115</v>
      </c>
      <c r="AA247" s="5" t="s">
        <v>115</v>
      </c>
      <c r="AB247" s="5" t="s">
        <v>115</v>
      </c>
      <c r="AC247" s="5" t="s">
        <v>115</v>
      </c>
      <c r="AD247" s="5" t="s">
        <v>115</v>
      </c>
      <c r="AE247" s="5" t="s">
        <v>115</v>
      </c>
      <c r="AF247" s="5" t="s">
        <v>115</v>
      </c>
      <c r="AG247" s="5"/>
      <c r="AH247">
        <v>0</v>
      </c>
      <c r="AI247">
        <v>0</v>
      </c>
      <c r="AJ247">
        <v>0</v>
      </c>
      <c r="AK247">
        <v>0</v>
      </c>
      <c r="AL247">
        <v>29</v>
      </c>
      <c r="AM247">
        <f t="shared" si="3"/>
        <v>29</v>
      </c>
      <c r="AN247" t="s">
        <v>188</v>
      </c>
    </row>
    <row r="248" spans="1:43" x14ac:dyDescent="0.2">
      <c r="A248" t="s">
        <v>3887</v>
      </c>
      <c r="B248" t="s">
        <v>3888</v>
      </c>
      <c r="C248">
        <v>2</v>
      </c>
      <c r="D248">
        <v>1</v>
      </c>
      <c r="E248" t="s">
        <v>2462</v>
      </c>
      <c r="F248" s="1">
        <v>43591</v>
      </c>
      <c r="G248" s="1" t="s">
        <v>4028</v>
      </c>
      <c r="H248" s="1"/>
      <c r="I248" s="2">
        <v>2.013888888888889E-2</v>
      </c>
      <c r="J248" s="176">
        <v>3.3564814814814812E-4</v>
      </c>
      <c r="K248" s="6">
        <v>29</v>
      </c>
      <c r="L248" t="s">
        <v>1278</v>
      </c>
      <c r="M248" t="s">
        <v>363</v>
      </c>
      <c r="N248" t="s">
        <v>102</v>
      </c>
      <c r="O248" t="s">
        <v>115</v>
      </c>
      <c r="P248" t="s">
        <v>24</v>
      </c>
      <c r="Q248">
        <v>0</v>
      </c>
      <c r="R248">
        <v>0</v>
      </c>
      <c r="T248" s="5" t="s">
        <v>115</v>
      </c>
      <c r="U248" s="5" t="s">
        <v>115</v>
      </c>
      <c r="V248" s="5" t="s">
        <v>115</v>
      </c>
      <c r="W248" s="5"/>
      <c r="X248" s="5"/>
      <c r="Y248" s="5"/>
      <c r="Z248" s="5" t="s">
        <v>115</v>
      </c>
      <c r="AA248" s="5" t="s">
        <v>115</v>
      </c>
      <c r="AB248" s="5" t="s">
        <v>115</v>
      </c>
      <c r="AC248" s="5" t="s">
        <v>115</v>
      </c>
      <c r="AD248" s="5" t="s">
        <v>115</v>
      </c>
      <c r="AE248" s="5" t="s">
        <v>115</v>
      </c>
      <c r="AF248" s="5" t="s">
        <v>115</v>
      </c>
      <c r="AG248" s="5" t="s">
        <v>115</v>
      </c>
      <c r="AH248">
        <v>0</v>
      </c>
      <c r="AI248">
        <v>0</v>
      </c>
      <c r="AJ248">
        <v>0</v>
      </c>
      <c r="AK248">
        <v>0</v>
      </c>
      <c r="AL248">
        <v>29</v>
      </c>
      <c r="AM248">
        <f t="shared" si="3"/>
        <v>29</v>
      </c>
      <c r="AN248" t="s">
        <v>188</v>
      </c>
    </row>
    <row r="249" spans="1:43" x14ac:dyDescent="0.2">
      <c r="A249" t="s">
        <v>2395</v>
      </c>
      <c r="B249" t="s">
        <v>2396</v>
      </c>
      <c r="C249">
        <v>21</v>
      </c>
      <c r="D249">
        <v>1</v>
      </c>
      <c r="E249" t="s">
        <v>2343</v>
      </c>
      <c r="F249" s="1">
        <v>43544</v>
      </c>
      <c r="G249" s="1" t="s">
        <v>4026</v>
      </c>
      <c r="H249" s="1"/>
      <c r="I249" s="2">
        <v>2.2222222222222223E-2</v>
      </c>
      <c r="J249" s="176">
        <v>3.7037037037037035E-4</v>
      </c>
      <c r="K249" s="6">
        <v>32</v>
      </c>
      <c r="L249" t="s">
        <v>101</v>
      </c>
      <c r="M249" t="s">
        <v>2355</v>
      </c>
      <c r="N249" t="s">
        <v>102</v>
      </c>
      <c r="O249" t="s">
        <v>23</v>
      </c>
      <c r="P249">
        <v>1</v>
      </c>
      <c r="Q249" t="s">
        <v>24</v>
      </c>
      <c r="R249">
        <v>0</v>
      </c>
      <c r="S249" t="s">
        <v>176</v>
      </c>
      <c r="T249" t="s">
        <v>24</v>
      </c>
      <c r="U249" t="s">
        <v>2397</v>
      </c>
      <c r="V249" t="s">
        <v>115</v>
      </c>
      <c r="Z249" t="s">
        <v>115</v>
      </c>
      <c r="AA249" t="s">
        <v>115</v>
      </c>
      <c r="AB249" s="5" t="s">
        <v>115</v>
      </c>
      <c r="AC249" s="5" t="s">
        <v>115</v>
      </c>
      <c r="AD249" s="5" t="s">
        <v>115</v>
      </c>
      <c r="AE249" s="5"/>
      <c r="AF249" s="5"/>
      <c r="AG249" s="5"/>
      <c r="AH249">
        <v>28</v>
      </c>
      <c r="AI249">
        <v>0</v>
      </c>
      <c r="AJ249">
        <v>16</v>
      </c>
      <c r="AK249">
        <v>12</v>
      </c>
      <c r="AL249">
        <v>0</v>
      </c>
      <c r="AM249">
        <f t="shared" si="3"/>
        <v>28</v>
      </c>
      <c r="AN249" t="s">
        <v>2398</v>
      </c>
      <c r="AP249">
        <v>0</v>
      </c>
      <c r="AQ249">
        <v>4</v>
      </c>
    </row>
    <row r="250" spans="1:43" x14ac:dyDescent="0.2">
      <c r="A250" t="s">
        <v>2362</v>
      </c>
      <c r="B250" t="s">
        <v>2363</v>
      </c>
      <c r="C250">
        <v>9</v>
      </c>
      <c r="D250">
        <v>1</v>
      </c>
      <c r="E250" t="s">
        <v>2343</v>
      </c>
      <c r="F250" s="1">
        <v>43544</v>
      </c>
      <c r="G250" s="1" t="s">
        <v>4026</v>
      </c>
      <c r="H250" s="1"/>
      <c r="I250" s="2">
        <v>1.9444444444444445E-2</v>
      </c>
      <c r="J250" s="176">
        <v>3.2407407407407406E-4</v>
      </c>
      <c r="K250" s="6">
        <v>28</v>
      </c>
      <c r="L250" t="s">
        <v>101</v>
      </c>
      <c r="M250" t="s">
        <v>2355</v>
      </c>
      <c r="N250" t="s">
        <v>102</v>
      </c>
      <c r="O250" t="s">
        <v>115</v>
      </c>
      <c r="P250">
        <v>2</v>
      </c>
      <c r="Q250">
        <v>0</v>
      </c>
      <c r="R250">
        <v>0</v>
      </c>
      <c r="S250" t="s">
        <v>176</v>
      </c>
      <c r="T250" t="s">
        <v>24</v>
      </c>
      <c r="U250" t="s">
        <v>122</v>
      </c>
      <c r="V250">
        <v>0</v>
      </c>
      <c r="Z250">
        <v>0</v>
      </c>
      <c r="AA250" t="s">
        <v>115</v>
      </c>
      <c r="AB250" t="s">
        <v>115</v>
      </c>
      <c r="AC250" t="s">
        <v>115</v>
      </c>
      <c r="AD250" t="s">
        <v>115</v>
      </c>
      <c r="AH250">
        <v>0</v>
      </c>
      <c r="AI250">
        <v>0</v>
      </c>
      <c r="AJ250">
        <v>0</v>
      </c>
      <c r="AK250">
        <v>0</v>
      </c>
      <c r="AL250" s="2">
        <v>28</v>
      </c>
      <c r="AM250">
        <f t="shared" si="3"/>
        <v>28</v>
      </c>
      <c r="AN250" t="s">
        <v>188</v>
      </c>
      <c r="AO250" t="s">
        <v>2364</v>
      </c>
      <c r="AP250">
        <v>0</v>
      </c>
      <c r="AQ250">
        <v>0</v>
      </c>
    </row>
    <row r="251" spans="1:43" x14ac:dyDescent="0.2">
      <c r="A251" t="s">
        <v>2526</v>
      </c>
      <c r="B251" t="s">
        <v>2527</v>
      </c>
      <c r="C251">
        <v>17</v>
      </c>
      <c r="D251">
        <v>1</v>
      </c>
      <c r="E251" t="s">
        <v>2487</v>
      </c>
      <c r="F251" s="1">
        <v>43549</v>
      </c>
      <c r="G251" s="1" t="s">
        <v>4026</v>
      </c>
      <c r="H251" s="1"/>
      <c r="I251" s="2">
        <v>1.9444444444444445E-2</v>
      </c>
      <c r="J251" s="176">
        <v>3.2407407407407406E-4</v>
      </c>
      <c r="K251" s="6">
        <v>28</v>
      </c>
      <c r="L251" s="5" t="s">
        <v>640</v>
      </c>
      <c r="M251" t="s">
        <v>2488</v>
      </c>
      <c r="N251" t="s">
        <v>102</v>
      </c>
      <c r="O251" t="s">
        <v>115</v>
      </c>
      <c r="P251">
        <v>0</v>
      </c>
      <c r="Q251">
        <v>0</v>
      </c>
      <c r="R251">
        <v>0</v>
      </c>
      <c r="T251" t="s">
        <v>115</v>
      </c>
      <c r="U251" t="s">
        <v>115</v>
      </c>
      <c r="V251" t="s">
        <v>115</v>
      </c>
      <c r="Z251" t="s">
        <v>115</v>
      </c>
      <c r="AA251" t="s">
        <v>115</v>
      </c>
      <c r="AB251" t="s">
        <v>115</v>
      </c>
      <c r="AC251" t="s">
        <v>115</v>
      </c>
      <c r="AD251" t="s">
        <v>115</v>
      </c>
      <c r="AH251">
        <v>0</v>
      </c>
      <c r="AI251">
        <v>0</v>
      </c>
      <c r="AJ251">
        <v>0</v>
      </c>
      <c r="AK251">
        <v>0</v>
      </c>
      <c r="AL251">
        <v>28</v>
      </c>
      <c r="AM251">
        <f t="shared" si="3"/>
        <v>28</v>
      </c>
      <c r="AN251" t="s">
        <v>188</v>
      </c>
    </row>
    <row r="252" spans="1:43" x14ac:dyDescent="0.2">
      <c r="A252" t="s">
        <v>2796</v>
      </c>
      <c r="B252" t="s">
        <v>2797</v>
      </c>
      <c r="C252">
        <v>5</v>
      </c>
      <c r="D252">
        <v>1</v>
      </c>
      <c r="E252" t="s">
        <v>138</v>
      </c>
      <c r="F252" s="1">
        <v>43556</v>
      </c>
      <c r="G252" s="1" t="s">
        <v>4027</v>
      </c>
      <c r="H252" s="1"/>
      <c r="I252" s="2">
        <v>2.2222222222222223E-2</v>
      </c>
      <c r="J252" s="176">
        <v>3.7037037037037035E-4</v>
      </c>
      <c r="K252" s="6">
        <v>32</v>
      </c>
      <c r="M252" t="s">
        <v>173</v>
      </c>
      <c r="N252" t="s">
        <v>102</v>
      </c>
      <c r="O252" t="s">
        <v>115</v>
      </c>
      <c r="P252">
        <v>0</v>
      </c>
      <c r="Q252">
        <v>0</v>
      </c>
      <c r="R252">
        <v>0</v>
      </c>
      <c r="T252" s="5" t="s">
        <v>115</v>
      </c>
      <c r="U252" s="5" t="s">
        <v>115</v>
      </c>
      <c r="V252" s="5" t="s">
        <v>115</v>
      </c>
      <c r="W252" s="5"/>
      <c r="X252" s="5"/>
      <c r="Y252" s="5"/>
      <c r="Z252" s="5" t="s">
        <v>115</v>
      </c>
      <c r="AA252" s="5" t="s">
        <v>115</v>
      </c>
      <c r="AB252" s="5" t="s">
        <v>115</v>
      </c>
      <c r="AC252" s="5" t="s">
        <v>115</v>
      </c>
      <c r="AD252" s="5" t="s">
        <v>115</v>
      </c>
      <c r="AE252" s="5" t="s">
        <v>115</v>
      </c>
      <c r="AF252" s="5" t="s">
        <v>115</v>
      </c>
      <c r="AG252" s="5"/>
      <c r="AH252">
        <v>0</v>
      </c>
      <c r="AI252">
        <v>0</v>
      </c>
      <c r="AJ252">
        <v>0</v>
      </c>
      <c r="AK252">
        <v>0</v>
      </c>
      <c r="AL252">
        <v>28</v>
      </c>
      <c r="AM252">
        <f t="shared" si="3"/>
        <v>28</v>
      </c>
    </row>
    <row r="253" spans="1:43" x14ac:dyDescent="0.2">
      <c r="A253" t="s">
        <v>2796</v>
      </c>
      <c r="B253" t="s">
        <v>2798</v>
      </c>
      <c r="C253">
        <v>6</v>
      </c>
      <c r="D253">
        <v>1</v>
      </c>
      <c r="E253" t="s">
        <v>138</v>
      </c>
      <c r="F253" s="1">
        <v>43556</v>
      </c>
      <c r="G253" s="1" t="s">
        <v>4027</v>
      </c>
      <c r="H253" s="1"/>
      <c r="I253" s="2">
        <v>2.1527777777777781E-2</v>
      </c>
      <c r="J253" s="176">
        <v>3.5879629629629635E-4</v>
      </c>
      <c r="K253" s="6">
        <v>31</v>
      </c>
      <c r="M253" t="s">
        <v>173</v>
      </c>
      <c r="N253" t="s">
        <v>102</v>
      </c>
      <c r="O253" t="s">
        <v>115</v>
      </c>
      <c r="P253">
        <v>0</v>
      </c>
      <c r="Q253">
        <v>0</v>
      </c>
      <c r="R253">
        <v>0</v>
      </c>
      <c r="T253" s="5" t="s">
        <v>115</v>
      </c>
      <c r="U253" s="5" t="s">
        <v>115</v>
      </c>
      <c r="V253" s="5" t="s">
        <v>115</v>
      </c>
      <c r="W253" s="5"/>
      <c r="X253" s="5"/>
      <c r="Y253" s="5"/>
      <c r="Z253" s="5" t="s">
        <v>115</v>
      </c>
      <c r="AA253" s="5" t="s">
        <v>115</v>
      </c>
      <c r="AB253" s="5" t="s">
        <v>115</v>
      </c>
      <c r="AC253" s="5" t="s">
        <v>115</v>
      </c>
      <c r="AD253" s="5" t="s">
        <v>115</v>
      </c>
      <c r="AE253" s="5" t="s">
        <v>115</v>
      </c>
      <c r="AF253" s="5" t="s">
        <v>115</v>
      </c>
      <c r="AG253" s="5"/>
      <c r="AH253">
        <v>0</v>
      </c>
      <c r="AI253">
        <v>0</v>
      </c>
      <c r="AJ253">
        <v>0</v>
      </c>
      <c r="AK253">
        <v>0</v>
      </c>
      <c r="AL253">
        <v>28</v>
      </c>
      <c r="AM253">
        <f t="shared" si="3"/>
        <v>28</v>
      </c>
    </row>
    <row r="254" spans="1:43" x14ac:dyDescent="0.2">
      <c r="A254" t="s">
        <v>3379</v>
      </c>
      <c r="B254" t="s">
        <v>3380</v>
      </c>
      <c r="C254">
        <v>12</v>
      </c>
      <c r="D254">
        <v>1</v>
      </c>
      <c r="E254" t="s">
        <v>3171</v>
      </c>
      <c r="F254" s="1">
        <v>43577</v>
      </c>
      <c r="G254" s="1" t="s">
        <v>4027</v>
      </c>
      <c r="H254" s="1" t="s">
        <v>4752</v>
      </c>
      <c r="I254" s="2">
        <v>1.9444444444444445E-2</v>
      </c>
      <c r="J254" s="176">
        <v>3.2407407407407406E-4</v>
      </c>
      <c r="K254" s="6">
        <v>28</v>
      </c>
      <c r="L254" t="s">
        <v>101</v>
      </c>
      <c r="M254" t="s">
        <v>670</v>
      </c>
      <c r="N254" t="s">
        <v>102</v>
      </c>
      <c r="O254" t="s">
        <v>23</v>
      </c>
      <c r="P254">
        <v>1</v>
      </c>
      <c r="Q254">
        <v>1</v>
      </c>
      <c r="R254">
        <v>0</v>
      </c>
      <c r="S254" t="s">
        <v>176</v>
      </c>
      <c r="T254" s="5" t="s">
        <v>24</v>
      </c>
      <c r="U254" s="5" t="s">
        <v>709</v>
      </c>
      <c r="V254" s="5" t="s">
        <v>115</v>
      </c>
      <c r="W254" s="5"/>
      <c r="X254" s="5"/>
      <c r="Y254" s="5"/>
      <c r="Z254" s="5" t="s">
        <v>115</v>
      </c>
      <c r="AA254" s="5" t="s">
        <v>115</v>
      </c>
      <c r="AB254" s="5" t="s">
        <v>115</v>
      </c>
      <c r="AC254" s="5" t="s">
        <v>115</v>
      </c>
      <c r="AD254" s="5" t="s">
        <v>115</v>
      </c>
      <c r="AE254">
        <v>63.722259999999999</v>
      </c>
      <c r="AF254">
        <v>148.94954000000001</v>
      </c>
      <c r="AG254" s="5" t="s">
        <v>115</v>
      </c>
      <c r="AH254">
        <v>13</v>
      </c>
      <c r="AI254">
        <v>0</v>
      </c>
      <c r="AJ254">
        <v>13</v>
      </c>
      <c r="AK254">
        <v>0</v>
      </c>
      <c r="AL254">
        <v>15</v>
      </c>
      <c r="AM254">
        <f t="shared" si="3"/>
        <v>28</v>
      </c>
      <c r="AN254" t="s">
        <v>165</v>
      </c>
      <c r="AP254">
        <v>7</v>
      </c>
      <c r="AQ254">
        <v>0</v>
      </c>
    </row>
    <row r="255" spans="1:43" x14ac:dyDescent="0.2">
      <c r="A255" t="s">
        <v>3319</v>
      </c>
      <c r="B255" t="s">
        <v>3316</v>
      </c>
      <c r="C255">
        <v>11</v>
      </c>
      <c r="D255">
        <v>2</v>
      </c>
      <c r="E255" t="s">
        <v>834</v>
      </c>
      <c r="F255" s="1">
        <v>43577</v>
      </c>
      <c r="G255" s="1" t="s">
        <v>4027</v>
      </c>
      <c r="H255" s="1"/>
      <c r="I255" s="2">
        <v>9.6527777777777768E-2</v>
      </c>
      <c r="J255" s="176">
        <v>1.6087962962962963E-3</v>
      </c>
      <c r="K255" s="6">
        <v>139</v>
      </c>
      <c r="L255" t="s">
        <v>101</v>
      </c>
      <c r="M255" t="s">
        <v>466</v>
      </c>
      <c r="N255" t="s">
        <v>102</v>
      </c>
      <c r="O255" t="s">
        <v>115</v>
      </c>
      <c r="P255">
        <v>1</v>
      </c>
      <c r="Q255">
        <v>0</v>
      </c>
      <c r="R255">
        <v>0</v>
      </c>
      <c r="S255" t="s">
        <v>598</v>
      </c>
      <c r="T255" s="5" t="s">
        <v>598</v>
      </c>
      <c r="U255" s="5" t="s">
        <v>122</v>
      </c>
      <c r="V255" s="5" t="s">
        <v>115</v>
      </c>
      <c r="W255" s="5"/>
      <c r="X255" s="5"/>
      <c r="Y255" s="5"/>
      <c r="Z255" s="5" t="s">
        <v>115</v>
      </c>
      <c r="AA255" s="5" t="s">
        <v>115</v>
      </c>
      <c r="AB255" s="5" t="s">
        <v>115</v>
      </c>
      <c r="AC255" s="5" t="s">
        <v>115</v>
      </c>
      <c r="AD255" s="5" t="s">
        <v>115</v>
      </c>
      <c r="AE255" s="5" t="s">
        <v>115</v>
      </c>
      <c r="AF255" s="5" t="s">
        <v>115</v>
      </c>
      <c r="AG255" s="5" t="s">
        <v>115</v>
      </c>
      <c r="AH255">
        <v>0</v>
      </c>
      <c r="AI255">
        <v>0</v>
      </c>
      <c r="AJ255">
        <v>0</v>
      </c>
      <c r="AK255">
        <v>0</v>
      </c>
      <c r="AL255">
        <v>28</v>
      </c>
      <c r="AM255">
        <f t="shared" si="3"/>
        <v>28</v>
      </c>
      <c r="AN255" t="s">
        <v>188</v>
      </c>
      <c r="AO255" t="s">
        <v>3317</v>
      </c>
    </row>
    <row r="256" spans="1:43" x14ac:dyDescent="0.2">
      <c r="A256" t="s">
        <v>2628</v>
      </c>
      <c r="B256" t="s">
        <v>2629</v>
      </c>
      <c r="C256">
        <v>2</v>
      </c>
      <c r="D256">
        <v>1</v>
      </c>
      <c r="E256" t="s">
        <v>2487</v>
      </c>
      <c r="F256" s="1">
        <v>43551</v>
      </c>
      <c r="G256" s="1" t="s">
        <v>4026</v>
      </c>
      <c r="H256" s="1"/>
      <c r="I256" s="2">
        <v>1.9444444444444445E-2</v>
      </c>
      <c r="J256" s="176">
        <v>0</v>
      </c>
      <c r="K256" s="6">
        <v>0</v>
      </c>
      <c r="L256" s="5" t="s">
        <v>398</v>
      </c>
      <c r="M256" t="s">
        <v>2498</v>
      </c>
      <c r="N256" t="s">
        <v>102</v>
      </c>
      <c r="O256" t="s">
        <v>115</v>
      </c>
      <c r="P256" t="s">
        <v>24</v>
      </c>
      <c r="Q256">
        <v>0</v>
      </c>
      <c r="R256">
        <v>0</v>
      </c>
      <c r="T256" t="s">
        <v>115</v>
      </c>
      <c r="U256" t="s">
        <v>115</v>
      </c>
      <c r="V256" t="s">
        <v>115</v>
      </c>
      <c r="Z256" t="s">
        <v>115</v>
      </c>
      <c r="AA256" t="s">
        <v>115</v>
      </c>
      <c r="AB256" t="s">
        <v>115</v>
      </c>
      <c r="AC256" t="s">
        <v>115</v>
      </c>
      <c r="AD256" t="s">
        <v>115</v>
      </c>
      <c r="AE256" t="s">
        <v>115</v>
      </c>
      <c r="AF256" t="s">
        <v>115</v>
      </c>
      <c r="AH256">
        <v>0</v>
      </c>
      <c r="AI256">
        <v>0</v>
      </c>
      <c r="AJ256">
        <v>0</v>
      </c>
      <c r="AK256">
        <v>0</v>
      </c>
      <c r="AL256">
        <v>28</v>
      </c>
      <c r="AM256">
        <f t="shared" si="3"/>
        <v>28</v>
      </c>
      <c r="AN256" t="s">
        <v>188</v>
      </c>
    </row>
    <row r="257" spans="1:43" x14ac:dyDescent="0.2">
      <c r="A257" t="s">
        <v>2941</v>
      </c>
      <c r="B257" t="s">
        <v>2942</v>
      </c>
      <c r="C257">
        <v>6</v>
      </c>
      <c r="D257">
        <v>1</v>
      </c>
      <c r="E257" t="s">
        <v>834</v>
      </c>
      <c r="F257" s="1">
        <v>43560</v>
      </c>
      <c r="G257" s="1" t="s">
        <v>4027</v>
      </c>
      <c r="H257" s="1"/>
      <c r="I257" s="2">
        <v>3.0555555555555555E-2</v>
      </c>
      <c r="J257" s="176">
        <v>3.2407407407407406E-4</v>
      </c>
      <c r="K257" s="6">
        <v>28</v>
      </c>
      <c r="M257" t="s">
        <v>466</v>
      </c>
      <c r="N257" t="s">
        <v>102</v>
      </c>
      <c r="O257" t="s">
        <v>23</v>
      </c>
      <c r="P257" t="s">
        <v>24</v>
      </c>
      <c r="Q257">
        <v>0</v>
      </c>
      <c r="R257">
        <v>0</v>
      </c>
      <c r="T257" s="5" t="s">
        <v>115</v>
      </c>
      <c r="U257" s="5" t="s">
        <v>115</v>
      </c>
      <c r="V257" s="5" t="s">
        <v>115</v>
      </c>
      <c r="W257" s="5"/>
      <c r="X257" s="5"/>
      <c r="Y257" s="5"/>
      <c r="Z257" s="5" t="s">
        <v>115</v>
      </c>
      <c r="AA257" s="5" t="s">
        <v>115</v>
      </c>
      <c r="AB257" s="5" t="s">
        <v>115</v>
      </c>
      <c r="AC257" s="5" t="s">
        <v>115</v>
      </c>
      <c r="AD257" s="5" t="s">
        <v>115</v>
      </c>
      <c r="AE257" s="5" t="s">
        <v>115</v>
      </c>
      <c r="AF257" s="5" t="s">
        <v>115</v>
      </c>
      <c r="AG257" s="5"/>
      <c r="AH257">
        <v>28</v>
      </c>
      <c r="AI257">
        <v>0</v>
      </c>
      <c r="AJ257">
        <v>0</v>
      </c>
      <c r="AK257">
        <v>28</v>
      </c>
      <c r="AL257">
        <v>0</v>
      </c>
      <c r="AM257">
        <f t="shared" si="3"/>
        <v>28</v>
      </c>
      <c r="AN257" t="s">
        <v>2374</v>
      </c>
      <c r="AP257">
        <v>1</v>
      </c>
      <c r="AQ257">
        <v>0</v>
      </c>
    </row>
    <row r="258" spans="1:43" x14ac:dyDescent="0.2">
      <c r="A258" t="s">
        <v>3504</v>
      </c>
      <c r="B258" t="s">
        <v>3505</v>
      </c>
      <c r="C258">
        <v>25</v>
      </c>
      <c r="D258">
        <v>1</v>
      </c>
      <c r="E258" t="s">
        <v>2462</v>
      </c>
      <c r="F258" s="1">
        <v>43579</v>
      </c>
      <c r="G258" s="1" t="s">
        <v>4027</v>
      </c>
      <c r="H258" s="1"/>
      <c r="I258" s="2">
        <v>2.2222222222222223E-2</v>
      </c>
      <c r="J258" s="176">
        <v>3.7037037037037035E-4</v>
      </c>
      <c r="K258" s="6">
        <v>32</v>
      </c>
      <c r="L258" t="s">
        <v>101</v>
      </c>
      <c r="M258" t="s">
        <v>363</v>
      </c>
      <c r="N258" t="s">
        <v>102</v>
      </c>
      <c r="O258" t="s">
        <v>115</v>
      </c>
      <c r="P258" t="s">
        <v>24</v>
      </c>
      <c r="Q258">
        <v>0</v>
      </c>
      <c r="R258">
        <v>0</v>
      </c>
      <c r="T258" s="5" t="s">
        <v>115</v>
      </c>
      <c r="U258" s="5" t="s">
        <v>115</v>
      </c>
      <c r="V258" s="5" t="s">
        <v>115</v>
      </c>
      <c r="W258" s="5"/>
      <c r="X258" s="5"/>
      <c r="Y258" s="5"/>
      <c r="Z258" s="5" t="s">
        <v>115</v>
      </c>
      <c r="AA258" s="5" t="s">
        <v>115</v>
      </c>
      <c r="AB258" s="5" t="s">
        <v>115</v>
      </c>
      <c r="AC258" s="5" t="s">
        <v>115</v>
      </c>
      <c r="AD258" s="5" t="s">
        <v>115</v>
      </c>
      <c r="AE258" s="5" t="s">
        <v>115</v>
      </c>
      <c r="AF258" s="5" t="s">
        <v>115</v>
      </c>
      <c r="AG258" s="5" t="s">
        <v>115</v>
      </c>
      <c r="AH258">
        <v>0</v>
      </c>
      <c r="AI258">
        <v>0</v>
      </c>
      <c r="AJ258">
        <v>0</v>
      </c>
      <c r="AK258">
        <v>0</v>
      </c>
      <c r="AL258">
        <v>28</v>
      </c>
      <c r="AM258">
        <f t="shared" ref="AM258:AM321" si="4">SUM(AH258+AI258+AL258)</f>
        <v>28</v>
      </c>
      <c r="AN258" t="s">
        <v>188</v>
      </c>
    </row>
    <row r="259" spans="1:43" x14ac:dyDescent="0.2">
      <c r="A259" t="s">
        <v>2736</v>
      </c>
      <c r="B259" t="s">
        <v>2738</v>
      </c>
      <c r="C259">
        <v>6</v>
      </c>
      <c r="D259">
        <v>1</v>
      </c>
      <c r="E259" t="s">
        <v>834</v>
      </c>
      <c r="F259" s="1">
        <v>43554</v>
      </c>
      <c r="G259" s="1" t="s">
        <v>4026</v>
      </c>
      <c r="H259" s="1"/>
      <c r="I259" s="2">
        <v>1.8749999999999999E-2</v>
      </c>
      <c r="J259" s="176">
        <v>3.1250000000000001E-4</v>
      </c>
      <c r="K259" s="6">
        <v>27</v>
      </c>
      <c r="M259" t="s">
        <v>466</v>
      </c>
      <c r="N259" t="s">
        <v>102</v>
      </c>
      <c r="O259" t="s">
        <v>115</v>
      </c>
      <c r="P259">
        <v>0</v>
      </c>
      <c r="Q259">
        <v>0</v>
      </c>
      <c r="R259">
        <v>0</v>
      </c>
      <c r="T259" s="5" t="s">
        <v>115</v>
      </c>
      <c r="U259" s="5" t="s">
        <v>115</v>
      </c>
      <c r="V259" s="5" t="s">
        <v>115</v>
      </c>
      <c r="W259" s="5"/>
      <c r="X259" s="5"/>
      <c r="Y259" s="5"/>
      <c r="Z259" s="5" t="s">
        <v>115</v>
      </c>
      <c r="AA259" s="5" t="s">
        <v>115</v>
      </c>
      <c r="AB259" s="5" t="s">
        <v>115</v>
      </c>
      <c r="AC259" s="5" t="s">
        <v>115</v>
      </c>
      <c r="AD259" s="5" t="s">
        <v>115</v>
      </c>
      <c r="AE259" s="5" t="s">
        <v>115</v>
      </c>
      <c r="AF259" s="5" t="s">
        <v>115</v>
      </c>
      <c r="AG259" s="5"/>
      <c r="AH259">
        <v>0</v>
      </c>
      <c r="AI259">
        <v>0</v>
      </c>
      <c r="AJ259">
        <v>0</v>
      </c>
      <c r="AK259">
        <v>0</v>
      </c>
      <c r="AL259">
        <v>27</v>
      </c>
      <c r="AM259">
        <f t="shared" si="4"/>
        <v>27</v>
      </c>
      <c r="AN259" t="s">
        <v>188</v>
      </c>
    </row>
    <row r="260" spans="1:43" x14ac:dyDescent="0.2">
      <c r="A260" t="s">
        <v>3331</v>
      </c>
      <c r="B260" t="s">
        <v>3332</v>
      </c>
      <c r="C260">
        <v>17</v>
      </c>
      <c r="D260">
        <v>1</v>
      </c>
      <c r="E260" t="s">
        <v>834</v>
      </c>
      <c r="F260" s="1">
        <v>43577</v>
      </c>
      <c r="G260" s="1" t="s">
        <v>4027</v>
      </c>
      <c r="H260" s="1"/>
      <c r="I260" s="2">
        <v>2.4999999999999998E-2</v>
      </c>
      <c r="J260" s="176">
        <v>4.1666666666666669E-4</v>
      </c>
      <c r="K260" s="6">
        <v>36</v>
      </c>
      <c r="L260" t="s">
        <v>101</v>
      </c>
      <c r="M260" t="s">
        <v>466</v>
      </c>
      <c r="N260" t="s">
        <v>102</v>
      </c>
      <c r="O260" t="s">
        <v>115</v>
      </c>
      <c r="P260">
        <v>1</v>
      </c>
      <c r="Q260">
        <v>0</v>
      </c>
      <c r="R260">
        <v>0</v>
      </c>
      <c r="S260" t="s">
        <v>176</v>
      </c>
      <c r="T260" s="5" t="s">
        <v>24</v>
      </c>
      <c r="U260" s="5" t="s">
        <v>122</v>
      </c>
      <c r="V260" s="5" t="s">
        <v>115</v>
      </c>
      <c r="W260" s="5"/>
      <c r="X260" s="5"/>
      <c r="Y260" s="5"/>
      <c r="Z260" s="5" t="s">
        <v>115</v>
      </c>
      <c r="AA260" s="5" t="s">
        <v>115</v>
      </c>
      <c r="AB260" s="5" t="s">
        <v>115</v>
      </c>
      <c r="AC260" s="5" t="s">
        <v>115</v>
      </c>
      <c r="AD260" s="5" t="s">
        <v>115</v>
      </c>
      <c r="AE260" s="5" t="s">
        <v>115</v>
      </c>
      <c r="AF260" s="5" t="s">
        <v>115</v>
      </c>
      <c r="AG260" s="5" t="s">
        <v>115</v>
      </c>
      <c r="AH260">
        <v>0</v>
      </c>
      <c r="AI260">
        <v>0</v>
      </c>
      <c r="AJ260">
        <v>0</v>
      </c>
      <c r="AK260">
        <v>0</v>
      </c>
      <c r="AL260">
        <v>27</v>
      </c>
      <c r="AM260">
        <f t="shared" si="4"/>
        <v>27</v>
      </c>
      <c r="AN260" t="s">
        <v>188</v>
      </c>
    </row>
    <row r="261" spans="1:43" x14ac:dyDescent="0.2">
      <c r="A261" t="s">
        <v>2401</v>
      </c>
      <c r="B261" t="s">
        <v>2402</v>
      </c>
      <c r="C261">
        <v>23</v>
      </c>
      <c r="D261">
        <v>1</v>
      </c>
      <c r="E261" t="s">
        <v>2343</v>
      </c>
      <c r="F261" s="1">
        <v>43544</v>
      </c>
      <c r="G261" s="1" t="s">
        <v>4026</v>
      </c>
      <c r="H261" s="1"/>
      <c r="I261" s="2">
        <v>1.8749999999999999E-2</v>
      </c>
      <c r="J261" s="176">
        <v>3.1250000000000001E-4</v>
      </c>
      <c r="K261" s="6">
        <v>27</v>
      </c>
      <c r="L261" t="s">
        <v>101</v>
      </c>
      <c r="M261" t="s">
        <v>2355</v>
      </c>
      <c r="N261" t="s">
        <v>102</v>
      </c>
      <c r="O261" t="s">
        <v>115</v>
      </c>
      <c r="P261" t="s">
        <v>24</v>
      </c>
      <c r="Q261">
        <v>0</v>
      </c>
      <c r="R261">
        <v>0</v>
      </c>
      <c r="T261" t="s">
        <v>115</v>
      </c>
      <c r="U261" t="s">
        <v>115</v>
      </c>
      <c r="V261" t="s">
        <v>115</v>
      </c>
      <c r="Z261" t="s">
        <v>115</v>
      </c>
      <c r="AA261" t="s">
        <v>115</v>
      </c>
      <c r="AB261" s="5" t="s">
        <v>115</v>
      </c>
      <c r="AC261" s="5" t="s">
        <v>115</v>
      </c>
      <c r="AD261" s="5" t="s">
        <v>115</v>
      </c>
      <c r="AE261" s="5"/>
      <c r="AF261" s="5"/>
      <c r="AG261" s="5"/>
      <c r="AH261">
        <v>0</v>
      </c>
      <c r="AI261">
        <v>0</v>
      </c>
      <c r="AJ261">
        <v>0</v>
      </c>
      <c r="AK261">
        <v>0</v>
      </c>
      <c r="AL261">
        <v>27</v>
      </c>
      <c r="AM261">
        <f t="shared" si="4"/>
        <v>27</v>
      </c>
      <c r="AN261" t="s">
        <v>188</v>
      </c>
    </row>
    <row r="262" spans="1:43" x14ac:dyDescent="0.2">
      <c r="A262" t="s">
        <v>2584</v>
      </c>
      <c r="B262" t="s">
        <v>2585</v>
      </c>
      <c r="C262">
        <v>4</v>
      </c>
      <c r="D262">
        <v>1</v>
      </c>
      <c r="E262" t="s">
        <v>834</v>
      </c>
      <c r="F262" s="1">
        <v>43550</v>
      </c>
      <c r="G262" s="1" t="s">
        <v>4026</v>
      </c>
      <c r="H262" s="1"/>
      <c r="I262" s="2">
        <v>2.361111111111111E-2</v>
      </c>
      <c r="J262" s="176">
        <v>3.9351851851851852E-4</v>
      </c>
      <c r="K262" s="6">
        <v>34</v>
      </c>
      <c r="L262" s="5" t="s">
        <v>2576</v>
      </c>
      <c r="M262" t="s">
        <v>466</v>
      </c>
      <c r="N262" t="s">
        <v>102</v>
      </c>
      <c r="O262" t="s">
        <v>115</v>
      </c>
      <c r="P262" t="s">
        <v>24</v>
      </c>
      <c r="Q262">
        <v>0</v>
      </c>
      <c r="R262">
        <v>0</v>
      </c>
      <c r="T262" t="s">
        <v>115</v>
      </c>
      <c r="U262" t="s">
        <v>115</v>
      </c>
      <c r="V262" t="s">
        <v>115</v>
      </c>
      <c r="Z262" t="s">
        <v>115</v>
      </c>
      <c r="AA262" t="s">
        <v>115</v>
      </c>
      <c r="AB262" t="s">
        <v>115</v>
      </c>
      <c r="AC262" t="s">
        <v>115</v>
      </c>
      <c r="AD262" t="s">
        <v>115</v>
      </c>
      <c r="AH262">
        <v>0</v>
      </c>
      <c r="AI262">
        <v>0</v>
      </c>
      <c r="AJ262">
        <v>0</v>
      </c>
      <c r="AK262">
        <v>0</v>
      </c>
      <c r="AL262">
        <v>27</v>
      </c>
      <c r="AM262">
        <f t="shared" si="4"/>
        <v>27</v>
      </c>
      <c r="AN262" t="s">
        <v>188</v>
      </c>
    </row>
    <row r="263" spans="1:43" x14ac:dyDescent="0.2">
      <c r="A263" t="s">
        <v>2976</v>
      </c>
      <c r="B263" t="s">
        <v>2977</v>
      </c>
      <c r="C263">
        <v>23</v>
      </c>
      <c r="D263">
        <v>1</v>
      </c>
      <c r="E263" t="s">
        <v>834</v>
      </c>
      <c r="F263" s="1">
        <v>43560</v>
      </c>
      <c r="G263" s="1" t="s">
        <v>4027</v>
      </c>
      <c r="H263" s="1"/>
      <c r="I263" s="2">
        <v>1.8749999999999999E-2</v>
      </c>
      <c r="J263" s="176">
        <v>3.1250000000000001E-4</v>
      </c>
      <c r="K263" s="6">
        <v>27</v>
      </c>
      <c r="M263" t="s">
        <v>466</v>
      </c>
      <c r="N263" t="s">
        <v>102</v>
      </c>
      <c r="O263" t="s">
        <v>115</v>
      </c>
      <c r="P263" t="s">
        <v>24</v>
      </c>
      <c r="Q263">
        <v>0</v>
      </c>
      <c r="R263">
        <v>0</v>
      </c>
      <c r="T263" s="5" t="s">
        <v>115</v>
      </c>
      <c r="U263" s="5" t="s">
        <v>115</v>
      </c>
      <c r="V263" s="5" t="s">
        <v>115</v>
      </c>
      <c r="W263" s="5"/>
      <c r="X263" s="5"/>
      <c r="Y263" s="5"/>
      <c r="Z263" s="5" t="s">
        <v>115</v>
      </c>
      <c r="AA263" s="5" t="s">
        <v>115</v>
      </c>
      <c r="AB263" s="5" t="s">
        <v>115</v>
      </c>
      <c r="AC263" s="5" t="s">
        <v>115</v>
      </c>
      <c r="AD263" s="5" t="s">
        <v>115</v>
      </c>
      <c r="AE263" s="5" t="s">
        <v>115</v>
      </c>
      <c r="AF263" s="5" t="s">
        <v>115</v>
      </c>
      <c r="AG263" s="5"/>
      <c r="AH263">
        <v>0</v>
      </c>
      <c r="AI263">
        <v>0</v>
      </c>
      <c r="AJ263">
        <v>0</v>
      </c>
      <c r="AK263">
        <v>0</v>
      </c>
      <c r="AL263">
        <v>27</v>
      </c>
      <c r="AM263">
        <f t="shared" si="4"/>
        <v>27</v>
      </c>
      <c r="AN263" t="s">
        <v>188</v>
      </c>
    </row>
    <row r="264" spans="1:43" x14ac:dyDescent="0.2">
      <c r="A264" t="s">
        <v>3490</v>
      </c>
      <c r="B264" t="s">
        <v>3491</v>
      </c>
      <c r="C264">
        <v>18</v>
      </c>
      <c r="D264">
        <v>1</v>
      </c>
      <c r="E264" t="s">
        <v>2462</v>
      </c>
      <c r="F264" s="1">
        <v>43579</v>
      </c>
      <c r="G264" s="1" t="s">
        <v>4027</v>
      </c>
      <c r="H264" s="1"/>
      <c r="I264" s="2">
        <v>1.8749999999999999E-2</v>
      </c>
      <c r="J264" s="176">
        <v>3.1250000000000001E-4</v>
      </c>
      <c r="K264" s="6">
        <v>27</v>
      </c>
      <c r="L264" t="s">
        <v>101</v>
      </c>
      <c r="M264" t="s">
        <v>363</v>
      </c>
      <c r="N264" t="s">
        <v>102</v>
      </c>
      <c r="O264" t="s">
        <v>115</v>
      </c>
      <c r="P264" t="s">
        <v>24</v>
      </c>
      <c r="Q264">
        <v>0</v>
      </c>
      <c r="R264">
        <v>0</v>
      </c>
      <c r="T264" s="5" t="s">
        <v>115</v>
      </c>
      <c r="U264" s="5" t="s">
        <v>115</v>
      </c>
      <c r="V264" s="5" t="s">
        <v>115</v>
      </c>
      <c r="W264" s="5"/>
      <c r="X264" s="5"/>
      <c r="Y264" s="5"/>
      <c r="Z264" s="5" t="s">
        <v>115</v>
      </c>
      <c r="AA264" s="5" t="s">
        <v>115</v>
      </c>
      <c r="AB264" s="5" t="s">
        <v>115</v>
      </c>
      <c r="AC264" s="5" t="s">
        <v>115</v>
      </c>
      <c r="AD264" s="5" t="s">
        <v>115</v>
      </c>
      <c r="AE264" s="5" t="s">
        <v>115</v>
      </c>
      <c r="AF264" s="5" t="s">
        <v>115</v>
      </c>
      <c r="AG264" s="5" t="s">
        <v>115</v>
      </c>
      <c r="AH264">
        <v>0</v>
      </c>
      <c r="AI264">
        <v>0</v>
      </c>
      <c r="AJ264">
        <v>0</v>
      </c>
      <c r="AK264">
        <v>0</v>
      </c>
      <c r="AL264">
        <v>27</v>
      </c>
      <c r="AM264">
        <f t="shared" si="4"/>
        <v>27</v>
      </c>
      <c r="AN264" t="s">
        <v>188</v>
      </c>
    </row>
    <row r="265" spans="1:43" x14ac:dyDescent="0.2">
      <c r="A265" t="s">
        <v>3561</v>
      </c>
      <c r="B265" t="s">
        <v>3562</v>
      </c>
      <c r="C265">
        <v>24</v>
      </c>
      <c r="D265">
        <v>1</v>
      </c>
      <c r="E265" t="s">
        <v>3171</v>
      </c>
      <c r="F265" s="1">
        <v>43580</v>
      </c>
      <c r="G265" s="1" t="s">
        <v>4027</v>
      </c>
      <c r="H265" s="1"/>
      <c r="I265" s="2">
        <v>1.8749999999999999E-2</v>
      </c>
      <c r="J265" s="176">
        <v>3.1250000000000001E-4</v>
      </c>
      <c r="K265" s="6">
        <v>27</v>
      </c>
      <c r="L265" t="s">
        <v>101</v>
      </c>
      <c r="M265" t="s">
        <v>149</v>
      </c>
      <c r="N265" t="s">
        <v>102</v>
      </c>
      <c r="O265" t="s">
        <v>115</v>
      </c>
      <c r="P265" t="s">
        <v>24</v>
      </c>
      <c r="Q265">
        <v>0</v>
      </c>
      <c r="R265">
        <v>0</v>
      </c>
      <c r="T265" s="5" t="s">
        <v>115</v>
      </c>
      <c r="U265" s="5" t="s">
        <v>115</v>
      </c>
      <c r="V265" s="5" t="s">
        <v>115</v>
      </c>
      <c r="W265" s="5"/>
      <c r="X265" s="5"/>
      <c r="Y265" s="5"/>
      <c r="Z265" s="5" t="s">
        <v>115</v>
      </c>
      <c r="AA265" s="5" t="s">
        <v>115</v>
      </c>
      <c r="AB265" s="5" t="s">
        <v>115</v>
      </c>
      <c r="AC265" s="5" t="s">
        <v>115</v>
      </c>
      <c r="AD265" s="5" t="s">
        <v>115</v>
      </c>
      <c r="AE265" s="5" t="s">
        <v>115</v>
      </c>
      <c r="AF265" s="5" t="s">
        <v>115</v>
      </c>
      <c r="AG265" s="5" t="s">
        <v>115</v>
      </c>
      <c r="AH265">
        <v>0</v>
      </c>
      <c r="AI265">
        <v>0</v>
      </c>
      <c r="AJ265">
        <v>0</v>
      </c>
      <c r="AK265">
        <v>0</v>
      </c>
      <c r="AL265">
        <v>27</v>
      </c>
      <c r="AM265">
        <f t="shared" si="4"/>
        <v>27</v>
      </c>
      <c r="AN265" t="s">
        <v>188</v>
      </c>
    </row>
    <row r="266" spans="1:43" x14ac:dyDescent="0.2">
      <c r="A266" t="s">
        <v>3915</v>
      </c>
      <c r="B266" t="s">
        <v>3916</v>
      </c>
      <c r="C266">
        <v>1</v>
      </c>
      <c r="D266">
        <v>1</v>
      </c>
      <c r="E266" t="s">
        <v>2601</v>
      </c>
      <c r="F266" s="1">
        <v>43593</v>
      </c>
      <c r="G266" s="1" t="s">
        <v>4028</v>
      </c>
      <c r="H266" s="1"/>
      <c r="I266" s="2">
        <v>1.8749999999999999E-2</v>
      </c>
      <c r="J266" s="176">
        <v>3.1250000000000001E-4</v>
      </c>
      <c r="K266" s="6">
        <v>27</v>
      </c>
      <c r="L266" t="s">
        <v>884</v>
      </c>
      <c r="M266" t="s">
        <v>177</v>
      </c>
      <c r="N266" t="s">
        <v>102</v>
      </c>
      <c r="O266" t="s">
        <v>115</v>
      </c>
      <c r="P266" t="s">
        <v>24</v>
      </c>
      <c r="Q266">
        <v>0</v>
      </c>
      <c r="R266">
        <v>0</v>
      </c>
      <c r="T266" s="5" t="s">
        <v>115</v>
      </c>
      <c r="U266" s="5" t="s">
        <v>115</v>
      </c>
      <c r="V266" s="5" t="s">
        <v>115</v>
      </c>
      <c r="W266" s="5"/>
      <c r="X266" s="5"/>
      <c r="Y266" s="5"/>
      <c r="Z266" s="5" t="s">
        <v>115</v>
      </c>
      <c r="AA266" s="5" t="s">
        <v>115</v>
      </c>
      <c r="AB266" s="5" t="s">
        <v>115</v>
      </c>
      <c r="AC266" s="5" t="s">
        <v>115</v>
      </c>
      <c r="AD266" s="5" t="s">
        <v>115</v>
      </c>
      <c r="AE266" s="5" t="s">
        <v>115</v>
      </c>
      <c r="AF266" s="5" t="s">
        <v>115</v>
      </c>
      <c r="AG266" s="5" t="s">
        <v>115</v>
      </c>
      <c r="AH266">
        <v>0</v>
      </c>
      <c r="AI266">
        <v>0</v>
      </c>
      <c r="AJ266">
        <v>0</v>
      </c>
      <c r="AK266">
        <v>0</v>
      </c>
      <c r="AL266">
        <v>27</v>
      </c>
      <c r="AM266">
        <f t="shared" si="4"/>
        <v>27</v>
      </c>
      <c r="AN266" t="s">
        <v>188</v>
      </c>
    </row>
    <row r="267" spans="1:43" x14ac:dyDescent="0.2">
      <c r="A267" t="s">
        <v>2614</v>
      </c>
      <c r="B267" t="s">
        <v>2615</v>
      </c>
      <c r="C267">
        <v>4</v>
      </c>
      <c r="D267">
        <v>1</v>
      </c>
      <c r="E267" t="s">
        <v>2601</v>
      </c>
      <c r="F267" s="1">
        <v>43551</v>
      </c>
      <c r="G267" s="1" t="s">
        <v>4026</v>
      </c>
      <c r="H267" s="1"/>
      <c r="I267" s="2">
        <v>1.8055555555555557E-2</v>
      </c>
      <c r="J267" s="176">
        <v>3.0092592592592595E-4</v>
      </c>
      <c r="K267" s="6">
        <v>26</v>
      </c>
      <c r="L267" s="5" t="s">
        <v>398</v>
      </c>
      <c r="M267" t="s">
        <v>173</v>
      </c>
      <c r="N267" t="s">
        <v>102</v>
      </c>
      <c r="O267" t="s">
        <v>115</v>
      </c>
      <c r="P267">
        <v>1</v>
      </c>
      <c r="Q267">
        <v>0</v>
      </c>
      <c r="R267">
        <v>0</v>
      </c>
      <c r="S267" t="s">
        <v>14</v>
      </c>
      <c r="T267" t="s">
        <v>14</v>
      </c>
      <c r="U267" t="s">
        <v>122</v>
      </c>
      <c r="V267" t="s">
        <v>115</v>
      </c>
      <c r="Z267" t="s">
        <v>115</v>
      </c>
      <c r="AA267" t="s">
        <v>115</v>
      </c>
      <c r="AB267" t="s">
        <v>115</v>
      </c>
      <c r="AC267" t="s">
        <v>115</v>
      </c>
      <c r="AD267" t="s">
        <v>115</v>
      </c>
      <c r="AE267" t="s">
        <v>115</v>
      </c>
      <c r="AF267" t="s">
        <v>115</v>
      </c>
      <c r="AH267">
        <v>0</v>
      </c>
      <c r="AI267">
        <v>0</v>
      </c>
      <c r="AJ267">
        <v>0</v>
      </c>
      <c r="AK267">
        <v>0</v>
      </c>
      <c r="AL267">
        <v>26</v>
      </c>
      <c r="AM267">
        <f t="shared" si="4"/>
        <v>26</v>
      </c>
      <c r="AN267" t="s">
        <v>188</v>
      </c>
    </row>
    <row r="268" spans="1:43" x14ac:dyDescent="0.2">
      <c r="A268" t="s">
        <v>2651</v>
      </c>
      <c r="B268" t="s">
        <v>2652</v>
      </c>
      <c r="C268">
        <v>2</v>
      </c>
      <c r="D268">
        <v>1</v>
      </c>
      <c r="E268" t="s">
        <v>2487</v>
      </c>
      <c r="F268" s="1">
        <v>43551</v>
      </c>
      <c r="G268" s="1" t="s">
        <v>4026</v>
      </c>
      <c r="H268" s="1"/>
      <c r="I268" s="2">
        <v>1.8055555555555557E-2</v>
      </c>
      <c r="J268" s="176">
        <v>3.0092592592592595E-4</v>
      </c>
      <c r="K268" s="6">
        <v>26</v>
      </c>
      <c r="M268" t="s">
        <v>64</v>
      </c>
      <c r="N268" t="s">
        <v>102</v>
      </c>
      <c r="O268" t="s">
        <v>23</v>
      </c>
      <c r="P268">
        <v>0</v>
      </c>
      <c r="Q268">
        <v>0</v>
      </c>
      <c r="R268">
        <v>0</v>
      </c>
      <c r="T268" t="s">
        <v>115</v>
      </c>
      <c r="U268" t="s">
        <v>115</v>
      </c>
      <c r="V268" t="s">
        <v>115</v>
      </c>
      <c r="Z268" t="s">
        <v>115</v>
      </c>
      <c r="AA268" t="s">
        <v>115</v>
      </c>
      <c r="AB268" t="s">
        <v>115</v>
      </c>
      <c r="AC268" t="s">
        <v>115</v>
      </c>
      <c r="AD268" t="s">
        <v>115</v>
      </c>
      <c r="AE268" t="s">
        <v>115</v>
      </c>
      <c r="AF268" t="s">
        <v>115</v>
      </c>
      <c r="AH268">
        <v>0</v>
      </c>
      <c r="AI268">
        <v>26</v>
      </c>
      <c r="AJ268">
        <v>0</v>
      </c>
      <c r="AK268">
        <v>26</v>
      </c>
      <c r="AL268">
        <v>0</v>
      </c>
      <c r="AM268">
        <f t="shared" si="4"/>
        <v>26</v>
      </c>
      <c r="AN268" t="s">
        <v>188</v>
      </c>
    </row>
    <row r="269" spans="1:43" x14ac:dyDescent="0.2">
      <c r="A269" t="s">
        <v>3236</v>
      </c>
      <c r="B269" t="s">
        <v>3237</v>
      </c>
      <c r="C269">
        <v>5</v>
      </c>
      <c r="D269">
        <v>1</v>
      </c>
      <c r="E269" t="s">
        <v>791</v>
      </c>
      <c r="F269" s="1">
        <v>43572</v>
      </c>
      <c r="G269" s="1" t="s">
        <v>4027</v>
      </c>
      <c r="H269" s="1"/>
      <c r="I269" s="2">
        <v>2.013888888888889E-2</v>
      </c>
      <c r="J269" s="176">
        <v>3.3564814814814812E-4</v>
      </c>
      <c r="K269" s="6">
        <v>29</v>
      </c>
      <c r="L269" t="s">
        <v>3187</v>
      </c>
      <c r="M269" t="s">
        <v>924</v>
      </c>
      <c r="N269" t="s">
        <v>102</v>
      </c>
      <c r="O269" t="s">
        <v>23</v>
      </c>
      <c r="P269">
        <v>0</v>
      </c>
      <c r="Q269">
        <v>0</v>
      </c>
      <c r="R269">
        <v>0</v>
      </c>
      <c r="T269" s="5" t="s">
        <v>115</v>
      </c>
      <c r="U269" s="5" t="s">
        <v>115</v>
      </c>
      <c r="V269" s="5" t="s">
        <v>115</v>
      </c>
      <c r="W269" s="5"/>
      <c r="X269" s="5"/>
      <c r="Y269" s="5"/>
      <c r="Z269" s="5" t="s">
        <v>115</v>
      </c>
      <c r="AA269" s="5" t="s">
        <v>115</v>
      </c>
      <c r="AB269" s="5" t="s">
        <v>115</v>
      </c>
      <c r="AC269" s="5" t="s">
        <v>115</v>
      </c>
      <c r="AD269" s="5" t="s">
        <v>115</v>
      </c>
      <c r="AE269" s="5" t="s">
        <v>115</v>
      </c>
      <c r="AF269" s="5" t="s">
        <v>115</v>
      </c>
      <c r="AG269" s="5" t="s">
        <v>115</v>
      </c>
      <c r="AH269">
        <v>26</v>
      </c>
      <c r="AI269">
        <v>0</v>
      </c>
      <c r="AJ269">
        <v>0</v>
      </c>
      <c r="AK269">
        <v>26</v>
      </c>
      <c r="AL269">
        <v>0</v>
      </c>
      <c r="AM269">
        <f t="shared" si="4"/>
        <v>26</v>
      </c>
      <c r="AN269" t="s">
        <v>188</v>
      </c>
    </row>
    <row r="270" spans="1:43" x14ac:dyDescent="0.2">
      <c r="A270" t="s">
        <v>3274</v>
      </c>
      <c r="B270" t="s">
        <v>3278</v>
      </c>
      <c r="C270">
        <v>2</v>
      </c>
      <c r="D270">
        <v>1</v>
      </c>
      <c r="E270" t="s">
        <v>2601</v>
      </c>
      <c r="F270" s="1">
        <v>43573</v>
      </c>
      <c r="G270" s="1" t="s">
        <v>4027</v>
      </c>
      <c r="H270" s="1"/>
      <c r="I270" s="2">
        <v>4.2361111111111106E-2</v>
      </c>
      <c r="J270" s="176">
        <v>7.0601851851851847E-4</v>
      </c>
      <c r="K270" s="6">
        <v>61</v>
      </c>
      <c r="L270" t="s">
        <v>3277</v>
      </c>
      <c r="M270" t="s">
        <v>173</v>
      </c>
      <c r="N270" t="s">
        <v>102</v>
      </c>
      <c r="O270" t="s">
        <v>115</v>
      </c>
      <c r="P270">
        <v>1</v>
      </c>
      <c r="Q270">
        <v>0</v>
      </c>
      <c r="R270" t="s">
        <v>24</v>
      </c>
      <c r="S270" t="s">
        <v>14</v>
      </c>
      <c r="T270" s="5" t="s">
        <v>3279</v>
      </c>
      <c r="U270" s="5" t="s">
        <v>122</v>
      </c>
      <c r="V270" s="5" t="s">
        <v>115</v>
      </c>
      <c r="W270" s="5"/>
      <c r="X270" s="5"/>
      <c r="Y270" s="5"/>
      <c r="Z270" s="5" t="s">
        <v>115</v>
      </c>
      <c r="AA270" s="5" t="s">
        <v>115</v>
      </c>
      <c r="AB270" s="5" t="s">
        <v>115</v>
      </c>
      <c r="AC270" s="5" t="s">
        <v>115</v>
      </c>
      <c r="AD270" s="5" t="s">
        <v>115</v>
      </c>
      <c r="AE270" s="5" t="s">
        <v>115</v>
      </c>
      <c r="AF270" s="5" t="s">
        <v>115</v>
      </c>
      <c r="AG270" s="5" t="s">
        <v>115</v>
      </c>
      <c r="AH270">
        <v>0</v>
      </c>
      <c r="AI270">
        <v>0</v>
      </c>
      <c r="AJ270">
        <v>0</v>
      </c>
      <c r="AK270">
        <v>0</v>
      </c>
      <c r="AL270">
        <v>26</v>
      </c>
      <c r="AM270">
        <f t="shared" si="4"/>
        <v>26</v>
      </c>
      <c r="AN270" t="s">
        <v>188</v>
      </c>
    </row>
    <row r="271" spans="1:43" x14ac:dyDescent="0.2">
      <c r="A271" t="s">
        <v>3356</v>
      </c>
      <c r="B271" t="s">
        <v>3357</v>
      </c>
      <c r="C271">
        <v>2</v>
      </c>
      <c r="D271">
        <v>1</v>
      </c>
      <c r="E271" t="s">
        <v>3171</v>
      </c>
      <c r="F271" s="1">
        <v>43577</v>
      </c>
      <c r="G271" s="1" t="s">
        <v>4027</v>
      </c>
      <c r="H271" s="1"/>
      <c r="I271" s="2">
        <v>1.8055555555555557E-2</v>
      </c>
      <c r="J271" s="176">
        <v>3.0092592592592595E-4</v>
      </c>
      <c r="K271" s="6">
        <v>26</v>
      </c>
      <c r="L271" t="s">
        <v>101</v>
      </c>
      <c r="M271" t="s">
        <v>149</v>
      </c>
      <c r="N271" t="s">
        <v>102</v>
      </c>
      <c r="O271" t="s">
        <v>115</v>
      </c>
      <c r="P271">
        <v>1</v>
      </c>
      <c r="Q271">
        <v>0</v>
      </c>
      <c r="R271">
        <v>0</v>
      </c>
      <c r="S271" t="s">
        <v>598</v>
      </c>
      <c r="T271" s="5" t="s">
        <v>2801</v>
      </c>
      <c r="U271" s="5" t="s">
        <v>122</v>
      </c>
      <c r="V271" s="5" t="s">
        <v>115</v>
      </c>
      <c r="W271" s="5"/>
      <c r="X271" s="5"/>
      <c r="Y271" s="5"/>
      <c r="Z271" s="5" t="s">
        <v>115</v>
      </c>
      <c r="AA271" s="5" t="s">
        <v>115</v>
      </c>
      <c r="AB271" s="5" t="s">
        <v>115</v>
      </c>
      <c r="AC271" s="5" t="s">
        <v>115</v>
      </c>
      <c r="AD271" s="5" t="s">
        <v>115</v>
      </c>
      <c r="AE271" s="5" t="s">
        <v>115</v>
      </c>
      <c r="AF271" s="5" t="s">
        <v>115</v>
      </c>
      <c r="AG271" s="5" t="s">
        <v>115</v>
      </c>
      <c r="AH271">
        <v>0</v>
      </c>
      <c r="AI271">
        <v>0</v>
      </c>
      <c r="AJ271">
        <v>0</v>
      </c>
      <c r="AK271">
        <v>0</v>
      </c>
      <c r="AL271">
        <v>26</v>
      </c>
      <c r="AM271">
        <f t="shared" si="4"/>
        <v>26</v>
      </c>
      <c r="AN271" t="s">
        <v>188</v>
      </c>
    </row>
    <row r="272" spans="1:43" x14ac:dyDescent="0.2">
      <c r="A272" t="s">
        <v>3308</v>
      </c>
      <c r="B272" t="s">
        <v>3309</v>
      </c>
      <c r="C272">
        <v>7</v>
      </c>
      <c r="D272">
        <v>1</v>
      </c>
      <c r="E272" t="s">
        <v>834</v>
      </c>
      <c r="F272" s="1">
        <v>43577</v>
      </c>
      <c r="G272" s="1" t="s">
        <v>4027</v>
      </c>
      <c r="H272" s="1"/>
      <c r="I272" s="2">
        <v>1.8055555555555557E-2</v>
      </c>
      <c r="J272" s="176">
        <v>3.0092592592592595E-4</v>
      </c>
      <c r="K272" s="6">
        <v>26</v>
      </c>
      <c r="L272" t="s">
        <v>101</v>
      </c>
      <c r="M272" t="s">
        <v>466</v>
      </c>
      <c r="N272" t="s">
        <v>102</v>
      </c>
      <c r="O272" t="s">
        <v>115</v>
      </c>
      <c r="P272">
        <v>1</v>
      </c>
      <c r="Q272">
        <v>0</v>
      </c>
      <c r="R272">
        <v>0</v>
      </c>
      <c r="S272" t="s">
        <v>598</v>
      </c>
      <c r="T272" s="5" t="s">
        <v>2437</v>
      </c>
      <c r="U272" s="5" t="s">
        <v>122</v>
      </c>
      <c r="V272" s="5" t="s">
        <v>115</v>
      </c>
      <c r="W272" s="5"/>
      <c r="X272" s="5"/>
      <c r="Y272" s="5"/>
      <c r="Z272" s="5" t="s">
        <v>115</v>
      </c>
      <c r="AA272" s="5" t="s">
        <v>115</v>
      </c>
      <c r="AB272" s="5" t="s">
        <v>115</v>
      </c>
      <c r="AC272" s="5" t="s">
        <v>115</v>
      </c>
      <c r="AD272" s="5" t="s">
        <v>115</v>
      </c>
      <c r="AE272" s="5" t="s">
        <v>115</v>
      </c>
      <c r="AF272" s="5" t="s">
        <v>115</v>
      </c>
      <c r="AG272" s="5" t="s">
        <v>115</v>
      </c>
      <c r="AH272">
        <v>0</v>
      </c>
      <c r="AI272">
        <v>0</v>
      </c>
      <c r="AJ272">
        <v>0</v>
      </c>
      <c r="AK272">
        <v>0</v>
      </c>
      <c r="AL272">
        <v>26</v>
      </c>
      <c r="AM272">
        <f t="shared" si="4"/>
        <v>26</v>
      </c>
      <c r="AN272" t="s">
        <v>188</v>
      </c>
    </row>
    <row r="273" spans="1:43" x14ac:dyDescent="0.2">
      <c r="A273" t="s">
        <v>3342</v>
      </c>
      <c r="B273" t="s">
        <v>3343</v>
      </c>
      <c r="C273">
        <v>22</v>
      </c>
      <c r="D273">
        <v>1</v>
      </c>
      <c r="E273" t="s">
        <v>834</v>
      </c>
      <c r="F273" s="1">
        <v>43577</v>
      </c>
      <c r="G273" s="1" t="s">
        <v>4027</v>
      </c>
      <c r="H273" s="1"/>
      <c r="I273" s="2">
        <v>1.8055555555555557E-2</v>
      </c>
      <c r="J273" s="176">
        <v>3.0092592592592595E-4</v>
      </c>
      <c r="K273" s="6">
        <v>26</v>
      </c>
      <c r="L273" t="s">
        <v>101</v>
      </c>
      <c r="M273" t="s">
        <v>466</v>
      </c>
      <c r="N273" t="s">
        <v>102</v>
      </c>
      <c r="O273" t="s">
        <v>115</v>
      </c>
      <c r="P273">
        <v>0</v>
      </c>
      <c r="Q273">
        <v>0</v>
      </c>
      <c r="R273">
        <v>0</v>
      </c>
      <c r="T273" s="5" t="s">
        <v>115</v>
      </c>
      <c r="U273" s="5" t="s">
        <v>115</v>
      </c>
      <c r="V273" s="5" t="s">
        <v>115</v>
      </c>
      <c r="W273" s="5"/>
      <c r="X273" s="5"/>
      <c r="Y273" s="5"/>
      <c r="Z273" s="5" t="s">
        <v>115</v>
      </c>
      <c r="AA273" s="5" t="s">
        <v>115</v>
      </c>
      <c r="AB273" s="5" t="s">
        <v>115</v>
      </c>
      <c r="AC273" s="5" t="s">
        <v>115</v>
      </c>
      <c r="AD273" s="5" t="s">
        <v>115</v>
      </c>
      <c r="AE273" s="5" t="s">
        <v>115</v>
      </c>
      <c r="AF273" s="5" t="s">
        <v>115</v>
      </c>
      <c r="AG273" s="5" t="s">
        <v>115</v>
      </c>
      <c r="AH273">
        <v>0</v>
      </c>
      <c r="AI273">
        <v>0</v>
      </c>
      <c r="AJ273">
        <v>0</v>
      </c>
      <c r="AK273">
        <v>0</v>
      </c>
      <c r="AL273">
        <v>26</v>
      </c>
      <c r="AM273">
        <f t="shared" si="4"/>
        <v>26</v>
      </c>
      <c r="AN273" t="s">
        <v>188</v>
      </c>
    </row>
    <row r="274" spans="1:43" x14ac:dyDescent="0.2">
      <c r="A274" t="s">
        <v>3604</v>
      </c>
      <c r="B274" t="s">
        <v>3605</v>
      </c>
      <c r="C274">
        <v>3</v>
      </c>
      <c r="D274">
        <v>1</v>
      </c>
      <c r="E274" t="s">
        <v>791</v>
      </c>
      <c r="F274" s="1">
        <v>43581</v>
      </c>
      <c r="G274" s="1" t="s">
        <v>4027</v>
      </c>
      <c r="H274" s="1"/>
      <c r="I274" s="2">
        <v>2.2222222222222223E-2</v>
      </c>
      <c r="J274" s="176">
        <v>3.7037037037037035E-4</v>
      </c>
      <c r="K274" s="6">
        <v>32</v>
      </c>
      <c r="M274" t="s">
        <v>924</v>
      </c>
      <c r="N274" t="s">
        <v>102</v>
      </c>
      <c r="O274" t="s">
        <v>23</v>
      </c>
      <c r="P274">
        <v>1</v>
      </c>
      <c r="Q274">
        <v>1</v>
      </c>
      <c r="R274">
        <v>0</v>
      </c>
      <c r="S274" t="s">
        <v>176</v>
      </c>
      <c r="T274" s="5" t="s">
        <v>24</v>
      </c>
      <c r="U274" s="5" t="s">
        <v>3602</v>
      </c>
      <c r="V274" s="5" t="s">
        <v>115</v>
      </c>
      <c r="W274" s="5"/>
      <c r="X274" s="5"/>
      <c r="Y274" s="5"/>
      <c r="Z274" s="5" t="s">
        <v>115</v>
      </c>
      <c r="AA274" s="5" t="s">
        <v>115</v>
      </c>
      <c r="AB274" s="5" t="s">
        <v>115</v>
      </c>
      <c r="AC274" s="5" t="s">
        <v>115</v>
      </c>
      <c r="AD274" s="5" t="s">
        <v>115</v>
      </c>
      <c r="AE274">
        <v>63.725070000000002</v>
      </c>
      <c r="AF274">
        <v>148.96459999999999</v>
      </c>
      <c r="AG274" s="5" t="s">
        <v>115</v>
      </c>
      <c r="AH274">
        <v>26</v>
      </c>
      <c r="AI274">
        <v>0</v>
      </c>
      <c r="AJ274">
        <v>0</v>
      </c>
      <c r="AK274">
        <v>26</v>
      </c>
      <c r="AL274">
        <v>0</v>
      </c>
      <c r="AM274">
        <f t="shared" si="4"/>
        <v>26</v>
      </c>
      <c r="AN274" t="s">
        <v>188</v>
      </c>
      <c r="AO274" t="s">
        <v>3607</v>
      </c>
      <c r="AP274">
        <v>1</v>
      </c>
      <c r="AQ274">
        <v>0</v>
      </c>
    </row>
    <row r="275" spans="1:43" x14ac:dyDescent="0.2">
      <c r="A275" t="s">
        <v>3668</v>
      </c>
      <c r="B275" t="s">
        <v>3665</v>
      </c>
      <c r="C275">
        <v>17</v>
      </c>
      <c r="D275">
        <v>1</v>
      </c>
      <c r="E275" t="s">
        <v>2487</v>
      </c>
      <c r="F275" s="1">
        <v>43585</v>
      </c>
      <c r="G275" s="1" t="s">
        <v>4027</v>
      </c>
      <c r="H275" s="1"/>
      <c r="I275" s="2">
        <v>1.8055555555555557E-2</v>
      </c>
      <c r="J275" s="176">
        <v>3.0092592592592595E-4</v>
      </c>
      <c r="K275" s="6">
        <v>26</v>
      </c>
      <c r="L275" t="s">
        <v>3626</v>
      </c>
      <c r="M275" t="s">
        <v>2488</v>
      </c>
      <c r="N275" t="s">
        <v>102</v>
      </c>
      <c r="O275" t="s">
        <v>115</v>
      </c>
      <c r="P275">
        <v>1</v>
      </c>
      <c r="Q275">
        <v>0</v>
      </c>
      <c r="R275">
        <v>0</v>
      </c>
      <c r="S275" t="s">
        <v>176</v>
      </c>
      <c r="T275" s="5" t="s">
        <v>24</v>
      </c>
      <c r="U275" s="5" t="s">
        <v>122</v>
      </c>
      <c r="V275" s="5" t="s">
        <v>115</v>
      </c>
      <c r="W275" s="5"/>
      <c r="X275" s="5"/>
      <c r="Y275" s="5"/>
      <c r="Z275" s="5" t="s">
        <v>115</v>
      </c>
      <c r="AA275" s="5" t="s">
        <v>115</v>
      </c>
      <c r="AB275" s="5" t="s">
        <v>115</v>
      </c>
      <c r="AC275" s="5" t="s">
        <v>115</v>
      </c>
      <c r="AD275" s="5" t="s">
        <v>115</v>
      </c>
      <c r="AE275" s="5" t="s">
        <v>115</v>
      </c>
      <c r="AF275" s="5" t="s">
        <v>115</v>
      </c>
      <c r="AG275" s="5" t="s">
        <v>115</v>
      </c>
      <c r="AH275">
        <v>0</v>
      </c>
      <c r="AI275">
        <v>0</v>
      </c>
      <c r="AJ275">
        <v>0</v>
      </c>
      <c r="AK275">
        <v>0</v>
      </c>
      <c r="AL275">
        <v>26</v>
      </c>
      <c r="AM275">
        <f t="shared" si="4"/>
        <v>26</v>
      </c>
      <c r="AN275" t="s">
        <v>188</v>
      </c>
    </row>
    <row r="276" spans="1:43" x14ac:dyDescent="0.2">
      <c r="A276" t="s">
        <v>2508</v>
      </c>
      <c r="B276" t="s">
        <v>2509</v>
      </c>
      <c r="C276">
        <v>9</v>
      </c>
      <c r="D276">
        <v>1</v>
      </c>
      <c r="E276" t="s">
        <v>2487</v>
      </c>
      <c r="F276" s="1">
        <v>43549</v>
      </c>
      <c r="G276" s="1" t="s">
        <v>4026</v>
      </c>
      <c r="H276" s="1"/>
      <c r="I276" s="2">
        <v>1.8055555555555557E-2</v>
      </c>
      <c r="J276" s="176">
        <v>3.0092592592592595E-4</v>
      </c>
      <c r="K276" s="6">
        <v>26</v>
      </c>
      <c r="L276" s="5" t="s">
        <v>398</v>
      </c>
      <c r="M276" t="s">
        <v>2488</v>
      </c>
      <c r="N276" t="s">
        <v>102</v>
      </c>
      <c r="O276" t="s">
        <v>115</v>
      </c>
      <c r="P276" t="s">
        <v>24</v>
      </c>
      <c r="Q276">
        <v>0</v>
      </c>
      <c r="R276">
        <v>0</v>
      </c>
      <c r="T276" t="s">
        <v>115</v>
      </c>
      <c r="U276" t="s">
        <v>115</v>
      </c>
      <c r="V276" t="s">
        <v>115</v>
      </c>
      <c r="Z276" t="s">
        <v>115</v>
      </c>
      <c r="AA276" t="s">
        <v>115</v>
      </c>
      <c r="AB276" t="s">
        <v>115</v>
      </c>
      <c r="AC276" t="s">
        <v>115</v>
      </c>
      <c r="AD276" t="s">
        <v>115</v>
      </c>
      <c r="AH276">
        <v>0</v>
      </c>
      <c r="AI276">
        <v>0</v>
      </c>
      <c r="AJ276">
        <v>0</v>
      </c>
      <c r="AK276">
        <v>0</v>
      </c>
      <c r="AL276">
        <v>26</v>
      </c>
      <c r="AM276">
        <f t="shared" si="4"/>
        <v>26</v>
      </c>
      <c r="AN276" t="s">
        <v>188</v>
      </c>
    </row>
    <row r="277" spans="1:43" x14ac:dyDescent="0.2">
      <c r="A277" t="s">
        <v>3038</v>
      </c>
      <c r="B277" t="s">
        <v>3039</v>
      </c>
      <c r="C277">
        <v>10</v>
      </c>
      <c r="D277">
        <v>1</v>
      </c>
      <c r="E277" t="s">
        <v>2487</v>
      </c>
      <c r="F277" s="1">
        <v>43564</v>
      </c>
      <c r="G277" s="1" t="s">
        <v>4027</v>
      </c>
      <c r="H277" s="1"/>
      <c r="I277" s="2">
        <v>1.8055555555555557E-2</v>
      </c>
      <c r="J277" s="176">
        <v>3.0092592592592595E-4</v>
      </c>
      <c r="K277" s="6">
        <v>26</v>
      </c>
      <c r="M277" t="s">
        <v>2498</v>
      </c>
      <c r="N277" t="s">
        <v>102</v>
      </c>
      <c r="O277" t="s">
        <v>115</v>
      </c>
      <c r="P277" t="s">
        <v>24</v>
      </c>
      <c r="Q277">
        <v>0</v>
      </c>
      <c r="R277">
        <v>0</v>
      </c>
      <c r="T277" s="5" t="s">
        <v>115</v>
      </c>
      <c r="U277" s="5" t="s">
        <v>115</v>
      </c>
      <c r="V277" s="5" t="s">
        <v>115</v>
      </c>
      <c r="W277" s="5"/>
      <c r="X277" s="5"/>
      <c r="Y277" s="5"/>
      <c r="Z277" s="5" t="s">
        <v>115</v>
      </c>
      <c r="AA277" s="5" t="s">
        <v>115</v>
      </c>
      <c r="AB277" s="5" t="s">
        <v>115</v>
      </c>
      <c r="AC277" s="5" t="s">
        <v>115</v>
      </c>
      <c r="AD277" s="5" t="s">
        <v>115</v>
      </c>
      <c r="AE277" s="5" t="s">
        <v>115</v>
      </c>
      <c r="AF277" s="5" t="s">
        <v>115</v>
      </c>
      <c r="AG277" s="5"/>
      <c r="AH277">
        <v>0</v>
      </c>
      <c r="AI277">
        <v>0</v>
      </c>
      <c r="AJ277">
        <v>0</v>
      </c>
      <c r="AK277">
        <v>0</v>
      </c>
      <c r="AL277">
        <v>26</v>
      </c>
      <c r="AM277">
        <f t="shared" si="4"/>
        <v>26</v>
      </c>
      <c r="AN277" t="s">
        <v>188</v>
      </c>
    </row>
    <row r="278" spans="1:43" x14ac:dyDescent="0.2">
      <c r="A278" t="s">
        <v>3059</v>
      </c>
      <c r="B278" t="s">
        <v>3060</v>
      </c>
      <c r="C278">
        <v>4</v>
      </c>
      <c r="D278">
        <v>1</v>
      </c>
      <c r="E278" t="s">
        <v>176</v>
      </c>
      <c r="F278" s="1">
        <v>43566</v>
      </c>
      <c r="G278" s="1" t="s">
        <v>4027</v>
      </c>
      <c r="H278" s="1"/>
      <c r="I278" s="2">
        <v>1.8055555555555557E-2</v>
      </c>
      <c r="J278" s="176">
        <v>3.0092592592592595E-4</v>
      </c>
      <c r="K278" s="6">
        <v>26</v>
      </c>
      <c r="M278" t="s">
        <v>3051</v>
      </c>
      <c r="N278" t="s">
        <v>102</v>
      </c>
      <c r="O278" t="s">
        <v>23</v>
      </c>
      <c r="P278" t="s">
        <v>24</v>
      </c>
      <c r="Q278" t="s">
        <v>176</v>
      </c>
      <c r="R278">
        <v>0</v>
      </c>
      <c r="T278" s="5" t="s">
        <v>115</v>
      </c>
      <c r="U278" s="5" t="s">
        <v>115</v>
      </c>
      <c r="V278" s="5" t="s">
        <v>115</v>
      </c>
      <c r="W278" s="5"/>
      <c r="X278" s="5"/>
      <c r="Y278" s="5"/>
      <c r="Z278" s="5" t="s">
        <v>115</v>
      </c>
      <c r="AA278" s="5" t="s">
        <v>115</v>
      </c>
      <c r="AB278" s="5" t="s">
        <v>115</v>
      </c>
      <c r="AC278" s="5" t="s">
        <v>115</v>
      </c>
      <c r="AD278" s="5" t="s">
        <v>115</v>
      </c>
      <c r="AE278" s="5" t="s">
        <v>115</v>
      </c>
      <c r="AF278" s="5" t="s">
        <v>115</v>
      </c>
      <c r="AG278" s="5"/>
      <c r="AH278">
        <v>0</v>
      </c>
      <c r="AI278">
        <v>26</v>
      </c>
      <c r="AJ278">
        <v>0</v>
      </c>
      <c r="AK278">
        <v>26</v>
      </c>
      <c r="AL278">
        <v>0</v>
      </c>
      <c r="AM278">
        <f t="shared" si="4"/>
        <v>26</v>
      </c>
      <c r="AN278" t="s">
        <v>188</v>
      </c>
    </row>
    <row r="279" spans="1:43" x14ac:dyDescent="0.2">
      <c r="A279" t="s">
        <v>3188</v>
      </c>
      <c r="B279" t="s">
        <v>3189</v>
      </c>
      <c r="C279">
        <v>2</v>
      </c>
      <c r="D279">
        <v>1</v>
      </c>
      <c r="E279" t="s">
        <v>2487</v>
      </c>
      <c r="F279" s="1">
        <v>43572</v>
      </c>
      <c r="G279" s="1" t="s">
        <v>4027</v>
      </c>
      <c r="H279" s="1"/>
      <c r="I279" s="2">
        <v>2.5694444444444447E-2</v>
      </c>
      <c r="J279" s="176">
        <v>4.2824074074074075E-4</v>
      </c>
      <c r="K279" s="6">
        <v>37</v>
      </c>
      <c r="L279" t="s">
        <v>3187</v>
      </c>
      <c r="M279" t="s">
        <v>2488</v>
      </c>
      <c r="N279" t="s">
        <v>102</v>
      </c>
      <c r="O279" t="s">
        <v>23</v>
      </c>
      <c r="P279" t="s">
        <v>24</v>
      </c>
      <c r="Q279" t="s">
        <v>24</v>
      </c>
      <c r="R279">
        <v>0</v>
      </c>
      <c r="T279" s="5" t="s">
        <v>115</v>
      </c>
      <c r="U279" s="5" t="s">
        <v>115</v>
      </c>
      <c r="V279" s="5" t="s">
        <v>115</v>
      </c>
      <c r="W279" s="5"/>
      <c r="X279" s="5"/>
      <c r="Y279" s="5"/>
      <c r="Z279" s="5" t="s">
        <v>115</v>
      </c>
      <c r="AA279" s="5" t="s">
        <v>115</v>
      </c>
      <c r="AB279" s="5" t="s">
        <v>115</v>
      </c>
      <c r="AC279" s="5" t="s">
        <v>115</v>
      </c>
      <c r="AD279" s="5" t="s">
        <v>115</v>
      </c>
      <c r="AE279" s="5" t="s">
        <v>115</v>
      </c>
      <c r="AF279" s="5" t="s">
        <v>115</v>
      </c>
      <c r="AG279" s="5"/>
      <c r="AH279">
        <v>26</v>
      </c>
      <c r="AI279">
        <v>0</v>
      </c>
      <c r="AJ279">
        <v>26</v>
      </c>
      <c r="AK279">
        <v>0</v>
      </c>
      <c r="AL279">
        <v>0</v>
      </c>
      <c r="AM279">
        <f t="shared" si="4"/>
        <v>26</v>
      </c>
      <c r="AN279" t="s">
        <v>165</v>
      </c>
      <c r="AP279">
        <v>4</v>
      </c>
      <c r="AQ279">
        <v>0</v>
      </c>
    </row>
    <row r="280" spans="1:43" x14ac:dyDescent="0.2">
      <c r="A280" t="s">
        <v>3253</v>
      </c>
      <c r="B280" t="s">
        <v>3254</v>
      </c>
      <c r="C280">
        <v>3</v>
      </c>
      <c r="D280">
        <v>1</v>
      </c>
      <c r="E280" t="s">
        <v>2462</v>
      </c>
      <c r="F280" s="1">
        <v>43573</v>
      </c>
      <c r="G280" s="1" t="s">
        <v>4027</v>
      </c>
      <c r="H280" s="1"/>
      <c r="I280" s="2">
        <v>1.8055555555555557E-2</v>
      </c>
      <c r="J280" s="176">
        <v>3.0092592592592595E-4</v>
      </c>
      <c r="K280" s="6">
        <v>26</v>
      </c>
      <c r="L280" t="s">
        <v>398</v>
      </c>
      <c r="M280" t="s">
        <v>363</v>
      </c>
      <c r="N280" t="s">
        <v>102</v>
      </c>
      <c r="O280" t="s">
        <v>23</v>
      </c>
      <c r="P280" t="s">
        <v>24</v>
      </c>
      <c r="Q280" t="s">
        <v>24</v>
      </c>
      <c r="R280">
        <v>0</v>
      </c>
      <c r="T280" s="5" t="s">
        <v>115</v>
      </c>
      <c r="U280" s="5" t="s">
        <v>115</v>
      </c>
      <c r="V280" s="5" t="s">
        <v>115</v>
      </c>
      <c r="W280" s="5"/>
      <c r="X280" s="5"/>
      <c r="Y280" s="5"/>
      <c r="Z280" s="5" t="s">
        <v>115</v>
      </c>
      <c r="AA280" s="5" t="s">
        <v>115</v>
      </c>
      <c r="AB280" s="5" t="s">
        <v>115</v>
      </c>
      <c r="AC280" s="5" t="s">
        <v>115</v>
      </c>
      <c r="AD280" s="5" t="s">
        <v>115</v>
      </c>
      <c r="AE280" s="5" t="s">
        <v>115</v>
      </c>
      <c r="AF280" s="5" t="s">
        <v>115</v>
      </c>
      <c r="AG280" s="5" t="s">
        <v>115</v>
      </c>
      <c r="AH280">
        <v>26</v>
      </c>
      <c r="AI280">
        <v>0</v>
      </c>
      <c r="AJ280">
        <v>26</v>
      </c>
      <c r="AK280">
        <v>0</v>
      </c>
      <c r="AL280">
        <v>0</v>
      </c>
      <c r="AM280">
        <f t="shared" si="4"/>
        <v>26</v>
      </c>
      <c r="AN280" t="s">
        <v>165</v>
      </c>
      <c r="AP280">
        <v>1</v>
      </c>
      <c r="AQ280">
        <v>0</v>
      </c>
    </row>
    <row r="281" spans="1:43" x14ac:dyDescent="0.2">
      <c r="A281" t="s">
        <v>3525</v>
      </c>
      <c r="B281" t="s">
        <v>3526</v>
      </c>
      <c r="C281">
        <v>6</v>
      </c>
      <c r="D281">
        <v>1</v>
      </c>
      <c r="E281" t="s">
        <v>3171</v>
      </c>
      <c r="F281" s="1">
        <v>43580</v>
      </c>
      <c r="G281" s="1" t="s">
        <v>4027</v>
      </c>
      <c r="H281" s="1"/>
      <c r="I281" s="2">
        <v>1.8055555555555557E-2</v>
      </c>
      <c r="J281" s="176">
        <v>3.0092592592592595E-4</v>
      </c>
      <c r="K281" s="6">
        <v>26</v>
      </c>
      <c r="L281" t="s">
        <v>101</v>
      </c>
      <c r="M281" t="s">
        <v>149</v>
      </c>
      <c r="N281" t="s">
        <v>102</v>
      </c>
      <c r="O281" t="s">
        <v>115</v>
      </c>
      <c r="P281" t="s">
        <v>24</v>
      </c>
      <c r="Q281">
        <v>0</v>
      </c>
      <c r="R281">
        <v>0</v>
      </c>
      <c r="T281" s="5" t="s">
        <v>115</v>
      </c>
      <c r="U281" s="5" t="s">
        <v>115</v>
      </c>
      <c r="V281" s="5" t="s">
        <v>115</v>
      </c>
      <c r="W281" s="5"/>
      <c r="X281" s="5"/>
      <c r="Y281" s="5"/>
      <c r="Z281" s="5" t="s">
        <v>115</v>
      </c>
      <c r="AA281" s="5" t="s">
        <v>115</v>
      </c>
      <c r="AB281" s="5" t="s">
        <v>115</v>
      </c>
      <c r="AC281" s="5" t="s">
        <v>115</v>
      </c>
      <c r="AD281" s="5" t="s">
        <v>115</v>
      </c>
      <c r="AE281" s="5" t="s">
        <v>115</v>
      </c>
      <c r="AF281" s="5" t="s">
        <v>115</v>
      </c>
      <c r="AG281" s="5" t="s">
        <v>115</v>
      </c>
      <c r="AH281">
        <v>0</v>
      </c>
      <c r="AI281">
        <v>0</v>
      </c>
      <c r="AJ281">
        <v>0</v>
      </c>
      <c r="AK281">
        <v>0</v>
      </c>
      <c r="AL281">
        <v>26</v>
      </c>
      <c r="AM281">
        <f t="shared" si="4"/>
        <v>26</v>
      </c>
      <c r="AN281" t="s">
        <v>188</v>
      </c>
    </row>
    <row r="282" spans="1:43" x14ac:dyDescent="0.2">
      <c r="A282" t="s">
        <v>2370</v>
      </c>
      <c r="B282" t="s">
        <v>2371</v>
      </c>
      <c r="C282">
        <v>12</v>
      </c>
      <c r="D282">
        <v>1</v>
      </c>
      <c r="E282" t="s">
        <v>2343</v>
      </c>
      <c r="F282" s="1">
        <v>43544</v>
      </c>
      <c r="G282" s="1" t="s">
        <v>4026</v>
      </c>
      <c r="H282" s="1"/>
      <c r="I282" s="2">
        <v>1.7361111111111112E-2</v>
      </c>
      <c r="J282" s="176">
        <v>2.8935185185185189E-4</v>
      </c>
      <c r="K282" s="6">
        <v>25</v>
      </c>
      <c r="L282" t="s">
        <v>101</v>
      </c>
      <c r="M282" t="s">
        <v>2355</v>
      </c>
      <c r="N282" t="s">
        <v>102</v>
      </c>
      <c r="O282" t="s">
        <v>115</v>
      </c>
      <c r="P282">
        <v>0</v>
      </c>
      <c r="Q282">
        <v>0</v>
      </c>
      <c r="R282">
        <v>0</v>
      </c>
      <c r="T282" t="s">
        <v>115</v>
      </c>
      <c r="U282" t="s">
        <v>115</v>
      </c>
      <c r="V282" t="s">
        <v>115</v>
      </c>
      <c r="Z282" t="s">
        <v>115</v>
      </c>
      <c r="AA282" t="s">
        <v>115</v>
      </c>
      <c r="AB282" t="s">
        <v>115</v>
      </c>
      <c r="AC282" t="s">
        <v>115</v>
      </c>
      <c r="AD282" t="s">
        <v>115</v>
      </c>
      <c r="AH282">
        <v>0</v>
      </c>
      <c r="AI282">
        <v>0</v>
      </c>
      <c r="AJ282">
        <v>0</v>
      </c>
      <c r="AK282">
        <v>0</v>
      </c>
      <c r="AL282">
        <v>25</v>
      </c>
      <c r="AM282">
        <f t="shared" si="4"/>
        <v>25</v>
      </c>
      <c r="AN282" t="s">
        <v>188</v>
      </c>
      <c r="AP282">
        <v>0</v>
      </c>
      <c r="AQ282">
        <v>0</v>
      </c>
    </row>
    <row r="283" spans="1:43" x14ac:dyDescent="0.2">
      <c r="A283" t="s">
        <v>2637</v>
      </c>
      <c r="B283" t="s">
        <v>2638</v>
      </c>
      <c r="C283">
        <v>6</v>
      </c>
      <c r="D283">
        <v>1</v>
      </c>
      <c r="E283" t="s">
        <v>2487</v>
      </c>
      <c r="F283" s="1">
        <v>43551</v>
      </c>
      <c r="G283" s="1" t="s">
        <v>4026</v>
      </c>
      <c r="H283" s="1"/>
      <c r="I283" s="2">
        <v>4.3055555555555562E-2</v>
      </c>
      <c r="J283" s="176">
        <v>7.175925925925927E-4</v>
      </c>
      <c r="K283" s="6">
        <v>62</v>
      </c>
      <c r="L283" s="5" t="s">
        <v>398</v>
      </c>
      <c r="M283" t="s">
        <v>2488</v>
      </c>
      <c r="N283" t="s">
        <v>1626</v>
      </c>
      <c r="O283" t="s">
        <v>23</v>
      </c>
      <c r="P283">
        <v>1</v>
      </c>
      <c r="Q283" t="s">
        <v>24</v>
      </c>
      <c r="R283">
        <v>0</v>
      </c>
      <c r="S283" t="s">
        <v>176</v>
      </c>
      <c r="T283" t="s">
        <v>24</v>
      </c>
      <c r="U283" t="s">
        <v>24</v>
      </c>
      <c r="V283" t="s">
        <v>115</v>
      </c>
      <c r="Z283" t="s">
        <v>115</v>
      </c>
      <c r="AA283" t="s">
        <v>115</v>
      </c>
      <c r="AB283" t="s">
        <v>115</v>
      </c>
      <c r="AC283" t="s">
        <v>115</v>
      </c>
      <c r="AD283" t="s">
        <v>115</v>
      </c>
      <c r="AE283" t="s">
        <v>115</v>
      </c>
      <c r="AF283" t="s">
        <v>115</v>
      </c>
      <c r="AH283">
        <v>0</v>
      </c>
      <c r="AI283">
        <v>0</v>
      </c>
      <c r="AJ283">
        <v>0</v>
      </c>
      <c r="AK283">
        <v>0</v>
      </c>
      <c r="AL283">
        <v>25</v>
      </c>
      <c r="AM283">
        <f t="shared" si="4"/>
        <v>25</v>
      </c>
      <c r="AN283" t="s">
        <v>188</v>
      </c>
    </row>
    <row r="284" spans="1:43" x14ac:dyDescent="0.2">
      <c r="A284" t="s">
        <v>2683</v>
      </c>
      <c r="B284" t="s">
        <v>2684</v>
      </c>
      <c r="C284">
        <v>5</v>
      </c>
      <c r="D284">
        <v>2</v>
      </c>
      <c r="E284" t="s">
        <v>324</v>
      </c>
      <c r="F284" s="1">
        <v>43554</v>
      </c>
      <c r="G284" s="1" t="s">
        <v>4026</v>
      </c>
      <c r="H284" s="1"/>
      <c r="I284" s="2">
        <v>2.1527777777777781E-2</v>
      </c>
      <c r="J284" s="176">
        <v>3.5879629629629635E-4</v>
      </c>
      <c r="K284" s="6">
        <v>31</v>
      </c>
      <c r="M284" t="s">
        <v>325</v>
      </c>
      <c r="N284" t="s">
        <v>102</v>
      </c>
      <c r="O284" t="s">
        <v>23</v>
      </c>
      <c r="P284">
        <v>1</v>
      </c>
      <c r="Q284">
        <v>0</v>
      </c>
      <c r="R284">
        <v>0</v>
      </c>
      <c r="S284" t="s">
        <v>3955</v>
      </c>
      <c r="T284" t="s">
        <v>1531</v>
      </c>
      <c r="U284" t="s">
        <v>1035</v>
      </c>
      <c r="V284" t="s">
        <v>115</v>
      </c>
      <c r="Z284" t="s">
        <v>115</v>
      </c>
      <c r="AA284" t="s">
        <v>115</v>
      </c>
      <c r="AB284" t="s">
        <v>115</v>
      </c>
      <c r="AC284" t="s">
        <v>115</v>
      </c>
      <c r="AD284" t="s">
        <v>115</v>
      </c>
      <c r="AE284" t="s">
        <v>115</v>
      </c>
      <c r="AF284" t="s">
        <v>115</v>
      </c>
      <c r="AH284">
        <v>0</v>
      </c>
      <c r="AI284">
        <v>25</v>
      </c>
      <c r="AJ284">
        <v>0</v>
      </c>
      <c r="AK284">
        <v>25</v>
      </c>
      <c r="AL284">
        <v>0</v>
      </c>
      <c r="AM284">
        <f t="shared" si="4"/>
        <v>25</v>
      </c>
      <c r="AN284" t="s">
        <v>188</v>
      </c>
      <c r="AO284" t="s">
        <v>2686</v>
      </c>
    </row>
    <row r="285" spans="1:43" x14ac:dyDescent="0.2">
      <c r="A285" t="s">
        <v>2857</v>
      </c>
      <c r="B285" t="s">
        <v>2858</v>
      </c>
      <c r="C285">
        <v>1</v>
      </c>
      <c r="D285">
        <v>1</v>
      </c>
      <c r="E285" t="s">
        <v>324</v>
      </c>
      <c r="F285" s="1">
        <v>43558</v>
      </c>
      <c r="G285" s="1" t="s">
        <v>4027</v>
      </c>
      <c r="H285" s="1"/>
      <c r="I285" s="2">
        <v>3.7499999999999999E-2</v>
      </c>
      <c r="J285" s="176">
        <v>6.2500000000000001E-4</v>
      </c>
      <c r="K285" s="6">
        <v>54</v>
      </c>
      <c r="M285" t="s">
        <v>325</v>
      </c>
      <c r="N285" t="s">
        <v>1626</v>
      </c>
      <c r="O285" t="s">
        <v>23</v>
      </c>
      <c r="P285">
        <v>1</v>
      </c>
      <c r="Q285" t="s">
        <v>24</v>
      </c>
      <c r="R285">
        <v>0</v>
      </c>
      <c r="S285" t="s">
        <v>176</v>
      </c>
      <c r="T285" s="5" t="s">
        <v>24</v>
      </c>
      <c r="U285" s="5" t="s">
        <v>487</v>
      </c>
      <c r="V285" s="5" t="s">
        <v>115</v>
      </c>
      <c r="W285" s="5"/>
      <c r="X285" s="5"/>
      <c r="Y285" s="5"/>
      <c r="Z285" s="5" t="s">
        <v>115</v>
      </c>
      <c r="AA285" s="5" t="s">
        <v>115</v>
      </c>
      <c r="AB285" s="5" t="s">
        <v>115</v>
      </c>
      <c r="AC285" s="5" t="s">
        <v>115</v>
      </c>
      <c r="AD285" s="5" t="s">
        <v>115</v>
      </c>
      <c r="AE285" s="5" t="s">
        <v>115</v>
      </c>
      <c r="AF285" s="5" t="s">
        <v>115</v>
      </c>
      <c r="AG285" s="5"/>
      <c r="AH285">
        <v>25</v>
      </c>
      <c r="AI285">
        <v>0</v>
      </c>
      <c r="AJ285">
        <v>0</v>
      </c>
      <c r="AK285">
        <v>25</v>
      </c>
      <c r="AL285">
        <v>0</v>
      </c>
      <c r="AM285">
        <f t="shared" si="4"/>
        <v>25</v>
      </c>
      <c r="AN285" t="s">
        <v>188</v>
      </c>
    </row>
    <row r="286" spans="1:43" x14ac:dyDescent="0.2">
      <c r="A286" t="s">
        <v>3209</v>
      </c>
      <c r="B286" t="s">
        <v>3210</v>
      </c>
      <c r="C286">
        <v>12</v>
      </c>
      <c r="D286">
        <v>1</v>
      </c>
      <c r="E286" t="s">
        <v>2487</v>
      </c>
      <c r="F286" s="1">
        <v>43572</v>
      </c>
      <c r="G286" s="1" t="s">
        <v>4027</v>
      </c>
      <c r="H286" s="1"/>
      <c r="I286" s="2">
        <v>7.7083333333333337E-2</v>
      </c>
      <c r="J286" s="176">
        <v>1.2847222222222223E-3</v>
      </c>
      <c r="K286" s="6">
        <v>111</v>
      </c>
      <c r="L286" t="s">
        <v>3187</v>
      </c>
      <c r="M286" t="s">
        <v>2488</v>
      </c>
      <c r="N286" t="s">
        <v>1626</v>
      </c>
      <c r="O286" t="s">
        <v>23</v>
      </c>
      <c r="P286">
        <v>0</v>
      </c>
      <c r="Q286">
        <v>0</v>
      </c>
      <c r="R286">
        <v>0</v>
      </c>
      <c r="S286" t="s">
        <v>598</v>
      </c>
      <c r="T286" s="5" t="s">
        <v>2801</v>
      </c>
      <c r="U286" s="5" t="s">
        <v>115</v>
      </c>
      <c r="V286" s="5" t="s">
        <v>115</v>
      </c>
      <c r="W286" s="5"/>
      <c r="X286" s="5"/>
      <c r="Y286" s="5"/>
      <c r="Z286" s="5" t="s">
        <v>115</v>
      </c>
      <c r="AA286" s="5" t="s">
        <v>115</v>
      </c>
      <c r="AB286" s="5" t="s">
        <v>115</v>
      </c>
      <c r="AC286" s="5" t="s">
        <v>115</v>
      </c>
      <c r="AD286" s="5" t="s">
        <v>115</v>
      </c>
      <c r="AE286" s="5" t="s">
        <v>115</v>
      </c>
      <c r="AF286" s="5" t="s">
        <v>115</v>
      </c>
      <c r="AG286" s="5"/>
      <c r="AH286">
        <v>25</v>
      </c>
      <c r="AI286">
        <v>0</v>
      </c>
      <c r="AJ286">
        <v>25</v>
      </c>
      <c r="AK286">
        <v>0</v>
      </c>
      <c r="AL286">
        <v>0</v>
      </c>
      <c r="AM286">
        <f t="shared" si="4"/>
        <v>25</v>
      </c>
      <c r="AO286" t="s">
        <v>3211</v>
      </c>
    </row>
    <row r="287" spans="1:43" x14ac:dyDescent="0.2">
      <c r="A287" t="s">
        <v>3291</v>
      </c>
      <c r="B287" t="s">
        <v>3292</v>
      </c>
      <c r="C287">
        <v>4</v>
      </c>
      <c r="D287">
        <v>1</v>
      </c>
      <c r="E287" t="s">
        <v>2487</v>
      </c>
      <c r="F287" s="1">
        <v>43574</v>
      </c>
      <c r="G287" s="1" t="s">
        <v>4027</v>
      </c>
      <c r="H287" s="1"/>
      <c r="I287" s="2">
        <v>2.013888888888889E-2</v>
      </c>
      <c r="J287" s="176">
        <v>3.3564814814814812E-4</v>
      </c>
      <c r="K287" s="6">
        <v>29</v>
      </c>
      <c r="L287" t="s">
        <v>101</v>
      </c>
      <c r="M287" t="s">
        <v>2488</v>
      </c>
      <c r="N287" t="s">
        <v>102</v>
      </c>
      <c r="O287" t="s">
        <v>23</v>
      </c>
      <c r="P287">
        <v>1</v>
      </c>
      <c r="Q287" t="s">
        <v>24</v>
      </c>
      <c r="R287">
        <v>0</v>
      </c>
      <c r="S287" t="s">
        <v>176</v>
      </c>
      <c r="T287" s="5" t="s">
        <v>24</v>
      </c>
      <c r="U287" s="5" t="s">
        <v>2061</v>
      </c>
      <c r="Z287" s="5" t="s">
        <v>115</v>
      </c>
      <c r="AA287" s="5" t="s">
        <v>115</v>
      </c>
      <c r="AB287" s="5" t="s">
        <v>115</v>
      </c>
      <c r="AC287" s="5" t="s">
        <v>115</v>
      </c>
      <c r="AD287" s="5" t="s">
        <v>115</v>
      </c>
      <c r="AE287" s="5" t="s">
        <v>115</v>
      </c>
      <c r="AF287" s="5" t="s">
        <v>115</v>
      </c>
      <c r="AG287" s="5" t="s">
        <v>115</v>
      </c>
      <c r="AH287">
        <v>0</v>
      </c>
      <c r="AI287">
        <v>25</v>
      </c>
      <c r="AJ287">
        <v>25</v>
      </c>
      <c r="AK287">
        <v>0</v>
      </c>
      <c r="AL287">
        <v>0</v>
      </c>
      <c r="AM287">
        <f t="shared" si="4"/>
        <v>25</v>
      </c>
      <c r="AN287" t="s">
        <v>188</v>
      </c>
    </row>
    <row r="288" spans="1:43" x14ac:dyDescent="0.2">
      <c r="A288" t="s">
        <v>3333</v>
      </c>
      <c r="B288" t="s">
        <v>3334</v>
      </c>
      <c r="C288">
        <v>18</v>
      </c>
      <c r="D288">
        <v>1</v>
      </c>
      <c r="E288" t="s">
        <v>834</v>
      </c>
      <c r="F288" s="1">
        <v>43577</v>
      </c>
      <c r="G288" s="1" t="s">
        <v>4027</v>
      </c>
      <c r="H288" s="1"/>
      <c r="I288" s="2">
        <v>8.6805555555555566E-2</v>
      </c>
      <c r="J288" s="176">
        <v>1.4467592592592594E-3</v>
      </c>
      <c r="K288" s="6">
        <v>125</v>
      </c>
      <c r="L288" t="s">
        <v>101</v>
      </c>
      <c r="M288" t="s">
        <v>466</v>
      </c>
      <c r="N288" t="s">
        <v>102</v>
      </c>
      <c r="O288" t="s">
        <v>115</v>
      </c>
      <c r="P288">
        <v>1</v>
      </c>
      <c r="Q288">
        <v>0</v>
      </c>
      <c r="R288">
        <v>0</v>
      </c>
      <c r="S288" t="s">
        <v>598</v>
      </c>
      <c r="T288" s="5" t="s">
        <v>2437</v>
      </c>
      <c r="U288" s="5" t="s">
        <v>2063</v>
      </c>
      <c r="V288" s="5" t="s">
        <v>115</v>
      </c>
      <c r="W288" s="5"/>
      <c r="X288" s="5"/>
      <c r="Y288" s="5"/>
      <c r="Z288" s="5" t="s">
        <v>115</v>
      </c>
      <c r="AA288" s="5" t="s">
        <v>115</v>
      </c>
      <c r="AB288" s="5" t="s">
        <v>115</v>
      </c>
      <c r="AC288" s="5" t="s">
        <v>115</v>
      </c>
      <c r="AD288" s="5" t="s">
        <v>115</v>
      </c>
      <c r="AE288" s="5" t="s">
        <v>115</v>
      </c>
      <c r="AF288" s="5" t="s">
        <v>115</v>
      </c>
      <c r="AG288" s="5" t="s">
        <v>115</v>
      </c>
      <c r="AH288">
        <v>0</v>
      </c>
      <c r="AI288">
        <v>0</v>
      </c>
      <c r="AJ288">
        <v>0</v>
      </c>
      <c r="AK288">
        <v>0</v>
      </c>
      <c r="AL288">
        <v>25</v>
      </c>
      <c r="AM288">
        <f t="shared" si="4"/>
        <v>25</v>
      </c>
      <c r="AN288" t="s">
        <v>188</v>
      </c>
    </row>
    <row r="289" spans="1:43" x14ac:dyDescent="0.2">
      <c r="A289" t="s">
        <v>3805</v>
      </c>
      <c r="B289" t="s">
        <v>3806</v>
      </c>
      <c r="C289">
        <v>2</v>
      </c>
      <c r="D289">
        <v>1</v>
      </c>
      <c r="E289" t="s">
        <v>834</v>
      </c>
      <c r="F289" s="1">
        <v>43588</v>
      </c>
      <c r="G289" s="1" t="s">
        <v>4028</v>
      </c>
      <c r="H289" s="1"/>
      <c r="I289" s="2">
        <v>1.8749999999999999E-2</v>
      </c>
      <c r="J289" s="176">
        <v>3.1250000000000001E-4</v>
      </c>
      <c r="K289" s="6">
        <v>27</v>
      </c>
      <c r="L289" t="s">
        <v>1278</v>
      </c>
      <c r="M289" t="s">
        <v>466</v>
      </c>
      <c r="N289" t="s">
        <v>102</v>
      </c>
      <c r="O289" t="s">
        <v>115</v>
      </c>
      <c r="P289">
        <v>2</v>
      </c>
      <c r="Q289">
        <v>0</v>
      </c>
      <c r="R289">
        <v>0</v>
      </c>
      <c r="S289" t="s">
        <v>176</v>
      </c>
      <c r="T289" s="5" t="s">
        <v>24</v>
      </c>
      <c r="U289" s="5" t="s">
        <v>122</v>
      </c>
      <c r="V289" s="5" t="s">
        <v>115</v>
      </c>
      <c r="W289" s="5"/>
      <c r="X289" s="5"/>
      <c r="Y289" s="5"/>
      <c r="Z289" s="5" t="s">
        <v>115</v>
      </c>
      <c r="AA289" s="5" t="s">
        <v>115</v>
      </c>
      <c r="AB289" s="5" t="s">
        <v>115</v>
      </c>
      <c r="AC289" s="5" t="s">
        <v>115</v>
      </c>
      <c r="AD289" s="5" t="s">
        <v>115</v>
      </c>
      <c r="AE289" s="5" t="s">
        <v>115</v>
      </c>
      <c r="AF289" s="5" t="s">
        <v>115</v>
      </c>
      <c r="AG289" s="5" t="s">
        <v>115</v>
      </c>
      <c r="AH289">
        <v>0</v>
      </c>
      <c r="AI289">
        <v>0</v>
      </c>
      <c r="AJ289">
        <v>0</v>
      </c>
      <c r="AK289">
        <v>0</v>
      </c>
      <c r="AL289">
        <v>25</v>
      </c>
      <c r="AM289">
        <f t="shared" si="4"/>
        <v>25</v>
      </c>
      <c r="AN289" t="s">
        <v>188</v>
      </c>
    </row>
    <row r="290" spans="1:43" x14ac:dyDescent="0.2">
      <c r="A290" t="s">
        <v>3934</v>
      </c>
      <c r="B290" t="s">
        <v>3935</v>
      </c>
      <c r="C290">
        <v>5</v>
      </c>
      <c r="D290">
        <v>1</v>
      </c>
      <c r="E290" t="s">
        <v>324</v>
      </c>
      <c r="F290" s="1">
        <v>43593</v>
      </c>
      <c r="G290" s="1" t="s">
        <v>4028</v>
      </c>
      <c r="H290" s="1"/>
      <c r="I290" s="2">
        <v>1.6666666666666666E-2</v>
      </c>
      <c r="J290" s="176">
        <v>2.7777777777777778E-4</v>
      </c>
      <c r="K290" s="6">
        <v>24</v>
      </c>
      <c r="L290" t="s">
        <v>3929</v>
      </c>
      <c r="M290" t="s">
        <v>325</v>
      </c>
      <c r="N290" t="s">
        <v>102</v>
      </c>
      <c r="O290" t="s">
        <v>115</v>
      </c>
      <c r="P290">
        <v>1</v>
      </c>
      <c r="Q290">
        <v>0</v>
      </c>
      <c r="R290">
        <v>0</v>
      </c>
      <c r="S290" t="s">
        <v>176</v>
      </c>
      <c r="T290" s="5" t="s">
        <v>24</v>
      </c>
      <c r="U290" s="5" t="s">
        <v>122</v>
      </c>
      <c r="V290" s="5" t="s">
        <v>115</v>
      </c>
      <c r="W290" s="5"/>
      <c r="X290" s="5"/>
      <c r="Y290" s="5"/>
      <c r="Z290" s="5" t="s">
        <v>115</v>
      </c>
      <c r="AA290" s="5" t="s">
        <v>115</v>
      </c>
      <c r="AB290" s="5" t="s">
        <v>115</v>
      </c>
      <c r="AC290" s="5" t="s">
        <v>115</v>
      </c>
      <c r="AD290" s="5" t="s">
        <v>115</v>
      </c>
      <c r="AE290" s="5" t="s">
        <v>115</v>
      </c>
      <c r="AF290" s="5" t="s">
        <v>115</v>
      </c>
      <c r="AG290" s="5" t="s">
        <v>115</v>
      </c>
      <c r="AH290">
        <v>0</v>
      </c>
      <c r="AI290">
        <v>0</v>
      </c>
      <c r="AJ290">
        <v>0</v>
      </c>
      <c r="AK290">
        <v>0</v>
      </c>
      <c r="AL290">
        <v>25</v>
      </c>
      <c r="AM290">
        <f t="shared" si="4"/>
        <v>25</v>
      </c>
      <c r="AO290" t="s">
        <v>3936</v>
      </c>
    </row>
    <row r="291" spans="1:43" x14ac:dyDescent="0.2">
      <c r="A291" t="s">
        <v>2630</v>
      </c>
      <c r="B291" t="s">
        <v>2631</v>
      </c>
      <c r="C291">
        <v>3</v>
      </c>
      <c r="D291">
        <v>1</v>
      </c>
      <c r="E291" t="s">
        <v>2487</v>
      </c>
      <c r="F291" s="1">
        <v>43551</v>
      </c>
      <c r="G291" s="1" t="s">
        <v>4026</v>
      </c>
      <c r="H291" s="1"/>
      <c r="I291" s="2">
        <v>1.7361111111111112E-2</v>
      </c>
      <c r="J291" s="176">
        <v>2.8935185185185189E-4</v>
      </c>
      <c r="K291" s="6">
        <v>25</v>
      </c>
      <c r="L291" s="5" t="s">
        <v>398</v>
      </c>
      <c r="M291" t="s">
        <v>2498</v>
      </c>
      <c r="N291" t="s">
        <v>102</v>
      </c>
      <c r="O291" t="s">
        <v>115</v>
      </c>
      <c r="P291" t="s">
        <v>24</v>
      </c>
      <c r="Q291">
        <v>0</v>
      </c>
      <c r="R291">
        <v>0</v>
      </c>
      <c r="T291" t="s">
        <v>115</v>
      </c>
      <c r="U291" t="s">
        <v>115</v>
      </c>
      <c r="V291" t="s">
        <v>115</v>
      </c>
      <c r="Z291" t="s">
        <v>115</v>
      </c>
      <c r="AA291" t="s">
        <v>115</v>
      </c>
      <c r="AB291" t="s">
        <v>115</v>
      </c>
      <c r="AC291" t="s">
        <v>115</v>
      </c>
      <c r="AD291" t="s">
        <v>115</v>
      </c>
      <c r="AE291" t="s">
        <v>115</v>
      </c>
      <c r="AF291" t="s">
        <v>115</v>
      </c>
      <c r="AH291">
        <v>0</v>
      </c>
      <c r="AI291">
        <v>0</v>
      </c>
      <c r="AJ291">
        <v>0</v>
      </c>
      <c r="AK291">
        <v>0</v>
      </c>
      <c r="AL291">
        <v>25</v>
      </c>
      <c r="AM291">
        <f t="shared" si="4"/>
        <v>25</v>
      </c>
      <c r="AN291" t="s">
        <v>188</v>
      </c>
    </row>
    <row r="292" spans="1:43" x14ac:dyDescent="0.2">
      <c r="A292" t="s">
        <v>3296</v>
      </c>
      <c r="B292" t="s">
        <v>3298</v>
      </c>
      <c r="C292">
        <v>2</v>
      </c>
      <c r="D292">
        <v>1</v>
      </c>
      <c r="E292" t="s">
        <v>834</v>
      </c>
      <c r="F292" s="1">
        <v>43577</v>
      </c>
      <c r="G292" s="1" t="s">
        <v>4027</v>
      </c>
      <c r="H292" s="1"/>
      <c r="I292" s="2">
        <v>2.6388888888888889E-2</v>
      </c>
      <c r="J292" s="176">
        <v>4.3981481481481481E-4</v>
      </c>
      <c r="K292" s="6">
        <v>38</v>
      </c>
      <c r="L292" t="s">
        <v>101</v>
      </c>
      <c r="M292" t="s">
        <v>466</v>
      </c>
      <c r="N292" t="s">
        <v>102</v>
      </c>
      <c r="O292" t="s">
        <v>115</v>
      </c>
      <c r="P292" t="s">
        <v>24</v>
      </c>
      <c r="Q292">
        <v>0</v>
      </c>
      <c r="R292">
        <v>0</v>
      </c>
      <c r="T292" s="5" t="s">
        <v>115</v>
      </c>
      <c r="U292" s="5" t="s">
        <v>115</v>
      </c>
      <c r="V292" s="5" t="s">
        <v>115</v>
      </c>
      <c r="W292" s="5"/>
      <c r="X292" s="5"/>
      <c r="Y292" s="5"/>
      <c r="Z292" s="5" t="s">
        <v>115</v>
      </c>
      <c r="AA292" s="5" t="s">
        <v>115</v>
      </c>
      <c r="AB292" s="5" t="s">
        <v>115</v>
      </c>
      <c r="AC292" s="5" t="s">
        <v>115</v>
      </c>
      <c r="AD292" s="5" t="s">
        <v>115</v>
      </c>
      <c r="AE292" s="5" t="s">
        <v>115</v>
      </c>
      <c r="AF292" s="5" t="s">
        <v>115</v>
      </c>
      <c r="AG292" s="5" t="s">
        <v>115</v>
      </c>
      <c r="AH292">
        <v>0</v>
      </c>
      <c r="AI292">
        <v>0</v>
      </c>
      <c r="AJ292">
        <v>0</v>
      </c>
      <c r="AK292">
        <v>0</v>
      </c>
      <c r="AL292">
        <v>25</v>
      </c>
      <c r="AM292">
        <f t="shared" si="4"/>
        <v>25</v>
      </c>
      <c r="AN292" t="s">
        <v>188</v>
      </c>
      <c r="AO292" t="s">
        <v>3299</v>
      </c>
      <c r="AP292">
        <v>0</v>
      </c>
      <c r="AQ292">
        <v>0</v>
      </c>
    </row>
    <row r="293" spans="1:43" x14ac:dyDescent="0.2">
      <c r="A293" t="s">
        <v>3448</v>
      </c>
      <c r="B293" t="s">
        <v>3449</v>
      </c>
      <c r="C293">
        <v>11</v>
      </c>
      <c r="D293">
        <v>1</v>
      </c>
      <c r="E293" t="s">
        <v>2601</v>
      </c>
      <c r="F293" s="1">
        <v>43579</v>
      </c>
      <c r="G293" s="1" t="s">
        <v>4027</v>
      </c>
      <c r="H293" s="1"/>
      <c r="I293" s="2">
        <v>1.9444444444444445E-2</v>
      </c>
      <c r="J293" s="176">
        <v>3.2407407407407406E-4</v>
      </c>
      <c r="K293" s="6">
        <v>28</v>
      </c>
      <c r="L293" t="s">
        <v>101</v>
      </c>
      <c r="M293" t="s">
        <v>173</v>
      </c>
      <c r="N293" t="s">
        <v>102</v>
      </c>
      <c r="O293" t="s">
        <v>23</v>
      </c>
      <c r="P293" t="s">
        <v>24</v>
      </c>
      <c r="Q293" t="s">
        <v>24</v>
      </c>
      <c r="R293">
        <v>0</v>
      </c>
      <c r="T293" s="5" t="s">
        <v>115</v>
      </c>
      <c r="U293" s="5" t="s">
        <v>115</v>
      </c>
      <c r="V293" s="5" t="s">
        <v>115</v>
      </c>
      <c r="W293" s="5"/>
      <c r="X293" s="5"/>
      <c r="Y293" s="5"/>
      <c r="Z293" s="5" t="s">
        <v>115</v>
      </c>
      <c r="AA293" s="5" t="s">
        <v>115</v>
      </c>
      <c r="AB293" s="5" t="s">
        <v>115</v>
      </c>
      <c r="AC293" s="5" t="s">
        <v>115</v>
      </c>
      <c r="AD293" s="5" t="s">
        <v>115</v>
      </c>
      <c r="AE293" s="5" t="s">
        <v>115</v>
      </c>
      <c r="AF293" s="5" t="s">
        <v>115</v>
      </c>
      <c r="AG293" s="5" t="s">
        <v>115</v>
      </c>
      <c r="AH293">
        <v>25</v>
      </c>
      <c r="AI293">
        <v>0</v>
      </c>
      <c r="AJ293">
        <v>16</v>
      </c>
      <c r="AK293">
        <v>9</v>
      </c>
      <c r="AL293">
        <v>0</v>
      </c>
      <c r="AM293">
        <f t="shared" si="4"/>
        <v>25</v>
      </c>
      <c r="AN293" t="s">
        <v>188</v>
      </c>
    </row>
    <row r="294" spans="1:43" x14ac:dyDescent="0.2">
      <c r="A294" t="s">
        <v>3433</v>
      </c>
      <c r="B294" t="s">
        <v>3434</v>
      </c>
      <c r="C294">
        <v>3</v>
      </c>
      <c r="D294">
        <v>1</v>
      </c>
      <c r="E294" t="s">
        <v>2601</v>
      </c>
      <c r="F294" s="1">
        <v>43579</v>
      </c>
      <c r="G294" s="1" t="s">
        <v>4027</v>
      </c>
      <c r="H294" s="1"/>
      <c r="I294" s="2">
        <v>1.7361111111111112E-2</v>
      </c>
      <c r="J294" s="176">
        <v>2.8935185185185189E-4</v>
      </c>
      <c r="K294" s="6">
        <v>25</v>
      </c>
      <c r="L294" t="s">
        <v>101</v>
      </c>
      <c r="M294" t="s">
        <v>173</v>
      </c>
      <c r="N294" t="s">
        <v>102</v>
      </c>
      <c r="O294" t="s">
        <v>115</v>
      </c>
      <c r="P294" t="s">
        <v>24</v>
      </c>
      <c r="Q294">
        <v>0</v>
      </c>
      <c r="R294">
        <v>0</v>
      </c>
      <c r="T294" s="5" t="s">
        <v>115</v>
      </c>
      <c r="U294" s="5" t="s">
        <v>115</v>
      </c>
      <c r="V294" s="5" t="s">
        <v>115</v>
      </c>
      <c r="W294" s="5"/>
      <c r="X294" s="5"/>
      <c r="Y294" s="5"/>
      <c r="Z294" s="5" t="s">
        <v>115</v>
      </c>
      <c r="AA294" s="5" t="s">
        <v>115</v>
      </c>
      <c r="AB294" s="5" t="s">
        <v>115</v>
      </c>
      <c r="AC294" s="5" t="s">
        <v>115</v>
      </c>
      <c r="AD294" s="5" t="s">
        <v>115</v>
      </c>
      <c r="AE294" s="5" t="s">
        <v>115</v>
      </c>
      <c r="AF294" s="5" t="s">
        <v>115</v>
      </c>
      <c r="AG294" s="5" t="s">
        <v>115</v>
      </c>
      <c r="AH294">
        <v>0</v>
      </c>
      <c r="AI294">
        <v>0</v>
      </c>
      <c r="AJ294">
        <v>0</v>
      </c>
      <c r="AK294">
        <v>0</v>
      </c>
      <c r="AL294">
        <v>25</v>
      </c>
      <c r="AM294">
        <f t="shared" si="4"/>
        <v>25</v>
      </c>
    </row>
    <row r="295" spans="1:43" x14ac:dyDescent="0.2">
      <c r="A295" t="s">
        <v>3670</v>
      </c>
      <c r="B295" t="s">
        <v>3669</v>
      </c>
      <c r="C295">
        <v>18</v>
      </c>
      <c r="D295">
        <v>1</v>
      </c>
      <c r="E295" t="s">
        <v>2487</v>
      </c>
      <c r="F295" s="1">
        <v>43585</v>
      </c>
      <c r="G295" s="1" t="s">
        <v>4027</v>
      </c>
      <c r="H295" s="1"/>
      <c r="I295" s="2">
        <v>1.7361111111111112E-2</v>
      </c>
      <c r="J295" s="176">
        <v>2.8935185185185189E-4</v>
      </c>
      <c r="K295" s="6">
        <v>25</v>
      </c>
      <c r="L295" t="s">
        <v>3626</v>
      </c>
      <c r="M295" t="s">
        <v>2488</v>
      </c>
      <c r="N295" t="s">
        <v>102</v>
      </c>
      <c r="O295" t="s">
        <v>115</v>
      </c>
      <c r="P295" t="s">
        <v>24</v>
      </c>
      <c r="Q295">
        <v>0</v>
      </c>
      <c r="R295">
        <v>0</v>
      </c>
      <c r="T295" s="5" t="s">
        <v>115</v>
      </c>
      <c r="U295" s="5" t="s">
        <v>115</v>
      </c>
      <c r="V295" s="5" t="s">
        <v>115</v>
      </c>
      <c r="W295" s="5"/>
      <c r="X295" s="5"/>
      <c r="Y295" s="5"/>
      <c r="Z295" s="5" t="s">
        <v>115</v>
      </c>
      <c r="AA295" s="5" t="s">
        <v>115</v>
      </c>
      <c r="AB295" s="5" t="s">
        <v>115</v>
      </c>
      <c r="AC295" s="5" t="s">
        <v>115</v>
      </c>
      <c r="AD295" s="5" t="s">
        <v>115</v>
      </c>
      <c r="AE295" s="5" t="s">
        <v>115</v>
      </c>
      <c r="AF295" s="5" t="s">
        <v>115</v>
      </c>
      <c r="AG295" s="5" t="s">
        <v>115</v>
      </c>
      <c r="AH295">
        <v>0</v>
      </c>
      <c r="AI295">
        <v>0</v>
      </c>
      <c r="AJ295">
        <v>0</v>
      </c>
      <c r="AK295">
        <v>0</v>
      </c>
      <c r="AL295">
        <v>25</v>
      </c>
      <c r="AM295">
        <f t="shared" si="4"/>
        <v>25</v>
      </c>
      <c r="AN295" t="s">
        <v>188</v>
      </c>
    </row>
    <row r="296" spans="1:43" x14ac:dyDescent="0.2">
      <c r="A296" t="s">
        <v>2514</v>
      </c>
      <c r="B296" t="s">
        <v>2515</v>
      </c>
      <c r="C296">
        <v>12</v>
      </c>
      <c r="D296">
        <v>1</v>
      </c>
      <c r="E296" t="s">
        <v>2487</v>
      </c>
      <c r="F296" s="1">
        <v>43549</v>
      </c>
      <c r="G296" s="1" t="s">
        <v>4026</v>
      </c>
      <c r="H296" s="1"/>
      <c r="I296" s="2">
        <v>1.6666666666666666E-2</v>
      </c>
      <c r="J296" s="176">
        <v>2.7777777777777778E-4</v>
      </c>
      <c r="K296" s="6">
        <v>24</v>
      </c>
      <c r="L296" s="5" t="s">
        <v>640</v>
      </c>
      <c r="M296" t="s">
        <v>2488</v>
      </c>
      <c r="N296" t="s">
        <v>102</v>
      </c>
      <c r="O296" t="s">
        <v>115</v>
      </c>
      <c r="P296">
        <v>1</v>
      </c>
      <c r="Q296">
        <v>0</v>
      </c>
      <c r="R296">
        <v>0</v>
      </c>
      <c r="S296" t="s">
        <v>14</v>
      </c>
      <c r="T296" t="s">
        <v>14</v>
      </c>
      <c r="U296" t="s">
        <v>122</v>
      </c>
      <c r="V296" t="s">
        <v>115</v>
      </c>
      <c r="Z296" t="s">
        <v>115</v>
      </c>
      <c r="AA296" t="s">
        <v>115</v>
      </c>
      <c r="AB296" t="s">
        <v>115</v>
      </c>
      <c r="AC296" t="s">
        <v>115</v>
      </c>
      <c r="AD296" t="s">
        <v>115</v>
      </c>
      <c r="AH296">
        <v>0</v>
      </c>
      <c r="AI296">
        <v>0</v>
      </c>
      <c r="AJ296">
        <v>0</v>
      </c>
      <c r="AK296">
        <v>0</v>
      </c>
      <c r="AL296">
        <v>24</v>
      </c>
      <c r="AM296">
        <f t="shared" si="4"/>
        <v>24</v>
      </c>
      <c r="AN296" t="s">
        <v>188</v>
      </c>
    </row>
    <row r="297" spans="1:43" x14ac:dyDescent="0.2">
      <c r="A297" t="s">
        <v>2794</v>
      </c>
      <c r="B297" t="s">
        <v>2795</v>
      </c>
      <c r="C297">
        <v>4</v>
      </c>
      <c r="D297">
        <v>1</v>
      </c>
      <c r="E297" t="s">
        <v>138</v>
      </c>
      <c r="F297" s="1">
        <v>43556</v>
      </c>
      <c r="G297" s="1" t="s">
        <v>4027</v>
      </c>
      <c r="H297" s="1"/>
      <c r="I297" s="2">
        <v>2.7777777777777776E-2</v>
      </c>
      <c r="J297" s="176">
        <v>4.6296296296296293E-4</v>
      </c>
      <c r="K297" s="6">
        <v>40</v>
      </c>
      <c r="M297" t="s">
        <v>173</v>
      </c>
      <c r="N297" t="s">
        <v>102</v>
      </c>
      <c r="O297" t="s">
        <v>115</v>
      </c>
      <c r="P297">
        <v>0</v>
      </c>
      <c r="Q297">
        <v>0</v>
      </c>
      <c r="R297">
        <v>0</v>
      </c>
      <c r="T297" s="5" t="s">
        <v>115</v>
      </c>
      <c r="U297" s="5" t="s">
        <v>115</v>
      </c>
      <c r="V297" s="5" t="s">
        <v>115</v>
      </c>
      <c r="W297" s="5"/>
      <c r="X297" s="5"/>
      <c r="Y297" s="5"/>
      <c r="Z297" s="5" t="s">
        <v>115</v>
      </c>
      <c r="AA297" s="5" t="s">
        <v>115</v>
      </c>
      <c r="AB297" s="5" t="s">
        <v>115</v>
      </c>
      <c r="AC297" s="5" t="s">
        <v>115</v>
      </c>
      <c r="AD297" s="5" t="s">
        <v>115</v>
      </c>
      <c r="AE297" s="5" t="s">
        <v>115</v>
      </c>
      <c r="AF297" s="5" t="s">
        <v>115</v>
      </c>
      <c r="AG297" s="5"/>
      <c r="AH297">
        <v>0</v>
      </c>
      <c r="AI297">
        <v>0</v>
      </c>
      <c r="AJ297">
        <v>0</v>
      </c>
      <c r="AK297">
        <v>0</v>
      </c>
      <c r="AL297">
        <v>24</v>
      </c>
      <c r="AM297">
        <f t="shared" si="4"/>
        <v>24</v>
      </c>
      <c r="AN297" t="s">
        <v>188</v>
      </c>
    </row>
    <row r="298" spans="1:43" x14ac:dyDescent="0.2">
      <c r="A298" t="s">
        <v>2920</v>
      </c>
      <c r="B298" t="s">
        <v>2921</v>
      </c>
      <c r="C298">
        <v>4</v>
      </c>
      <c r="D298">
        <v>1</v>
      </c>
      <c r="E298" t="s">
        <v>2462</v>
      </c>
      <c r="F298" s="1">
        <v>43559</v>
      </c>
      <c r="G298" s="1" t="s">
        <v>4027</v>
      </c>
      <c r="H298" s="1"/>
      <c r="I298" s="2">
        <v>1.6666666666666666E-2</v>
      </c>
      <c r="J298" s="176">
        <v>2.7777777777777778E-4</v>
      </c>
      <c r="K298" s="6">
        <v>24</v>
      </c>
      <c r="M298" t="s">
        <v>64</v>
      </c>
      <c r="N298" t="s">
        <v>102</v>
      </c>
      <c r="O298" t="s">
        <v>115</v>
      </c>
      <c r="P298">
        <v>0</v>
      </c>
      <c r="Q298">
        <v>0</v>
      </c>
      <c r="R298">
        <v>0</v>
      </c>
      <c r="T298" s="5" t="s">
        <v>115</v>
      </c>
      <c r="U298" s="5" t="s">
        <v>115</v>
      </c>
      <c r="V298" s="5" t="s">
        <v>115</v>
      </c>
      <c r="W298" s="5"/>
      <c r="X298" s="5"/>
      <c r="Y298" s="5"/>
      <c r="Z298" s="5" t="s">
        <v>115</v>
      </c>
      <c r="AA298" s="5" t="s">
        <v>115</v>
      </c>
      <c r="AB298" s="5" t="s">
        <v>115</v>
      </c>
      <c r="AC298" s="5" t="s">
        <v>115</v>
      </c>
      <c r="AD298" s="5" t="s">
        <v>115</v>
      </c>
      <c r="AE298" s="5" t="s">
        <v>115</v>
      </c>
      <c r="AF298" s="5" t="s">
        <v>115</v>
      </c>
      <c r="AG298" s="5"/>
      <c r="AH298">
        <v>0</v>
      </c>
      <c r="AI298">
        <v>0</v>
      </c>
      <c r="AJ298">
        <v>0</v>
      </c>
      <c r="AK298">
        <v>0</v>
      </c>
      <c r="AL298">
        <v>24</v>
      </c>
      <c r="AM298">
        <f t="shared" si="4"/>
        <v>24</v>
      </c>
      <c r="AN298" t="s">
        <v>188</v>
      </c>
    </row>
    <row r="299" spans="1:43" x14ac:dyDescent="0.2">
      <c r="A299" t="s">
        <v>3260</v>
      </c>
      <c r="B299" t="s">
        <v>3261</v>
      </c>
      <c r="C299">
        <v>5</v>
      </c>
      <c r="D299">
        <v>2</v>
      </c>
      <c r="E299" t="s">
        <v>2462</v>
      </c>
      <c r="F299" s="1">
        <v>43573</v>
      </c>
      <c r="G299" s="1" t="s">
        <v>4027</v>
      </c>
      <c r="H299" s="1"/>
      <c r="I299" s="2">
        <v>4.027777777777778E-2</v>
      </c>
      <c r="J299" s="176">
        <v>6.7129629629629625E-4</v>
      </c>
      <c r="K299" s="6">
        <v>58</v>
      </c>
      <c r="L299" t="s">
        <v>398</v>
      </c>
      <c r="M299" t="s">
        <v>363</v>
      </c>
      <c r="N299" t="s">
        <v>102</v>
      </c>
      <c r="O299" t="s">
        <v>115</v>
      </c>
      <c r="P299">
        <v>1</v>
      </c>
      <c r="Q299">
        <v>0</v>
      </c>
      <c r="R299">
        <v>0</v>
      </c>
      <c r="S299" t="s">
        <v>176</v>
      </c>
      <c r="T299" s="5" t="s">
        <v>24</v>
      </c>
      <c r="U299" s="5" t="s">
        <v>122</v>
      </c>
      <c r="V299" s="5" t="s">
        <v>115</v>
      </c>
      <c r="W299" s="5"/>
      <c r="X299" s="5"/>
      <c r="Y299" s="5"/>
      <c r="Z299" s="5" t="s">
        <v>115</v>
      </c>
      <c r="AA299" s="5" t="s">
        <v>115</v>
      </c>
      <c r="AB299" s="5" t="s">
        <v>115</v>
      </c>
      <c r="AC299" s="5" t="s">
        <v>115</v>
      </c>
      <c r="AD299" s="5" t="s">
        <v>115</v>
      </c>
      <c r="AE299" s="5" t="s">
        <v>115</v>
      </c>
      <c r="AF299" s="5" t="s">
        <v>115</v>
      </c>
      <c r="AG299" s="5" t="s">
        <v>115</v>
      </c>
      <c r="AH299">
        <v>0</v>
      </c>
      <c r="AI299">
        <v>0</v>
      </c>
      <c r="AJ299">
        <v>0</v>
      </c>
      <c r="AK299">
        <v>0</v>
      </c>
      <c r="AL299">
        <v>24</v>
      </c>
      <c r="AM299">
        <f t="shared" si="4"/>
        <v>24</v>
      </c>
      <c r="AN299" t="s">
        <v>188</v>
      </c>
      <c r="AO299" t="s">
        <v>3263</v>
      </c>
    </row>
    <row r="300" spans="1:43" x14ac:dyDescent="0.2">
      <c r="A300" t="s">
        <v>3260</v>
      </c>
      <c r="B300" t="s">
        <v>3261</v>
      </c>
      <c r="C300">
        <v>5</v>
      </c>
      <c r="D300">
        <v>1</v>
      </c>
      <c r="E300" t="s">
        <v>2462</v>
      </c>
      <c r="F300" s="1">
        <v>43573</v>
      </c>
      <c r="G300" s="1" t="s">
        <v>4027</v>
      </c>
      <c r="H300" s="1"/>
      <c r="I300" s="2">
        <v>4.027777777777778E-2</v>
      </c>
      <c r="J300" s="176">
        <v>6.7129629629629625E-4</v>
      </c>
      <c r="K300" s="6">
        <v>58</v>
      </c>
      <c r="L300" t="s">
        <v>398</v>
      </c>
      <c r="M300" t="s">
        <v>363</v>
      </c>
      <c r="N300" t="s">
        <v>102</v>
      </c>
      <c r="O300" t="s">
        <v>115</v>
      </c>
      <c r="P300">
        <v>1</v>
      </c>
      <c r="Q300">
        <v>0</v>
      </c>
      <c r="R300">
        <v>0</v>
      </c>
      <c r="S300" t="s">
        <v>14</v>
      </c>
      <c r="T300" s="5" t="s">
        <v>3262</v>
      </c>
      <c r="U300" s="5" t="s">
        <v>122</v>
      </c>
      <c r="V300" s="5" t="s">
        <v>115</v>
      </c>
      <c r="W300" s="5"/>
      <c r="X300" s="5"/>
      <c r="Y300" s="5"/>
      <c r="Z300" s="5" t="s">
        <v>115</v>
      </c>
      <c r="AA300" s="5" t="s">
        <v>115</v>
      </c>
      <c r="AB300" s="5" t="s">
        <v>115</v>
      </c>
      <c r="AC300" s="5" t="s">
        <v>115</v>
      </c>
      <c r="AD300" s="5" t="s">
        <v>115</v>
      </c>
      <c r="AE300" s="5" t="s">
        <v>115</v>
      </c>
      <c r="AF300" s="5" t="s">
        <v>115</v>
      </c>
      <c r="AG300" s="5" t="s">
        <v>115</v>
      </c>
      <c r="AH300">
        <v>0</v>
      </c>
      <c r="AI300">
        <v>0</v>
      </c>
      <c r="AJ300">
        <v>0</v>
      </c>
      <c r="AK300">
        <v>0</v>
      </c>
      <c r="AL300">
        <v>24</v>
      </c>
      <c r="AM300">
        <f t="shared" si="4"/>
        <v>24</v>
      </c>
      <c r="AN300" t="s">
        <v>188</v>
      </c>
    </row>
    <row r="301" spans="1:43" x14ac:dyDescent="0.2">
      <c r="A301" t="s">
        <v>3272</v>
      </c>
      <c r="B301" t="s">
        <v>3273</v>
      </c>
      <c r="C301">
        <v>10</v>
      </c>
      <c r="D301">
        <v>1</v>
      </c>
      <c r="E301" t="s">
        <v>2462</v>
      </c>
      <c r="F301" s="1">
        <v>43573</v>
      </c>
      <c r="G301" s="1" t="s">
        <v>4027</v>
      </c>
      <c r="H301" s="1"/>
      <c r="I301" s="2">
        <v>2.2916666666666669E-2</v>
      </c>
      <c r="J301" s="176">
        <v>3.8194444444444446E-4</v>
      </c>
      <c r="K301" s="6">
        <v>33</v>
      </c>
      <c r="L301" t="s">
        <v>398</v>
      </c>
      <c r="M301" t="s">
        <v>363</v>
      </c>
      <c r="N301" t="s">
        <v>102</v>
      </c>
      <c r="O301" t="s">
        <v>115</v>
      </c>
      <c r="P301">
        <v>0</v>
      </c>
      <c r="Q301">
        <v>0</v>
      </c>
      <c r="R301">
        <v>0</v>
      </c>
      <c r="T301" s="5" t="s">
        <v>115</v>
      </c>
      <c r="U301" s="5" t="s">
        <v>115</v>
      </c>
      <c r="V301" s="5" t="s">
        <v>115</v>
      </c>
      <c r="W301" s="5"/>
      <c r="X301" s="5"/>
      <c r="Y301" s="5"/>
      <c r="Z301" s="5" t="s">
        <v>115</v>
      </c>
      <c r="AA301" s="5" t="s">
        <v>115</v>
      </c>
      <c r="AB301" s="5" t="s">
        <v>115</v>
      </c>
      <c r="AC301" s="5" t="s">
        <v>115</v>
      </c>
      <c r="AD301" s="5" t="s">
        <v>115</v>
      </c>
      <c r="AE301" s="5" t="s">
        <v>115</v>
      </c>
      <c r="AF301" s="5" t="s">
        <v>115</v>
      </c>
      <c r="AG301" s="5" t="s">
        <v>115</v>
      </c>
      <c r="AH301">
        <v>0</v>
      </c>
      <c r="AI301">
        <v>0</v>
      </c>
      <c r="AJ301">
        <v>0</v>
      </c>
      <c r="AK301">
        <v>0</v>
      </c>
      <c r="AL301">
        <v>24</v>
      </c>
      <c r="AM301">
        <f t="shared" si="4"/>
        <v>24</v>
      </c>
      <c r="AN301" t="s">
        <v>188</v>
      </c>
    </row>
    <row r="302" spans="1:43" x14ac:dyDescent="0.2">
      <c r="A302" t="s">
        <v>3410</v>
      </c>
      <c r="B302" t="s">
        <v>3411</v>
      </c>
      <c r="C302">
        <v>4</v>
      </c>
      <c r="D302">
        <v>1</v>
      </c>
      <c r="E302" t="s">
        <v>3404</v>
      </c>
      <c r="F302" s="1">
        <v>43577</v>
      </c>
      <c r="G302" s="1" t="s">
        <v>4027</v>
      </c>
      <c r="H302" s="1"/>
      <c r="I302" s="2">
        <v>1.9444444444444445E-2</v>
      </c>
      <c r="J302" s="176">
        <v>3.2407407407407406E-4</v>
      </c>
      <c r="K302" s="6">
        <v>28</v>
      </c>
      <c r="L302" t="s">
        <v>101</v>
      </c>
      <c r="M302" t="s">
        <v>3405</v>
      </c>
      <c r="N302" t="s">
        <v>102</v>
      </c>
      <c r="O302" t="s">
        <v>115</v>
      </c>
      <c r="P302">
        <v>1</v>
      </c>
      <c r="Q302">
        <v>0</v>
      </c>
      <c r="R302">
        <v>0</v>
      </c>
      <c r="S302" t="s">
        <v>176</v>
      </c>
      <c r="T302" s="5" t="s">
        <v>24</v>
      </c>
      <c r="U302" s="5" t="s">
        <v>122</v>
      </c>
      <c r="V302" s="5" t="s">
        <v>115</v>
      </c>
      <c r="W302" s="5"/>
      <c r="X302" s="5"/>
      <c r="Y302" s="5"/>
      <c r="Z302" s="5" t="s">
        <v>115</v>
      </c>
      <c r="AA302" s="5" t="s">
        <v>115</v>
      </c>
      <c r="AB302" s="5" t="s">
        <v>115</v>
      </c>
      <c r="AC302" s="5" t="s">
        <v>115</v>
      </c>
      <c r="AD302" s="5" t="s">
        <v>115</v>
      </c>
      <c r="AE302" s="5" t="s">
        <v>115</v>
      </c>
      <c r="AF302" s="5" t="s">
        <v>115</v>
      </c>
      <c r="AG302" s="5" t="s">
        <v>115</v>
      </c>
      <c r="AH302">
        <v>0</v>
      </c>
      <c r="AI302">
        <v>0</v>
      </c>
      <c r="AJ302">
        <v>0</v>
      </c>
      <c r="AK302">
        <v>0</v>
      </c>
      <c r="AL302">
        <v>24</v>
      </c>
      <c r="AM302">
        <f t="shared" si="4"/>
        <v>24</v>
      </c>
      <c r="AN302" t="s">
        <v>188</v>
      </c>
    </row>
    <row r="303" spans="1:43" x14ac:dyDescent="0.2">
      <c r="A303" t="s">
        <v>3437</v>
      </c>
      <c r="B303" t="s">
        <v>3438</v>
      </c>
      <c r="C303">
        <v>5</v>
      </c>
      <c r="D303">
        <v>1</v>
      </c>
      <c r="E303" t="s">
        <v>2601</v>
      </c>
      <c r="F303" s="1">
        <v>43579</v>
      </c>
      <c r="G303" s="1" t="s">
        <v>4027</v>
      </c>
      <c r="H303" s="1"/>
      <c r="I303" s="2">
        <v>1.6666666666666666E-2</v>
      </c>
      <c r="J303" s="176">
        <v>2.7777777777777778E-4</v>
      </c>
      <c r="K303" s="6">
        <v>24</v>
      </c>
      <c r="L303" t="s">
        <v>101</v>
      </c>
      <c r="M303" t="s">
        <v>177</v>
      </c>
      <c r="N303" t="s">
        <v>102</v>
      </c>
      <c r="O303" t="s">
        <v>115</v>
      </c>
      <c r="P303">
        <v>1</v>
      </c>
      <c r="Q303">
        <v>0</v>
      </c>
      <c r="R303">
        <v>0</v>
      </c>
      <c r="S303" t="s">
        <v>176</v>
      </c>
      <c r="T303" s="5" t="s">
        <v>24</v>
      </c>
      <c r="U303" s="5" t="s">
        <v>115</v>
      </c>
      <c r="V303" s="5" t="s">
        <v>115</v>
      </c>
      <c r="W303" s="5"/>
      <c r="X303" s="5"/>
      <c r="Y303" s="5"/>
      <c r="Z303" s="5" t="s">
        <v>115</v>
      </c>
      <c r="AA303" s="5" t="s">
        <v>115</v>
      </c>
      <c r="AB303" s="5" t="s">
        <v>115</v>
      </c>
      <c r="AC303" s="5" t="s">
        <v>115</v>
      </c>
      <c r="AD303" s="5" t="s">
        <v>115</v>
      </c>
      <c r="AE303" s="5" t="s">
        <v>115</v>
      </c>
      <c r="AF303" s="5" t="s">
        <v>115</v>
      </c>
      <c r="AG303" s="5" t="s">
        <v>115</v>
      </c>
      <c r="AH303">
        <v>0</v>
      </c>
      <c r="AI303">
        <v>0</v>
      </c>
      <c r="AJ303">
        <v>0</v>
      </c>
      <c r="AK303">
        <v>0</v>
      </c>
      <c r="AL303">
        <v>24</v>
      </c>
      <c r="AM303">
        <f t="shared" si="4"/>
        <v>24</v>
      </c>
      <c r="AN303" t="s">
        <v>188</v>
      </c>
    </row>
    <row r="304" spans="1:43" x14ac:dyDescent="0.2">
      <c r="A304" t="s">
        <v>3634</v>
      </c>
      <c r="B304" t="s">
        <v>3640</v>
      </c>
      <c r="C304">
        <v>5</v>
      </c>
      <c r="D304">
        <v>1</v>
      </c>
      <c r="E304" t="s">
        <v>2487</v>
      </c>
      <c r="F304" s="1">
        <v>43585</v>
      </c>
      <c r="G304" s="1" t="s">
        <v>4027</v>
      </c>
      <c r="H304" s="1"/>
      <c r="I304" s="2">
        <v>4.9999999999999996E-2</v>
      </c>
      <c r="J304" s="176">
        <v>8.3333333333333339E-4</v>
      </c>
      <c r="K304" s="6">
        <v>72</v>
      </c>
      <c r="L304" t="s">
        <v>3626</v>
      </c>
      <c r="M304" t="s">
        <v>2488</v>
      </c>
      <c r="N304" t="s">
        <v>102</v>
      </c>
      <c r="O304" t="s">
        <v>115</v>
      </c>
      <c r="P304">
        <v>2</v>
      </c>
      <c r="Q304">
        <v>0</v>
      </c>
      <c r="R304">
        <v>0</v>
      </c>
      <c r="S304" t="s">
        <v>176</v>
      </c>
      <c r="T304" s="5" t="s">
        <v>24</v>
      </c>
      <c r="U304" s="5" t="s">
        <v>122</v>
      </c>
      <c r="V304" s="5" t="s">
        <v>115</v>
      </c>
      <c r="W304" s="5"/>
      <c r="X304" s="5"/>
      <c r="Y304" s="5"/>
      <c r="Z304" s="5" t="s">
        <v>115</v>
      </c>
      <c r="AA304" s="5" t="s">
        <v>115</v>
      </c>
      <c r="AB304" s="5" t="s">
        <v>115</v>
      </c>
      <c r="AC304" s="5" t="s">
        <v>115</v>
      </c>
      <c r="AD304" s="5" t="s">
        <v>115</v>
      </c>
      <c r="AE304" s="5" t="s">
        <v>115</v>
      </c>
      <c r="AF304" s="5" t="s">
        <v>115</v>
      </c>
      <c r="AG304" s="5" t="s">
        <v>115</v>
      </c>
      <c r="AH304">
        <v>0</v>
      </c>
      <c r="AI304">
        <v>0</v>
      </c>
      <c r="AJ304">
        <v>0</v>
      </c>
      <c r="AK304">
        <v>0</v>
      </c>
      <c r="AL304">
        <v>24</v>
      </c>
      <c r="AM304">
        <f t="shared" si="4"/>
        <v>24</v>
      </c>
      <c r="AN304" t="s">
        <v>188</v>
      </c>
    </row>
    <row r="305" spans="1:43" x14ac:dyDescent="0.2">
      <c r="A305" t="s">
        <v>3634</v>
      </c>
      <c r="B305" t="s">
        <v>3640</v>
      </c>
      <c r="C305">
        <v>5</v>
      </c>
      <c r="D305">
        <v>2</v>
      </c>
      <c r="E305" t="s">
        <v>2487</v>
      </c>
      <c r="F305" s="1">
        <v>43585</v>
      </c>
      <c r="G305" s="1" t="s">
        <v>4027</v>
      </c>
      <c r="H305" s="1"/>
      <c r="I305" s="2">
        <v>4.9999999999999996E-2</v>
      </c>
      <c r="J305" s="176">
        <v>8.3333333333333339E-4</v>
      </c>
      <c r="K305" s="6">
        <v>72</v>
      </c>
      <c r="L305" t="s">
        <v>3626</v>
      </c>
      <c r="M305" t="s">
        <v>2488</v>
      </c>
      <c r="N305" t="s">
        <v>102</v>
      </c>
      <c r="O305" t="s">
        <v>115</v>
      </c>
      <c r="P305">
        <v>1</v>
      </c>
      <c r="Q305">
        <v>0</v>
      </c>
      <c r="R305">
        <v>0</v>
      </c>
      <c r="S305" t="s">
        <v>14</v>
      </c>
      <c r="T305" s="5" t="s">
        <v>14</v>
      </c>
      <c r="U305" s="5" t="s">
        <v>122</v>
      </c>
      <c r="V305" s="5" t="s">
        <v>115</v>
      </c>
      <c r="W305" s="5"/>
      <c r="X305" s="5"/>
      <c r="Y305" s="5"/>
      <c r="Z305" s="5" t="s">
        <v>115</v>
      </c>
      <c r="AA305" s="5" t="s">
        <v>115</v>
      </c>
      <c r="AB305" s="5" t="s">
        <v>115</v>
      </c>
      <c r="AC305" s="5" t="s">
        <v>115</v>
      </c>
      <c r="AD305" s="5" t="s">
        <v>115</v>
      </c>
      <c r="AE305" s="5" t="s">
        <v>115</v>
      </c>
      <c r="AF305" s="5" t="s">
        <v>115</v>
      </c>
      <c r="AG305" s="5" t="s">
        <v>115</v>
      </c>
      <c r="AH305">
        <v>0</v>
      </c>
      <c r="AI305">
        <v>0</v>
      </c>
      <c r="AJ305">
        <v>0</v>
      </c>
      <c r="AK305">
        <v>0</v>
      </c>
      <c r="AL305">
        <v>24</v>
      </c>
      <c r="AM305">
        <f t="shared" si="4"/>
        <v>24</v>
      </c>
      <c r="AN305" t="s">
        <v>188</v>
      </c>
    </row>
    <row r="306" spans="1:43" x14ac:dyDescent="0.2">
      <c r="A306" t="s">
        <v>3876</v>
      </c>
      <c r="B306" t="s">
        <v>3877</v>
      </c>
      <c r="C306">
        <v>1</v>
      </c>
      <c r="D306">
        <v>1</v>
      </c>
      <c r="E306" t="s">
        <v>3171</v>
      </c>
      <c r="F306" s="1">
        <v>43591</v>
      </c>
      <c r="G306" s="1" t="s">
        <v>4028</v>
      </c>
      <c r="H306" s="1" t="s">
        <v>4752</v>
      </c>
      <c r="I306" s="2">
        <v>1.6666666666666666E-2</v>
      </c>
      <c r="J306" s="176">
        <v>2.7777777777777778E-4</v>
      </c>
      <c r="K306" s="6">
        <v>24</v>
      </c>
      <c r="L306" t="s">
        <v>1278</v>
      </c>
      <c r="M306" t="s">
        <v>670</v>
      </c>
      <c r="N306" t="s">
        <v>102</v>
      </c>
      <c r="O306" t="s">
        <v>115</v>
      </c>
      <c r="P306">
        <v>0</v>
      </c>
      <c r="Q306">
        <v>0</v>
      </c>
      <c r="R306">
        <v>0</v>
      </c>
      <c r="T306" s="5" t="s">
        <v>115</v>
      </c>
      <c r="U306" s="5" t="s">
        <v>115</v>
      </c>
      <c r="V306" s="5" t="s">
        <v>115</v>
      </c>
      <c r="W306" s="5"/>
      <c r="X306" s="5"/>
      <c r="Y306" s="5"/>
      <c r="Z306" s="5" t="s">
        <v>115</v>
      </c>
      <c r="AA306" s="5" t="s">
        <v>115</v>
      </c>
      <c r="AB306" s="5" t="s">
        <v>115</v>
      </c>
      <c r="AC306" s="5" t="s">
        <v>115</v>
      </c>
      <c r="AD306" s="5" t="s">
        <v>115</v>
      </c>
      <c r="AE306" s="5" t="s">
        <v>115</v>
      </c>
      <c r="AF306" s="5" t="s">
        <v>115</v>
      </c>
      <c r="AG306" s="5" t="s">
        <v>115</v>
      </c>
      <c r="AH306">
        <v>0</v>
      </c>
      <c r="AI306">
        <v>0</v>
      </c>
      <c r="AJ306">
        <v>0</v>
      </c>
      <c r="AK306">
        <v>0</v>
      </c>
      <c r="AL306">
        <v>24</v>
      </c>
      <c r="AM306">
        <f t="shared" si="4"/>
        <v>24</v>
      </c>
      <c r="AN306" t="s">
        <v>188</v>
      </c>
    </row>
    <row r="307" spans="1:43" x14ac:dyDescent="0.2">
      <c r="A307" t="s">
        <v>2391</v>
      </c>
      <c r="B307" t="s">
        <v>2392</v>
      </c>
      <c r="C307">
        <v>19</v>
      </c>
      <c r="D307">
        <v>1</v>
      </c>
      <c r="E307" t="s">
        <v>2343</v>
      </c>
      <c r="F307" s="1">
        <v>43544</v>
      </c>
      <c r="G307" s="1" t="s">
        <v>4026</v>
      </c>
      <c r="H307" s="1"/>
      <c r="I307" s="2">
        <v>1.6666666666666666E-2</v>
      </c>
      <c r="J307" s="176">
        <v>2.7777777777777778E-4</v>
      </c>
      <c r="K307" s="6">
        <v>24</v>
      </c>
      <c r="L307" t="s">
        <v>101</v>
      </c>
      <c r="M307" t="s">
        <v>2927</v>
      </c>
      <c r="N307" t="s">
        <v>102</v>
      </c>
      <c r="O307" t="s">
        <v>115</v>
      </c>
      <c r="P307" t="s">
        <v>24</v>
      </c>
      <c r="Q307">
        <v>0</v>
      </c>
      <c r="R307">
        <v>0</v>
      </c>
      <c r="T307" t="s">
        <v>115</v>
      </c>
      <c r="U307" t="s">
        <v>115</v>
      </c>
      <c r="V307" t="s">
        <v>115</v>
      </c>
      <c r="Z307" t="s">
        <v>115</v>
      </c>
      <c r="AA307" t="s">
        <v>115</v>
      </c>
      <c r="AB307" s="5" t="s">
        <v>115</v>
      </c>
      <c r="AC307" s="5" t="s">
        <v>115</v>
      </c>
      <c r="AD307" s="5" t="s">
        <v>115</v>
      </c>
      <c r="AE307" s="5"/>
      <c r="AF307" s="5"/>
      <c r="AG307" s="5"/>
      <c r="AH307">
        <v>0</v>
      </c>
      <c r="AI307">
        <v>0</v>
      </c>
      <c r="AJ307">
        <v>0</v>
      </c>
      <c r="AK307">
        <v>0</v>
      </c>
      <c r="AL307">
        <v>24</v>
      </c>
      <c r="AM307">
        <f t="shared" si="4"/>
        <v>24</v>
      </c>
      <c r="AN307" t="s">
        <v>188</v>
      </c>
    </row>
    <row r="308" spans="1:43" x14ac:dyDescent="0.2">
      <c r="A308" t="s">
        <v>3421</v>
      </c>
      <c r="B308" t="s">
        <v>3422</v>
      </c>
      <c r="C308">
        <v>8</v>
      </c>
      <c r="D308">
        <v>1</v>
      </c>
      <c r="E308" t="s">
        <v>3404</v>
      </c>
      <c r="F308" s="1">
        <v>43577</v>
      </c>
      <c r="G308" s="1" t="s">
        <v>4027</v>
      </c>
      <c r="H308" s="1"/>
      <c r="I308" s="2">
        <v>1.6666666666666666E-2</v>
      </c>
      <c r="J308" s="176">
        <v>2.7777777777777778E-4</v>
      </c>
      <c r="K308" s="6">
        <v>24</v>
      </c>
      <c r="L308" t="s">
        <v>101</v>
      </c>
      <c r="M308" t="s">
        <v>3405</v>
      </c>
      <c r="N308" t="s">
        <v>102</v>
      </c>
      <c r="O308" t="s">
        <v>115</v>
      </c>
      <c r="P308" t="s">
        <v>24</v>
      </c>
      <c r="Q308">
        <v>0</v>
      </c>
      <c r="R308">
        <v>0</v>
      </c>
      <c r="T308" s="5" t="s">
        <v>115</v>
      </c>
      <c r="U308" s="5" t="s">
        <v>115</v>
      </c>
      <c r="V308" s="5" t="s">
        <v>115</v>
      </c>
      <c r="W308" s="5"/>
      <c r="X308" s="5"/>
      <c r="Y308" s="5"/>
      <c r="Z308" s="5" t="s">
        <v>115</v>
      </c>
      <c r="AA308" s="5" t="s">
        <v>115</v>
      </c>
      <c r="AB308" s="5" t="s">
        <v>115</v>
      </c>
      <c r="AC308" s="5" t="s">
        <v>115</v>
      </c>
      <c r="AD308" s="5" t="s">
        <v>115</v>
      </c>
      <c r="AE308" s="5" t="s">
        <v>115</v>
      </c>
      <c r="AF308" s="5" t="s">
        <v>115</v>
      </c>
      <c r="AG308" s="5" t="s">
        <v>115</v>
      </c>
      <c r="AH308">
        <v>0</v>
      </c>
      <c r="AI308">
        <v>0</v>
      </c>
      <c r="AJ308">
        <v>0</v>
      </c>
      <c r="AK308">
        <v>0</v>
      </c>
      <c r="AL308">
        <v>24</v>
      </c>
      <c r="AM308">
        <f t="shared" si="4"/>
        <v>24</v>
      </c>
      <c r="AN308" t="s">
        <v>188</v>
      </c>
    </row>
    <row r="309" spans="1:43" x14ac:dyDescent="0.2">
      <c r="A309" t="s">
        <v>3517</v>
      </c>
      <c r="B309" t="s">
        <v>3518</v>
      </c>
      <c r="C309">
        <v>2</v>
      </c>
      <c r="D309">
        <v>1</v>
      </c>
      <c r="E309" t="s">
        <v>3171</v>
      </c>
      <c r="F309" s="1">
        <v>43580</v>
      </c>
      <c r="G309" s="1" t="s">
        <v>4027</v>
      </c>
      <c r="H309" s="1"/>
      <c r="I309" s="2">
        <v>1.6666666666666666E-2</v>
      </c>
      <c r="J309" s="176">
        <v>2.7777777777777778E-4</v>
      </c>
      <c r="K309" s="6">
        <v>24</v>
      </c>
      <c r="L309" t="s">
        <v>101</v>
      </c>
      <c r="M309" t="s">
        <v>149</v>
      </c>
      <c r="N309" t="s">
        <v>102</v>
      </c>
      <c r="O309" t="s">
        <v>115</v>
      </c>
      <c r="P309" t="s">
        <v>24</v>
      </c>
      <c r="Q309">
        <v>0</v>
      </c>
      <c r="R309">
        <v>0</v>
      </c>
      <c r="T309" s="5" t="s">
        <v>115</v>
      </c>
      <c r="U309" s="5" t="s">
        <v>115</v>
      </c>
      <c r="V309" s="5" t="s">
        <v>115</v>
      </c>
      <c r="W309" s="5"/>
      <c r="X309" s="5"/>
      <c r="Y309" s="5"/>
      <c r="Z309" s="5" t="s">
        <v>115</v>
      </c>
      <c r="AA309" s="5" t="s">
        <v>115</v>
      </c>
      <c r="AB309" s="5" t="s">
        <v>115</v>
      </c>
      <c r="AC309" s="5" t="s">
        <v>115</v>
      </c>
      <c r="AD309" s="5" t="s">
        <v>115</v>
      </c>
      <c r="AE309" s="5" t="s">
        <v>115</v>
      </c>
      <c r="AF309" s="5" t="s">
        <v>115</v>
      </c>
      <c r="AG309" s="5" t="s">
        <v>115</v>
      </c>
      <c r="AH309">
        <v>0</v>
      </c>
      <c r="AI309">
        <v>0</v>
      </c>
      <c r="AJ309">
        <v>0</v>
      </c>
      <c r="AK309">
        <v>0</v>
      </c>
      <c r="AL309">
        <v>24</v>
      </c>
      <c r="AM309">
        <f t="shared" si="4"/>
        <v>24</v>
      </c>
      <c r="AN309" t="s">
        <v>188</v>
      </c>
    </row>
    <row r="310" spans="1:43" x14ac:dyDescent="0.2">
      <c r="A310" t="s">
        <v>3559</v>
      </c>
      <c r="B310" t="s">
        <v>3560</v>
      </c>
      <c r="C310">
        <v>23</v>
      </c>
      <c r="D310">
        <v>1</v>
      </c>
      <c r="E310" t="s">
        <v>3171</v>
      </c>
      <c r="F310" s="1">
        <v>43580</v>
      </c>
      <c r="G310" s="1" t="s">
        <v>4027</v>
      </c>
      <c r="H310" s="1" t="s">
        <v>4752</v>
      </c>
      <c r="I310" s="2">
        <v>1.6666666666666666E-2</v>
      </c>
      <c r="J310" s="176">
        <v>2.7777777777777778E-4</v>
      </c>
      <c r="K310" s="6">
        <v>24</v>
      </c>
      <c r="L310" t="s">
        <v>101</v>
      </c>
      <c r="M310" t="s">
        <v>670</v>
      </c>
      <c r="N310" t="s">
        <v>102</v>
      </c>
      <c r="O310" t="s">
        <v>115</v>
      </c>
      <c r="P310" t="s">
        <v>24</v>
      </c>
      <c r="Q310">
        <v>0</v>
      </c>
      <c r="R310">
        <v>0</v>
      </c>
      <c r="T310" s="5" t="s">
        <v>115</v>
      </c>
      <c r="U310" s="5" t="s">
        <v>115</v>
      </c>
      <c r="V310" s="5" t="s">
        <v>115</v>
      </c>
      <c r="W310" s="5"/>
      <c r="X310" s="5"/>
      <c r="Y310" s="5"/>
      <c r="Z310" s="5" t="s">
        <v>115</v>
      </c>
      <c r="AA310" s="5" t="s">
        <v>115</v>
      </c>
      <c r="AB310" s="5" t="s">
        <v>115</v>
      </c>
      <c r="AC310" s="5" t="s">
        <v>115</v>
      </c>
      <c r="AD310" s="5" t="s">
        <v>115</v>
      </c>
      <c r="AE310" s="5" t="s">
        <v>115</v>
      </c>
      <c r="AF310" s="5" t="s">
        <v>115</v>
      </c>
      <c r="AG310" s="5" t="s">
        <v>115</v>
      </c>
      <c r="AH310">
        <v>0</v>
      </c>
      <c r="AI310">
        <v>0</v>
      </c>
      <c r="AJ310">
        <v>0</v>
      </c>
      <c r="AK310">
        <v>0</v>
      </c>
      <c r="AL310">
        <v>24</v>
      </c>
      <c r="AM310">
        <f t="shared" si="4"/>
        <v>24</v>
      </c>
      <c r="AN310" t="s">
        <v>188</v>
      </c>
    </row>
    <row r="311" spans="1:43" x14ac:dyDescent="0.2">
      <c r="A311" t="s">
        <v>2353</v>
      </c>
      <c r="B311" t="s">
        <v>2354</v>
      </c>
      <c r="C311">
        <v>6</v>
      </c>
      <c r="D311">
        <v>1</v>
      </c>
      <c r="E311" t="s">
        <v>2343</v>
      </c>
      <c r="F311" s="1">
        <v>43544</v>
      </c>
      <c r="G311" s="1" t="s">
        <v>4026</v>
      </c>
      <c r="H311" s="1"/>
      <c r="I311" s="2">
        <v>1.5972222222222224E-2</v>
      </c>
      <c r="J311" s="176">
        <v>2.6620370370370372E-4</v>
      </c>
      <c r="K311" s="6">
        <v>23</v>
      </c>
      <c r="L311" t="s">
        <v>101</v>
      </c>
      <c r="M311" t="s">
        <v>2355</v>
      </c>
      <c r="N311" t="s">
        <v>102</v>
      </c>
      <c r="O311" t="s">
        <v>115</v>
      </c>
      <c r="P311">
        <v>3</v>
      </c>
      <c r="Q311">
        <v>0</v>
      </c>
      <c r="R311">
        <v>0</v>
      </c>
      <c r="S311" t="s">
        <v>176</v>
      </c>
      <c r="T311" t="s">
        <v>24</v>
      </c>
      <c r="U311" t="s">
        <v>122</v>
      </c>
      <c r="V311" t="s">
        <v>115</v>
      </c>
      <c r="Z311" t="s">
        <v>115</v>
      </c>
      <c r="AA311" t="s">
        <v>115</v>
      </c>
      <c r="AB311" t="s">
        <v>115</v>
      </c>
      <c r="AC311" t="s">
        <v>115</v>
      </c>
      <c r="AD311" t="s">
        <v>115</v>
      </c>
      <c r="AH311">
        <v>0</v>
      </c>
      <c r="AI311">
        <v>0</v>
      </c>
      <c r="AJ311">
        <v>0</v>
      </c>
      <c r="AK311">
        <v>0</v>
      </c>
      <c r="AL311">
        <v>23</v>
      </c>
      <c r="AM311">
        <f t="shared" si="4"/>
        <v>23</v>
      </c>
      <c r="AN311" t="s">
        <v>188</v>
      </c>
      <c r="AP311">
        <v>0</v>
      </c>
      <c r="AQ311">
        <v>0</v>
      </c>
    </row>
    <row r="312" spans="1:43" x14ac:dyDescent="0.2">
      <c r="A312" t="s">
        <v>2649</v>
      </c>
      <c r="B312" t="s">
        <v>2650</v>
      </c>
      <c r="C312">
        <v>1</v>
      </c>
      <c r="D312">
        <v>1</v>
      </c>
      <c r="E312" t="s">
        <v>2487</v>
      </c>
      <c r="F312" s="1">
        <v>43551</v>
      </c>
      <c r="G312" s="1" t="s">
        <v>4026</v>
      </c>
      <c r="H312" s="1"/>
      <c r="I312" s="2">
        <v>2.8472222222222222E-2</v>
      </c>
      <c r="J312" s="176">
        <v>4.7453703703703704E-4</v>
      </c>
      <c r="K312" s="6">
        <v>41</v>
      </c>
      <c r="L312" s="5" t="s">
        <v>101</v>
      </c>
      <c r="M312" t="s">
        <v>64</v>
      </c>
      <c r="N312" t="s">
        <v>102</v>
      </c>
      <c r="O312" t="s">
        <v>23</v>
      </c>
      <c r="P312">
        <v>0</v>
      </c>
      <c r="Q312">
        <v>0</v>
      </c>
      <c r="R312">
        <v>0</v>
      </c>
      <c r="T312" t="s">
        <v>115</v>
      </c>
      <c r="U312" t="s">
        <v>115</v>
      </c>
      <c r="V312" t="s">
        <v>115</v>
      </c>
      <c r="Z312" t="s">
        <v>115</v>
      </c>
      <c r="AA312" t="s">
        <v>115</v>
      </c>
      <c r="AB312" t="s">
        <v>115</v>
      </c>
      <c r="AC312" t="s">
        <v>115</v>
      </c>
      <c r="AD312" t="s">
        <v>115</v>
      </c>
      <c r="AE312" t="s">
        <v>115</v>
      </c>
      <c r="AF312" t="s">
        <v>115</v>
      </c>
      <c r="AH312">
        <v>23</v>
      </c>
      <c r="AI312">
        <v>0</v>
      </c>
      <c r="AJ312">
        <v>23</v>
      </c>
      <c r="AK312">
        <v>0</v>
      </c>
      <c r="AL312">
        <v>0</v>
      </c>
      <c r="AM312">
        <f t="shared" si="4"/>
        <v>23</v>
      </c>
      <c r="AN312" t="s">
        <v>188</v>
      </c>
    </row>
    <row r="313" spans="1:43" x14ac:dyDescent="0.2">
      <c r="A313" t="s">
        <v>2895</v>
      </c>
      <c r="B313" t="s">
        <v>2896</v>
      </c>
      <c r="C313">
        <v>17</v>
      </c>
      <c r="D313">
        <v>1</v>
      </c>
      <c r="E313" t="s">
        <v>324</v>
      </c>
      <c r="F313" s="1">
        <v>43558</v>
      </c>
      <c r="G313" s="1" t="s">
        <v>4027</v>
      </c>
      <c r="H313" s="1"/>
      <c r="I313" s="2">
        <v>1.5972222222222224E-2</v>
      </c>
      <c r="J313" s="176">
        <v>2.6620370370370372E-4</v>
      </c>
      <c r="K313" s="6">
        <v>23</v>
      </c>
      <c r="M313" t="s">
        <v>325</v>
      </c>
      <c r="N313" t="s">
        <v>102</v>
      </c>
      <c r="O313" t="s">
        <v>23</v>
      </c>
      <c r="P313">
        <v>0</v>
      </c>
      <c r="Q313">
        <v>0</v>
      </c>
      <c r="R313">
        <v>0</v>
      </c>
      <c r="T313" s="5" t="s">
        <v>115</v>
      </c>
      <c r="U313" s="5" t="s">
        <v>115</v>
      </c>
      <c r="V313" s="5" t="s">
        <v>115</v>
      </c>
      <c r="W313" s="5"/>
      <c r="X313" s="5"/>
      <c r="Y313" s="5"/>
      <c r="Z313" s="5" t="s">
        <v>115</v>
      </c>
      <c r="AA313" s="5" t="s">
        <v>115</v>
      </c>
      <c r="AB313" s="5" t="s">
        <v>115</v>
      </c>
      <c r="AC313" s="5" t="s">
        <v>115</v>
      </c>
      <c r="AD313" s="5" t="s">
        <v>115</v>
      </c>
      <c r="AE313" s="5" t="s">
        <v>115</v>
      </c>
      <c r="AF313" s="5" t="s">
        <v>115</v>
      </c>
      <c r="AG313" s="5"/>
      <c r="AH313">
        <v>23</v>
      </c>
      <c r="AI313">
        <v>0</v>
      </c>
      <c r="AJ313">
        <v>23</v>
      </c>
      <c r="AK313">
        <v>0</v>
      </c>
      <c r="AL313">
        <v>0</v>
      </c>
      <c r="AM313">
        <f t="shared" si="4"/>
        <v>23</v>
      </c>
      <c r="AN313" t="s">
        <v>188</v>
      </c>
    </row>
    <row r="314" spans="1:43" x14ac:dyDescent="0.2">
      <c r="A314" t="s">
        <v>2938</v>
      </c>
      <c r="B314" t="s">
        <v>2939</v>
      </c>
      <c r="C314">
        <v>5</v>
      </c>
      <c r="D314">
        <v>2</v>
      </c>
      <c r="E314" t="s">
        <v>834</v>
      </c>
      <c r="F314" s="1">
        <v>43560</v>
      </c>
      <c r="G314" s="1" t="s">
        <v>4027</v>
      </c>
      <c r="H314" s="1"/>
      <c r="I314" s="2">
        <v>9.930555555555555E-2</v>
      </c>
      <c r="J314" s="176">
        <v>1.6550925925925926E-3</v>
      </c>
      <c r="K314" s="6">
        <v>143</v>
      </c>
      <c r="M314" t="s">
        <v>466</v>
      </c>
      <c r="N314" t="s">
        <v>102</v>
      </c>
      <c r="O314" t="s">
        <v>23</v>
      </c>
      <c r="P314">
        <v>1</v>
      </c>
      <c r="Q314">
        <v>1</v>
      </c>
      <c r="R314">
        <v>0</v>
      </c>
      <c r="S314" t="s">
        <v>14</v>
      </c>
      <c r="T314" s="5" t="s">
        <v>14</v>
      </c>
      <c r="U314" s="5" t="s">
        <v>709</v>
      </c>
      <c r="Z314" s="5" t="s">
        <v>115</v>
      </c>
      <c r="AA314" s="5" t="s">
        <v>115</v>
      </c>
      <c r="AB314" s="5" t="s">
        <v>115</v>
      </c>
      <c r="AC314" s="5" t="s">
        <v>115</v>
      </c>
      <c r="AD314" s="5" t="s">
        <v>115</v>
      </c>
      <c r="AE314">
        <v>63.738619999999997</v>
      </c>
      <c r="AF314">
        <v>148.89836</v>
      </c>
      <c r="AH314">
        <v>23</v>
      </c>
      <c r="AI314">
        <v>0</v>
      </c>
      <c r="AJ314">
        <v>23</v>
      </c>
      <c r="AK314">
        <v>0</v>
      </c>
      <c r="AL314">
        <v>0</v>
      </c>
      <c r="AM314">
        <f t="shared" si="4"/>
        <v>23</v>
      </c>
    </row>
    <row r="315" spans="1:43" x14ac:dyDescent="0.2">
      <c r="A315" t="s">
        <v>3467</v>
      </c>
      <c r="B315" t="s">
        <v>3468</v>
      </c>
      <c r="C315">
        <v>7</v>
      </c>
      <c r="D315">
        <v>1</v>
      </c>
      <c r="E315" t="s">
        <v>2462</v>
      </c>
      <c r="F315" s="1">
        <v>43579</v>
      </c>
      <c r="G315" s="1" t="s">
        <v>4027</v>
      </c>
      <c r="H315" s="1"/>
      <c r="I315" s="2">
        <v>1.8055555555555557E-2</v>
      </c>
      <c r="J315" s="176">
        <v>3.0092592592592595E-4</v>
      </c>
      <c r="K315" s="6">
        <v>26</v>
      </c>
      <c r="L315" t="s">
        <v>101</v>
      </c>
      <c r="M315" t="s">
        <v>363</v>
      </c>
      <c r="N315" t="s">
        <v>102</v>
      </c>
      <c r="O315" t="s">
        <v>115</v>
      </c>
      <c r="P315">
        <v>1</v>
      </c>
      <c r="Q315">
        <v>0</v>
      </c>
      <c r="R315">
        <v>0</v>
      </c>
      <c r="S315" t="s">
        <v>176</v>
      </c>
      <c r="T315" s="5" t="s">
        <v>24</v>
      </c>
      <c r="U315" s="5" t="s">
        <v>122</v>
      </c>
      <c r="V315" s="5" t="s">
        <v>115</v>
      </c>
      <c r="W315" s="5"/>
      <c r="X315" s="5"/>
      <c r="Y315" s="5"/>
      <c r="Z315" s="5" t="s">
        <v>115</v>
      </c>
      <c r="AA315" s="5" t="s">
        <v>115</v>
      </c>
      <c r="AB315" s="5" t="s">
        <v>115</v>
      </c>
      <c r="AC315" s="5" t="s">
        <v>115</v>
      </c>
      <c r="AD315" s="5" t="s">
        <v>115</v>
      </c>
      <c r="AE315" s="5" t="s">
        <v>115</v>
      </c>
      <c r="AF315" s="5" t="s">
        <v>115</v>
      </c>
      <c r="AG315" s="5" t="s">
        <v>115</v>
      </c>
      <c r="AH315">
        <v>0</v>
      </c>
      <c r="AI315">
        <v>0</v>
      </c>
      <c r="AJ315">
        <v>0</v>
      </c>
      <c r="AK315">
        <v>0</v>
      </c>
      <c r="AL315">
        <v>23</v>
      </c>
      <c r="AM315">
        <f t="shared" si="4"/>
        <v>23</v>
      </c>
      <c r="AN315" t="s">
        <v>188</v>
      </c>
    </row>
    <row r="316" spans="1:43" x14ac:dyDescent="0.2">
      <c r="A316" t="s">
        <v>3703</v>
      </c>
      <c r="B316" t="s">
        <v>3704</v>
      </c>
      <c r="C316">
        <v>9</v>
      </c>
      <c r="D316">
        <v>1</v>
      </c>
      <c r="E316" t="s">
        <v>3171</v>
      </c>
      <c r="F316" s="1">
        <v>43585</v>
      </c>
      <c r="G316" s="1" t="s">
        <v>4027</v>
      </c>
      <c r="H316" s="1" t="s">
        <v>4752</v>
      </c>
      <c r="I316" s="2">
        <v>1.7361111111111112E-2</v>
      </c>
      <c r="J316" s="176">
        <v>2.8935185185185189E-4</v>
      </c>
      <c r="K316" s="6">
        <v>25</v>
      </c>
      <c r="L316" t="s">
        <v>3626</v>
      </c>
      <c r="M316" t="s">
        <v>670</v>
      </c>
      <c r="N316" t="s">
        <v>102</v>
      </c>
      <c r="O316" t="s">
        <v>115</v>
      </c>
      <c r="P316">
        <v>1</v>
      </c>
      <c r="Q316">
        <v>0</v>
      </c>
      <c r="R316">
        <v>0</v>
      </c>
      <c r="S316" t="s">
        <v>176</v>
      </c>
      <c r="T316" s="5" t="s">
        <v>24</v>
      </c>
      <c r="U316" s="5" t="s">
        <v>122</v>
      </c>
      <c r="V316" s="5" t="s">
        <v>115</v>
      </c>
      <c r="W316" s="5"/>
      <c r="X316" s="5"/>
      <c r="Y316" s="5"/>
      <c r="Z316" s="5" t="s">
        <v>115</v>
      </c>
      <c r="AA316" s="5" t="s">
        <v>115</v>
      </c>
      <c r="AB316" s="5" t="s">
        <v>115</v>
      </c>
      <c r="AC316" s="5" t="s">
        <v>115</v>
      </c>
      <c r="AD316" s="5" t="s">
        <v>115</v>
      </c>
      <c r="AE316" s="5" t="s">
        <v>115</v>
      </c>
      <c r="AF316" s="5" t="s">
        <v>115</v>
      </c>
      <c r="AG316" s="5" t="s">
        <v>115</v>
      </c>
      <c r="AH316">
        <v>0</v>
      </c>
      <c r="AI316">
        <v>0</v>
      </c>
      <c r="AJ316">
        <v>0</v>
      </c>
      <c r="AK316">
        <v>0</v>
      </c>
      <c r="AL316">
        <v>23</v>
      </c>
      <c r="AM316">
        <f t="shared" si="4"/>
        <v>23</v>
      </c>
      <c r="AN316" t="s">
        <v>188</v>
      </c>
    </row>
    <row r="317" spans="1:43" x14ac:dyDescent="0.2">
      <c r="A317" t="s">
        <v>3788</v>
      </c>
      <c r="B317" t="s">
        <v>3789</v>
      </c>
      <c r="C317">
        <v>16</v>
      </c>
      <c r="D317">
        <v>1</v>
      </c>
      <c r="E317" t="s">
        <v>3171</v>
      </c>
      <c r="F317" s="1">
        <v>43588</v>
      </c>
      <c r="G317" s="1" t="s">
        <v>4028</v>
      </c>
      <c r="H317" s="1"/>
      <c r="I317" s="2">
        <v>2.6388888888888889E-2</v>
      </c>
      <c r="J317" s="176">
        <v>4.3981481481481481E-4</v>
      </c>
      <c r="K317" s="6">
        <v>38</v>
      </c>
      <c r="L317" t="s">
        <v>3187</v>
      </c>
      <c r="M317" t="s">
        <v>149</v>
      </c>
      <c r="N317" t="s">
        <v>187</v>
      </c>
      <c r="O317" t="s">
        <v>23</v>
      </c>
      <c r="P317">
        <v>1</v>
      </c>
      <c r="Q317">
        <v>0</v>
      </c>
      <c r="R317">
        <v>1</v>
      </c>
      <c r="S317" t="s">
        <v>598</v>
      </c>
      <c r="T317" s="5" t="s">
        <v>2437</v>
      </c>
      <c r="U317" s="5" t="s">
        <v>122</v>
      </c>
      <c r="V317" s="5" t="s">
        <v>333</v>
      </c>
      <c r="W317" s="5" t="s">
        <v>23</v>
      </c>
      <c r="X317" s="5" t="s">
        <v>3999</v>
      </c>
      <c r="Y317" s="5" t="s">
        <v>4006</v>
      </c>
      <c r="Z317" s="5" t="s">
        <v>2912</v>
      </c>
      <c r="AA317">
        <v>165</v>
      </c>
      <c r="AB317">
        <v>5</v>
      </c>
      <c r="AC317">
        <v>63.722900000000003</v>
      </c>
      <c r="AD317">
        <v>148.94708</v>
      </c>
      <c r="AF317" s="5" t="s">
        <v>115</v>
      </c>
      <c r="AG317" s="5" t="s">
        <v>115</v>
      </c>
      <c r="AH317">
        <v>0</v>
      </c>
      <c r="AI317">
        <v>0</v>
      </c>
      <c r="AJ317">
        <v>0</v>
      </c>
      <c r="AK317">
        <v>0</v>
      </c>
      <c r="AL317">
        <v>23</v>
      </c>
      <c r="AM317">
        <f t="shared" si="4"/>
        <v>23</v>
      </c>
      <c r="AN317" t="s">
        <v>188</v>
      </c>
    </row>
    <row r="318" spans="1:43" x14ac:dyDescent="0.2">
      <c r="A318" t="s">
        <v>2410</v>
      </c>
      <c r="B318" t="s">
        <v>2411</v>
      </c>
      <c r="C318">
        <v>27</v>
      </c>
      <c r="D318">
        <v>1</v>
      </c>
      <c r="E318" t="s">
        <v>2343</v>
      </c>
      <c r="F318" s="1">
        <v>43544</v>
      </c>
      <c r="G318" s="1" t="s">
        <v>4026</v>
      </c>
      <c r="H318" s="1"/>
      <c r="I318" s="2">
        <v>1.5972222222222224E-2</v>
      </c>
      <c r="J318" s="176">
        <v>2.6620370370370372E-4</v>
      </c>
      <c r="K318" s="6">
        <v>23</v>
      </c>
      <c r="L318" t="s">
        <v>101</v>
      </c>
      <c r="M318" t="s">
        <v>2355</v>
      </c>
      <c r="N318" t="s">
        <v>102</v>
      </c>
      <c r="O318" t="s">
        <v>115</v>
      </c>
      <c r="P318" t="s">
        <v>24</v>
      </c>
      <c r="Q318">
        <v>0</v>
      </c>
      <c r="R318">
        <v>0</v>
      </c>
      <c r="T318" t="s">
        <v>24</v>
      </c>
      <c r="U318" t="s">
        <v>115</v>
      </c>
      <c r="V318" t="s">
        <v>115</v>
      </c>
      <c r="Z318" t="s">
        <v>115</v>
      </c>
      <c r="AA318" t="s">
        <v>115</v>
      </c>
      <c r="AB318" s="5" t="s">
        <v>115</v>
      </c>
      <c r="AC318" s="5" t="s">
        <v>115</v>
      </c>
      <c r="AD318" s="5" t="s">
        <v>115</v>
      </c>
      <c r="AE318" s="5"/>
      <c r="AF318" s="5"/>
      <c r="AG318" s="5"/>
      <c r="AH318">
        <v>0</v>
      </c>
      <c r="AI318">
        <v>0</v>
      </c>
      <c r="AJ318">
        <v>0</v>
      </c>
      <c r="AK318">
        <v>0</v>
      </c>
      <c r="AL318">
        <v>23</v>
      </c>
      <c r="AM318">
        <f t="shared" si="4"/>
        <v>23</v>
      </c>
      <c r="AN318" t="s">
        <v>188</v>
      </c>
    </row>
    <row r="319" spans="1:43" x14ac:dyDescent="0.2">
      <c r="A319" t="s">
        <v>3181</v>
      </c>
      <c r="B319" t="s">
        <v>3182</v>
      </c>
      <c r="C319">
        <v>6</v>
      </c>
      <c r="D319">
        <v>1</v>
      </c>
      <c r="E319" t="s">
        <v>3171</v>
      </c>
      <c r="F319" s="1">
        <v>43571</v>
      </c>
      <c r="G319" s="1" t="s">
        <v>4027</v>
      </c>
      <c r="H319" s="1"/>
      <c r="I319" s="2">
        <v>1.6666666666666666E-2</v>
      </c>
      <c r="J319" s="176">
        <v>2.7777777777777778E-4</v>
      </c>
      <c r="K319" s="6">
        <v>24</v>
      </c>
      <c r="L319" t="s">
        <v>1278</v>
      </c>
      <c r="M319" t="s">
        <v>149</v>
      </c>
      <c r="N319" t="s">
        <v>102</v>
      </c>
      <c r="O319" t="s">
        <v>115</v>
      </c>
      <c r="P319" t="s">
        <v>24</v>
      </c>
      <c r="Q319">
        <v>0</v>
      </c>
      <c r="R319">
        <v>0</v>
      </c>
      <c r="T319" s="5" t="s">
        <v>115</v>
      </c>
      <c r="U319" s="5" t="s">
        <v>115</v>
      </c>
      <c r="V319" s="5" t="s">
        <v>115</v>
      </c>
      <c r="W319" s="5"/>
      <c r="X319" s="5"/>
      <c r="Y319" s="5"/>
      <c r="Z319" s="5" t="s">
        <v>115</v>
      </c>
      <c r="AA319" s="5" t="s">
        <v>115</v>
      </c>
      <c r="AB319" s="5" t="s">
        <v>115</v>
      </c>
      <c r="AC319" s="5" t="s">
        <v>115</v>
      </c>
      <c r="AD319" s="5" t="s">
        <v>115</v>
      </c>
      <c r="AE319" s="5" t="s">
        <v>115</v>
      </c>
      <c r="AF319" s="5" t="s">
        <v>115</v>
      </c>
      <c r="AG319" s="5"/>
      <c r="AH319">
        <v>0</v>
      </c>
      <c r="AI319">
        <v>0</v>
      </c>
      <c r="AJ319">
        <v>0</v>
      </c>
      <c r="AK319">
        <v>0</v>
      </c>
      <c r="AL319">
        <v>23</v>
      </c>
      <c r="AM319">
        <f t="shared" si="4"/>
        <v>23</v>
      </c>
      <c r="AN319" t="s">
        <v>188</v>
      </c>
    </row>
    <row r="320" spans="1:43" x14ac:dyDescent="0.2">
      <c r="A320" t="s">
        <v>3287</v>
      </c>
      <c r="B320" t="s">
        <v>3288</v>
      </c>
      <c r="C320">
        <v>2</v>
      </c>
      <c r="D320">
        <v>1</v>
      </c>
      <c r="E320" t="s">
        <v>2487</v>
      </c>
      <c r="F320" s="1">
        <v>43574</v>
      </c>
      <c r="G320" s="1" t="s">
        <v>4027</v>
      </c>
      <c r="H320" s="1"/>
      <c r="I320" s="2">
        <v>1.5277777777777777E-2</v>
      </c>
      <c r="J320" s="176">
        <v>2.5462962962962961E-4</v>
      </c>
      <c r="K320" s="6">
        <v>22</v>
      </c>
      <c r="L320" t="s">
        <v>101</v>
      </c>
      <c r="M320" t="s">
        <v>2488</v>
      </c>
      <c r="N320" t="s">
        <v>102</v>
      </c>
      <c r="O320" t="s">
        <v>516</v>
      </c>
      <c r="P320">
        <v>0</v>
      </c>
      <c r="Q320">
        <v>0</v>
      </c>
      <c r="R320">
        <v>0</v>
      </c>
      <c r="T320" s="5" t="s">
        <v>115</v>
      </c>
      <c r="U320" s="5" t="s">
        <v>115</v>
      </c>
      <c r="V320" s="5" t="s">
        <v>115</v>
      </c>
      <c r="W320" s="5"/>
      <c r="X320" s="5"/>
      <c r="Y320" s="5"/>
      <c r="Z320" s="5" t="s">
        <v>115</v>
      </c>
      <c r="AA320" s="5" t="s">
        <v>115</v>
      </c>
      <c r="AB320" s="5" t="s">
        <v>115</v>
      </c>
      <c r="AC320" s="5" t="s">
        <v>115</v>
      </c>
      <c r="AD320" s="5" t="s">
        <v>115</v>
      </c>
      <c r="AE320" s="5" t="s">
        <v>115</v>
      </c>
      <c r="AF320" s="5" t="s">
        <v>115</v>
      </c>
      <c r="AG320" s="5" t="s">
        <v>115</v>
      </c>
      <c r="AH320">
        <v>22</v>
      </c>
      <c r="AI320">
        <v>0</v>
      </c>
      <c r="AJ320">
        <v>0</v>
      </c>
      <c r="AK320">
        <v>22</v>
      </c>
      <c r="AL320">
        <v>0</v>
      </c>
      <c r="AM320">
        <f t="shared" si="4"/>
        <v>22</v>
      </c>
      <c r="AN320" t="s">
        <v>2374</v>
      </c>
      <c r="AP320">
        <v>2</v>
      </c>
      <c r="AQ320">
        <v>0</v>
      </c>
    </row>
    <row r="321" spans="1:43" x14ac:dyDescent="0.2">
      <c r="A321" t="s">
        <v>3688</v>
      </c>
      <c r="B321" t="s">
        <v>3689</v>
      </c>
      <c r="C321">
        <v>2</v>
      </c>
      <c r="D321">
        <v>1</v>
      </c>
      <c r="E321" t="s">
        <v>3171</v>
      </c>
      <c r="F321" s="1">
        <v>43585</v>
      </c>
      <c r="G321" s="1" t="s">
        <v>4027</v>
      </c>
      <c r="H321" s="1" t="s">
        <v>4752</v>
      </c>
      <c r="I321" s="2">
        <v>1.5277777777777777E-2</v>
      </c>
      <c r="J321" s="176">
        <v>2.5462962962962961E-4</v>
      </c>
      <c r="K321" s="6">
        <v>22</v>
      </c>
      <c r="L321" t="s">
        <v>3626</v>
      </c>
      <c r="M321" t="s">
        <v>670</v>
      </c>
      <c r="N321" t="s">
        <v>102</v>
      </c>
      <c r="O321" t="s">
        <v>115</v>
      </c>
      <c r="P321">
        <v>1</v>
      </c>
      <c r="Q321">
        <v>0</v>
      </c>
      <c r="R321">
        <v>0</v>
      </c>
      <c r="S321" t="s">
        <v>14</v>
      </c>
      <c r="T321" s="5" t="s">
        <v>2557</v>
      </c>
      <c r="U321" s="5" t="s">
        <v>122</v>
      </c>
      <c r="V321" s="5" t="s">
        <v>115</v>
      </c>
      <c r="W321" s="5"/>
      <c r="X321" s="5"/>
      <c r="Y321" s="5"/>
      <c r="Z321" s="5" t="s">
        <v>115</v>
      </c>
      <c r="AA321" s="5" t="s">
        <v>115</v>
      </c>
      <c r="AB321" s="5" t="s">
        <v>115</v>
      </c>
      <c r="AC321" s="5" t="s">
        <v>115</v>
      </c>
      <c r="AD321" s="5" t="s">
        <v>115</v>
      </c>
      <c r="AE321" s="5" t="s">
        <v>115</v>
      </c>
      <c r="AF321" s="5" t="s">
        <v>115</v>
      </c>
      <c r="AG321" s="5" t="s">
        <v>115</v>
      </c>
      <c r="AH321">
        <v>0</v>
      </c>
      <c r="AI321">
        <v>0</v>
      </c>
      <c r="AJ321">
        <v>0</v>
      </c>
      <c r="AK321">
        <v>0</v>
      </c>
      <c r="AL321">
        <v>22</v>
      </c>
      <c r="AM321">
        <f t="shared" si="4"/>
        <v>22</v>
      </c>
      <c r="AN321" t="s">
        <v>188</v>
      </c>
    </row>
    <row r="322" spans="1:43" x14ac:dyDescent="0.2">
      <c r="A322" t="s">
        <v>3927</v>
      </c>
      <c r="B322" t="s">
        <v>3928</v>
      </c>
      <c r="C322">
        <v>2</v>
      </c>
      <c r="D322">
        <v>1</v>
      </c>
      <c r="E322" t="s">
        <v>324</v>
      </c>
      <c r="F322" s="1">
        <v>43593</v>
      </c>
      <c r="G322" s="1" t="s">
        <v>4028</v>
      </c>
      <c r="H322" s="1"/>
      <c r="I322" s="2">
        <v>1.5277777777777777E-2</v>
      </c>
      <c r="J322" s="176">
        <v>2.5462962962962961E-4</v>
      </c>
      <c r="K322" s="6">
        <v>22</v>
      </c>
      <c r="L322" t="s">
        <v>3929</v>
      </c>
      <c r="M322" t="s">
        <v>337</v>
      </c>
      <c r="N322" t="s">
        <v>102</v>
      </c>
      <c r="O322" t="s">
        <v>115</v>
      </c>
      <c r="P322">
        <v>5</v>
      </c>
      <c r="Q322">
        <v>0</v>
      </c>
      <c r="R322">
        <v>0</v>
      </c>
      <c r="S322" t="s">
        <v>176</v>
      </c>
      <c r="T322" s="5" t="s">
        <v>2727</v>
      </c>
      <c r="U322" s="5" t="s">
        <v>122</v>
      </c>
      <c r="V322" s="5" t="s">
        <v>115</v>
      </c>
      <c r="W322" s="5"/>
      <c r="X322" s="5"/>
      <c r="Y322" s="5"/>
      <c r="Z322" s="5" t="s">
        <v>115</v>
      </c>
      <c r="AA322" s="5" t="s">
        <v>115</v>
      </c>
      <c r="AB322" s="5" t="s">
        <v>115</v>
      </c>
      <c r="AC322" s="5" t="s">
        <v>115</v>
      </c>
      <c r="AD322" s="5" t="s">
        <v>115</v>
      </c>
      <c r="AE322" s="5" t="s">
        <v>115</v>
      </c>
      <c r="AF322" s="5" t="s">
        <v>115</v>
      </c>
      <c r="AG322" s="5" t="s">
        <v>115</v>
      </c>
      <c r="AH322">
        <v>0</v>
      </c>
      <c r="AI322">
        <v>0</v>
      </c>
      <c r="AJ322">
        <v>0</v>
      </c>
      <c r="AK322">
        <v>0</v>
      </c>
      <c r="AL322">
        <v>22</v>
      </c>
      <c r="AM322">
        <f t="shared" ref="AM322:AM385" si="5">SUM(AH322+AI322+AL322)</f>
        <v>22</v>
      </c>
      <c r="AN322" t="s">
        <v>188</v>
      </c>
    </row>
    <row r="323" spans="1:43" x14ac:dyDescent="0.2">
      <c r="A323" t="s">
        <v>2387</v>
      </c>
      <c r="B323" t="s">
        <v>2388</v>
      </c>
      <c r="C323">
        <v>17</v>
      </c>
      <c r="D323">
        <v>1</v>
      </c>
      <c r="E323" t="s">
        <v>2343</v>
      </c>
      <c r="F323" s="1">
        <v>43544</v>
      </c>
      <c r="G323" s="1" t="s">
        <v>4026</v>
      </c>
      <c r="H323" s="1"/>
      <c r="I323" s="2">
        <v>2.0833333333333332E-2</v>
      </c>
      <c r="J323" s="176">
        <v>3.4722222222222224E-4</v>
      </c>
      <c r="K323" s="6">
        <v>30</v>
      </c>
      <c r="L323" t="s">
        <v>101</v>
      </c>
      <c r="M323" t="s">
        <v>2927</v>
      </c>
      <c r="N323" t="s">
        <v>102</v>
      </c>
      <c r="O323" t="s">
        <v>115</v>
      </c>
      <c r="P323" t="s">
        <v>24</v>
      </c>
      <c r="Q323">
        <v>0</v>
      </c>
      <c r="R323">
        <v>0</v>
      </c>
      <c r="T323" t="s">
        <v>115</v>
      </c>
      <c r="U323" t="s">
        <v>115</v>
      </c>
      <c r="V323" t="s">
        <v>115</v>
      </c>
      <c r="Z323" t="s">
        <v>115</v>
      </c>
      <c r="AA323" t="s">
        <v>115</v>
      </c>
      <c r="AB323" s="5" t="s">
        <v>115</v>
      </c>
      <c r="AC323" s="5" t="s">
        <v>115</v>
      </c>
      <c r="AD323" s="5" t="s">
        <v>115</v>
      </c>
      <c r="AE323" s="5"/>
      <c r="AF323" s="5"/>
      <c r="AG323" s="5"/>
      <c r="AH323">
        <v>0</v>
      </c>
      <c r="AI323">
        <v>0</v>
      </c>
      <c r="AJ323">
        <v>0</v>
      </c>
      <c r="AK323">
        <v>0</v>
      </c>
      <c r="AL323">
        <v>22</v>
      </c>
      <c r="AM323">
        <f t="shared" si="5"/>
        <v>22</v>
      </c>
      <c r="AN323" t="s">
        <v>188</v>
      </c>
      <c r="AP323">
        <v>0</v>
      </c>
      <c r="AQ323">
        <v>0</v>
      </c>
    </row>
    <row r="324" spans="1:43" x14ac:dyDescent="0.2">
      <c r="A324" t="s">
        <v>3535</v>
      </c>
      <c r="B324" t="s">
        <v>3536</v>
      </c>
      <c r="C324">
        <v>11</v>
      </c>
      <c r="D324">
        <v>1</v>
      </c>
      <c r="E324" t="s">
        <v>3171</v>
      </c>
      <c r="F324" s="1">
        <v>43580</v>
      </c>
      <c r="G324" s="1" t="s">
        <v>4027</v>
      </c>
      <c r="H324" s="1"/>
      <c r="I324" s="2">
        <v>1.5277777777777777E-2</v>
      </c>
      <c r="J324" s="176">
        <v>2.5462962962962961E-4</v>
      </c>
      <c r="K324" s="6">
        <v>22</v>
      </c>
      <c r="L324" t="s">
        <v>101</v>
      </c>
      <c r="M324" t="s">
        <v>149</v>
      </c>
      <c r="N324" t="s">
        <v>102</v>
      </c>
      <c r="O324" t="s">
        <v>115</v>
      </c>
      <c r="P324" t="s">
        <v>24</v>
      </c>
      <c r="Q324">
        <v>0</v>
      </c>
      <c r="R324">
        <v>0</v>
      </c>
      <c r="T324" s="5" t="s">
        <v>115</v>
      </c>
      <c r="U324" s="5" t="s">
        <v>115</v>
      </c>
      <c r="V324" s="5" t="s">
        <v>115</v>
      </c>
      <c r="W324" s="5"/>
      <c r="X324" s="5"/>
      <c r="Y324" s="5"/>
      <c r="Z324" s="5" t="s">
        <v>115</v>
      </c>
      <c r="AA324" s="5" t="s">
        <v>115</v>
      </c>
      <c r="AB324" s="5" t="s">
        <v>115</v>
      </c>
      <c r="AC324" s="5" t="s">
        <v>115</v>
      </c>
      <c r="AD324" s="5" t="s">
        <v>115</v>
      </c>
      <c r="AE324" s="5" t="s">
        <v>115</v>
      </c>
      <c r="AF324" s="5" t="s">
        <v>115</v>
      </c>
      <c r="AG324" s="5" t="s">
        <v>115</v>
      </c>
      <c r="AH324">
        <v>0</v>
      </c>
      <c r="AI324">
        <v>0</v>
      </c>
      <c r="AJ324">
        <v>0</v>
      </c>
      <c r="AK324">
        <v>0</v>
      </c>
      <c r="AL324">
        <v>22</v>
      </c>
      <c r="AM324">
        <f t="shared" si="5"/>
        <v>22</v>
      </c>
      <c r="AN324" t="s">
        <v>188</v>
      </c>
    </row>
    <row r="325" spans="1:43" x14ac:dyDescent="0.2">
      <c r="A325" t="s">
        <v>2493</v>
      </c>
      <c r="B325" t="s">
        <v>2494</v>
      </c>
      <c r="C325">
        <v>4</v>
      </c>
      <c r="D325">
        <v>1</v>
      </c>
      <c r="E325" t="s">
        <v>2487</v>
      </c>
      <c r="F325" s="1">
        <v>43549</v>
      </c>
      <c r="G325" s="1" t="s">
        <v>4026</v>
      </c>
      <c r="H325" s="1"/>
      <c r="I325" s="2">
        <v>5.5555555555555552E-2</v>
      </c>
      <c r="J325" s="176">
        <v>9.2592592592592585E-4</v>
      </c>
      <c r="K325" s="6">
        <v>80</v>
      </c>
      <c r="L325" s="5" t="s">
        <v>398</v>
      </c>
      <c r="M325" t="s">
        <v>2488</v>
      </c>
      <c r="N325" t="s">
        <v>102</v>
      </c>
      <c r="O325" t="s">
        <v>23</v>
      </c>
      <c r="P325">
        <v>0</v>
      </c>
      <c r="Q325">
        <v>0</v>
      </c>
      <c r="R325">
        <v>0</v>
      </c>
      <c r="T325" t="s">
        <v>115</v>
      </c>
      <c r="U325" t="s">
        <v>115</v>
      </c>
      <c r="V325" t="s">
        <v>115</v>
      </c>
      <c r="Z325" t="s">
        <v>115</v>
      </c>
      <c r="AA325" t="s">
        <v>115</v>
      </c>
      <c r="AB325" t="s">
        <v>115</v>
      </c>
      <c r="AC325" t="s">
        <v>115</v>
      </c>
      <c r="AD325" t="s">
        <v>115</v>
      </c>
      <c r="AH325">
        <v>21</v>
      </c>
      <c r="AI325">
        <v>0</v>
      </c>
      <c r="AJ325">
        <v>21</v>
      </c>
      <c r="AK325">
        <v>0</v>
      </c>
      <c r="AL325">
        <v>0</v>
      </c>
      <c r="AM325">
        <f t="shared" si="5"/>
        <v>21</v>
      </c>
      <c r="AN325" t="s">
        <v>2374</v>
      </c>
      <c r="AO325" t="s">
        <v>2495</v>
      </c>
      <c r="AP325">
        <v>2</v>
      </c>
      <c r="AQ325">
        <v>0</v>
      </c>
    </row>
    <row r="326" spans="1:43" x14ac:dyDescent="0.2">
      <c r="A326" t="s">
        <v>2746</v>
      </c>
      <c r="B326" t="s">
        <v>2747</v>
      </c>
      <c r="C326">
        <v>10</v>
      </c>
      <c r="D326">
        <v>1</v>
      </c>
      <c r="E326" t="s">
        <v>834</v>
      </c>
      <c r="F326" s="1">
        <v>43554</v>
      </c>
      <c r="G326" s="1" t="s">
        <v>4026</v>
      </c>
      <c r="H326" s="1"/>
      <c r="I326" s="2">
        <v>1.4583333333333332E-2</v>
      </c>
      <c r="J326" s="176">
        <v>2.4305555555555552E-4</v>
      </c>
      <c r="K326" s="6">
        <v>21</v>
      </c>
      <c r="M326" t="s">
        <v>466</v>
      </c>
      <c r="N326" t="s">
        <v>102</v>
      </c>
      <c r="O326" t="s">
        <v>115</v>
      </c>
      <c r="P326">
        <v>2</v>
      </c>
      <c r="Q326">
        <v>0</v>
      </c>
      <c r="R326">
        <v>0</v>
      </c>
      <c r="S326" t="s">
        <v>176</v>
      </c>
      <c r="T326" s="5" t="s">
        <v>24</v>
      </c>
      <c r="U326" s="5" t="s">
        <v>122</v>
      </c>
      <c r="V326" s="5" t="s">
        <v>115</v>
      </c>
      <c r="W326" s="5"/>
      <c r="X326" s="5"/>
      <c r="Y326" s="5"/>
      <c r="Z326" s="5" t="s">
        <v>115</v>
      </c>
      <c r="AA326" s="5" t="s">
        <v>115</v>
      </c>
      <c r="AB326" s="5" t="s">
        <v>115</v>
      </c>
      <c r="AC326" s="5" t="s">
        <v>115</v>
      </c>
      <c r="AD326" s="5" t="s">
        <v>115</v>
      </c>
      <c r="AE326" s="5" t="s">
        <v>115</v>
      </c>
      <c r="AF326" s="5" t="s">
        <v>115</v>
      </c>
      <c r="AG326" s="5"/>
      <c r="AH326">
        <v>0</v>
      </c>
      <c r="AI326">
        <v>0</v>
      </c>
      <c r="AJ326">
        <v>0</v>
      </c>
      <c r="AK326">
        <v>0</v>
      </c>
      <c r="AL326">
        <v>21</v>
      </c>
      <c r="AM326">
        <f t="shared" si="5"/>
        <v>21</v>
      </c>
      <c r="AN326" t="s">
        <v>188</v>
      </c>
    </row>
    <row r="327" spans="1:43" x14ac:dyDescent="0.2">
      <c r="A327" t="s">
        <v>2903</v>
      </c>
      <c r="B327" t="s">
        <v>2904</v>
      </c>
      <c r="C327">
        <v>20</v>
      </c>
      <c r="D327">
        <v>1</v>
      </c>
      <c r="E327" t="s">
        <v>324</v>
      </c>
      <c r="F327" s="1">
        <v>43558</v>
      </c>
      <c r="G327" s="1" t="s">
        <v>4027</v>
      </c>
      <c r="H327" s="1"/>
      <c r="I327" s="2">
        <v>1.5277777777777777E-2</v>
      </c>
      <c r="J327" s="176">
        <v>2.5462962962962961E-4</v>
      </c>
      <c r="K327" s="6">
        <v>22</v>
      </c>
      <c r="M327" t="s">
        <v>325</v>
      </c>
      <c r="N327" t="s">
        <v>102</v>
      </c>
      <c r="O327" t="s">
        <v>23</v>
      </c>
      <c r="P327">
        <v>0</v>
      </c>
      <c r="Q327">
        <v>0</v>
      </c>
      <c r="R327">
        <v>0</v>
      </c>
      <c r="T327" s="5" t="s">
        <v>115</v>
      </c>
      <c r="U327" s="5" t="s">
        <v>115</v>
      </c>
      <c r="V327" s="5" t="s">
        <v>115</v>
      </c>
      <c r="W327" s="5"/>
      <c r="X327" s="5"/>
      <c r="Y327" s="5"/>
      <c r="Z327" s="5" t="s">
        <v>115</v>
      </c>
      <c r="AA327" s="5" t="s">
        <v>115</v>
      </c>
      <c r="AB327" s="5" t="s">
        <v>115</v>
      </c>
      <c r="AC327" s="5" t="s">
        <v>115</v>
      </c>
      <c r="AD327" s="5" t="s">
        <v>115</v>
      </c>
      <c r="AE327" s="5" t="s">
        <v>115</v>
      </c>
      <c r="AF327" s="5" t="s">
        <v>115</v>
      </c>
      <c r="AG327" s="5"/>
      <c r="AH327">
        <v>21</v>
      </c>
      <c r="AI327">
        <v>0</v>
      </c>
      <c r="AJ327">
        <v>0</v>
      </c>
      <c r="AK327">
        <v>21</v>
      </c>
      <c r="AL327">
        <v>0</v>
      </c>
      <c r="AM327">
        <f t="shared" si="5"/>
        <v>21</v>
      </c>
      <c r="AN327" t="s">
        <v>188</v>
      </c>
    </row>
    <row r="328" spans="1:43" x14ac:dyDescent="0.2">
      <c r="B328" t="s">
        <v>3116</v>
      </c>
      <c r="C328">
        <v>10</v>
      </c>
      <c r="D328">
        <v>1</v>
      </c>
      <c r="E328" t="s">
        <v>324</v>
      </c>
      <c r="F328" s="1">
        <v>43570</v>
      </c>
      <c r="G328" s="1" t="s">
        <v>4027</v>
      </c>
      <c r="H328" s="1"/>
      <c r="I328" s="2">
        <v>4.1666666666666664E-2</v>
      </c>
      <c r="J328" s="176">
        <v>6.9444444444444447E-4</v>
      </c>
      <c r="K328" s="6">
        <v>60</v>
      </c>
      <c r="L328" t="s">
        <v>101</v>
      </c>
      <c r="M328" t="s">
        <v>325</v>
      </c>
      <c r="N328" t="s">
        <v>102</v>
      </c>
      <c r="O328" t="s">
        <v>115</v>
      </c>
      <c r="P328">
        <v>1</v>
      </c>
      <c r="Q328">
        <v>0</v>
      </c>
      <c r="R328">
        <v>0</v>
      </c>
      <c r="S328" t="s">
        <v>176</v>
      </c>
      <c r="T328" s="5" t="s">
        <v>24</v>
      </c>
      <c r="U328" s="5" t="s">
        <v>122</v>
      </c>
      <c r="V328" s="5" t="s">
        <v>115</v>
      </c>
      <c r="W328" s="5"/>
      <c r="X328" s="5"/>
      <c r="Y328" s="5"/>
      <c r="Z328" s="5" t="s">
        <v>115</v>
      </c>
      <c r="AA328" s="5" t="s">
        <v>115</v>
      </c>
      <c r="AB328" s="5" t="s">
        <v>115</v>
      </c>
      <c r="AC328" s="5" t="s">
        <v>115</v>
      </c>
      <c r="AD328" s="5" t="s">
        <v>115</v>
      </c>
      <c r="AE328" s="5" t="s">
        <v>115</v>
      </c>
      <c r="AF328" s="5" t="s">
        <v>115</v>
      </c>
      <c r="AG328" s="5"/>
      <c r="AH328">
        <v>0</v>
      </c>
      <c r="AI328">
        <v>0</v>
      </c>
      <c r="AJ328">
        <v>0</v>
      </c>
      <c r="AK328">
        <v>0</v>
      </c>
      <c r="AL328">
        <v>21</v>
      </c>
      <c r="AM328">
        <f t="shared" si="5"/>
        <v>21</v>
      </c>
      <c r="AN328" t="s">
        <v>188</v>
      </c>
    </row>
    <row r="329" spans="1:43" x14ac:dyDescent="0.2">
      <c r="A329" t="s">
        <v>3145</v>
      </c>
      <c r="B329" t="s">
        <v>3146</v>
      </c>
      <c r="C329">
        <v>4</v>
      </c>
      <c r="D329">
        <v>1</v>
      </c>
      <c r="E329" t="s">
        <v>2462</v>
      </c>
      <c r="F329" s="1">
        <v>43571</v>
      </c>
      <c r="G329" s="1" t="s">
        <v>4027</v>
      </c>
      <c r="H329" s="1"/>
      <c r="I329" s="2">
        <v>2.5694444444444447E-2</v>
      </c>
      <c r="J329" s="176">
        <v>4.2824074074074075E-4</v>
      </c>
      <c r="K329" s="6">
        <v>37</v>
      </c>
      <c r="L329" t="s">
        <v>1278</v>
      </c>
      <c r="M329" t="s">
        <v>363</v>
      </c>
      <c r="N329" t="s">
        <v>102</v>
      </c>
      <c r="O329" t="s">
        <v>23</v>
      </c>
      <c r="P329">
        <v>0</v>
      </c>
      <c r="Q329">
        <v>0</v>
      </c>
      <c r="R329">
        <v>0</v>
      </c>
      <c r="T329" s="5" t="s">
        <v>115</v>
      </c>
      <c r="U329" s="5" t="s">
        <v>115</v>
      </c>
      <c r="V329" s="5" t="s">
        <v>115</v>
      </c>
      <c r="W329" s="5"/>
      <c r="X329" s="5"/>
      <c r="Y329" s="5"/>
      <c r="Z329" s="5" t="s">
        <v>115</v>
      </c>
      <c r="AA329" s="5" t="s">
        <v>115</v>
      </c>
      <c r="AB329" s="5" t="s">
        <v>115</v>
      </c>
      <c r="AC329" s="5" t="s">
        <v>115</v>
      </c>
      <c r="AD329" s="5" t="s">
        <v>115</v>
      </c>
      <c r="AE329" s="5" t="s">
        <v>115</v>
      </c>
      <c r="AF329" s="5" t="s">
        <v>115</v>
      </c>
      <c r="AG329" s="5"/>
      <c r="AH329">
        <v>0</v>
      </c>
      <c r="AI329">
        <v>21</v>
      </c>
      <c r="AJ329">
        <v>0</v>
      </c>
      <c r="AK329">
        <v>21</v>
      </c>
      <c r="AL329">
        <v>0</v>
      </c>
      <c r="AM329">
        <f t="shared" si="5"/>
        <v>21</v>
      </c>
      <c r="AN329" t="s">
        <v>188</v>
      </c>
    </row>
    <row r="330" spans="1:43" x14ac:dyDescent="0.2">
      <c r="A330" t="s">
        <v>3352</v>
      </c>
      <c r="B330" t="s">
        <v>3353</v>
      </c>
      <c r="C330">
        <v>27</v>
      </c>
      <c r="D330">
        <v>1</v>
      </c>
      <c r="E330" t="s">
        <v>834</v>
      </c>
      <c r="F330" s="1">
        <v>43577</v>
      </c>
      <c r="G330" s="1" t="s">
        <v>4027</v>
      </c>
      <c r="H330" s="1"/>
      <c r="I330" s="2">
        <v>4.6527777777777779E-2</v>
      </c>
      <c r="J330" s="176">
        <v>7.7546296296296304E-4</v>
      </c>
      <c r="K330" s="6">
        <v>67</v>
      </c>
      <c r="L330" t="s">
        <v>101</v>
      </c>
      <c r="M330" t="s">
        <v>466</v>
      </c>
      <c r="N330" t="s">
        <v>102</v>
      </c>
      <c r="O330" t="s">
        <v>115</v>
      </c>
      <c r="P330">
        <v>1</v>
      </c>
      <c r="Q330">
        <v>0</v>
      </c>
      <c r="R330">
        <v>0</v>
      </c>
      <c r="S330" t="s">
        <v>176</v>
      </c>
      <c r="T330" s="5" t="s">
        <v>24</v>
      </c>
      <c r="U330" s="5" t="s">
        <v>122</v>
      </c>
      <c r="V330" s="5" t="s">
        <v>115</v>
      </c>
      <c r="W330" s="5"/>
      <c r="X330" s="5"/>
      <c r="Y330" s="5"/>
      <c r="Z330" s="5" t="s">
        <v>115</v>
      </c>
      <c r="AA330" s="5" t="s">
        <v>115</v>
      </c>
      <c r="AB330" s="5" t="s">
        <v>115</v>
      </c>
      <c r="AC330" s="5" t="s">
        <v>115</v>
      </c>
      <c r="AD330" s="5" t="s">
        <v>115</v>
      </c>
      <c r="AE330" s="5" t="s">
        <v>115</v>
      </c>
      <c r="AF330" s="5" t="s">
        <v>115</v>
      </c>
      <c r="AG330" s="5" t="s">
        <v>115</v>
      </c>
      <c r="AH330">
        <v>0</v>
      </c>
      <c r="AI330">
        <v>0</v>
      </c>
      <c r="AJ330">
        <v>0</v>
      </c>
      <c r="AK330">
        <v>0</v>
      </c>
      <c r="AL330">
        <v>21</v>
      </c>
      <c r="AM330">
        <f t="shared" si="5"/>
        <v>21</v>
      </c>
      <c r="AN330" t="s">
        <v>188</v>
      </c>
    </row>
    <row r="331" spans="1:43" x14ac:dyDescent="0.2">
      <c r="A331" t="s">
        <v>3519</v>
      </c>
      <c r="B331" t="s">
        <v>3520</v>
      </c>
      <c r="C331">
        <v>3</v>
      </c>
      <c r="D331">
        <v>1</v>
      </c>
      <c r="E331" t="s">
        <v>3171</v>
      </c>
      <c r="F331" s="1">
        <v>43580</v>
      </c>
      <c r="G331" s="1" t="s">
        <v>4027</v>
      </c>
      <c r="H331" s="1"/>
      <c r="I331" s="2">
        <v>1.5277777777777777E-2</v>
      </c>
      <c r="J331" s="176">
        <v>2.5462962962962961E-4</v>
      </c>
      <c r="K331" s="6">
        <v>22</v>
      </c>
      <c r="L331" t="s">
        <v>101</v>
      </c>
      <c r="M331" t="s">
        <v>149</v>
      </c>
      <c r="N331" t="s">
        <v>102</v>
      </c>
      <c r="O331" t="s">
        <v>115</v>
      </c>
      <c r="P331">
        <v>0</v>
      </c>
      <c r="Q331">
        <v>0</v>
      </c>
      <c r="R331">
        <v>0</v>
      </c>
      <c r="T331" s="5" t="s">
        <v>115</v>
      </c>
      <c r="U331" s="5" t="s">
        <v>115</v>
      </c>
      <c r="V331" s="5" t="s">
        <v>115</v>
      </c>
      <c r="W331" s="5"/>
      <c r="X331" s="5"/>
      <c r="Y331" s="5"/>
      <c r="Z331" s="5" t="s">
        <v>115</v>
      </c>
      <c r="AA331" s="5" t="s">
        <v>115</v>
      </c>
      <c r="AB331" s="5" t="s">
        <v>115</v>
      </c>
      <c r="AC331" s="5" t="s">
        <v>115</v>
      </c>
      <c r="AD331" s="5" t="s">
        <v>115</v>
      </c>
      <c r="AE331" s="5" t="s">
        <v>115</v>
      </c>
      <c r="AF331" s="5" t="s">
        <v>115</v>
      </c>
      <c r="AG331" s="5" t="s">
        <v>115</v>
      </c>
      <c r="AH331">
        <v>0</v>
      </c>
      <c r="AI331">
        <v>0</v>
      </c>
      <c r="AJ331">
        <v>0</v>
      </c>
      <c r="AK331">
        <v>0</v>
      </c>
      <c r="AL331">
        <v>21</v>
      </c>
      <c r="AM331">
        <f t="shared" si="5"/>
        <v>21</v>
      </c>
      <c r="AN331" t="s">
        <v>188</v>
      </c>
    </row>
    <row r="332" spans="1:43" x14ac:dyDescent="0.2">
      <c r="A332" t="s">
        <v>3633</v>
      </c>
      <c r="B332" t="s">
        <v>3639</v>
      </c>
      <c r="C332">
        <v>4</v>
      </c>
      <c r="D332">
        <v>1</v>
      </c>
      <c r="E332" t="s">
        <v>2487</v>
      </c>
      <c r="F332" s="1">
        <v>43585</v>
      </c>
      <c r="G332" s="1" t="s">
        <v>4027</v>
      </c>
      <c r="H332" s="1"/>
      <c r="I332" s="2">
        <v>1.4583333333333332E-2</v>
      </c>
      <c r="J332" s="176">
        <v>2.4305555555555552E-4</v>
      </c>
      <c r="K332" s="6">
        <v>21</v>
      </c>
      <c r="L332" t="s">
        <v>3626</v>
      </c>
      <c r="M332" t="s">
        <v>2488</v>
      </c>
      <c r="N332" t="s">
        <v>102</v>
      </c>
      <c r="O332" t="s">
        <v>115</v>
      </c>
      <c r="P332">
        <v>0</v>
      </c>
      <c r="Q332">
        <v>0</v>
      </c>
      <c r="R332">
        <v>0</v>
      </c>
      <c r="T332" s="5" t="s">
        <v>115</v>
      </c>
      <c r="U332" s="5" t="s">
        <v>115</v>
      </c>
      <c r="V332" s="5" t="s">
        <v>115</v>
      </c>
      <c r="W332" s="5"/>
      <c r="X332" s="5"/>
      <c r="Y332" s="5"/>
      <c r="Z332" s="5" t="s">
        <v>115</v>
      </c>
      <c r="AA332" s="5" t="s">
        <v>115</v>
      </c>
      <c r="AB332" s="5" t="s">
        <v>115</v>
      </c>
      <c r="AC332" s="5" t="s">
        <v>115</v>
      </c>
      <c r="AD332" s="5" t="s">
        <v>115</v>
      </c>
      <c r="AE332" s="5" t="s">
        <v>115</v>
      </c>
      <c r="AF332" s="5" t="s">
        <v>115</v>
      </c>
      <c r="AG332" s="5" t="s">
        <v>115</v>
      </c>
      <c r="AH332">
        <v>0</v>
      </c>
      <c r="AI332">
        <v>0</v>
      </c>
      <c r="AJ332">
        <v>0</v>
      </c>
      <c r="AK332">
        <v>0</v>
      </c>
      <c r="AL332">
        <v>21</v>
      </c>
      <c r="AM332">
        <f t="shared" si="5"/>
        <v>21</v>
      </c>
      <c r="AN332" t="s">
        <v>188</v>
      </c>
    </row>
    <row r="333" spans="1:43" x14ac:dyDescent="0.2">
      <c r="A333" t="s">
        <v>2813</v>
      </c>
      <c r="B333" t="s">
        <v>2814</v>
      </c>
      <c r="C333">
        <v>13</v>
      </c>
      <c r="D333">
        <v>1</v>
      </c>
      <c r="E333" t="s">
        <v>138</v>
      </c>
      <c r="F333" s="1">
        <v>43556</v>
      </c>
      <c r="G333" s="1" t="s">
        <v>4027</v>
      </c>
      <c r="H333" s="1"/>
      <c r="I333" s="2">
        <v>1.4583333333333332E-2</v>
      </c>
      <c r="J333" s="176">
        <v>2.4305555555555552E-4</v>
      </c>
      <c r="K333" s="6">
        <v>21</v>
      </c>
      <c r="M333" t="s">
        <v>173</v>
      </c>
      <c r="N333" t="s">
        <v>102</v>
      </c>
      <c r="O333" t="s">
        <v>115</v>
      </c>
      <c r="P333" t="s">
        <v>24</v>
      </c>
      <c r="Q333">
        <v>0</v>
      </c>
      <c r="R333">
        <v>0</v>
      </c>
      <c r="T333" s="5" t="s">
        <v>115</v>
      </c>
      <c r="U333" s="5" t="s">
        <v>115</v>
      </c>
      <c r="V333" s="5" t="s">
        <v>115</v>
      </c>
      <c r="W333" s="5"/>
      <c r="X333" s="5"/>
      <c r="Y333" s="5"/>
      <c r="Z333" s="5" t="s">
        <v>115</v>
      </c>
      <c r="AA333" s="5" t="s">
        <v>115</v>
      </c>
      <c r="AB333" s="5" t="s">
        <v>115</v>
      </c>
      <c r="AC333" s="5" t="s">
        <v>115</v>
      </c>
      <c r="AD333" s="5" t="s">
        <v>115</v>
      </c>
      <c r="AE333" s="5" t="s">
        <v>115</v>
      </c>
      <c r="AF333" s="5" t="s">
        <v>115</v>
      </c>
      <c r="AG333" s="5"/>
      <c r="AH333">
        <v>0</v>
      </c>
      <c r="AI333">
        <v>0</v>
      </c>
      <c r="AJ333">
        <v>0</v>
      </c>
      <c r="AK333">
        <v>0</v>
      </c>
      <c r="AL333">
        <v>21</v>
      </c>
      <c r="AM333">
        <f t="shared" si="5"/>
        <v>21</v>
      </c>
      <c r="AN333" t="s">
        <v>188</v>
      </c>
    </row>
    <row r="334" spans="1:43" x14ac:dyDescent="0.2">
      <c r="A334" t="s">
        <v>2901</v>
      </c>
      <c r="B334" t="s">
        <v>2902</v>
      </c>
      <c r="C334">
        <v>19</v>
      </c>
      <c r="D334">
        <v>1</v>
      </c>
      <c r="E334" t="s">
        <v>324</v>
      </c>
      <c r="F334" s="1">
        <v>43558</v>
      </c>
      <c r="G334" s="1" t="s">
        <v>4027</v>
      </c>
      <c r="H334" s="1"/>
      <c r="I334" s="2">
        <v>1.8055555555555557E-2</v>
      </c>
      <c r="J334" s="176">
        <v>3.0092592592592595E-4</v>
      </c>
      <c r="K334" s="6">
        <v>26</v>
      </c>
      <c r="M334" t="s">
        <v>325</v>
      </c>
      <c r="N334" t="s">
        <v>102</v>
      </c>
      <c r="O334" t="s">
        <v>23</v>
      </c>
      <c r="P334" t="s">
        <v>24</v>
      </c>
      <c r="Q334" t="s">
        <v>24</v>
      </c>
      <c r="R334">
        <v>0</v>
      </c>
      <c r="T334" s="5" t="s">
        <v>115</v>
      </c>
      <c r="U334" s="5" t="s">
        <v>115</v>
      </c>
      <c r="V334" s="5" t="s">
        <v>115</v>
      </c>
      <c r="W334" s="5"/>
      <c r="X334" s="5"/>
      <c r="Y334" s="5"/>
      <c r="Z334" s="5" t="s">
        <v>115</v>
      </c>
      <c r="AA334" s="5" t="s">
        <v>115</v>
      </c>
      <c r="AB334" s="5" t="s">
        <v>115</v>
      </c>
      <c r="AC334" s="5" t="s">
        <v>115</v>
      </c>
      <c r="AD334" s="5" t="s">
        <v>115</v>
      </c>
      <c r="AE334" s="5" t="s">
        <v>115</v>
      </c>
      <c r="AF334" s="5" t="s">
        <v>115</v>
      </c>
      <c r="AG334" s="5"/>
      <c r="AH334">
        <v>21</v>
      </c>
      <c r="AI334">
        <v>0</v>
      </c>
      <c r="AJ334">
        <v>0</v>
      </c>
      <c r="AK334">
        <v>21</v>
      </c>
      <c r="AL334">
        <v>0</v>
      </c>
      <c r="AM334">
        <f t="shared" si="5"/>
        <v>21</v>
      </c>
      <c r="AN334" t="s">
        <v>188</v>
      </c>
    </row>
    <row r="335" spans="1:43" x14ac:dyDescent="0.2">
      <c r="A335" t="s">
        <v>3105</v>
      </c>
      <c r="B335" t="s">
        <v>3106</v>
      </c>
      <c r="C335">
        <v>6</v>
      </c>
      <c r="D335">
        <v>1</v>
      </c>
      <c r="E335" t="s">
        <v>324</v>
      </c>
      <c r="F335" s="1">
        <v>43570</v>
      </c>
      <c r="G335" s="1" t="s">
        <v>4027</v>
      </c>
      <c r="H335" s="1"/>
      <c r="I335" s="2">
        <v>2.1527777777777781E-2</v>
      </c>
      <c r="J335" s="176">
        <v>3.5879629629629635E-4</v>
      </c>
      <c r="K335" s="6">
        <v>31</v>
      </c>
      <c r="L335" t="s">
        <v>101</v>
      </c>
      <c r="M335" t="s">
        <v>325</v>
      </c>
      <c r="N335" t="s">
        <v>102</v>
      </c>
      <c r="O335" t="s">
        <v>115</v>
      </c>
      <c r="P335" t="s">
        <v>24</v>
      </c>
      <c r="Q335">
        <v>0</v>
      </c>
      <c r="R335">
        <v>0</v>
      </c>
      <c r="T335" s="5" t="s">
        <v>115</v>
      </c>
      <c r="U335" s="5" t="s">
        <v>115</v>
      </c>
      <c r="V335" s="5" t="s">
        <v>115</v>
      </c>
      <c r="W335" s="5"/>
      <c r="X335" s="5"/>
      <c r="Y335" s="5"/>
      <c r="Z335" s="5" t="s">
        <v>115</v>
      </c>
      <c r="AA335" s="5" t="s">
        <v>115</v>
      </c>
      <c r="AB335" s="5" t="s">
        <v>115</v>
      </c>
      <c r="AC335" s="5" t="s">
        <v>115</v>
      </c>
      <c r="AD335" s="5" t="s">
        <v>115</v>
      </c>
      <c r="AE335" s="5" t="s">
        <v>115</v>
      </c>
      <c r="AF335" s="5" t="s">
        <v>115</v>
      </c>
      <c r="AG335" s="5"/>
      <c r="AH335">
        <v>0</v>
      </c>
      <c r="AI335">
        <v>0</v>
      </c>
      <c r="AJ335">
        <v>0</v>
      </c>
      <c r="AK335">
        <v>0</v>
      </c>
      <c r="AL335">
        <v>21</v>
      </c>
      <c r="AM335">
        <f t="shared" si="5"/>
        <v>21</v>
      </c>
      <c r="AN335" t="s">
        <v>188</v>
      </c>
    </row>
    <row r="336" spans="1:43" x14ac:dyDescent="0.2">
      <c r="A336" t="s">
        <v>3521</v>
      </c>
      <c r="B336" t="s">
        <v>3522</v>
      </c>
      <c r="C336">
        <v>4</v>
      </c>
      <c r="D336">
        <v>1</v>
      </c>
      <c r="E336" t="s">
        <v>3171</v>
      </c>
      <c r="F336" s="1">
        <v>43580</v>
      </c>
      <c r="G336" s="1" t="s">
        <v>4027</v>
      </c>
      <c r="H336" s="1"/>
      <c r="I336" s="2">
        <v>1.5972222222222224E-2</v>
      </c>
      <c r="J336" s="176">
        <v>2.6620370370370372E-4</v>
      </c>
      <c r="K336" s="6">
        <v>23</v>
      </c>
      <c r="L336" t="s">
        <v>101</v>
      </c>
      <c r="M336" t="s">
        <v>149</v>
      </c>
      <c r="N336" t="s">
        <v>102</v>
      </c>
      <c r="O336" t="s">
        <v>115</v>
      </c>
      <c r="P336" t="s">
        <v>24</v>
      </c>
      <c r="Q336">
        <v>0</v>
      </c>
      <c r="R336">
        <v>0</v>
      </c>
      <c r="T336" s="5" t="s">
        <v>115</v>
      </c>
      <c r="U336" s="5" t="s">
        <v>115</v>
      </c>
      <c r="V336" s="5" t="s">
        <v>115</v>
      </c>
      <c r="W336" s="5"/>
      <c r="X336" s="5"/>
      <c r="Y336" s="5"/>
      <c r="Z336" s="5" t="s">
        <v>115</v>
      </c>
      <c r="AA336" s="5" t="s">
        <v>115</v>
      </c>
      <c r="AB336" s="5" t="s">
        <v>115</v>
      </c>
      <c r="AC336" s="5" t="s">
        <v>115</v>
      </c>
      <c r="AD336" s="5" t="s">
        <v>115</v>
      </c>
      <c r="AE336" s="5" t="s">
        <v>115</v>
      </c>
      <c r="AF336" s="5" t="s">
        <v>115</v>
      </c>
      <c r="AG336" s="5" t="s">
        <v>115</v>
      </c>
      <c r="AH336">
        <v>0</v>
      </c>
      <c r="AI336">
        <v>0</v>
      </c>
      <c r="AJ336">
        <v>0</v>
      </c>
      <c r="AK336">
        <v>0</v>
      </c>
      <c r="AL336">
        <v>21</v>
      </c>
      <c r="AM336">
        <f t="shared" si="5"/>
        <v>21</v>
      </c>
      <c r="AN336" t="s">
        <v>188</v>
      </c>
    </row>
    <row r="337" spans="1:43" x14ac:dyDescent="0.2">
      <c r="A337" t="s">
        <v>2408</v>
      </c>
      <c r="B337" t="s">
        <v>2409</v>
      </c>
      <c r="C337">
        <v>26</v>
      </c>
      <c r="D337">
        <v>1</v>
      </c>
      <c r="E337" t="s">
        <v>2343</v>
      </c>
      <c r="F337" s="1">
        <v>43544</v>
      </c>
      <c r="G337" s="1" t="s">
        <v>4026</v>
      </c>
      <c r="H337" s="1"/>
      <c r="I337" s="2">
        <v>2.013888888888889E-2</v>
      </c>
      <c r="J337" s="176">
        <v>3.3564814814814812E-4</v>
      </c>
      <c r="K337" s="6">
        <v>29</v>
      </c>
      <c r="L337" t="s">
        <v>101</v>
      </c>
      <c r="M337" t="s">
        <v>2355</v>
      </c>
      <c r="N337" t="s">
        <v>102</v>
      </c>
      <c r="O337" t="s">
        <v>115</v>
      </c>
      <c r="P337">
        <v>1</v>
      </c>
      <c r="Q337">
        <v>0</v>
      </c>
      <c r="R337">
        <v>0</v>
      </c>
      <c r="S337" t="s">
        <v>176</v>
      </c>
      <c r="T337" t="s">
        <v>24</v>
      </c>
      <c r="U337" t="s">
        <v>122</v>
      </c>
      <c r="V337" t="s">
        <v>115</v>
      </c>
      <c r="Z337" t="s">
        <v>115</v>
      </c>
      <c r="AA337" t="s">
        <v>115</v>
      </c>
      <c r="AB337" s="5" t="s">
        <v>115</v>
      </c>
      <c r="AC337" s="5" t="s">
        <v>115</v>
      </c>
      <c r="AD337" s="5" t="s">
        <v>115</v>
      </c>
      <c r="AE337" s="5"/>
      <c r="AF337" s="5"/>
      <c r="AG337" s="5"/>
      <c r="AH337">
        <v>0</v>
      </c>
      <c r="AI337">
        <v>0</v>
      </c>
      <c r="AJ337">
        <v>0</v>
      </c>
      <c r="AK337">
        <v>0</v>
      </c>
      <c r="AL337">
        <v>20</v>
      </c>
      <c r="AM337">
        <f t="shared" si="5"/>
        <v>20</v>
      </c>
      <c r="AN337" t="s">
        <v>188</v>
      </c>
    </row>
    <row r="338" spans="1:43" x14ac:dyDescent="0.2">
      <c r="A338" t="s">
        <v>2451</v>
      </c>
      <c r="B338" t="s">
        <v>2452</v>
      </c>
      <c r="C338">
        <v>14</v>
      </c>
      <c r="D338">
        <v>1</v>
      </c>
      <c r="E338" t="s">
        <v>2420</v>
      </c>
      <c r="F338" s="1">
        <v>43546</v>
      </c>
      <c r="G338" s="1" t="s">
        <v>4026</v>
      </c>
      <c r="H338" s="1"/>
      <c r="I338" s="2">
        <v>1.3888888888888888E-2</v>
      </c>
      <c r="J338" s="176">
        <v>2.3148148148148146E-4</v>
      </c>
      <c r="K338" s="6">
        <v>20</v>
      </c>
      <c r="L338" t="s">
        <v>101</v>
      </c>
      <c r="M338" t="s">
        <v>241</v>
      </c>
      <c r="N338" t="s">
        <v>102</v>
      </c>
      <c r="O338" t="s">
        <v>115</v>
      </c>
      <c r="P338">
        <v>1</v>
      </c>
      <c r="Q338">
        <v>0</v>
      </c>
      <c r="R338">
        <v>0</v>
      </c>
      <c r="S338" t="s">
        <v>176</v>
      </c>
      <c r="T338" t="s">
        <v>24</v>
      </c>
      <c r="U338" t="s">
        <v>122</v>
      </c>
      <c r="V338" t="s">
        <v>115</v>
      </c>
      <c r="Z338" t="s">
        <v>115</v>
      </c>
      <c r="AA338" t="s">
        <v>115</v>
      </c>
      <c r="AB338" t="s">
        <v>115</v>
      </c>
      <c r="AC338" t="s">
        <v>115</v>
      </c>
      <c r="AD338" t="s">
        <v>115</v>
      </c>
      <c r="AH338">
        <v>0</v>
      </c>
      <c r="AI338">
        <v>0</v>
      </c>
      <c r="AJ338">
        <v>0</v>
      </c>
      <c r="AK338">
        <v>0</v>
      </c>
      <c r="AL338">
        <v>20</v>
      </c>
      <c r="AM338">
        <f t="shared" si="5"/>
        <v>20</v>
      </c>
      <c r="AN338" t="s">
        <v>188</v>
      </c>
    </row>
    <row r="339" spans="1:43" x14ac:dyDescent="0.2">
      <c r="A339" t="s">
        <v>2430</v>
      </c>
      <c r="B339" t="s">
        <v>2431</v>
      </c>
      <c r="C339">
        <v>5</v>
      </c>
      <c r="D339">
        <v>1</v>
      </c>
      <c r="E339" t="s">
        <v>2420</v>
      </c>
      <c r="F339" s="1">
        <v>43546</v>
      </c>
      <c r="G339" s="1" t="s">
        <v>4026</v>
      </c>
      <c r="H339" s="1"/>
      <c r="I339" s="2">
        <v>1.3888888888888888E-2</v>
      </c>
      <c r="J339" s="176">
        <v>2.3148148148148146E-4</v>
      </c>
      <c r="K339" s="6">
        <v>20</v>
      </c>
      <c r="L339" t="s">
        <v>101</v>
      </c>
      <c r="M339" t="s">
        <v>241</v>
      </c>
      <c r="N339" t="s">
        <v>102</v>
      </c>
      <c r="O339" t="s">
        <v>115</v>
      </c>
      <c r="P339">
        <v>3</v>
      </c>
      <c r="Q339">
        <v>0</v>
      </c>
      <c r="R339">
        <v>0</v>
      </c>
      <c r="S339" t="s">
        <v>176</v>
      </c>
      <c r="T339" t="s">
        <v>24</v>
      </c>
      <c r="U339" t="s">
        <v>122</v>
      </c>
      <c r="V339" t="s">
        <v>115</v>
      </c>
      <c r="Z339" t="s">
        <v>115</v>
      </c>
      <c r="AA339" t="s">
        <v>115</v>
      </c>
      <c r="AB339" t="s">
        <v>115</v>
      </c>
      <c r="AC339" t="s">
        <v>115</v>
      </c>
      <c r="AD339" t="s">
        <v>115</v>
      </c>
      <c r="AH339">
        <v>0</v>
      </c>
      <c r="AI339">
        <v>0</v>
      </c>
      <c r="AJ339">
        <v>0</v>
      </c>
      <c r="AK339">
        <v>0</v>
      </c>
      <c r="AL339">
        <v>20</v>
      </c>
      <c r="AM339">
        <f t="shared" si="5"/>
        <v>20</v>
      </c>
      <c r="AN339" t="s">
        <v>188</v>
      </c>
    </row>
    <row r="340" spans="1:43" x14ac:dyDescent="0.2">
      <c r="A340" t="s">
        <v>2578</v>
      </c>
      <c r="B340" t="s">
        <v>2579</v>
      </c>
      <c r="C340">
        <v>2</v>
      </c>
      <c r="D340">
        <v>1</v>
      </c>
      <c r="E340" t="s">
        <v>834</v>
      </c>
      <c r="F340" s="1">
        <v>43550</v>
      </c>
      <c r="G340" s="1" t="s">
        <v>4026</v>
      </c>
      <c r="H340" s="1"/>
      <c r="I340" s="2">
        <v>3.6805555555555557E-2</v>
      </c>
      <c r="J340" s="176">
        <v>6.134259259259259E-4</v>
      </c>
      <c r="K340" s="6">
        <v>53</v>
      </c>
      <c r="L340" s="5" t="s">
        <v>2576</v>
      </c>
      <c r="M340" t="s">
        <v>466</v>
      </c>
      <c r="N340" t="s">
        <v>102</v>
      </c>
      <c r="O340" t="s">
        <v>115</v>
      </c>
      <c r="P340">
        <v>1</v>
      </c>
      <c r="Q340">
        <v>0</v>
      </c>
      <c r="R340">
        <v>0</v>
      </c>
      <c r="S340" t="s">
        <v>176</v>
      </c>
      <c r="T340" t="s">
        <v>24</v>
      </c>
      <c r="U340" t="s">
        <v>122</v>
      </c>
      <c r="V340" t="s">
        <v>115</v>
      </c>
      <c r="Z340" t="s">
        <v>115</v>
      </c>
      <c r="AA340" t="s">
        <v>115</v>
      </c>
      <c r="AB340" t="s">
        <v>115</v>
      </c>
      <c r="AC340" t="s">
        <v>115</v>
      </c>
      <c r="AD340" t="s">
        <v>115</v>
      </c>
      <c r="AH340">
        <v>0</v>
      </c>
      <c r="AI340">
        <v>0</v>
      </c>
      <c r="AJ340">
        <v>0</v>
      </c>
      <c r="AK340">
        <v>0</v>
      </c>
      <c r="AL340">
        <v>20</v>
      </c>
      <c r="AM340">
        <f t="shared" si="5"/>
        <v>20</v>
      </c>
      <c r="AN340" t="s">
        <v>188</v>
      </c>
    </row>
    <row r="341" spans="1:43" x14ac:dyDescent="0.2">
      <c r="A341" t="s">
        <v>2742</v>
      </c>
      <c r="B341" t="s">
        <v>2743</v>
      </c>
      <c r="C341">
        <v>8</v>
      </c>
      <c r="D341">
        <v>1</v>
      </c>
      <c r="E341" t="s">
        <v>834</v>
      </c>
      <c r="F341" s="1">
        <v>43554</v>
      </c>
      <c r="G341" s="1" t="s">
        <v>4026</v>
      </c>
      <c r="H341" s="1"/>
      <c r="I341" s="2">
        <v>1.3888888888888888E-2</v>
      </c>
      <c r="J341" s="176">
        <v>2.3148148148148146E-4</v>
      </c>
      <c r="K341" s="6">
        <v>20</v>
      </c>
      <c r="M341" t="s">
        <v>466</v>
      </c>
      <c r="N341" t="s">
        <v>102</v>
      </c>
      <c r="O341" t="s">
        <v>115</v>
      </c>
      <c r="P341">
        <v>0</v>
      </c>
      <c r="Q341">
        <v>0</v>
      </c>
      <c r="R341">
        <v>0</v>
      </c>
      <c r="T341" s="5" t="s">
        <v>115</v>
      </c>
      <c r="U341" s="5" t="s">
        <v>115</v>
      </c>
      <c r="V341" s="5" t="s">
        <v>115</v>
      </c>
      <c r="W341" s="5"/>
      <c r="X341" s="5"/>
      <c r="Y341" s="5"/>
      <c r="Z341" s="5" t="s">
        <v>115</v>
      </c>
      <c r="AA341" s="5" t="s">
        <v>115</v>
      </c>
      <c r="AB341" s="5" t="s">
        <v>115</v>
      </c>
      <c r="AC341" s="5" t="s">
        <v>115</v>
      </c>
      <c r="AD341" s="5" t="s">
        <v>115</v>
      </c>
      <c r="AE341" s="5" t="s">
        <v>115</v>
      </c>
      <c r="AF341" s="5" t="s">
        <v>115</v>
      </c>
      <c r="AG341" s="5"/>
      <c r="AH341">
        <v>0</v>
      </c>
      <c r="AI341">
        <v>0</v>
      </c>
      <c r="AJ341">
        <v>0</v>
      </c>
      <c r="AK341">
        <v>0</v>
      </c>
      <c r="AL341">
        <v>20</v>
      </c>
      <c r="AM341">
        <f t="shared" si="5"/>
        <v>20</v>
      </c>
      <c r="AN341" t="s">
        <v>188</v>
      </c>
    </row>
    <row r="342" spans="1:43" x14ac:dyDescent="0.2">
      <c r="A342" t="s">
        <v>3354</v>
      </c>
      <c r="B342" t="s">
        <v>3355</v>
      </c>
      <c r="C342">
        <v>1</v>
      </c>
      <c r="D342">
        <v>1</v>
      </c>
      <c r="E342" t="s">
        <v>3171</v>
      </c>
      <c r="F342" s="1">
        <v>43577</v>
      </c>
      <c r="G342" s="1" t="s">
        <v>4027</v>
      </c>
      <c r="H342" s="1"/>
      <c r="I342" s="2">
        <v>9.7222222222222224E-3</v>
      </c>
      <c r="J342" s="176">
        <v>1.6203703703703703E-4</v>
      </c>
      <c r="K342" s="6">
        <v>14</v>
      </c>
      <c r="L342" t="s">
        <v>101</v>
      </c>
      <c r="M342" t="s">
        <v>149</v>
      </c>
      <c r="N342" t="s">
        <v>102</v>
      </c>
      <c r="O342" t="s">
        <v>115</v>
      </c>
      <c r="P342">
        <v>1</v>
      </c>
      <c r="Q342">
        <v>0</v>
      </c>
      <c r="R342">
        <v>0</v>
      </c>
      <c r="S342" t="s">
        <v>176</v>
      </c>
      <c r="T342" s="5" t="s">
        <v>24</v>
      </c>
      <c r="U342" s="5" t="s">
        <v>122</v>
      </c>
      <c r="V342" s="5" t="s">
        <v>115</v>
      </c>
      <c r="W342" s="5"/>
      <c r="X342" s="5"/>
      <c r="Y342" s="5"/>
      <c r="Z342" s="5" t="s">
        <v>115</v>
      </c>
      <c r="AA342" s="5" t="s">
        <v>115</v>
      </c>
      <c r="AB342" s="5" t="s">
        <v>115</v>
      </c>
      <c r="AC342" s="5" t="s">
        <v>115</v>
      </c>
      <c r="AD342" s="5" t="s">
        <v>115</v>
      </c>
      <c r="AE342" s="5" t="s">
        <v>115</v>
      </c>
      <c r="AF342" s="5" t="s">
        <v>115</v>
      </c>
      <c r="AG342" s="5" t="s">
        <v>115</v>
      </c>
      <c r="AH342">
        <v>0</v>
      </c>
      <c r="AI342">
        <v>0</v>
      </c>
      <c r="AJ342">
        <v>0</v>
      </c>
      <c r="AK342">
        <v>0</v>
      </c>
      <c r="AL342">
        <v>20</v>
      </c>
      <c r="AM342">
        <f t="shared" si="5"/>
        <v>20</v>
      </c>
      <c r="AN342" t="s">
        <v>188</v>
      </c>
    </row>
    <row r="343" spans="1:43" x14ac:dyDescent="0.2">
      <c r="A343" t="s">
        <v>3458</v>
      </c>
      <c r="B343" t="s">
        <v>3459</v>
      </c>
      <c r="C343">
        <v>3</v>
      </c>
      <c r="D343">
        <v>1</v>
      </c>
      <c r="E343" t="s">
        <v>2462</v>
      </c>
      <c r="F343" s="1">
        <v>43579</v>
      </c>
      <c r="G343" s="1" t="s">
        <v>4027</v>
      </c>
      <c r="H343" s="1"/>
      <c r="I343" s="2">
        <v>1.8749999999999999E-2</v>
      </c>
      <c r="J343" s="176">
        <v>3.1250000000000001E-4</v>
      </c>
      <c r="K343" s="6">
        <v>27</v>
      </c>
      <c r="L343" t="s">
        <v>101</v>
      </c>
      <c r="M343" t="s">
        <v>363</v>
      </c>
      <c r="N343" t="s">
        <v>102</v>
      </c>
      <c r="O343" t="s">
        <v>115</v>
      </c>
      <c r="P343">
        <v>1</v>
      </c>
      <c r="Q343" t="s">
        <v>24</v>
      </c>
      <c r="R343">
        <v>0</v>
      </c>
      <c r="S343" t="s">
        <v>176</v>
      </c>
      <c r="T343" s="5" t="s">
        <v>24</v>
      </c>
      <c r="U343" s="5" t="s">
        <v>23</v>
      </c>
      <c r="V343" s="5" t="s">
        <v>115</v>
      </c>
      <c r="W343" s="5"/>
      <c r="X343" s="5"/>
      <c r="Y343" s="5"/>
      <c r="Z343" s="5" t="s">
        <v>115</v>
      </c>
      <c r="AA343" s="5" t="s">
        <v>115</v>
      </c>
      <c r="AB343" s="5" t="s">
        <v>115</v>
      </c>
      <c r="AC343" s="5" t="s">
        <v>115</v>
      </c>
      <c r="AD343" s="5" t="s">
        <v>115</v>
      </c>
      <c r="AE343" s="5" t="s">
        <v>115</v>
      </c>
      <c r="AF343" s="5" t="s">
        <v>115</v>
      </c>
      <c r="AG343" s="5" t="s">
        <v>115</v>
      </c>
      <c r="AH343">
        <v>20</v>
      </c>
      <c r="AI343">
        <v>0</v>
      </c>
      <c r="AJ343">
        <v>20</v>
      </c>
      <c r="AK343">
        <v>0</v>
      </c>
      <c r="AL343">
        <v>0</v>
      </c>
      <c r="AM343">
        <f t="shared" si="5"/>
        <v>20</v>
      </c>
      <c r="AN343" t="s">
        <v>188</v>
      </c>
    </row>
    <row r="344" spans="1:43" x14ac:dyDescent="0.2">
      <c r="A344" t="s">
        <v>3462</v>
      </c>
      <c r="B344" t="s">
        <v>3463</v>
      </c>
      <c r="C344">
        <v>5</v>
      </c>
      <c r="D344">
        <v>1</v>
      </c>
      <c r="E344" t="s">
        <v>2462</v>
      </c>
      <c r="F344" s="1">
        <v>43579</v>
      </c>
      <c r="G344" s="1" t="s">
        <v>4027</v>
      </c>
      <c r="H344" s="1"/>
      <c r="I344" s="2">
        <v>7.4305555555555555E-2</v>
      </c>
      <c r="J344" s="176">
        <v>1.2384259259259258E-3</v>
      </c>
      <c r="K344" s="6">
        <v>107</v>
      </c>
      <c r="L344" t="s">
        <v>101</v>
      </c>
      <c r="M344" t="s">
        <v>64</v>
      </c>
      <c r="N344" t="s">
        <v>102</v>
      </c>
      <c r="O344" t="s">
        <v>115</v>
      </c>
      <c r="P344">
        <v>0</v>
      </c>
      <c r="Q344">
        <v>0</v>
      </c>
      <c r="R344">
        <v>0</v>
      </c>
      <c r="T344" s="5" t="s">
        <v>115</v>
      </c>
      <c r="U344" s="5" t="s">
        <v>115</v>
      </c>
      <c r="V344" s="5" t="s">
        <v>115</v>
      </c>
      <c r="W344" s="5"/>
      <c r="X344" s="5"/>
      <c r="Y344" s="5"/>
      <c r="Z344" s="5" t="s">
        <v>115</v>
      </c>
      <c r="AA344" s="5" t="s">
        <v>115</v>
      </c>
      <c r="AB344" s="5" t="s">
        <v>115</v>
      </c>
      <c r="AC344" s="5" t="s">
        <v>115</v>
      </c>
      <c r="AD344" s="5" t="s">
        <v>115</v>
      </c>
      <c r="AE344" s="5" t="s">
        <v>115</v>
      </c>
      <c r="AF344" s="5" t="s">
        <v>115</v>
      </c>
      <c r="AG344" s="5" t="s">
        <v>115</v>
      </c>
      <c r="AH344">
        <v>20</v>
      </c>
      <c r="AI344">
        <v>0</v>
      </c>
      <c r="AJ344">
        <v>10</v>
      </c>
      <c r="AK344">
        <v>10</v>
      </c>
      <c r="AL344">
        <v>0</v>
      </c>
      <c r="AM344">
        <f t="shared" si="5"/>
        <v>20</v>
      </c>
      <c r="AN344" t="s">
        <v>188</v>
      </c>
      <c r="AO344" t="s">
        <v>3464</v>
      </c>
    </row>
    <row r="345" spans="1:43" x14ac:dyDescent="0.2">
      <c r="A345" t="s">
        <v>3471</v>
      </c>
      <c r="B345" t="s">
        <v>3472</v>
      </c>
      <c r="C345">
        <v>9</v>
      </c>
      <c r="D345">
        <v>1</v>
      </c>
      <c r="E345" t="s">
        <v>2462</v>
      </c>
      <c r="F345" s="1">
        <v>43579</v>
      </c>
      <c r="G345" s="1" t="s">
        <v>4027</v>
      </c>
      <c r="H345" s="1"/>
      <c r="I345" s="2">
        <v>1.3888888888888888E-2</v>
      </c>
      <c r="J345" s="176">
        <v>2.3148148148148146E-4</v>
      </c>
      <c r="K345" s="6">
        <v>20</v>
      </c>
      <c r="L345" t="s">
        <v>101</v>
      </c>
      <c r="M345" t="s">
        <v>363</v>
      </c>
      <c r="N345" t="s">
        <v>102</v>
      </c>
      <c r="O345" t="s">
        <v>115</v>
      </c>
      <c r="P345">
        <v>0</v>
      </c>
      <c r="Q345">
        <v>0</v>
      </c>
      <c r="R345">
        <v>0</v>
      </c>
      <c r="T345" s="5" t="s">
        <v>115</v>
      </c>
      <c r="U345" s="5" t="s">
        <v>115</v>
      </c>
      <c r="V345" s="5" t="s">
        <v>115</v>
      </c>
      <c r="W345" s="5"/>
      <c r="X345" s="5"/>
      <c r="Y345" s="5"/>
      <c r="Z345" s="5" t="s">
        <v>115</v>
      </c>
      <c r="AA345" s="5" t="s">
        <v>115</v>
      </c>
      <c r="AB345" s="5" t="s">
        <v>115</v>
      </c>
      <c r="AC345" s="5" t="s">
        <v>115</v>
      </c>
      <c r="AD345" s="5" t="s">
        <v>115</v>
      </c>
      <c r="AE345" s="5" t="s">
        <v>115</v>
      </c>
      <c r="AF345" s="5" t="s">
        <v>115</v>
      </c>
      <c r="AG345" s="5" t="s">
        <v>115</v>
      </c>
      <c r="AH345">
        <v>0</v>
      </c>
      <c r="AI345">
        <v>0</v>
      </c>
      <c r="AJ345">
        <v>0</v>
      </c>
      <c r="AK345">
        <v>0</v>
      </c>
      <c r="AL345">
        <v>20</v>
      </c>
      <c r="AM345">
        <f t="shared" si="5"/>
        <v>20</v>
      </c>
    </row>
    <row r="346" spans="1:43" x14ac:dyDescent="0.2">
      <c r="A346" t="s">
        <v>3568</v>
      </c>
      <c r="B346" t="s">
        <v>3569</v>
      </c>
      <c r="C346">
        <v>27</v>
      </c>
      <c r="D346">
        <v>1</v>
      </c>
      <c r="E346" t="s">
        <v>3171</v>
      </c>
      <c r="F346" s="1">
        <v>43580</v>
      </c>
      <c r="G346" s="1" t="s">
        <v>4027</v>
      </c>
      <c r="H346" s="1"/>
      <c r="I346" s="2">
        <v>0.10486111111111111</v>
      </c>
      <c r="J346" s="176">
        <v>1.7476851851851852E-3</v>
      </c>
      <c r="K346" s="6">
        <v>151</v>
      </c>
      <c r="L346" t="s">
        <v>101</v>
      </c>
      <c r="M346" t="s">
        <v>149</v>
      </c>
      <c r="N346" t="s">
        <v>102</v>
      </c>
      <c r="O346" t="s">
        <v>115</v>
      </c>
      <c r="P346">
        <v>1</v>
      </c>
      <c r="Q346">
        <v>0</v>
      </c>
      <c r="R346">
        <v>0</v>
      </c>
      <c r="S346" t="s">
        <v>176</v>
      </c>
      <c r="T346" s="5" t="s">
        <v>24</v>
      </c>
      <c r="U346" s="5" t="s">
        <v>122</v>
      </c>
      <c r="V346" s="5" t="s">
        <v>115</v>
      </c>
      <c r="W346" s="5"/>
      <c r="X346" s="5"/>
      <c r="Y346" s="5"/>
      <c r="Z346" s="5" t="s">
        <v>115</v>
      </c>
      <c r="AA346" s="5" t="s">
        <v>115</v>
      </c>
      <c r="AB346" s="5" t="s">
        <v>115</v>
      </c>
      <c r="AC346" s="5" t="s">
        <v>115</v>
      </c>
      <c r="AD346" s="5" t="s">
        <v>115</v>
      </c>
      <c r="AE346" s="5" t="s">
        <v>115</v>
      </c>
      <c r="AF346" s="5" t="s">
        <v>115</v>
      </c>
      <c r="AG346" s="5" t="s">
        <v>115</v>
      </c>
      <c r="AH346">
        <v>0</v>
      </c>
      <c r="AI346">
        <v>0</v>
      </c>
      <c r="AJ346">
        <v>0</v>
      </c>
      <c r="AK346">
        <v>0</v>
      </c>
      <c r="AL346">
        <v>20</v>
      </c>
      <c r="AM346">
        <f t="shared" si="5"/>
        <v>20</v>
      </c>
      <c r="AN346" t="s">
        <v>188</v>
      </c>
    </row>
    <row r="347" spans="1:43" x14ac:dyDescent="0.2">
      <c r="A347" t="s">
        <v>3766</v>
      </c>
      <c r="B347" t="s">
        <v>3767</v>
      </c>
      <c r="C347">
        <v>6</v>
      </c>
      <c r="D347">
        <v>1</v>
      </c>
      <c r="E347" t="s">
        <v>3171</v>
      </c>
      <c r="F347" s="1">
        <v>43588</v>
      </c>
      <c r="G347" s="1" t="s">
        <v>4028</v>
      </c>
      <c r="H347" s="1"/>
      <c r="I347" s="2">
        <v>3.2638888888888891E-2</v>
      </c>
      <c r="J347" s="176">
        <v>5.4398148148148144E-4</v>
      </c>
      <c r="K347" s="6">
        <v>47</v>
      </c>
      <c r="L347" t="s">
        <v>3187</v>
      </c>
      <c r="M347" t="s">
        <v>149</v>
      </c>
      <c r="N347" t="s">
        <v>102</v>
      </c>
      <c r="O347" t="s">
        <v>115</v>
      </c>
      <c r="P347">
        <v>1</v>
      </c>
      <c r="Q347">
        <v>0</v>
      </c>
      <c r="R347">
        <v>0</v>
      </c>
      <c r="S347" t="s">
        <v>598</v>
      </c>
      <c r="T347" s="5" t="s">
        <v>2437</v>
      </c>
      <c r="U347" s="5" t="s">
        <v>122</v>
      </c>
      <c r="V347" s="5" t="s">
        <v>115</v>
      </c>
      <c r="W347" s="5"/>
      <c r="X347" s="5"/>
      <c r="Y347" s="5"/>
      <c r="Z347" s="5" t="s">
        <v>115</v>
      </c>
      <c r="AA347" s="5" t="s">
        <v>115</v>
      </c>
      <c r="AB347" s="5" t="s">
        <v>115</v>
      </c>
      <c r="AC347" s="5" t="s">
        <v>115</v>
      </c>
      <c r="AD347" s="5" t="s">
        <v>115</v>
      </c>
      <c r="AE347" s="5" t="s">
        <v>115</v>
      </c>
      <c r="AF347" s="5" t="s">
        <v>115</v>
      </c>
      <c r="AG347" s="5" t="s">
        <v>115</v>
      </c>
      <c r="AH347">
        <v>0</v>
      </c>
      <c r="AI347">
        <v>0</v>
      </c>
      <c r="AJ347">
        <v>0</v>
      </c>
      <c r="AK347">
        <v>0</v>
      </c>
      <c r="AL347">
        <v>20</v>
      </c>
      <c r="AM347">
        <f t="shared" si="5"/>
        <v>20</v>
      </c>
      <c r="AN347" t="s">
        <v>188</v>
      </c>
    </row>
    <row r="348" spans="1:43" x14ac:dyDescent="0.2">
      <c r="A348" t="s">
        <v>3757</v>
      </c>
      <c r="B348" t="s">
        <v>3758</v>
      </c>
      <c r="C348">
        <v>2</v>
      </c>
      <c r="D348">
        <v>1</v>
      </c>
      <c r="E348" t="s">
        <v>3171</v>
      </c>
      <c r="F348" s="1">
        <v>43593</v>
      </c>
      <c r="G348" s="1" t="s">
        <v>4028</v>
      </c>
      <c r="H348" s="1"/>
      <c r="I348" s="2">
        <v>1.3888888888888888E-2</v>
      </c>
      <c r="J348" s="176">
        <v>2.3148148148148146E-4</v>
      </c>
      <c r="K348" s="6">
        <v>20</v>
      </c>
      <c r="L348" t="s">
        <v>3187</v>
      </c>
      <c r="M348" t="s">
        <v>149</v>
      </c>
      <c r="N348" t="s">
        <v>102</v>
      </c>
      <c r="O348" t="s">
        <v>115</v>
      </c>
      <c r="P348">
        <v>1</v>
      </c>
      <c r="Q348">
        <v>0</v>
      </c>
      <c r="R348">
        <v>0</v>
      </c>
      <c r="S348" t="s">
        <v>176</v>
      </c>
      <c r="T348" s="5" t="s">
        <v>24</v>
      </c>
      <c r="U348" s="5" t="s">
        <v>122</v>
      </c>
      <c r="V348" s="5" t="s">
        <v>115</v>
      </c>
      <c r="W348" s="5"/>
      <c r="X348" s="5"/>
      <c r="Y348" s="5"/>
      <c r="Z348" s="5" t="s">
        <v>115</v>
      </c>
      <c r="AA348" s="5" t="s">
        <v>115</v>
      </c>
      <c r="AB348" s="5" t="s">
        <v>115</v>
      </c>
      <c r="AC348" s="5" t="s">
        <v>115</v>
      </c>
      <c r="AD348" s="5" t="s">
        <v>115</v>
      </c>
      <c r="AE348" s="5" t="s">
        <v>115</v>
      </c>
      <c r="AF348" s="5" t="s">
        <v>115</v>
      </c>
      <c r="AG348" s="5" t="s">
        <v>115</v>
      </c>
      <c r="AH348">
        <v>0</v>
      </c>
      <c r="AI348">
        <v>0</v>
      </c>
      <c r="AJ348">
        <v>0</v>
      </c>
      <c r="AK348">
        <v>0</v>
      </c>
      <c r="AL348">
        <v>20</v>
      </c>
      <c r="AM348">
        <f t="shared" si="5"/>
        <v>20</v>
      </c>
      <c r="AN348" t="s">
        <v>188</v>
      </c>
    </row>
    <row r="349" spans="1:43" x14ac:dyDescent="0.2">
      <c r="A349" t="s">
        <v>2669</v>
      </c>
      <c r="B349" t="s">
        <v>2670</v>
      </c>
      <c r="C349">
        <v>3</v>
      </c>
      <c r="D349">
        <v>1</v>
      </c>
      <c r="E349" t="s">
        <v>176</v>
      </c>
      <c r="F349" s="1">
        <v>43552</v>
      </c>
      <c r="G349" s="1" t="s">
        <v>4026</v>
      </c>
      <c r="H349" s="1"/>
      <c r="I349" s="2">
        <v>3.125E-2</v>
      </c>
      <c r="J349" s="176">
        <v>5.2083333333333333E-4</v>
      </c>
      <c r="K349" s="6">
        <v>45</v>
      </c>
      <c r="M349" t="s">
        <v>2665</v>
      </c>
      <c r="N349" t="s">
        <v>102</v>
      </c>
      <c r="O349" t="s">
        <v>23</v>
      </c>
      <c r="P349" t="s">
        <v>24</v>
      </c>
      <c r="Q349" t="s">
        <v>24</v>
      </c>
      <c r="R349" t="s">
        <v>176</v>
      </c>
      <c r="T349" t="s">
        <v>115</v>
      </c>
      <c r="U349" t="s">
        <v>115</v>
      </c>
      <c r="V349" t="s">
        <v>115</v>
      </c>
      <c r="Z349" t="s">
        <v>115</v>
      </c>
      <c r="AA349" t="s">
        <v>115</v>
      </c>
      <c r="AB349" t="s">
        <v>115</v>
      </c>
      <c r="AC349" t="s">
        <v>115</v>
      </c>
      <c r="AD349" t="s">
        <v>115</v>
      </c>
      <c r="AE349" t="s">
        <v>115</v>
      </c>
      <c r="AF349" t="s">
        <v>115</v>
      </c>
      <c r="AH349">
        <v>20</v>
      </c>
      <c r="AI349">
        <v>0</v>
      </c>
      <c r="AJ349">
        <v>20</v>
      </c>
      <c r="AK349">
        <v>0</v>
      </c>
      <c r="AL349">
        <v>0</v>
      </c>
      <c r="AM349">
        <f t="shared" si="5"/>
        <v>20</v>
      </c>
      <c r="AN349" t="s">
        <v>2374</v>
      </c>
      <c r="AP349">
        <v>3</v>
      </c>
      <c r="AQ349">
        <v>0</v>
      </c>
    </row>
    <row r="350" spans="1:43" x14ac:dyDescent="0.2">
      <c r="A350" t="s">
        <v>2705</v>
      </c>
      <c r="B350" t="s">
        <v>2706</v>
      </c>
      <c r="C350">
        <v>12</v>
      </c>
      <c r="D350">
        <v>1</v>
      </c>
      <c r="E350" t="s">
        <v>324</v>
      </c>
      <c r="F350" s="1">
        <v>43554</v>
      </c>
      <c r="G350" s="1" t="s">
        <v>4026</v>
      </c>
      <c r="H350" s="1"/>
      <c r="I350" s="2">
        <v>1.3888888888888888E-2</v>
      </c>
      <c r="J350" s="176">
        <v>2.3148148148148146E-4</v>
      </c>
      <c r="K350" s="6">
        <v>20</v>
      </c>
      <c r="M350" t="s">
        <v>325</v>
      </c>
      <c r="N350" t="s">
        <v>102</v>
      </c>
      <c r="O350" t="s">
        <v>115</v>
      </c>
      <c r="P350" t="s">
        <v>24</v>
      </c>
      <c r="Q350">
        <v>0</v>
      </c>
      <c r="R350">
        <v>0</v>
      </c>
      <c r="T350" t="s">
        <v>115</v>
      </c>
      <c r="U350" t="s">
        <v>115</v>
      </c>
      <c r="V350" t="s">
        <v>115</v>
      </c>
      <c r="Z350" t="s">
        <v>115</v>
      </c>
      <c r="AA350" t="s">
        <v>115</v>
      </c>
      <c r="AB350" t="s">
        <v>115</v>
      </c>
      <c r="AC350" t="s">
        <v>115</v>
      </c>
      <c r="AD350" t="s">
        <v>115</v>
      </c>
      <c r="AE350" t="s">
        <v>115</v>
      </c>
      <c r="AF350" t="s">
        <v>115</v>
      </c>
      <c r="AH350">
        <v>0</v>
      </c>
      <c r="AI350">
        <v>0</v>
      </c>
      <c r="AJ350">
        <v>0</v>
      </c>
      <c r="AK350">
        <v>0</v>
      </c>
      <c r="AL350">
        <v>20</v>
      </c>
      <c r="AM350">
        <f t="shared" si="5"/>
        <v>20</v>
      </c>
      <c r="AN350" t="s">
        <v>188</v>
      </c>
    </row>
    <row r="351" spans="1:43" x14ac:dyDescent="0.2">
      <c r="A351" t="s">
        <v>3192</v>
      </c>
      <c r="B351" t="s">
        <v>3193</v>
      </c>
      <c r="C351">
        <v>4</v>
      </c>
      <c r="D351">
        <v>1</v>
      </c>
      <c r="E351" t="s">
        <v>2487</v>
      </c>
      <c r="F351" s="1">
        <v>43572</v>
      </c>
      <c r="G351" s="1" t="s">
        <v>4027</v>
      </c>
      <c r="H351" s="1"/>
      <c r="I351" s="2">
        <v>1.3888888888888888E-2</v>
      </c>
      <c r="J351" s="176">
        <v>2.3148148148148146E-4</v>
      </c>
      <c r="K351" s="6">
        <v>20</v>
      </c>
      <c r="L351" t="s">
        <v>3187</v>
      </c>
      <c r="M351" t="s">
        <v>2488</v>
      </c>
      <c r="N351" t="s">
        <v>102</v>
      </c>
      <c r="O351" t="s">
        <v>115</v>
      </c>
      <c r="P351" t="s">
        <v>24</v>
      </c>
      <c r="Q351">
        <v>0</v>
      </c>
      <c r="R351">
        <v>0</v>
      </c>
      <c r="T351" s="5" t="s">
        <v>115</v>
      </c>
      <c r="U351" s="5" t="s">
        <v>115</v>
      </c>
      <c r="V351" s="5" t="s">
        <v>115</v>
      </c>
      <c r="W351" s="5"/>
      <c r="X351" s="5"/>
      <c r="Y351" s="5"/>
      <c r="Z351" s="5" t="s">
        <v>115</v>
      </c>
      <c r="AA351" s="5" t="s">
        <v>115</v>
      </c>
      <c r="AB351" s="5" t="s">
        <v>115</v>
      </c>
      <c r="AC351" s="5" t="s">
        <v>115</v>
      </c>
      <c r="AD351" s="5" t="s">
        <v>115</v>
      </c>
      <c r="AE351" s="5" t="s">
        <v>115</v>
      </c>
      <c r="AF351" s="5" t="s">
        <v>115</v>
      </c>
      <c r="AG351" s="5"/>
      <c r="AH351">
        <v>0</v>
      </c>
      <c r="AI351">
        <v>0</v>
      </c>
      <c r="AJ351">
        <v>0</v>
      </c>
      <c r="AK351">
        <v>0</v>
      </c>
      <c r="AL351">
        <v>20</v>
      </c>
      <c r="AM351">
        <f t="shared" si="5"/>
        <v>20</v>
      </c>
    </row>
    <row r="352" spans="1:43" x14ac:dyDescent="0.2">
      <c r="A352" t="s">
        <v>3402</v>
      </c>
      <c r="B352" t="s">
        <v>3403</v>
      </c>
      <c r="C352">
        <v>1</v>
      </c>
      <c r="D352">
        <v>1</v>
      </c>
      <c r="E352" t="s">
        <v>3404</v>
      </c>
      <c r="F352" s="1">
        <v>43577</v>
      </c>
      <c r="G352" s="1" t="s">
        <v>4027</v>
      </c>
      <c r="H352" s="1"/>
      <c r="I352" s="2">
        <v>1.3888888888888888E-2</v>
      </c>
      <c r="J352" s="176">
        <v>2.3148148148148146E-4</v>
      </c>
      <c r="K352" s="6">
        <v>20</v>
      </c>
      <c r="L352" t="s">
        <v>101</v>
      </c>
      <c r="M352" t="s">
        <v>3405</v>
      </c>
      <c r="N352" t="s">
        <v>102</v>
      </c>
      <c r="O352" t="s">
        <v>115</v>
      </c>
      <c r="P352" t="s">
        <v>24</v>
      </c>
      <c r="Q352">
        <v>0</v>
      </c>
      <c r="R352">
        <v>0</v>
      </c>
      <c r="T352" s="5" t="s">
        <v>115</v>
      </c>
      <c r="U352" s="5" t="s">
        <v>115</v>
      </c>
      <c r="V352" s="5" t="s">
        <v>115</v>
      </c>
      <c r="W352" s="5"/>
      <c r="X352" s="5"/>
      <c r="Y352" s="5"/>
      <c r="Z352" s="5" t="s">
        <v>115</v>
      </c>
      <c r="AA352" s="5" t="s">
        <v>115</v>
      </c>
      <c r="AB352" s="5" t="s">
        <v>115</v>
      </c>
      <c r="AC352" s="5" t="s">
        <v>115</v>
      </c>
      <c r="AD352" s="5" t="s">
        <v>115</v>
      </c>
      <c r="AE352" s="5" t="s">
        <v>115</v>
      </c>
      <c r="AF352" s="5" t="s">
        <v>115</v>
      </c>
      <c r="AG352" s="5" t="s">
        <v>115</v>
      </c>
      <c r="AH352">
        <v>0</v>
      </c>
      <c r="AI352">
        <v>0</v>
      </c>
      <c r="AJ352">
        <v>0</v>
      </c>
      <c r="AK352">
        <v>0</v>
      </c>
      <c r="AL352">
        <v>20</v>
      </c>
      <c r="AM352">
        <f t="shared" si="5"/>
        <v>20</v>
      </c>
      <c r="AN352" t="s">
        <v>188</v>
      </c>
    </row>
    <row r="353" spans="1:43" x14ac:dyDescent="0.2">
      <c r="A353" t="s">
        <v>3452</v>
      </c>
      <c r="B353" t="s">
        <v>3453</v>
      </c>
      <c r="C353">
        <v>13</v>
      </c>
      <c r="D353">
        <v>1</v>
      </c>
      <c r="E353" t="s">
        <v>2601</v>
      </c>
      <c r="F353" s="1">
        <v>43579</v>
      </c>
      <c r="G353" s="1" t="s">
        <v>4027</v>
      </c>
      <c r="H353" s="1"/>
      <c r="I353" s="2">
        <v>1.7361111111111112E-2</v>
      </c>
      <c r="J353" s="176">
        <v>2.8935185185185189E-4</v>
      </c>
      <c r="K353" s="6">
        <v>25</v>
      </c>
      <c r="L353" t="s">
        <v>101</v>
      </c>
      <c r="M353" t="s">
        <v>177</v>
      </c>
      <c r="N353" t="s">
        <v>102</v>
      </c>
      <c r="O353" t="s">
        <v>115</v>
      </c>
      <c r="P353" t="s">
        <v>24</v>
      </c>
      <c r="Q353">
        <v>0</v>
      </c>
      <c r="R353">
        <v>0</v>
      </c>
      <c r="T353" s="5" t="s">
        <v>115</v>
      </c>
      <c r="U353" s="5" t="s">
        <v>115</v>
      </c>
      <c r="V353" s="5" t="s">
        <v>115</v>
      </c>
      <c r="W353" s="5"/>
      <c r="X353" s="5"/>
      <c r="Y353" s="5"/>
      <c r="Z353" s="5" t="s">
        <v>115</v>
      </c>
      <c r="AA353" s="5" t="s">
        <v>115</v>
      </c>
      <c r="AB353" s="5" t="s">
        <v>115</v>
      </c>
      <c r="AC353" s="5" t="s">
        <v>115</v>
      </c>
      <c r="AD353" s="5" t="s">
        <v>115</v>
      </c>
      <c r="AE353" s="5" t="s">
        <v>115</v>
      </c>
      <c r="AF353" s="5" t="s">
        <v>115</v>
      </c>
      <c r="AG353" s="5" t="s">
        <v>115</v>
      </c>
      <c r="AH353">
        <v>0</v>
      </c>
      <c r="AI353">
        <v>0</v>
      </c>
      <c r="AJ353">
        <v>0</v>
      </c>
      <c r="AK353">
        <v>0</v>
      </c>
      <c r="AL353">
        <v>20</v>
      </c>
      <c r="AM353">
        <f t="shared" si="5"/>
        <v>20</v>
      </c>
      <c r="AN353" t="s">
        <v>188</v>
      </c>
    </row>
    <row r="354" spans="1:43" x14ac:dyDescent="0.2">
      <c r="A354" t="s">
        <v>3770</v>
      </c>
      <c r="B354" t="s">
        <v>3771</v>
      </c>
      <c r="C354">
        <v>8</v>
      </c>
      <c r="D354">
        <v>1</v>
      </c>
      <c r="E354" t="s">
        <v>3171</v>
      </c>
      <c r="F354" s="1">
        <v>43588</v>
      </c>
      <c r="G354" s="1" t="s">
        <v>4028</v>
      </c>
      <c r="H354" s="1" t="s">
        <v>4752</v>
      </c>
      <c r="I354" s="2">
        <v>3.3333333333333333E-2</v>
      </c>
      <c r="J354" s="176">
        <v>5.5555555555555556E-4</v>
      </c>
      <c r="K354" s="6">
        <v>48</v>
      </c>
      <c r="L354" t="s">
        <v>3187</v>
      </c>
      <c r="M354" t="s">
        <v>670</v>
      </c>
      <c r="N354" t="s">
        <v>102</v>
      </c>
      <c r="O354" t="s">
        <v>115</v>
      </c>
      <c r="P354" t="s">
        <v>24</v>
      </c>
      <c r="Q354">
        <v>0</v>
      </c>
      <c r="R354">
        <v>0</v>
      </c>
      <c r="T354" s="5" t="s">
        <v>115</v>
      </c>
      <c r="U354" s="5" t="s">
        <v>115</v>
      </c>
      <c r="V354" s="5" t="s">
        <v>115</v>
      </c>
      <c r="W354" s="5"/>
      <c r="X354" s="5"/>
      <c r="Y354" s="5"/>
      <c r="Z354" s="5" t="s">
        <v>115</v>
      </c>
      <c r="AA354" s="5" t="s">
        <v>115</v>
      </c>
      <c r="AB354" s="5" t="s">
        <v>115</v>
      </c>
      <c r="AC354" s="5" t="s">
        <v>115</v>
      </c>
      <c r="AD354" s="5" t="s">
        <v>115</v>
      </c>
      <c r="AE354" s="5" t="s">
        <v>115</v>
      </c>
      <c r="AF354" s="5" t="s">
        <v>115</v>
      </c>
      <c r="AG354" s="5" t="s">
        <v>115</v>
      </c>
      <c r="AH354">
        <v>0</v>
      </c>
      <c r="AI354">
        <v>0</v>
      </c>
      <c r="AJ354">
        <v>0</v>
      </c>
      <c r="AK354">
        <v>0</v>
      </c>
      <c r="AL354">
        <v>20</v>
      </c>
      <c r="AM354">
        <f t="shared" si="5"/>
        <v>20</v>
      </c>
      <c r="AN354" t="s">
        <v>188</v>
      </c>
    </row>
    <row r="355" spans="1:43" x14ac:dyDescent="0.2">
      <c r="A355" t="s">
        <v>2632</v>
      </c>
      <c r="B355" t="s">
        <v>2633</v>
      </c>
      <c r="C355">
        <v>4</v>
      </c>
      <c r="D355">
        <v>1</v>
      </c>
      <c r="E355" t="s">
        <v>2487</v>
      </c>
      <c r="F355" s="1">
        <v>43551</v>
      </c>
      <c r="G355" s="1" t="s">
        <v>4026</v>
      </c>
      <c r="H355" s="1"/>
      <c r="I355" s="2">
        <v>1.3194444444444444E-2</v>
      </c>
      <c r="J355" s="176">
        <v>2.199074074074074E-4</v>
      </c>
      <c r="K355" s="6">
        <v>19</v>
      </c>
      <c r="L355" s="5" t="s">
        <v>398</v>
      </c>
      <c r="M355" t="s">
        <v>2488</v>
      </c>
      <c r="N355" t="s">
        <v>102</v>
      </c>
      <c r="O355" t="s">
        <v>115</v>
      </c>
      <c r="P355">
        <v>0</v>
      </c>
      <c r="Q355">
        <v>0</v>
      </c>
      <c r="R355">
        <v>0</v>
      </c>
      <c r="T355" t="s">
        <v>115</v>
      </c>
      <c r="U355" t="s">
        <v>115</v>
      </c>
      <c r="V355" t="s">
        <v>115</v>
      </c>
      <c r="Z355" t="s">
        <v>115</v>
      </c>
      <c r="AA355" t="s">
        <v>115</v>
      </c>
      <c r="AB355" t="s">
        <v>115</v>
      </c>
      <c r="AC355" t="s">
        <v>115</v>
      </c>
      <c r="AD355" t="s">
        <v>115</v>
      </c>
      <c r="AE355" t="s">
        <v>115</v>
      </c>
      <c r="AF355" t="s">
        <v>115</v>
      </c>
      <c r="AH355">
        <v>0</v>
      </c>
      <c r="AI355">
        <v>0</v>
      </c>
      <c r="AJ355">
        <v>0</v>
      </c>
      <c r="AK355">
        <v>0</v>
      </c>
      <c r="AL355">
        <v>19</v>
      </c>
      <c r="AM355">
        <f t="shared" si="5"/>
        <v>19</v>
      </c>
      <c r="AN355" t="s">
        <v>188</v>
      </c>
      <c r="AO355" t="s">
        <v>2634</v>
      </c>
    </row>
    <row r="356" spans="1:43" x14ac:dyDescent="0.2">
      <c r="A356" t="s">
        <v>2736</v>
      </c>
      <c r="B356" t="s">
        <v>2737</v>
      </c>
      <c r="C356">
        <v>5</v>
      </c>
      <c r="D356">
        <v>1</v>
      </c>
      <c r="E356" t="s">
        <v>834</v>
      </c>
      <c r="F356" s="1">
        <v>43554</v>
      </c>
      <c r="G356" s="1" t="s">
        <v>4026</v>
      </c>
      <c r="H356" s="1"/>
      <c r="I356" s="2">
        <v>1.3194444444444444E-2</v>
      </c>
      <c r="J356" s="176">
        <v>2.199074074074074E-4</v>
      </c>
      <c r="K356" s="6">
        <v>19</v>
      </c>
      <c r="M356" t="s">
        <v>466</v>
      </c>
      <c r="N356" t="s">
        <v>102</v>
      </c>
      <c r="O356" t="s">
        <v>115</v>
      </c>
      <c r="P356">
        <v>1</v>
      </c>
      <c r="Q356">
        <v>0</v>
      </c>
      <c r="R356">
        <v>0</v>
      </c>
      <c r="S356" t="s">
        <v>176</v>
      </c>
      <c r="T356" s="5" t="s">
        <v>24</v>
      </c>
      <c r="U356" s="5" t="s">
        <v>122</v>
      </c>
      <c r="V356" s="5" t="s">
        <v>115</v>
      </c>
      <c r="W356" s="5"/>
      <c r="X356" s="5"/>
      <c r="Y356" s="5"/>
      <c r="Z356" s="5" t="s">
        <v>115</v>
      </c>
      <c r="AA356" s="5" t="s">
        <v>115</v>
      </c>
      <c r="AB356" s="5" t="s">
        <v>115</v>
      </c>
      <c r="AC356" s="5" t="s">
        <v>115</v>
      </c>
      <c r="AD356" s="5" t="s">
        <v>115</v>
      </c>
      <c r="AE356" s="5" t="s">
        <v>115</v>
      </c>
      <c r="AF356" s="5" t="s">
        <v>115</v>
      </c>
      <c r="AG356" s="5"/>
      <c r="AH356">
        <v>0</v>
      </c>
      <c r="AI356">
        <v>0</v>
      </c>
      <c r="AJ356">
        <v>0</v>
      </c>
      <c r="AK356">
        <v>0</v>
      </c>
      <c r="AL356">
        <v>19</v>
      </c>
      <c r="AM356">
        <f t="shared" si="5"/>
        <v>19</v>
      </c>
      <c r="AN356" t="s">
        <v>188</v>
      </c>
    </row>
    <row r="357" spans="1:43" x14ac:dyDescent="0.2">
      <c r="A357" t="s">
        <v>2677</v>
      </c>
      <c r="B357" t="s">
        <v>2678</v>
      </c>
      <c r="C357">
        <v>2</v>
      </c>
      <c r="D357">
        <v>1</v>
      </c>
      <c r="E357" t="s">
        <v>324</v>
      </c>
      <c r="F357" s="1">
        <v>43554</v>
      </c>
      <c r="G357" s="1" t="s">
        <v>4026</v>
      </c>
      <c r="H357" s="1"/>
      <c r="I357" s="2">
        <v>1.9444444444444445E-2</v>
      </c>
      <c r="J357" s="176">
        <v>3.2407407407407406E-4</v>
      </c>
      <c r="K357" s="6">
        <v>28</v>
      </c>
      <c r="M357" t="s">
        <v>325</v>
      </c>
      <c r="N357" t="s">
        <v>102</v>
      </c>
      <c r="O357" t="s">
        <v>23</v>
      </c>
      <c r="P357">
        <v>1</v>
      </c>
      <c r="Q357" t="s">
        <v>24</v>
      </c>
      <c r="R357">
        <v>0</v>
      </c>
      <c r="S357" t="s">
        <v>176</v>
      </c>
      <c r="T357" t="s">
        <v>24</v>
      </c>
      <c r="U357" t="s">
        <v>263</v>
      </c>
      <c r="V357" t="s">
        <v>115</v>
      </c>
      <c r="Z357" t="s">
        <v>115</v>
      </c>
      <c r="AA357" t="s">
        <v>115</v>
      </c>
      <c r="AB357" t="s">
        <v>115</v>
      </c>
      <c r="AC357" t="s">
        <v>115</v>
      </c>
      <c r="AD357" t="s">
        <v>115</v>
      </c>
      <c r="AE357" t="s">
        <v>115</v>
      </c>
      <c r="AF357" t="s">
        <v>115</v>
      </c>
      <c r="AH357">
        <v>19</v>
      </c>
      <c r="AI357">
        <v>0</v>
      </c>
      <c r="AJ357">
        <v>19</v>
      </c>
      <c r="AK357">
        <v>0</v>
      </c>
      <c r="AL357">
        <v>0</v>
      </c>
      <c r="AM357">
        <f t="shared" si="5"/>
        <v>19</v>
      </c>
      <c r="AN357" t="s">
        <v>188</v>
      </c>
    </row>
    <row r="358" spans="1:43" x14ac:dyDescent="0.2">
      <c r="A358" t="s">
        <v>2968</v>
      </c>
      <c r="B358" t="s">
        <v>2969</v>
      </c>
      <c r="C358">
        <v>19</v>
      </c>
      <c r="D358">
        <v>1</v>
      </c>
      <c r="E358" t="s">
        <v>834</v>
      </c>
      <c r="F358" s="1">
        <v>43560</v>
      </c>
      <c r="G358" s="1" t="s">
        <v>4027</v>
      </c>
      <c r="H358" s="1"/>
      <c r="I358" s="2">
        <v>1.3194444444444444E-2</v>
      </c>
      <c r="J358" s="176">
        <v>2.199074074074074E-4</v>
      </c>
      <c r="K358" s="6">
        <v>19</v>
      </c>
      <c r="M358" t="s">
        <v>466</v>
      </c>
      <c r="N358" t="s">
        <v>107</v>
      </c>
      <c r="O358" t="s">
        <v>115</v>
      </c>
      <c r="P358">
        <v>0</v>
      </c>
      <c r="Q358">
        <v>0</v>
      </c>
      <c r="R358">
        <v>0</v>
      </c>
      <c r="S358" t="s">
        <v>598</v>
      </c>
      <c r="T358" s="5" t="s">
        <v>2801</v>
      </c>
      <c r="U358" s="5" t="s">
        <v>115</v>
      </c>
      <c r="V358" s="5" t="s">
        <v>115</v>
      </c>
      <c r="W358" s="5"/>
      <c r="X358" s="5"/>
      <c r="Y358" s="5"/>
      <c r="Z358" s="5" t="s">
        <v>115</v>
      </c>
      <c r="AA358" s="5" t="s">
        <v>115</v>
      </c>
      <c r="AB358" s="5" t="s">
        <v>115</v>
      </c>
      <c r="AC358" s="5" t="s">
        <v>115</v>
      </c>
      <c r="AD358" s="5" t="s">
        <v>115</v>
      </c>
      <c r="AE358" s="5" t="s">
        <v>115</v>
      </c>
      <c r="AF358" s="5" t="s">
        <v>115</v>
      </c>
      <c r="AG358" s="5"/>
      <c r="AH358">
        <v>0</v>
      </c>
      <c r="AI358">
        <v>0</v>
      </c>
      <c r="AJ358">
        <v>0</v>
      </c>
      <c r="AK358">
        <v>0</v>
      </c>
      <c r="AL358">
        <v>0</v>
      </c>
      <c r="AM358">
        <f t="shared" si="5"/>
        <v>0</v>
      </c>
    </row>
    <row r="359" spans="1:43" x14ac:dyDescent="0.2">
      <c r="A359" t="s">
        <v>2970</v>
      </c>
      <c r="B359" t="s">
        <v>2971</v>
      </c>
      <c r="C359">
        <v>20</v>
      </c>
      <c r="D359">
        <v>1</v>
      </c>
      <c r="E359" t="s">
        <v>834</v>
      </c>
      <c r="F359" s="1">
        <v>43560</v>
      </c>
      <c r="G359" s="1" t="s">
        <v>4027</v>
      </c>
      <c r="H359" s="1"/>
      <c r="I359" s="2">
        <v>2.7083333333333334E-2</v>
      </c>
      <c r="J359" s="176">
        <v>4.5138888888888892E-4</v>
      </c>
      <c r="K359" s="6">
        <v>39</v>
      </c>
      <c r="M359" t="s">
        <v>466</v>
      </c>
      <c r="N359" t="s">
        <v>107</v>
      </c>
      <c r="O359" t="s">
        <v>115</v>
      </c>
      <c r="P359">
        <v>0</v>
      </c>
      <c r="Q359">
        <v>0</v>
      </c>
      <c r="R359">
        <v>0</v>
      </c>
      <c r="S359" t="s">
        <v>598</v>
      </c>
      <c r="T359" s="5" t="s">
        <v>2801</v>
      </c>
      <c r="U359" s="5" t="s">
        <v>115</v>
      </c>
      <c r="V359" s="5" t="s">
        <v>115</v>
      </c>
      <c r="W359" s="5"/>
      <c r="X359" s="5"/>
      <c r="Y359" s="5"/>
      <c r="Z359" s="5" t="s">
        <v>115</v>
      </c>
      <c r="AA359" s="5" t="s">
        <v>115</v>
      </c>
      <c r="AB359" s="5" t="s">
        <v>115</v>
      </c>
      <c r="AC359" s="5" t="s">
        <v>115</v>
      </c>
      <c r="AD359" s="5" t="s">
        <v>115</v>
      </c>
      <c r="AE359" s="5" t="s">
        <v>115</v>
      </c>
      <c r="AF359" s="5" t="s">
        <v>115</v>
      </c>
      <c r="AG359" s="5"/>
      <c r="AH359">
        <v>0</v>
      </c>
      <c r="AI359">
        <v>0</v>
      </c>
      <c r="AJ359">
        <v>0</v>
      </c>
      <c r="AK359">
        <v>0</v>
      </c>
      <c r="AL359">
        <v>0</v>
      </c>
      <c r="AM359">
        <f t="shared" si="5"/>
        <v>0</v>
      </c>
    </row>
    <row r="360" spans="1:43" x14ac:dyDescent="0.2">
      <c r="A360" t="s">
        <v>3725</v>
      </c>
      <c r="B360" t="s">
        <v>3726</v>
      </c>
      <c r="C360">
        <v>2</v>
      </c>
      <c r="D360">
        <v>1</v>
      </c>
      <c r="E360" t="s">
        <v>2462</v>
      </c>
      <c r="F360" s="1">
        <v>43587</v>
      </c>
      <c r="G360" s="1" t="s">
        <v>4028</v>
      </c>
      <c r="H360" s="1"/>
      <c r="I360" s="2">
        <v>3.8194444444444441E-2</v>
      </c>
      <c r="J360" s="176">
        <v>6.3657407407407402E-4</v>
      </c>
      <c r="K360" s="6">
        <v>55</v>
      </c>
      <c r="L360" t="s">
        <v>1278</v>
      </c>
      <c r="M360" t="s">
        <v>363</v>
      </c>
      <c r="N360" t="s">
        <v>102</v>
      </c>
      <c r="O360" t="s">
        <v>115</v>
      </c>
      <c r="P360" t="s">
        <v>24</v>
      </c>
      <c r="Q360">
        <v>0</v>
      </c>
      <c r="R360">
        <v>0</v>
      </c>
      <c r="T360" s="5" t="s">
        <v>115</v>
      </c>
      <c r="U360" s="5" t="s">
        <v>115</v>
      </c>
      <c r="V360" s="5" t="s">
        <v>115</v>
      </c>
      <c r="W360" s="5"/>
      <c r="X360" s="5"/>
      <c r="Y360" s="5"/>
      <c r="Z360" s="5" t="s">
        <v>115</v>
      </c>
      <c r="AA360" s="5" t="s">
        <v>115</v>
      </c>
      <c r="AB360" s="5" t="s">
        <v>115</v>
      </c>
      <c r="AC360" s="5" t="s">
        <v>115</v>
      </c>
      <c r="AD360" s="5" t="s">
        <v>115</v>
      </c>
      <c r="AE360" s="5" t="s">
        <v>115</v>
      </c>
      <c r="AF360" s="5" t="s">
        <v>115</v>
      </c>
      <c r="AG360" s="5" t="s">
        <v>115</v>
      </c>
      <c r="AH360">
        <v>0</v>
      </c>
      <c r="AI360">
        <v>0</v>
      </c>
      <c r="AJ360">
        <v>0</v>
      </c>
      <c r="AK360">
        <v>0</v>
      </c>
      <c r="AL360">
        <v>19</v>
      </c>
      <c r="AM360">
        <f t="shared" si="5"/>
        <v>19</v>
      </c>
      <c r="AN360" t="s">
        <v>188</v>
      </c>
    </row>
    <row r="361" spans="1:43" x14ac:dyDescent="0.2">
      <c r="A361" t="s">
        <v>2446</v>
      </c>
      <c r="B361" t="s">
        <v>2447</v>
      </c>
      <c r="C361">
        <v>12</v>
      </c>
      <c r="D361">
        <v>1</v>
      </c>
      <c r="E361" t="s">
        <v>2420</v>
      </c>
      <c r="F361" s="1">
        <v>43546</v>
      </c>
      <c r="G361" s="1" t="s">
        <v>4026</v>
      </c>
      <c r="H361" s="1"/>
      <c r="I361" s="2">
        <v>1.2499999999999999E-2</v>
      </c>
      <c r="J361" s="176">
        <v>2.0833333333333335E-4</v>
      </c>
      <c r="K361" s="6">
        <v>18</v>
      </c>
      <c r="L361" t="s">
        <v>101</v>
      </c>
      <c r="M361" t="s">
        <v>241</v>
      </c>
      <c r="N361" t="s">
        <v>102</v>
      </c>
      <c r="O361" t="s">
        <v>115</v>
      </c>
      <c r="P361">
        <v>1</v>
      </c>
      <c r="Q361">
        <v>0</v>
      </c>
      <c r="R361">
        <v>0</v>
      </c>
      <c r="S361" t="s">
        <v>14</v>
      </c>
      <c r="T361" t="s">
        <v>2448</v>
      </c>
      <c r="U361" t="s">
        <v>122</v>
      </c>
      <c r="V361" t="s">
        <v>115</v>
      </c>
      <c r="Z361" t="s">
        <v>115</v>
      </c>
      <c r="AA361" t="s">
        <v>115</v>
      </c>
      <c r="AB361" t="s">
        <v>115</v>
      </c>
      <c r="AC361" t="s">
        <v>115</v>
      </c>
      <c r="AD361" t="s">
        <v>115</v>
      </c>
      <c r="AH361">
        <v>0</v>
      </c>
      <c r="AI361">
        <v>0</v>
      </c>
      <c r="AJ361">
        <v>0</v>
      </c>
      <c r="AK361">
        <v>0</v>
      </c>
      <c r="AL361">
        <v>18</v>
      </c>
      <c r="AM361">
        <f t="shared" si="5"/>
        <v>18</v>
      </c>
      <c r="AN361" t="s">
        <v>188</v>
      </c>
    </row>
    <row r="362" spans="1:43" x14ac:dyDescent="0.2">
      <c r="A362" t="s">
        <v>2478</v>
      </c>
      <c r="B362" t="s">
        <v>2479</v>
      </c>
      <c r="C362">
        <v>5</v>
      </c>
      <c r="D362">
        <v>1</v>
      </c>
      <c r="E362" t="s">
        <v>140</v>
      </c>
      <c r="F362" s="1">
        <v>43549</v>
      </c>
      <c r="G362" s="1" t="s">
        <v>4026</v>
      </c>
      <c r="H362" s="1"/>
      <c r="I362" s="2">
        <v>2.0833333333333332E-2</v>
      </c>
      <c r="J362" s="176">
        <v>3.4722222222222224E-4</v>
      </c>
      <c r="K362" s="6">
        <v>30</v>
      </c>
      <c r="L362" s="5" t="s">
        <v>398</v>
      </c>
      <c r="M362" t="s">
        <v>149</v>
      </c>
      <c r="N362" t="s">
        <v>102</v>
      </c>
      <c r="O362" t="s">
        <v>115</v>
      </c>
      <c r="P362">
        <v>2</v>
      </c>
      <c r="Q362">
        <v>0</v>
      </c>
      <c r="R362">
        <v>0</v>
      </c>
      <c r="S362" t="s">
        <v>14</v>
      </c>
      <c r="T362" t="s">
        <v>14</v>
      </c>
      <c r="U362" t="s">
        <v>122</v>
      </c>
      <c r="V362" t="s">
        <v>115</v>
      </c>
      <c r="Z362" t="s">
        <v>115</v>
      </c>
      <c r="AA362" t="s">
        <v>115</v>
      </c>
      <c r="AB362" t="s">
        <v>115</v>
      </c>
      <c r="AC362" t="s">
        <v>115</v>
      </c>
      <c r="AD362" t="s">
        <v>115</v>
      </c>
      <c r="AH362">
        <v>0</v>
      </c>
      <c r="AI362">
        <v>0</v>
      </c>
      <c r="AJ362">
        <v>0</v>
      </c>
      <c r="AK362">
        <v>0</v>
      </c>
      <c r="AL362">
        <v>18</v>
      </c>
      <c r="AM362">
        <f t="shared" si="5"/>
        <v>18</v>
      </c>
      <c r="AN362" t="s">
        <v>188</v>
      </c>
      <c r="AO362" t="s">
        <v>2480</v>
      </c>
    </row>
    <row r="363" spans="1:43" x14ac:dyDescent="0.2">
      <c r="A363" t="s">
        <v>2566</v>
      </c>
      <c r="B363" t="s">
        <v>2567</v>
      </c>
      <c r="C363">
        <v>9</v>
      </c>
      <c r="D363">
        <v>1</v>
      </c>
      <c r="E363" t="s">
        <v>324</v>
      </c>
      <c r="F363" s="1">
        <v>43550</v>
      </c>
      <c r="G363" s="1" t="s">
        <v>4026</v>
      </c>
      <c r="H363" s="1"/>
      <c r="I363" s="2">
        <v>1.5972222222222224E-2</v>
      </c>
      <c r="J363" s="176">
        <v>2.6620370370370372E-4</v>
      </c>
      <c r="K363" s="6">
        <v>23</v>
      </c>
      <c r="L363" s="5" t="s">
        <v>640</v>
      </c>
      <c r="M363" t="s">
        <v>325</v>
      </c>
      <c r="N363" t="s">
        <v>102</v>
      </c>
      <c r="O363" t="s">
        <v>115</v>
      </c>
      <c r="P363">
        <v>0</v>
      </c>
      <c r="Q363">
        <v>0</v>
      </c>
      <c r="R363">
        <v>0</v>
      </c>
      <c r="T363" t="s">
        <v>115</v>
      </c>
      <c r="U363" t="s">
        <v>115</v>
      </c>
      <c r="V363" t="s">
        <v>115</v>
      </c>
      <c r="Z363" t="s">
        <v>115</v>
      </c>
      <c r="AA363" t="s">
        <v>115</v>
      </c>
      <c r="AB363" t="s">
        <v>115</v>
      </c>
      <c r="AC363" t="s">
        <v>115</v>
      </c>
      <c r="AD363" t="s">
        <v>115</v>
      </c>
      <c r="AH363">
        <v>0</v>
      </c>
      <c r="AI363">
        <v>0</v>
      </c>
      <c r="AJ363">
        <v>0</v>
      </c>
      <c r="AK363">
        <v>0</v>
      </c>
      <c r="AL363">
        <v>18</v>
      </c>
      <c r="AM363">
        <f t="shared" si="5"/>
        <v>18</v>
      </c>
      <c r="AN363" t="s">
        <v>188</v>
      </c>
    </row>
    <row r="364" spans="1:43" x14ac:dyDescent="0.2">
      <c r="A364" t="s">
        <v>2870</v>
      </c>
      <c r="B364" t="s">
        <v>2871</v>
      </c>
      <c r="C364">
        <v>7</v>
      </c>
      <c r="D364">
        <v>1</v>
      </c>
      <c r="E364" t="s">
        <v>324</v>
      </c>
      <c r="F364" s="1">
        <v>43558</v>
      </c>
      <c r="G364" s="1" t="s">
        <v>4027</v>
      </c>
      <c r="H364" s="1"/>
      <c r="I364" s="2">
        <v>1.2499999999999999E-2</v>
      </c>
      <c r="J364" s="176">
        <v>2.0833333333333335E-4</v>
      </c>
      <c r="K364" s="6">
        <v>18</v>
      </c>
      <c r="M364" t="s">
        <v>325</v>
      </c>
      <c r="N364" t="s">
        <v>102</v>
      </c>
      <c r="O364" t="s">
        <v>23</v>
      </c>
      <c r="P364">
        <v>0</v>
      </c>
      <c r="Q364">
        <v>0</v>
      </c>
      <c r="R364">
        <v>0</v>
      </c>
      <c r="T364" s="5" t="s">
        <v>115</v>
      </c>
      <c r="U364" s="5" t="s">
        <v>115</v>
      </c>
      <c r="V364" s="5" t="s">
        <v>115</v>
      </c>
      <c r="W364" s="5"/>
      <c r="X364" s="5"/>
      <c r="Y364" s="5"/>
      <c r="Z364" s="5" t="s">
        <v>115</v>
      </c>
      <c r="AA364" s="5" t="s">
        <v>115</v>
      </c>
      <c r="AB364" s="5" t="s">
        <v>115</v>
      </c>
      <c r="AC364" s="5" t="s">
        <v>115</v>
      </c>
      <c r="AD364" s="5" t="s">
        <v>115</v>
      </c>
      <c r="AE364" s="5" t="s">
        <v>115</v>
      </c>
      <c r="AF364" s="5" t="s">
        <v>115</v>
      </c>
      <c r="AG364" s="5"/>
      <c r="AH364">
        <v>18</v>
      </c>
      <c r="AI364">
        <v>0</v>
      </c>
      <c r="AJ364">
        <v>18</v>
      </c>
      <c r="AK364">
        <v>0</v>
      </c>
      <c r="AL364">
        <v>0</v>
      </c>
      <c r="AM364">
        <f t="shared" si="5"/>
        <v>18</v>
      </c>
      <c r="AN364" t="s">
        <v>188</v>
      </c>
    </row>
    <row r="365" spans="1:43" x14ac:dyDescent="0.2">
      <c r="A365" t="s">
        <v>3196</v>
      </c>
      <c r="B365" t="s">
        <v>3197</v>
      </c>
      <c r="C365">
        <v>6</v>
      </c>
      <c r="D365">
        <v>1</v>
      </c>
      <c r="E365" t="s">
        <v>2487</v>
      </c>
      <c r="F365" s="1">
        <v>43572</v>
      </c>
      <c r="G365" s="1" t="s">
        <v>4027</v>
      </c>
      <c r="H365" s="1"/>
      <c r="I365" s="2">
        <v>1.2499999999999999E-2</v>
      </c>
      <c r="J365" s="176">
        <v>2.0833333333333335E-4</v>
      </c>
      <c r="K365" s="6">
        <v>18</v>
      </c>
      <c r="L365" t="s">
        <v>3187</v>
      </c>
      <c r="M365" t="s">
        <v>2488</v>
      </c>
      <c r="N365" t="s">
        <v>102</v>
      </c>
      <c r="O365" t="s">
        <v>115</v>
      </c>
      <c r="P365">
        <v>0</v>
      </c>
      <c r="Q365">
        <v>0</v>
      </c>
      <c r="R365">
        <v>0</v>
      </c>
      <c r="T365" s="5" t="s">
        <v>115</v>
      </c>
      <c r="U365" s="5" t="s">
        <v>115</v>
      </c>
      <c r="V365" s="5" t="s">
        <v>115</v>
      </c>
      <c r="W365" s="5"/>
      <c r="X365" s="5"/>
      <c r="Y365" s="5"/>
      <c r="Z365" s="5" t="s">
        <v>115</v>
      </c>
      <c r="AA365" s="5" t="s">
        <v>115</v>
      </c>
      <c r="AB365" s="5" t="s">
        <v>115</v>
      </c>
      <c r="AC365" s="5" t="s">
        <v>115</v>
      </c>
      <c r="AD365" s="5" t="s">
        <v>115</v>
      </c>
      <c r="AE365" s="5" t="s">
        <v>115</v>
      </c>
      <c r="AF365" s="5" t="s">
        <v>115</v>
      </c>
      <c r="AG365" s="5"/>
      <c r="AH365">
        <v>0</v>
      </c>
      <c r="AI365">
        <v>0</v>
      </c>
      <c r="AJ365">
        <v>0</v>
      </c>
      <c r="AK365">
        <v>0</v>
      </c>
      <c r="AL365">
        <v>18</v>
      </c>
      <c r="AM365">
        <f t="shared" si="5"/>
        <v>18</v>
      </c>
    </row>
    <row r="366" spans="1:43" x14ac:dyDescent="0.2">
      <c r="A366" t="s">
        <v>3385</v>
      </c>
      <c r="B366" t="s">
        <v>3386</v>
      </c>
      <c r="C366">
        <v>15</v>
      </c>
      <c r="D366">
        <v>2</v>
      </c>
      <c r="E366" t="s">
        <v>3171</v>
      </c>
      <c r="F366" s="1">
        <v>43577</v>
      </c>
      <c r="G366" s="1" t="s">
        <v>4027</v>
      </c>
      <c r="H366" s="1" t="s">
        <v>4752</v>
      </c>
      <c r="I366" s="2">
        <v>4.5138888888888888E-2</v>
      </c>
      <c r="J366" s="176">
        <v>7.5231481481481471E-4</v>
      </c>
      <c r="K366" s="6">
        <v>65</v>
      </c>
      <c r="L366" t="s">
        <v>101</v>
      </c>
      <c r="M366" t="s">
        <v>670</v>
      </c>
      <c r="N366" t="s">
        <v>102</v>
      </c>
      <c r="O366" t="s">
        <v>23</v>
      </c>
      <c r="P366">
        <v>1</v>
      </c>
      <c r="Q366">
        <v>1</v>
      </c>
      <c r="R366">
        <v>0</v>
      </c>
      <c r="S366" t="s">
        <v>176</v>
      </c>
      <c r="T366" s="5" t="s">
        <v>24</v>
      </c>
      <c r="U366" s="5" t="s">
        <v>2068</v>
      </c>
      <c r="V366" s="5" t="s">
        <v>115</v>
      </c>
      <c r="W366" s="5"/>
      <c r="X366" s="5"/>
      <c r="Y366" s="5"/>
      <c r="Z366" s="5" t="s">
        <v>115</v>
      </c>
      <c r="AA366" s="5" t="s">
        <v>115</v>
      </c>
      <c r="AB366" s="5" t="s">
        <v>115</v>
      </c>
      <c r="AC366" s="5" t="s">
        <v>115</v>
      </c>
      <c r="AD366" s="5" t="s">
        <v>115</v>
      </c>
      <c r="AE366">
        <v>63.722279999999998</v>
      </c>
      <c r="AF366">
        <v>148.94917000000001</v>
      </c>
      <c r="AG366" s="5" t="s">
        <v>115</v>
      </c>
      <c r="AH366">
        <v>18</v>
      </c>
      <c r="AI366">
        <v>0</v>
      </c>
      <c r="AJ366">
        <v>0</v>
      </c>
      <c r="AK366">
        <v>18</v>
      </c>
      <c r="AL366">
        <v>0</v>
      </c>
      <c r="AM366">
        <f t="shared" si="5"/>
        <v>18</v>
      </c>
      <c r="AN366" t="s">
        <v>165</v>
      </c>
      <c r="AP366">
        <v>4</v>
      </c>
      <c r="AQ366">
        <v>0</v>
      </c>
    </row>
    <row r="367" spans="1:43" x14ac:dyDescent="0.2">
      <c r="A367" t="s">
        <v>3580</v>
      </c>
      <c r="B367" t="s">
        <v>3581</v>
      </c>
      <c r="C367">
        <v>33</v>
      </c>
      <c r="D367">
        <v>1</v>
      </c>
      <c r="E367" t="s">
        <v>3171</v>
      </c>
      <c r="F367" s="1">
        <v>43580</v>
      </c>
      <c r="G367" s="1" t="s">
        <v>4027</v>
      </c>
      <c r="H367" s="1"/>
      <c r="I367" s="2">
        <v>1.2499999999999999E-2</v>
      </c>
      <c r="J367" s="176">
        <v>2.0833333333333335E-4</v>
      </c>
      <c r="K367" s="6">
        <v>18</v>
      </c>
      <c r="L367" t="s">
        <v>101</v>
      </c>
      <c r="M367" t="s">
        <v>149</v>
      </c>
      <c r="N367" t="s">
        <v>102</v>
      </c>
      <c r="O367" t="s">
        <v>115</v>
      </c>
      <c r="P367">
        <v>0</v>
      </c>
      <c r="Q367">
        <v>0</v>
      </c>
      <c r="R367">
        <v>0</v>
      </c>
      <c r="T367" s="5" t="s">
        <v>115</v>
      </c>
      <c r="U367" s="5" t="s">
        <v>115</v>
      </c>
      <c r="V367" s="5" t="s">
        <v>115</v>
      </c>
      <c r="W367" s="5"/>
      <c r="X367" s="5"/>
      <c r="Y367" s="5"/>
      <c r="Z367" s="5" t="s">
        <v>115</v>
      </c>
      <c r="AA367" s="5" t="s">
        <v>115</v>
      </c>
      <c r="AB367" s="5" t="s">
        <v>115</v>
      </c>
      <c r="AC367" s="5" t="s">
        <v>115</v>
      </c>
      <c r="AD367" s="5" t="s">
        <v>115</v>
      </c>
      <c r="AE367" s="5" t="s">
        <v>115</v>
      </c>
      <c r="AF367" s="5" t="s">
        <v>115</v>
      </c>
      <c r="AG367" s="5" t="s">
        <v>115</v>
      </c>
      <c r="AH367">
        <v>0</v>
      </c>
      <c r="AI367">
        <v>0</v>
      </c>
      <c r="AJ367">
        <v>0</v>
      </c>
      <c r="AK367">
        <v>0</v>
      </c>
      <c r="AL367">
        <v>18</v>
      </c>
      <c r="AM367">
        <f t="shared" si="5"/>
        <v>18</v>
      </c>
      <c r="AN367" t="s">
        <v>188</v>
      </c>
    </row>
    <row r="368" spans="1:43" x14ac:dyDescent="0.2">
      <c r="A368" t="s">
        <v>3648</v>
      </c>
      <c r="B368" t="s">
        <v>3646</v>
      </c>
      <c r="C368">
        <v>9</v>
      </c>
      <c r="D368">
        <v>1</v>
      </c>
      <c r="E368" t="s">
        <v>2487</v>
      </c>
      <c r="F368" s="1">
        <v>43585</v>
      </c>
      <c r="G368" s="1" t="s">
        <v>4027</v>
      </c>
      <c r="H368" s="1"/>
      <c r="I368" s="2">
        <v>6.6666666666666666E-2</v>
      </c>
      <c r="J368" s="176">
        <v>1.1111111111111111E-3</v>
      </c>
      <c r="K368" s="6">
        <v>96</v>
      </c>
      <c r="L368" t="s">
        <v>3626</v>
      </c>
      <c r="M368" t="s">
        <v>2498</v>
      </c>
      <c r="N368" t="s">
        <v>102</v>
      </c>
      <c r="O368" t="s">
        <v>23</v>
      </c>
      <c r="P368">
        <v>1</v>
      </c>
      <c r="Q368">
        <v>1</v>
      </c>
      <c r="R368">
        <v>0</v>
      </c>
      <c r="S368" t="s">
        <v>176</v>
      </c>
      <c r="T368" s="5" t="s">
        <v>24</v>
      </c>
      <c r="U368" s="5" t="s">
        <v>3396</v>
      </c>
      <c r="V368" s="5" t="s">
        <v>115</v>
      </c>
      <c r="W368" s="5"/>
      <c r="X368" s="5"/>
      <c r="Y368" s="5"/>
      <c r="Z368" s="5" t="s">
        <v>115</v>
      </c>
      <c r="AA368" s="5" t="s">
        <v>115</v>
      </c>
      <c r="AB368" s="5" t="s">
        <v>115</v>
      </c>
      <c r="AC368" s="5" t="s">
        <v>115</v>
      </c>
      <c r="AD368" s="5" t="s">
        <v>115</v>
      </c>
      <c r="AE368">
        <v>63.720140000000001</v>
      </c>
      <c r="AF368">
        <v>148.98885999999999</v>
      </c>
      <c r="AG368" s="5" t="s">
        <v>115</v>
      </c>
      <c r="AH368">
        <v>18</v>
      </c>
      <c r="AI368">
        <v>0</v>
      </c>
      <c r="AJ368">
        <v>0</v>
      </c>
      <c r="AK368">
        <v>18</v>
      </c>
      <c r="AL368">
        <v>0</v>
      </c>
      <c r="AM368">
        <f t="shared" si="5"/>
        <v>18</v>
      </c>
      <c r="AN368" t="s">
        <v>165</v>
      </c>
      <c r="AO368" t="s">
        <v>3649</v>
      </c>
      <c r="AP368">
        <v>1</v>
      </c>
      <c r="AQ368">
        <v>0</v>
      </c>
    </row>
    <row r="369" spans="1:43" x14ac:dyDescent="0.2">
      <c r="A369" t="s">
        <v>3268</v>
      </c>
      <c r="B369" t="s">
        <v>3269</v>
      </c>
      <c r="C369">
        <v>8</v>
      </c>
      <c r="D369">
        <v>1</v>
      </c>
      <c r="E369" t="s">
        <v>2462</v>
      </c>
      <c r="F369" s="1">
        <v>43573</v>
      </c>
      <c r="G369" s="1" t="s">
        <v>4027</v>
      </c>
      <c r="H369" s="1"/>
      <c r="I369" s="2">
        <v>2.1527777777777781E-2</v>
      </c>
      <c r="J369" s="176">
        <v>3.5879629629629635E-4</v>
      </c>
      <c r="K369" s="6">
        <v>31</v>
      </c>
      <c r="L369" t="s">
        <v>398</v>
      </c>
      <c r="M369" t="s">
        <v>363</v>
      </c>
      <c r="N369" t="s">
        <v>102</v>
      </c>
      <c r="O369" t="s">
        <v>115</v>
      </c>
      <c r="P369" t="s">
        <v>24</v>
      </c>
      <c r="Q369">
        <v>0</v>
      </c>
      <c r="R369">
        <v>0</v>
      </c>
      <c r="T369" s="5" t="s">
        <v>115</v>
      </c>
      <c r="U369" s="5" t="s">
        <v>115</v>
      </c>
      <c r="V369" s="5" t="s">
        <v>115</v>
      </c>
      <c r="W369" s="5"/>
      <c r="X369" s="5"/>
      <c r="Y369" s="5"/>
      <c r="Z369" s="5" t="s">
        <v>115</v>
      </c>
      <c r="AA369" s="5" t="s">
        <v>115</v>
      </c>
      <c r="AB369" s="5" t="s">
        <v>115</v>
      </c>
      <c r="AC369" s="5" t="s">
        <v>115</v>
      </c>
      <c r="AD369" s="5" t="s">
        <v>115</v>
      </c>
      <c r="AE369" s="5" t="s">
        <v>115</v>
      </c>
      <c r="AF369" s="5" t="s">
        <v>115</v>
      </c>
      <c r="AG369" s="5" t="s">
        <v>115</v>
      </c>
      <c r="AH369">
        <v>0</v>
      </c>
      <c r="AI369">
        <v>0</v>
      </c>
      <c r="AJ369">
        <v>0</v>
      </c>
      <c r="AK369">
        <v>0</v>
      </c>
      <c r="AL369">
        <v>18</v>
      </c>
      <c r="AM369">
        <f t="shared" si="5"/>
        <v>18</v>
      </c>
      <c r="AN369" t="s">
        <v>188</v>
      </c>
    </row>
    <row r="370" spans="1:43" x14ac:dyDescent="0.2">
      <c r="A370" t="s">
        <v>3412</v>
      </c>
      <c r="B370" t="s">
        <v>3413</v>
      </c>
      <c r="C370">
        <v>5</v>
      </c>
      <c r="D370">
        <v>3</v>
      </c>
      <c r="E370" t="s">
        <v>3404</v>
      </c>
      <c r="F370" s="1">
        <v>43577</v>
      </c>
      <c r="G370" s="1" t="s">
        <v>4027</v>
      </c>
      <c r="H370" s="1"/>
      <c r="I370" s="2">
        <v>2.2222222222222223E-2</v>
      </c>
      <c r="J370" s="176">
        <v>3.7037037037037035E-4</v>
      </c>
      <c r="K370" s="6">
        <v>32</v>
      </c>
      <c r="L370" t="s">
        <v>101</v>
      </c>
      <c r="M370" t="s">
        <v>3405</v>
      </c>
      <c r="N370" t="s">
        <v>102</v>
      </c>
      <c r="O370" t="s">
        <v>115</v>
      </c>
      <c r="P370" t="s">
        <v>24</v>
      </c>
      <c r="Q370">
        <v>0</v>
      </c>
      <c r="R370">
        <v>0</v>
      </c>
      <c r="T370" s="5" t="s">
        <v>115</v>
      </c>
      <c r="U370" s="5" t="s">
        <v>115</v>
      </c>
      <c r="V370" s="5" t="s">
        <v>115</v>
      </c>
      <c r="W370" s="5"/>
      <c r="X370" s="5"/>
      <c r="Y370" s="5"/>
      <c r="Z370" s="5" t="s">
        <v>115</v>
      </c>
      <c r="AA370" s="5" t="s">
        <v>115</v>
      </c>
      <c r="AB370" s="5" t="s">
        <v>115</v>
      </c>
      <c r="AC370" s="5" t="s">
        <v>115</v>
      </c>
      <c r="AD370" s="5" t="s">
        <v>115</v>
      </c>
      <c r="AE370" s="5" t="s">
        <v>115</v>
      </c>
      <c r="AF370" s="5" t="s">
        <v>115</v>
      </c>
      <c r="AG370" s="5" t="s">
        <v>115</v>
      </c>
      <c r="AH370">
        <v>0</v>
      </c>
      <c r="AI370">
        <v>0</v>
      </c>
      <c r="AJ370">
        <v>0</v>
      </c>
      <c r="AK370">
        <v>0</v>
      </c>
      <c r="AL370">
        <v>18</v>
      </c>
      <c r="AM370">
        <f t="shared" si="5"/>
        <v>18</v>
      </c>
      <c r="AN370" t="s">
        <v>188</v>
      </c>
      <c r="AO370" t="s">
        <v>3415</v>
      </c>
    </row>
    <row r="371" spans="1:43" x14ac:dyDescent="0.2">
      <c r="A371" t="s">
        <v>3872</v>
      </c>
      <c r="B371" t="s">
        <v>3873</v>
      </c>
      <c r="C371">
        <v>5</v>
      </c>
      <c r="D371">
        <v>1</v>
      </c>
      <c r="E371" t="s">
        <v>2601</v>
      </c>
      <c r="F371" s="1">
        <v>43590</v>
      </c>
      <c r="G371" s="1" t="s">
        <v>4028</v>
      </c>
      <c r="H371" s="1"/>
      <c r="I371" s="2">
        <v>1.2499999999999999E-2</v>
      </c>
      <c r="J371" s="176">
        <v>2.0833333333333335E-4</v>
      </c>
      <c r="K371" s="6">
        <v>18</v>
      </c>
      <c r="L371" t="s">
        <v>1278</v>
      </c>
      <c r="M371" t="s">
        <v>173</v>
      </c>
      <c r="N371" t="s">
        <v>102</v>
      </c>
      <c r="O371" t="s">
        <v>115</v>
      </c>
      <c r="P371" t="s">
        <v>24</v>
      </c>
      <c r="Q371">
        <v>0</v>
      </c>
      <c r="R371">
        <v>0</v>
      </c>
      <c r="T371" s="5" t="s">
        <v>115</v>
      </c>
      <c r="U371" s="5" t="s">
        <v>115</v>
      </c>
      <c r="V371" s="5" t="s">
        <v>115</v>
      </c>
      <c r="W371" s="5"/>
      <c r="X371" s="5"/>
      <c r="Y371" s="5"/>
      <c r="Z371" s="5" t="s">
        <v>115</v>
      </c>
      <c r="AA371" s="5" t="s">
        <v>115</v>
      </c>
      <c r="AB371" s="5" t="s">
        <v>115</v>
      </c>
      <c r="AC371" s="5" t="s">
        <v>115</v>
      </c>
      <c r="AD371" s="5" t="s">
        <v>115</v>
      </c>
      <c r="AE371" s="5" t="s">
        <v>115</v>
      </c>
      <c r="AF371" s="5" t="s">
        <v>115</v>
      </c>
      <c r="AG371" s="5" t="s">
        <v>115</v>
      </c>
      <c r="AH371">
        <v>0</v>
      </c>
      <c r="AI371">
        <v>0</v>
      </c>
      <c r="AJ371">
        <v>0</v>
      </c>
      <c r="AK371">
        <v>0</v>
      </c>
      <c r="AL371">
        <v>18</v>
      </c>
      <c r="AM371">
        <f t="shared" si="5"/>
        <v>18</v>
      </c>
      <c r="AN371" t="s">
        <v>188</v>
      </c>
    </row>
    <row r="372" spans="1:43" x14ac:dyDescent="0.2">
      <c r="A372" t="s">
        <v>2372</v>
      </c>
      <c r="B372" t="s">
        <v>2373</v>
      </c>
      <c r="C372">
        <v>13</v>
      </c>
      <c r="D372">
        <v>1</v>
      </c>
      <c r="E372" t="s">
        <v>2343</v>
      </c>
      <c r="F372" s="1">
        <v>43544</v>
      </c>
      <c r="G372" s="1" t="s">
        <v>4026</v>
      </c>
      <c r="H372" s="1"/>
      <c r="I372" s="2">
        <v>1.8055555555555557E-2</v>
      </c>
      <c r="J372" s="176">
        <v>3.0092592592592595E-4</v>
      </c>
      <c r="K372" s="6">
        <v>26</v>
      </c>
      <c r="L372" t="s">
        <v>101</v>
      </c>
      <c r="M372" t="s">
        <v>2355</v>
      </c>
      <c r="N372" t="s">
        <v>102</v>
      </c>
      <c r="O372" t="s">
        <v>23</v>
      </c>
      <c r="P372">
        <v>1</v>
      </c>
      <c r="Q372" t="s">
        <v>24</v>
      </c>
      <c r="R372" t="s">
        <v>115</v>
      </c>
      <c r="S372" t="s">
        <v>176</v>
      </c>
      <c r="T372" t="s">
        <v>24</v>
      </c>
      <c r="U372" t="s">
        <v>2189</v>
      </c>
      <c r="V372" t="s">
        <v>115</v>
      </c>
      <c r="Z372" t="s">
        <v>115</v>
      </c>
      <c r="AA372" t="s">
        <v>115</v>
      </c>
      <c r="AB372" t="s">
        <v>115</v>
      </c>
      <c r="AC372" t="s">
        <v>115</v>
      </c>
      <c r="AD372" t="s">
        <v>115</v>
      </c>
      <c r="AH372">
        <v>17</v>
      </c>
      <c r="AI372">
        <v>0</v>
      </c>
      <c r="AJ372">
        <v>17</v>
      </c>
      <c r="AK372">
        <v>0</v>
      </c>
      <c r="AL372">
        <v>0</v>
      </c>
      <c r="AM372">
        <f t="shared" si="5"/>
        <v>17</v>
      </c>
      <c r="AN372" t="s">
        <v>2374</v>
      </c>
      <c r="AP372">
        <v>2</v>
      </c>
      <c r="AQ372">
        <v>0</v>
      </c>
    </row>
    <row r="373" spans="1:43" x14ac:dyDescent="0.2">
      <c r="A373" t="s">
        <v>2368</v>
      </c>
      <c r="B373" t="s">
        <v>2369</v>
      </c>
      <c r="C373">
        <v>11</v>
      </c>
      <c r="D373">
        <v>1</v>
      </c>
      <c r="E373" t="s">
        <v>2343</v>
      </c>
      <c r="F373" s="1">
        <v>43544</v>
      </c>
      <c r="G373" s="1" t="s">
        <v>4026</v>
      </c>
      <c r="H373" s="1"/>
      <c r="I373" s="2">
        <v>3.6111111111111115E-2</v>
      </c>
      <c r="J373" s="176">
        <v>6.018518518518519E-4</v>
      </c>
      <c r="K373" s="6">
        <v>52</v>
      </c>
      <c r="L373" t="s">
        <v>101</v>
      </c>
      <c r="M373" t="s">
        <v>2355</v>
      </c>
      <c r="N373" t="s">
        <v>102</v>
      </c>
      <c r="O373" t="s">
        <v>23</v>
      </c>
      <c r="P373">
        <v>1</v>
      </c>
      <c r="Q373" t="s">
        <v>24</v>
      </c>
      <c r="R373">
        <v>0</v>
      </c>
      <c r="S373" t="s">
        <v>176</v>
      </c>
      <c r="T373" t="s">
        <v>24</v>
      </c>
      <c r="U373" t="s">
        <v>2300</v>
      </c>
      <c r="V373" t="s">
        <v>115</v>
      </c>
      <c r="Z373" t="s">
        <v>115</v>
      </c>
      <c r="AA373" t="s">
        <v>115</v>
      </c>
      <c r="AB373" t="s">
        <v>115</v>
      </c>
      <c r="AC373" t="s">
        <v>115</v>
      </c>
      <c r="AD373" t="s">
        <v>115</v>
      </c>
      <c r="AH373">
        <v>17</v>
      </c>
      <c r="AJ373">
        <v>17</v>
      </c>
      <c r="AK373">
        <v>0</v>
      </c>
      <c r="AL373">
        <v>0</v>
      </c>
      <c r="AM373">
        <f t="shared" si="5"/>
        <v>17</v>
      </c>
      <c r="AN373" t="s">
        <v>188</v>
      </c>
      <c r="AP373">
        <v>0</v>
      </c>
      <c r="AQ373">
        <v>0</v>
      </c>
    </row>
    <row r="374" spans="1:43" x14ac:dyDescent="0.2">
      <c r="A374" t="s">
        <v>2458</v>
      </c>
      <c r="B374" t="s">
        <v>2459</v>
      </c>
      <c r="C374">
        <v>1</v>
      </c>
      <c r="D374">
        <v>1</v>
      </c>
      <c r="E374" t="s">
        <v>2343</v>
      </c>
      <c r="F374" s="1">
        <v>43546</v>
      </c>
      <c r="G374" s="1" t="s">
        <v>4026</v>
      </c>
      <c r="H374" s="1"/>
      <c r="I374" s="2">
        <v>8.9583333333333334E-2</v>
      </c>
      <c r="J374" s="176">
        <v>1.4930555555555556E-3</v>
      </c>
      <c r="K374" s="6">
        <v>129</v>
      </c>
      <c r="L374" t="s">
        <v>101</v>
      </c>
      <c r="M374" t="s">
        <v>2355</v>
      </c>
      <c r="N374" t="s">
        <v>102</v>
      </c>
      <c r="O374" t="s">
        <v>115</v>
      </c>
      <c r="P374">
        <v>1</v>
      </c>
      <c r="Q374">
        <v>0</v>
      </c>
      <c r="R374">
        <v>0</v>
      </c>
      <c r="S374" t="s">
        <v>176</v>
      </c>
      <c r="T374" t="s">
        <v>24</v>
      </c>
      <c r="U374" t="s">
        <v>122</v>
      </c>
      <c r="V374" t="s">
        <v>115</v>
      </c>
      <c r="Z374" t="s">
        <v>115</v>
      </c>
      <c r="AA374" t="s">
        <v>115</v>
      </c>
      <c r="AB374" t="s">
        <v>115</v>
      </c>
      <c r="AC374" t="s">
        <v>115</v>
      </c>
      <c r="AD374" t="s">
        <v>115</v>
      </c>
      <c r="AH374">
        <v>0</v>
      </c>
      <c r="AI374">
        <v>0</v>
      </c>
      <c r="AJ374">
        <v>0</v>
      </c>
      <c r="AK374">
        <v>0</v>
      </c>
      <c r="AL374">
        <v>17</v>
      </c>
      <c r="AM374">
        <f t="shared" si="5"/>
        <v>17</v>
      </c>
      <c r="AN374" t="s">
        <v>188</v>
      </c>
    </row>
    <row r="375" spans="1:43" x14ac:dyDescent="0.2">
      <c r="A375" t="s">
        <v>2524</v>
      </c>
      <c r="B375" t="s">
        <v>2525</v>
      </c>
      <c r="C375">
        <v>16</v>
      </c>
      <c r="D375">
        <v>1</v>
      </c>
      <c r="E375" t="s">
        <v>2487</v>
      </c>
      <c r="F375" s="1">
        <v>43549</v>
      </c>
      <c r="G375" s="1" t="s">
        <v>4026</v>
      </c>
      <c r="H375" s="1"/>
      <c r="I375" s="2">
        <v>1.2499999999999999E-2</v>
      </c>
      <c r="J375" s="176">
        <v>2.0833333333333335E-4</v>
      </c>
      <c r="K375" s="6">
        <v>18</v>
      </c>
      <c r="L375" s="5" t="s">
        <v>640</v>
      </c>
      <c r="M375" t="s">
        <v>2488</v>
      </c>
      <c r="N375" t="s">
        <v>102</v>
      </c>
      <c r="O375" t="s">
        <v>115</v>
      </c>
      <c r="P375">
        <v>0</v>
      </c>
      <c r="Q375">
        <v>0</v>
      </c>
      <c r="R375">
        <v>0</v>
      </c>
      <c r="T375" t="s">
        <v>115</v>
      </c>
      <c r="U375" t="s">
        <v>115</v>
      </c>
      <c r="V375" t="s">
        <v>115</v>
      </c>
      <c r="Z375" t="s">
        <v>115</v>
      </c>
      <c r="AA375" t="s">
        <v>115</v>
      </c>
      <c r="AB375" t="s">
        <v>115</v>
      </c>
      <c r="AC375" t="s">
        <v>115</v>
      </c>
      <c r="AD375" t="s">
        <v>115</v>
      </c>
      <c r="AH375">
        <v>0</v>
      </c>
      <c r="AI375">
        <v>0</v>
      </c>
      <c r="AJ375">
        <v>0</v>
      </c>
      <c r="AK375">
        <v>0</v>
      </c>
      <c r="AL375">
        <v>17</v>
      </c>
      <c r="AM375">
        <f t="shared" si="5"/>
        <v>17</v>
      </c>
      <c r="AN375" t="s">
        <v>188</v>
      </c>
    </row>
    <row r="376" spans="1:43" x14ac:dyDescent="0.2">
      <c r="A376" t="s">
        <v>2715</v>
      </c>
      <c r="B376" t="s">
        <v>2716</v>
      </c>
      <c r="C376">
        <v>17</v>
      </c>
      <c r="D376">
        <v>1</v>
      </c>
      <c r="E376" t="s">
        <v>324</v>
      </c>
      <c r="F376" s="1">
        <v>43554</v>
      </c>
      <c r="G376" s="1" t="s">
        <v>4026</v>
      </c>
      <c r="H376" s="1"/>
      <c r="I376" s="2">
        <v>1.3888888888888888E-2</v>
      </c>
      <c r="J376" s="176">
        <v>2.3148148148148146E-4</v>
      </c>
      <c r="K376" s="6">
        <v>20</v>
      </c>
      <c r="M376" t="s">
        <v>325</v>
      </c>
      <c r="N376" t="s">
        <v>102</v>
      </c>
      <c r="O376" t="s">
        <v>115</v>
      </c>
      <c r="P376">
        <v>1</v>
      </c>
      <c r="Q376">
        <v>0</v>
      </c>
      <c r="R376">
        <v>0</v>
      </c>
      <c r="S376" t="s">
        <v>176</v>
      </c>
      <c r="T376" t="s">
        <v>24</v>
      </c>
      <c r="U376" t="s">
        <v>122</v>
      </c>
      <c r="V376" t="s">
        <v>115</v>
      </c>
      <c r="Z376" t="s">
        <v>115</v>
      </c>
      <c r="AA376" t="s">
        <v>115</v>
      </c>
      <c r="AB376" t="s">
        <v>115</v>
      </c>
      <c r="AC376" t="s">
        <v>115</v>
      </c>
      <c r="AD376" t="s">
        <v>115</v>
      </c>
      <c r="AE376" t="s">
        <v>115</v>
      </c>
      <c r="AF376" t="s">
        <v>115</v>
      </c>
      <c r="AH376">
        <v>0</v>
      </c>
      <c r="AI376">
        <v>0</v>
      </c>
      <c r="AJ376">
        <v>0</v>
      </c>
      <c r="AK376">
        <v>0</v>
      </c>
      <c r="AL376">
        <v>17</v>
      </c>
      <c r="AM376">
        <f t="shared" si="5"/>
        <v>17</v>
      </c>
      <c r="AN376" t="s">
        <v>188</v>
      </c>
    </row>
    <row r="377" spans="1:43" x14ac:dyDescent="0.2">
      <c r="A377" t="s">
        <v>2809</v>
      </c>
      <c r="B377" t="s">
        <v>2810</v>
      </c>
      <c r="C377">
        <v>11</v>
      </c>
      <c r="D377">
        <v>1</v>
      </c>
      <c r="E377" t="s">
        <v>138</v>
      </c>
      <c r="F377" s="1">
        <v>43556</v>
      </c>
      <c r="G377" s="1" t="s">
        <v>4027</v>
      </c>
      <c r="H377" s="1"/>
      <c r="I377" s="2">
        <v>1.3194444444444444E-2</v>
      </c>
      <c r="J377" s="176">
        <v>2.199074074074074E-4</v>
      </c>
      <c r="K377" s="6">
        <v>19</v>
      </c>
      <c r="M377" t="s">
        <v>173</v>
      </c>
      <c r="N377" t="s">
        <v>102</v>
      </c>
      <c r="O377" t="s">
        <v>115</v>
      </c>
      <c r="P377">
        <v>0</v>
      </c>
      <c r="Q377">
        <v>0</v>
      </c>
      <c r="R377">
        <v>0</v>
      </c>
      <c r="T377" s="5" t="s">
        <v>115</v>
      </c>
      <c r="U377" s="5" t="s">
        <v>115</v>
      </c>
      <c r="V377" s="5" t="s">
        <v>115</v>
      </c>
      <c r="W377" s="5"/>
      <c r="X377" s="5"/>
      <c r="Y377" s="5"/>
      <c r="Z377" s="5" t="s">
        <v>115</v>
      </c>
      <c r="AA377" s="5" t="s">
        <v>115</v>
      </c>
      <c r="AB377" s="5" t="s">
        <v>115</v>
      </c>
      <c r="AC377" s="5" t="s">
        <v>115</v>
      </c>
      <c r="AD377" s="5" t="s">
        <v>115</v>
      </c>
      <c r="AE377" s="5" t="s">
        <v>115</v>
      </c>
      <c r="AF377" s="5" t="s">
        <v>115</v>
      </c>
      <c r="AG377" s="5"/>
      <c r="AH377">
        <v>0</v>
      </c>
      <c r="AI377">
        <v>0</v>
      </c>
      <c r="AJ377">
        <v>0</v>
      </c>
      <c r="AK377">
        <v>0</v>
      </c>
      <c r="AL377">
        <v>17</v>
      </c>
      <c r="AM377">
        <f t="shared" si="5"/>
        <v>17</v>
      </c>
      <c r="AN377" t="s">
        <v>188</v>
      </c>
    </row>
    <row r="378" spans="1:43" x14ac:dyDescent="0.2">
      <c r="A378" t="s">
        <v>2966</v>
      </c>
      <c r="B378" t="s">
        <v>2967</v>
      </c>
      <c r="C378">
        <v>18</v>
      </c>
      <c r="D378">
        <v>1</v>
      </c>
      <c r="E378" t="s">
        <v>834</v>
      </c>
      <c r="F378" s="1">
        <v>43560</v>
      </c>
      <c r="G378" s="1" t="s">
        <v>4027</v>
      </c>
      <c r="H378" s="1"/>
      <c r="I378" s="2">
        <v>1.1805555555555555E-2</v>
      </c>
      <c r="J378" s="176">
        <v>1.9675925925925926E-4</v>
      </c>
      <c r="K378" s="6">
        <v>17</v>
      </c>
      <c r="M378" t="s">
        <v>466</v>
      </c>
      <c r="N378" t="s">
        <v>102</v>
      </c>
      <c r="O378" t="s">
        <v>115</v>
      </c>
      <c r="P378">
        <v>1</v>
      </c>
      <c r="Q378">
        <v>0</v>
      </c>
      <c r="R378">
        <v>0</v>
      </c>
      <c r="S378" t="s">
        <v>598</v>
      </c>
      <c r="T378" s="5" t="s">
        <v>2802</v>
      </c>
      <c r="U378" s="5" t="s">
        <v>122</v>
      </c>
      <c r="V378" s="5" t="s">
        <v>115</v>
      </c>
      <c r="W378" s="5"/>
      <c r="X378" s="5"/>
      <c r="Y378" s="5"/>
      <c r="Z378" s="5" t="s">
        <v>115</v>
      </c>
      <c r="AA378" s="5" t="s">
        <v>115</v>
      </c>
      <c r="AB378" s="5" t="s">
        <v>115</v>
      </c>
      <c r="AC378" s="5" t="s">
        <v>115</v>
      </c>
      <c r="AD378" s="5" t="s">
        <v>115</v>
      </c>
      <c r="AE378" s="5" t="s">
        <v>115</v>
      </c>
      <c r="AF378" s="5" t="s">
        <v>115</v>
      </c>
      <c r="AG378" s="5"/>
      <c r="AH378">
        <v>0</v>
      </c>
      <c r="AI378">
        <v>0</v>
      </c>
      <c r="AJ378">
        <v>0</v>
      </c>
      <c r="AK378">
        <v>0</v>
      </c>
      <c r="AL378">
        <v>17</v>
      </c>
      <c r="AM378">
        <f t="shared" si="5"/>
        <v>17</v>
      </c>
      <c r="AN378" t="s">
        <v>188</v>
      </c>
    </row>
    <row r="379" spans="1:43" x14ac:dyDescent="0.2">
      <c r="A379" t="s">
        <v>3056</v>
      </c>
      <c r="B379" t="s">
        <v>3050</v>
      </c>
      <c r="C379">
        <v>1</v>
      </c>
      <c r="D379">
        <v>1</v>
      </c>
      <c r="E379" t="s">
        <v>176</v>
      </c>
      <c r="F379" s="1">
        <v>43566</v>
      </c>
      <c r="G379" s="1" t="s">
        <v>4027</v>
      </c>
      <c r="H379" s="1"/>
      <c r="I379" s="2">
        <v>2.0833333333333332E-2</v>
      </c>
      <c r="J379" s="176">
        <v>3.4722222222222224E-4</v>
      </c>
      <c r="K379" s="6">
        <v>30</v>
      </c>
      <c r="M379" t="s">
        <v>3051</v>
      </c>
      <c r="N379" t="s">
        <v>102</v>
      </c>
      <c r="O379" t="s">
        <v>23</v>
      </c>
      <c r="P379">
        <v>1</v>
      </c>
      <c r="Q379" s="5" t="s">
        <v>176</v>
      </c>
      <c r="R379">
        <v>0</v>
      </c>
      <c r="S379" t="s">
        <v>176</v>
      </c>
      <c r="T379" s="5" t="s">
        <v>3052</v>
      </c>
      <c r="U379" s="5" t="s">
        <v>2061</v>
      </c>
      <c r="V379" s="5" t="s">
        <v>115</v>
      </c>
      <c r="W379" s="5"/>
      <c r="X379" s="5"/>
      <c r="Y379" s="5"/>
      <c r="Z379" s="5" t="s">
        <v>115</v>
      </c>
      <c r="AA379" s="5" t="s">
        <v>115</v>
      </c>
      <c r="AB379" s="5" t="s">
        <v>115</v>
      </c>
      <c r="AC379" s="5" t="s">
        <v>115</v>
      </c>
      <c r="AD379" s="5" t="s">
        <v>115</v>
      </c>
      <c r="AE379" s="5" t="s">
        <v>115</v>
      </c>
      <c r="AF379" s="5" t="s">
        <v>115</v>
      </c>
      <c r="AG379" s="5"/>
      <c r="AH379">
        <v>6</v>
      </c>
      <c r="AI379">
        <v>11</v>
      </c>
      <c r="AJ379">
        <v>11</v>
      </c>
      <c r="AK379">
        <v>6</v>
      </c>
      <c r="AL379">
        <v>0</v>
      </c>
      <c r="AM379">
        <f t="shared" si="5"/>
        <v>17</v>
      </c>
      <c r="AN379" t="s">
        <v>188</v>
      </c>
    </row>
    <row r="380" spans="1:43" x14ac:dyDescent="0.2">
      <c r="A380" t="s">
        <v>3406</v>
      </c>
      <c r="B380" t="s">
        <v>3407</v>
      </c>
      <c r="C380">
        <v>2</v>
      </c>
      <c r="D380">
        <v>1</v>
      </c>
      <c r="E380" t="s">
        <v>3404</v>
      </c>
      <c r="F380" s="1">
        <v>43577</v>
      </c>
      <c r="G380" s="1" t="s">
        <v>4027</v>
      </c>
      <c r="H380" s="1"/>
      <c r="I380" s="2">
        <v>1.8749999999999999E-2</v>
      </c>
      <c r="J380" s="176">
        <v>3.1250000000000001E-4</v>
      </c>
      <c r="K380" s="6">
        <v>27</v>
      </c>
      <c r="L380" t="s">
        <v>101</v>
      </c>
      <c r="M380" t="s">
        <v>3405</v>
      </c>
      <c r="N380" t="s">
        <v>102</v>
      </c>
      <c r="O380" t="s">
        <v>115</v>
      </c>
      <c r="P380">
        <v>1</v>
      </c>
      <c r="Q380">
        <v>0</v>
      </c>
      <c r="R380">
        <v>0</v>
      </c>
      <c r="S380" t="s">
        <v>598</v>
      </c>
      <c r="T380" s="5" t="s">
        <v>2506</v>
      </c>
      <c r="U380" s="5" t="s">
        <v>122</v>
      </c>
      <c r="V380" s="5" t="s">
        <v>115</v>
      </c>
      <c r="W380" s="5"/>
      <c r="X380" s="5"/>
      <c r="Y380" s="5"/>
      <c r="Z380" s="5" t="s">
        <v>115</v>
      </c>
      <c r="AA380" s="5" t="s">
        <v>115</v>
      </c>
      <c r="AB380" s="5" t="s">
        <v>115</v>
      </c>
      <c r="AC380" s="5" t="s">
        <v>115</v>
      </c>
      <c r="AD380" s="5" t="s">
        <v>115</v>
      </c>
      <c r="AE380" s="5" t="s">
        <v>115</v>
      </c>
      <c r="AF380" s="5" t="s">
        <v>115</v>
      </c>
      <c r="AG380" s="5" t="s">
        <v>115</v>
      </c>
      <c r="AH380">
        <v>0</v>
      </c>
      <c r="AI380">
        <v>0</v>
      </c>
      <c r="AJ380">
        <v>0</v>
      </c>
      <c r="AK380">
        <v>0</v>
      </c>
      <c r="AL380">
        <v>17</v>
      </c>
      <c r="AM380">
        <f t="shared" si="5"/>
        <v>17</v>
      </c>
      <c r="AN380" t="s">
        <v>188</v>
      </c>
    </row>
    <row r="381" spans="1:43" x14ac:dyDescent="0.2">
      <c r="A381" t="s">
        <v>3302</v>
      </c>
      <c r="B381" t="s">
        <v>3303</v>
      </c>
      <c r="C381">
        <v>4</v>
      </c>
      <c r="D381">
        <v>1</v>
      </c>
      <c r="E381" t="s">
        <v>834</v>
      </c>
      <c r="F381" s="1">
        <v>43577</v>
      </c>
      <c r="G381" s="1" t="s">
        <v>4027</v>
      </c>
      <c r="H381" s="1"/>
      <c r="I381" s="2">
        <v>1.1805555555555555E-2</v>
      </c>
      <c r="J381" s="176">
        <v>1.9675925925925926E-4</v>
      </c>
      <c r="K381" s="6">
        <v>17</v>
      </c>
      <c r="L381" t="s">
        <v>101</v>
      </c>
      <c r="M381" t="s">
        <v>466</v>
      </c>
      <c r="N381" t="s">
        <v>102</v>
      </c>
      <c r="O381" t="s">
        <v>115</v>
      </c>
      <c r="P381">
        <v>0</v>
      </c>
      <c r="Q381">
        <v>0</v>
      </c>
      <c r="R381">
        <v>0</v>
      </c>
      <c r="T381" s="5" t="s">
        <v>115</v>
      </c>
      <c r="U381" s="5" t="s">
        <v>115</v>
      </c>
      <c r="V381" s="5" t="s">
        <v>115</v>
      </c>
      <c r="W381" s="5"/>
      <c r="X381" s="5"/>
      <c r="Y381" s="5"/>
      <c r="Z381" s="5" t="s">
        <v>115</v>
      </c>
      <c r="AA381" s="5" t="s">
        <v>115</v>
      </c>
      <c r="AB381" s="5" t="s">
        <v>115</v>
      </c>
      <c r="AC381" s="5" t="s">
        <v>115</v>
      </c>
      <c r="AD381" s="5" t="s">
        <v>115</v>
      </c>
      <c r="AE381" s="5" t="s">
        <v>115</v>
      </c>
      <c r="AF381" s="5" t="s">
        <v>115</v>
      </c>
      <c r="AG381" s="5" t="s">
        <v>115</v>
      </c>
      <c r="AH381">
        <v>0</v>
      </c>
      <c r="AI381">
        <v>0</v>
      </c>
      <c r="AJ381">
        <v>0</v>
      </c>
      <c r="AK381">
        <v>0</v>
      </c>
      <c r="AL381">
        <v>17</v>
      </c>
      <c r="AM381">
        <f t="shared" si="5"/>
        <v>17</v>
      </c>
    </row>
    <row r="382" spans="1:43" x14ac:dyDescent="0.2">
      <c r="A382" t="s">
        <v>3429</v>
      </c>
      <c r="B382" t="s">
        <v>3430</v>
      </c>
      <c r="C382">
        <v>1</v>
      </c>
      <c r="D382">
        <v>1</v>
      </c>
      <c r="E382" t="s">
        <v>2601</v>
      </c>
      <c r="F382" s="1">
        <v>43579</v>
      </c>
      <c r="G382" s="1" t="s">
        <v>4027</v>
      </c>
      <c r="H382" s="1"/>
      <c r="I382" s="2">
        <v>5.9722222222222225E-2</v>
      </c>
      <c r="J382" s="176">
        <v>9.9537037037037042E-4</v>
      </c>
      <c r="K382" s="6">
        <v>86</v>
      </c>
      <c r="L382" t="s">
        <v>101</v>
      </c>
      <c r="M382" t="s">
        <v>173</v>
      </c>
      <c r="N382" t="s">
        <v>102</v>
      </c>
      <c r="O382" t="s">
        <v>115</v>
      </c>
      <c r="P382">
        <v>1</v>
      </c>
      <c r="Q382">
        <v>0</v>
      </c>
      <c r="R382">
        <v>0</v>
      </c>
      <c r="S382" t="s">
        <v>14</v>
      </c>
      <c r="T382" s="5" t="s">
        <v>14</v>
      </c>
      <c r="U382" s="5" t="s">
        <v>122</v>
      </c>
      <c r="V382" s="5" t="s">
        <v>115</v>
      </c>
      <c r="W382" s="5"/>
      <c r="X382" s="5"/>
      <c r="Y382" s="5"/>
      <c r="Z382" s="5" t="s">
        <v>115</v>
      </c>
      <c r="AA382" s="5" t="s">
        <v>115</v>
      </c>
      <c r="AB382" s="5" t="s">
        <v>115</v>
      </c>
      <c r="AC382" s="5" t="s">
        <v>115</v>
      </c>
      <c r="AD382" s="5" t="s">
        <v>115</v>
      </c>
      <c r="AE382" s="5" t="s">
        <v>115</v>
      </c>
      <c r="AF382" s="5" t="s">
        <v>115</v>
      </c>
      <c r="AG382" s="5" t="s">
        <v>115</v>
      </c>
      <c r="AH382">
        <v>0</v>
      </c>
      <c r="AI382">
        <v>0</v>
      </c>
      <c r="AJ382">
        <v>0</v>
      </c>
      <c r="AK382">
        <v>0</v>
      </c>
      <c r="AL382">
        <v>17</v>
      </c>
      <c r="AM382">
        <f t="shared" si="5"/>
        <v>17</v>
      </c>
      <c r="AN382" t="s">
        <v>188</v>
      </c>
    </row>
    <row r="383" spans="1:43" x14ac:dyDescent="0.2">
      <c r="A383" t="s">
        <v>3797</v>
      </c>
      <c r="B383" t="s">
        <v>3798</v>
      </c>
      <c r="C383">
        <v>20</v>
      </c>
      <c r="D383">
        <v>1</v>
      </c>
      <c r="E383" t="s">
        <v>3171</v>
      </c>
      <c r="F383" s="1">
        <v>43588</v>
      </c>
      <c r="G383" s="1" t="s">
        <v>4028</v>
      </c>
      <c r="H383" s="1" t="s">
        <v>4752</v>
      </c>
      <c r="I383" s="2">
        <v>1.1805555555555555E-2</v>
      </c>
      <c r="J383" s="176">
        <v>1.9675925925925926E-4</v>
      </c>
      <c r="K383" s="6">
        <v>17</v>
      </c>
      <c r="L383" t="s">
        <v>3187</v>
      </c>
      <c r="M383" t="s">
        <v>670</v>
      </c>
      <c r="N383" t="s">
        <v>102</v>
      </c>
      <c r="O383" t="s">
        <v>115</v>
      </c>
      <c r="P383">
        <v>1</v>
      </c>
      <c r="Q383">
        <v>0</v>
      </c>
      <c r="R383">
        <v>0</v>
      </c>
      <c r="S383" t="s">
        <v>176</v>
      </c>
      <c r="T383" s="5" t="s">
        <v>24</v>
      </c>
      <c r="U383" s="5" t="s">
        <v>122</v>
      </c>
      <c r="V383" s="5" t="s">
        <v>115</v>
      </c>
      <c r="W383" s="5"/>
      <c r="X383" s="5"/>
      <c r="Y383" s="5"/>
      <c r="Z383" s="5" t="s">
        <v>115</v>
      </c>
      <c r="AA383" s="5" t="s">
        <v>115</v>
      </c>
      <c r="AB383" s="5" t="s">
        <v>115</v>
      </c>
      <c r="AC383" s="5" t="s">
        <v>115</v>
      </c>
      <c r="AD383" s="5" t="s">
        <v>115</v>
      </c>
      <c r="AE383" s="5" t="s">
        <v>115</v>
      </c>
      <c r="AF383" s="5" t="s">
        <v>115</v>
      </c>
      <c r="AG383" s="5" t="s">
        <v>115</v>
      </c>
      <c r="AH383">
        <v>0</v>
      </c>
      <c r="AI383">
        <v>0</v>
      </c>
      <c r="AJ383">
        <v>0</v>
      </c>
      <c r="AK383">
        <v>0</v>
      </c>
      <c r="AL383">
        <v>17</v>
      </c>
      <c r="AM383">
        <f t="shared" si="5"/>
        <v>17</v>
      </c>
      <c r="AN383" t="s">
        <v>188</v>
      </c>
    </row>
    <row r="384" spans="1:43" x14ac:dyDescent="0.2">
      <c r="A384" t="s">
        <v>2641</v>
      </c>
      <c r="B384" t="s">
        <v>2642</v>
      </c>
      <c r="C384">
        <v>8</v>
      </c>
      <c r="D384">
        <v>1</v>
      </c>
      <c r="E384" t="s">
        <v>2487</v>
      </c>
      <c r="F384" s="1">
        <v>43551</v>
      </c>
      <c r="G384" s="1" t="s">
        <v>4026</v>
      </c>
      <c r="H384" s="1"/>
      <c r="I384" s="2">
        <v>1.1805555555555555E-2</v>
      </c>
      <c r="J384" s="176">
        <v>1.9675925925925926E-4</v>
      </c>
      <c r="K384" s="6">
        <v>17</v>
      </c>
      <c r="L384" s="5" t="s">
        <v>398</v>
      </c>
      <c r="M384" t="s">
        <v>2488</v>
      </c>
      <c r="N384" t="s">
        <v>102</v>
      </c>
      <c r="O384" t="s">
        <v>115</v>
      </c>
      <c r="P384" t="s">
        <v>24</v>
      </c>
      <c r="Q384">
        <v>0</v>
      </c>
      <c r="R384">
        <v>0</v>
      </c>
      <c r="T384" t="s">
        <v>115</v>
      </c>
      <c r="U384" t="s">
        <v>115</v>
      </c>
      <c r="V384" t="s">
        <v>115</v>
      </c>
      <c r="Z384" t="s">
        <v>115</v>
      </c>
      <c r="AA384" t="s">
        <v>115</v>
      </c>
      <c r="AB384" t="s">
        <v>115</v>
      </c>
      <c r="AC384" t="s">
        <v>115</v>
      </c>
      <c r="AD384" t="s">
        <v>115</v>
      </c>
      <c r="AE384" t="s">
        <v>115</v>
      </c>
      <c r="AF384" t="s">
        <v>115</v>
      </c>
      <c r="AH384">
        <v>0</v>
      </c>
      <c r="AI384">
        <v>0</v>
      </c>
      <c r="AJ384">
        <v>0</v>
      </c>
      <c r="AK384">
        <v>0</v>
      </c>
      <c r="AL384">
        <v>17</v>
      </c>
      <c r="AM384">
        <f t="shared" si="5"/>
        <v>17</v>
      </c>
      <c r="AN384" t="s">
        <v>188</v>
      </c>
    </row>
    <row r="385" spans="1:43" x14ac:dyDescent="0.2">
      <c r="A385" t="s">
        <v>3383</v>
      </c>
      <c r="B385" t="s">
        <v>3384</v>
      </c>
      <c r="C385">
        <v>14</v>
      </c>
      <c r="D385">
        <v>1</v>
      </c>
      <c r="E385" t="s">
        <v>3171</v>
      </c>
      <c r="F385" s="1">
        <v>43577</v>
      </c>
      <c r="G385" s="1" t="s">
        <v>4027</v>
      </c>
      <c r="H385" s="1" t="s">
        <v>4752</v>
      </c>
      <c r="I385" s="2">
        <v>1.3194444444444444E-2</v>
      </c>
      <c r="J385" s="176">
        <v>2.199074074074074E-4</v>
      </c>
      <c r="K385" s="6">
        <v>19</v>
      </c>
      <c r="L385" t="s">
        <v>101</v>
      </c>
      <c r="M385" t="s">
        <v>670</v>
      </c>
      <c r="N385" t="s">
        <v>102</v>
      </c>
      <c r="O385" t="s">
        <v>115</v>
      </c>
      <c r="P385" t="s">
        <v>24</v>
      </c>
      <c r="Q385">
        <v>0</v>
      </c>
      <c r="R385">
        <v>0</v>
      </c>
      <c r="T385" s="5" t="s">
        <v>115</v>
      </c>
      <c r="U385" s="5" t="s">
        <v>115</v>
      </c>
      <c r="V385" s="5" t="s">
        <v>115</v>
      </c>
      <c r="W385" s="5"/>
      <c r="X385" s="5"/>
      <c r="Y385" s="5"/>
      <c r="Z385" s="5" t="s">
        <v>115</v>
      </c>
      <c r="AA385" s="5" t="s">
        <v>115</v>
      </c>
      <c r="AB385" s="5" t="s">
        <v>115</v>
      </c>
      <c r="AC385" s="5" t="s">
        <v>115</v>
      </c>
      <c r="AD385" s="5" t="s">
        <v>115</v>
      </c>
      <c r="AE385" s="5" t="s">
        <v>115</v>
      </c>
      <c r="AF385" s="5" t="s">
        <v>115</v>
      </c>
      <c r="AG385" s="5" t="s">
        <v>115</v>
      </c>
      <c r="AH385">
        <v>0</v>
      </c>
      <c r="AI385">
        <v>0</v>
      </c>
      <c r="AJ385">
        <v>0</v>
      </c>
      <c r="AK385">
        <v>0</v>
      </c>
      <c r="AL385">
        <v>17</v>
      </c>
      <c r="AM385">
        <f t="shared" si="5"/>
        <v>17</v>
      </c>
      <c r="AN385" t="s">
        <v>188</v>
      </c>
    </row>
    <row r="386" spans="1:43" x14ac:dyDescent="0.2">
      <c r="A386" t="s">
        <v>2846</v>
      </c>
      <c r="B386" t="s">
        <v>2847</v>
      </c>
      <c r="C386">
        <v>3</v>
      </c>
      <c r="D386">
        <v>1</v>
      </c>
      <c r="E386" t="s">
        <v>140</v>
      </c>
      <c r="F386" s="1">
        <v>43557</v>
      </c>
      <c r="G386" s="1" t="s">
        <v>4027</v>
      </c>
      <c r="H386" s="1"/>
      <c r="I386" s="2">
        <v>1.1111111111111112E-2</v>
      </c>
      <c r="J386" s="176">
        <v>1.8518518518518518E-4</v>
      </c>
      <c r="K386" s="6">
        <v>16</v>
      </c>
      <c r="M386" t="s">
        <v>149</v>
      </c>
      <c r="N386" t="s">
        <v>102</v>
      </c>
      <c r="O386" t="s">
        <v>115</v>
      </c>
      <c r="P386">
        <v>0</v>
      </c>
      <c r="Q386">
        <v>0</v>
      </c>
      <c r="R386">
        <v>0</v>
      </c>
      <c r="T386" s="5" t="s">
        <v>115</v>
      </c>
      <c r="U386" s="5" t="s">
        <v>115</v>
      </c>
      <c r="V386" s="5" t="s">
        <v>115</v>
      </c>
      <c r="W386" s="5"/>
      <c r="X386" s="5"/>
      <c r="Y386" s="5"/>
      <c r="Z386" s="5" t="s">
        <v>115</v>
      </c>
      <c r="AA386" s="5" t="s">
        <v>115</v>
      </c>
      <c r="AB386" s="5" t="s">
        <v>115</v>
      </c>
      <c r="AC386" s="5" t="s">
        <v>115</v>
      </c>
      <c r="AD386" s="5" t="s">
        <v>115</v>
      </c>
      <c r="AE386" s="5" t="s">
        <v>115</v>
      </c>
      <c r="AF386" s="5" t="s">
        <v>115</v>
      </c>
      <c r="AG386" s="5"/>
      <c r="AH386">
        <v>0</v>
      </c>
      <c r="AI386">
        <v>0</v>
      </c>
      <c r="AJ386">
        <v>0</v>
      </c>
      <c r="AK386">
        <v>0</v>
      </c>
      <c r="AL386">
        <v>16</v>
      </c>
      <c r="AM386">
        <f t="shared" ref="AM386:AM449" si="6">SUM(AH386+AI386+AL386)</f>
        <v>16</v>
      </c>
      <c r="AN386" t="s">
        <v>188</v>
      </c>
    </row>
    <row r="387" spans="1:43" x14ac:dyDescent="0.2">
      <c r="A387" t="s">
        <v>3172</v>
      </c>
      <c r="B387" t="s">
        <v>3173</v>
      </c>
      <c r="C387">
        <v>2</v>
      </c>
      <c r="D387">
        <v>1</v>
      </c>
      <c r="E387" t="s">
        <v>3171</v>
      </c>
      <c r="F387" s="1">
        <v>43571</v>
      </c>
      <c r="G387" s="1" t="s">
        <v>4027</v>
      </c>
      <c r="H387" s="1"/>
      <c r="I387" s="2">
        <v>1.3888888888888888E-2</v>
      </c>
      <c r="J387" s="176">
        <v>2.3148148148148146E-4</v>
      </c>
      <c r="K387" s="6">
        <v>20</v>
      </c>
      <c r="L387" t="s">
        <v>1278</v>
      </c>
      <c r="M387" t="s">
        <v>149</v>
      </c>
      <c r="N387" t="s">
        <v>102</v>
      </c>
      <c r="O387" t="s">
        <v>23</v>
      </c>
      <c r="P387">
        <v>0</v>
      </c>
      <c r="Q387">
        <v>0</v>
      </c>
      <c r="R387">
        <v>0</v>
      </c>
      <c r="T387" s="5" t="s">
        <v>115</v>
      </c>
      <c r="U387" s="5" t="s">
        <v>115</v>
      </c>
      <c r="V387" s="5" t="s">
        <v>115</v>
      </c>
      <c r="W387" s="5"/>
      <c r="X387" s="5"/>
      <c r="Y387" s="5"/>
      <c r="Z387" s="5" t="s">
        <v>115</v>
      </c>
      <c r="AA387" s="5" t="s">
        <v>115</v>
      </c>
      <c r="AB387" s="5" t="s">
        <v>115</v>
      </c>
      <c r="AC387" s="5" t="s">
        <v>115</v>
      </c>
      <c r="AD387" s="5" t="s">
        <v>115</v>
      </c>
      <c r="AE387" s="5" t="s">
        <v>115</v>
      </c>
      <c r="AF387" s="5" t="s">
        <v>115</v>
      </c>
      <c r="AG387" s="5"/>
      <c r="AH387">
        <v>11</v>
      </c>
      <c r="AI387">
        <v>0</v>
      </c>
      <c r="AJ387">
        <v>11</v>
      </c>
      <c r="AK387">
        <v>0</v>
      </c>
      <c r="AL387">
        <v>5</v>
      </c>
      <c r="AM387">
        <f t="shared" si="6"/>
        <v>16</v>
      </c>
      <c r="AN387" t="s">
        <v>188</v>
      </c>
      <c r="AO387" t="s">
        <v>3174</v>
      </c>
    </row>
    <row r="388" spans="1:43" x14ac:dyDescent="0.2">
      <c r="A388" t="s">
        <v>3143</v>
      </c>
      <c r="B388" t="s">
        <v>3144</v>
      </c>
      <c r="C388">
        <v>3</v>
      </c>
      <c r="D388">
        <v>1</v>
      </c>
      <c r="E388" t="s">
        <v>2462</v>
      </c>
      <c r="F388" s="1">
        <v>43571</v>
      </c>
      <c r="G388" s="1" t="s">
        <v>4027</v>
      </c>
      <c r="H388" s="1"/>
      <c r="I388" s="2">
        <v>1.8055555555555557E-2</v>
      </c>
      <c r="J388" s="176">
        <v>3.0092592592592595E-4</v>
      </c>
      <c r="K388" s="6">
        <v>26</v>
      </c>
      <c r="L388" t="s">
        <v>1278</v>
      </c>
      <c r="M388" t="s">
        <v>363</v>
      </c>
      <c r="N388" t="s">
        <v>102</v>
      </c>
      <c r="O388" t="s">
        <v>23</v>
      </c>
      <c r="P388">
        <v>0</v>
      </c>
      <c r="Q388">
        <v>0</v>
      </c>
      <c r="R388">
        <v>0</v>
      </c>
      <c r="T388" s="5" t="s">
        <v>115</v>
      </c>
      <c r="U388" s="5" t="s">
        <v>115</v>
      </c>
      <c r="V388" s="5" t="s">
        <v>115</v>
      </c>
      <c r="W388" s="5"/>
      <c r="X388" s="5"/>
      <c r="Y388" s="5"/>
      <c r="Z388" s="5" t="s">
        <v>115</v>
      </c>
      <c r="AA388" s="5" t="s">
        <v>115</v>
      </c>
      <c r="AB388" s="5" t="s">
        <v>115</v>
      </c>
      <c r="AC388" s="5" t="s">
        <v>115</v>
      </c>
      <c r="AD388" s="5" t="s">
        <v>115</v>
      </c>
      <c r="AE388" s="5" t="s">
        <v>115</v>
      </c>
      <c r="AF388" s="5" t="s">
        <v>115</v>
      </c>
      <c r="AG388" s="5"/>
      <c r="AH388">
        <v>0</v>
      </c>
      <c r="AI388">
        <v>16</v>
      </c>
      <c r="AJ388">
        <v>0</v>
      </c>
      <c r="AK388">
        <v>16</v>
      </c>
      <c r="AL388">
        <v>0</v>
      </c>
      <c r="AM388">
        <f t="shared" si="6"/>
        <v>16</v>
      </c>
      <c r="AN388" t="s">
        <v>188</v>
      </c>
    </row>
    <row r="389" spans="1:43" x14ac:dyDescent="0.2">
      <c r="A389" t="s">
        <v>3218</v>
      </c>
      <c r="B389" t="s">
        <v>3219</v>
      </c>
      <c r="C389">
        <v>16</v>
      </c>
      <c r="D389">
        <v>1</v>
      </c>
      <c r="E389" t="s">
        <v>2487</v>
      </c>
      <c r="F389" s="1">
        <v>43572</v>
      </c>
      <c r="G389" s="1" t="s">
        <v>4027</v>
      </c>
      <c r="H389" s="1"/>
      <c r="I389" s="2">
        <v>1.1111111111111112E-2</v>
      </c>
      <c r="J389" s="176">
        <v>1.8518518518518518E-4</v>
      </c>
      <c r="K389" s="6">
        <v>16</v>
      </c>
      <c r="L389" t="s">
        <v>3187</v>
      </c>
      <c r="M389" t="s">
        <v>2488</v>
      </c>
      <c r="N389" t="s">
        <v>102</v>
      </c>
      <c r="O389" t="s">
        <v>23</v>
      </c>
      <c r="P389">
        <v>1</v>
      </c>
      <c r="Q389" t="s">
        <v>24</v>
      </c>
      <c r="R389">
        <v>0</v>
      </c>
      <c r="S389" t="s">
        <v>176</v>
      </c>
      <c r="T389" s="5" t="s">
        <v>24</v>
      </c>
      <c r="U389" s="5" t="s">
        <v>709</v>
      </c>
      <c r="V389" s="5" t="s">
        <v>115</v>
      </c>
      <c r="W389" s="5"/>
      <c r="X389" s="5"/>
      <c r="Y389" s="5"/>
      <c r="Z389" s="5" t="s">
        <v>115</v>
      </c>
      <c r="AA389" s="5" t="s">
        <v>115</v>
      </c>
      <c r="AB389" s="5" t="s">
        <v>115</v>
      </c>
      <c r="AC389" s="5" t="s">
        <v>115</v>
      </c>
      <c r="AD389" s="5" t="s">
        <v>115</v>
      </c>
      <c r="AE389" s="5" t="s">
        <v>115</v>
      </c>
      <c r="AF389" s="5" t="s">
        <v>115</v>
      </c>
      <c r="AG389" s="5"/>
      <c r="AH389">
        <v>8</v>
      </c>
      <c r="AI389">
        <v>0</v>
      </c>
      <c r="AJ389">
        <v>8</v>
      </c>
      <c r="AK389">
        <v>0</v>
      </c>
      <c r="AL389">
        <v>8</v>
      </c>
      <c r="AM389">
        <f t="shared" si="6"/>
        <v>16</v>
      </c>
      <c r="AN389" t="s">
        <v>2374</v>
      </c>
      <c r="AP389">
        <v>1</v>
      </c>
      <c r="AQ389">
        <v>0</v>
      </c>
    </row>
    <row r="390" spans="1:43" x14ac:dyDescent="0.2">
      <c r="A390" t="s">
        <v>3337</v>
      </c>
      <c r="B390" t="s">
        <v>3338</v>
      </c>
      <c r="C390">
        <v>20</v>
      </c>
      <c r="D390">
        <v>1</v>
      </c>
      <c r="E390" t="s">
        <v>834</v>
      </c>
      <c r="F390" s="1">
        <v>43577</v>
      </c>
      <c r="G390" s="1" t="s">
        <v>4027</v>
      </c>
      <c r="H390" s="1"/>
      <c r="I390" s="2">
        <v>1.1111111111111112E-2</v>
      </c>
      <c r="J390" s="176">
        <v>1.8518518518518518E-4</v>
      </c>
      <c r="K390" s="6">
        <v>16</v>
      </c>
      <c r="L390" t="s">
        <v>101</v>
      </c>
      <c r="M390" t="s">
        <v>466</v>
      </c>
      <c r="N390" t="s">
        <v>102</v>
      </c>
      <c r="O390" t="s">
        <v>115</v>
      </c>
      <c r="P390">
        <v>0</v>
      </c>
      <c r="Q390">
        <v>0</v>
      </c>
      <c r="R390">
        <v>0</v>
      </c>
      <c r="T390" s="5" t="s">
        <v>115</v>
      </c>
      <c r="U390" s="5" t="s">
        <v>115</v>
      </c>
      <c r="V390" s="5" t="s">
        <v>115</v>
      </c>
      <c r="W390" s="5"/>
      <c r="X390" s="5"/>
      <c r="Y390" s="5"/>
      <c r="Z390" s="5" t="s">
        <v>115</v>
      </c>
      <c r="AA390" s="5" t="s">
        <v>115</v>
      </c>
      <c r="AB390" s="5" t="s">
        <v>115</v>
      </c>
      <c r="AC390" s="5" t="s">
        <v>115</v>
      </c>
      <c r="AD390" s="5" t="s">
        <v>115</v>
      </c>
      <c r="AE390" s="5" t="s">
        <v>115</v>
      </c>
      <c r="AF390" s="5" t="s">
        <v>115</v>
      </c>
      <c r="AG390" s="5" t="s">
        <v>115</v>
      </c>
      <c r="AH390">
        <v>0</v>
      </c>
      <c r="AI390">
        <v>0</v>
      </c>
      <c r="AJ390">
        <v>0</v>
      </c>
      <c r="AK390">
        <v>0</v>
      </c>
      <c r="AL390">
        <v>16</v>
      </c>
      <c r="AM390">
        <f t="shared" si="6"/>
        <v>16</v>
      </c>
      <c r="AN390" t="s">
        <v>188</v>
      </c>
    </row>
    <row r="391" spans="1:43" x14ac:dyDescent="0.2">
      <c r="A391" t="s">
        <v>3432</v>
      </c>
      <c r="B391" t="s">
        <v>3431</v>
      </c>
      <c r="C391">
        <v>2</v>
      </c>
      <c r="D391">
        <v>1</v>
      </c>
      <c r="E391" t="s">
        <v>2601</v>
      </c>
      <c r="F391" s="1">
        <v>43579</v>
      </c>
      <c r="G391" s="1" t="s">
        <v>4027</v>
      </c>
      <c r="H391" s="1"/>
      <c r="I391" s="2">
        <v>1.1111111111111112E-2</v>
      </c>
      <c r="J391" s="176">
        <v>1.8518518518518518E-4</v>
      </c>
      <c r="K391" s="6">
        <v>16</v>
      </c>
      <c r="L391" t="s">
        <v>101</v>
      </c>
      <c r="M391" t="s">
        <v>173</v>
      </c>
      <c r="N391" t="s">
        <v>102</v>
      </c>
      <c r="O391" t="s">
        <v>115</v>
      </c>
      <c r="P391">
        <v>0</v>
      </c>
      <c r="Q391">
        <v>0</v>
      </c>
      <c r="R391">
        <v>0</v>
      </c>
      <c r="T391" s="5" t="s">
        <v>115</v>
      </c>
      <c r="U391" s="5" t="s">
        <v>115</v>
      </c>
      <c r="V391" s="5" t="s">
        <v>115</v>
      </c>
      <c r="W391" s="5"/>
      <c r="X391" s="5"/>
      <c r="Y391" s="5"/>
      <c r="Z391" s="5" t="s">
        <v>115</v>
      </c>
      <c r="AA391" s="5" t="s">
        <v>115</v>
      </c>
      <c r="AB391" s="5" t="s">
        <v>115</v>
      </c>
      <c r="AC391" s="5" t="s">
        <v>115</v>
      </c>
      <c r="AD391" s="5" t="s">
        <v>115</v>
      </c>
      <c r="AE391" s="5" t="s">
        <v>115</v>
      </c>
      <c r="AF391" s="5" t="s">
        <v>115</v>
      </c>
      <c r="AG391" s="5" t="s">
        <v>115</v>
      </c>
      <c r="AH391">
        <v>0</v>
      </c>
      <c r="AI391">
        <v>0</v>
      </c>
      <c r="AJ391">
        <v>0</v>
      </c>
      <c r="AK391">
        <v>0</v>
      </c>
      <c r="AL391">
        <v>16</v>
      </c>
      <c r="AM391">
        <f t="shared" si="6"/>
        <v>16</v>
      </c>
      <c r="AN391" t="s">
        <v>188</v>
      </c>
    </row>
    <row r="392" spans="1:43" x14ac:dyDescent="0.2">
      <c r="A392" t="s">
        <v>3713</v>
      </c>
      <c r="B392" t="s">
        <v>3714</v>
      </c>
      <c r="C392">
        <v>14</v>
      </c>
      <c r="D392">
        <v>1</v>
      </c>
      <c r="E392" t="s">
        <v>3171</v>
      </c>
      <c r="F392" s="1">
        <v>43585</v>
      </c>
      <c r="G392" s="1" t="s">
        <v>4027</v>
      </c>
      <c r="H392" s="1" t="s">
        <v>4752</v>
      </c>
      <c r="I392" s="2">
        <v>1.9444444444444445E-2</v>
      </c>
      <c r="J392" s="176">
        <v>3.2407407407407406E-4</v>
      </c>
      <c r="K392" s="6">
        <v>28</v>
      </c>
      <c r="L392" t="s">
        <v>3626</v>
      </c>
      <c r="M392" t="s">
        <v>670</v>
      </c>
      <c r="N392" t="s">
        <v>102</v>
      </c>
      <c r="O392" t="s">
        <v>23</v>
      </c>
      <c r="P392">
        <v>1</v>
      </c>
      <c r="Q392" t="s">
        <v>24</v>
      </c>
      <c r="R392">
        <v>0</v>
      </c>
      <c r="S392" t="s">
        <v>176</v>
      </c>
      <c r="T392" s="5" t="s">
        <v>24</v>
      </c>
      <c r="U392" s="5" t="s">
        <v>1035</v>
      </c>
      <c r="V392" s="5" t="s">
        <v>115</v>
      </c>
      <c r="W392" s="5"/>
      <c r="X392" s="5"/>
      <c r="Y392" s="5"/>
      <c r="Z392" s="5" t="s">
        <v>115</v>
      </c>
      <c r="AA392" s="5" t="s">
        <v>115</v>
      </c>
      <c r="AB392" s="5" t="s">
        <v>115</v>
      </c>
      <c r="AC392" s="5" t="s">
        <v>115</v>
      </c>
      <c r="AD392" s="5" t="s">
        <v>115</v>
      </c>
      <c r="AE392" s="5" t="s">
        <v>115</v>
      </c>
      <c r="AF392" s="5" t="s">
        <v>115</v>
      </c>
      <c r="AG392" s="5" t="s">
        <v>115</v>
      </c>
      <c r="AH392">
        <v>0</v>
      </c>
      <c r="AI392">
        <v>16</v>
      </c>
      <c r="AJ392">
        <v>0</v>
      </c>
      <c r="AK392">
        <v>16</v>
      </c>
      <c r="AL392">
        <v>0</v>
      </c>
      <c r="AM392">
        <f t="shared" si="6"/>
        <v>16</v>
      </c>
      <c r="AN392" t="s">
        <v>165</v>
      </c>
      <c r="AP392">
        <v>1</v>
      </c>
    </row>
    <row r="393" spans="1:43" x14ac:dyDescent="0.2">
      <c r="A393" t="s">
        <v>3792</v>
      </c>
      <c r="B393" t="s">
        <v>3793</v>
      </c>
      <c r="C393">
        <v>18</v>
      </c>
      <c r="D393">
        <v>1</v>
      </c>
      <c r="E393" t="s">
        <v>3171</v>
      </c>
      <c r="F393" s="1">
        <v>43588</v>
      </c>
      <c r="G393" s="1" t="s">
        <v>4028</v>
      </c>
      <c r="H393" s="1"/>
      <c r="I393" s="2">
        <v>1.1111111111111112E-2</v>
      </c>
      <c r="J393" s="176">
        <v>1.8518518518518518E-4</v>
      </c>
      <c r="K393" s="6">
        <v>16</v>
      </c>
      <c r="L393" t="s">
        <v>3187</v>
      </c>
      <c r="M393" t="s">
        <v>149</v>
      </c>
      <c r="N393" t="s">
        <v>102</v>
      </c>
      <c r="O393" t="s">
        <v>115</v>
      </c>
      <c r="P393">
        <v>1</v>
      </c>
      <c r="Q393">
        <v>0</v>
      </c>
      <c r="R393">
        <v>0</v>
      </c>
      <c r="S393" t="s">
        <v>598</v>
      </c>
      <c r="T393" s="5" t="s">
        <v>2437</v>
      </c>
      <c r="U393" s="5" t="s">
        <v>122</v>
      </c>
      <c r="V393" s="5" t="s">
        <v>115</v>
      </c>
      <c r="W393" s="5"/>
      <c r="X393" s="5"/>
      <c r="Y393" s="5"/>
      <c r="Z393" s="5" t="s">
        <v>115</v>
      </c>
      <c r="AA393" s="5" t="s">
        <v>115</v>
      </c>
      <c r="AB393" s="5" t="s">
        <v>115</v>
      </c>
      <c r="AC393" s="5" t="s">
        <v>115</v>
      </c>
      <c r="AD393" s="5" t="s">
        <v>115</v>
      </c>
      <c r="AE393" s="5" t="s">
        <v>115</v>
      </c>
      <c r="AF393" s="5" t="s">
        <v>115</v>
      </c>
      <c r="AG393" s="5" t="s">
        <v>115</v>
      </c>
      <c r="AH393">
        <v>0</v>
      </c>
      <c r="AI393">
        <v>0</v>
      </c>
      <c r="AJ393">
        <v>0</v>
      </c>
      <c r="AK393">
        <v>0</v>
      </c>
      <c r="AL393">
        <v>16</v>
      </c>
      <c r="AM393">
        <f t="shared" si="6"/>
        <v>16</v>
      </c>
      <c r="AN393" t="s">
        <v>188</v>
      </c>
    </row>
    <row r="394" spans="1:43" x14ac:dyDescent="0.2">
      <c r="A394" t="s">
        <v>2438</v>
      </c>
      <c r="B394" t="s">
        <v>2439</v>
      </c>
      <c r="C394">
        <v>8</v>
      </c>
      <c r="D394">
        <v>1</v>
      </c>
      <c r="E394" t="s">
        <v>2420</v>
      </c>
      <c r="F394" s="1">
        <v>43546</v>
      </c>
      <c r="G394" s="1" t="s">
        <v>4026</v>
      </c>
      <c r="H394" s="1"/>
      <c r="I394" s="2">
        <v>1.1111111111111112E-2</v>
      </c>
      <c r="J394" s="176">
        <v>1.8518518518518518E-4</v>
      </c>
      <c r="K394" s="6">
        <v>16</v>
      </c>
      <c r="L394" t="s">
        <v>101</v>
      </c>
      <c r="M394" t="s">
        <v>241</v>
      </c>
      <c r="N394" t="s">
        <v>102</v>
      </c>
      <c r="O394" t="s">
        <v>115</v>
      </c>
      <c r="P394" t="s">
        <v>24</v>
      </c>
      <c r="Q394">
        <v>0</v>
      </c>
      <c r="R394">
        <v>0</v>
      </c>
      <c r="T394" t="s">
        <v>115</v>
      </c>
      <c r="U394" t="s">
        <v>115</v>
      </c>
      <c r="V394" t="s">
        <v>115</v>
      </c>
      <c r="Z394" t="s">
        <v>115</v>
      </c>
      <c r="AA394" t="s">
        <v>115</v>
      </c>
      <c r="AB394" t="s">
        <v>115</v>
      </c>
      <c r="AC394" t="s">
        <v>115</v>
      </c>
      <c r="AD394" t="s">
        <v>115</v>
      </c>
      <c r="AH394">
        <v>0</v>
      </c>
      <c r="AI394">
        <v>0</v>
      </c>
      <c r="AJ394">
        <v>0</v>
      </c>
      <c r="AK394">
        <v>0</v>
      </c>
      <c r="AL394">
        <v>16</v>
      </c>
      <c r="AM394">
        <f t="shared" si="6"/>
        <v>16</v>
      </c>
      <c r="AN394" t="s">
        <v>188</v>
      </c>
    </row>
    <row r="395" spans="1:43" x14ac:dyDescent="0.2">
      <c r="A395" t="s">
        <v>2440</v>
      </c>
      <c r="B395" t="s">
        <v>2441</v>
      </c>
      <c r="C395">
        <v>9</v>
      </c>
      <c r="D395">
        <v>1</v>
      </c>
      <c r="E395" t="s">
        <v>2420</v>
      </c>
      <c r="F395" s="1">
        <v>43546</v>
      </c>
      <c r="G395" s="1" t="s">
        <v>4026</v>
      </c>
      <c r="H395" s="1"/>
      <c r="I395" s="2">
        <v>1.1111111111111112E-2</v>
      </c>
      <c r="J395" s="176">
        <v>1.8518518518518518E-4</v>
      </c>
      <c r="K395" s="6">
        <v>16</v>
      </c>
      <c r="L395" t="s">
        <v>101</v>
      </c>
      <c r="M395" t="s">
        <v>241</v>
      </c>
      <c r="N395" t="s">
        <v>102</v>
      </c>
      <c r="O395" t="s">
        <v>115</v>
      </c>
      <c r="P395" t="s">
        <v>24</v>
      </c>
      <c r="Q395">
        <v>0</v>
      </c>
      <c r="R395">
        <v>0</v>
      </c>
      <c r="T395" t="s">
        <v>115</v>
      </c>
      <c r="U395" t="s">
        <v>115</v>
      </c>
      <c r="V395" t="s">
        <v>115</v>
      </c>
      <c r="Z395" t="s">
        <v>115</v>
      </c>
      <c r="AA395" t="s">
        <v>115</v>
      </c>
      <c r="AB395" t="s">
        <v>115</v>
      </c>
      <c r="AC395" t="s">
        <v>115</v>
      </c>
      <c r="AD395" t="s">
        <v>115</v>
      </c>
      <c r="AH395">
        <v>0</v>
      </c>
      <c r="AI395">
        <v>0</v>
      </c>
      <c r="AJ395">
        <v>0</v>
      </c>
      <c r="AK395">
        <v>0</v>
      </c>
      <c r="AL395">
        <v>16</v>
      </c>
      <c r="AM395">
        <f t="shared" si="6"/>
        <v>16</v>
      </c>
      <c r="AN395" t="s">
        <v>188</v>
      </c>
    </row>
    <row r="396" spans="1:43" x14ac:dyDescent="0.2">
      <c r="A396" t="s">
        <v>2721</v>
      </c>
      <c r="B396" t="s">
        <v>2722</v>
      </c>
      <c r="C396">
        <v>20</v>
      </c>
      <c r="D396">
        <v>1</v>
      </c>
      <c r="E396" t="s">
        <v>324</v>
      </c>
      <c r="F396" s="1">
        <v>43554</v>
      </c>
      <c r="G396" s="1" t="s">
        <v>4026</v>
      </c>
      <c r="H396" s="1"/>
      <c r="I396" s="2">
        <v>1.1805555555555555E-2</v>
      </c>
      <c r="J396" s="176">
        <v>1.9675925925925926E-4</v>
      </c>
      <c r="K396" s="6">
        <v>17</v>
      </c>
      <c r="M396" t="s">
        <v>325</v>
      </c>
      <c r="N396" t="s">
        <v>102</v>
      </c>
      <c r="O396" t="s">
        <v>115</v>
      </c>
      <c r="P396" t="s">
        <v>24</v>
      </c>
      <c r="Q396">
        <v>0</v>
      </c>
      <c r="R396">
        <v>0</v>
      </c>
      <c r="T396" s="5" t="s">
        <v>115</v>
      </c>
      <c r="U396" s="5" t="s">
        <v>115</v>
      </c>
      <c r="V396" s="5" t="s">
        <v>115</v>
      </c>
      <c r="W396" s="5"/>
      <c r="X396" s="5"/>
      <c r="Y396" s="5"/>
      <c r="Z396" s="5" t="s">
        <v>115</v>
      </c>
      <c r="AA396" s="5" t="s">
        <v>115</v>
      </c>
      <c r="AB396" s="5" t="s">
        <v>115</v>
      </c>
      <c r="AC396" s="5" t="s">
        <v>115</v>
      </c>
      <c r="AD396" s="5" t="s">
        <v>115</v>
      </c>
      <c r="AE396" s="5" t="s">
        <v>115</v>
      </c>
      <c r="AF396" s="5" t="s">
        <v>115</v>
      </c>
      <c r="AG396" s="5"/>
      <c r="AH396">
        <v>0</v>
      </c>
      <c r="AI396">
        <v>0</v>
      </c>
      <c r="AJ396">
        <v>0</v>
      </c>
      <c r="AK396">
        <v>0</v>
      </c>
      <c r="AL396">
        <v>16</v>
      </c>
      <c r="AM396">
        <f t="shared" si="6"/>
        <v>16</v>
      </c>
      <c r="AN396" t="s">
        <v>188</v>
      </c>
    </row>
    <row r="397" spans="1:43" x14ac:dyDescent="0.2">
      <c r="A397" t="s">
        <v>2832</v>
      </c>
      <c r="B397" t="s">
        <v>2833</v>
      </c>
      <c r="C397">
        <v>3</v>
      </c>
      <c r="D397">
        <v>1</v>
      </c>
      <c r="E397" t="s">
        <v>2781</v>
      </c>
      <c r="F397" s="1">
        <v>43556</v>
      </c>
      <c r="G397" s="1" t="s">
        <v>4027</v>
      </c>
      <c r="H397" s="1"/>
      <c r="I397" s="2">
        <v>1.1111111111111112E-2</v>
      </c>
      <c r="J397" s="176">
        <v>1.8518518518518518E-4</v>
      </c>
      <c r="K397" s="6">
        <v>16</v>
      </c>
      <c r="M397" t="s">
        <v>64</v>
      </c>
      <c r="N397" t="s">
        <v>102</v>
      </c>
      <c r="O397" t="s">
        <v>115</v>
      </c>
      <c r="P397" t="s">
        <v>24</v>
      </c>
      <c r="Q397">
        <v>0</v>
      </c>
      <c r="R397">
        <v>0</v>
      </c>
      <c r="T397" s="5" t="s">
        <v>115</v>
      </c>
      <c r="U397" s="5" t="s">
        <v>115</v>
      </c>
      <c r="V397" s="5" t="s">
        <v>115</v>
      </c>
      <c r="W397" s="5"/>
      <c r="X397" s="5"/>
      <c r="Y397" s="5"/>
      <c r="Z397" s="5" t="s">
        <v>115</v>
      </c>
      <c r="AA397" s="5" t="s">
        <v>115</v>
      </c>
      <c r="AB397" s="5" t="s">
        <v>115</v>
      </c>
      <c r="AC397" s="5" t="s">
        <v>115</v>
      </c>
      <c r="AD397" s="5" t="s">
        <v>115</v>
      </c>
      <c r="AE397" s="5" t="s">
        <v>115</v>
      </c>
      <c r="AF397" s="5" t="s">
        <v>115</v>
      </c>
      <c r="AG397" s="5"/>
      <c r="AH397">
        <v>0</v>
      </c>
      <c r="AI397">
        <v>0</v>
      </c>
      <c r="AJ397">
        <v>0</v>
      </c>
      <c r="AK397">
        <v>0</v>
      </c>
      <c r="AL397">
        <v>16</v>
      </c>
      <c r="AM397">
        <f t="shared" si="6"/>
        <v>16</v>
      </c>
      <c r="AN397" t="s">
        <v>188</v>
      </c>
    </row>
    <row r="398" spans="1:43" x14ac:dyDescent="0.2">
      <c r="A398" t="s">
        <v>3506</v>
      </c>
      <c r="B398" t="s">
        <v>3507</v>
      </c>
      <c r="C398">
        <v>26</v>
      </c>
      <c r="D398">
        <v>1</v>
      </c>
      <c r="E398" t="s">
        <v>2462</v>
      </c>
      <c r="F398" s="1">
        <v>43579</v>
      </c>
      <c r="G398" s="1" t="s">
        <v>4027</v>
      </c>
      <c r="H398" s="1"/>
      <c r="I398" s="2">
        <v>1.1111111111111112E-2</v>
      </c>
      <c r="J398" s="176">
        <v>1.8518518518518518E-4</v>
      </c>
      <c r="K398" s="6">
        <v>16</v>
      </c>
      <c r="L398" t="s">
        <v>101</v>
      </c>
      <c r="M398" t="s">
        <v>64</v>
      </c>
      <c r="N398" t="s">
        <v>102</v>
      </c>
      <c r="O398" t="s">
        <v>115</v>
      </c>
      <c r="P398" t="s">
        <v>24</v>
      </c>
      <c r="Q398">
        <v>0</v>
      </c>
      <c r="R398">
        <v>0</v>
      </c>
      <c r="T398" s="5" t="s">
        <v>115</v>
      </c>
      <c r="U398" s="5" t="s">
        <v>115</v>
      </c>
      <c r="V398" s="5" t="s">
        <v>115</v>
      </c>
      <c r="W398" s="5"/>
      <c r="X398" s="5"/>
      <c r="Y398" s="5"/>
      <c r="Z398" s="5" t="s">
        <v>115</v>
      </c>
      <c r="AA398" s="5" t="s">
        <v>115</v>
      </c>
      <c r="AB398" s="5" t="s">
        <v>115</v>
      </c>
      <c r="AC398" s="5" t="s">
        <v>115</v>
      </c>
      <c r="AD398" s="5" t="s">
        <v>115</v>
      </c>
      <c r="AE398" s="5" t="s">
        <v>115</v>
      </c>
      <c r="AF398" s="5" t="s">
        <v>115</v>
      </c>
      <c r="AG398" s="5" t="s">
        <v>115</v>
      </c>
      <c r="AH398">
        <v>0</v>
      </c>
      <c r="AI398">
        <v>0</v>
      </c>
      <c r="AJ398">
        <v>0</v>
      </c>
      <c r="AK398">
        <v>0</v>
      </c>
      <c r="AL398">
        <v>16</v>
      </c>
      <c r="AM398">
        <f t="shared" si="6"/>
        <v>16</v>
      </c>
      <c r="AN398" t="s">
        <v>188</v>
      </c>
    </row>
    <row r="399" spans="1:43" x14ac:dyDescent="0.2">
      <c r="A399" t="s">
        <v>3717</v>
      </c>
      <c r="B399" t="s">
        <v>3718</v>
      </c>
      <c r="C399">
        <v>16</v>
      </c>
      <c r="D399">
        <v>1</v>
      </c>
      <c r="E399" t="s">
        <v>3171</v>
      </c>
      <c r="F399" s="1">
        <v>43585</v>
      </c>
      <c r="G399" s="1" t="s">
        <v>4027</v>
      </c>
      <c r="H399" s="1" t="s">
        <v>4752</v>
      </c>
      <c r="I399" s="2">
        <v>1.1111111111111112E-2</v>
      </c>
      <c r="J399" s="176">
        <v>1.8518518518518518E-4</v>
      </c>
      <c r="K399" s="6">
        <v>16</v>
      </c>
      <c r="L399" t="s">
        <v>3626</v>
      </c>
      <c r="M399" t="s">
        <v>670</v>
      </c>
      <c r="N399" t="s">
        <v>102</v>
      </c>
      <c r="O399" t="s">
        <v>12</v>
      </c>
      <c r="P399" t="s">
        <v>24</v>
      </c>
      <c r="Q399" t="s">
        <v>24</v>
      </c>
      <c r="R399">
        <v>0</v>
      </c>
      <c r="T399" s="5" t="s">
        <v>115</v>
      </c>
      <c r="U399" s="5" t="s">
        <v>115</v>
      </c>
      <c r="V399" s="5" t="s">
        <v>115</v>
      </c>
      <c r="W399" s="5"/>
      <c r="X399" s="5"/>
      <c r="Y399" s="5"/>
      <c r="Z399" s="5" t="s">
        <v>115</v>
      </c>
      <c r="AA399" s="5" t="s">
        <v>115</v>
      </c>
      <c r="AB399" s="5" t="s">
        <v>115</v>
      </c>
      <c r="AC399" s="5" t="s">
        <v>115</v>
      </c>
      <c r="AD399" s="5" t="s">
        <v>115</v>
      </c>
      <c r="AE399" s="20">
        <v>63.724490000000003</v>
      </c>
      <c r="AF399" s="20">
        <v>148.95013</v>
      </c>
      <c r="AG399" s="5" t="s">
        <v>3719</v>
      </c>
      <c r="AH399">
        <v>16</v>
      </c>
      <c r="AI399">
        <v>0</v>
      </c>
      <c r="AJ399">
        <v>0</v>
      </c>
      <c r="AK399">
        <v>16</v>
      </c>
      <c r="AL399">
        <v>0</v>
      </c>
      <c r="AM399">
        <f t="shared" si="6"/>
        <v>16</v>
      </c>
      <c r="AN399" t="s">
        <v>165</v>
      </c>
      <c r="AP399">
        <v>1</v>
      </c>
    </row>
    <row r="400" spans="1:43" x14ac:dyDescent="0.2">
      <c r="A400" t="s">
        <v>2365</v>
      </c>
      <c r="B400" t="s">
        <v>2366</v>
      </c>
      <c r="C400">
        <v>10</v>
      </c>
      <c r="D400">
        <v>1</v>
      </c>
      <c r="E400" t="s">
        <v>2343</v>
      </c>
      <c r="F400" s="1">
        <v>43544</v>
      </c>
      <c r="G400" s="1" t="s">
        <v>4026</v>
      </c>
      <c r="H400" s="1"/>
      <c r="I400" s="2">
        <v>1.3888888888888888E-2</v>
      </c>
      <c r="J400" s="176">
        <v>2.3148148148148146E-4</v>
      </c>
      <c r="K400" s="6">
        <v>20</v>
      </c>
      <c r="L400" t="s">
        <v>101</v>
      </c>
      <c r="M400" t="s">
        <v>2355</v>
      </c>
      <c r="N400" t="s">
        <v>102</v>
      </c>
      <c r="O400" t="s">
        <v>23</v>
      </c>
      <c r="P400">
        <v>1</v>
      </c>
      <c r="Q400" t="s">
        <v>24</v>
      </c>
      <c r="R400">
        <v>0</v>
      </c>
      <c r="S400" t="s">
        <v>176</v>
      </c>
      <c r="T400" t="s">
        <v>24</v>
      </c>
      <c r="U400" t="s">
        <v>2367</v>
      </c>
      <c r="V400" t="s">
        <v>115</v>
      </c>
      <c r="Z400" t="s">
        <v>115</v>
      </c>
      <c r="AA400" t="s">
        <v>115</v>
      </c>
      <c r="AB400" t="s">
        <v>115</v>
      </c>
      <c r="AC400" t="s">
        <v>115</v>
      </c>
      <c r="AD400" t="s">
        <v>115</v>
      </c>
      <c r="AH400" s="2">
        <v>15</v>
      </c>
      <c r="AI400">
        <v>0</v>
      </c>
      <c r="AJ400">
        <v>15</v>
      </c>
      <c r="AK400">
        <v>0</v>
      </c>
      <c r="AL400">
        <v>0</v>
      </c>
      <c r="AM400">
        <f t="shared" si="6"/>
        <v>15</v>
      </c>
      <c r="AN400" t="s">
        <v>188</v>
      </c>
      <c r="AP400">
        <v>0</v>
      </c>
      <c r="AQ400">
        <v>1</v>
      </c>
    </row>
    <row r="401" spans="1:43" x14ac:dyDescent="0.2">
      <c r="A401" t="s">
        <v>2570</v>
      </c>
      <c r="B401" t="s">
        <v>2571</v>
      </c>
      <c r="C401">
        <v>11</v>
      </c>
      <c r="D401">
        <v>1</v>
      </c>
      <c r="E401" t="s">
        <v>324</v>
      </c>
      <c r="F401" s="1">
        <v>43550</v>
      </c>
      <c r="G401" s="1" t="s">
        <v>4026</v>
      </c>
      <c r="H401" s="1"/>
      <c r="I401" s="2">
        <v>1.0416666666666666E-2</v>
      </c>
      <c r="J401" s="176">
        <v>1.7361111111111112E-4</v>
      </c>
      <c r="K401" s="6">
        <v>15</v>
      </c>
      <c r="L401" s="5" t="s">
        <v>640</v>
      </c>
      <c r="M401" t="s">
        <v>325</v>
      </c>
      <c r="N401" t="s">
        <v>102</v>
      </c>
      <c r="O401" t="s">
        <v>115</v>
      </c>
      <c r="P401">
        <v>0</v>
      </c>
      <c r="Q401">
        <v>0</v>
      </c>
      <c r="R401">
        <v>0</v>
      </c>
      <c r="T401" t="s">
        <v>115</v>
      </c>
      <c r="U401" t="s">
        <v>115</v>
      </c>
      <c r="V401" t="s">
        <v>115</v>
      </c>
      <c r="Z401" t="s">
        <v>115</v>
      </c>
      <c r="AA401" t="s">
        <v>115</v>
      </c>
      <c r="AB401" t="s">
        <v>115</v>
      </c>
      <c r="AC401" t="s">
        <v>115</v>
      </c>
      <c r="AD401" t="s">
        <v>115</v>
      </c>
      <c r="AH401">
        <v>0</v>
      </c>
      <c r="AI401">
        <v>0</v>
      </c>
      <c r="AJ401">
        <v>0</v>
      </c>
      <c r="AK401">
        <v>0</v>
      </c>
      <c r="AL401">
        <v>15</v>
      </c>
      <c r="AM401">
        <f t="shared" si="6"/>
        <v>15</v>
      </c>
      <c r="AN401" t="s">
        <v>188</v>
      </c>
    </row>
    <row r="402" spans="1:43" x14ac:dyDescent="0.2">
      <c r="A402" t="s">
        <v>2610</v>
      </c>
      <c r="B402" t="s">
        <v>2611</v>
      </c>
      <c r="C402">
        <v>2</v>
      </c>
      <c r="D402">
        <v>1</v>
      </c>
      <c r="E402" t="s">
        <v>2601</v>
      </c>
      <c r="F402" s="1">
        <v>43551</v>
      </c>
      <c r="G402" s="1" t="s">
        <v>4026</v>
      </c>
      <c r="H402" s="1"/>
      <c r="I402" s="2">
        <v>1.2499999999999999E-2</v>
      </c>
      <c r="J402" s="176">
        <v>2.0833333333333335E-4</v>
      </c>
      <c r="K402" s="6">
        <v>18</v>
      </c>
      <c r="L402" s="5" t="s">
        <v>398</v>
      </c>
      <c r="M402" t="s">
        <v>173</v>
      </c>
      <c r="N402" t="s">
        <v>102</v>
      </c>
      <c r="O402" t="s">
        <v>23</v>
      </c>
      <c r="P402">
        <v>0</v>
      </c>
      <c r="Q402">
        <v>0</v>
      </c>
      <c r="R402">
        <v>0</v>
      </c>
      <c r="T402" t="s">
        <v>115</v>
      </c>
      <c r="U402" t="s">
        <v>115</v>
      </c>
      <c r="V402" t="s">
        <v>115</v>
      </c>
      <c r="Z402" t="s">
        <v>115</v>
      </c>
      <c r="AA402" t="s">
        <v>115</v>
      </c>
      <c r="AB402" t="s">
        <v>115</v>
      </c>
      <c r="AC402" t="s">
        <v>115</v>
      </c>
      <c r="AD402" t="s">
        <v>115</v>
      </c>
      <c r="AE402" t="s">
        <v>115</v>
      </c>
      <c r="AF402" t="s">
        <v>115</v>
      </c>
      <c r="AH402">
        <v>0</v>
      </c>
      <c r="AI402">
        <v>15</v>
      </c>
      <c r="AJ402">
        <v>0</v>
      </c>
      <c r="AK402">
        <v>15</v>
      </c>
      <c r="AL402">
        <v>0</v>
      </c>
      <c r="AM402">
        <f t="shared" si="6"/>
        <v>15</v>
      </c>
      <c r="AN402" t="s">
        <v>188</v>
      </c>
    </row>
    <row r="403" spans="1:43" x14ac:dyDescent="0.2">
      <c r="A403" t="s">
        <v>2701</v>
      </c>
      <c r="B403" t="s">
        <v>2702</v>
      </c>
      <c r="C403">
        <v>10</v>
      </c>
      <c r="D403">
        <v>1</v>
      </c>
      <c r="E403" t="s">
        <v>324</v>
      </c>
      <c r="F403" s="1">
        <v>43554</v>
      </c>
      <c r="G403" s="1" t="s">
        <v>4026</v>
      </c>
      <c r="H403" s="1"/>
      <c r="I403" s="2">
        <v>1.5277777777777777E-2</v>
      </c>
      <c r="J403" s="176">
        <v>2.5462962962962961E-4</v>
      </c>
      <c r="K403" s="6">
        <v>22</v>
      </c>
      <c r="M403" t="s">
        <v>325</v>
      </c>
      <c r="N403" t="s">
        <v>102</v>
      </c>
      <c r="O403" t="s">
        <v>12</v>
      </c>
      <c r="P403">
        <v>0</v>
      </c>
      <c r="Q403">
        <v>0</v>
      </c>
      <c r="R403">
        <v>0</v>
      </c>
      <c r="T403" t="s">
        <v>115</v>
      </c>
      <c r="U403" t="s">
        <v>115</v>
      </c>
      <c r="V403" t="s">
        <v>115</v>
      </c>
      <c r="Z403" t="s">
        <v>115</v>
      </c>
      <c r="AA403" t="s">
        <v>115</v>
      </c>
      <c r="AB403" t="s">
        <v>115</v>
      </c>
      <c r="AC403" t="s">
        <v>115</v>
      </c>
      <c r="AD403" t="s">
        <v>115</v>
      </c>
      <c r="AE403" t="s">
        <v>115</v>
      </c>
      <c r="AF403" t="s">
        <v>115</v>
      </c>
      <c r="AH403">
        <v>15</v>
      </c>
      <c r="AI403">
        <v>0</v>
      </c>
      <c r="AJ403">
        <v>0</v>
      </c>
      <c r="AK403">
        <v>15</v>
      </c>
      <c r="AL403">
        <v>0</v>
      </c>
      <c r="AM403">
        <f t="shared" si="6"/>
        <v>15</v>
      </c>
      <c r="AN403" t="s">
        <v>188</v>
      </c>
    </row>
    <row r="404" spans="1:43" x14ac:dyDescent="0.2">
      <c r="A404" t="s">
        <v>2827</v>
      </c>
      <c r="B404" t="s">
        <v>2828</v>
      </c>
      <c r="C404">
        <v>1</v>
      </c>
      <c r="D404">
        <v>1</v>
      </c>
      <c r="E404" t="s">
        <v>2781</v>
      </c>
      <c r="F404" s="1">
        <v>43556</v>
      </c>
      <c r="G404" s="1" t="s">
        <v>4027</v>
      </c>
      <c r="H404" s="1"/>
      <c r="I404" s="2">
        <v>2.2916666666666669E-2</v>
      </c>
      <c r="J404" s="176">
        <v>3.8194444444444446E-4</v>
      </c>
      <c r="K404" s="6">
        <v>33</v>
      </c>
      <c r="M404" t="s">
        <v>64</v>
      </c>
      <c r="N404" t="s">
        <v>102</v>
      </c>
      <c r="O404" t="s">
        <v>115</v>
      </c>
      <c r="P404">
        <v>1</v>
      </c>
      <c r="Q404">
        <v>0</v>
      </c>
      <c r="R404">
        <v>0</v>
      </c>
      <c r="S404" t="s">
        <v>176</v>
      </c>
      <c r="T404" s="5" t="s">
        <v>2829</v>
      </c>
      <c r="U404" s="5" t="s">
        <v>122</v>
      </c>
      <c r="V404" s="5" t="s">
        <v>115</v>
      </c>
      <c r="W404" s="5"/>
      <c r="X404" s="5"/>
      <c r="Y404" s="5"/>
      <c r="Z404" s="5" t="s">
        <v>115</v>
      </c>
      <c r="AA404" s="5" t="s">
        <v>115</v>
      </c>
      <c r="AB404" s="5" t="s">
        <v>115</v>
      </c>
      <c r="AC404" s="5" t="s">
        <v>115</v>
      </c>
      <c r="AD404" s="5" t="s">
        <v>115</v>
      </c>
      <c r="AE404" s="5" t="s">
        <v>115</v>
      </c>
      <c r="AF404" s="5" t="s">
        <v>115</v>
      </c>
      <c r="AG404" s="5"/>
      <c r="AH404">
        <v>0</v>
      </c>
      <c r="AI404">
        <v>0</v>
      </c>
      <c r="AJ404">
        <v>0</v>
      </c>
      <c r="AK404">
        <v>0</v>
      </c>
      <c r="AL404">
        <v>15</v>
      </c>
      <c r="AM404">
        <f t="shared" si="6"/>
        <v>15</v>
      </c>
      <c r="AN404" t="s">
        <v>188</v>
      </c>
    </row>
    <row r="405" spans="1:43" x14ac:dyDescent="0.2">
      <c r="A405" t="s">
        <v>2996</v>
      </c>
      <c r="B405" t="s">
        <v>2997</v>
      </c>
      <c r="C405">
        <v>33</v>
      </c>
      <c r="D405">
        <v>1</v>
      </c>
      <c r="E405" t="s">
        <v>834</v>
      </c>
      <c r="F405" s="1">
        <v>43560</v>
      </c>
      <c r="G405" s="1" t="s">
        <v>4027</v>
      </c>
      <c r="H405" s="1"/>
      <c r="I405" s="2">
        <v>1.0416666666666666E-2</v>
      </c>
      <c r="J405" s="176">
        <v>1.7361111111111112E-4</v>
      </c>
      <c r="K405" s="6">
        <v>15</v>
      </c>
      <c r="M405" t="s">
        <v>466</v>
      </c>
      <c r="N405" t="s">
        <v>102</v>
      </c>
      <c r="O405" t="s">
        <v>115</v>
      </c>
      <c r="P405">
        <v>1</v>
      </c>
      <c r="Q405">
        <v>0</v>
      </c>
      <c r="R405">
        <v>0</v>
      </c>
      <c r="S405" t="s">
        <v>598</v>
      </c>
      <c r="T405" s="5" t="s">
        <v>2801</v>
      </c>
      <c r="U405" s="5" t="s">
        <v>122</v>
      </c>
      <c r="V405" s="5" t="s">
        <v>115</v>
      </c>
      <c r="W405" s="5"/>
      <c r="X405" s="5"/>
      <c r="Y405" s="5"/>
      <c r="Z405" s="5" t="s">
        <v>115</v>
      </c>
      <c r="AA405" s="5" t="s">
        <v>115</v>
      </c>
      <c r="AB405" s="5" t="s">
        <v>115</v>
      </c>
      <c r="AC405" s="5" t="s">
        <v>115</v>
      </c>
      <c r="AD405" s="5" t="s">
        <v>115</v>
      </c>
      <c r="AE405" s="5" t="s">
        <v>115</v>
      </c>
      <c r="AF405" s="5" t="s">
        <v>115</v>
      </c>
      <c r="AG405" s="5"/>
      <c r="AH405">
        <v>0</v>
      </c>
      <c r="AI405">
        <v>0</v>
      </c>
      <c r="AJ405">
        <v>0</v>
      </c>
      <c r="AK405">
        <v>0</v>
      </c>
      <c r="AL405">
        <v>15</v>
      </c>
      <c r="AM405">
        <f t="shared" si="6"/>
        <v>15</v>
      </c>
      <c r="AN405" t="s">
        <v>188</v>
      </c>
    </row>
    <row r="406" spans="1:43" x14ac:dyDescent="0.2">
      <c r="A406" t="s">
        <v>3011</v>
      </c>
      <c r="B406" t="s">
        <v>3012</v>
      </c>
      <c r="C406">
        <v>6</v>
      </c>
      <c r="D406">
        <v>1</v>
      </c>
      <c r="E406" t="s">
        <v>324</v>
      </c>
      <c r="F406" s="1">
        <v>43564</v>
      </c>
      <c r="G406" s="1" t="s">
        <v>4027</v>
      </c>
      <c r="H406" s="1"/>
      <c r="I406" s="2">
        <v>2.5694444444444447E-2</v>
      </c>
      <c r="J406" s="176">
        <v>4.2824074074074075E-4</v>
      </c>
      <c r="K406" s="6">
        <v>37</v>
      </c>
      <c r="M406" t="s">
        <v>325</v>
      </c>
      <c r="N406" t="s">
        <v>102</v>
      </c>
      <c r="O406" t="s">
        <v>115</v>
      </c>
      <c r="P406">
        <v>1</v>
      </c>
      <c r="Q406">
        <v>0</v>
      </c>
      <c r="R406">
        <v>0</v>
      </c>
      <c r="S406" t="s">
        <v>176</v>
      </c>
      <c r="T406" s="5" t="s">
        <v>24</v>
      </c>
      <c r="U406" s="5" t="s">
        <v>115</v>
      </c>
      <c r="V406" s="5" t="s">
        <v>115</v>
      </c>
      <c r="W406" s="5"/>
      <c r="X406" s="5"/>
      <c r="Y406" s="5"/>
      <c r="Z406" s="5" t="s">
        <v>115</v>
      </c>
      <c r="AA406" s="5" t="s">
        <v>115</v>
      </c>
      <c r="AB406" s="5" t="s">
        <v>115</v>
      </c>
      <c r="AC406" s="5" t="s">
        <v>115</v>
      </c>
      <c r="AD406" s="5" t="s">
        <v>115</v>
      </c>
      <c r="AE406" s="5" t="s">
        <v>115</v>
      </c>
      <c r="AF406" s="5" t="s">
        <v>115</v>
      </c>
      <c r="AG406" s="5"/>
      <c r="AH406">
        <v>0</v>
      </c>
      <c r="AI406">
        <v>0</v>
      </c>
      <c r="AJ406">
        <v>0</v>
      </c>
      <c r="AK406">
        <v>0</v>
      </c>
      <c r="AL406">
        <v>15</v>
      </c>
      <c r="AM406">
        <f t="shared" si="6"/>
        <v>15</v>
      </c>
    </row>
    <row r="407" spans="1:43" x14ac:dyDescent="0.2">
      <c r="A407" t="s">
        <v>3369</v>
      </c>
      <c r="B407" t="s">
        <v>3370</v>
      </c>
      <c r="C407">
        <v>8</v>
      </c>
      <c r="D407">
        <v>1</v>
      </c>
      <c r="E407" t="s">
        <v>3171</v>
      </c>
      <c r="F407" s="1">
        <v>43577</v>
      </c>
      <c r="G407" s="1" t="s">
        <v>4027</v>
      </c>
      <c r="H407" s="1" t="s">
        <v>4752</v>
      </c>
      <c r="I407" s="2">
        <v>1.0416666666666666E-2</v>
      </c>
      <c r="J407" s="176">
        <v>1.7361111111111112E-4</v>
      </c>
      <c r="K407" s="6">
        <v>15</v>
      </c>
      <c r="L407" t="s">
        <v>101</v>
      </c>
      <c r="M407" t="s">
        <v>670</v>
      </c>
      <c r="N407" t="s">
        <v>102</v>
      </c>
      <c r="O407" t="s">
        <v>115</v>
      </c>
      <c r="P407">
        <v>1</v>
      </c>
      <c r="Q407">
        <v>0</v>
      </c>
      <c r="R407">
        <v>0</v>
      </c>
      <c r="S407" t="s">
        <v>176</v>
      </c>
      <c r="T407" s="5" t="s">
        <v>24</v>
      </c>
      <c r="U407" s="5" t="s">
        <v>122</v>
      </c>
      <c r="V407" s="5" t="s">
        <v>115</v>
      </c>
      <c r="W407" s="5"/>
      <c r="X407" s="5"/>
      <c r="Y407" s="5"/>
      <c r="Z407" s="5" t="s">
        <v>115</v>
      </c>
      <c r="AA407" s="5" t="s">
        <v>115</v>
      </c>
      <c r="AB407" s="5" t="s">
        <v>115</v>
      </c>
      <c r="AC407" s="5" t="s">
        <v>115</v>
      </c>
      <c r="AD407" s="5" t="s">
        <v>115</v>
      </c>
      <c r="AE407" s="5" t="s">
        <v>115</v>
      </c>
      <c r="AF407" s="5" t="s">
        <v>115</v>
      </c>
      <c r="AG407" s="5" t="s">
        <v>115</v>
      </c>
      <c r="AH407">
        <v>0</v>
      </c>
      <c r="AI407">
        <v>0</v>
      </c>
      <c r="AJ407">
        <v>0</v>
      </c>
      <c r="AK407">
        <v>0</v>
      </c>
      <c r="AL407">
        <v>15</v>
      </c>
      <c r="AM407">
        <f t="shared" si="6"/>
        <v>15</v>
      </c>
      <c r="AN407" t="s">
        <v>188</v>
      </c>
    </row>
    <row r="408" spans="1:43" x14ac:dyDescent="0.2">
      <c r="A408" t="s">
        <v>3387</v>
      </c>
      <c r="B408" t="s">
        <v>3388</v>
      </c>
      <c r="C408">
        <v>16</v>
      </c>
      <c r="D408">
        <v>1</v>
      </c>
      <c r="E408" t="s">
        <v>3171</v>
      </c>
      <c r="F408" s="1">
        <v>43577</v>
      </c>
      <c r="G408" s="1" t="s">
        <v>4027</v>
      </c>
      <c r="H408" s="1"/>
      <c r="I408" s="2">
        <v>1.0416666666666666E-2</v>
      </c>
      <c r="J408" s="176">
        <v>1.7361111111111112E-4</v>
      </c>
      <c r="K408" s="6">
        <v>15</v>
      </c>
      <c r="L408" t="s">
        <v>101</v>
      </c>
      <c r="M408" t="s">
        <v>149</v>
      </c>
      <c r="N408" t="s">
        <v>102</v>
      </c>
      <c r="O408" t="s">
        <v>115</v>
      </c>
      <c r="P408">
        <v>1</v>
      </c>
      <c r="Q408">
        <v>0</v>
      </c>
      <c r="R408">
        <v>0</v>
      </c>
      <c r="S408" t="s">
        <v>598</v>
      </c>
      <c r="T408" s="5" t="s">
        <v>2801</v>
      </c>
      <c r="U408" s="5" t="s">
        <v>122</v>
      </c>
      <c r="V408" s="5" t="s">
        <v>115</v>
      </c>
      <c r="W408" s="5"/>
      <c r="X408" s="5"/>
      <c r="Y408" s="5"/>
      <c r="Z408" s="5" t="s">
        <v>115</v>
      </c>
      <c r="AA408" s="5" t="s">
        <v>115</v>
      </c>
      <c r="AB408" s="5" t="s">
        <v>115</v>
      </c>
      <c r="AC408" s="5" t="s">
        <v>115</v>
      </c>
      <c r="AD408" s="5" t="s">
        <v>115</v>
      </c>
      <c r="AE408" s="5" t="s">
        <v>115</v>
      </c>
      <c r="AF408" s="5" t="s">
        <v>115</v>
      </c>
      <c r="AG408" s="5" t="s">
        <v>115</v>
      </c>
      <c r="AH408">
        <v>0</v>
      </c>
      <c r="AI408">
        <v>0</v>
      </c>
      <c r="AJ408">
        <v>0</v>
      </c>
      <c r="AK408">
        <v>0</v>
      </c>
      <c r="AL408">
        <v>15</v>
      </c>
      <c r="AM408">
        <f t="shared" si="6"/>
        <v>15</v>
      </c>
      <c r="AN408" t="s">
        <v>188</v>
      </c>
    </row>
    <row r="409" spans="1:43" x14ac:dyDescent="0.2">
      <c r="A409" t="s">
        <v>3692</v>
      </c>
      <c r="B409" t="s">
        <v>3693</v>
      </c>
      <c r="C409">
        <v>4</v>
      </c>
      <c r="D409">
        <v>1</v>
      </c>
      <c r="E409" t="s">
        <v>3171</v>
      </c>
      <c r="F409" s="1">
        <v>43585</v>
      </c>
      <c r="G409" s="1" t="s">
        <v>4027</v>
      </c>
      <c r="H409" s="1" t="s">
        <v>4752</v>
      </c>
      <c r="I409" s="2">
        <v>1.8749999999999999E-2</v>
      </c>
      <c r="J409" s="176">
        <v>3.1250000000000001E-4</v>
      </c>
      <c r="K409" s="6">
        <v>27</v>
      </c>
      <c r="L409" t="s">
        <v>3626</v>
      </c>
      <c r="M409" t="s">
        <v>670</v>
      </c>
      <c r="N409" t="s">
        <v>102</v>
      </c>
      <c r="O409" t="s">
        <v>23</v>
      </c>
      <c r="P409">
        <v>1</v>
      </c>
      <c r="Q409">
        <v>1</v>
      </c>
      <c r="R409">
        <v>0</v>
      </c>
      <c r="S409" t="s">
        <v>176</v>
      </c>
      <c r="T409" s="5" t="s">
        <v>24</v>
      </c>
      <c r="U409" s="5" t="s">
        <v>709</v>
      </c>
      <c r="V409" s="5" t="s">
        <v>115</v>
      </c>
      <c r="W409" s="5"/>
      <c r="X409" s="5"/>
      <c r="Y409" s="5"/>
      <c r="Z409" s="5" t="s">
        <v>115</v>
      </c>
      <c r="AA409" s="5" t="s">
        <v>115</v>
      </c>
      <c r="AB409" s="5" t="s">
        <v>115</v>
      </c>
      <c r="AC409" s="5" t="s">
        <v>115</v>
      </c>
      <c r="AD409" s="5" t="s">
        <v>115</v>
      </c>
      <c r="AE409" s="20">
        <v>63.722760000000001</v>
      </c>
      <c r="AF409" s="20">
        <v>148.95087000000001</v>
      </c>
      <c r="AG409" s="5" t="s">
        <v>3720</v>
      </c>
      <c r="AH409">
        <v>15</v>
      </c>
      <c r="AI409">
        <v>0</v>
      </c>
      <c r="AJ409">
        <v>15</v>
      </c>
      <c r="AK409">
        <v>0</v>
      </c>
      <c r="AL409">
        <v>0</v>
      </c>
      <c r="AM409">
        <f t="shared" si="6"/>
        <v>15</v>
      </c>
      <c r="AN409" t="s">
        <v>188</v>
      </c>
      <c r="AO409" t="s">
        <v>3694</v>
      </c>
    </row>
    <row r="410" spans="1:43" x14ac:dyDescent="0.2">
      <c r="A410" t="s">
        <v>3780</v>
      </c>
      <c r="B410" t="s">
        <v>3781</v>
      </c>
      <c r="C410">
        <v>13</v>
      </c>
      <c r="D410">
        <v>1</v>
      </c>
      <c r="E410" t="s">
        <v>3171</v>
      </c>
      <c r="F410" s="1">
        <v>43589</v>
      </c>
      <c r="G410" s="1" t="s">
        <v>4028</v>
      </c>
      <c r="H410" s="1"/>
      <c r="I410" s="2">
        <v>1.0416666666666666E-2</v>
      </c>
      <c r="J410" s="176">
        <v>1.7361111111111112E-4</v>
      </c>
      <c r="K410" s="6">
        <v>15</v>
      </c>
      <c r="L410" t="s">
        <v>3187</v>
      </c>
      <c r="M410" t="s">
        <v>149</v>
      </c>
      <c r="N410" t="s">
        <v>102</v>
      </c>
      <c r="O410" t="s">
        <v>3782</v>
      </c>
      <c r="P410">
        <v>0</v>
      </c>
      <c r="Q410">
        <v>0</v>
      </c>
      <c r="R410">
        <v>0</v>
      </c>
      <c r="T410" s="5" t="s">
        <v>115</v>
      </c>
      <c r="U410" s="5" t="s">
        <v>115</v>
      </c>
      <c r="V410" s="5" t="s">
        <v>115</v>
      </c>
      <c r="W410" s="5"/>
      <c r="X410" s="5"/>
      <c r="Y410" s="5"/>
      <c r="Z410" s="5" t="s">
        <v>115</v>
      </c>
      <c r="AA410" s="5" t="s">
        <v>115</v>
      </c>
      <c r="AB410" s="5" t="s">
        <v>115</v>
      </c>
      <c r="AC410" s="5" t="s">
        <v>115</v>
      </c>
      <c r="AD410" s="5" t="s">
        <v>115</v>
      </c>
      <c r="AE410" s="5" t="s">
        <v>115</v>
      </c>
      <c r="AF410" s="5" t="s">
        <v>115</v>
      </c>
      <c r="AG410" s="5" t="s">
        <v>115</v>
      </c>
      <c r="AH410">
        <v>0</v>
      </c>
      <c r="AI410">
        <v>0</v>
      </c>
      <c r="AJ410">
        <v>0</v>
      </c>
      <c r="AK410">
        <v>0</v>
      </c>
      <c r="AL410">
        <v>15</v>
      </c>
      <c r="AM410">
        <f t="shared" si="6"/>
        <v>15</v>
      </c>
      <c r="AN410" t="s">
        <v>188</v>
      </c>
    </row>
    <row r="411" spans="1:43" x14ac:dyDescent="0.2">
      <c r="A411" t="s">
        <v>2530</v>
      </c>
      <c r="B411" t="s">
        <v>2531</v>
      </c>
      <c r="C411">
        <v>19</v>
      </c>
      <c r="D411">
        <v>1</v>
      </c>
      <c r="E411" t="s">
        <v>2487</v>
      </c>
      <c r="F411" s="1">
        <v>43549</v>
      </c>
      <c r="G411" s="1" t="s">
        <v>4026</v>
      </c>
      <c r="H411" s="1"/>
      <c r="I411" s="2">
        <v>1.0416666666666666E-2</v>
      </c>
      <c r="J411" s="176">
        <v>1.7361111111111112E-4</v>
      </c>
      <c r="K411" s="6">
        <v>15</v>
      </c>
      <c r="L411" s="5" t="s">
        <v>640</v>
      </c>
      <c r="M411" t="s">
        <v>2498</v>
      </c>
      <c r="N411" t="s">
        <v>102</v>
      </c>
      <c r="O411" t="s">
        <v>516</v>
      </c>
      <c r="P411" t="s">
        <v>24</v>
      </c>
      <c r="Q411" t="s">
        <v>24</v>
      </c>
      <c r="R411" t="s">
        <v>176</v>
      </c>
      <c r="T411" t="s">
        <v>115</v>
      </c>
      <c r="U411" t="s">
        <v>115</v>
      </c>
      <c r="V411" t="s">
        <v>115</v>
      </c>
      <c r="Z411" t="s">
        <v>115</v>
      </c>
      <c r="AA411" t="s">
        <v>115</v>
      </c>
      <c r="AB411" t="s">
        <v>115</v>
      </c>
      <c r="AC411" t="s">
        <v>115</v>
      </c>
      <c r="AD411" t="s">
        <v>115</v>
      </c>
      <c r="AH411">
        <v>15</v>
      </c>
      <c r="AI411">
        <v>0</v>
      </c>
      <c r="AJ411">
        <v>15</v>
      </c>
      <c r="AK411">
        <v>0</v>
      </c>
      <c r="AL411">
        <v>0</v>
      </c>
      <c r="AM411">
        <f t="shared" si="6"/>
        <v>15</v>
      </c>
      <c r="AN411" t="s">
        <v>188</v>
      </c>
    </row>
    <row r="412" spans="1:43" x14ac:dyDescent="0.2">
      <c r="A412" t="s">
        <v>2811</v>
      </c>
      <c r="B412" t="s">
        <v>2812</v>
      </c>
      <c r="C412">
        <v>12</v>
      </c>
      <c r="D412">
        <v>1</v>
      </c>
      <c r="E412" t="s">
        <v>138</v>
      </c>
      <c r="F412" s="1">
        <v>43556</v>
      </c>
      <c r="G412" s="1" t="s">
        <v>4027</v>
      </c>
      <c r="H412" s="1"/>
      <c r="I412" s="2">
        <v>1.3194444444444444E-2</v>
      </c>
      <c r="J412" s="176">
        <v>2.199074074074074E-4</v>
      </c>
      <c r="K412" s="6">
        <v>19</v>
      </c>
      <c r="M412" t="s">
        <v>173</v>
      </c>
      <c r="N412" t="s">
        <v>102</v>
      </c>
      <c r="O412" t="s">
        <v>115</v>
      </c>
      <c r="P412" t="s">
        <v>24</v>
      </c>
      <c r="Q412">
        <v>0</v>
      </c>
      <c r="R412">
        <v>0</v>
      </c>
      <c r="T412" s="5" t="s">
        <v>115</v>
      </c>
      <c r="U412" s="5" t="s">
        <v>115</v>
      </c>
      <c r="V412" s="5" t="s">
        <v>115</v>
      </c>
      <c r="W412" s="5"/>
      <c r="X412" s="5"/>
      <c r="Y412" s="5"/>
      <c r="Z412" s="5" t="s">
        <v>115</v>
      </c>
      <c r="AA412" s="5" t="s">
        <v>115</v>
      </c>
      <c r="AB412" s="5" t="s">
        <v>115</v>
      </c>
      <c r="AC412" s="5" t="s">
        <v>115</v>
      </c>
      <c r="AD412" s="5" t="s">
        <v>115</v>
      </c>
      <c r="AE412" s="5" t="s">
        <v>115</v>
      </c>
      <c r="AF412" s="5" t="s">
        <v>115</v>
      </c>
      <c r="AG412" s="5"/>
      <c r="AH412">
        <v>0</v>
      </c>
      <c r="AI412">
        <v>0</v>
      </c>
      <c r="AJ412">
        <v>0</v>
      </c>
      <c r="AK412">
        <v>0</v>
      </c>
      <c r="AL412">
        <v>15</v>
      </c>
      <c r="AM412">
        <f t="shared" si="6"/>
        <v>15</v>
      </c>
      <c r="AN412" t="s">
        <v>188</v>
      </c>
    </row>
    <row r="413" spans="1:43" x14ac:dyDescent="0.2">
      <c r="A413" t="s">
        <v>2886</v>
      </c>
      <c r="B413" t="s">
        <v>2887</v>
      </c>
      <c r="C413">
        <v>14</v>
      </c>
      <c r="D413">
        <v>1</v>
      </c>
      <c r="E413" t="s">
        <v>324</v>
      </c>
      <c r="F413" s="1">
        <v>43558</v>
      </c>
      <c r="G413" s="1" t="s">
        <v>4027</v>
      </c>
      <c r="H413" s="1"/>
      <c r="I413" s="2">
        <v>1.0416666666666666E-2</v>
      </c>
      <c r="J413" s="176">
        <v>1.7361111111111112E-4</v>
      </c>
      <c r="K413" s="6">
        <v>15</v>
      </c>
      <c r="M413" t="s">
        <v>325</v>
      </c>
      <c r="N413" t="s">
        <v>102</v>
      </c>
      <c r="O413" t="s">
        <v>23</v>
      </c>
      <c r="P413" t="s">
        <v>24</v>
      </c>
      <c r="Q413" t="s">
        <v>24</v>
      </c>
      <c r="R413">
        <v>0</v>
      </c>
      <c r="T413" s="5" t="s">
        <v>115</v>
      </c>
      <c r="U413" s="5" t="s">
        <v>115</v>
      </c>
      <c r="V413" s="5" t="s">
        <v>115</v>
      </c>
      <c r="W413" s="5"/>
      <c r="X413" s="5"/>
      <c r="Y413" s="5"/>
      <c r="Z413" s="5" t="s">
        <v>115</v>
      </c>
      <c r="AA413" s="5" t="s">
        <v>115</v>
      </c>
      <c r="AB413" s="5" t="s">
        <v>115</v>
      </c>
      <c r="AC413" s="5" t="s">
        <v>115</v>
      </c>
      <c r="AD413" s="5" t="s">
        <v>115</v>
      </c>
      <c r="AE413" s="5" t="s">
        <v>115</v>
      </c>
      <c r="AF413" s="5" t="s">
        <v>115</v>
      </c>
      <c r="AG413" s="5"/>
      <c r="AH413">
        <v>15</v>
      </c>
      <c r="AI413">
        <v>0</v>
      </c>
      <c r="AJ413">
        <v>0</v>
      </c>
      <c r="AK413">
        <v>15</v>
      </c>
      <c r="AL413">
        <v>0</v>
      </c>
      <c r="AM413">
        <f t="shared" si="6"/>
        <v>15</v>
      </c>
      <c r="AN413" t="s">
        <v>2374</v>
      </c>
      <c r="AP413">
        <v>2</v>
      </c>
      <c r="AQ413">
        <v>0</v>
      </c>
    </row>
    <row r="414" spans="1:43" x14ac:dyDescent="0.2">
      <c r="A414" t="s">
        <v>2948</v>
      </c>
      <c r="B414" t="s">
        <v>2949</v>
      </c>
      <c r="C414">
        <v>10</v>
      </c>
      <c r="D414">
        <v>1</v>
      </c>
      <c r="E414" t="s">
        <v>834</v>
      </c>
      <c r="F414" s="1">
        <v>43560</v>
      </c>
      <c r="G414" s="1" t="s">
        <v>4027</v>
      </c>
      <c r="H414" s="1"/>
      <c r="I414" s="2">
        <v>1.0416666666666666E-2</v>
      </c>
      <c r="J414" s="176">
        <v>1.7361111111111112E-4</v>
      </c>
      <c r="K414" s="6">
        <v>15</v>
      </c>
      <c r="M414" t="s">
        <v>466</v>
      </c>
      <c r="N414" t="s">
        <v>102</v>
      </c>
      <c r="O414" t="s">
        <v>115</v>
      </c>
      <c r="P414" t="s">
        <v>24</v>
      </c>
      <c r="Q414">
        <v>0</v>
      </c>
      <c r="R414">
        <v>0</v>
      </c>
      <c r="T414" s="5" t="s">
        <v>115</v>
      </c>
      <c r="U414" s="5" t="s">
        <v>115</v>
      </c>
      <c r="V414" s="5" t="s">
        <v>115</v>
      </c>
      <c r="W414" s="5"/>
      <c r="X414" s="5"/>
      <c r="Y414" s="5"/>
      <c r="Z414" s="5" t="s">
        <v>115</v>
      </c>
      <c r="AA414" s="5" t="s">
        <v>115</v>
      </c>
      <c r="AB414" s="5" t="s">
        <v>115</v>
      </c>
      <c r="AC414" s="5" t="s">
        <v>115</v>
      </c>
      <c r="AD414" s="5" t="s">
        <v>115</v>
      </c>
      <c r="AE414" s="5" t="s">
        <v>115</v>
      </c>
      <c r="AF414" s="5" t="s">
        <v>115</v>
      </c>
      <c r="AG414" s="5"/>
      <c r="AH414">
        <v>0</v>
      </c>
      <c r="AI414">
        <v>0</v>
      </c>
      <c r="AJ414">
        <v>0</v>
      </c>
      <c r="AK414">
        <v>0</v>
      </c>
      <c r="AL414">
        <v>15</v>
      </c>
      <c r="AM414">
        <f t="shared" si="6"/>
        <v>15</v>
      </c>
      <c r="AN414" t="s">
        <v>188</v>
      </c>
    </row>
    <row r="415" spans="1:43" x14ac:dyDescent="0.2">
      <c r="A415" t="s">
        <v>3289</v>
      </c>
      <c r="B415" t="s">
        <v>3290</v>
      </c>
      <c r="C415">
        <v>3</v>
      </c>
      <c r="D415">
        <v>1</v>
      </c>
      <c r="E415" t="s">
        <v>2487</v>
      </c>
      <c r="F415" s="1">
        <v>43574</v>
      </c>
      <c r="G415" s="1" t="s">
        <v>4027</v>
      </c>
      <c r="H415" s="1"/>
      <c r="I415" s="2">
        <v>1.0416666666666666E-2</v>
      </c>
      <c r="J415" s="176">
        <v>1.7361111111111112E-4</v>
      </c>
      <c r="K415" s="6">
        <v>15</v>
      </c>
      <c r="L415" t="s">
        <v>101</v>
      </c>
      <c r="M415" t="s">
        <v>2488</v>
      </c>
      <c r="N415" t="s">
        <v>102</v>
      </c>
      <c r="O415" t="s">
        <v>23</v>
      </c>
      <c r="P415" t="s">
        <v>24</v>
      </c>
      <c r="Q415" t="s">
        <v>24</v>
      </c>
      <c r="R415">
        <v>0</v>
      </c>
      <c r="T415" s="5" t="s">
        <v>115</v>
      </c>
      <c r="U415" s="5" t="s">
        <v>115</v>
      </c>
      <c r="V415" s="5" t="s">
        <v>115</v>
      </c>
      <c r="W415" s="5"/>
      <c r="X415" s="5"/>
      <c r="Y415" s="5"/>
      <c r="Z415" s="5" t="s">
        <v>115</v>
      </c>
      <c r="AA415" s="5" t="s">
        <v>115</v>
      </c>
      <c r="AB415" s="5" t="s">
        <v>115</v>
      </c>
      <c r="AC415" s="5" t="s">
        <v>115</v>
      </c>
      <c r="AD415" s="5" t="s">
        <v>115</v>
      </c>
      <c r="AE415" s="5" t="s">
        <v>115</v>
      </c>
      <c r="AF415" s="5" t="s">
        <v>115</v>
      </c>
      <c r="AG415" s="5" t="s">
        <v>115</v>
      </c>
      <c r="AH415">
        <v>0</v>
      </c>
      <c r="AI415">
        <v>15</v>
      </c>
      <c r="AJ415">
        <v>15</v>
      </c>
      <c r="AK415">
        <v>0</v>
      </c>
      <c r="AL415">
        <v>0</v>
      </c>
      <c r="AM415">
        <f t="shared" si="6"/>
        <v>15</v>
      </c>
      <c r="AN415" t="s">
        <v>188</v>
      </c>
    </row>
    <row r="416" spans="1:43" x14ac:dyDescent="0.2">
      <c r="A416" t="s">
        <v>3650</v>
      </c>
      <c r="B416" t="s">
        <v>3647</v>
      </c>
      <c r="C416">
        <v>10</v>
      </c>
      <c r="D416">
        <v>1</v>
      </c>
      <c r="E416" t="s">
        <v>2487</v>
      </c>
      <c r="F416" s="1">
        <v>43585</v>
      </c>
      <c r="G416" s="1" t="s">
        <v>4027</v>
      </c>
      <c r="H416" s="1"/>
      <c r="I416" s="2">
        <v>3.6805555555555557E-2</v>
      </c>
      <c r="J416" s="176">
        <v>6.134259259259259E-4</v>
      </c>
      <c r="K416" s="6">
        <v>53</v>
      </c>
      <c r="L416" t="s">
        <v>3626</v>
      </c>
      <c r="M416" t="s">
        <v>2498</v>
      </c>
      <c r="N416" t="s">
        <v>102</v>
      </c>
      <c r="O416" t="s">
        <v>115</v>
      </c>
      <c r="P416" t="s">
        <v>24</v>
      </c>
      <c r="Q416">
        <v>0</v>
      </c>
      <c r="R416">
        <v>0</v>
      </c>
      <c r="T416" s="5" t="s">
        <v>115</v>
      </c>
      <c r="U416" s="5" t="s">
        <v>115</v>
      </c>
      <c r="V416" s="5" t="s">
        <v>115</v>
      </c>
      <c r="W416" s="5"/>
      <c r="X416" s="5"/>
      <c r="Y416" s="5"/>
      <c r="Z416" s="5" t="s">
        <v>115</v>
      </c>
      <c r="AA416" s="5" t="s">
        <v>115</v>
      </c>
      <c r="AB416" s="5" t="s">
        <v>115</v>
      </c>
      <c r="AC416" s="5" t="s">
        <v>115</v>
      </c>
      <c r="AD416" s="5" t="s">
        <v>115</v>
      </c>
      <c r="AE416" s="5" t="s">
        <v>115</v>
      </c>
      <c r="AF416" s="5" t="s">
        <v>115</v>
      </c>
      <c r="AG416" s="5" t="s">
        <v>115</v>
      </c>
      <c r="AH416">
        <v>0</v>
      </c>
      <c r="AI416">
        <v>0</v>
      </c>
      <c r="AJ416">
        <v>0</v>
      </c>
      <c r="AK416">
        <v>0</v>
      </c>
      <c r="AL416">
        <v>15</v>
      </c>
      <c r="AM416">
        <f t="shared" si="6"/>
        <v>15</v>
      </c>
      <c r="AN416" t="s">
        <v>188</v>
      </c>
    </row>
    <row r="417" spans="1:43" x14ac:dyDescent="0.2">
      <c r="A417" t="s">
        <v>3776</v>
      </c>
      <c r="B417" t="s">
        <v>3777</v>
      </c>
      <c r="C417">
        <v>11</v>
      </c>
      <c r="D417">
        <v>1</v>
      </c>
      <c r="E417" t="s">
        <v>3171</v>
      </c>
      <c r="F417" s="1">
        <v>43588</v>
      </c>
      <c r="G417" s="1" t="s">
        <v>4028</v>
      </c>
      <c r="H417" s="1"/>
      <c r="I417" s="2">
        <v>1.0416666666666666E-2</v>
      </c>
      <c r="J417" s="176">
        <v>1.7361111111111112E-4</v>
      </c>
      <c r="K417" s="6">
        <v>15</v>
      </c>
      <c r="L417" t="s">
        <v>3187</v>
      </c>
      <c r="M417" t="s">
        <v>149</v>
      </c>
      <c r="N417" t="s">
        <v>102</v>
      </c>
      <c r="O417" t="s">
        <v>115</v>
      </c>
      <c r="P417" t="s">
        <v>24</v>
      </c>
      <c r="Q417">
        <v>0</v>
      </c>
      <c r="R417">
        <v>0</v>
      </c>
      <c r="T417" s="5" t="s">
        <v>115</v>
      </c>
      <c r="U417" s="5" t="s">
        <v>115</v>
      </c>
      <c r="V417" s="5" t="s">
        <v>115</v>
      </c>
      <c r="W417" s="5"/>
      <c r="X417" s="5"/>
      <c r="Y417" s="5"/>
      <c r="Z417" s="5" t="s">
        <v>115</v>
      </c>
      <c r="AA417" s="5" t="s">
        <v>115</v>
      </c>
      <c r="AB417" s="5" t="s">
        <v>115</v>
      </c>
      <c r="AC417" s="5" t="s">
        <v>115</v>
      </c>
      <c r="AD417" s="5" t="s">
        <v>115</v>
      </c>
      <c r="AE417" s="5" t="s">
        <v>115</v>
      </c>
      <c r="AF417" s="5" t="s">
        <v>115</v>
      </c>
      <c r="AG417" s="5" t="s">
        <v>115</v>
      </c>
      <c r="AH417">
        <v>0</v>
      </c>
      <c r="AI417">
        <v>0</v>
      </c>
      <c r="AJ417">
        <v>0</v>
      </c>
      <c r="AK417">
        <v>0</v>
      </c>
      <c r="AL417">
        <v>15</v>
      </c>
      <c r="AM417">
        <f t="shared" si="6"/>
        <v>15</v>
      </c>
      <c r="AN417" t="s">
        <v>188</v>
      </c>
    </row>
    <row r="418" spans="1:43" x14ac:dyDescent="0.2">
      <c r="A418" t="s">
        <v>3906</v>
      </c>
      <c r="B418" t="s">
        <v>3907</v>
      </c>
      <c r="C418">
        <v>11</v>
      </c>
      <c r="D418">
        <v>1</v>
      </c>
      <c r="E418" t="s">
        <v>2462</v>
      </c>
      <c r="F418" s="1">
        <v>43591</v>
      </c>
      <c r="G418" s="1" t="s">
        <v>4028</v>
      </c>
      <c r="H418" s="1"/>
      <c r="I418" s="2">
        <v>1.0416666666666666E-2</v>
      </c>
      <c r="J418" s="176">
        <v>1.7361111111111112E-4</v>
      </c>
      <c r="K418" s="6">
        <v>15</v>
      </c>
      <c r="L418" t="s">
        <v>1278</v>
      </c>
      <c r="M418" t="s">
        <v>64</v>
      </c>
      <c r="N418" t="s">
        <v>102</v>
      </c>
      <c r="O418" t="s">
        <v>115</v>
      </c>
      <c r="P418" t="s">
        <v>24</v>
      </c>
      <c r="Q418">
        <v>0</v>
      </c>
      <c r="R418">
        <v>0</v>
      </c>
      <c r="T418" s="5" t="s">
        <v>115</v>
      </c>
      <c r="U418" s="5" t="s">
        <v>115</v>
      </c>
      <c r="V418" s="5" t="s">
        <v>115</v>
      </c>
      <c r="W418" s="5"/>
      <c r="X418" s="5"/>
      <c r="Y418" s="5"/>
      <c r="Z418" s="5" t="s">
        <v>115</v>
      </c>
      <c r="AA418" s="5" t="s">
        <v>115</v>
      </c>
      <c r="AB418" s="5" t="s">
        <v>115</v>
      </c>
      <c r="AC418" s="5" t="s">
        <v>115</v>
      </c>
      <c r="AD418" s="5" t="s">
        <v>115</v>
      </c>
      <c r="AE418" s="5" t="s">
        <v>115</v>
      </c>
      <c r="AF418" s="5" t="s">
        <v>115</v>
      </c>
      <c r="AG418" s="5" t="s">
        <v>115</v>
      </c>
      <c r="AH418">
        <v>0</v>
      </c>
      <c r="AI418">
        <v>0</v>
      </c>
      <c r="AJ418">
        <v>0</v>
      </c>
      <c r="AK418">
        <v>0</v>
      </c>
      <c r="AL418">
        <v>15</v>
      </c>
      <c r="AM418">
        <f t="shared" si="6"/>
        <v>15</v>
      </c>
      <c r="AN418" t="s">
        <v>188</v>
      </c>
    </row>
    <row r="419" spans="1:43" x14ac:dyDescent="0.2">
      <c r="A419" t="s">
        <v>2425</v>
      </c>
      <c r="B419" t="s">
        <v>2426</v>
      </c>
      <c r="C419">
        <v>3</v>
      </c>
      <c r="D419">
        <v>1</v>
      </c>
      <c r="E419" t="s">
        <v>2420</v>
      </c>
      <c r="F419" s="1">
        <v>43546</v>
      </c>
      <c r="G419" s="1" t="s">
        <v>4026</v>
      </c>
      <c r="H419" s="1"/>
      <c r="I419" s="2">
        <v>9.7222222222222224E-3</v>
      </c>
      <c r="J419" s="176">
        <v>1.6203703703703703E-4</v>
      </c>
      <c r="K419" s="6">
        <v>14</v>
      </c>
      <c r="L419" t="s">
        <v>101</v>
      </c>
      <c r="M419" t="s">
        <v>241</v>
      </c>
      <c r="N419" t="s">
        <v>102</v>
      </c>
      <c r="O419" t="s">
        <v>115</v>
      </c>
      <c r="P419">
        <v>1</v>
      </c>
      <c r="Q419">
        <v>0</v>
      </c>
      <c r="R419">
        <v>0</v>
      </c>
      <c r="S419" t="s">
        <v>176</v>
      </c>
      <c r="T419" t="s">
        <v>24</v>
      </c>
      <c r="U419" t="s">
        <v>122</v>
      </c>
      <c r="V419" t="s">
        <v>115</v>
      </c>
      <c r="Z419" t="s">
        <v>115</v>
      </c>
      <c r="AA419" t="s">
        <v>115</v>
      </c>
      <c r="AB419" t="s">
        <v>115</v>
      </c>
      <c r="AC419" t="s">
        <v>115</v>
      </c>
      <c r="AD419" t="s">
        <v>115</v>
      </c>
      <c r="AH419">
        <v>0</v>
      </c>
      <c r="AI419">
        <v>0</v>
      </c>
      <c r="AJ419">
        <v>0</v>
      </c>
      <c r="AK419">
        <v>0</v>
      </c>
      <c r="AL419">
        <v>14</v>
      </c>
      <c r="AM419">
        <f t="shared" si="6"/>
        <v>14</v>
      </c>
      <c r="AO419" t="s">
        <v>2405</v>
      </c>
    </row>
    <row r="420" spans="1:43" x14ac:dyDescent="0.2">
      <c r="A420" t="s">
        <v>2449</v>
      </c>
      <c r="B420" t="s">
        <v>2450</v>
      </c>
      <c r="C420">
        <v>13</v>
      </c>
      <c r="D420">
        <v>1</v>
      </c>
      <c r="E420" t="s">
        <v>2420</v>
      </c>
      <c r="F420" s="1">
        <v>43546</v>
      </c>
      <c r="G420" s="1" t="s">
        <v>4026</v>
      </c>
      <c r="H420" s="1"/>
      <c r="I420" s="2">
        <v>9.7222222222222224E-3</v>
      </c>
      <c r="J420" s="176">
        <v>1.6203703703703703E-4</v>
      </c>
      <c r="K420" s="6">
        <v>14</v>
      </c>
      <c r="L420" t="s">
        <v>101</v>
      </c>
      <c r="M420" t="s">
        <v>241</v>
      </c>
      <c r="N420" t="s">
        <v>102</v>
      </c>
      <c r="O420" t="s">
        <v>115</v>
      </c>
      <c r="P420">
        <v>1</v>
      </c>
      <c r="Q420">
        <v>0</v>
      </c>
      <c r="R420">
        <v>0</v>
      </c>
      <c r="S420" t="s">
        <v>14</v>
      </c>
      <c r="T420" t="s">
        <v>2448</v>
      </c>
      <c r="U420" t="s">
        <v>122</v>
      </c>
      <c r="V420" t="s">
        <v>115</v>
      </c>
      <c r="Z420" t="s">
        <v>115</v>
      </c>
      <c r="AA420" t="s">
        <v>115</v>
      </c>
      <c r="AB420" t="s">
        <v>115</v>
      </c>
      <c r="AC420" t="s">
        <v>115</v>
      </c>
      <c r="AD420" t="s">
        <v>115</v>
      </c>
      <c r="AH420">
        <v>0</v>
      </c>
      <c r="AI420">
        <v>0</v>
      </c>
      <c r="AJ420">
        <v>0</v>
      </c>
      <c r="AK420">
        <v>0</v>
      </c>
      <c r="AL420">
        <v>14</v>
      </c>
      <c r="AM420">
        <f t="shared" si="6"/>
        <v>14</v>
      </c>
      <c r="AN420" t="s">
        <v>188</v>
      </c>
    </row>
    <row r="421" spans="1:43" x14ac:dyDescent="0.2">
      <c r="A421" t="s">
        <v>2463</v>
      </c>
      <c r="B421" t="s">
        <v>2464</v>
      </c>
      <c r="C421">
        <v>2</v>
      </c>
      <c r="D421">
        <v>2</v>
      </c>
      <c r="E421" t="s">
        <v>2462</v>
      </c>
      <c r="F421" s="1">
        <v>43549</v>
      </c>
      <c r="G421" s="1" t="s">
        <v>4026</v>
      </c>
      <c r="H421" s="1"/>
      <c r="I421" s="2">
        <v>6.7361111111111108E-2</v>
      </c>
      <c r="J421" s="176">
        <v>1.1226851851851851E-3</v>
      </c>
      <c r="K421" s="6">
        <v>97</v>
      </c>
      <c r="L421" s="5" t="s">
        <v>398</v>
      </c>
      <c r="M421" t="s">
        <v>64</v>
      </c>
      <c r="N421" t="s">
        <v>102</v>
      </c>
      <c r="O421" t="s">
        <v>23</v>
      </c>
      <c r="P421">
        <v>1</v>
      </c>
      <c r="Q421">
        <v>0</v>
      </c>
      <c r="R421">
        <v>0</v>
      </c>
      <c r="S421" t="s">
        <v>112</v>
      </c>
      <c r="T421" t="s">
        <v>2466</v>
      </c>
      <c r="U421" t="s">
        <v>487</v>
      </c>
      <c r="V421" t="s">
        <v>115</v>
      </c>
      <c r="Z421" t="s">
        <v>115</v>
      </c>
      <c r="AA421" t="s">
        <v>115</v>
      </c>
      <c r="AB421" t="s">
        <v>115</v>
      </c>
      <c r="AC421" t="s">
        <v>115</v>
      </c>
      <c r="AD421" t="s">
        <v>115</v>
      </c>
      <c r="AH421">
        <v>14</v>
      </c>
      <c r="AI421">
        <v>0</v>
      </c>
      <c r="AJ421">
        <v>0</v>
      </c>
      <c r="AK421">
        <v>14</v>
      </c>
      <c r="AL421">
        <v>0</v>
      </c>
      <c r="AM421">
        <f t="shared" si="6"/>
        <v>14</v>
      </c>
      <c r="AN421" t="s">
        <v>188</v>
      </c>
      <c r="AO421" t="s">
        <v>2467</v>
      </c>
    </row>
    <row r="422" spans="1:43" x14ac:dyDescent="0.2">
      <c r="A422" t="s">
        <v>3412</v>
      </c>
      <c r="B422" t="s">
        <v>3413</v>
      </c>
      <c r="C422">
        <v>5</v>
      </c>
      <c r="D422">
        <v>2</v>
      </c>
      <c r="E422" t="s">
        <v>3404</v>
      </c>
      <c r="F422" s="1">
        <v>43577</v>
      </c>
      <c r="G422" s="1" t="s">
        <v>4027</v>
      </c>
      <c r="H422" s="1"/>
      <c r="I422" s="2">
        <v>2.2222222222222223E-2</v>
      </c>
      <c r="J422" s="176">
        <v>3.7037037037037035E-4</v>
      </c>
      <c r="K422" s="6">
        <v>32</v>
      </c>
      <c r="L422" t="s">
        <v>101</v>
      </c>
      <c r="M422" t="s">
        <v>3405</v>
      </c>
      <c r="N422" t="s">
        <v>102</v>
      </c>
      <c r="O422" t="s">
        <v>516</v>
      </c>
      <c r="P422">
        <v>1</v>
      </c>
      <c r="Q422">
        <v>0</v>
      </c>
      <c r="R422">
        <v>0</v>
      </c>
      <c r="S422" t="s">
        <v>176</v>
      </c>
      <c r="T422" s="5" t="s">
        <v>2727</v>
      </c>
      <c r="U422" s="5" t="s">
        <v>3414</v>
      </c>
      <c r="V422" s="5" t="s">
        <v>115</v>
      </c>
      <c r="W422" s="5"/>
      <c r="X422" s="5"/>
      <c r="Y422" s="5"/>
      <c r="Z422" s="5" t="s">
        <v>115</v>
      </c>
      <c r="AA422" s="5" t="s">
        <v>115</v>
      </c>
      <c r="AB422" s="5" t="s">
        <v>115</v>
      </c>
      <c r="AC422" s="5" t="s">
        <v>115</v>
      </c>
      <c r="AD422" s="5" t="s">
        <v>115</v>
      </c>
      <c r="AE422" s="5" t="s">
        <v>115</v>
      </c>
      <c r="AF422" s="5" t="s">
        <v>115</v>
      </c>
      <c r="AG422" s="5" t="s">
        <v>115</v>
      </c>
      <c r="AH422">
        <v>0</v>
      </c>
      <c r="AI422">
        <v>7</v>
      </c>
      <c r="AJ422">
        <v>0</v>
      </c>
      <c r="AK422">
        <v>7</v>
      </c>
      <c r="AL422">
        <v>7</v>
      </c>
      <c r="AM422">
        <f t="shared" si="6"/>
        <v>14</v>
      </c>
      <c r="AN422" t="s">
        <v>188</v>
      </c>
    </row>
    <row r="423" spans="1:43" x14ac:dyDescent="0.2">
      <c r="A423" t="s">
        <v>3196</v>
      </c>
      <c r="B423" t="s">
        <v>3399</v>
      </c>
      <c r="C423">
        <v>21</v>
      </c>
      <c r="D423">
        <v>1</v>
      </c>
      <c r="E423" t="s">
        <v>3171</v>
      </c>
      <c r="F423" s="1">
        <v>43577</v>
      </c>
      <c r="G423" s="1" t="s">
        <v>4027</v>
      </c>
      <c r="H423" s="1"/>
      <c r="I423" s="2">
        <v>9.7222222222222224E-3</v>
      </c>
      <c r="J423" s="176">
        <v>1.6203703703703703E-4</v>
      </c>
      <c r="K423" s="6">
        <v>14</v>
      </c>
      <c r="L423" t="s">
        <v>101</v>
      </c>
      <c r="M423" t="s">
        <v>149</v>
      </c>
      <c r="N423" t="s">
        <v>102</v>
      </c>
      <c r="O423" t="s">
        <v>115</v>
      </c>
      <c r="P423">
        <v>1</v>
      </c>
      <c r="Q423">
        <v>0</v>
      </c>
      <c r="R423">
        <v>0</v>
      </c>
      <c r="S423" t="s">
        <v>176</v>
      </c>
      <c r="T423" s="5" t="s">
        <v>24</v>
      </c>
      <c r="U423" s="5" t="s">
        <v>122</v>
      </c>
      <c r="V423" s="5" t="s">
        <v>115</v>
      </c>
      <c r="W423" s="5"/>
      <c r="X423" s="5"/>
      <c r="Y423" s="5"/>
      <c r="Z423" s="5" t="s">
        <v>115</v>
      </c>
      <c r="AA423" s="5" t="s">
        <v>115</v>
      </c>
      <c r="AB423" s="5" t="s">
        <v>115</v>
      </c>
      <c r="AC423" s="5" t="s">
        <v>115</v>
      </c>
      <c r="AD423" s="5" t="s">
        <v>115</v>
      </c>
      <c r="AE423" s="5" t="s">
        <v>115</v>
      </c>
      <c r="AF423" s="5" t="s">
        <v>115</v>
      </c>
      <c r="AG423" s="5" t="s">
        <v>115</v>
      </c>
      <c r="AH423">
        <v>0</v>
      </c>
      <c r="AI423">
        <v>0</v>
      </c>
      <c r="AJ423">
        <v>0</v>
      </c>
      <c r="AK423">
        <v>0</v>
      </c>
      <c r="AL423">
        <v>14</v>
      </c>
      <c r="AM423">
        <f t="shared" si="6"/>
        <v>14</v>
      </c>
      <c r="AN423" t="s">
        <v>188</v>
      </c>
    </row>
    <row r="424" spans="1:43" x14ac:dyDescent="0.2">
      <c r="A424" t="s">
        <v>3321</v>
      </c>
      <c r="B424" t="s">
        <v>3322</v>
      </c>
      <c r="C424">
        <v>13</v>
      </c>
      <c r="D424">
        <v>2</v>
      </c>
      <c r="E424" t="s">
        <v>834</v>
      </c>
      <c r="F424" s="1">
        <v>43577</v>
      </c>
      <c r="G424" s="1" t="s">
        <v>4027</v>
      </c>
      <c r="H424" s="1"/>
      <c r="I424" s="2">
        <v>1.3888888888888888E-2</v>
      </c>
      <c r="J424" s="176">
        <v>2.3148148148148146E-4</v>
      </c>
      <c r="K424" s="6">
        <v>20</v>
      </c>
      <c r="L424" t="s">
        <v>101</v>
      </c>
      <c r="M424" t="s">
        <v>466</v>
      </c>
      <c r="N424" t="s">
        <v>102</v>
      </c>
      <c r="O424" t="s">
        <v>115</v>
      </c>
      <c r="P424">
        <v>1</v>
      </c>
      <c r="Q424">
        <v>0</v>
      </c>
      <c r="R424">
        <v>0</v>
      </c>
      <c r="S424" t="s">
        <v>598</v>
      </c>
      <c r="T424" s="5" t="s">
        <v>2437</v>
      </c>
      <c r="U424" s="5" t="s">
        <v>122</v>
      </c>
      <c r="V424" s="5" t="s">
        <v>115</v>
      </c>
      <c r="W424" s="5"/>
      <c r="X424" s="5"/>
      <c r="Y424" s="5"/>
      <c r="Z424" s="5" t="s">
        <v>115</v>
      </c>
      <c r="AA424" s="5" t="s">
        <v>115</v>
      </c>
      <c r="AB424" s="5" t="s">
        <v>115</v>
      </c>
      <c r="AC424" s="5" t="s">
        <v>115</v>
      </c>
      <c r="AD424" s="5" t="s">
        <v>115</v>
      </c>
      <c r="AE424" s="5" t="s">
        <v>115</v>
      </c>
      <c r="AF424" s="5" t="s">
        <v>115</v>
      </c>
      <c r="AG424" s="5" t="s">
        <v>115</v>
      </c>
      <c r="AH424">
        <v>0</v>
      </c>
      <c r="AI424">
        <v>0</v>
      </c>
      <c r="AJ424">
        <v>0</v>
      </c>
      <c r="AK424">
        <v>0</v>
      </c>
      <c r="AL424">
        <v>14</v>
      </c>
      <c r="AM424">
        <f t="shared" si="6"/>
        <v>14</v>
      </c>
      <c r="AN424" t="s">
        <v>188</v>
      </c>
    </row>
    <row r="425" spans="1:43" x14ac:dyDescent="0.2">
      <c r="A425" t="s">
        <v>2491</v>
      </c>
      <c r="B425" t="s">
        <v>2492</v>
      </c>
      <c r="C425">
        <v>3</v>
      </c>
      <c r="D425">
        <v>1</v>
      </c>
      <c r="E425" t="s">
        <v>2487</v>
      </c>
      <c r="F425" s="1">
        <v>43549</v>
      </c>
      <c r="G425" s="1" t="s">
        <v>4026</v>
      </c>
      <c r="H425" s="1"/>
      <c r="I425" s="2">
        <v>3.8194444444444441E-2</v>
      </c>
      <c r="J425" s="176">
        <v>6.3657407407407402E-4</v>
      </c>
      <c r="K425" s="6">
        <v>55</v>
      </c>
      <c r="L425" s="5" t="s">
        <v>398</v>
      </c>
      <c r="M425" t="s">
        <v>2488</v>
      </c>
      <c r="N425" t="s">
        <v>102</v>
      </c>
      <c r="O425" t="s">
        <v>23</v>
      </c>
      <c r="P425" t="s">
        <v>24</v>
      </c>
      <c r="Q425" t="s">
        <v>24</v>
      </c>
      <c r="R425">
        <v>0</v>
      </c>
      <c r="T425" t="s">
        <v>115</v>
      </c>
      <c r="U425" t="s">
        <v>115</v>
      </c>
      <c r="V425" t="s">
        <v>115</v>
      </c>
      <c r="Z425" t="s">
        <v>115</v>
      </c>
      <c r="AA425" t="s">
        <v>115</v>
      </c>
      <c r="AB425" t="s">
        <v>115</v>
      </c>
      <c r="AC425" t="s">
        <v>115</v>
      </c>
      <c r="AD425" t="s">
        <v>115</v>
      </c>
      <c r="AH425">
        <v>14</v>
      </c>
      <c r="AI425">
        <v>0</v>
      </c>
      <c r="AJ425">
        <v>14</v>
      </c>
      <c r="AK425">
        <v>0</v>
      </c>
      <c r="AL425">
        <v>0</v>
      </c>
      <c r="AM425">
        <f t="shared" si="6"/>
        <v>14</v>
      </c>
      <c r="AN425" t="s">
        <v>188</v>
      </c>
      <c r="AP425">
        <v>0</v>
      </c>
      <c r="AQ425">
        <v>0</v>
      </c>
    </row>
    <row r="426" spans="1:43" x14ac:dyDescent="0.2">
      <c r="A426" t="s">
        <v>3511</v>
      </c>
      <c r="B426" t="s">
        <v>3512</v>
      </c>
      <c r="C426">
        <v>28</v>
      </c>
      <c r="D426">
        <v>1</v>
      </c>
      <c r="E426" t="s">
        <v>2462</v>
      </c>
      <c r="F426" s="1">
        <v>43579</v>
      </c>
      <c r="G426" s="1" t="s">
        <v>4027</v>
      </c>
      <c r="H426" s="1"/>
      <c r="I426" s="2">
        <v>1.1805555555555555E-2</v>
      </c>
      <c r="J426" s="176">
        <v>1.9675925925925926E-4</v>
      </c>
      <c r="K426" s="6">
        <v>17</v>
      </c>
      <c r="L426" t="s">
        <v>101</v>
      </c>
      <c r="M426" t="s">
        <v>64</v>
      </c>
      <c r="N426" t="s">
        <v>102</v>
      </c>
      <c r="O426" t="s">
        <v>23</v>
      </c>
      <c r="P426" t="s">
        <v>24</v>
      </c>
      <c r="Q426">
        <v>0</v>
      </c>
      <c r="R426">
        <v>0</v>
      </c>
      <c r="T426" s="5" t="s">
        <v>115</v>
      </c>
      <c r="U426" s="5" t="s">
        <v>115</v>
      </c>
      <c r="V426" s="5" t="s">
        <v>115</v>
      </c>
      <c r="W426" s="5"/>
      <c r="X426" s="5"/>
      <c r="Y426" s="5"/>
      <c r="Z426" s="5" t="s">
        <v>115</v>
      </c>
      <c r="AA426" s="5" t="s">
        <v>115</v>
      </c>
      <c r="AB426" s="5" t="s">
        <v>115</v>
      </c>
      <c r="AC426" s="5" t="s">
        <v>115</v>
      </c>
      <c r="AD426" s="5" t="s">
        <v>115</v>
      </c>
      <c r="AE426" s="5" t="s">
        <v>115</v>
      </c>
      <c r="AF426" s="5" t="s">
        <v>115</v>
      </c>
      <c r="AG426" s="5" t="s">
        <v>115</v>
      </c>
      <c r="AH426">
        <v>14</v>
      </c>
      <c r="AI426">
        <v>0</v>
      </c>
      <c r="AJ426">
        <v>14</v>
      </c>
      <c r="AK426">
        <v>0</v>
      </c>
      <c r="AL426">
        <v>0</v>
      </c>
      <c r="AM426">
        <f t="shared" si="6"/>
        <v>14</v>
      </c>
      <c r="AN426" t="s">
        <v>188</v>
      </c>
    </row>
    <row r="427" spans="1:43" x14ac:dyDescent="0.2">
      <c r="A427" t="s">
        <v>3664</v>
      </c>
      <c r="B427" t="s">
        <v>3662</v>
      </c>
      <c r="C427">
        <v>16</v>
      </c>
      <c r="D427">
        <v>1</v>
      </c>
      <c r="E427" t="s">
        <v>2487</v>
      </c>
      <c r="F427" s="1">
        <v>43585</v>
      </c>
      <c r="G427" s="1" t="s">
        <v>4027</v>
      </c>
      <c r="H427" s="1"/>
      <c r="I427" s="2">
        <v>9.7222222222222224E-3</v>
      </c>
      <c r="J427" s="176">
        <v>1.6203703703703703E-4</v>
      </c>
      <c r="K427" s="6">
        <v>14</v>
      </c>
      <c r="L427" t="s">
        <v>3626</v>
      </c>
      <c r="M427" t="s">
        <v>2488</v>
      </c>
      <c r="N427" t="s">
        <v>102</v>
      </c>
      <c r="O427" t="s">
        <v>23</v>
      </c>
      <c r="P427" t="s">
        <v>24</v>
      </c>
      <c r="Q427">
        <v>0</v>
      </c>
      <c r="R427">
        <v>0</v>
      </c>
      <c r="T427" s="5" t="s">
        <v>115</v>
      </c>
      <c r="U427" s="5" t="s">
        <v>115</v>
      </c>
      <c r="V427" s="5" t="s">
        <v>115</v>
      </c>
      <c r="W427" s="5"/>
      <c r="X427" s="5"/>
      <c r="Y427" s="5"/>
      <c r="Z427" s="5" t="s">
        <v>115</v>
      </c>
      <c r="AA427" s="5" t="s">
        <v>115</v>
      </c>
      <c r="AB427" s="5" t="s">
        <v>115</v>
      </c>
      <c r="AC427" s="5" t="s">
        <v>115</v>
      </c>
      <c r="AD427" s="5" t="s">
        <v>115</v>
      </c>
      <c r="AE427" s="5" t="s">
        <v>115</v>
      </c>
      <c r="AF427" s="5" t="s">
        <v>115</v>
      </c>
      <c r="AG427" s="5" t="s">
        <v>115</v>
      </c>
      <c r="AH427">
        <v>0</v>
      </c>
      <c r="AI427">
        <v>14</v>
      </c>
      <c r="AJ427">
        <v>0</v>
      </c>
      <c r="AK427">
        <v>14</v>
      </c>
      <c r="AL427">
        <v>0</v>
      </c>
      <c r="AM427">
        <f t="shared" si="6"/>
        <v>14</v>
      </c>
      <c r="AN427" t="s">
        <v>3666</v>
      </c>
      <c r="AO427" t="s">
        <v>3667</v>
      </c>
    </row>
    <row r="428" spans="1:43" x14ac:dyDescent="0.2">
      <c r="A428" t="s">
        <v>2399</v>
      </c>
      <c r="B428" t="s">
        <v>2400</v>
      </c>
      <c r="C428">
        <v>22</v>
      </c>
      <c r="D428">
        <v>1</v>
      </c>
      <c r="E428" t="s">
        <v>2343</v>
      </c>
      <c r="F428" s="1">
        <v>43544</v>
      </c>
      <c r="G428" s="1" t="s">
        <v>4026</v>
      </c>
      <c r="H428" s="1"/>
      <c r="I428" s="2">
        <v>9.0277777777777787E-3</v>
      </c>
      <c r="J428" s="176">
        <v>1.5046296296296297E-4</v>
      </c>
      <c r="K428" s="6">
        <v>13</v>
      </c>
      <c r="L428" t="s">
        <v>101</v>
      </c>
      <c r="M428" t="s">
        <v>2355</v>
      </c>
      <c r="N428" t="s">
        <v>102</v>
      </c>
      <c r="O428" t="s">
        <v>115</v>
      </c>
      <c r="P428">
        <v>1</v>
      </c>
      <c r="Q428">
        <v>0</v>
      </c>
      <c r="R428">
        <v>0</v>
      </c>
      <c r="S428" t="s">
        <v>24</v>
      </c>
      <c r="T428" t="s">
        <v>24</v>
      </c>
      <c r="U428" t="s">
        <v>122</v>
      </c>
      <c r="V428" t="s">
        <v>115</v>
      </c>
      <c r="Z428" t="s">
        <v>115</v>
      </c>
      <c r="AA428" t="s">
        <v>115</v>
      </c>
      <c r="AB428" s="5" t="s">
        <v>115</v>
      </c>
      <c r="AC428" s="5" t="s">
        <v>115</v>
      </c>
      <c r="AD428" s="5" t="s">
        <v>115</v>
      </c>
      <c r="AE428" s="5"/>
      <c r="AF428" s="5"/>
      <c r="AG428" s="5"/>
      <c r="AH428">
        <v>0</v>
      </c>
      <c r="AI428">
        <v>0</v>
      </c>
      <c r="AJ428">
        <v>0</v>
      </c>
      <c r="AK428">
        <v>0</v>
      </c>
      <c r="AL428">
        <v>13</v>
      </c>
      <c r="AM428">
        <f t="shared" si="6"/>
        <v>13</v>
      </c>
      <c r="AN428" t="s">
        <v>188</v>
      </c>
    </row>
    <row r="429" spans="1:43" x14ac:dyDescent="0.2">
      <c r="A429" t="s">
        <v>2519</v>
      </c>
      <c r="B429" t="s">
        <v>2520</v>
      </c>
      <c r="C429">
        <v>14</v>
      </c>
      <c r="D429">
        <v>1</v>
      </c>
      <c r="E429" t="s">
        <v>2487</v>
      </c>
      <c r="F429" s="1">
        <v>43549</v>
      </c>
      <c r="G429" s="1" t="s">
        <v>4026</v>
      </c>
      <c r="H429" s="1"/>
      <c r="I429" s="2">
        <v>2.9861111111111113E-2</v>
      </c>
      <c r="J429" s="176">
        <v>4.9768518518518521E-4</v>
      </c>
      <c r="K429" s="6">
        <v>43</v>
      </c>
      <c r="L429" s="5" t="s">
        <v>640</v>
      </c>
      <c r="M429" t="s">
        <v>2488</v>
      </c>
      <c r="N429" t="s">
        <v>102</v>
      </c>
      <c r="O429" t="s">
        <v>115</v>
      </c>
      <c r="P429">
        <v>1</v>
      </c>
      <c r="Q429">
        <v>0</v>
      </c>
      <c r="R429">
        <v>0</v>
      </c>
      <c r="S429" t="s">
        <v>176</v>
      </c>
      <c r="T429" t="s">
        <v>24</v>
      </c>
      <c r="U429" t="s">
        <v>122</v>
      </c>
      <c r="V429" s="5" t="s">
        <v>115</v>
      </c>
      <c r="W429" s="5"/>
      <c r="X429" s="5"/>
      <c r="Y429" s="5"/>
      <c r="Z429" s="5" t="s">
        <v>115</v>
      </c>
      <c r="AA429" s="5" t="s">
        <v>115</v>
      </c>
      <c r="AB429" s="5" t="s">
        <v>115</v>
      </c>
      <c r="AC429" s="5" t="s">
        <v>115</v>
      </c>
      <c r="AD429" s="5" t="s">
        <v>115</v>
      </c>
      <c r="AE429" s="5"/>
      <c r="AF429" s="5"/>
      <c r="AG429" s="5"/>
      <c r="AH429" s="5">
        <v>0</v>
      </c>
      <c r="AI429" s="5">
        <v>0</v>
      </c>
      <c r="AJ429" s="5">
        <v>0</v>
      </c>
      <c r="AK429" s="5">
        <v>0</v>
      </c>
      <c r="AL429" s="5">
        <v>13</v>
      </c>
      <c r="AM429">
        <f t="shared" si="6"/>
        <v>13</v>
      </c>
      <c r="AN429" t="s">
        <v>188</v>
      </c>
      <c r="AO429" t="s">
        <v>2521</v>
      </c>
    </row>
    <row r="430" spans="1:43" x14ac:dyDescent="0.2">
      <c r="A430" t="s">
        <v>2485</v>
      </c>
      <c r="B430" t="s">
        <v>2486</v>
      </c>
      <c r="C430">
        <v>1</v>
      </c>
      <c r="D430">
        <v>1</v>
      </c>
      <c r="E430" t="s">
        <v>2487</v>
      </c>
      <c r="F430" s="1">
        <v>43549</v>
      </c>
      <c r="G430" s="1" t="s">
        <v>4026</v>
      </c>
      <c r="H430" s="1"/>
      <c r="I430" s="2">
        <v>3.125E-2</v>
      </c>
      <c r="J430" s="176">
        <v>5.2083333333333333E-4</v>
      </c>
      <c r="K430" s="6">
        <v>45</v>
      </c>
      <c r="L430" s="5" t="s">
        <v>398</v>
      </c>
      <c r="M430" t="s">
        <v>2488</v>
      </c>
      <c r="N430" t="s">
        <v>102</v>
      </c>
      <c r="O430" t="s">
        <v>23</v>
      </c>
      <c r="P430">
        <v>0</v>
      </c>
      <c r="Q430">
        <v>0</v>
      </c>
      <c r="R430">
        <v>0</v>
      </c>
      <c r="T430" t="s">
        <v>115</v>
      </c>
      <c r="U430" t="s">
        <v>115</v>
      </c>
      <c r="V430" t="s">
        <v>115</v>
      </c>
      <c r="Z430" t="s">
        <v>115</v>
      </c>
      <c r="AA430" t="s">
        <v>115</v>
      </c>
      <c r="AB430" t="s">
        <v>115</v>
      </c>
      <c r="AC430" t="s">
        <v>115</v>
      </c>
      <c r="AD430" t="s">
        <v>115</v>
      </c>
      <c r="AH430">
        <v>13</v>
      </c>
      <c r="AI430">
        <v>0</v>
      </c>
      <c r="AJ430">
        <v>0</v>
      </c>
      <c r="AK430">
        <v>13</v>
      </c>
      <c r="AL430">
        <v>0</v>
      </c>
      <c r="AM430">
        <f t="shared" si="6"/>
        <v>13</v>
      </c>
      <c r="AN430" t="s">
        <v>2374</v>
      </c>
      <c r="AP430">
        <v>1</v>
      </c>
      <c r="AQ430">
        <v>0</v>
      </c>
    </row>
    <row r="431" spans="1:43" x14ac:dyDescent="0.2">
      <c r="A431" t="s">
        <v>2616</v>
      </c>
      <c r="B431" t="s">
        <v>2617</v>
      </c>
      <c r="C431">
        <v>5</v>
      </c>
      <c r="D431">
        <v>1</v>
      </c>
      <c r="E431" t="s">
        <v>2601</v>
      </c>
      <c r="F431" s="1">
        <v>43551</v>
      </c>
      <c r="G431" s="1" t="s">
        <v>4026</v>
      </c>
      <c r="H431" s="1"/>
      <c r="I431" s="2">
        <v>6.5277777777777782E-2</v>
      </c>
      <c r="J431" s="176">
        <v>1.0879629629629629E-3</v>
      </c>
      <c r="K431" s="6">
        <v>94</v>
      </c>
      <c r="L431" s="5" t="s">
        <v>398</v>
      </c>
      <c r="M431" t="s">
        <v>173</v>
      </c>
      <c r="N431" t="s">
        <v>102</v>
      </c>
      <c r="O431" t="s">
        <v>23</v>
      </c>
      <c r="P431">
        <v>1</v>
      </c>
      <c r="Q431">
        <v>1</v>
      </c>
      <c r="R431">
        <v>0</v>
      </c>
      <c r="S431" t="s">
        <v>176</v>
      </c>
      <c r="T431" t="s">
        <v>24</v>
      </c>
      <c r="U431" t="s">
        <v>2069</v>
      </c>
      <c r="V431" t="s">
        <v>115</v>
      </c>
      <c r="Z431" t="s">
        <v>115</v>
      </c>
      <c r="AA431" t="s">
        <v>115</v>
      </c>
      <c r="AB431" t="s">
        <v>115</v>
      </c>
      <c r="AC431" t="s">
        <v>115</v>
      </c>
      <c r="AD431" t="s">
        <v>115</v>
      </c>
      <c r="AE431">
        <v>63.726010000000002</v>
      </c>
      <c r="AF431">
        <v>148.96159</v>
      </c>
      <c r="AH431">
        <v>13</v>
      </c>
      <c r="AI431">
        <v>0</v>
      </c>
      <c r="AJ431">
        <v>13</v>
      </c>
      <c r="AK431">
        <v>0</v>
      </c>
      <c r="AL431">
        <v>0</v>
      </c>
      <c r="AM431">
        <f t="shared" si="6"/>
        <v>13</v>
      </c>
      <c r="AN431" t="s">
        <v>188</v>
      </c>
    </row>
    <row r="432" spans="1:43" x14ac:dyDescent="0.2">
      <c r="A432" t="s">
        <v>2818</v>
      </c>
      <c r="B432" t="s">
        <v>2819</v>
      </c>
      <c r="C432">
        <v>15</v>
      </c>
      <c r="D432">
        <v>1</v>
      </c>
      <c r="E432" t="s">
        <v>138</v>
      </c>
      <c r="F432" s="1">
        <v>43556</v>
      </c>
      <c r="G432" s="1" t="s">
        <v>4027</v>
      </c>
      <c r="H432" s="1"/>
      <c r="I432" s="2">
        <v>9.0277777777777787E-3</v>
      </c>
      <c r="J432" s="176">
        <v>1.5046296296296297E-4</v>
      </c>
      <c r="K432" s="6">
        <v>13</v>
      </c>
      <c r="M432" t="s">
        <v>173</v>
      </c>
      <c r="N432" t="s">
        <v>102</v>
      </c>
      <c r="O432" t="s">
        <v>115</v>
      </c>
      <c r="P432">
        <v>1</v>
      </c>
      <c r="Q432">
        <v>0</v>
      </c>
      <c r="R432">
        <v>0</v>
      </c>
      <c r="S432" t="s">
        <v>598</v>
      </c>
      <c r="T432" s="5" t="s">
        <v>2801</v>
      </c>
      <c r="U432" s="5" t="s">
        <v>122</v>
      </c>
      <c r="V432" s="5" t="s">
        <v>115</v>
      </c>
      <c r="W432" s="5"/>
      <c r="X432" s="5"/>
      <c r="Y432" s="5"/>
      <c r="Z432" s="5" t="s">
        <v>115</v>
      </c>
      <c r="AA432" s="5" t="s">
        <v>115</v>
      </c>
      <c r="AB432" s="5" t="s">
        <v>115</v>
      </c>
      <c r="AC432" s="5" t="s">
        <v>115</v>
      </c>
      <c r="AD432" s="5" t="s">
        <v>115</v>
      </c>
      <c r="AE432" s="5" t="s">
        <v>115</v>
      </c>
      <c r="AF432" s="5" t="s">
        <v>115</v>
      </c>
      <c r="AG432" s="5"/>
      <c r="AH432">
        <v>0</v>
      </c>
      <c r="AI432">
        <v>0</v>
      </c>
      <c r="AJ432">
        <v>0</v>
      </c>
      <c r="AK432">
        <v>0</v>
      </c>
      <c r="AL432">
        <v>13</v>
      </c>
      <c r="AM432">
        <f t="shared" si="6"/>
        <v>13</v>
      </c>
      <c r="AO432" t="s">
        <v>2820</v>
      </c>
    </row>
    <row r="433" spans="1:43" x14ac:dyDescent="0.2">
      <c r="A433" t="s">
        <v>2897</v>
      </c>
      <c r="B433" t="s">
        <v>2898</v>
      </c>
      <c r="C433">
        <v>18</v>
      </c>
      <c r="D433">
        <v>1</v>
      </c>
      <c r="E433" t="s">
        <v>324</v>
      </c>
      <c r="F433" s="1">
        <v>43558</v>
      </c>
      <c r="G433" s="1" t="s">
        <v>4027</v>
      </c>
      <c r="H433" s="1"/>
      <c r="I433" s="2">
        <v>1.1111111111111112E-2</v>
      </c>
      <c r="J433" s="176">
        <v>1.8518518518518518E-4</v>
      </c>
      <c r="K433" s="6">
        <v>16</v>
      </c>
      <c r="M433" t="s">
        <v>325</v>
      </c>
      <c r="N433" t="s">
        <v>102</v>
      </c>
      <c r="O433" t="s">
        <v>23</v>
      </c>
      <c r="P433">
        <v>1</v>
      </c>
      <c r="Q433">
        <v>1</v>
      </c>
      <c r="R433">
        <v>0</v>
      </c>
      <c r="S433" t="s">
        <v>176</v>
      </c>
      <c r="T433" s="5" t="s">
        <v>24</v>
      </c>
      <c r="U433" s="5" t="s">
        <v>2899</v>
      </c>
      <c r="V433" s="5" t="s">
        <v>115</v>
      </c>
      <c r="W433" s="5"/>
      <c r="X433" s="5"/>
      <c r="Y433" s="5"/>
      <c r="Z433" s="5" t="s">
        <v>115</v>
      </c>
      <c r="AA433" s="5" t="s">
        <v>115</v>
      </c>
      <c r="AB433" s="5" t="s">
        <v>115</v>
      </c>
      <c r="AC433" s="5" t="s">
        <v>115</v>
      </c>
      <c r="AD433" s="5" t="s">
        <v>115</v>
      </c>
      <c r="AE433" s="5" t="s">
        <v>2900</v>
      </c>
      <c r="AF433" s="5" t="s">
        <v>2900</v>
      </c>
      <c r="AG433" s="5"/>
      <c r="AH433">
        <v>13</v>
      </c>
      <c r="AI433">
        <v>0</v>
      </c>
      <c r="AJ433">
        <v>0</v>
      </c>
      <c r="AK433">
        <v>13</v>
      </c>
      <c r="AL433">
        <v>0</v>
      </c>
      <c r="AM433">
        <f t="shared" si="6"/>
        <v>13</v>
      </c>
      <c r="AN433" t="s">
        <v>188</v>
      </c>
    </row>
    <row r="434" spans="1:43" x14ac:dyDescent="0.2">
      <c r="A434" t="s">
        <v>2863</v>
      </c>
      <c r="B434" t="s">
        <v>2864</v>
      </c>
      <c r="C434">
        <v>4</v>
      </c>
      <c r="D434">
        <v>1</v>
      </c>
      <c r="E434" t="s">
        <v>324</v>
      </c>
      <c r="F434" s="1">
        <v>43558</v>
      </c>
      <c r="G434" s="1" t="s">
        <v>4027</v>
      </c>
      <c r="H434" s="1"/>
      <c r="I434" s="2">
        <v>2.5694444444444447E-2</v>
      </c>
      <c r="J434" s="176">
        <v>4.2824074074074075E-4</v>
      </c>
      <c r="K434" s="6">
        <v>37</v>
      </c>
      <c r="M434" t="s">
        <v>325</v>
      </c>
      <c r="N434" t="s">
        <v>102</v>
      </c>
      <c r="O434" t="s">
        <v>23</v>
      </c>
      <c r="P434">
        <v>1</v>
      </c>
      <c r="Q434" t="s">
        <v>24</v>
      </c>
      <c r="R434">
        <v>0</v>
      </c>
      <c r="S434" t="s">
        <v>176</v>
      </c>
      <c r="T434" s="5" t="s">
        <v>24</v>
      </c>
      <c r="U434" s="5" t="s">
        <v>2865</v>
      </c>
      <c r="V434" s="5" t="s">
        <v>115</v>
      </c>
      <c r="W434" s="5"/>
      <c r="X434" s="5"/>
      <c r="Y434" s="5"/>
      <c r="Z434" s="5" t="s">
        <v>115</v>
      </c>
      <c r="AA434" s="5" t="s">
        <v>115</v>
      </c>
      <c r="AB434" s="5" t="s">
        <v>115</v>
      </c>
      <c r="AC434" s="5" t="s">
        <v>115</v>
      </c>
      <c r="AD434" s="5" t="s">
        <v>115</v>
      </c>
      <c r="AE434" s="5" t="s">
        <v>115</v>
      </c>
      <c r="AF434" s="5" t="s">
        <v>115</v>
      </c>
      <c r="AG434" s="5"/>
      <c r="AH434">
        <v>13</v>
      </c>
      <c r="AI434">
        <v>0</v>
      </c>
      <c r="AJ434">
        <v>0</v>
      </c>
      <c r="AK434">
        <v>13</v>
      </c>
      <c r="AL434">
        <v>0</v>
      </c>
      <c r="AM434">
        <f t="shared" si="6"/>
        <v>13</v>
      </c>
      <c r="AN434" t="s">
        <v>188</v>
      </c>
    </row>
    <row r="435" spans="1:43" x14ac:dyDescent="0.2">
      <c r="A435" t="s">
        <v>2868</v>
      </c>
      <c r="B435" t="s">
        <v>2869</v>
      </c>
      <c r="C435">
        <v>6</v>
      </c>
      <c r="D435">
        <v>1</v>
      </c>
      <c r="E435" t="s">
        <v>324</v>
      </c>
      <c r="F435" s="1">
        <v>43558</v>
      </c>
      <c r="G435" s="1" t="s">
        <v>4027</v>
      </c>
      <c r="H435" s="1"/>
      <c r="I435" s="2">
        <v>2.6388888888888889E-2</v>
      </c>
      <c r="J435" s="176">
        <v>4.3981481481481481E-4</v>
      </c>
      <c r="K435" s="6">
        <v>38</v>
      </c>
      <c r="M435" t="s">
        <v>325</v>
      </c>
      <c r="N435" t="s">
        <v>102</v>
      </c>
      <c r="O435" t="s">
        <v>23</v>
      </c>
      <c r="P435">
        <v>1</v>
      </c>
      <c r="Q435" t="s">
        <v>24</v>
      </c>
      <c r="R435">
        <v>0</v>
      </c>
      <c r="S435" t="s">
        <v>176</v>
      </c>
      <c r="T435" s="5" t="s">
        <v>24</v>
      </c>
      <c r="U435" s="5" t="s">
        <v>2383</v>
      </c>
      <c r="V435" s="5" t="s">
        <v>115</v>
      </c>
      <c r="W435" s="5"/>
      <c r="X435" s="5"/>
      <c r="Y435" s="5"/>
      <c r="Z435" s="5" t="s">
        <v>115</v>
      </c>
      <c r="AA435" s="5" t="s">
        <v>115</v>
      </c>
      <c r="AB435" s="5" t="s">
        <v>115</v>
      </c>
      <c r="AC435" s="5" t="s">
        <v>115</v>
      </c>
      <c r="AD435" s="5" t="s">
        <v>115</v>
      </c>
      <c r="AE435" s="5" t="s">
        <v>115</v>
      </c>
      <c r="AF435" s="5" t="s">
        <v>115</v>
      </c>
      <c r="AG435" s="5"/>
      <c r="AH435">
        <v>13</v>
      </c>
      <c r="AI435">
        <v>0</v>
      </c>
      <c r="AJ435">
        <v>0</v>
      </c>
      <c r="AK435">
        <v>13</v>
      </c>
      <c r="AL435">
        <v>0</v>
      </c>
      <c r="AM435">
        <f t="shared" si="6"/>
        <v>13</v>
      </c>
      <c r="AN435" t="s">
        <v>188</v>
      </c>
    </row>
    <row r="436" spans="1:43" x14ac:dyDescent="0.2">
      <c r="A436" t="s">
        <v>3454</v>
      </c>
      <c r="B436" t="s">
        <v>3455</v>
      </c>
      <c r="C436">
        <v>1</v>
      </c>
      <c r="D436">
        <v>1</v>
      </c>
      <c r="E436" t="s">
        <v>2462</v>
      </c>
      <c r="F436" s="1">
        <v>43579</v>
      </c>
      <c r="G436" s="1" t="s">
        <v>4027</v>
      </c>
      <c r="H436" s="1"/>
      <c r="I436" s="2">
        <v>9.0277777777777787E-3</v>
      </c>
      <c r="J436" s="176">
        <v>1.5046296296296297E-4</v>
      </c>
      <c r="K436" s="6">
        <v>13</v>
      </c>
      <c r="L436" t="s">
        <v>101</v>
      </c>
      <c r="M436" t="s">
        <v>363</v>
      </c>
      <c r="N436" t="s">
        <v>102</v>
      </c>
      <c r="O436" t="s">
        <v>23</v>
      </c>
      <c r="P436">
        <v>1</v>
      </c>
      <c r="Q436">
        <v>1</v>
      </c>
      <c r="R436">
        <v>0</v>
      </c>
      <c r="S436" t="s">
        <v>176</v>
      </c>
      <c r="T436" s="5" t="s">
        <v>24</v>
      </c>
      <c r="U436" s="5" t="s">
        <v>709</v>
      </c>
      <c r="V436" s="5" t="s">
        <v>115</v>
      </c>
      <c r="W436" s="5"/>
      <c r="X436" s="5"/>
      <c r="Y436" s="5"/>
      <c r="Z436" s="5" t="s">
        <v>115</v>
      </c>
      <c r="AA436" s="5" t="s">
        <v>115</v>
      </c>
      <c r="AB436" s="5" t="s">
        <v>115</v>
      </c>
      <c r="AC436" s="5" t="s">
        <v>115</v>
      </c>
      <c r="AD436" s="5" t="s">
        <v>115</v>
      </c>
      <c r="AE436">
        <v>63.735790000000001</v>
      </c>
      <c r="AF436">
        <v>148.89839000000001</v>
      </c>
      <c r="AG436" s="5" t="s">
        <v>115</v>
      </c>
      <c r="AH436">
        <v>13</v>
      </c>
      <c r="AI436">
        <v>0</v>
      </c>
      <c r="AJ436">
        <v>13</v>
      </c>
      <c r="AK436">
        <v>0</v>
      </c>
      <c r="AL436">
        <v>0</v>
      </c>
      <c r="AM436">
        <f t="shared" si="6"/>
        <v>13</v>
      </c>
      <c r="AN436" t="s">
        <v>188</v>
      </c>
    </row>
    <row r="437" spans="1:43" x14ac:dyDescent="0.2">
      <c r="A437" t="s">
        <v>3878</v>
      </c>
      <c r="B437" t="s">
        <v>3879</v>
      </c>
      <c r="C437">
        <v>2</v>
      </c>
      <c r="D437">
        <v>1</v>
      </c>
      <c r="E437" t="s">
        <v>3171</v>
      </c>
      <c r="F437" s="1">
        <v>43591</v>
      </c>
      <c r="G437" s="1" t="s">
        <v>4028</v>
      </c>
      <c r="H437" s="1"/>
      <c r="I437" s="2">
        <v>9.0277777777777787E-3</v>
      </c>
      <c r="J437" s="176">
        <v>1.5046296296296297E-4</v>
      </c>
      <c r="K437" s="6">
        <v>13</v>
      </c>
      <c r="L437" t="s">
        <v>1278</v>
      </c>
      <c r="M437" t="s">
        <v>149</v>
      </c>
      <c r="N437" t="s">
        <v>102</v>
      </c>
      <c r="O437" t="s">
        <v>115</v>
      </c>
      <c r="P437">
        <v>1</v>
      </c>
      <c r="Q437">
        <v>0</v>
      </c>
      <c r="R437">
        <v>0</v>
      </c>
      <c r="S437" t="s">
        <v>598</v>
      </c>
      <c r="T437" s="5" t="s">
        <v>2437</v>
      </c>
      <c r="U437" s="5" t="s">
        <v>122</v>
      </c>
      <c r="V437" s="5" t="s">
        <v>115</v>
      </c>
      <c r="W437" s="5"/>
      <c r="X437" s="5"/>
      <c r="Y437" s="5"/>
      <c r="Z437" s="5" t="s">
        <v>115</v>
      </c>
      <c r="AA437" s="5" t="s">
        <v>115</v>
      </c>
      <c r="AB437" s="5" t="s">
        <v>115</v>
      </c>
      <c r="AC437" s="5" t="s">
        <v>115</v>
      </c>
      <c r="AD437" s="5" t="s">
        <v>115</v>
      </c>
      <c r="AE437" s="5" t="s">
        <v>115</v>
      </c>
      <c r="AF437" s="5" t="s">
        <v>115</v>
      </c>
      <c r="AG437" s="5" t="s">
        <v>115</v>
      </c>
      <c r="AH437">
        <v>0</v>
      </c>
      <c r="AI437">
        <v>0</v>
      </c>
      <c r="AJ437">
        <v>0</v>
      </c>
      <c r="AK437">
        <v>0</v>
      </c>
      <c r="AL437">
        <v>13</v>
      </c>
      <c r="AM437">
        <f t="shared" si="6"/>
        <v>13</v>
      </c>
      <c r="AN437" t="s">
        <v>188</v>
      </c>
    </row>
    <row r="438" spans="1:43" x14ac:dyDescent="0.2">
      <c r="A438" t="s">
        <v>2679</v>
      </c>
      <c r="B438" t="s">
        <v>2680</v>
      </c>
      <c r="C438">
        <v>3</v>
      </c>
      <c r="D438">
        <v>1</v>
      </c>
      <c r="E438" t="s">
        <v>324</v>
      </c>
      <c r="F438" s="1">
        <v>43554</v>
      </c>
      <c r="G438" s="1" t="s">
        <v>4026</v>
      </c>
      <c r="H438" s="1"/>
      <c r="I438" s="2">
        <v>9.0277777777777787E-3</v>
      </c>
      <c r="J438" s="176">
        <v>1.5046296296296297E-4</v>
      </c>
      <c r="K438" s="6">
        <v>13</v>
      </c>
      <c r="M438" t="s">
        <v>325</v>
      </c>
      <c r="N438" t="s">
        <v>102</v>
      </c>
      <c r="O438" t="s">
        <v>23</v>
      </c>
      <c r="P438" t="s">
        <v>24</v>
      </c>
      <c r="Q438" t="s">
        <v>24</v>
      </c>
      <c r="R438" t="s">
        <v>176</v>
      </c>
      <c r="T438" t="s">
        <v>115</v>
      </c>
      <c r="U438" t="s">
        <v>115</v>
      </c>
      <c r="V438" t="s">
        <v>115</v>
      </c>
      <c r="Z438" t="s">
        <v>115</v>
      </c>
      <c r="AA438" t="s">
        <v>115</v>
      </c>
      <c r="AB438" t="s">
        <v>115</v>
      </c>
      <c r="AC438" t="s">
        <v>115</v>
      </c>
      <c r="AD438" t="s">
        <v>115</v>
      </c>
      <c r="AE438" t="s">
        <v>115</v>
      </c>
      <c r="AF438" t="s">
        <v>115</v>
      </c>
      <c r="AH438">
        <v>0</v>
      </c>
      <c r="AI438">
        <v>13</v>
      </c>
      <c r="AJ438">
        <v>0</v>
      </c>
      <c r="AK438">
        <v>13</v>
      </c>
      <c r="AL438">
        <v>0</v>
      </c>
      <c r="AM438">
        <f t="shared" si="6"/>
        <v>13</v>
      </c>
      <c r="AN438" t="s">
        <v>188</v>
      </c>
    </row>
    <row r="439" spans="1:43" x14ac:dyDescent="0.2">
      <c r="A439" t="s">
        <v>3270</v>
      </c>
      <c r="B439" t="s">
        <v>3271</v>
      </c>
      <c r="C439">
        <v>9</v>
      </c>
      <c r="D439">
        <v>1</v>
      </c>
      <c r="E439" t="s">
        <v>2462</v>
      </c>
      <c r="F439" s="1">
        <v>43573</v>
      </c>
      <c r="G439" s="1" t="s">
        <v>4027</v>
      </c>
      <c r="H439" s="1"/>
      <c r="I439" s="2">
        <v>1.1805555555555555E-2</v>
      </c>
      <c r="J439" s="176">
        <v>1.9675925925925926E-4</v>
      </c>
      <c r="K439" s="6">
        <v>17</v>
      </c>
      <c r="L439" t="s">
        <v>398</v>
      </c>
      <c r="M439" t="s">
        <v>363</v>
      </c>
      <c r="N439" t="s">
        <v>102</v>
      </c>
      <c r="O439" t="s">
        <v>115</v>
      </c>
      <c r="P439" t="s">
        <v>24</v>
      </c>
      <c r="Q439">
        <v>0</v>
      </c>
      <c r="R439">
        <v>0</v>
      </c>
      <c r="T439" s="5" t="s">
        <v>115</v>
      </c>
      <c r="U439" s="5" t="s">
        <v>115</v>
      </c>
      <c r="V439" s="5" t="s">
        <v>115</v>
      </c>
      <c r="W439" s="5"/>
      <c r="X439" s="5"/>
      <c r="Y439" s="5"/>
      <c r="Z439" s="5" t="s">
        <v>115</v>
      </c>
      <c r="AA439" s="5" t="s">
        <v>115</v>
      </c>
      <c r="AB439" s="5" t="s">
        <v>115</v>
      </c>
      <c r="AC439" s="5" t="s">
        <v>115</v>
      </c>
      <c r="AD439" s="5" t="s">
        <v>115</v>
      </c>
      <c r="AE439" s="5" t="s">
        <v>115</v>
      </c>
      <c r="AF439" s="5" t="s">
        <v>115</v>
      </c>
      <c r="AG439" s="5" t="s">
        <v>115</v>
      </c>
      <c r="AH439">
        <v>0</v>
      </c>
      <c r="AI439">
        <v>0</v>
      </c>
      <c r="AJ439">
        <v>0</v>
      </c>
      <c r="AK439">
        <v>0</v>
      </c>
      <c r="AL439">
        <v>13</v>
      </c>
      <c r="AM439">
        <f t="shared" si="6"/>
        <v>13</v>
      </c>
      <c r="AN439" t="s">
        <v>188</v>
      </c>
    </row>
    <row r="440" spans="1:43" x14ac:dyDescent="0.2">
      <c r="A440" t="s">
        <v>3921</v>
      </c>
      <c r="B440" t="s">
        <v>3922</v>
      </c>
      <c r="C440">
        <v>4</v>
      </c>
      <c r="D440">
        <v>1</v>
      </c>
      <c r="E440" t="s">
        <v>2601</v>
      </c>
      <c r="F440" s="1">
        <v>43593</v>
      </c>
      <c r="G440" s="1" t="s">
        <v>4028</v>
      </c>
      <c r="H440" s="1"/>
      <c r="I440" s="2">
        <v>9.0277777777777787E-3</v>
      </c>
      <c r="J440" s="176">
        <v>1.5046296296296297E-4</v>
      </c>
      <c r="K440" s="6">
        <v>13</v>
      </c>
      <c r="L440" t="s">
        <v>884</v>
      </c>
      <c r="M440" t="s">
        <v>177</v>
      </c>
      <c r="N440" t="s">
        <v>102</v>
      </c>
      <c r="O440" t="s">
        <v>115</v>
      </c>
      <c r="P440" t="s">
        <v>24</v>
      </c>
      <c r="Q440">
        <v>0</v>
      </c>
      <c r="R440">
        <v>0</v>
      </c>
      <c r="T440" s="5" t="s">
        <v>115</v>
      </c>
      <c r="U440" s="5" t="s">
        <v>115</v>
      </c>
      <c r="V440" s="5" t="s">
        <v>115</v>
      </c>
      <c r="W440" s="5"/>
      <c r="X440" s="5"/>
      <c r="Y440" s="5"/>
      <c r="Z440" s="5" t="s">
        <v>115</v>
      </c>
      <c r="AA440" s="5" t="s">
        <v>115</v>
      </c>
      <c r="AB440" s="5" t="s">
        <v>115</v>
      </c>
      <c r="AC440" s="5" t="s">
        <v>115</v>
      </c>
      <c r="AD440" s="5" t="s">
        <v>115</v>
      </c>
      <c r="AE440" s="5" t="s">
        <v>115</v>
      </c>
      <c r="AF440" s="5" t="s">
        <v>115</v>
      </c>
      <c r="AG440" s="5" t="s">
        <v>115</v>
      </c>
      <c r="AH440">
        <v>0</v>
      </c>
      <c r="AI440">
        <v>0</v>
      </c>
      <c r="AJ440">
        <v>0</v>
      </c>
      <c r="AK440">
        <v>0</v>
      </c>
      <c r="AL440">
        <v>13</v>
      </c>
      <c r="AM440">
        <f t="shared" si="6"/>
        <v>13</v>
      </c>
      <c r="AN440" t="s">
        <v>188</v>
      </c>
    </row>
    <row r="441" spans="1:43" x14ac:dyDescent="0.2">
      <c r="A441" t="s">
        <v>2393</v>
      </c>
      <c r="B441" t="s">
        <v>2394</v>
      </c>
      <c r="C441">
        <v>20</v>
      </c>
      <c r="D441">
        <v>1</v>
      </c>
      <c r="E441" t="s">
        <v>2343</v>
      </c>
      <c r="F441" s="1">
        <v>43544</v>
      </c>
      <c r="G441" s="1" t="s">
        <v>4026</v>
      </c>
      <c r="H441" s="1"/>
      <c r="I441" s="2">
        <v>2.6388888888888889E-2</v>
      </c>
      <c r="J441" s="176">
        <v>4.3981481481481481E-4</v>
      </c>
      <c r="K441" s="6">
        <v>38</v>
      </c>
      <c r="L441" t="s">
        <v>101</v>
      </c>
      <c r="M441" t="s">
        <v>2927</v>
      </c>
      <c r="N441" t="s">
        <v>102</v>
      </c>
      <c r="O441" t="s">
        <v>115</v>
      </c>
      <c r="P441">
        <v>1</v>
      </c>
      <c r="Q441">
        <v>0</v>
      </c>
      <c r="R441">
        <v>0</v>
      </c>
      <c r="S441" t="s">
        <v>176</v>
      </c>
      <c r="T441" t="s">
        <v>24</v>
      </c>
      <c r="U441" t="s">
        <v>122</v>
      </c>
      <c r="V441" t="s">
        <v>115</v>
      </c>
      <c r="Z441" t="s">
        <v>115</v>
      </c>
      <c r="AA441" t="s">
        <v>586</v>
      </c>
      <c r="AB441" s="5" t="s">
        <v>115</v>
      </c>
      <c r="AC441" s="5" t="s">
        <v>115</v>
      </c>
      <c r="AD441" s="5" t="s">
        <v>115</v>
      </c>
      <c r="AE441" s="5"/>
      <c r="AF441" s="5"/>
      <c r="AG441" s="5"/>
      <c r="AH441">
        <v>0</v>
      </c>
      <c r="AI441">
        <v>0</v>
      </c>
      <c r="AJ441">
        <v>0</v>
      </c>
      <c r="AK441">
        <v>0</v>
      </c>
      <c r="AL441">
        <v>12</v>
      </c>
      <c r="AM441">
        <f t="shared" si="6"/>
        <v>12</v>
      </c>
      <c r="AN441" t="s">
        <v>188</v>
      </c>
      <c r="AP441">
        <v>0</v>
      </c>
      <c r="AQ441">
        <v>0</v>
      </c>
    </row>
    <row r="442" spans="1:43" x14ac:dyDescent="0.2">
      <c r="A442" t="s">
        <v>3242</v>
      </c>
      <c r="B442" t="s">
        <v>3244</v>
      </c>
      <c r="C442">
        <v>7</v>
      </c>
      <c r="D442">
        <v>1</v>
      </c>
      <c r="E442" t="s">
        <v>791</v>
      </c>
      <c r="F442" s="1">
        <v>43572</v>
      </c>
      <c r="G442" s="1" t="s">
        <v>4027</v>
      </c>
      <c r="H442" s="1"/>
      <c r="I442" s="2">
        <v>1.2499999999999999E-2</v>
      </c>
      <c r="J442" s="176">
        <v>2.0833333333333335E-4</v>
      </c>
      <c r="K442" s="6">
        <v>18</v>
      </c>
      <c r="L442" t="s">
        <v>3187</v>
      </c>
      <c r="M442" t="s">
        <v>924</v>
      </c>
      <c r="N442" t="s">
        <v>102</v>
      </c>
      <c r="O442" t="s">
        <v>23</v>
      </c>
      <c r="P442">
        <v>1</v>
      </c>
      <c r="Q442" t="s">
        <v>24</v>
      </c>
      <c r="R442">
        <v>0</v>
      </c>
      <c r="S442" t="s">
        <v>176</v>
      </c>
      <c r="T442" s="5" t="s">
        <v>24</v>
      </c>
      <c r="U442" s="5" t="s">
        <v>487</v>
      </c>
      <c r="V442" s="5" t="s">
        <v>115</v>
      </c>
      <c r="W442" s="5"/>
      <c r="X442" s="5"/>
      <c r="Y442" s="5"/>
      <c r="Z442" s="5" t="s">
        <v>115</v>
      </c>
      <c r="AA442" s="5" t="s">
        <v>115</v>
      </c>
      <c r="AB442" s="5" t="s">
        <v>115</v>
      </c>
      <c r="AC442" s="5" t="s">
        <v>115</v>
      </c>
      <c r="AD442" s="5" t="s">
        <v>115</v>
      </c>
      <c r="AE442" s="5" t="s">
        <v>115</v>
      </c>
      <c r="AF442" s="5" t="s">
        <v>115</v>
      </c>
      <c r="AG442" s="5" t="s">
        <v>115</v>
      </c>
      <c r="AH442">
        <v>12</v>
      </c>
      <c r="AI442">
        <v>0</v>
      </c>
      <c r="AJ442">
        <v>0</v>
      </c>
      <c r="AK442">
        <v>12</v>
      </c>
      <c r="AL442">
        <v>0</v>
      </c>
      <c r="AM442">
        <f t="shared" si="6"/>
        <v>12</v>
      </c>
      <c r="AN442" t="s">
        <v>188</v>
      </c>
    </row>
    <row r="443" spans="1:43" x14ac:dyDescent="0.2">
      <c r="A443" t="s">
        <v>3242</v>
      </c>
      <c r="B443" t="s">
        <v>3243</v>
      </c>
      <c r="C443">
        <v>8</v>
      </c>
      <c r="D443">
        <v>1</v>
      </c>
      <c r="E443" t="s">
        <v>791</v>
      </c>
      <c r="F443" s="1">
        <v>43572</v>
      </c>
      <c r="G443" s="1" t="s">
        <v>4027</v>
      </c>
      <c r="H443" s="1"/>
      <c r="I443" s="2">
        <v>1.0416666666666666E-2</v>
      </c>
      <c r="J443" s="176">
        <v>1.7361111111111112E-4</v>
      </c>
      <c r="K443" s="6">
        <v>15</v>
      </c>
      <c r="L443" t="s">
        <v>3187</v>
      </c>
      <c r="M443" t="s">
        <v>924</v>
      </c>
      <c r="N443" t="s">
        <v>102</v>
      </c>
      <c r="O443" t="s">
        <v>23</v>
      </c>
      <c r="P443">
        <v>1</v>
      </c>
      <c r="Q443" t="s">
        <v>24</v>
      </c>
      <c r="R443">
        <v>0</v>
      </c>
      <c r="S443" t="s">
        <v>176</v>
      </c>
      <c r="T443" s="5" t="s">
        <v>24</v>
      </c>
      <c r="U443" s="5" t="s">
        <v>2068</v>
      </c>
      <c r="V443" s="5" t="s">
        <v>115</v>
      </c>
      <c r="W443" s="5"/>
      <c r="X443" s="5"/>
      <c r="Y443" s="5"/>
      <c r="Z443" s="5" t="s">
        <v>115</v>
      </c>
      <c r="AA443" s="5" t="s">
        <v>115</v>
      </c>
      <c r="AB443" s="5" t="s">
        <v>115</v>
      </c>
      <c r="AC443" s="5" t="s">
        <v>115</v>
      </c>
      <c r="AD443" s="5" t="s">
        <v>115</v>
      </c>
      <c r="AE443" s="5" t="s">
        <v>115</v>
      </c>
      <c r="AF443" s="5" t="s">
        <v>115</v>
      </c>
      <c r="AG443" s="5" t="s">
        <v>115</v>
      </c>
      <c r="AH443">
        <v>12</v>
      </c>
      <c r="AI443">
        <v>0</v>
      </c>
      <c r="AJ443">
        <v>0</v>
      </c>
      <c r="AK443">
        <v>12</v>
      </c>
      <c r="AL443">
        <v>0</v>
      </c>
      <c r="AM443">
        <f t="shared" si="6"/>
        <v>12</v>
      </c>
      <c r="AN443" t="s">
        <v>165</v>
      </c>
      <c r="AP443">
        <v>7</v>
      </c>
      <c r="AQ443">
        <v>0</v>
      </c>
    </row>
    <row r="444" spans="1:43" x14ac:dyDescent="0.2">
      <c r="A444" t="s">
        <v>3266</v>
      </c>
      <c r="B444" t="s">
        <v>3267</v>
      </c>
      <c r="C444">
        <v>7</v>
      </c>
      <c r="D444">
        <v>1</v>
      </c>
      <c r="E444" t="s">
        <v>2462</v>
      </c>
      <c r="F444" s="1">
        <v>43573</v>
      </c>
      <c r="G444" s="1" t="s">
        <v>4027</v>
      </c>
      <c r="H444" s="1"/>
      <c r="I444" s="2">
        <v>8.3333333333333332E-3</v>
      </c>
      <c r="J444" s="176">
        <v>1.3888888888888889E-4</v>
      </c>
      <c r="K444" s="6">
        <v>12</v>
      </c>
      <c r="L444" t="s">
        <v>398</v>
      </c>
      <c r="M444" t="s">
        <v>363</v>
      </c>
      <c r="N444" t="s">
        <v>102</v>
      </c>
      <c r="O444" t="s">
        <v>115</v>
      </c>
      <c r="P444">
        <v>1</v>
      </c>
      <c r="Q444">
        <v>0</v>
      </c>
      <c r="R444">
        <v>0</v>
      </c>
      <c r="S444" t="s">
        <v>176</v>
      </c>
      <c r="T444" s="5" t="s">
        <v>24</v>
      </c>
      <c r="U444" s="5" t="s">
        <v>122</v>
      </c>
      <c r="V444" s="5" t="s">
        <v>115</v>
      </c>
      <c r="W444" s="5"/>
      <c r="X444" s="5"/>
      <c r="Y444" s="5"/>
      <c r="Z444" s="5" t="s">
        <v>115</v>
      </c>
      <c r="AA444" s="5" t="s">
        <v>115</v>
      </c>
      <c r="AB444" s="5" t="s">
        <v>115</v>
      </c>
      <c r="AC444" s="5" t="s">
        <v>115</v>
      </c>
      <c r="AD444" s="5" t="s">
        <v>115</v>
      </c>
      <c r="AE444" s="5" t="s">
        <v>115</v>
      </c>
      <c r="AF444" s="5" t="s">
        <v>115</v>
      </c>
      <c r="AG444" s="5" t="s">
        <v>115</v>
      </c>
      <c r="AH444">
        <v>0</v>
      </c>
      <c r="AI444">
        <v>0</v>
      </c>
      <c r="AJ444">
        <v>0</v>
      </c>
      <c r="AK444">
        <v>0</v>
      </c>
      <c r="AL444">
        <v>12</v>
      </c>
      <c r="AM444">
        <f t="shared" si="6"/>
        <v>12</v>
      </c>
      <c r="AN444" t="s">
        <v>188</v>
      </c>
    </row>
    <row r="445" spans="1:43" x14ac:dyDescent="0.2">
      <c r="A445" t="s">
        <v>3450</v>
      </c>
      <c r="B445" t="s">
        <v>3451</v>
      </c>
      <c r="C445">
        <v>12</v>
      </c>
      <c r="D445">
        <v>1</v>
      </c>
      <c r="E445" t="s">
        <v>2601</v>
      </c>
      <c r="F445" s="1">
        <v>43579</v>
      </c>
      <c r="G445" s="1" t="s">
        <v>4027</v>
      </c>
      <c r="H445" s="1"/>
      <c r="I445" s="2">
        <v>8.3333333333333332E-3</v>
      </c>
      <c r="J445" s="176">
        <v>1.3888888888888889E-4</v>
      </c>
      <c r="K445" s="6">
        <v>12</v>
      </c>
      <c r="L445" t="s">
        <v>101</v>
      </c>
      <c r="M445" t="s">
        <v>177</v>
      </c>
      <c r="N445" t="s">
        <v>102</v>
      </c>
      <c r="O445" t="s">
        <v>23</v>
      </c>
      <c r="P445">
        <v>1</v>
      </c>
      <c r="Q445" t="s">
        <v>24</v>
      </c>
      <c r="R445">
        <v>0</v>
      </c>
      <c r="S445" t="s">
        <v>176</v>
      </c>
      <c r="T445" s="5" t="s">
        <v>24</v>
      </c>
      <c r="U445" s="5" t="s">
        <v>1940</v>
      </c>
      <c r="V445" s="5" t="s">
        <v>115</v>
      </c>
      <c r="W445" s="5"/>
      <c r="X445" s="5"/>
      <c r="Y445" s="5"/>
      <c r="Z445" s="5" t="s">
        <v>115</v>
      </c>
      <c r="AA445" s="5" t="s">
        <v>115</v>
      </c>
      <c r="AB445" s="5" t="s">
        <v>115</v>
      </c>
      <c r="AC445" s="5" t="s">
        <v>115</v>
      </c>
      <c r="AD445" s="5" t="s">
        <v>115</v>
      </c>
      <c r="AE445" s="5" t="s">
        <v>115</v>
      </c>
      <c r="AF445" s="5" t="s">
        <v>115</v>
      </c>
      <c r="AG445" s="5" t="s">
        <v>115</v>
      </c>
      <c r="AH445">
        <v>12</v>
      </c>
      <c r="AI445">
        <v>0</v>
      </c>
      <c r="AJ445">
        <v>12</v>
      </c>
      <c r="AK445">
        <v>0</v>
      </c>
      <c r="AL445">
        <v>0</v>
      </c>
      <c r="AM445">
        <f t="shared" si="6"/>
        <v>12</v>
      </c>
      <c r="AN445" t="s">
        <v>2374</v>
      </c>
      <c r="AP445">
        <v>2</v>
      </c>
      <c r="AQ445">
        <v>0</v>
      </c>
    </row>
    <row r="446" spans="1:43" x14ac:dyDescent="0.2">
      <c r="A446" t="s">
        <v>3690</v>
      </c>
      <c r="B446" t="s">
        <v>3691</v>
      </c>
      <c r="C446">
        <v>3</v>
      </c>
      <c r="D446">
        <v>1</v>
      </c>
      <c r="E446" t="s">
        <v>3171</v>
      </c>
      <c r="F446" s="1">
        <v>43585</v>
      </c>
      <c r="G446" s="1" t="s">
        <v>4027</v>
      </c>
      <c r="H446" s="1" t="s">
        <v>4752</v>
      </c>
      <c r="I446" s="2">
        <v>9.0277777777777787E-3</v>
      </c>
      <c r="J446" s="176">
        <v>1.5046296296296297E-4</v>
      </c>
      <c r="K446" s="6">
        <v>13</v>
      </c>
      <c r="L446" t="s">
        <v>3626</v>
      </c>
      <c r="M446" t="s">
        <v>670</v>
      </c>
      <c r="N446" t="s">
        <v>102</v>
      </c>
      <c r="O446" t="s">
        <v>115</v>
      </c>
      <c r="P446">
        <v>0</v>
      </c>
      <c r="Q446">
        <v>0</v>
      </c>
      <c r="R446">
        <v>0</v>
      </c>
      <c r="T446" s="5" t="s">
        <v>115</v>
      </c>
      <c r="U446" s="5" t="s">
        <v>115</v>
      </c>
      <c r="V446" s="5" t="s">
        <v>115</v>
      </c>
      <c r="W446" s="5"/>
      <c r="X446" s="5"/>
      <c r="Y446" s="5"/>
      <c r="Z446" s="5" t="s">
        <v>115</v>
      </c>
      <c r="AA446" s="5" t="s">
        <v>115</v>
      </c>
      <c r="AB446" s="5" t="s">
        <v>115</v>
      </c>
      <c r="AC446" s="5" t="s">
        <v>115</v>
      </c>
      <c r="AD446" s="5" t="s">
        <v>115</v>
      </c>
      <c r="AE446" s="5" t="s">
        <v>115</v>
      </c>
      <c r="AF446" s="5" t="s">
        <v>115</v>
      </c>
      <c r="AG446" s="5" t="s">
        <v>115</v>
      </c>
      <c r="AH446">
        <v>0</v>
      </c>
      <c r="AI446">
        <v>0</v>
      </c>
      <c r="AJ446">
        <v>0</v>
      </c>
      <c r="AK446">
        <v>0</v>
      </c>
      <c r="AL446">
        <v>12</v>
      </c>
      <c r="AM446">
        <f t="shared" si="6"/>
        <v>12</v>
      </c>
      <c r="AN446" t="s">
        <v>188</v>
      </c>
    </row>
    <row r="447" spans="1:43" x14ac:dyDescent="0.2">
      <c r="A447" t="s">
        <v>3893</v>
      </c>
      <c r="B447" t="s">
        <v>3894</v>
      </c>
      <c r="C447">
        <v>5</v>
      </c>
      <c r="D447">
        <v>1</v>
      </c>
      <c r="E447" t="s">
        <v>2462</v>
      </c>
      <c r="F447" s="1">
        <v>43591</v>
      </c>
      <c r="G447" s="1" t="s">
        <v>4028</v>
      </c>
      <c r="H447" s="1"/>
      <c r="I447" s="2">
        <v>8.3333333333333332E-3</v>
      </c>
      <c r="J447" s="176">
        <v>1.3888888888888889E-4</v>
      </c>
      <c r="K447" s="6">
        <v>12</v>
      </c>
      <c r="L447" t="s">
        <v>1278</v>
      </c>
      <c r="M447" t="s">
        <v>363</v>
      </c>
      <c r="N447" t="s">
        <v>102</v>
      </c>
      <c r="O447" t="s">
        <v>115</v>
      </c>
      <c r="P447">
        <v>1</v>
      </c>
      <c r="Q447">
        <v>0</v>
      </c>
      <c r="R447">
        <v>0</v>
      </c>
      <c r="S447" t="s">
        <v>176</v>
      </c>
      <c r="T447" s="5" t="s">
        <v>24</v>
      </c>
      <c r="U447" s="5" t="s">
        <v>122</v>
      </c>
      <c r="V447" s="5" t="s">
        <v>115</v>
      </c>
      <c r="W447" s="5"/>
      <c r="X447" s="5"/>
      <c r="Y447" s="5"/>
      <c r="Z447" s="5" t="s">
        <v>115</v>
      </c>
      <c r="AA447" s="5" t="s">
        <v>115</v>
      </c>
      <c r="AB447" s="5" t="s">
        <v>115</v>
      </c>
      <c r="AC447" s="5" t="s">
        <v>115</v>
      </c>
      <c r="AD447" s="5" t="s">
        <v>115</v>
      </c>
      <c r="AE447" s="5" t="s">
        <v>115</v>
      </c>
      <c r="AF447" s="5" t="s">
        <v>115</v>
      </c>
      <c r="AG447" s="5" t="s">
        <v>115</v>
      </c>
      <c r="AH447">
        <v>0</v>
      </c>
      <c r="AI447">
        <v>0</v>
      </c>
      <c r="AJ447">
        <v>0</v>
      </c>
      <c r="AK447">
        <v>0</v>
      </c>
      <c r="AL447">
        <v>12</v>
      </c>
      <c r="AM447">
        <f t="shared" si="6"/>
        <v>12</v>
      </c>
      <c r="AN447" t="s">
        <v>188</v>
      </c>
    </row>
    <row r="448" spans="1:43" x14ac:dyDescent="0.2">
      <c r="A448" t="s">
        <v>3900</v>
      </c>
      <c r="B448" t="s">
        <v>3899</v>
      </c>
      <c r="C448">
        <v>8</v>
      </c>
      <c r="D448">
        <v>1</v>
      </c>
      <c r="E448" t="s">
        <v>2462</v>
      </c>
      <c r="F448" s="1">
        <v>43591</v>
      </c>
      <c r="G448" s="1" t="s">
        <v>4028</v>
      </c>
      <c r="H448" s="1"/>
      <c r="I448" s="2">
        <v>1.9444444444444445E-2</v>
      </c>
      <c r="J448" s="176">
        <v>3.2407407407407406E-4</v>
      </c>
      <c r="K448" s="6">
        <v>28</v>
      </c>
      <c r="L448" t="s">
        <v>1278</v>
      </c>
      <c r="M448" t="s">
        <v>363</v>
      </c>
      <c r="N448" t="s">
        <v>102</v>
      </c>
      <c r="O448" t="s">
        <v>115</v>
      </c>
      <c r="P448">
        <v>0</v>
      </c>
      <c r="Q448">
        <v>0</v>
      </c>
      <c r="R448">
        <v>0</v>
      </c>
      <c r="T448" s="5" t="s">
        <v>115</v>
      </c>
      <c r="U448" s="5" t="s">
        <v>115</v>
      </c>
      <c r="V448" s="5" t="s">
        <v>115</v>
      </c>
      <c r="W448" s="5"/>
      <c r="X448" s="5"/>
      <c r="Y448" s="5"/>
      <c r="Z448" s="5" t="s">
        <v>115</v>
      </c>
      <c r="AA448" s="5" t="s">
        <v>115</v>
      </c>
      <c r="AB448" s="5" t="s">
        <v>115</v>
      </c>
      <c r="AC448" s="5" t="s">
        <v>115</v>
      </c>
      <c r="AD448" s="5" t="s">
        <v>115</v>
      </c>
      <c r="AE448" s="5" t="s">
        <v>115</v>
      </c>
      <c r="AF448" s="5" t="s">
        <v>115</v>
      </c>
      <c r="AG448" s="5" t="s">
        <v>115</v>
      </c>
      <c r="AH448">
        <v>0</v>
      </c>
      <c r="AI448">
        <v>0</v>
      </c>
      <c r="AJ448">
        <v>0</v>
      </c>
      <c r="AK448">
        <v>0</v>
      </c>
      <c r="AL448">
        <v>12</v>
      </c>
      <c r="AM448">
        <f t="shared" si="6"/>
        <v>12</v>
      </c>
      <c r="AN448" t="s">
        <v>188</v>
      </c>
    </row>
    <row r="449" spans="1:43" x14ac:dyDescent="0.2">
      <c r="A449" t="s">
        <v>2522</v>
      </c>
      <c r="B449" t="s">
        <v>2523</v>
      </c>
      <c r="C449">
        <v>15</v>
      </c>
      <c r="D449">
        <v>1</v>
      </c>
      <c r="E449" t="s">
        <v>2487</v>
      </c>
      <c r="F449" s="1">
        <v>43549</v>
      </c>
      <c r="G449" s="1" t="s">
        <v>4026</v>
      </c>
      <c r="H449" s="1"/>
      <c r="I449" s="2">
        <v>9.0277777777777787E-3</v>
      </c>
      <c r="J449" s="176">
        <v>1.5046296296296297E-4</v>
      </c>
      <c r="K449" s="6">
        <v>13</v>
      </c>
      <c r="L449" s="5" t="s">
        <v>640</v>
      </c>
      <c r="M449" t="s">
        <v>2488</v>
      </c>
      <c r="N449" t="s">
        <v>102</v>
      </c>
      <c r="O449" t="s">
        <v>115</v>
      </c>
      <c r="P449" t="s">
        <v>24</v>
      </c>
      <c r="Q449">
        <v>0</v>
      </c>
      <c r="R449">
        <v>0</v>
      </c>
      <c r="T449" t="s">
        <v>115</v>
      </c>
      <c r="U449" t="s">
        <v>115</v>
      </c>
      <c r="V449" t="s">
        <v>115</v>
      </c>
      <c r="Z449" t="s">
        <v>115</v>
      </c>
      <c r="AA449" t="s">
        <v>115</v>
      </c>
      <c r="AB449" t="s">
        <v>115</v>
      </c>
      <c r="AC449" t="s">
        <v>115</v>
      </c>
      <c r="AD449" t="s">
        <v>115</v>
      </c>
      <c r="AH449">
        <v>0</v>
      </c>
      <c r="AI449">
        <v>0</v>
      </c>
      <c r="AJ449">
        <v>0</v>
      </c>
      <c r="AK449">
        <v>0</v>
      </c>
      <c r="AL449">
        <v>12</v>
      </c>
      <c r="AM449">
        <f t="shared" si="6"/>
        <v>12</v>
      </c>
      <c r="AN449" t="s">
        <v>188</v>
      </c>
    </row>
    <row r="450" spans="1:43" x14ac:dyDescent="0.2">
      <c r="A450" t="s">
        <v>2639</v>
      </c>
      <c r="B450" t="s">
        <v>2640</v>
      </c>
      <c r="C450">
        <v>7</v>
      </c>
      <c r="D450">
        <v>1</v>
      </c>
      <c r="E450" t="s">
        <v>2487</v>
      </c>
      <c r="F450" s="1">
        <v>43551</v>
      </c>
      <c r="G450" s="1" t="s">
        <v>4026</v>
      </c>
      <c r="H450" s="1"/>
      <c r="I450" s="2">
        <v>1.6666666666666666E-2</v>
      </c>
      <c r="J450" s="176">
        <v>2.7777777777777778E-4</v>
      </c>
      <c r="K450" s="6">
        <v>24</v>
      </c>
      <c r="L450" s="5" t="s">
        <v>398</v>
      </c>
      <c r="M450" t="s">
        <v>24</v>
      </c>
      <c r="N450" t="s">
        <v>102</v>
      </c>
      <c r="O450" t="s">
        <v>115</v>
      </c>
      <c r="P450" t="s">
        <v>24</v>
      </c>
      <c r="Q450">
        <v>0</v>
      </c>
      <c r="R450">
        <v>0</v>
      </c>
      <c r="T450" t="s">
        <v>115</v>
      </c>
      <c r="U450" t="s">
        <v>115</v>
      </c>
      <c r="V450" t="s">
        <v>115</v>
      </c>
      <c r="Z450" t="s">
        <v>115</v>
      </c>
      <c r="AA450" t="s">
        <v>115</v>
      </c>
      <c r="AB450" t="s">
        <v>115</v>
      </c>
      <c r="AC450" t="s">
        <v>115</v>
      </c>
      <c r="AD450" t="s">
        <v>115</v>
      </c>
      <c r="AE450" t="s">
        <v>115</v>
      </c>
      <c r="AF450" t="s">
        <v>115</v>
      </c>
      <c r="AH450">
        <v>0</v>
      </c>
      <c r="AI450">
        <v>0</v>
      </c>
      <c r="AJ450">
        <v>0</v>
      </c>
      <c r="AK450">
        <v>0</v>
      </c>
      <c r="AL450">
        <v>12</v>
      </c>
      <c r="AM450">
        <f t="shared" ref="AM450:AM513" si="7">SUM(AH450+AI450+AL450)</f>
        <v>12</v>
      </c>
      <c r="AN450" t="s">
        <v>188</v>
      </c>
    </row>
    <row r="451" spans="1:43" x14ac:dyDescent="0.2">
      <c r="A451" t="s">
        <v>2790</v>
      </c>
      <c r="B451" t="s">
        <v>2791</v>
      </c>
      <c r="C451">
        <v>2</v>
      </c>
      <c r="D451">
        <v>1</v>
      </c>
      <c r="E451" t="s">
        <v>138</v>
      </c>
      <c r="F451" s="1">
        <v>43556</v>
      </c>
      <c r="G451" s="1" t="s">
        <v>4027</v>
      </c>
      <c r="H451" s="1"/>
      <c r="I451" s="2">
        <v>8.3333333333333332E-3</v>
      </c>
      <c r="J451" s="176">
        <v>1.3888888888888889E-4</v>
      </c>
      <c r="K451" s="6">
        <v>12</v>
      </c>
      <c r="M451" t="s">
        <v>173</v>
      </c>
      <c r="N451" t="s">
        <v>102</v>
      </c>
      <c r="O451" t="s">
        <v>115</v>
      </c>
      <c r="P451" t="s">
        <v>24</v>
      </c>
      <c r="Q451">
        <v>0</v>
      </c>
      <c r="R451">
        <v>0</v>
      </c>
      <c r="T451" s="5" t="s">
        <v>115</v>
      </c>
      <c r="U451" s="5" t="s">
        <v>115</v>
      </c>
      <c r="V451" s="5" t="s">
        <v>115</v>
      </c>
      <c r="W451" s="5"/>
      <c r="X451" s="5"/>
      <c r="Y451" s="5"/>
      <c r="Z451" s="5" t="s">
        <v>115</v>
      </c>
      <c r="AA451" s="5" t="s">
        <v>115</v>
      </c>
      <c r="AB451" s="5" t="s">
        <v>115</v>
      </c>
      <c r="AC451" s="5" t="s">
        <v>115</v>
      </c>
      <c r="AD451" s="5" t="s">
        <v>115</v>
      </c>
      <c r="AE451" s="5" t="s">
        <v>115</v>
      </c>
      <c r="AF451" s="5" t="s">
        <v>115</v>
      </c>
      <c r="AG451" s="5"/>
      <c r="AH451">
        <v>0</v>
      </c>
      <c r="AI451">
        <v>0</v>
      </c>
      <c r="AJ451">
        <v>0</v>
      </c>
      <c r="AK451">
        <v>0</v>
      </c>
      <c r="AL451">
        <v>12</v>
      </c>
      <c r="AM451">
        <f t="shared" si="7"/>
        <v>12</v>
      </c>
      <c r="AN451" t="s">
        <v>188</v>
      </c>
    </row>
    <row r="452" spans="1:43" x14ac:dyDescent="0.2">
      <c r="A452" t="s">
        <v>2884</v>
      </c>
      <c r="B452" t="s">
        <v>2885</v>
      </c>
      <c r="C452">
        <v>13</v>
      </c>
      <c r="D452">
        <v>1</v>
      </c>
      <c r="E452" t="s">
        <v>324</v>
      </c>
      <c r="F452" s="1">
        <v>43558</v>
      </c>
      <c r="G452" s="1" t="s">
        <v>4027</v>
      </c>
      <c r="H452" s="1"/>
      <c r="I452" s="2">
        <v>1.1805555555555555E-2</v>
      </c>
      <c r="J452" s="176">
        <v>1.9675925925925926E-4</v>
      </c>
      <c r="K452" s="6">
        <v>17</v>
      </c>
      <c r="M452" t="s">
        <v>325</v>
      </c>
      <c r="N452" t="s">
        <v>102</v>
      </c>
      <c r="O452" t="s">
        <v>23</v>
      </c>
      <c r="P452" t="s">
        <v>24</v>
      </c>
      <c r="Q452" t="s">
        <v>24</v>
      </c>
      <c r="R452">
        <v>0</v>
      </c>
      <c r="T452" s="5" t="s">
        <v>115</v>
      </c>
      <c r="U452" s="5" t="s">
        <v>115</v>
      </c>
      <c r="V452" s="5" t="s">
        <v>115</v>
      </c>
      <c r="W452" s="5"/>
      <c r="X452" s="5"/>
      <c r="Y452" s="5"/>
      <c r="Z452" s="5" t="s">
        <v>115</v>
      </c>
      <c r="AA452" s="5" t="s">
        <v>115</v>
      </c>
      <c r="AB452" s="5" t="s">
        <v>115</v>
      </c>
      <c r="AC452" s="5" t="s">
        <v>115</v>
      </c>
      <c r="AD452" s="5" t="s">
        <v>115</v>
      </c>
      <c r="AE452" s="5" t="s">
        <v>115</v>
      </c>
      <c r="AF452" s="5" t="s">
        <v>115</v>
      </c>
      <c r="AG452" s="5"/>
      <c r="AH452">
        <v>12</v>
      </c>
      <c r="AI452">
        <v>0</v>
      </c>
      <c r="AJ452">
        <v>0</v>
      </c>
      <c r="AK452">
        <v>12</v>
      </c>
      <c r="AL452">
        <v>0</v>
      </c>
      <c r="AM452">
        <f t="shared" si="7"/>
        <v>12</v>
      </c>
      <c r="AN452" t="s">
        <v>188</v>
      </c>
    </row>
    <row r="453" spans="1:43" x14ac:dyDescent="0.2">
      <c r="A453" t="s">
        <v>3629</v>
      </c>
      <c r="B453" t="s">
        <v>3630</v>
      </c>
      <c r="C453">
        <v>1</v>
      </c>
      <c r="D453">
        <v>1</v>
      </c>
      <c r="E453" t="s">
        <v>2487</v>
      </c>
      <c r="F453" s="1">
        <v>43585</v>
      </c>
      <c r="G453" s="1" t="s">
        <v>4027</v>
      </c>
      <c r="H453" s="1"/>
      <c r="I453" s="2">
        <v>8.3333333333333332E-3</v>
      </c>
      <c r="J453" s="176">
        <v>1.3888888888888889E-4</v>
      </c>
      <c r="K453" s="6">
        <v>12</v>
      </c>
      <c r="L453" t="s">
        <v>3626</v>
      </c>
      <c r="M453" t="s">
        <v>2488</v>
      </c>
      <c r="N453" t="s">
        <v>102</v>
      </c>
      <c r="O453" t="s">
        <v>115</v>
      </c>
      <c r="P453" t="s">
        <v>24</v>
      </c>
      <c r="Q453">
        <v>0</v>
      </c>
      <c r="R453">
        <v>0</v>
      </c>
      <c r="T453" s="5" t="s">
        <v>115</v>
      </c>
      <c r="U453" s="5" t="s">
        <v>115</v>
      </c>
      <c r="V453" s="5" t="s">
        <v>115</v>
      </c>
      <c r="W453" s="5"/>
      <c r="X453" s="5"/>
      <c r="Y453" s="5"/>
      <c r="Z453" s="5" t="s">
        <v>115</v>
      </c>
      <c r="AA453" s="5" t="s">
        <v>115</v>
      </c>
      <c r="AB453" s="5" t="s">
        <v>115</v>
      </c>
      <c r="AC453" s="5" t="s">
        <v>115</v>
      </c>
      <c r="AD453" s="5" t="s">
        <v>115</v>
      </c>
      <c r="AE453" s="5" t="s">
        <v>115</v>
      </c>
      <c r="AF453" s="5" t="s">
        <v>115</v>
      </c>
      <c r="AG453" s="5" t="s">
        <v>115</v>
      </c>
      <c r="AH453">
        <v>0</v>
      </c>
      <c r="AI453">
        <v>0</v>
      </c>
      <c r="AJ453">
        <v>0</v>
      </c>
      <c r="AK453">
        <v>0</v>
      </c>
      <c r="AL453">
        <v>12</v>
      </c>
      <c r="AM453">
        <f t="shared" si="7"/>
        <v>12</v>
      </c>
      <c r="AN453" t="s">
        <v>188</v>
      </c>
    </row>
    <row r="454" spans="1:43" x14ac:dyDescent="0.2">
      <c r="A454" t="s">
        <v>2418</v>
      </c>
      <c r="B454" t="s">
        <v>2419</v>
      </c>
      <c r="C454">
        <v>1</v>
      </c>
      <c r="D454">
        <v>1</v>
      </c>
      <c r="E454" t="s">
        <v>2420</v>
      </c>
      <c r="F454" s="1">
        <v>43546</v>
      </c>
      <c r="G454" s="1" t="s">
        <v>4026</v>
      </c>
      <c r="H454" s="1"/>
      <c r="I454" s="2">
        <v>1.9444444444444445E-2</v>
      </c>
      <c r="J454" s="176">
        <v>3.2407407407407406E-4</v>
      </c>
      <c r="K454" s="6">
        <v>28</v>
      </c>
      <c r="L454" t="s">
        <v>101</v>
      </c>
      <c r="M454" t="s">
        <v>241</v>
      </c>
      <c r="N454" t="s">
        <v>102</v>
      </c>
      <c r="O454" t="s">
        <v>115</v>
      </c>
      <c r="P454">
        <v>0</v>
      </c>
      <c r="Q454">
        <v>0</v>
      </c>
      <c r="R454">
        <v>0</v>
      </c>
      <c r="T454" t="s">
        <v>115</v>
      </c>
      <c r="U454" t="s">
        <v>115</v>
      </c>
      <c r="V454" t="s">
        <v>115</v>
      </c>
      <c r="Z454" t="s">
        <v>115</v>
      </c>
      <c r="AA454" t="s">
        <v>115</v>
      </c>
      <c r="AB454" t="s">
        <v>115</v>
      </c>
      <c r="AC454" t="s">
        <v>115</v>
      </c>
      <c r="AD454" t="s">
        <v>115</v>
      </c>
      <c r="AH454">
        <v>0</v>
      </c>
      <c r="AI454">
        <v>0</v>
      </c>
      <c r="AJ454">
        <v>0</v>
      </c>
      <c r="AK454">
        <v>0</v>
      </c>
      <c r="AL454">
        <v>11</v>
      </c>
      <c r="AM454">
        <f t="shared" si="7"/>
        <v>11</v>
      </c>
      <c r="AN454" t="s">
        <v>1672</v>
      </c>
    </row>
    <row r="455" spans="1:43" x14ac:dyDescent="0.2">
      <c r="A455" t="s">
        <v>2463</v>
      </c>
      <c r="B455" t="s">
        <v>2464</v>
      </c>
      <c r="C455">
        <v>2</v>
      </c>
      <c r="D455">
        <v>1</v>
      </c>
      <c r="E455" t="s">
        <v>2462</v>
      </c>
      <c r="F455" s="1">
        <v>43549</v>
      </c>
      <c r="G455" s="1" t="s">
        <v>4026</v>
      </c>
      <c r="H455" s="1"/>
      <c r="I455" s="2">
        <v>6.7361111111111108E-2</v>
      </c>
      <c r="J455" s="176">
        <v>1.1226851851851851E-3</v>
      </c>
      <c r="K455" s="6">
        <v>97</v>
      </c>
      <c r="L455" s="5" t="s">
        <v>398</v>
      </c>
      <c r="M455" t="s">
        <v>64</v>
      </c>
      <c r="N455" t="s">
        <v>102</v>
      </c>
      <c r="O455" t="s">
        <v>115</v>
      </c>
      <c r="P455">
        <v>1</v>
      </c>
      <c r="Q455">
        <v>0</v>
      </c>
      <c r="R455">
        <v>0</v>
      </c>
      <c r="S455" t="s">
        <v>14</v>
      </c>
      <c r="T455" t="s">
        <v>2465</v>
      </c>
      <c r="U455" t="s">
        <v>122</v>
      </c>
      <c r="V455" t="s">
        <v>115</v>
      </c>
      <c r="Z455" t="s">
        <v>115</v>
      </c>
      <c r="AA455" t="s">
        <v>115</v>
      </c>
      <c r="AB455" t="s">
        <v>115</v>
      </c>
      <c r="AC455" t="s">
        <v>115</v>
      </c>
      <c r="AD455" t="s">
        <v>115</v>
      </c>
      <c r="AH455">
        <v>0</v>
      </c>
      <c r="AI455">
        <v>0</v>
      </c>
      <c r="AJ455">
        <v>0</v>
      </c>
      <c r="AK455">
        <v>0</v>
      </c>
      <c r="AL455">
        <v>11</v>
      </c>
      <c r="AM455">
        <f t="shared" si="7"/>
        <v>11</v>
      </c>
      <c r="AN455" t="s">
        <v>188</v>
      </c>
    </row>
    <row r="456" spans="1:43" x14ac:dyDescent="0.2">
      <c r="A456" t="s">
        <v>2481</v>
      </c>
      <c r="B456" t="s">
        <v>2482</v>
      </c>
      <c r="C456">
        <v>6</v>
      </c>
      <c r="D456">
        <v>1</v>
      </c>
      <c r="E456" t="s">
        <v>140</v>
      </c>
      <c r="F456" s="1">
        <v>43549</v>
      </c>
      <c r="G456" s="1" t="s">
        <v>4026</v>
      </c>
      <c r="H456" s="1"/>
      <c r="I456" s="2">
        <v>1.6666666666666666E-2</v>
      </c>
      <c r="J456" s="176">
        <v>2.7777777777777778E-4</v>
      </c>
      <c r="K456" s="6">
        <v>24</v>
      </c>
      <c r="L456" s="5" t="s">
        <v>398</v>
      </c>
      <c r="M456" t="s">
        <v>149</v>
      </c>
      <c r="N456" t="s">
        <v>102</v>
      </c>
      <c r="O456" t="s">
        <v>115</v>
      </c>
      <c r="P456">
        <v>0</v>
      </c>
      <c r="Q456">
        <v>0</v>
      </c>
      <c r="R456">
        <v>0</v>
      </c>
      <c r="T456" t="s">
        <v>115</v>
      </c>
      <c r="U456" t="s">
        <v>115</v>
      </c>
      <c r="V456" t="s">
        <v>115</v>
      </c>
      <c r="Z456" t="s">
        <v>115</v>
      </c>
      <c r="AA456" t="s">
        <v>115</v>
      </c>
      <c r="AB456" t="s">
        <v>115</v>
      </c>
      <c r="AC456" t="s">
        <v>115</v>
      </c>
      <c r="AD456" t="s">
        <v>115</v>
      </c>
      <c r="AH456">
        <v>0</v>
      </c>
      <c r="AI456">
        <v>0</v>
      </c>
      <c r="AJ456">
        <v>0</v>
      </c>
      <c r="AK456">
        <v>0</v>
      </c>
      <c r="AL456">
        <v>11</v>
      </c>
      <c r="AM456">
        <f t="shared" si="7"/>
        <v>11</v>
      </c>
      <c r="AN456" t="s">
        <v>188</v>
      </c>
    </row>
    <row r="457" spans="1:43" x14ac:dyDescent="0.2">
      <c r="A457" t="s">
        <v>2748</v>
      </c>
      <c r="B457" t="s">
        <v>2749</v>
      </c>
      <c r="C457">
        <v>11</v>
      </c>
      <c r="D457">
        <v>1</v>
      </c>
      <c r="E457" t="s">
        <v>834</v>
      </c>
      <c r="F457" s="1">
        <v>43554</v>
      </c>
      <c r="G457" s="1" t="s">
        <v>4026</v>
      </c>
      <c r="H457" s="1"/>
      <c r="I457" s="2">
        <v>7.6388888888888886E-3</v>
      </c>
      <c r="J457" s="176">
        <v>1.273148148148148E-4</v>
      </c>
      <c r="K457" s="6">
        <v>11</v>
      </c>
      <c r="M457" t="s">
        <v>466</v>
      </c>
      <c r="N457" t="s">
        <v>102</v>
      </c>
      <c r="O457" t="s">
        <v>115</v>
      </c>
      <c r="P457">
        <v>1</v>
      </c>
      <c r="Q457">
        <v>0</v>
      </c>
      <c r="R457">
        <v>0</v>
      </c>
      <c r="S457" t="s">
        <v>598</v>
      </c>
      <c r="T457" s="5" t="s">
        <v>2801</v>
      </c>
      <c r="U457" s="5" t="s">
        <v>122</v>
      </c>
      <c r="V457" s="5" t="s">
        <v>115</v>
      </c>
      <c r="W457" s="5"/>
      <c r="X457" s="5"/>
      <c r="Y457" s="5"/>
      <c r="Z457" s="5" t="s">
        <v>115</v>
      </c>
      <c r="AA457" s="5" t="s">
        <v>115</v>
      </c>
      <c r="AB457" s="5" t="s">
        <v>115</v>
      </c>
      <c r="AC457" s="5" t="s">
        <v>115</v>
      </c>
      <c r="AD457" s="5" t="s">
        <v>115</v>
      </c>
      <c r="AE457" s="5" t="s">
        <v>115</v>
      </c>
      <c r="AF457" s="5" t="s">
        <v>115</v>
      </c>
      <c r="AG457" s="5"/>
      <c r="AH457">
        <v>0</v>
      </c>
      <c r="AI457">
        <v>0</v>
      </c>
      <c r="AJ457">
        <v>0</v>
      </c>
      <c r="AK457">
        <v>0</v>
      </c>
      <c r="AL457">
        <v>11</v>
      </c>
      <c r="AM457">
        <f t="shared" si="7"/>
        <v>11</v>
      </c>
      <c r="AN457" t="s">
        <v>188</v>
      </c>
    </row>
    <row r="458" spans="1:43" x14ac:dyDescent="0.2">
      <c r="A458" t="s">
        <v>2882</v>
      </c>
      <c r="B458" t="s">
        <v>2883</v>
      </c>
      <c r="C458">
        <v>12</v>
      </c>
      <c r="D458">
        <v>1</v>
      </c>
      <c r="E458" t="s">
        <v>324</v>
      </c>
      <c r="F458" s="1">
        <v>43558</v>
      </c>
      <c r="G458" s="1" t="s">
        <v>4027</v>
      </c>
      <c r="H458" s="1"/>
      <c r="I458" s="2">
        <v>9.0277777777777787E-3</v>
      </c>
      <c r="J458" s="176">
        <v>1.5046296296296297E-4</v>
      </c>
      <c r="K458" s="6">
        <v>13</v>
      </c>
      <c r="M458" t="s">
        <v>325</v>
      </c>
      <c r="N458" t="s">
        <v>102</v>
      </c>
      <c r="O458" t="s">
        <v>23</v>
      </c>
      <c r="P458">
        <v>0</v>
      </c>
      <c r="Q458">
        <v>0</v>
      </c>
      <c r="R458">
        <v>0</v>
      </c>
      <c r="T458" s="5" t="s">
        <v>115</v>
      </c>
      <c r="U458" s="5" t="s">
        <v>115</v>
      </c>
      <c r="V458" s="5" t="s">
        <v>115</v>
      </c>
      <c r="W458" s="5"/>
      <c r="X458" s="5"/>
      <c r="Y458" s="5"/>
      <c r="Z458" s="5" t="s">
        <v>115</v>
      </c>
      <c r="AA458" s="5" t="s">
        <v>115</v>
      </c>
      <c r="AB458" s="5" t="s">
        <v>115</v>
      </c>
      <c r="AC458" s="5" t="s">
        <v>115</v>
      </c>
      <c r="AD458" s="5" t="s">
        <v>115</v>
      </c>
      <c r="AE458" s="5" t="s">
        <v>115</v>
      </c>
      <c r="AF458" s="5" t="s">
        <v>115</v>
      </c>
      <c r="AG458" s="5"/>
      <c r="AH458">
        <v>11</v>
      </c>
      <c r="AI458">
        <v>0</v>
      </c>
      <c r="AJ458">
        <v>5</v>
      </c>
      <c r="AK458">
        <v>6</v>
      </c>
      <c r="AL458">
        <v>0</v>
      </c>
      <c r="AM458">
        <f t="shared" si="7"/>
        <v>11</v>
      </c>
      <c r="AN458" t="s">
        <v>188</v>
      </c>
    </row>
    <row r="459" spans="1:43" x14ac:dyDescent="0.2">
      <c r="A459" t="s">
        <v>2984</v>
      </c>
      <c r="B459" t="s">
        <v>2985</v>
      </c>
      <c r="C459">
        <v>27</v>
      </c>
      <c r="D459">
        <v>1</v>
      </c>
      <c r="E459" t="s">
        <v>834</v>
      </c>
      <c r="F459" s="1">
        <v>43560</v>
      </c>
      <c r="G459" s="1" t="s">
        <v>4027</v>
      </c>
      <c r="H459" s="1"/>
      <c r="I459" s="2">
        <v>6.805555555555555E-2</v>
      </c>
      <c r="J459" s="176">
        <v>1.1342592592592591E-3</v>
      </c>
      <c r="K459" s="6">
        <v>98</v>
      </c>
      <c r="M459" t="s">
        <v>466</v>
      </c>
      <c r="N459" t="s">
        <v>102</v>
      </c>
      <c r="O459" t="s">
        <v>23</v>
      </c>
      <c r="P459">
        <v>1</v>
      </c>
      <c r="Q459" t="s">
        <v>24</v>
      </c>
      <c r="R459">
        <v>0</v>
      </c>
      <c r="S459" t="s">
        <v>176</v>
      </c>
      <c r="T459" s="5" t="s">
        <v>24</v>
      </c>
      <c r="U459" s="5" t="s">
        <v>709</v>
      </c>
      <c r="AH459">
        <v>11</v>
      </c>
      <c r="AI459">
        <v>0</v>
      </c>
      <c r="AJ459">
        <v>11</v>
      </c>
      <c r="AK459">
        <v>0</v>
      </c>
      <c r="AM459">
        <f t="shared" si="7"/>
        <v>11</v>
      </c>
    </row>
    <row r="460" spans="1:43" x14ac:dyDescent="0.2">
      <c r="A460" t="s">
        <v>3027</v>
      </c>
      <c r="B460" t="s">
        <v>3028</v>
      </c>
      <c r="C460">
        <v>5</v>
      </c>
      <c r="D460">
        <v>1</v>
      </c>
      <c r="E460" t="s">
        <v>2487</v>
      </c>
      <c r="F460" s="1">
        <v>43564</v>
      </c>
      <c r="G460" s="1" t="s">
        <v>4027</v>
      </c>
      <c r="H460" s="1"/>
      <c r="I460" s="2">
        <v>7.6388888888888886E-3</v>
      </c>
      <c r="J460" s="176">
        <v>1.273148148148148E-4</v>
      </c>
      <c r="K460" s="6">
        <v>11</v>
      </c>
      <c r="M460" t="s">
        <v>2498</v>
      </c>
      <c r="N460" t="s">
        <v>102</v>
      </c>
      <c r="O460" t="s">
        <v>115</v>
      </c>
      <c r="P460">
        <v>0</v>
      </c>
      <c r="Q460">
        <v>0</v>
      </c>
      <c r="R460">
        <v>0</v>
      </c>
      <c r="T460" s="5" t="s">
        <v>115</v>
      </c>
      <c r="U460" s="5" t="s">
        <v>115</v>
      </c>
      <c r="V460" s="5" t="s">
        <v>115</v>
      </c>
      <c r="W460" s="5"/>
      <c r="X460" s="5"/>
      <c r="Y460" s="5"/>
      <c r="Z460" s="5" t="s">
        <v>115</v>
      </c>
      <c r="AA460" s="5" t="s">
        <v>115</v>
      </c>
      <c r="AB460" s="5" t="s">
        <v>115</v>
      </c>
      <c r="AC460" s="5" t="s">
        <v>115</v>
      </c>
      <c r="AD460" s="5" t="s">
        <v>115</v>
      </c>
      <c r="AE460" s="5" t="s">
        <v>115</v>
      </c>
      <c r="AF460" s="5" t="s">
        <v>115</v>
      </c>
      <c r="AG460" s="5"/>
      <c r="AH460">
        <v>0</v>
      </c>
      <c r="AI460">
        <v>0</v>
      </c>
      <c r="AJ460">
        <v>0</v>
      </c>
      <c r="AK460">
        <v>0</v>
      </c>
      <c r="AL460">
        <v>11</v>
      </c>
      <c r="AM460">
        <f t="shared" si="7"/>
        <v>11</v>
      </c>
      <c r="AN460" t="s">
        <v>188</v>
      </c>
    </row>
    <row r="461" spans="1:43" x14ac:dyDescent="0.2">
      <c r="A461" t="s">
        <v>3232</v>
      </c>
      <c r="B461" t="s">
        <v>3233</v>
      </c>
      <c r="C461">
        <v>3</v>
      </c>
      <c r="D461">
        <v>3</v>
      </c>
      <c r="E461" t="s">
        <v>791</v>
      </c>
      <c r="F461" s="1">
        <v>43572</v>
      </c>
      <c r="G461" s="1" t="s">
        <v>4027</v>
      </c>
      <c r="H461" s="1"/>
      <c r="I461" s="2">
        <v>4.7916666666666663E-2</v>
      </c>
      <c r="J461" s="176">
        <v>7.9861111111111105E-4</v>
      </c>
      <c r="K461" s="6">
        <v>69</v>
      </c>
      <c r="L461" t="s">
        <v>3187</v>
      </c>
      <c r="M461" t="s">
        <v>924</v>
      </c>
      <c r="N461" t="s">
        <v>102</v>
      </c>
      <c r="O461" t="s">
        <v>23</v>
      </c>
      <c r="P461">
        <v>1</v>
      </c>
      <c r="Q461" t="s">
        <v>24</v>
      </c>
      <c r="R461">
        <v>0</v>
      </c>
      <c r="S461" t="s">
        <v>176</v>
      </c>
      <c r="T461" s="5" t="s">
        <v>24</v>
      </c>
      <c r="U461" s="5" t="s">
        <v>2068</v>
      </c>
      <c r="V461" s="5" t="s">
        <v>115</v>
      </c>
      <c r="W461" s="5"/>
      <c r="X461" s="5"/>
      <c r="Y461" s="5"/>
      <c r="Z461" s="5" t="s">
        <v>115</v>
      </c>
      <c r="AA461" s="5" t="s">
        <v>115</v>
      </c>
      <c r="AB461" s="5" t="s">
        <v>115</v>
      </c>
      <c r="AC461" s="5" t="s">
        <v>115</v>
      </c>
      <c r="AD461" s="5" t="s">
        <v>115</v>
      </c>
      <c r="AE461" s="5" t="s">
        <v>115</v>
      </c>
      <c r="AF461" s="5" t="s">
        <v>115</v>
      </c>
      <c r="AG461" s="5" t="s">
        <v>115</v>
      </c>
      <c r="AH461">
        <v>11</v>
      </c>
      <c r="AI461">
        <v>0</v>
      </c>
      <c r="AJ461">
        <v>0</v>
      </c>
      <c r="AK461">
        <v>11</v>
      </c>
      <c r="AL461">
        <v>0</v>
      </c>
      <c r="AM461">
        <f t="shared" si="7"/>
        <v>11</v>
      </c>
      <c r="AN461" t="s">
        <v>165</v>
      </c>
      <c r="AP461">
        <v>1</v>
      </c>
      <c r="AQ461">
        <v>0</v>
      </c>
    </row>
    <row r="462" spans="1:43" x14ac:dyDescent="0.2">
      <c r="A462" t="s">
        <v>3251</v>
      </c>
      <c r="B462" t="s">
        <v>3252</v>
      </c>
      <c r="C462">
        <v>2</v>
      </c>
      <c r="D462">
        <v>1</v>
      </c>
      <c r="E462" t="s">
        <v>2462</v>
      </c>
      <c r="F462" s="1">
        <v>43573</v>
      </c>
      <c r="G462" s="1" t="s">
        <v>4027</v>
      </c>
      <c r="H462" s="1"/>
      <c r="I462" s="2">
        <v>7.6388888888888886E-3</v>
      </c>
      <c r="J462" s="176">
        <v>1.273148148148148E-4</v>
      </c>
      <c r="K462" s="6">
        <v>11</v>
      </c>
      <c r="L462" t="s">
        <v>398</v>
      </c>
      <c r="M462" t="s">
        <v>363</v>
      </c>
      <c r="N462" t="s">
        <v>102</v>
      </c>
      <c r="O462" t="s">
        <v>115</v>
      </c>
      <c r="P462">
        <v>1</v>
      </c>
      <c r="Q462">
        <v>0</v>
      </c>
      <c r="R462">
        <v>0</v>
      </c>
      <c r="S462" t="s">
        <v>176</v>
      </c>
      <c r="T462" s="5" t="s">
        <v>24</v>
      </c>
      <c r="U462" s="5" t="s">
        <v>122</v>
      </c>
      <c r="V462" s="5" t="s">
        <v>115</v>
      </c>
      <c r="W462" s="5"/>
      <c r="X462" s="5"/>
      <c r="Y462" s="5"/>
      <c r="Z462" s="5" t="s">
        <v>115</v>
      </c>
      <c r="AA462" s="5" t="s">
        <v>115</v>
      </c>
      <c r="AB462" s="5" t="s">
        <v>115</v>
      </c>
      <c r="AC462" s="5" t="s">
        <v>115</v>
      </c>
      <c r="AD462" s="5" t="s">
        <v>115</v>
      </c>
      <c r="AE462" s="5" t="s">
        <v>115</v>
      </c>
      <c r="AF462" s="5" t="s">
        <v>115</v>
      </c>
      <c r="AG462" s="5" t="s">
        <v>115</v>
      </c>
      <c r="AH462">
        <v>0</v>
      </c>
      <c r="AI462">
        <v>0</v>
      </c>
      <c r="AJ462">
        <v>0</v>
      </c>
      <c r="AK462">
        <v>0</v>
      </c>
      <c r="AL462">
        <v>11</v>
      </c>
      <c r="AM462">
        <f t="shared" si="7"/>
        <v>11</v>
      </c>
      <c r="AN462" t="s">
        <v>188</v>
      </c>
    </row>
    <row r="463" spans="1:43" x14ac:dyDescent="0.2">
      <c r="A463" t="s">
        <v>3284</v>
      </c>
      <c r="B463" t="s">
        <v>3285</v>
      </c>
      <c r="C463">
        <v>1</v>
      </c>
      <c r="D463">
        <v>1</v>
      </c>
      <c r="E463" t="s">
        <v>2487</v>
      </c>
      <c r="F463" s="1">
        <v>43574</v>
      </c>
      <c r="G463" s="1" t="s">
        <v>4027</v>
      </c>
      <c r="H463" s="1"/>
      <c r="I463" s="2">
        <v>7.6388888888888886E-3</v>
      </c>
      <c r="J463" s="176">
        <v>1.273148148148148E-4</v>
      </c>
      <c r="K463" s="6">
        <v>11</v>
      </c>
      <c r="L463" t="s">
        <v>101</v>
      </c>
      <c r="M463" t="s">
        <v>2498</v>
      </c>
      <c r="N463" t="s">
        <v>102</v>
      </c>
      <c r="O463" t="s">
        <v>516</v>
      </c>
      <c r="P463">
        <v>0</v>
      </c>
      <c r="Q463">
        <v>0</v>
      </c>
      <c r="R463">
        <v>0</v>
      </c>
      <c r="T463" s="5" t="s">
        <v>115</v>
      </c>
      <c r="U463" s="5" t="s">
        <v>115</v>
      </c>
      <c r="V463" s="5" t="s">
        <v>115</v>
      </c>
      <c r="W463" s="5"/>
      <c r="X463" s="5"/>
      <c r="Y463" s="5"/>
      <c r="Z463" s="5" t="s">
        <v>115</v>
      </c>
      <c r="AA463" s="5" t="s">
        <v>115</v>
      </c>
      <c r="AB463" s="5" t="s">
        <v>115</v>
      </c>
      <c r="AC463" s="5" t="s">
        <v>115</v>
      </c>
      <c r="AD463" s="5" t="s">
        <v>115</v>
      </c>
      <c r="AE463" s="5" t="s">
        <v>115</v>
      </c>
      <c r="AF463" s="5" t="s">
        <v>115</v>
      </c>
      <c r="AG463" s="5" t="s">
        <v>115</v>
      </c>
      <c r="AH463">
        <v>11</v>
      </c>
      <c r="AI463">
        <v>0</v>
      </c>
      <c r="AJ463">
        <v>0</v>
      </c>
      <c r="AK463">
        <v>11</v>
      </c>
      <c r="AL463">
        <v>0</v>
      </c>
      <c r="AM463">
        <f t="shared" si="7"/>
        <v>11</v>
      </c>
      <c r="AN463" t="s">
        <v>2374</v>
      </c>
      <c r="AO463" t="s">
        <v>3286</v>
      </c>
      <c r="AP463">
        <v>0</v>
      </c>
      <c r="AQ463">
        <v>0</v>
      </c>
    </row>
    <row r="464" spans="1:43" x14ac:dyDescent="0.2">
      <c r="A464" t="s">
        <v>3494</v>
      </c>
      <c r="B464" t="s">
        <v>3495</v>
      </c>
      <c r="C464">
        <v>20</v>
      </c>
      <c r="D464">
        <v>1</v>
      </c>
      <c r="E464" t="s">
        <v>2462</v>
      </c>
      <c r="F464" s="1">
        <v>43579</v>
      </c>
      <c r="G464" s="1" t="s">
        <v>4027</v>
      </c>
      <c r="H464" s="1"/>
      <c r="I464" s="2">
        <v>2.2222222222222223E-2</v>
      </c>
      <c r="J464" s="176">
        <v>3.7037037037037035E-4</v>
      </c>
      <c r="K464" s="6">
        <v>32</v>
      </c>
      <c r="L464" t="s">
        <v>101</v>
      </c>
      <c r="M464" t="s">
        <v>363</v>
      </c>
      <c r="N464" t="s">
        <v>102</v>
      </c>
      <c r="O464" t="s">
        <v>115</v>
      </c>
      <c r="P464">
        <v>0</v>
      </c>
      <c r="Q464">
        <v>0</v>
      </c>
      <c r="R464">
        <v>0</v>
      </c>
      <c r="T464" s="5" t="s">
        <v>115</v>
      </c>
      <c r="U464" s="5" t="s">
        <v>115</v>
      </c>
      <c r="V464" s="5" t="s">
        <v>115</v>
      </c>
      <c r="W464" s="5"/>
      <c r="X464" s="5"/>
      <c r="Y464" s="5"/>
      <c r="Z464" s="5" t="s">
        <v>115</v>
      </c>
      <c r="AA464" s="5" t="s">
        <v>115</v>
      </c>
      <c r="AB464" s="5" t="s">
        <v>115</v>
      </c>
      <c r="AC464" s="5" t="s">
        <v>115</v>
      </c>
      <c r="AD464" s="5" t="s">
        <v>115</v>
      </c>
      <c r="AE464" s="5" t="s">
        <v>115</v>
      </c>
      <c r="AF464" s="5" t="s">
        <v>115</v>
      </c>
      <c r="AG464" s="5" t="s">
        <v>115</v>
      </c>
      <c r="AH464">
        <v>0</v>
      </c>
      <c r="AI464">
        <v>0</v>
      </c>
      <c r="AJ464">
        <v>0</v>
      </c>
      <c r="AK464">
        <v>0</v>
      </c>
      <c r="AL464">
        <v>11</v>
      </c>
      <c r="AM464">
        <f t="shared" si="7"/>
        <v>11</v>
      </c>
      <c r="AN464" t="s">
        <v>188</v>
      </c>
    </row>
    <row r="465" spans="1:43" x14ac:dyDescent="0.2">
      <c r="A465" t="s">
        <v>3537</v>
      </c>
      <c r="B465" t="s">
        <v>3538</v>
      </c>
      <c r="C465">
        <v>12</v>
      </c>
      <c r="D465">
        <v>1</v>
      </c>
      <c r="E465" t="s">
        <v>3171</v>
      </c>
      <c r="F465" s="1">
        <v>43580</v>
      </c>
      <c r="G465" s="1" t="s">
        <v>4027</v>
      </c>
      <c r="H465" s="1"/>
      <c r="I465" s="2">
        <v>7.6388888888888886E-3</v>
      </c>
      <c r="J465" s="176">
        <v>1.273148148148148E-4</v>
      </c>
      <c r="K465" s="6">
        <v>11</v>
      </c>
      <c r="L465" t="s">
        <v>101</v>
      </c>
      <c r="M465" t="s">
        <v>149</v>
      </c>
      <c r="N465" t="s">
        <v>102</v>
      </c>
      <c r="O465" t="s">
        <v>115</v>
      </c>
      <c r="P465">
        <v>0</v>
      </c>
      <c r="Q465">
        <v>0</v>
      </c>
      <c r="R465">
        <v>0</v>
      </c>
      <c r="T465" s="5" t="s">
        <v>115</v>
      </c>
      <c r="U465" s="5" t="s">
        <v>115</v>
      </c>
      <c r="V465" s="5" t="s">
        <v>115</v>
      </c>
      <c r="W465" s="5"/>
      <c r="X465" s="5"/>
      <c r="Y465" s="5"/>
      <c r="Z465" s="5" t="s">
        <v>115</v>
      </c>
      <c r="AA465" s="5" t="s">
        <v>115</v>
      </c>
      <c r="AB465" s="5" t="s">
        <v>115</v>
      </c>
      <c r="AC465" s="5" t="s">
        <v>115</v>
      </c>
      <c r="AD465" s="5" t="s">
        <v>115</v>
      </c>
      <c r="AE465" s="5" t="s">
        <v>115</v>
      </c>
      <c r="AF465" s="5" t="s">
        <v>115</v>
      </c>
      <c r="AG465" s="5" t="s">
        <v>115</v>
      </c>
      <c r="AH465">
        <v>0</v>
      </c>
      <c r="AI465">
        <v>0</v>
      </c>
      <c r="AJ465">
        <v>0</v>
      </c>
      <c r="AK465">
        <v>0</v>
      </c>
      <c r="AL465">
        <v>11</v>
      </c>
      <c r="AM465">
        <f t="shared" si="7"/>
        <v>11</v>
      </c>
      <c r="AN465" t="s">
        <v>188</v>
      </c>
    </row>
    <row r="466" spans="1:43" x14ac:dyDescent="0.2">
      <c r="A466" t="s">
        <v>3601</v>
      </c>
      <c r="B466" t="s">
        <v>3603</v>
      </c>
      <c r="C466">
        <v>2</v>
      </c>
      <c r="D466">
        <v>1</v>
      </c>
      <c r="E466" t="s">
        <v>791</v>
      </c>
      <c r="F466" s="1">
        <v>43581</v>
      </c>
      <c r="G466" s="1" t="s">
        <v>4027</v>
      </c>
      <c r="H466" s="1"/>
      <c r="I466" s="2">
        <v>7.6388888888888886E-3</v>
      </c>
      <c r="J466" s="176">
        <v>1.273148148148148E-4</v>
      </c>
      <c r="K466" s="6">
        <v>11</v>
      </c>
      <c r="M466" t="s">
        <v>924</v>
      </c>
      <c r="N466" t="s">
        <v>102</v>
      </c>
      <c r="O466" t="s">
        <v>23</v>
      </c>
      <c r="P466">
        <v>1</v>
      </c>
      <c r="Q466" t="s">
        <v>24</v>
      </c>
      <c r="R466">
        <v>0</v>
      </c>
      <c r="S466" t="s">
        <v>176</v>
      </c>
      <c r="T466" s="5" t="s">
        <v>24</v>
      </c>
      <c r="U466" s="5" t="s">
        <v>3602</v>
      </c>
      <c r="V466" s="5" t="s">
        <v>115</v>
      </c>
      <c r="W466" s="5"/>
      <c r="X466" s="5"/>
      <c r="Y466" s="5"/>
      <c r="Z466" s="5" t="s">
        <v>115</v>
      </c>
      <c r="AA466" s="5" t="s">
        <v>115</v>
      </c>
      <c r="AB466" s="5" t="s">
        <v>115</v>
      </c>
      <c r="AC466" s="5" t="s">
        <v>115</v>
      </c>
      <c r="AD466" s="5" t="s">
        <v>115</v>
      </c>
      <c r="AE466" s="5" t="s">
        <v>115</v>
      </c>
      <c r="AF466" s="5" t="s">
        <v>115</v>
      </c>
      <c r="AG466" s="5" t="s">
        <v>115</v>
      </c>
      <c r="AH466">
        <v>11</v>
      </c>
      <c r="AI466">
        <v>0</v>
      </c>
      <c r="AJ466">
        <v>0</v>
      </c>
      <c r="AK466">
        <v>11</v>
      </c>
      <c r="AL466">
        <v>0</v>
      </c>
      <c r="AM466">
        <f t="shared" si="7"/>
        <v>11</v>
      </c>
      <c r="AO466" t="s">
        <v>165</v>
      </c>
    </row>
    <row r="467" spans="1:43" x14ac:dyDescent="0.2">
      <c r="A467" t="s">
        <v>3783</v>
      </c>
      <c r="B467" t="s">
        <v>3784</v>
      </c>
      <c r="C467">
        <v>14</v>
      </c>
      <c r="D467">
        <v>1</v>
      </c>
      <c r="E467" t="s">
        <v>3171</v>
      </c>
      <c r="F467" s="1">
        <v>43588</v>
      </c>
      <c r="G467" s="1" t="s">
        <v>4028</v>
      </c>
      <c r="H467" s="1"/>
      <c r="I467" s="2">
        <v>7.1527777777777787E-2</v>
      </c>
      <c r="J467" s="176">
        <v>1.1921296296296296E-3</v>
      </c>
      <c r="K467" s="6">
        <v>103</v>
      </c>
      <c r="L467" t="s">
        <v>3187</v>
      </c>
      <c r="M467" t="s">
        <v>149</v>
      </c>
      <c r="N467" t="s">
        <v>102</v>
      </c>
      <c r="O467" t="s">
        <v>115</v>
      </c>
      <c r="P467">
        <v>1</v>
      </c>
      <c r="Q467">
        <v>0</v>
      </c>
      <c r="R467">
        <v>0</v>
      </c>
      <c r="S467" t="s">
        <v>598</v>
      </c>
      <c r="T467" s="5" t="s">
        <v>2437</v>
      </c>
      <c r="U467" s="5" t="s">
        <v>122</v>
      </c>
      <c r="V467" s="5" t="s">
        <v>115</v>
      </c>
      <c r="W467" s="5"/>
      <c r="X467" s="5"/>
      <c r="Y467" s="5"/>
      <c r="Z467" s="5" t="s">
        <v>115</v>
      </c>
      <c r="AA467" s="5" t="s">
        <v>115</v>
      </c>
      <c r="AB467" s="5" t="s">
        <v>115</v>
      </c>
      <c r="AC467" s="5" t="s">
        <v>115</v>
      </c>
      <c r="AD467" s="5" t="s">
        <v>115</v>
      </c>
      <c r="AE467" s="5" t="s">
        <v>115</v>
      </c>
      <c r="AF467" s="5" t="s">
        <v>115</v>
      </c>
      <c r="AG467" s="5" t="s">
        <v>115</v>
      </c>
      <c r="AH467">
        <v>0</v>
      </c>
      <c r="AI467">
        <v>0</v>
      </c>
      <c r="AJ467">
        <v>0</v>
      </c>
      <c r="AK467">
        <v>0</v>
      </c>
      <c r="AL467">
        <v>11</v>
      </c>
      <c r="AM467">
        <f t="shared" si="7"/>
        <v>11</v>
      </c>
      <c r="AN467" t="s">
        <v>188</v>
      </c>
    </row>
    <row r="468" spans="1:43" x14ac:dyDescent="0.2">
      <c r="A468" t="s">
        <v>3917</v>
      </c>
      <c r="B468" t="s">
        <v>3918</v>
      </c>
      <c r="C468">
        <v>2</v>
      </c>
      <c r="D468">
        <v>1</v>
      </c>
      <c r="E468" t="s">
        <v>2601</v>
      </c>
      <c r="F468" s="1">
        <v>43593</v>
      </c>
      <c r="G468" s="1" t="s">
        <v>4028</v>
      </c>
      <c r="H468" s="1"/>
      <c r="I468" s="2">
        <v>7.6388888888888886E-3</v>
      </c>
      <c r="J468" s="176">
        <v>1.273148148148148E-4</v>
      </c>
      <c r="K468" s="6">
        <v>11</v>
      </c>
      <c r="L468" t="s">
        <v>884</v>
      </c>
      <c r="M468" t="s">
        <v>177</v>
      </c>
      <c r="N468" t="s">
        <v>102</v>
      </c>
      <c r="O468" t="s">
        <v>115</v>
      </c>
      <c r="P468">
        <v>0</v>
      </c>
      <c r="Q468">
        <v>0</v>
      </c>
      <c r="R468">
        <v>0</v>
      </c>
      <c r="T468" s="5" t="s">
        <v>115</v>
      </c>
      <c r="U468" s="5" t="s">
        <v>115</v>
      </c>
      <c r="V468" s="5" t="s">
        <v>115</v>
      </c>
      <c r="W468" s="5"/>
      <c r="X468" s="5"/>
      <c r="Y468" s="5"/>
      <c r="Z468" s="5" t="s">
        <v>115</v>
      </c>
      <c r="AA468" s="5" t="s">
        <v>115</v>
      </c>
      <c r="AB468" s="5" t="s">
        <v>115</v>
      </c>
      <c r="AC468" s="5" t="s">
        <v>115</v>
      </c>
      <c r="AD468" s="5" t="s">
        <v>115</v>
      </c>
      <c r="AE468" s="5" t="s">
        <v>115</v>
      </c>
      <c r="AF468" s="5" t="s">
        <v>115</v>
      </c>
      <c r="AG468" s="5" t="s">
        <v>115</v>
      </c>
      <c r="AH468">
        <v>0</v>
      </c>
      <c r="AI468">
        <v>0</v>
      </c>
      <c r="AJ468">
        <v>0</v>
      </c>
      <c r="AL468">
        <v>11</v>
      </c>
      <c r="AM468">
        <f t="shared" si="7"/>
        <v>11</v>
      </c>
      <c r="AN468" t="s">
        <v>188</v>
      </c>
    </row>
    <row r="469" spans="1:43" x14ac:dyDescent="0.2">
      <c r="A469" t="s">
        <v>2950</v>
      </c>
      <c r="B469" t="s">
        <v>2951</v>
      </c>
      <c r="C469">
        <v>11</v>
      </c>
      <c r="D469">
        <v>1</v>
      </c>
      <c r="E469" t="s">
        <v>834</v>
      </c>
      <c r="F469" s="1">
        <v>43560</v>
      </c>
      <c r="G469" s="1" t="s">
        <v>4027</v>
      </c>
      <c r="H469" s="1"/>
      <c r="I469" s="2">
        <v>7.6388888888888886E-3</v>
      </c>
      <c r="J469" s="176">
        <v>1.273148148148148E-4</v>
      </c>
      <c r="K469" s="6">
        <v>11</v>
      </c>
      <c r="M469" t="s">
        <v>466</v>
      </c>
      <c r="N469" t="s">
        <v>102</v>
      </c>
      <c r="O469" t="s">
        <v>115</v>
      </c>
      <c r="P469" t="s">
        <v>24</v>
      </c>
      <c r="Q469">
        <v>0</v>
      </c>
      <c r="R469">
        <v>0</v>
      </c>
      <c r="T469" s="5" t="s">
        <v>115</v>
      </c>
      <c r="U469" s="5" t="s">
        <v>115</v>
      </c>
      <c r="V469" s="5" t="s">
        <v>115</v>
      </c>
      <c r="W469" s="5"/>
      <c r="X469" s="5"/>
      <c r="Y469" s="5"/>
      <c r="Z469" s="5" t="s">
        <v>115</v>
      </c>
      <c r="AA469" s="5" t="s">
        <v>115</v>
      </c>
      <c r="AB469" s="5" t="s">
        <v>115</v>
      </c>
      <c r="AC469" s="5" t="s">
        <v>115</v>
      </c>
      <c r="AD469" s="5" t="s">
        <v>115</v>
      </c>
      <c r="AE469" s="5" t="s">
        <v>115</v>
      </c>
      <c r="AF469" s="5" t="s">
        <v>115</v>
      </c>
      <c r="AG469" s="5"/>
      <c r="AH469">
        <v>0</v>
      </c>
      <c r="AI469">
        <v>0</v>
      </c>
      <c r="AJ469">
        <v>0</v>
      </c>
      <c r="AK469">
        <v>0</v>
      </c>
      <c r="AL469">
        <v>11</v>
      </c>
      <c r="AM469">
        <f t="shared" si="7"/>
        <v>11</v>
      </c>
      <c r="AN469" t="s">
        <v>188</v>
      </c>
    </row>
    <row r="470" spans="1:43" x14ac:dyDescent="0.2">
      <c r="A470" t="s">
        <v>3774</v>
      </c>
      <c r="B470" t="s">
        <v>3775</v>
      </c>
      <c r="C470">
        <v>10</v>
      </c>
      <c r="D470">
        <v>1</v>
      </c>
      <c r="E470" t="s">
        <v>3171</v>
      </c>
      <c r="F470" s="1">
        <v>43588</v>
      </c>
      <c r="G470" s="1" t="s">
        <v>4028</v>
      </c>
      <c r="H470" s="1"/>
      <c r="I470" s="2">
        <v>7.6388888888888886E-3</v>
      </c>
      <c r="J470" s="176">
        <v>1.273148148148148E-4</v>
      </c>
      <c r="K470" s="6">
        <v>11</v>
      </c>
      <c r="L470" t="s">
        <v>3187</v>
      </c>
      <c r="M470" t="s">
        <v>149</v>
      </c>
      <c r="N470" t="s">
        <v>102</v>
      </c>
      <c r="O470" t="s">
        <v>115</v>
      </c>
      <c r="P470" t="s">
        <v>24</v>
      </c>
      <c r="Q470">
        <v>0</v>
      </c>
      <c r="R470">
        <v>0</v>
      </c>
      <c r="T470" s="5" t="s">
        <v>115</v>
      </c>
      <c r="U470" s="5" t="s">
        <v>115</v>
      </c>
      <c r="V470" s="5" t="s">
        <v>115</v>
      </c>
      <c r="W470" s="5"/>
      <c r="X470" s="5"/>
      <c r="Y470" s="5"/>
      <c r="Z470" s="5" t="s">
        <v>115</v>
      </c>
      <c r="AA470" s="5" t="s">
        <v>115</v>
      </c>
      <c r="AB470" s="5" t="s">
        <v>115</v>
      </c>
      <c r="AC470" s="5" t="s">
        <v>115</v>
      </c>
      <c r="AD470" s="5" t="s">
        <v>115</v>
      </c>
      <c r="AE470" s="5" t="s">
        <v>115</v>
      </c>
      <c r="AF470" s="5" t="s">
        <v>115</v>
      </c>
      <c r="AG470" s="5" t="s">
        <v>115</v>
      </c>
      <c r="AH470">
        <v>0</v>
      </c>
      <c r="AI470">
        <v>0</v>
      </c>
      <c r="AJ470">
        <v>0</v>
      </c>
      <c r="AK470">
        <v>0</v>
      </c>
      <c r="AL470">
        <v>11</v>
      </c>
      <c r="AM470">
        <f t="shared" si="7"/>
        <v>11</v>
      </c>
      <c r="AN470" t="s">
        <v>188</v>
      </c>
    </row>
    <row r="471" spans="1:43" x14ac:dyDescent="0.2">
      <c r="A471" t="s">
        <v>2415</v>
      </c>
      <c r="B471" t="s">
        <v>2416</v>
      </c>
      <c r="C471">
        <v>1</v>
      </c>
      <c r="D471">
        <v>1</v>
      </c>
      <c r="E471" t="s">
        <v>2338</v>
      </c>
      <c r="F471" s="1">
        <v>43545</v>
      </c>
      <c r="G471" s="1" t="s">
        <v>4026</v>
      </c>
      <c r="H471" s="1"/>
      <c r="I471" s="2">
        <v>2.0833333333333332E-2</v>
      </c>
      <c r="J471" s="176">
        <v>3.4722222222222224E-4</v>
      </c>
      <c r="K471" s="6">
        <v>30</v>
      </c>
      <c r="L471" t="s">
        <v>101</v>
      </c>
      <c r="M471" t="s">
        <v>589</v>
      </c>
      <c r="N471" t="s">
        <v>1626</v>
      </c>
      <c r="O471" t="s">
        <v>23</v>
      </c>
      <c r="P471">
        <v>1</v>
      </c>
      <c r="Q471" t="s">
        <v>24</v>
      </c>
      <c r="R471">
        <v>0</v>
      </c>
      <c r="S471" t="s">
        <v>176</v>
      </c>
      <c r="T471" t="s">
        <v>24</v>
      </c>
      <c r="U471" t="s">
        <v>2383</v>
      </c>
      <c r="V471" t="s">
        <v>115</v>
      </c>
      <c r="Z471" t="s">
        <v>115</v>
      </c>
      <c r="AA471" t="s">
        <v>115</v>
      </c>
      <c r="AB471" s="5" t="s">
        <v>115</v>
      </c>
      <c r="AC471" s="5" t="s">
        <v>115</v>
      </c>
      <c r="AD471" s="5" t="s">
        <v>115</v>
      </c>
      <c r="AE471" s="5"/>
      <c r="AF471" s="5"/>
      <c r="AG471" s="5"/>
      <c r="AH471">
        <v>10</v>
      </c>
      <c r="AI471">
        <v>0</v>
      </c>
      <c r="AJ471">
        <v>0</v>
      </c>
      <c r="AK471">
        <v>10</v>
      </c>
      <c r="AL471">
        <v>0</v>
      </c>
      <c r="AM471">
        <f t="shared" si="7"/>
        <v>10</v>
      </c>
      <c r="AN471" t="s">
        <v>1672</v>
      </c>
      <c r="AO471" t="s">
        <v>2417</v>
      </c>
    </row>
    <row r="472" spans="1:43" x14ac:dyDescent="0.2">
      <c r="A472" t="s">
        <v>2473</v>
      </c>
      <c r="B472" t="s">
        <v>2474</v>
      </c>
      <c r="C472">
        <v>3</v>
      </c>
      <c r="D472">
        <v>1</v>
      </c>
      <c r="E472" t="s">
        <v>140</v>
      </c>
      <c r="F472" s="1">
        <v>43549</v>
      </c>
      <c r="G472" s="1" t="s">
        <v>4026</v>
      </c>
      <c r="H472" s="1"/>
      <c r="I472" s="2">
        <v>2.5694444444444447E-2</v>
      </c>
      <c r="J472" s="176">
        <v>4.2824074074074075E-4</v>
      </c>
      <c r="K472" s="6">
        <v>37</v>
      </c>
      <c r="L472" s="5" t="s">
        <v>398</v>
      </c>
      <c r="M472" t="s">
        <v>149</v>
      </c>
      <c r="N472" t="s">
        <v>102</v>
      </c>
      <c r="O472" t="s">
        <v>23</v>
      </c>
      <c r="P472">
        <v>0</v>
      </c>
      <c r="Q472">
        <v>0</v>
      </c>
      <c r="R472">
        <v>0</v>
      </c>
      <c r="T472" t="s">
        <v>115</v>
      </c>
      <c r="U472" t="s">
        <v>115</v>
      </c>
      <c r="V472" t="s">
        <v>115</v>
      </c>
      <c r="Z472" t="s">
        <v>115</v>
      </c>
      <c r="AA472" t="s">
        <v>115</v>
      </c>
      <c r="AB472" t="s">
        <v>115</v>
      </c>
      <c r="AC472" t="s">
        <v>115</v>
      </c>
      <c r="AD472" t="s">
        <v>115</v>
      </c>
      <c r="AH472">
        <v>10</v>
      </c>
      <c r="AI472">
        <v>0</v>
      </c>
      <c r="AJ472">
        <v>0</v>
      </c>
      <c r="AK472">
        <v>10</v>
      </c>
      <c r="AL472">
        <v>0</v>
      </c>
      <c r="AM472">
        <f t="shared" si="7"/>
        <v>10</v>
      </c>
      <c r="AN472" t="s">
        <v>188</v>
      </c>
      <c r="AO472" t="s">
        <v>2475</v>
      </c>
    </row>
    <row r="473" spans="1:43" x14ac:dyDescent="0.2">
      <c r="A473" t="s">
        <v>2655</v>
      </c>
      <c r="B473" t="s">
        <v>2656</v>
      </c>
      <c r="C473">
        <v>4</v>
      </c>
      <c r="D473">
        <v>1</v>
      </c>
      <c r="E473" t="s">
        <v>2487</v>
      </c>
      <c r="F473" s="1">
        <v>43551</v>
      </c>
      <c r="G473" s="1" t="s">
        <v>4026</v>
      </c>
      <c r="H473" s="1"/>
      <c r="I473" s="2">
        <v>1.5277777777777777E-2</v>
      </c>
      <c r="J473" s="176">
        <v>2.5462962962962961E-4</v>
      </c>
      <c r="K473" s="6">
        <v>22</v>
      </c>
      <c r="M473" t="s">
        <v>64</v>
      </c>
      <c r="N473" t="s">
        <v>102</v>
      </c>
      <c r="O473" t="s">
        <v>115</v>
      </c>
      <c r="P473">
        <v>0</v>
      </c>
      <c r="Q473">
        <v>0</v>
      </c>
      <c r="R473">
        <v>0</v>
      </c>
      <c r="T473" t="s">
        <v>115</v>
      </c>
      <c r="U473" t="s">
        <v>115</v>
      </c>
      <c r="V473" t="s">
        <v>115</v>
      </c>
      <c r="Z473" t="s">
        <v>115</v>
      </c>
      <c r="AA473" t="s">
        <v>115</v>
      </c>
      <c r="AB473" t="s">
        <v>115</v>
      </c>
      <c r="AC473" t="s">
        <v>115</v>
      </c>
      <c r="AD473" t="s">
        <v>115</v>
      </c>
      <c r="AE473" t="s">
        <v>115</v>
      </c>
      <c r="AF473" t="s">
        <v>115</v>
      </c>
      <c r="AH473">
        <v>0</v>
      </c>
      <c r="AI473">
        <v>0</v>
      </c>
      <c r="AJ473">
        <v>0</v>
      </c>
      <c r="AK473">
        <v>0</v>
      </c>
      <c r="AL473">
        <v>10</v>
      </c>
      <c r="AM473">
        <f t="shared" si="7"/>
        <v>10</v>
      </c>
      <c r="AN473" t="s">
        <v>188</v>
      </c>
    </row>
    <row r="474" spans="1:43" x14ac:dyDescent="0.2">
      <c r="A474" t="s">
        <v>2663</v>
      </c>
      <c r="B474" t="s">
        <v>2664</v>
      </c>
      <c r="C474">
        <v>1</v>
      </c>
      <c r="D474">
        <v>1</v>
      </c>
      <c r="E474" t="s">
        <v>176</v>
      </c>
      <c r="F474" s="1">
        <v>43552</v>
      </c>
      <c r="G474" s="1" t="s">
        <v>4026</v>
      </c>
      <c r="H474" s="1"/>
      <c r="I474" s="2">
        <v>6.1111111111111116E-2</v>
      </c>
      <c r="J474" s="176">
        <v>1.0185185185185186E-3</v>
      </c>
      <c r="K474" s="6">
        <v>88</v>
      </c>
      <c r="L474" t="s">
        <v>398</v>
      </c>
      <c r="M474" t="s">
        <v>2665</v>
      </c>
      <c r="N474" t="s">
        <v>102</v>
      </c>
      <c r="O474" t="s">
        <v>23</v>
      </c>
      <c r="P474">
        <v>1</v>
      </c>
      <c r="Q474" t="s">
        <v>24</v>
      </c>
      <c r="R474">
        <v>0</v>
      </c>
      <c r="S474" t="s">
        <v>176</v>
      </c>
      <c r="T474" t="s">
        <v>24</v>
      </c>
      <c r="U474" t="s">
        <v>709</v>
      </c>
      <c r="V474" t="s">
        <v>115</v>
      </c>
      <c r="Z474" t="s">
        <v>115</v>
      </c>
      <c r="AA474" t="s">
        <v>115</v>
      </c>
      <c r="AB474" t="s">
        <v>115</v>
      </c>
      <c r="AC474" t="s">
        <v>115</v>
      </c>
      <c r="AD474" t="s">
        <v>115</v>
      </c>
      <c r="AE474" t="s">
        <v>115</v>
      </c>
      <c r="AF474" t="s">
        <v>115</v>
      </c>
      <c r="AH474">
        <v>10</v>
      </c>
      <c r="AI474">
        <v>0</v>
      </c>
      <c r="AJ474">
        <v>10</v>
      </c>
      <c r="AK474">
        <v>0</v>
      </c>
      <c r="AL474">
        <v>0</v>
      </c>
      <c r="AM474">
        <f t="shared" si="7"/>
        <v>10</v>
      </c>
      <c r="AN474" t="s">
        <v>2374</v>
      </c>
      <c r="AP474">
        <v>2</v>
      </c>
      <c r="AQ474">
        <v>0</v>
      </c>
    </row>
    <row r="475" spans="1:43" x14ac:dyDescent="0.2">
      <c r="A475" t="s">
        <v>2761</v>
      </c>
      <c r="B475" t="s">
        <v>2762</v>
      </c>
      <c r="C475">
        <v>16</v>
      </c>
      <c r="D475">
        <v>1</v>
      </c>
      <c r="E475" t="s">
        <v>834</v>
      </c>
      <c r="F475" s="1">
        <v>43554</v>
      </c>
      <c r="G475" s="1" t="s">
        <v>4026</v>
      </c>
      <c r="H475" s="1"/>
      <c r="I475" s="2">
        <v>1.2499999999999999E-2</v>
      </c>
      <c r="J475" s="176">
        <v>2.0833333333333335E-4</v>
      </c>
      <c r="K475" s="6">
        <v>18</v>
      </c>
      <c r="M475" t="s">
        <v>466</v>
      </c>
      <c r="N475" t="s">
        <v>102</v>
      </c>
      <c r="O475" t="s">
        <v>115</v>
      </c>
      <c r="P475">
        <v>1</v>
      </c>
      <c r="Q475">
        <v>0</v>
      </c>
      <c r="R475">
        <v>0</v>
      </c>
      <c r="S475" t="s">
        <v>598</v>
      </c>
      <c r="T475" s="5" t="s">
        <v>2437</v>
      </c>
      <c r="U475" s="5" t="s">
        <v>122</v>
      </c>
      <c r="V475" s="5" t="s">
        <v>115</v>
      </c>
      <c r="W475" s="5"/>
      <c r="X475" s="5"/>
      <c r="Y475" s="5"/>
      <c r="Z475" s="5" t="s">
        <v>115</v>
      </c>
      <c r="AA475" s="5" t="s">
        <v>115</v>
      </c>
      <c r="AB475" s="5" t="s">
        <v>115</v>
      </c>
      <c r="AC475" s="5" t="s">
        <v>115</v>
      </c>
      <c r="AD475" s="5" t="s">
        <v>115</v>
      </c>
      <c r="AE475" s="5" t="s">
        <v>115</v>
      </c>
      <c r="AF475" s="5" t="s">
        <v>115</v>
      </c>
      <c r="AG475" s="5"/>
      <c r="AH475">
        <v>0</v>
      </c>
      <c r="AI475">
        <v>0</v>
      </c>
      <c r="AJ475">
        <v>0</v>
      </c>
      <c r="AK475">
        <v>0</v>
      </c>
      <c r="AL475">
        <v>10</v>
      </c>
      <c r="AM475">
        <f t="shared" si="7"/>
        <v>10</v>
      </c>
      <c r="AN475" t="s">
        <v>188</v>
      </c>
    </row>
    <row r="476" spans="1:43" x14ac:dyDescent="0.2">
      <c r="A476" t="s">
        <v>2681</v>
      </c>
      <c r="B476" t="s">
        <v>2682</v>
      </c>
      <c r="C476">
        <v>4</v>
      </c>
      <c r="D476">
        <v>1</v>
      </c>
      <c r="E476" t="s">
        <v>324</v>
      </c>
      <c r="F476" s="1">
        <v>43554</v>
      </c>
      <c r="G476" s="1" t="s">
        <v>4026</v>
      </c>
      <c r="H476" s="1"/>
      <c r="I476" s="2">
        <v>1.5972222222222224E-2</v>
      </c>
      <c r="J476" s="176">
        <v>2.6620370370370372E-4</v>
      </c>
      <c r="K476" s="6">
        <v>23</v>
      </c>
      <c r="M476" t="s">
        <v>325</v>
      </c>
      <c r="N476" t="s">
        <v>102</v>
      </c>
      <c r="O476" t="s">
        <v>23</v>
      </c>
      <c r="P476">
        <v>0</v>
      </c>
      <c r="Q476">
        <v>0</v>
      </c>
      <c r="R476">
        <v>0</v>
      </c>
      <c r="T476" t="s">
        <v>115</v>
      </c>
      <c r="U476" t="s">
        <v>115</v>
      </c>
      <c r="V476" t="s">
        <v>115</v>
      </c>
      <c r="Z476" t="s">
        <v>115</v>
      </c>
      <c r="AA476" t="s">
        <v>115</v>
      </c>
      <c r="AB476" t="s">
        <v>115</v>
      </c>
      <c r="AC476" t="s">
        <v>115</v>
      </c>
      <c r="AD476" t="s">
        <v>115</v>
      </c>
      <c r="AE476" t="s">
        <v>115</v>
      </c>
      <c r="AF476" t="s">
        <v>115</v>
      </c>
      <c r="AH476">
        <v>0</v>
      </c>
      <c r="AI476">
        <v>10</v>
      </c>
      <c r="AJ476">
        <v>0</v>
      </c>
      <c r="AK476">
        <v>10</v>
      </c>
      <c r="AL476">
        <v>0</v>
      </c>
      <c r="AM476">
        <f t="shared" si="7"/>
        <v>10</v>
      </c>
    </row>
    <row r="477" spans="1:43" x14ac:dyDescent="0.2">
      <c r="A477" t="s">
        <v>2784</v>
      </c>
      <c r="B477" t="s">
        <v>2785</v>
      </c>
      <c r="C477">
        <v>2</v>
      </c>
      <c r="D477">
        <v>1</v>
      </c>
      <c r="E477" t="s">
        <v>2781</v>
      </c>
      <c r="F477" s="1">
        <v>43556</v>
      </c>
      <c r="G477" s="1" t="s">
        <v>4027</v>
      </c>
      <c r="H477" s="1"/>
      <c r="I477" s="2">
        <v>2.013888888888889E-2</v>
      </c>
      <c r="J477" s="176">
        <v>3.3564814814814812E-4</v>
      </c>
      <c r="K477" s="6">
        <v>29</v>
      </c>
      <c r="M477" t="s">
        <v>2782</v>
      </c>
      <c r="N477" t="s">
        <v>102</v>
      </c>
      <c r="O477" t="s">
        <v>23</v>
      </c>
      <c r="P477">
        <v>0</v>
      </c>
      <c r="Q477">
        <v>0</v>
      </c>
      <c r="R477">
        <v>0</v>
      </c>
      <c r="T477" s="5" t="s">
        <v>115</v>
      </c>
      <c r="U477" s="5" t="s">
        <v>115</v>
      </c>
      <c r="V477" s="5" t="s">
        <v>115</v>
      </c>
      <c r="W477" s="5"/>
      <c r="X477" s="5"/>
      <c r="Y477" s="5"/>
      <c r="Z477" s="5" t="s">
        <v>115</v>
      </c>
      <c r="AA477" s="5" t="s">
        <v>115</v>
      </c>
      <c r="AB477" s="5" t="s">
        <v>115</v>
      </c>
      <c r="AC477" s="5" t="s">
        <v>115</v>
      </c>
      <c r="AD477" s="5" t="s">
        <v>115</v>
      </c>
      <c r="AE477" s="5" t="s">
        <v>115</v>
      </c>
      <c r="AF477" s="5" t="s">
        <v>115</v>
      </c>
      <c r="AG477" s="5"/>
      <c r="AH477">
        <v>10</v>
      </c>
      <c r="AI477">
        <v>0</v>
      </c>
      <c r="AJ477">
        <v>10</v>
      </c>
      <c r="AK477">
        <v>0</v>
      </c>
      <c r="AL477">
        <v>0</v>
      </c>
      <c r="AM477">
        <f t="shared" si="7"/>
        <v>10</v>
      </c>
    </row>
    <row r="478" spans="1:43" x14ac:dyDescent="0.2">
      <c r="A478" t="s">
        <v>3093</v>
      </c>
      <c r="B478" t="s">
        <v>3094</v>
      </c>
      <c r="C478">
        <v>1</v>
      </c>
      <c r="D478">
        <v>1</v>
      </c>
      <c r="E478" t="s">
        <v>324</v>
      </c>
      <c r="F478" s="1">
        <v>43570</v>
      </c>
      <c r="G478" s="1" t="s">
        <v>4027</v>
      </c>
      <c r="H478" s="1"/>
      <c r="I478" s="2">
        <v>1.3194444444444444E-2</v>
      </c>
      <c r="J478" s="176">
        <v>2.199074074074074E-4</v>
      </c>
      <c r="K478" s="6">
        <v>19</v>
      </c>
      <c r="L478" t="s">
        <v>101</v>
      </c>
      <c r="M478" t="s">
        <v>325</v>
      </c>
      <c r="N478" t="s">
        <v>102</v>
      </c>
      <c r="O478" t="s">
        <v>115</v>
      </c>
      <c r="P478">
        <v>1</v>
      </c>
      <c r="Q478">
        <v>0</v>
      </c>
      <c r="R478">
        <v>0</v>
      </c>
      <c r="S478" t="s">
        <v>176</v>
      </c>
      <c r="T478" s="5" t="s">
        <v>24</v>
      </c>
      <c r="U478" s="5" t="s">
        <v>122</v>
      </c>
      <c r="V478" s="5" t="s">
        <v>115</v>
      </c>
      <c r="W478" s="5"/>
      <c r="X478" s="5"/>
      <c r="Y478" s="5"/>
      <c r="Z478" s="5" t="s">
        <v>115</v>
      </c>
      <c r="AA478" s="5" t="s">
        <v>115</v>
      </c>
      <c r="AB478" s="5" t="s">
        <v>115</v>
      </c>
      <c r="AC478" s="5" t="s">
        <v>115</v>
      </c>
      <c r="AD478" s="5" t="s">
        <v>115</v>
      </c>
      <c r="AE478" s="5" t="s">
        <v>115</v>
      </c>
      <c r="AF478" s="5" t="s">
        <v>115</v>
      </c>
      <c r="AG478" s="5"/>
      <c r="AH478">
        <v>0</v>
      </c>
      <c r="AI478">
        <v>0</v>
      </c>
      <c r="AJ478">
        <v>0</v>
      </c>
      <c r="AK478">
        <v>0</v>
      </c>
      <c r="AL478">
        <v>10</v>
      </c>
      <c r="AM478">
        <f t="shared" si="7"/>
        <v>10</v>
      </c>
      <c r="AN478" t="s">
        <v>188</v>
      </c>
    </row>
    <row r="479" spans="1:43" x14ac:dyDescent="0.2">
      <c r="A479" t="s">
        <v>3069</v>
      </c>
      <c r="B479" t="s">
        <v>3070</v>
      </c>
      <c r="C479">
        <v>1</v>
      </c>
      <c r="D479">
        <v>1</v>
      </c>
      <c r="E479" t="s">
        <v>2601</v>
      </c>
      <c r="F479" s="1">
        <v>43570</v>
      </c>
      <c r="G479" s="1" t="s">
        <v>4027</v>
      </c>
      <c r="H479" s="1"/>
      <c r="I479" s="2">
        <v>3.3333333333333333E-2</v>
      </c>
      <c r="J479" s="176">
        <v>5.5555555555555556E-4</v>
      </c>
      <c r="K479" s="6">
        <v>48</v>
      </c>
      <c r="L479" t="s">
        <v>101</v>
      </c>
      <c r="M479" t="s">
        <v>173</v>
      </c>
      <c r="N479" t="s">
        <v>102</v>
      </c>
      <c r="O479" t="s">
        <v>23</v>
      </c>
      <c r="P479">
        <v>1</v>
      </c>
      <c r="Q479">
        <v>1</v>
      </c>
      <c r="R479">
        <v>0</v>
      </c>
      <c r="S479" t="s">
        <v>461</v>
      </c>
      <c r="T479" s="5" t="s">
        <v>3071</v>
      </c>
      <c r="U479" s="5" t="s">
        <v>1035</v>
      </c>
      <c r="V479" s="5" t="s">
        <v>115</v>
      </c>
      <c r="W479" s="5"/>
      <c r="X479" s="5"/>
      <c r="Y479" s="5"/>
      <c r="Z479" s="5" t="s">
        <v>115</v>
      </c>
      <c r="AA479" s="5" t="s">
        <v>115</v>
      </c>
      <c r="AB479" s="5" t="s">
        <v>115</v>
      </c>
      <c r="AC479" s="5" t="s">
        <v>115</v>
      </c>
      <c r="AD479" s="5" t="s">
        <v>115</v>
      </c>
      <c r="AE479">
        <v>63.724440000000001</v>
      </c>
      <c r="AF479">
        <v>148.95590000000001</v>
      </c>
      <c r="AH479">
        <v>0</v>
      </c>
      <c r="AI479">
        <v>0</v>
      </c>
      <c r="AJ479">
        <v>0</v>
      </c>
      <c r="AK479">
        <v>0</v>
      </c>
      <c r="AL479">
        <v>10</v>
      </c>
      <c r="AM479">
        <f t="shared" si="7"/>
        <v>10</v>
      </c>
      <c r="AN479" t="s">
        <v>188</v>
      </c>
      <c r="AO479" t="s">
        <v>3072</v>
      </c>
    </row>
    <row r="480" spans="1:43" x14ac:dyDescent="0.2">
      <c r="A480" t="s">
        <v>3198</v>
      </c>
      <c r="B480" t="s">
        <v>3199</v>
      </c>
      <c r="C480">
        <v>7</v>
      </c>
      <c r="D480">
        <v>1</v>
      </c>
      <c r="E480" t="s">
        <v>2487</v>
      </c>
      <c r="F480" s="1">
        <v>43572</v>
      </c>
      <c r="G480" s="1" t="s">
        <v>4027</v>
      </c>
      <c r="H480" s="1"/>
      <c r="I480" s="2">
        <v>2.361111111111111E-2</v>
      </c>
      <c r="J480" s="176">
        <v>3.9351851851851852E-4</v>
      </c>
      <c r="K480" s="6">
        <v>34</v>
      </c>
      <c r="L480" t="s">
        <v>3187</v>
      </c>
      <c r="M480" t="s">
        <v>2498</v>
      </c>
      <c r="N480" t="s">
        <v>102</v>
      </c>
      <c r="O480" t="s">
        <v>115</v>
      </c>
      <c r="P480">
        <v>1</v>
      </c>
      <c r="Q480">
        <v>0</v>
      </c>
      <c r="R480">
        <v>0</v>
      </c>
      <c r="S480" t="s">
        <v>176</v>
      </c>
      <c r="T480" s="5" t="s">
        <v>24</v>
      </c>
      <c r="U480" s="5" t="s">
        <v>122</v>
      </c>
      <c r="V480" s="5" t="s">
        <v>115</v>
      </c>
      <c r="W480" s="5"/>
      <c r="X480" s="5"/>
      <c r="Y480" s="5"/>
      <c r="Z480" s="5" t="s">
        <v>115</v>
      </c>
      <c r="AA480" s="5" t="s">
        <v>115</v>
      </c>
      <c r="AB480" s="5" t="s">
        <v>115</v>
      </c>
      <c r="AC480" s="5" t="s">
        <v>115</v>
      </c>
      <c r="AD480" s="5" t="s">
        <v>115</v>
      </c>
      <c r="AE480" s="5" t="s">
        <v>115</v>
      </c>
      <c r="AF480" s="5" t="s">
        <v>115</v>
      </c>
      <c r="AG480" s="5"/>
      <c r="AH480">
        <v>0</v>
      </c>
      <c r="AI480">
        <v>0</v>
      </c>
      <c r="AJ480">
        <v>0</v>
      </c>
      <c r="AK480">
        <v>0</v>
      </c>
      <c r="AL480">
        <v>10</v>
      </c>
      <c r="AM480">
        <f t="shared" si="7"/>
        <v>10</v>
      </c>
      <c r="AN480" t="s">
        <v>188</v>
      </c>
    </row>
    <row r="481" spans="1:43" x14ac:dyDescent="0.2">
      <c r="A481" t="s">
        <v>3245</v>
      </c>
      <c r="B481" t="s">
        <v>3246</v>
      </c>
      <c r="C481">
        <v>1</v>
      </c>
      <c r="D481">
        <v>2</v>
      </c>
      <c r="E481" t="s">
        <v>2462</v>
      </c>
      <c r="F481" s="1">
        <v>43573</v>
      </c>
      <c r="G481" s="1" t="s">
        <v>4027</v>
      </c>
      <c r="H481" s="1"/>
      <c r="I481" s="2">
        <v>9.7222222222222224E-2</v>
      </c>
      <c r="J481" s="176">
        <v>1.6203703703703703E-3</v>
      </c>
      <c r="K481" s="6">
        <v>140</v>
      </c>
      <c r="L481" t="s">
        <v>398</v>
      </c>
      <c r="M481" t="s">
        <v>64</v>
      </c>
      <c r="N481" t="s">
        <v>102</v>
      </c>
      <c r="O481" t="s">
        <v>23</v>
      </c>
      <c r="P481">
        <v>1</v>
      </c>
      <c r="Q481">
        <v>1</v>
      </c>
      <c r="R481">
        <v>1</v>
      </c>
      <c r="S481" t="s">
        <v>176</v>
      </c>
      <c r="T481" s="5" t="s">
        <v>3247</v>
      </c>
      <c r="U481" s="5" t="s">
        <v>2061</v>
      </c>
      <c r="V481" s="5" t="s">
        <v>1035</v>
      </c>
      <c r="W481" s="5" t="s">
        <v>23</v>
      </c>
      <c r="X481" s="5" t="s">
        <v>3997</v>
      </c>
      <c r="Y481" s="5" t="s">
        <v>4006</v>
      </c>
      <c r="Z481" s="5" t="s">
        <v>2825</v>
      </c>
      <c r="AA481">
        <v>70</v>
      </c>
      <c r="AB481" s="5" t="s">
        <v>3026</v>
      </c>
      <c r="AC481">
        <v>63.735770000000002</v>
      </c>
      <c r="AD481">
        <v>148.89865</v>
      </c>
      <c r="AE481">
        <v>63.735770000000002</v>
      </c>
      <c r="AF481">
        <v>148.89854</v>
      </c>
      <c r="AG481" s="5" t="s">
        <v>115</v>
      </c>
      <c r="AH481">
        <v>0</v>
      </c>
      <c r="AI481">
        <v>10</v>
      </c>
      <c r="AJ481">
        <v>10</v>
      </c>
      <c r="AK481">
        <v>0</v>
      </c>
      <c r="AL481">
        <v>0</v>
      </c>
      <c r="AM481">
        <f t="shared" si="7"/>
        <v>10</v>
      </c>
      <c r="AN481" t="s">
        <v>188</v>
      </c>
      <c r="AO481" t="s">
        <v>3248</v>
      </c>
    </row>
    <row r="482" spans="1:43" x14ac:dyDescent="0.2">
      <c r="A482" t="s">
        <v>3245</v>
      </c>
      <c r="B482" t="s">
        <v>3246</v>
      </c>
      <c r="C482">
        <v>1</v>
      </c>
      <c r="D482">
        <v>3</v>
      </c>
      <c r="E482" t="s">
        <v>2462</v>
      </c>
      <c r="F482" s="1">
        <v>43573</v>
      </c>
      <c r="G482" s="1" t="s">
        <v>4027</v>
      </c>
      <c r="H482" s="1"/>
      <c r="I482" s="2">
        <v>9.7222222222222224E-2</v>
      </c>
      <c r="J482" s="176">
        <v>1.6203703703703703E-3</v>
      </c>
      <c r="K482" s="6">
        <v>140</v>
      </c>
      <c r="L482" t="s">
        <v>398</v>
      </c>
      <c r="M482" t="s">
        <v>64</v>
      </c>
      <c r="N482" t="s">
        <v>102</v>
      </c>
      <c r="O482" t="s">
        <v>23</v>
      </c>
      <c r="P482">
        <v>1</v>
      </c>
      <c r="Q482">
        <v>1</v>
      </c>
      <c r="R482">
        <v>0</v>
      </c>
      <c r="S482" t="s">
        <v>176</v>
      </c>
      <c r="T482" s="5" t="s">
        <v>3247</v>
      </c>
      <c r="U482" s="5" t="s">
        <v>2061</v>
      </c>
      <c r="V482" s="5" t="s">
        <v>115</v>
      </c>
      <c r="W482" s="5"/>
      <c r="X482" s="5"/>
      <c r="Y482" s="5"/>
      <c r="Z482" s="5" t="s">
        <v>115</v>
      </c>
      <c r="AA482" s="5" t="s">
        <v>115</v>
      </c>
      <c r="AB482" s="5" t="s">
        <v>115</v>
      </c>
      <c r="AC482" s="5" t="s">
        <v>115</v>
      </c>
      <c r="AD482" s="5" t="s">
        <v>115</v>
      </c>
      <c r="AE482">
        <v>63.735770000000002</v>
      </c>
      <c r="AF482">
        <v>148.89865</v>
      </c>
      <c r="AG482" s="5" t="s">
        <v>115</v>
      </c>
      <c r="AH482">
        <v>0</v>
      </c>
      <c r="AI482">
        <v>0</v>
      </c>
      <c r="AJ482">
        <v>0</v>
      </c>
      <c r="AK482">
        <v>0</v>
      </c>
      <c r="AL482">
        <v>10</v>
      </c>
      <c r="AM482">
        <f t="shared" si="7"/>
        <v>10</v>
      </c>
      <c r="AN482" t="s">
        <v>188</v>
      </c>
      <c r="AO482" t="s">
        <v>3249</v>
      </c>
    </row>
    <row r="483" spans="1:43" x14ac:dyDescent="0.2">
      <c r="A483" t="s">
        <v>3245</v>
      </c>
      <c r="B483" t="s">
        <v>3246</v>
      </c>
      <c r="C483">
        <v>1</v>
      </c>
      <c r="D483">
        <v>1</v>
      </c>
      <c r="E483" t="s">
        <v>2462</v>
      </c>
      <c r="F483" s="1">
        <v>43573</v>
      </c>
      <c r="G483" s="1" t="s">
        <v>4027</v>
      </c>
      <c r="H483" s="1"/>
      <c r="I483" s="2">
        <v>9.7222222222222224E-2</v>
      </c>
      <c r="J483" s="176">
        <v>1.6203703703703703E-3</v>
      </c>
      <c r="K483" s="6">
        <v>140</v>
      </c>
      <c r="L483" t="s">
        <v>398</v>
      </c>
      <c r="M483" t="s">
        <v>64</v>
      </c>
      <c r="N483" t="s">
        <v>102</v>
      </c>
      <c r="O483" t="s">
        <v>115</v>
      </c>
      <c r="P483">
        <v>1</v>
      </c>
      <c r="R483">
        <v>1</v>
      </c>
      <c r="S483" t="s">
        <v>14</v>
      </c>
      <c r="T483" s="5" t="s">
        <v>3250</v>
      </c>
      <c r="U483" s="5" t="s">
        <v>122</v>
      </c>
      <c r="V483" s="5" t="s">
        <v>1035</v>
      </c>
      <c r="W483" s="5" t="s">
        <v>23</v>
      </c>
      <c r="X483" s="5" t="s">
        <v>3997</v>
      </c>
      <c r="Y483" s="5" t="s">
        <v>4006</v>
      </c>
      <c r="Z483" s="5" t="s">
        <v>2850</v>
      </c>
      <c r="AA483">
        <v>120</v>
      </c>
      <c r="AB483">
        <v>2</v>
      </c>
      <c r="AC483">
        <v>63.735770000000002</v>
      </c>
      <c r="AD483">
        <v>148.89854</v>
      </c>
      <c r="AE483" s="5" t="s">
        <v>115</v>
      </c>
      <c r="AF483" s="5" t="s">
        <v>115</v>
      </c>
      <c r="AG483" s="5" t="s">
        <v>115</v>
      </c>
      <c r="AH483">
        <v>0</v>
      </c>
      <c r="AI483">
        <v>0</v>
      </c>
      <c r="AJ483">
        <v>0</v>
      </c>
      <c r="AK483">
        <v>0</v>
      </c>
      <c r="AL483">
        <v>10</v>
      </c>
      <c r="AM483">
        <f t="shared" si="7"/>
        <v>10</v>
      </c>
    </row>
    <row r="484" spans="1:43" x14ac:dyDescent="0.2">
      <c r="A484" t="s">
        <v>3394</v>
      </c>
      <c r="B484" t="s">
        <v>3395</v>
      </c>
      <c r="C484">
        <v>19</v>
      </c>
      <c r="D484">
        <v>1</v>
      </c>
      <c r="E484" t="s">
        <v>3171</v>
      </c>
      <c r="F484" s="1">
        <v>43577</v>
      </c>
      <c r="G484" s="1" t="s">
        <v>4027</v>
      </c>
      <c r="H484" s="1" t="s">
        <v>4752</v>
      </c>
      <c r="I484" s="2">
        <v>1.8055555555555557E-2</v>
      </c>
      <c r="J484" s="176">
        <v>3.0092592592592595E-4</v>
      </c>
      <c r="K484" s="6">
        <v>26</v>
      </c>
      <c r="L484" t="s">
        <v>101</v>
      </c>
      <c r="M484" t="s">
        <v>670</v>
      </c>
      <c r="N484" t="s">
        <v>102</v>
      </c>
      <c r="O484" t="s">
        <v>23</v>
      </c>
      <c r="P484">
        <v>1</v>
      </c>
      <c r="Q484" t="s">
        <v>24</v>
      </c>
      <c r="R484">
        <v>0</v>
      </c>
      <c r="S484" t="s">
        <v>176</v>
      </c>
      <c r="T484" s="5" t="s">
        <v>24</v>
      </c>
      <c r="U484" s="5" t="s">
        <v>3396</v>
      </c>
      <c r="V484" s="5" t="s">
        <v>115</v>
      </c>
      <c r="W484" s="5"/>
      <c r="X484" s="5"/>
      <c r="Y484" s="5"/>
      <c r="Z484" s="5" t="s">
        <v>115</v>
      </c>
      <c r="AA484" s="5" t="s">
        <v>115</v>
      </c>
      <c r="AB484" s="5" t="s">
        <v>115</v>
      </c>
      <c r="AC484" s="5" t="s">
        <v>115</v>
      </c>
      <c r="AD484" s="5" t="s">
        <v>115</v>
      </c>
      <c r="AE484" s="5" t="s">
        <v>115</v>
      </c>
      <c r="AF484" s="5" t="s">
        <v>115</v>
      </c>
      <c r="AG484" s="5" t="s">
        <v>115</v>
      </c>
      <c r="AH484">
        <v>10</v>
      </c>
      <c r="AI484">
        <v>0</v>
      </c>
      <c r="AJ484">
        <v>0</v>
      </c>
      <c r="AK484">
        <v>10</v>
      </c>
      <c r="AL484">
        <v>0</v>
      </c>
      <c r="AM484">
        <f t="shared" si="7"/>
        <v>10</v>
      </c>
      <c r="AN484" t="s">
        <v>165</v>
      </c>
      <c r="AP484">
        <v>3</v>
      </c>
      <c r="AQ484">
        <v>0</v>
      </c>
    </row>
    <row r="485" spans="1:43" x14ac:dyDescent="0.2">
      <c r="A485" t="s">
        <v>3469</v>
      </c>
      <c r="B485" t="s">
        <v>3470</v>
      </c>
      <c r="C485">
        <v>8</v>
      </c>
      <c r="D485">
        <v>1</v>
      </c>
      <c r="E485" t="s">
        <v>2462</v>
      </c>
      <c r="F485" s="1">
        <v>43579</v>
      </c>
      <c r="G485" s="1" t="s">
        <v>4027</v>
      </c>
      <c r="H485" s="1"/>
      <c r="I485" s="2">
        <v>1.3888888888888888E-2</v>
      </c>
      <c r="J485" s="176">
        <v>2.3148148148148146E-4</v>
      </c>
      <c r="K485" s="6">
        <v>20</v>
      </c>
      <c r="L485" t="s">
        <v>101</v>
      </c>
      <c r="M485" t="s">
        <v>363</v>
      </c>
      <c r="N485" t="s">
        <v>102</v>
      </c>
      <c r="O485" t="s">
        <v>12</v>
      </c>
      <c r="P485">
        <v>1</v>
      </c>
      <c r="Q485" t="s">
        <v>24</v>
      </c>
      <c r="R485">
        <v>0</v>
      </c>
      <c r="S485" t="s">
        <v>176</v>
      </c>
      <c r="T485" s="5" t="s">
        <v>24</v>
      </c>
      <c r="U485" s="5" t="s">
        <v>2306</v>
      </c>
      <c r="V485" s="5" t="s">
        <v>115</v>
      </c>
      <c r="W485" s="5"/>
      <c r="X485" s="5"/>
      <c r="Y485" s="5"/>
      <c r="Z485" s="5" t="s">
        <v>115</v>
      </c>
      <c r="AA485" s="5" t="s">
        <v>115</v>
      </c>
      <c r="AB485" s="5" t="s">
        <v>115</v>
      </c>
      <c r="AC485" s="5" t="s">
        <v>115</v>
      </c>
      <c r="AD485" s="5" t="s">
        <v>115</v>
      </c>
      <c r="AE485" s="5" t="s">
        <v>115</v>
      </c>
      <c r="AF485" s="5" t="s">
        <v>115</v>
      </c>
      <c r="AG485" s="5" t="s">
        <v>115</v>
      </c>
      <c r="AH485">
        <v>7</v>
      </c>
      <c r="AI485">
        <v>0</v>
      </c>
      <c r="AJ485">
        <v>7</v>
      </c>
      <c r="AK485">
        <v>0</v>
      </c>
      <c r="AL485">
        <v>3</v>
      </c>
      <c r="AM485">
        <f t="shared" si="7"/>
        <v>10</v>
      </c>
      <c r="AN485" t="s">
        <v>165</v>
      </c>
      <c r="AP485">
        <v>4</v>
      </c>
      <c r="AQ485">
        <v>0</v>
      </c>
    </row>
    <row r="486" spans="1:43" x14ac:dyDescent="0.2">
      <c r="A486" t="s">
        <v>3444</v>
      </c>
      <c r="B486" t="s">
        <v>3445</v>
      </c>
      <c r="C486">
        <v>9</v>
      </c>
      <c r="D486">
        <v>2</v>
      </c>
      <c r="E486" t="s">
        <v>2601</v>
      </c>
      <c r="F486" s="1">
        <v>43579</v>
      </c>
      <c r="G486" s="1" t="s">
        <v>4027</v>
      </c>
      <c r="H486" s="1"/>
      <c r="I486" s="2">
        <v>3.8194444444444441E-2</v>
      </c>
      <c r="J486" s="176">
        <v>6.3657407407407402E-4</v>
      </c>
      <c r="K486" s="6">
        <v>55</v>
      </c>
      <c r="L486" t="s">
        <v>101</v>
      </c>
      <c r="M486" t="s">
        <v>173</v>
      </c>
      <c r="N486" t="s">
        <v>102</v>
      </c>
      <c r="O486" t="s">
        <v>115</v>
      </c>
      <c r="P486">
        <v>1</v>
      </c>
      <c r="Q486">
        <v>0</v>
      </c>
      <c r="R486">
        <v>0</v>
      </c>
      <c r="S486" t="s">
        <v>14</v>
      </c>
      <c r="T486" s="5" t="s">
        <v>14</v>
      </c>
      <c r="U486" s="5" t="s">
        <v>122</v>
      </c>
      <c r="V486" s="5" t="s">
        <v>115</v>
      </c>
      <c r="W486" s="5"/>
      <c r="X486" s="5"/>
      <c r="Y486" s="5"/>
      <c r="Z486" s="5" t="s">
        <v>115</v>
      </c>
      <c r="AA486" s="5" t="s">
        <v>115</v>
      </c>
      <c r="AB486" s="5" t="s">
        <v>115</v>
      </c>
      <c r="AC486" s="5" t="s">
        <v>115</v>
      </c>
      <c r="AD486" s="5" t="s">
        <v>115</v>
      </c>
      <c r="AE486" s="5" t="s">
        <v>115</v>
      </c>
      <c r="AF486" s="5" t="s">
        <v>115</v>
      </c>
      <c r="AG486" s="5" t="s">
        <v>115</v>
      </c>
      <c r="AH486">
        <v>0</v>
      </c>
      <c r="AI486">
        <v>0</v>
      </c>
      <c r="AJ486">
        <v>0</v>
      </c>
      <c r="AK486">
        <v>0</v>
      </c>
      <c r="AL486">
        <v>10</v>
      </c>
      <c r="AM486">
        <f t="shared" si="7"/>
        <v>10</v>
      </c>
      <c r="AN486" t="s">
        <v>188</v>
      </c>
    </row>
    <row r="487" spans="1:43" x14ac:dyDescent="0.2">
      <c r="A487" t="s">
        <v>3446</v>
      </c>
      <c r="B487" t="s">
        <v>3447</v>
      </c>
      <c r="C487">
        <v>10</v>
      </c>
      <c r="D487">
        <v>1</v>
      </c>
      <c r="E487" t="s">
        <v>2601</v>
      </c>
      <c r="F487" s="1">
        <v>43579</v>
      </c>
      <c r="G487" s="1" t="s">
        <v>4027</v>
      </c>
      <c r="H487" s="1"/>
      <c r="I487" s="2">
        <v>6.9444444444444441E-3</v>
      </c>
      <c r="J487" s="176">
        <v>1.1574074074074073E-4</v>
      </c>
      <c r="K487" s="6">
        <v>10</v>
      </c>
      <c r="L487" t="s">
        <v>101</v>
      </c>
      <c r="M487" t="s">
        <v>173</v>
      </c>
      <c r="N487" t="s">
        <v>102</v>
      </c>
      <c r="O487" t="s">
        <v>23</v>
      </c>
      <c r="P487">
        <v>0</v>
      </c>
      <c r="Q487">
        <v>0</v>
      </c>
      <c r="R487">
        <v>0</v>
      </c>
      <c r="T487" s="5" t="s">
        <v>115</v>
      </c>
      <c r="U487" s="5" t="s">
        <v>115</v>
      </c>
      <c r="V487" s="5" t="s">
        <v>115</v>
      </c>
      <c r="W487" s="5"/>
      <c r="X487" s="5"/>
      <c r="Y487" s="5"/>
      <c r="Z487" s="5" t="s">
        <v>115</v>
      </c>
      <c r="AA487" s="5" t="s">
        <v>115</v>
      </c>
      <c r="AB487" s="5" t="s">
        <v>115</v>
      </c>
      <c r="AC487" s="5" t="s">
        <v>115</v>
      </c>
      <c r="AD487" s="5" t="s">
        <v>115</v>
      </c>
      <c r="AE487" s="5" t="s">
        <v>115</v>
      </c>
      <c r="AF487" s="5" t="s">
        <v>115</v>
      </c>
      <c r="AG487" s="5" t="s">
        <v>115</v>
      </c>
      <c r="AH487">
        <v>7</v>
      </c>
      <c r="AI487">
        <v>0</v>
      </c>
      <c r="AJ487">
        <v>3</v>
      </c>
      <c r="AK487">
        <v>4</v>
      </c>
      <c r="AL487">
        <v>3</v>
      </c>
      <c r="AM487">
        <f t="shared" si="7"/>
        <v>10</v>
      </c>
      <c r="AN487" t="s">
        <v>188</v>
      </c>
    </row>
    <row r="488" spans="1:43" x14ac:dyDescent="0.2">
      <c r="A488" t="s">
        <v>3749</v>
      </c>
      <c r="B488" t="s">
        <v>3750</v>
      </c>
      <c r="C488">
        <v>6</v>
      </c>
      <c r="D488">
        <v>1</v>
      </c>
      <c r="E488" t="s">
        <v>2601</v>
      </c>
      <c r="F488" s="1">
        <v>43587</v>
      </c>
      <c r="G488" s="1" t="s">
        <v>4028</v>
      </c>
      <c r="H488" s="1"/>
      <c r="I488" s="2">
        <v>1.0416666666666666E-2</v>
      </c>
      <c r="J488" s="176">
        <v>1.7361111111111112E-4</v>
      </c>
      <c r="K488" s="6">
        <v>15</v>
      </c>
      <c r="L488" t="s">
        <v>1278</v>
      </c>
      <c r="M488" t="s">
        <v>177</v>
      </c>
      <c r="N488" t="s">
        <v>102</v>
      </c>
      <c r="O488" t="s">
        <v>23</v>
      </c>
      <c r="P488">
        <v>1</v>
      </c>
      <c r="Q488">
        <v>0</v>
      </c>
      <c r="R488">
        <v>0</v>
      </c>
      <c r="S488" t="s">
        <v>598</v>
      </c>
      <c r="T488" s="5" t="s">
        <v>598</v>
      </c>
      <c r="U488" s="5" t="s">
        <v>1922</v>
      </c>
      <c r="V488" s="5" t="s">
        <v>115</v>
      </c>
      <c r="W488" s="5"/>
      <c r="X488" s="5"/>
      <c r="Y488" s="5"/>
      <c r="Z488" s="5" t="s">
        <v>115</v>
      </c>
      <c r="AA488" s="5" t="s">
        <v>115</v>
      </c>
      <c r="AB488" s="5" t="s">
        <v>115</v>
      </c>
      <c r="AC488" s="5" t="s">
        <v>115</v>
      </c>
      <c r="AD488" s="5" t="s">
        <v>115</v>
      </c>
      <c r="AE488" s="5" t="s">
        <v>115</v>
      </c>
      <c r="AF488" s="5" t="s">
        <v>115</v>
      </c>
      <c r="AG488" s="5" t="s">
        <v>115</v>
      </c>
      <c r="AH488">
        <v>0</v>
      </c>
      <c r="AI488">
        <v>5</v>
      </c>
      <c r="AJ488">
        <v>0</v>
      </c>
      <c r="AK488">
        <v>5</v>
      </c>
      <c r="AL488">
        <v>5</v>
      </c>
      <c r="AM488">
        <f t="shared" si="7"/>
        <v>10</v>
      </c>
      <c r="AN488" t="s">
        <v>3751</v>
      </c>
      <c r="AO488" t="s">
        <v>3752</v>
      </c>
    </row>
    <row r="489" spans="1:43" x14ac:dyDescent="0.2">
      <c r="A489" t="s">
        <v>2830</v>
      </c>
      <c r="B489" t="s">
        <v>2831</v>
      </c>
      <c r="C489">
        <v>2</v>
      </c>
      <c r="D489">
        <v>1</v>
      </c>
      <c r="E489" t="s">
        <v>2781</v>
      </c>
      <c r="F489" s="1">
        <v>43556</v>
      </c>
      <c r="G489" s="1" t="s">
        <v>4027</v>
      </c>
      <c r="H489" s="1"/>
      <c r="I489" s="2">
        <v>8.3333333333333332E-3</v>
      </c>
      <c r="J489" s="176">
        <v>1.3888888888888889E-4</v>
      </c>
      <c r="K489" s="6">
        <v>12</v>
      </c>
      <c r="M489" t="s">
        <v>64</v>
      </c>
      <c r="N489" t="s">
        <v>102</v>
      </c>
      <c r="O489" t="s">
        <v>115</v>
      </c>
      <c r="P489" t="s">
        <v>24</v>
      </c>
      <c r="Q489">
        <v>0</v>
      </c>
      <c r="R489">
        <v>0</v>
      </c>
      <c r="T489" s="5" t="s">
        <v>115</v>
      </c>
      <c r="U489" s="5" t="s">
        <v>115</v>
      </c>
      <c r="V489" s="5" t="s">
        <v>115</v>
      </c>
      <c r="W489" s="5"/>
      <c r="X489" s="5"/>
      <c r="Y489" s="5"/>
      <c r="Z489" s="5" t="s">
        <v>115</v>
      </c>
      <c r="AA489" s="5" t="s">
        <v>115</v>
      </c>
      <c r="AB489" s="5" t="s">
        <v>115</v>
      </c>
      <c r="AC489" s="5" t="s">
        <v>115</v>
      </c>
      <c r="AD489" s="5" t="s">
        <v>115</v>
      </c>
      <c r="AE489" s="5" t="s">
        <v>115</v>
      </c>
      <c r="AF489" s="5" t="s">
        <v>115</v>
      </c>
      <c r="AG489" s="5"/>
      <c r="AH489">
        <v>0</v>
      </c>
      <c r="AI489">
        <v>0</v>
      </c>
      <c r="AJ489">
        <v>0</v>
      </c>
      <c r="AK489">
        <v>0</v>
      </c>
      <c r="AL489">
        <v>10</v>
      </c>
      <c r="AM489">
        <f t="shared" si="7"/>
        <v>10</v>
      </c>
      <c r="AN489" t="s">
        <v>188</v>
      </c>
    </row>
    <row r="490" spans="1:43" x14ac:dyDescent="0.2">
      <c r="A490" t="s">
        <v>3117</v>
      </c>
      <c r="B490" t="s">
        <v>3120</v>
      </c>
      <c r="C490">
        <v>12</v>
      </c>
      <c r="D490">
        <v>1</v>
      </c>
      <c r="E490" t="s">
        <v>324</v>
      </c>
      <c r="F490" s="1">
        <v>43570</v>
      </c>
      <c r="G490" s="1" t="s">
        <v>4027</v>
      </c>
      <c r="H490" s="1"/>
      <c r="I490" s="2">
        <v>2.013888888888889E-2</v>
      </c>
      <c r="J490" s="176">
        <v>3.3564814814814812E-4</v>
      </c>
      <c r="K490" s="6">
        <v>29</v>
      </c>
      <c r="L490" t="s">
        <v>101</v>
      </c>
      <c r="M490" t="s">
        <v>325</v>
      </c>
      <c r="N490" t="s">
        <v>102</v>
      </c>
      <c r="O490" t="s">
        <v>115</v>
      </c>
      <c r="P490" t="s">
        <v>24</v>
      </c>
      <c r="Q490">
        <v>0</v>
      </c>
      <c r="R490">
        <v>0</v>
      </c>
      <c r="T490" s="5" t="s">
        <v>115</v>
      </c>
      <c r="U490" s="5" t="s">
        <v>115</v>
      </c>
      <c r="V490" s="5" t="s">
        <v>115</v>
      </c>
      <c r="W490" s="5"/>
      <c r="X490" s="5"/>
      <c r="Y490" s="5"/>
      <c r="Z490" s="5" t="s">
        <v>115</v>
      </c>
      <c r="AA490" s="5" t="s">
        <v>115</v>
      </c>
      <c r="AB490" s="5" t="s">
        <v>115</v>
      </c>
      <c r="AC490" s="5" t="s">
        <v>115</v>
      </c>
      <c r="AD490" s="5" t="s">
        <v>115</v>
      </c>
      <c r="AE490" s="5" t="s">
        <v>115</v>
      </c>
      <c r="AF490" s="5" t="s">
        <v>115</v>
      </c>
      <c r="AG490" s="5"/>
      <c r="AH490">
        <v>0</v>
      </c>
      <c r="AI490">
        <v>0</v>
      </c>
      <c r="AJ490">
        <v>0</v>
      </c>
      <c r="AK490">
        <v>0</v>
      </c>
      <c r="AL490">
        <v>10</v>
      </c>
      <c r="AM490">
        <f t="shared" si="7"/>
        <v>10</v>
      </c>
      <c r="AN490" t="s">
        <v>188</v>
      </c>
    </row>
    <row r="491" spans="1:43" x14ac:dyDescent="0.2">
      <c r="A491" t="s">
        <v>2345</v>
      </c>
      <c r="B491" t="s">
        <v>2346</v>
      </c>
      <c r="C491">
        <v>2</v>
      </c>
      <c r="D491">
        <v>1</v>
      </c>
      <c r="E491" t="s">
        <v>2343</v>
      </c>
      <c r="F491" s="1">
        <v>43544</v>
      </c>
      <c r="G491" s="1" t="s">
        <v>4026</v>
      </c>
      <c r="H491" s="1"/>
      <c r="I491" s="2">
        <v>7.6388888888888886E-3</v>
      </c>
      <c r="J491" s="176">
        <v>1.273148148148148E-4</v>
      </c>
      <c r="K491" s="6">
        <v>11</v>
      </c>
      <c r="L491" t="s">
        <v>101</v>
      </c>
      <c r="M491" t="s">
        <v>2927</v>
      </c>
      <c r="N491" t="s">
        <v>102</v>
      </c>
      <c r="O491" t="s">
        <v>115</v>
      </c>
      <c r="P491">
        <v>1</v>
      </c>
      <c r="Q491">
        <v>0</v>
      </c>
      <c r="R491">
        <v>0</v>
      </c>
      <c r="S491" t="s">
        <v>176</v>
      </c>
      <c r="T491" t="s">
        <v>24</v>
      </c>
      <c r="U491" t="s">
        <v>122</v>
      </c>
      <c r="V491" t="s">
        <v>115</v>
      </c>
      <c r="Z491" t="s">
        <v>115</v>
      </c>
      <c r="AA491" t="s">
        <v>115</v>
      </c>
      <c r="AB491" t="s">
        <v>115</v>
      </c>
      <c r="AC491" t="s">
        <v>115</v>
      </c>
      <c r="AD491" t="s">
        <v>115</v>
      </c>
      <c r="AH491">
        <v>0</v>
      </c>
      <c r="AI491">
        <v>0</v>
      </c>
      <c r="AJ491">
        <v>0</v>
      </c>
      <c r="AK491">
        <v>0</v>
      </c>
      <c r="AL491">
        <v>9</v>
      </c>
      <c r="AM491">
        <f t="shared" si="7"/>
        <v>9</v>
      </c>
      <c r="AN491" t="s">
        <v>188</v>
      </c>
      <c r="AP491">
        <v>0</v>
      </c>
      <c r="AQ491">
        <v>0</v>
      </c>
    </row>
    <row r="492" spans="1:43" x14ac:dyDescent="0.2">
      <c r="A492" t="s">
        <v>2389</v>
      </c>
      <c r="B492" t="s">
        <v>2390</v>
      </c>
      <c r="C492">
        <v>18</v>
      </c>
      <c r="D492">
        <v>1</v>
      </c>
      <c r="E492" t="s">
        <v>2343</v>
      </c>
      <c r="F492" s="1">
        <v>43544</v>
      </c>
      <c r="G492" s="1" t="s">
        <v>4026</v>
      </c>
      <c r="H492" s="1"/>
      <c r="I492" s="2">
        <v>1.9444444444444445E-2</v>
      </c>
      <c r="J492" s="176">
        <v>3.2407407407407406E-4</v>
      </c>
      <c r="K492" s="6">
        <v>28</v>
      </c>
      <c r="L492" t="s">
        <v>101</v>
      </c>
      <c r="M492" t="s">
        <v>2927</v>
      </c>
      <c r="N492" t="s">
        <v>102</v>
      </c>
      <c r="O492" t="s">
        <v>115</v>
      </c>
      <c r="P492">
        <v>0</v>
      </c>
      <c r="Q492">
        <v>0</v>
      </c>
      <c r="R492">
        <v>0</v>
      </c>
      <c r="T492" t="s">
        <v>115</v>
      </c>
      <c r="U492" t="s">
        <v>115</v>
      </c>
      <c r="V492" t="s">
        <v>115</v>
      </c>
      <c r="Z492" t="s">
        <v>115</v>
      </c>
      <c r="AA492" t="s">
        <v>115</v>
      </c>
      <c r="AB492" s="5" t="s">
        <v>115</v>
      </c>
      <c r="AC492" s="5" t="s">
        <v>115</v>
      </c>
      <c r="AD492" s="5" t="s">
        <v>115</v>
      </c>
      <c r="AE492" s="5"/>
      <c r="AF492" s="5"/>
      <c r="AG492" s="5"/>
      <c r="AH492">
        <v>0</v>
      </c>
      <c r="AI492">
        <v>0</v>
      </c>
      <c r="AJ492">
        <v>0</v>
      </c>
      <c r="AK492">
        <v>0</v>
      </c>
      <c r="AL492">
        <v>9</v>
      </c>
      <c r="AM492">
        <f t="shared" si="7"/>
        <v>9</v>
      </c>
      <c r="AN492" t="s">
        <v>188</v>
      </c>
      <c r="AP492">
        <v>0</v>
      </c>
      <c r="AQ492">
        <v>0</v>
      </c>
    </row>
    <row r="493" spans="1:43" x14ac:dyDescent="0.2">
      <c r="A493" t="s">
        <v>2427</v>
      </c>
      <c r="B493" t="s">
        <v>2428</v>
      </c>
      <c r="C493">
        <v>4</v>
      </c>
      <c r="D493">
        <v>1</v>
      </c>
      <c r="E493" t="s">
        <v>2420</v>
      </c>
      <c r="F493" s="1">
        <v>43546</v>
      </c>
      <c r="G493" s="1" t="s">
        <v>4026</v>
      </c>
      <c r="H493" s="1"/>
      <c r="I493" s="2">
        <v>6.2499999999999995E-3</v>
      </c>
      <c r="J493" s="176">
        <v>1.0416666666666667E-4</v>
      </c>
      <c r="K493" s="6">
        <v>9</v>
      </c>
      <c r="L493" t="s">
        <v>101</v>
      </c>
      <c r="M493" t="s">
        <v>2429</v>
      </c>
      <c r="N493" t="s">
        <v>102</v>
      </c>
      <c r="O493" t="s">
        <v>115</v>
      </c>
      <c r="P493">
        <v>1</v>
      </c>
      <c r="Q493">
        <v>0</v>
      </c>
      <c r="R493">
        <v>0</v>
      </c>
      <c r="S493" t="s">
        <v>176</v>
      </c>
      <c r="T493" t="s">
        <v>24</v>
      </c>
      <c r="U493" t="s">
        <v>122</v>
      </c>
      <c r="V493" t="s">
        <v>115</v>
      </c>
      <c r="Z493" t="s">
        <v>115</v>
      </c>
      <c r="AA493" t="s">
        <v>115</v>
      </c>
      <c r="AB493" t="s">
        <v>115</v>
      </c>
      <c r="AC493" t="s">
        <v>115</v>
      </c>
      <c r="AD493" t="s">
        <v>115</v>
      </c>
      <c r="AH493">
        <v>0</v>
      </c>
      <c r="AI493">
        <v>0</v>
      </c>
      <c r="AJ493">
        <v>0</v>
      </c>
      <c r="AK493">
        <v>0</v>
      </c>
      <c r="AL493">
        <v>9</v>
      </c>
      <c r="AM493">
        <f t="shared" si="7"/>
        <v>9</v>
      </c>
      <c r="AN493" t="s">
        <v>188</v>
      </c>
    </row>
    <row r="494" spans="1:43" x14ac:dyDescent="0.2">
      <c r="A494" t="s">
        <v>2460</v>
      </c>
      <c r="B494" t="s">
        <v>2461</v>
      </c>
      <c r="C494">
        <v>1</v>
      </c>
      <c r="D494">
        <v>1</v>
      </c>
      <c r="E494" t="s">
        <v>2462</v>
      </c>
      <c r="F494" s="1">
        <v>43549</v>
      </c>
      <c r="G494" s="1" t="s">
        <v>4026</v>
      </c>
      <c r="H494" s="1"/>
      <c r="I494" s="2">
        <v>6.2499999999999995E-3</v>
      </c>
      <c r="J494" s="176">
        <v>1.0416666666666667E-4</v>
      </c>
      <c r="K494" s="6">
        <v>9</v>
      </c>
      <c r="L494" t="s">
        <v>398</v>
      </c>
      <c r="M494" t="s">
        <v>64</v>
      </c>
      <c r="N494" t="s">
        <v>102</v>
      </c>
      <c r="O494" t="s">
        <v>115</v>
      </c>
      <c r="P494">
        <v>0</v>
      </c>
      <c r="Q494">
        <v>0</v>
      </c>
      <c r="R494">
        <v>0</v>
      </c>
      <c r="T494" t="s">
        <v>115</v>
      </c>
      <c r="U494" t="s">
        <v>115</v>
      </c>
      <c r="V494" t="s">
        <v>115</v>
      </c>
      <c r="Z494" t="s">
        <v>115</v>
      </c>
      <c r="AA494" t="s">
        <v>115</v>
      </c>
      <c r="AB494" t="s">
        <v>115</v>
      </c>
      <c r="AC494" t="s">
        <v>115</v>
      </c>
      <c r="AD494" t="s">
        <v>115</v>
      </c>
      <c r="AH494">
        <v>0</v>
      </c>
      <c r="AI494">
        <v>0</v>
      </c>
      <c r="AJ494">
        <v>0</v>
      </c>
      <c r="AK494">
        <v>0</v>
      </c>
      <c r="AL494">
        <v>9</v>
      </c>
      <c r="AM494">
        <f t="shared" si="7"/>
        <v>9</v>
      </c>
      <c r="AN494" t="s">
        <v>188</v>
      </c>
    </row>
    <row r="495" spans="1:43" x14ac:dyDescent="0.2">
      <c r="A495" t="s">
        <v>2470</v>
      </c>
      <c r="B495" t="s">
        <v>2471</v>
      </c>
      <c r="C495">
        <v>2</v>
      </c>
      <c r="D495">
        <v>1</v>
      </c>
      <c r="E495" t="s">
        <v>140</v>
      </c>
      <c r="F495" s="1">
        <v>43549</v>
      </c>
      <c r="G495" s="1" t="s">
        <v>4026</v>
      </c>
      <c r="H495" s="1"/>
      <c r="I495" s="2">
        <v>4.5138888888888888E-2</v>
      </c>
      <c r="J495" s="176">
        <v>7.5231481481481471E-4</v>
      </c>
      <c r="K495" s="6">
        <v>65</v>
      </c>
      <c r="L495" s="5" t="s">
        <v>398</v>
      </c>
      <c r="M495" t="s">
        <v>149</v>
      </c>
      <c r="N495" t="s">
        <v>102</v>
      </c>
      <c r="O495" t="s">
        <v>115</v>
      </c>
      <c r="P495">
        <v>1</v>
      </c>
      <c r="Q495">
        <v>0</v>
      </c>
      <c r="R495">
        <v>0</v>
      </c>
      <c r="S495" t="s">
        <v>14</v>
      </c>
      <c r="T495" t="s">
        <v>2472</v>
      </c>
      <c r="U495" t="s">
        <v>122</v>
      </c>
      <c r="V495" t="s">
        <v>115</v>
      </c>
      <c r="Z495" t="s">
        <v>115</v>
      </c>
      <c r="AA495" t="s">
        <v>115</v>
      </c>
      <c r="AB495" t="s">
        <v>115</v>
      </c>
      <c r="AC495" t="s">
        <v>115</v>
      </c>
      <c r="AD495" t="s">
        <v>115</v>
      </c>
      <c r="AH495">
        <v>0</v>
      </c>
      <c r="AI495">
        <v>0</v>
      </c>
      <c r="AJ495">
        <v>0</v>
      </c>
      <c r="AK495">
        <v>0</v>
      </c>
      <c r="AL495">
        <v>9</v>
      </c>
      <c r="AM495">
        <f t="shared" si="7"/>
        <v>9</v>
      </c>
      <c r="AN495" t="s">
        <v>188</v>
      </c>
    </row>
    <row r="496" spans="1:43" x14ac:dyDescent="0.2">
      <c r="A496" t="s">
        <v>3119</v>
      </c>
      <c r="B496" t="s">
        <v>3122</v>
      </c>
      <c r="C496">
        <v>13</v>
      </c>
      <c r="D496">
        <v>1</v>
      </c>
      <c r="E496" t="s">
        <v>324</v>
      </c>
      <c r="F496" s="1">
        <v>43570</v>
      </c>
      <c r="G496" s="1" t="s">
        <v>4027</v>
      </c>
      <c r="H496" s="1"/>
      <c r="I496" s="2">
        <v>6.2499999999999995E-3</v>
      </c>
      <c r="J496" s="176">
        <v>1.0416666666666667E-4</v>
      </c>
      <c r="K496" s="6">
        <v>9</v>
      </c>
      <c r="L496" t="s">
        <v>101</v>
      </c>
      <c r="M496" t="s">
        <v>325</v>
      </c>
      <c r="N496" t="s">
        <v>102</v>
      </c>
      <c r="O496" t="s">
        <v>115</v>
      </c>
      <c r="P496">
        <v>0</v>
      </c>
      <c r="Q496">
        <v>0</v>
      </c>
      <c r="R496">
        <v>0</v>
      </c>
      <c r="T496" s="5" t="s">
        <v>115</v>
      </c>
      <c r="U496" s="5" t="s">
        <v>115</v>
      </c>
      <c r="V496" s="5" t="s">
        <v>115</v>
      </c>
      <c r="W496" s="5"/>
      <c r="X496" s="5"/>
      <c r="Y496" s="5"/>
      <c r="Z496" s="5" t="s">
        <v>115</v>
      </c>
      <c r="AA496" s="5" t="s">
        <v>115</v>
      </c>
      <c r="AB496" s="5" t="s">
        <v>115</v>
      </c>
      <c r="AC496" s="5" t="s">
        <v>115</v>
      </c>
      <c r="AD496" s="5" t="s">
        <v>115</v>
      </c>
      <c r="AE496" s="5" t="s">
        <v>115</v>
      </c>
      <c r="AF496" s="5" t="s">
        <v>115</v>
      </c>
      <c r="AG496" s="5"/>
      <c r="AH496">
        <v>0</v>
      </c>
      <c r="AI496">
        <v>0</v>
      </c>
      <c r="AJ496">
        <v>0</v>
      </c>
      <c r="AK496">
        <v>0</v>
      </c>
      <c r="AL496">
        <v>9</v>
      </c>
      <c r="AM496">
        <f t="shared" si="7"/>
        <v>9</v>
      </c>
      <c r="AN496" t="s">
        <v>188</v>
      </c>
    </row>
    <row r="497" spans="1:43" x14ac:dyDescent="0.2">
      <c r="A497" t="s">
        <v>3194</v>
      </c>
      <c r="B497" t="s">
        <v>3195</v>
      </c>
      <c r="C497">
        <v>5</v>
      </c>
      <c r="D497">
        <v>1</v>
      </c>
      <c r="E497" t="s">
        <v>2487</v>
      </c>
      <c r="F497" s="1">
        <v>43572</v>
      </c>
      <c r="G497" s="1" t="s">
        <v>4027</v>
      </c>
      <c r="H497" s="1"/>
      <c r="I497" s="2">
        <v>6.2499999999999995E-3</v>
      </c>
      <c r="J497" s="176">
        <v>1.0416666666666667E-4</v>
      </c>
      <c r="K497" s="6">
        <v>9</v>
      </c>
      <c r="L497" t="s">
        <v>3187</v>
      </c>
      <c r="M497" t="s">
        <v>2488</v>
      </c>
      <c r="N497" t="s">
        <v>102</v>
      </c>
      <c r="O497" t="s">
        <v>115</v>
      </c>
      <c r="P497">
        <v>1</v>
      </c>
      <c r="Q497">
        <v>0</v>
      </c>
      <c r="R497">
        <v>0</v>
      </c>
      <c r="S497" t="s">
        <v>14</v>
      </c>
      <c r="T497" s="5" t="s">
        <v>14</v>
      </c>
      <c r="U497" s="5" t="s">
        <v>122</v>
      </c>
      <c r="V497" s="5" t="s">
        <v>115</v>
      </c>
      <c r="W497" s="5"/>
      <c r="X497" s="5"/>
      <c r="Y497" s="5"/>
      <c r="Z497" s="5" t="s">
        <v>115</v>
      </c>
      <c r="AA497" s="5" t="s">
        <v>115</v>
      </c>
      <c r="AB497" s="5" t="s">
        <v>115</v>
      </c>
      <c r="AC497" s="5" t="s">
        <v>115</v>
      </c>
      <c r="AD497" s="5" t="s">
        <v>115</v>
      </c>
      <c r="AE497" s="5" t="s">
        <v>115</v>
      </c>
      <c r="AF497" s="5" t="s">
        <v>115</v>
      </c>
      <c r="AG497" s="5"/>
      <c r="AH497">
        <v>0</v>
      </c>
      <c r="AI497">
        <v>0</v>
      </c>
      <c r="AJ497">
        <v>0</v>
      </c>
      <c r="AK497">
        <v>0</v>
      </c>
      <c r="AL497">
        <v>9</v>
      </c>
      <c r="AM497">
        <f t="shared" si="7"/>
        <v>9</v>
      </c>
    </row>
    <row r="498" spans="1:43" x14ac:dyDescent="0.2">
      <c r="A498" t="s">
        <v>2018</v>
      </c>
      <c r="B498" t="s">
        <v>3439</v>
      </c>
      <c r="C498">
        <v>6</v>
      </c>
      <c r="D498">
        <v>1</v>
      </c>
      <c r="E498" t="s">
        <v>2601</v>
      </c>
      <c r="F498" s="1">
        <v>43579</v>
      </c>
      <c r="G498" s="1" t="s">
        <v>4027</v>
      </c>
      <c r="H498" s="1"/>
      <c r="I498" s="2">
        <v>9.7222222222222224E-3</v>
      </c>
      <c r="J498" s="176">
        <v>1.6203703703703703E-4</v>
      </c>
      <c r="K498" s="6">
        <v>14</v>
      </c>
      <c r="L498" t="s">
        <v>101</v>
      </c>
      <c r="M498" t="s">
        <v>173</v>
      </c>
      <c r="N498" t="s">
        <v>102</v>
      </c>
      <c r="O498" t="s">
        <v>23</v>
      </c>
      <c r="P498">
        <v>1</v>
      </c>
      <c r="Q498">
        <v>0</v>
      </c>
      <c r="R498">
        <v>0</v>
      </c>
      <c r="S498" t="s">
        <v>176</v>
      </c>
      <c r="T498" s="5" t="s">
        <v>24</v>
      </c>
      <c r="U498" s="5" t="s">
        <v>1940</v>
      </c>
      <c r="V498" s="5" t="s">
        <v>115</v>
      </c>
      <c r="W498" s="5"/>
      <c r="X498" s="5"/>
      <c r="Y498" s="5"/>
      <c r="Z498" s="5" t="s">
        <v>115</v>
      </c>
      <c r="AA498" s="5" t="s">
        <v>115</v>
      </c>
      <c r="AB498" s="5" t="s">
        <v>115</v>
      </c>
      <c r="AC498" s="5" t="s">
        <v>115</v>
      </c>
      <c r="AD498" s="5" t="s">
        <v>115</v>
      </c>
      <c r="AE498" s="5" t="s">
        <v>115</v>
      </c>
      <c r="AF498" s="5" t="s">
        <v>115</v>
      </c>
      <c r="AG498" s="5" t="s">
        <v>115</v>
      </c>
      <c r="AH498">
        <v>9</v>
      </c>
      <c r="AI498">
        <v>0</v>
      </c>
      <c r="AJ498">
        <v>9</v>
      </c>
      <c r="AK498">
        <v>0</v>
      </c>
      <c r="AL498">
        <v>0</v>
      </c>
      <c r="AM498">
        <f t="shared" si="7"/>
        <v>9</v>
      </c>
      <c r="AN498" t="s">
        <v>16</v>
      </c>
      <c r="AP498">
        <v>0</v>
      </c>
      <c r="AQ498">
        <v>1</v>
      </c>
    </row>
    <row r="499" spans="1:43" x14ac:dyDescent="0.2">
      <c r="A499" t="s">
        <v>2528</v>
      </c>
      <c r="B499" t="s">
        <v>2529</v>
      </c>
      <c r="C499">
        <v>18</v>
      </c>
      <c r="D499">
        <v>1</v>
      </c>
      <c r="E499" t="s">
        <v>2487</v>
      </c>
      <c r="F499" s="1">
        <v>43549</v>
      </c>
      <c r="G499" s="1" t="s">
        <v>4026</v>
      </c>
      <c r="H499" s="1"/>
      <c r="I499" s="2">
        <v>6.2499999999999995E-3</v>
      </c>
      <c r="J499" s="176">
        <v>1.0416666666666667E-4</v>
      </c>
      <c r="K499" s="6">
        <v>9</v>
      </c>
      <c r="L499" s="5" t="s">
        <v>640</v>
      </c>
      <c r="M499" t="s">
        <v>2488</v>
      </c>
      <c r="N499" t="s">
        <v>102</v>
      </c>
      <c r="O499" t="s">
        <v>516</v>
      </c>
      <c r="P499" t="s">
        <v>24</v>
      </c>
      <c r="Q499" t="s">
        <v>24</v>
      </c>
      <c r="R499" t="s">
        <v>176</v>
      </c>
      <c r="T499" t="s">
        <v>115</v>
      </c>
      <c r="U499" t="s">
        <v>115</v>
      </c>
      <c r="V499" t="s">
        <v>115</v>
      </c>
      <c r="Z499" t="s">
        <v>115</v>
      </c>
      <c r="AA499" t="s">
        <v>115</v>
      </c>
      <c r="AB499" t="s">
        <v>115</v>
      </c>
      <c r="AC499" t="s">
        <v>115</v>
      </c>
      <c r="AD499" t="s">
        <v>115</v>
      </c>
      <c r="AH499">
        <v>9</v>
      </c>
      <c r="AI499">
        <v>0</v>
      </c>
      <c r="AJ499">
        <v>9</v>
      </c>
      <c r="AK499">
        <v>0</v>
      </c>
      <c r="AL499">
        <v>0</v>
      </c>
      <c r="AM499">
        <f t="shared" si="7"/>
        <v>9</v>
      </c>
      <c r="AN499" t="s">
        <v>188</v>
      </c>
    </row>
    <row r="500" spans="1:43" x14ac:dyDescent="0.2">
      <c r="A500" t="s">
        <v>2385</v>
      </c>
      <c r="B500" t="s">
        <v>2386</v>
      </c>
      <c r="C500">
        <v>16</v>
      </c>
      <c r="D500">
        <v>1</v>
      </c>
      <c r="E500" t="s">
        <v>2343</v>
      </c>
      <c r="F500" s="1">
        <v>43544</v>
      </c>
      <c r="G500" s="1" t="s">
        <v>4026</v>
      </c>
      <c r="H500" s="1"/>
      <c r="I500" s="2">
        <v>6.9444444444444441E-3</v>
      </c>
      <c r="J500" s="176">
        <v>1.1574074074074073E-4</v>
      </c>
      <c r="K500" s="6">
        <v>10</v>
      </c>
      <c r="L500" t="s">
        <v>101</v>
      </c>
      <c r="M500" t="s">
        <v>2927</v>
      </c>
      <c r="N500" t="s">
        <v>102</v>
      </c>
      <c r="O500" t="s">
        <v>115</v>
      </c>
      <c r="P500" t="s">
        <v>24</v>
      </c>
      <c r="Q500">
        <v>0</v>
      </c>
      <c r="R500">
        <v>0</v>
      </c>
      <c r="T500" t="s">
        <v>24</v>
      </c>
      <c r="U500" t="s">
        <v>115</v>
      </c>
      <c r="V500" t="s">
        <v>115</v>
      </c>
      <c r="Z500" t="s">
        <v>115</v>
      </c>
      <c r="AA500" t="s">
        <v>115</v>
      </c>
      <c r="AB500" s="5" t="s">
        <v>115</v>
      </c>
      <c r="AC500" s="5" t="s">
        <v>115</v>
      </c>
      <c r="AD500" s="5" t="s">
        <v>115</v>
      </c>
      <c r="AE500" s="5"/>
      <c r="AF500" s="5"/>
      <c r="AG500" s="5"/>
      <c r="AH500">
        <v>4</v>
      </c>
      <c r="AI500">
        <v>0</v>
      </c>
      <c r="AJ500">
        <v>0</v>
      </c>
      <c r="AK500">
        <v>4</v>
      </c>
      <c r="AL500">
        <v>5</v>
      </c>
      <c r="AM500">
        <f t="shared" si="7"/>
        <v>9</v>
      </c>
      <c r="AN500" t="s">
        <v>2374</v>
      </c>
      <c r="AP500">
        <v>1</v>
      </c>
      <c r="AQ500">
        <v>0</v>
      </c>
    </row>
    <row r="501" spans="1:43" x14ac:dyDescent="0.2">
      <c r="A501" t="s">
        <v>2946</v>
      </c>
      <c r="B501" t="s">
        <v>2947</v>
      </c>
      <c r="C501">
        <v>9</v>
      </c>
      <c r="D501">
        <v>1</v>
      </c>
      <c r="E501" t="s">
        <v>834</v>
      </c>
      <c r="F501" s="1">
        <v>43560</v>
      </c>
      <c r="G501" s="1" t="s">
        <v>4027</v>
      </c>
      <c r="H501" s="1"/>
      <c r="I501" s="2">
        <v>6.2499999999999995E-3</v>
      </c>
      <c r="J501" s="176">
        <v>1.0416666666666667E-4</v>
      </c>
      <c r="K501" s="6">
        <v>9</v>
      </c>
      <c r="M501" t="s">
        <v>466</v>
      </c>
      <c r="N501" t="s">
        <v>102</v>
      </c>
      <c r="O501" t="s">
        <v>115</v>
      </c>
      <c r="P501" t="s">
        <v>24</v>
      </c>
      <c r="Q501">
        <v>0</v>
      </c>
      <c r="R501">
        <v>0</v>
      </c>
      <c r="T501" s="5" t="s">
        <v>115</v>
      </c>
      <c r="U501" s="5" t="s">
        <v>115</v>
      </c>
      <c r="V501" s="5" t="s">
        <v>115</v>
      </c>
      <c r="W501" s="5"/>
      <c r="X501" s="5"/>
      <c r="Y501" s="5"/>
      <c r="Z501" s="5" t="s">
        <v>115</v>
      </c>
      <c r="AA501" s="5" t="s">
        <v>115</v>
      </c>
      <c r="AB501" s="5" t="s">
        <v>115</v>
      </c>
      <c r="AC501" s="5" t="s">
        <v>115</v>
      </c>
      <c r="AD501" s="5" t="s">
        <v>115</v>
      </c>
      <c r="AE501" s="5" t="s">
        <v>115</v>
      </c>
      <c r="AF501" s="5" t="s">
        <v>115</v>
      </c>
      <c r="AG501" s="5"/>
      <c r="AH501">
        <v>0</v>
      </c>
      <c r="AI501">
        <v>0</v>
      </c>
      <c r="AJ501">
        <v>0</v>
      </c>
      <c r="AK501">
        <v>0</v>
      </c>
      <c r="AL501">
        <v>9</v>
      </c>
      <c r="AM501">
        <f t="shared" si="7"/>
        <v>9</v>
      </c>
      <c r="AN501" t="s">
        <v>188</v>
      </c>
    </row>
    <row r="502" spans="1:43" x14ac:dyDescent="0.2">
      <c r="A502" t="s">
        <v>3063</v>
      </c>
      <c r="B502" t="s">
        <v>3064</v>
      </c>
      <c r="C502">
        <v>6</v>
      </c>
      <c r="D502">
        <v>1</v>
      </c>
      <c r="E502" t="s">
        <v>176</v>
      </c>
      <c r="F502" s="1">
        <v>43566</v>
      </c>
      <c r="G502" s="1" t="s">
        <v>4027</v>
      </c>
      <c r="H502" s="1"/>
      <c r="I502" s="2">
        <v>6.2499999999999995E-3</v>
      </c>
      <c r="J502" s="176">
        <v>1.0416666666666667E-4</v>
      </c>
      <c r="K502" s="6">
        <v>9</v>
      </c>
      <c r="M502" t="s">
        <v>3051</v>
      </c>
      <c r="N502" t="s">
        <v>102</v>
      </c>
      <c r="O502" t="s">
        <v>23</v>
      </c>
      <c r="P502" t="s">
        <v>24</v>
      </c>
      <c r="Q502" t="s">
        <v>24</v>
      </c>
      <c r="R502">
        <v>0</v>
      </c>
      <c r="T502" s="5" t="s">
        <v>115</v>
      </c>
      <c r="U502" s="5" t="s">
        <v>115</v>
      </c>
      <c r="V502" s="5" t="s">
        <v>115</v>
      </c>
      <c r="W502" s="5"/>
      <c r="X502" s="5"/>
      <c r="Y502" s="5"/>
      <c r="Z502" s="5" t="s">
        <v>115</v>
      </c>
      <c r="AA502" s="5" t="s">
        <v>115</v>
      </c>
      <c r="AB502" s="5" t="s">
        <v>115</v>
      </c>
      <c r="AC502" s="5" t="s">
        <v>115</v>
      </c>
      <c r="AD502" s="5" t="s">
        <v>115</v>
      </c>
      <c r="AE502" s="5" t="s">
        <v>115</v>
      </c>
      <c r="AF502" s="5" t="s">
        <v>115</v>
      </c>
      <c r="AG502" s="5"/>
      <c r="AH502">
        <v>0</v>
      </c>
      <c r="AI502">
        <v>9</v>
      </c>
      <c r="AJ502">
        <v>0</v>
      </c>
      <c r="AK502">
        <v>9</v>
      </c>
      <c r="AL502">
        <v>0</v>
      </c>
      <c r="AM502">
        <f t="shared" si="7"/>
        <v>9</v>
      </c>
      <c r="AN502" t="s">
        <v>188</v>
      </c>
    </row>
    <row r="503" spans="1:43" x14ac:dyDescent="0.2">
      <c r="A503" t="s">
        <v>3132</v>
      </c>
      <c r="B503" t="s">
        <v>3135</v>
      </c>
      <c r="C503">
        <v>19</v>
      </c>
      <c r="D503">
        <v>1</v>
      </c>
      <c r="E503" t="s">
        <v>324</v>
      </c>
      <c r="F503" s="1">
        <v>43570</v>
      </c>
      <c r="G503" s="1" t="s">
        <v>4027</v>
      </c>
      <c r="H503" s="1"/>
      <c r="I503" s="2">
        <v>1.5277777777777777E-2</v>
      </c>
      <c r="J503" s="176">
        <v>2.5462962962962961E-4</v>
      </c>
      <c r="K503" s="6">
        <v>22</v>
      </c>
      <c r="L503" t="s">
        <v>101</v>
      </c>
      <c r="M503" t="s">
        <v>325</v>
      </c>
      <c r="N503" t="s">
        <v>102</v>
      </c>
      <c r="O503" t="s">
        <v>115</v>
      </c>
      <c r="P503" t="s">
        <v>24</v>
      </c>
      <c r="Q503">
        <v>0</v>
      </c>
      <c r="R503">
        <v>0</v>
      </c>
      <c r="T503" s="5" t="s">
        <v>115</v>
      </c>
      <c r="U503" s="5" t="s">
        <v>115</v>
      </c>
      <c r="V503" s="5" t="s">
        <v>115</v>
      </c>
      <c r="W503" s="5"/>
      <c r="X503" s="5"/>
      <c r="Y503" s="5"/>
      <c r="Z503" s="5" t="s">
        <v>115</v>
      </c>
      <c r="AA503" s="5" t="s">
        <v>115</v>
      </c>
      <c r="AB503" s="5" t="s">
        <v>115</v>
      </c>
      <c r="AC503" s="5" t="s">
        <v>115</v>
      </c>
      <c r="AD503" s="5" t="s">
        <v>115</v>
      </c>
      <c r="AE503" s="5" t="s">
        <v>115</v>
      </c>
      <c r="AF503" s="5" t="s">
        <v>115</v>
      </c>
      <c r="AG503" s="5"/>
      <c r="AH503">
        <v>0</v>
      </c>
      <c r="AI503">
        <v>0</v>
      </c>
      <c r="AJ503">
        <v>0</v>
      </c>
      <c r="AK503">
        <v>0</v>
      </c>
      <c r="AL503">
        <v>9</v>
      </c>
      <c r="AM503">
        <f t="shared" si="7"/>
        <v>9</v>
      </c>
      <c r="AN503" t="s">
        <v>188</v>
      </c>
    </row>
    <row r="504" spans="1:43" x14ac:dyDescent="0.2">
      <c r="A504" t="s">
        <v>3674</v>
      </c>
      <c r="B504" t="s">
        <v>3673</v>
      </c>
      <c r="C504">
        <v>20</v>
      </c>
      <c r="D504">
        <v>1</v>
      </c>
      <c r="E504" t="s">
        <v>2487</v>
      </c>
      <c r="F504" s="1">
        <v>43585</v>
      </c>
      <c r="G504" s="1" t="s">
        <v>4027</v>
      </c>
      <c r="H504" s="1"/>
      <c r="I504" s="2">
        <v>7.6388888888888886E-3</v>
      </c>
      <c r="J504" s="176">
        <v>1.273148148148148E-4</v>
      </c>
      <c r="K504" s="6">
        <v>11</v>
      </c>
      <c r="L504" t="s">
        <v>3626</v>
      </c>
      <c r="M504" t="s">
        <v>2488</v>
      </c>
      <c r="N504" t="s">
        <v>102</v>
      </c>
      <c r="O504" t="s">
        <v>23</v>
      </c>
      <c r="P504" t="s">
        <v>24</v>
      </c>
      <c r="Q504">
        <v>0</v>
      </c>
      <c r="R504">
        <v>0</v>
      </c>
      <c r="T504" s="5" t="s">
        <v>115</v>
      </c>
      <c r="U504" s="5" t="s">
        <v>115</v>
      </c>
      <c r="V504" s="5" t="s">
        <v>115</v>
      </c>
      <c r="W504" s="5"/>
      <c r="X504" s="5"/>
      <c r="Y504" s="5"/>
      <c r="Z504" s="5" t="s">
        <v>115</v>
      </c>
      <c r="AA504" s="5" t="s">
        <v>115</v>
      </c>
      <c r="AB504" s="5" t="s">
        <v>115</v>
      </c>
      <c r="AC504" s="5" t="s">
        <v>115</v>
      </c>
      <c r="AD504" s="5" t="s">
        <v>115</v>
      </c>
      <c r="AE504" s="5" t="s">
        <v>115</v>
      </c>
      <c r="AF504" s="5" t="s">
        <v>115</v>
      </c>
      <c r="AG504" s="5" t="s">
        <v>115</v>
      </c>
      <c r="AH504">
        <v>0</v>
      </c>
      <c r="AI504">
        <v>9</v>
      </c>
      <c r="AJ504">
        <v>0</v>
      </c>
      <c r="AK504">
        <v>9</v>
      </c>
      <c r="AL504">
        <v>0</v>
      </c>
      <c r="AM504">
        <f t="shared" si="7"/>
        <v>9</v>
      </c>
      <c r="AN504" t="s">
        <v>3666</v>
      </c>
    </row>
    <row r="505" spans="1:43" x14ac:dyDescent="0.2">
      <c r="A505" t="s">
        <v>2442</v>
      </c>
      <c r="B505" t="s">
        <v>2443</v>
      </c>
      <c r="C505">
        <v>10</v>
      </c>
      <c r="D505">
        <v>1</v>
      </c>
      <c r="E505" t="s">
        <v>2420</v>
      </c>
      <c r="F505" s="1">
        <v>43546</v>
      </c>
      <c r="G505" s="1" t="s">
        <v>4026</v>
      </c>
      <c r="H505" s="1"/>
      <c r="I505" s="2">
        <v>2.7777777777777776E-2</v>
      </c>
      <c r="J505" s="176">
        <v>4.6296296296296293E-4</v>
      </c>
      <c r="K505" s="6">
        <v>40</v>
      </c>
      <c r="L505" t="s">
        <v>101</v>
      </c>
      <c r="M505" t="s">
        <v>241</v>
      </c>
      <c r="N505" t="s">
        <v>102</v>
      </c>
      <c r="O505" t="s">
        <v>115</v>
      </c>
      <c r="P505">
        <v>1</v>
      </c>
      <c r="Q505">
        <v>0</v>
      </c>
      <c r="R505">
        <v>0</v>
      </c>
      <c r="S505" t="s">
        <v>176</v>
      </c>
      <c r="T505" t="s">
        <v>24</v>
      </c>
      <c r="U505" t="s">
        <v>122</v>
      </c>
      <c r="V505" t="s">
        <v>115</v>
      </c>
      <c r="Z505" t="s">
        <v>115</v>
      </c>
      <c r="AA505" t="s">
        <v>115</v>
      </c>
      <c r="AB505" t="s">
        <v>115</v>
      </c>
      <c r="AC505" t="s">
        <v>115</v>
      </c>
      <c r="AD505" t="s">
        <v>115</v>
      </c>
      <c r="AH505">
        <v>0</v>
      </c>
      <c r="AI505">
        <v>0</v>
      </c>
      <c r="AJ505">
        <v>0</v>
      </c>
      <c r="AK505">
        <v>0</v>
      </c>
      <c r="AL505">
        <v>8</v>
      </c>
      <c r="AM505">
        <f t="shared" si="7"/>
        <v>8</v>
      </c>
      <c r="AN505" t="s">
        <v>188</v>
      </c>
    </row>
    <row r="506" spans="1:43" x14ac:dyDescent="0.2">
      <c r="A506" t="s">
        <v>2444</v>
      </c>
      <c r="B506" t="s">
        <v>2445</v>
      </c>
      <c r="C506">
        <v>11</v>
      </c>
      <c r="D506">
        <v>1</v>
      </c>
      <c r="E506" t="s">
        <v>2420</v>
      </c>
      <c r="F506" s="1">
        <v>43546</v>
      </c>
      <c r="G506" s="1" t="s">
        <v>4026</v>
      </c>
      <c r="H506" s="1"/>
      <c r="I506" s="2">
        <v>5.5555555555555558E-3</v>
      </c>
      <c r="J506" s="176">
        <v>9.2592592592592588E-5</v>
      </c>
      <c r="K506" s="6">
        <v>8</v>
      </c>
      <c r="L506" t="s">
        <v>101</v>
      </c>
      <c r="M506" t="s">
        <v>241</v>
      </c>
      <c r="N506" t="s">
        <v>102</v>
      </c>
      <c r="O506" t="s">
        <v>115</v>
      </c>
      <c r="P506">
        <v>0</v>
      </c>
      <c r="Q506">
        <v>0</v>
      </c>
      <c r="R506">
        <v>0</v>
      </c>
      <c r="T506" t="s">
        <v>115</v>
      </c>
      <c r="U506" t="s">
        <v>115</v>
      </c>
      <c r="V506" t="s">
        <v>115</v>
      </c>
      <c r="Z506" t="s">
        <v>115</v>
      </c>
      <c r="AA506" t="s">
        <v>115</v>
      </c>
      <c r="AB506" t="s">
        <v>115</v>
      </c>
      <c r="AC506" t="s">
        <v>115</v>
      </c>
      <c r="AD506" t="s">
        <v>115</v>
      </c>
      <c r="AH506">
        <v>0</v>
      </c>
      <c r="AI506">
        <v>0</v>
      </c>
      <c r="AJ506">
        <v>0</v>
      </c>
      <c r="AK506">
        <v>0</v>
      </c>
      <c r="AL506">
        <v>8</v>
      </c>
      <c r="AM506">
        <f t="shared" si="7"/>
        <v>8</v>
      </c>
      <c r="AN506" t="s">
        <v>188</v>
      </c>
    </row>
    <row r="507" spans="1:43" x14ac:dyDescent="0.2">
      <c r="A507" t="s">
        <v>2866</v>
      </c>
      <c r="B507" t="s">
        <v>2867</v>
      </c>
      <c r="C507">
        <v>5</v>
      </c>
      <c r="D507">
        <v>1</v>
      </c>
      <c r="E507" t="s">
        <v>324</v>
      </c>
      <c r="F507" s="1">
        <v>43558</v>
      </c>
      <c r="G507" s="1" t="s">
        <v>4027</v>
      </c>
      <c r="H507" s="1"/>
      <c r="I507" s="2">
        <v>5.5555555555555558E-3</v>
      </c>
      <c r="J507" s="176">
        <v>9.2592592592592588E-5</v>
      </c>
      <c r="K507" s="6">
        <v>8</v>
      </c>
      <c r="M507" t="s">
        <v>325</v>
      </c>
      <c r="N507" t="s">
        <v>102</v>
      </c>
      <c r="O507" t="s">
        <v>23</v>
      </c>
      <c r="P507">
        <v>0</v>
      </c>
      <c r="Q507">
        <v>0</v>
      </c>
      <c r="R507">
        <v>0</v>
      </c>
      <c r="T507" s="5" t="s">
        <v>115</v>
      </c>
      <c r="U507" s="5" t="s">
        <v>115</v>
      </c>
      <c r="V507" s="5" t="s">
        <v>115</v>
      </c>
      <c r="W507" s="5"/>
      <c r="X507" s="5"/>
      <c r="Y507" s="5"/>
      <c r="Z507" s="5" t="s">
        <v>115</v>
      </c>
      <c r="AA507" s="5" t="s">
        <v>115</v>
      </c>
      <c r="AB507" s="5" t="s">
        <v>115</v>
      </c>
      <c r="AC507" s="5" t="s">
        <v>115</v>
      </c>
      <c r="AD507" s="5" t="s">
        <v>115</v>
      </c>
      <c r="AE507" s="5" t="s">
        <v>115</v>
      </c>
      <c r="AF507" s="5" t="s">
        <v>115</v>
      </c>
      <c r="AG507" s="5"/>
      <c r="AH507">
        <v>8</v>
      </c>
      <c r="AI507">
        <v>0</v>
      </c>
      <c r="AJ507">
        <v>0</v>
      </c>
      <c r="AK507">
        <v>8</v>
      </c>
      <c r="AL507">
        <v>0</v>
      </c>
      <c r="AM507">
        <f t="shared" si="7"/>
        <v>8</v>
      </c>
      <c r="AN507" t="s">
        <v>188</v>
      </c>
    </row>
    <row r="508" spans="1:43" x14ac:dyDescent="0.2">
      <c r="A508" t="s">
        <v>3087</v>
      </c>
      <c r="B508" t="s">
        <v>3088</v>
      </c>
      <c r="C508">
        <v>8</v>
      </c>
      <c r="D508">
        <v>1</v>
      </c>
      <c r="E508" t="s">
        <v>2601</v>
      </c>
      <c r="F508" s="1">
        <v>43570</v>
      </c>
      <c r="G508" s="1" t="s">
        <v>4027</v>
      </c>
      <c r="H508" s="1"/>
      <c r="I508" s="2">
        <v>5.5555555555555558E-3</v>
      </c>
      <c r="J508" s="176">
        <v>9.2592592592592588E-5</v>
      </c>
      <c r="K508" s="6">
        <v>8</v>
      </c>
      <c r="L508" t="s">
        <v>101</v>
      </c>
      <c r="M508" t="s">
        <v>177</v>
      </c>
      <c r="N508" t="s">
        <v>102</v>
      </c>
      <c r="O508" t="s">
        <v>115</v>
      </c>
      <c r="P508">
        <v>1</v>
      </c>
      <c r="Q508">
        <v>0</v>
      </c>
      <c r="R508">
        <v>0</v>
      </c>
      <c r="S508" t="s">
        <v>598</v>
      </c>
      <c r="T508" s="5" t="s">
        <v>3089</v>
      </c>
      <c r="U508" s="5" t="s">
        <v>122</v>
      </c>
      <c r="V508" s="5" t="s">
        <v>115</v>
      </c>
      <c r="W508" s="5"/>
      <c r="X508" s="5"/>
      <c r="Y508" s="5"/>
      <c r="Z508" s="5" t="s">
        <v>115</v>
      </c>
      <c r="AA508" s="5" t="s">
        <v>115</v>
      </c>
      <c r="AB508" s="5" t="s">
        <v>115</v>
      </c>
      <c r="AC508" s="5" t="s">
        <v>115</v>
      </c>
      <c r="AD508" s="5" t="s">
        <v>115</v>
      </c>
      <c r="AE508" s="5" t="s">
        <v>115</v>
      </c>
      <c r="AF508" s="5" t="s">
        <v>115</v>
      </c>
      <c r="AG508" s="5"/>
      <c r="AH508">
        <v>0</v>
      </c>
      <c r="AI508">
        <v>0</v>
      </c>
      <c r="AJ508">
        <v>0</v>
      </c>
      <c r="AK508">
        <v>0</v>
      </c>
      <c r="AL508">
        <v>8</v>
      </c>
      <c r="AM508">
        <f t="shared" si="7"/>
        <v>8</v>
      </c>
    </row>
    <row r="509" spans="1:43" x14ac:dyDescent="0.2">
      <c r="A509" t="s">
        <v>3695</v>
      </c>
      <c r="B509" t="s">
        <v>3696</v>
      </c>
      <c r="C509">
        <v>5</v>
      </c>
      <c r="D509">
        <v>1</v>
      </c>
      <c r="E509" t="s">
        <v>3171</v>
      </c>
      <c r="F509" s="1">
        <v>43585</v>
      </c>
      <c r="G509" s="1" t="s">
        <v>4027</v>
      </c>
      <c r="H509" s="1"/>
      <c r="I509" s="2">
        <v>5.5555555555555558E-3</v>
      </c>
      <c r="J509" s="176">
        <v>9.2592592592592588E-5</v>
      </c>
      <c r="K509" s="6">
        <v>8</v>
      </c>
      <c r="L509" t="s">
        <v>3626</v>
      </c>
      <c r="M509" t="s">
        <v>149</v>
      </c>
      <c r="N509" t="s">
        <v>102</v>
      </c>
      <c r="O509" t="s">
        <v>115</v>
      </c>
      <c r="P509">
        <v>0</v>
      </c>
      <c r="Q509">
        <v>0</v>
      </c>
      <c r="R509">
        <v>0</v>
      </c>
      <c r="T509" s="5" t="s">
        <v>115</v>
      </c>
      <c r="U509" s="5" t="s">
        <v>115</v>
      </c>
      <c r="V509" s="5" t="s">
        <v>115</v>
      </c>
      <c r="W509" s="5"/>
      <c r="X509" s="5"/>
      <c r="Y509" s="5"/>
      <c r="Z509" s="5" t="s">
        <v>115</v>
      </c>
      <c r="AA509" s="5" t="s">
        <v>115</v>
      </c>
      <c r="AB509" s="5" t="s">
        <v>115</v>
      </c>
      <c r="AC509" s="5" t="s">
        <v>115</v>
      </c>
      <c r="AD509" s="5" t="s">
        <v>115</v>
      </c>
      <c r="AE509" s="5" t="s">
        <v>115</v>
      </c>
      <c r="AF509" s="5" t="s">
        <v>115</v>
      </c>
      <c r="AG509" s="5" t="s">
        <v>115</v>
      </c>
      <c r="AH509">
        <v>0</v>
      </c>
      <c r="AI509">
        <v>0</v>
      </c>
      <c r="AJ509">
        <v>0</v>
      </c>
      <c r="AK509">
        <v>0</v>
      </c>
      <c r="AL509">
        <v>8</v>
      </c>
      <c r="AM509">
        <f t="shared" si="7"/>
        <v>8</v>
      </c>
      <c r="AN509" t="s">
        <v>188</v>
      </c>
    </row>
    <row r="510" spans="1:43" x14ac:dyDescent="0.2">
      <c r="A510" t="s">
        <v>3729</v>
      </c>
      <c r="B510" t="s">
        <v>3730</v>
      </c>
      <c r="C510">
        <v>1</v>
      </c>
      <c r="D510">
        <v>1</v>
      </c>
      <c r="E510" t="s">
        <v>3731</v>
      </c>
      <c r="F510" s="1">
        <v>43587</v>
      </c>
      <c r="G510" s="1" t="s">
        <v>4028</v>
      </c>
      <c r="H510" s="1"/>
      <c r="I510" s="2">
        <v>5.5555555555555558E-3</v>
      </c>
      <c r="J510" s="176">
        <v>9.2592592592592588E-5</v>
      </c>
      <c r="K510" s="6">
        <v>8</v>
      </c>
      <c r="L510" t="s">
        <v>1278</v>
      </c>
      <c r="M510" t="s">
        <v>255</v>
      </c>
      <c r="N510" t="s">
        <v>102</v>
      </c>
      <c r="O510" t="s">
        <v>115</v>
      </c>
      <c r="P510">
        <v>1</v>
      </c>
      <c r="Q510">
        <v>0</v>
      </c>
      <c r="R510">
        <v>0</v>
      </c>
      <c r="S510" t="s">
        <v>176</v>
      </c>
      <c r="T510" s="5" t="s">
        <v>24</v>
      </c>
      <c r="U510" s="5" t="s">
        <v>115</v>
      </c>
      <c r="V510" s="5" t="s">
        <v>115</v>
      </c>
      <c r="W510" s="5"/>
      <c r="X510" s="5"/>
      <c r="Y510" s="5"/>
      <c r="Z510" s="5" t="s">
        <v>115</v>
      </c>
      <c r="AA510" s="5" t="s">
        <v>115</v>
      </c>
      <c r="AB510" s="5" t="s">
        <v>115</v>
      </c>
      <c r="AC510" s="5" t="s">
        <v>115</v>
      </c>
      <c r="AD510" s="5" t="s">
        <v>115</v>
      </c>
      <c r="AE510" s="5" t="s">
        <v>115</v>
      </c>
      <c r="AF510" s="5" t="s">
        <v>115</v>
      </c>
      <c r="AG510" s="5" t="s">
        <v>115</v>
      </c>
      <c r="AH510">
        <v>0</v>
      </c>
      <c r="AI510">
        <v>0</v>
      </c>
      <c r="AJ510">
        <v>0</v>
      </c>
      <c r="AK510">
        <v>0</v>
      </c>
      <c r="AL510">
        <v>8</v>
      </c>
      <c r="AM510">
        <f t="shared" si="7"/>
        <v>8</v>
      </c>
      <c r="AN510" t="s">
        <v>188</v>
      </c>
    </row>
    <row r="511" spans="1:43" x14ac:dyDescent="0.2">
      <c r="A511" t="s">
        <v>2596</v>
      </c>
      <c r="B511" t="s">
        <v>2597</v>
      </c>
      <c r="C511">
        <v>3</v>
      </c>
      <c r="D511">
        <v>1</v>
      </c>
      <c r="E511" t="s">
        <v>791</v>
      </c>
      <c r="F511" s="1">
        <v>43550</v>
      </c>
      <c r="G511" s="1" t="s">
        <v>4026</v>
      </c>
      <c r="H511" s="1"/>
      <c r="I511" s="2">
        <v>1.0416666666666666E-2</v>
      </c>
      <c r="J511" s="176">
        <v>1.7361111111111112E-4</v>
      </c>
      <c r="K511" s="6">
        <v>15</v>
      </c>
      <c r="L511" s="5" t="s">
        <v>2339</v>
      </c>
      <c r="M511" t="s">
        <v>924</v>
      </c>
      <c r="N511" t="s">
        <v>102</v>
      </c>
      <c r="O511" t="s">
        <v>115</v>
      </c>
      <c r="P511" t="s">
        <v>24</v>
      </c>
      <c r="Q511">
        <v>0</v>
      </c>
      <c r="R511">
        <v>0</v>
      </c>
      <c r="T511" t="s">
        <v>115</v>
      </c>
      <c r="U511" t="s">
        <v>115</v>
      </c>
      <c r="V511" t="s">
        <v>115</v>
      </c>
      <c r="Z511" t="s">
        <v>115</v>
      </c>
      <c r="AA511" t="s">
        <v>115</v>
      </c>
      <c r="AB511" t="s">
        <v>115</v>
      </c>
      <c r="AC511" t="s">
        <v>115</v>
      </c>
      <c r="AD511" t="s">
        <v>115</v>
      </c>
      <c r="AH511">
        <v>0</v>
      </c>
      <c r="AI511">
        <v>0</v>
      </c>
      <c r="AJ511">
        <v>0</v>
      </c>
      <c r="AK511">
        <v>0</v>
      </c>
      <c r="AL511">
        <v>8</v>
      </c>
      <c r="AM511">
        <f t="shared" si="7"/>
        <v>8</v>
      </c>
      <c r="AN511" t="s">
        <v>188</v>
      </c>
    </row>
    <row r="512" spans="1:43" x14ac:dyDescent="0.2">
      <c r="A512" t="s">
        <v>2713</v>
      </c>
      <c r="B512" t="s">
        <v>2714</v>
      </c>
      <c r="C512">
        <v>16</v>
      </c>
      <c r="D512">
        <v>1</v>
      </c>
      <c r="E512" t="s">
        <v>324</v>
      </c>
      <c r="F512" s="1">
        <v>43554</v>
      </c>
      <c r="G512" s="1" t="s">
        <v>4026</v>
      </c>
      <c r="H512" s="1"/>
      <c r="I512" s="2">
        <v>5.5555555555555558E-3</v>
      </c>
      <c r="J512" s="176">
        <v>9.2592592592592588E-5</v>
      </c>
      <c r="K512" s="6">
        <v>8</v>
      </c>
      <c r="M512" t="s">
        <v>325</v>
      </c>
      <c r="N512" t="s">
        <v>102</v>
      </c>
      <c r="O512" t="s">
        <v>115</v>
      </c>
      <c r="P512" t="s">
        <v>24</v>
      </c>
      <c r="Q512">
        <v>0</v>
      </c>
      <c r="R512">
        <v>0</v>
      </c>
      <c r="T512" t="s">
        <v>115</v>
      </c>
      <c r="U512" t="s">
        <v>115</v>
      </c>
      <c r="V512" t="s">
        <v>115</v>
      </c>
      <c r="Z512" t="s">
        <v>115</v>
      </c>
      <c r="AA512" t="s">
        <v>115</v>
      </c>
      <c r="AB512" t="s">
        <v>115</v>
      </c>
      <c r="AC512" t="s">
        <v>115</v>
      </c>
      <c r="AD512" t="s">
        <v>115</v>
      </c>
      <c r="AE512" t="s">
        <v>115</v>
      </c>
      <c r="AF512" t="s">
        <v>115</v>
      </c>
      <c r="AH512">
        <v>0</v>
      </c>
      <c r="AI512">
        <v>0</v>
      </c>
      <c r="AJ512">
        <v>0</v>
      </c>
      <c r="AK512">
        <v>0</v>
      </c>
      <c r="AL512">
        <v>8</v>
      </c>
      <c r="AM512">
        <f t="shared" si="7"/>
        <v>8</v>
      </c>
      <c r="AN512" t="s">
        <v>188</v>
      </c>
    </row>
    <row r="513" spans="1:43" x14ac:dyDescent="0.2">
      <c r="A513" t="s">
        <v>3235</v>
      </c>
      <c r="B513" t="s">
        <v>3234</v>
      </c>
      <c r="C513">
        <v>4</v>
      </c>
      <c r="D513">
        <v>1</v>
      </c>
      <c r="E513" t="s">
        <v>791</v>
      </c>
      <c r="F513" s="1">
        <v>43572</v>
      </c>
      <c r="G513" s="1" t="s">
        <v>4027</v>
      </c>
      <c r="H513" s="1"/>
      <c r="I513" s="2">
        <v>7.6388888888888886E-3</v>
      </c>
      <c r="J513" s="176">
        <v>1.273148148148148E-4</v>
      </c>
      <c r="K513" s="6">
        <v>11</v>
      </c>
      <c r="L513" t="s">
        <v>3187</v>
      </c>
      <c r="M513" t="s">
        <v>924</v>
      </c>
      <c r="N513" t="s">
        <v>102</v>
      </c>
      <c r="O513" t="s">
        <v>23</v>
      </c>
      <c r="P513" t="s">
        <v>24</v>
      </c>
      <c r="Q513" t="s">
        <v>24</v>
      </c>
      <c r="R513">
        <v>0</v>
      </c>
      <c r="T513" s="5" t="s">
        <v>115</v>
      </c>
      <c r="U513" s="5" t="s">
        <v>115</v>
      </c>
      <c r="V513" s="5" t="s">
        <v>115</v>
      </c>
      <c r="W513" s="5"/>
      <c r="X513" s="5"/>
      <c r="Y513" s="5"/>
      <c r="Z513" s="5" t="s">
        <v>115</v>
      </c>
      <c r="AA513" s="5" t="s">
        <v>115</v>
      </c>
      <c r="AB513" s="5" t="s">
        <v>115</v>
      </c>
      <c r="AC513" s="5" t="s">
        <v>115</v>
      </c>
      <c r="AD513" s="5" t="s">
        <v>115</v>
      </c>
      <c r="AE513" s="5" t="s">
        <v>115</v>
      </c>
      <c r="AF513" s="5" t="s">
        <v>115</v>
      </c>
      <c r="AG513" s="5" t="s">
        <v>115</v>
      </c>
      <c r="AH513">
        <v>8</v>
      </c>
      <c r="AI513">
        <v>0</v>
      </c>
      <c r="AJ513">
        <v>0</v>
      </c>
      <c r="AK513">
        <v>8</v>
      </c>
      <c r="AL513">
        <v>0</v>
      </c>
      <c r="AM513">
        <f t="shared" si="7"/>
        <v>8</v>
      </c>
      <c r="AN513" t="s">
        <v>165</v>
      </c>
      <c r="AP513">
        <v>1</v>
      </c>
      <c r="AQ513">
        <v>0</v>
      </c>
    </row>
    <row r="514" spans="1:43" x14ac:dyDescent="0.2">
      <c r="A514" t="s">
        <v>3498</v>
      </c>
      <c r="B514" t="s">
        <v>3499</v>
      </c>
      <c r="C514">
        <v>22</v>
      </c>
      <c r="D514">
        <v>1</v>
      </c>
      <c r="E514" t="s">
        <v>2462</v>
      </c>
      <c r="F514" s="1">
        <v>43579</v>
      </c>
      <c r="G514" s="1" t="s">
        <v>4027</v>
      </c>
      <c r="H514" s="1"/>
      <c r="I514" s="2">
        <v>5.5555555555555558E-3</v>
      </c>
      <c r="J514" s="176">
        <v>9.2592592592592588E-5</v>
      </c>
      <c r="K514" s="6">
        <v>8</v>
      </c>
      <c r="L514" t="s">
        <v>101</v>
      </c>
      <c r="M514" t="s">
        <v>363</v>
      </c>
      <c r="N514" t="s">
        <v>102</v>
      </c>
      <c r="O514" t="s">
        <v>115</v>
      </c>
      <c r="P514" t="s">
        <v>24</v>
      </c>
      <c r="Q514">
        <v>0</v>
      </c>
      <c r="R514">
        <v>0</v>
      </c>
      <c r="T514" s="5" t="s">
        <v>115</v>
      </c>
      <c r="U514" s="5" t="s">
        <v>115</v>
      </c>
      <c r="V514" s="5" t="s">
        <v>115</v>
      </c>
      <c r="W514" s="5"/>
      <c r="X514" s="5"/>
      <c r="Y514" s="5"/>
      <c r="Z514" s="5" t="s">
        <v>115</v>
      </c>
      <c r="AA514" s="5" t="s">
        <v>115</v>
      </c>
      <c r="AB514" s="5" t="s">
        <v>115</v>
      </c>
      <c r="AC514" s="5" t="s">
        <v>115</v>
      </c>
      <c r="AD514" s="5" t="s">
        <v>115</v>
      </c>
      <c r="AE514" s="5" t="s">
        <v>115</v>
      </c>
      <c r="AF514" s="5" t="s">
        <v>115</v>
      </c>
      <c r="AG514" s="5" t="s">
        <v>115</v>
      </c>
      <c r="AH514">
        <v>0</v>
      </c>
      <c r="AI514">
        <v>0</v>
      </c>
      <c r="AJ514">
        <v>0</v>
      </c>
      <c r="AK514">
        <v>0</v>
      </c>
      <c r="AL514">
        <v>8</v>
      </c>
      <c r="AM514">
        <f t="shared" ref="AM514:AM577" si="8">SUM(AH514+AI514+AL514)</f>
        <v>8</v>
      </c>
      <c r="AN514" t="s">
        <v>188</v>
      </c>
    </row>
    <row r="515" spans="1:43" x14ac:dyDescent="0.2">
      <c r="A515" t="s">
        <v>3709</v>
      </c>
      <c r="B515" t="s">
        <v>3710</v>
      </c>
      <c r="C515">
        <v>12</v>
      </c>
      <c r="D515">
        <v>1</v>
      </c>
      <c r="E515" t="s">
        <v>3171</v>
      </c>
      <c r="F515" s="1">
        <v>43585</v>
      </c>
      <c r="G515" s="1" t="s">
        <v>4027</v>
      </c>
      <c r="H515" s="1" t="s">
        <v>4752</v>
      </c>
      <c r="I515" s="2">
        <v>1.4583333333333332E-2</v>
      </c>
      <c r="J515" s="176">
        <v>2.4305555555555552E-4</v>
      </c>
      <c r="K515" s="6">
        <v>21</v>
      </c>
      <c r="L515" t="s">
        <v>3626</v>
      </c>
      <c r="M515" t="s">
        <v>670</v>
      </c>
      <c r="N515" t="s">
        <v>102</v>
      </c>
      <c r="O515" t="s">
        <v>23</v>
      </c>
      <c r="P515" t="s">
        <v>24</v>
      </c>
      <c r="Q515">
        <v>0</v>
      </c>
      <c r="R515">
        <v>0</v>
      </c>
      <c r="T515" s="5" t="s">
        <v>115</v>
      </c>
      <c r="U515" s="5" t="s">
        <v>115</v>
      </c>
      <c r="V515" s="5" t="s">
        <v>115</v>
      </c>
      <c r="W515" s="5"/>
      <c r="X515" s="5"/>
      <c r="Y515" s="5"/>
      <c r="Z515" s="5" t="s">
        <v>115</v>
      </c>
      <c r="AA515" s="5" t="s">
        <v>115</v>
      </c>
      <c r="AB515" s="5" t="s">
        <v>115</v>
      </c>
      <c r="AC515" s="5" t="s">
        <v>115</v>
      </c>
      <c r="AD515" s="5" t="s">
        <v>115</v>
      </c>
      <c r="AE515" s="5" t="s">
        <v>115</v>
      </c>
      <c r="AF515" s="5" t="s">
        <v>115</v>
      </c>
      <c r="AG515" s="5" t="s">
        <v>115</v>
      </c>
      <c r="AH515">
        <v>8</v>
      </c>
      <c r="AI515">
        <v>0</v>
      </c>
      <c r="AJ515">
        <v>8</v>
      </c>
      <c r="AK515">
        <v>0</v>
      </c>
      <c r="AL515">
        <v>0</v>
      </c>
      <c r="AM515">
        <f t="shared" si="8"/>
        <v>8</v>
      </c>
      <c r="AN515" t="s">
        <v>165</v>
      </c>
      <c r="AP515" t="s">
        <v>176</v>
      </c>
    </row>
    <row r="516" spans="1:43" x14ac:dyDescent="0.2">
      <c r="A516" t="s">
        <v>3672</v>
      </c>
      <c r="B516" t="s">
        <v>3671</v>
      </c>
      <c r="C516">
        <v>19</v>
      </c>
      <c r="D516">
        <v>1</v>
      </c>
      <c r="E516" t="s">
        <v>2487</v>
      </c>
      <c r="F516" s="1">
        <v>43585</v>
      </c>
      <c r="G516" s="1" t="s">
        <v>4027</v>
      </c>
      <c r="H516" s="1"/>
      <c r="I516" s="2">
        <v>5.5555555555555558E-3</v>
      </c>
      <c r="J516" s="176">
        <v>9.2592592592592588E-5</v>
      </c>
      <c r="K516" s="6">
        <v>8</v>
      </c>
      <c r="L516" t="s">
        <v>3626</v>
      </c>
      <c r="M516" t="s">
        <v>2488</v>
      </c>
      <c r="N516" t="s">
        <v>102</v>
      </c>
      <c r="O516" t="s">
        <v>115</v>
      </c>
      <c r="P516" t="s">
        <v>24</v>
      </c>
      <c r="Q516">
        <v>0</v>
      </c>
      <c r="R516">
        <v>0</v>
      </c>
      <c r="T516" s="5" t="s">
        <v>115</v>
      </c>
      <c r="U516" s="5" t="s">
        <v>115</v>
      </c>
      <c r="V516" s="5" t="s">
        <v>115</v>
      </c>
      <c r="W516" s="5"/>
      <c r="X516" s="5"/>
      <c r="Y516" s="5"/>
      <c r="Z516" s="5" t="s">
        <v>115</v>
      </c>
      <c r="AA516" s="5" t="s">
        <v>115</v>
      </c>
      <c r="AB516" s="5" t="s">
        <v>115</v>
      </c>
      <c r="AC516" s="5" t="s">
        <v>115</v>
      </c>
      <c r="AD516" s="5" t="s">
        <v>115</v>
      </c>
      <c r="AE516" s="5" t="s">
        <v>115</v>
      </c>
      <c r="AF516" s="5" t="s">
        <v>115</v>
      </c>
      <c r="AG516" s="5" t="s">
        <v>115</v>
      </c>
      <c r="AH516">
        <v>0</v>
      </c>
      <c r="AI516">
        <v>0</v>
      </c>
      <c r="AJ516">
        <v>0</v>
      </c>
      <c r="AK516">
        <v>0</v>
      </c>
      <c r="AL516">
        <v>8</v>
      </c>
      <c r="AM516">
        <f t="shared" si="8"/>
        <v>8</v>
      </c>
      <c r="AN516" t="s">
        <v>188</v>
      </c>
    </row>
    <row r="517" spans="1:43" x14ac:dyDescent="0.2">
      <c r="A517" t="s">
        <v>2502</v>
      </c>
      <c r="B517" t="s">
        <v>2503</v>
      </c>
      <c r="C517">
        <v>7</v>
      </c>
      <c r="D517">
        <v>1</v>
      </c>
      <c r="E517" t="s">
        <v>2487</v>
      </c>
      <c r="F517" s="1">
        <v>43549</v>
      </c>
      <c r="G517" s="1" t="s">
        <v>4026</v>
      </c>
      <c r="H517" s="1"/>
      <c r="I517" s="2">
        <v>4.8611111111111112E-3</v>
      </c>
      <c r="J517" s="176">
        <v>8.1018518518518516E-5</v>
      </c>
      <c r="K517" s="6">
        <v>7</v>
      </c>
      <c r="L517" s="5" t="s">
        <v>398</v>
      </c>
      <c r="M517" t="s">
        <v>2488</v>
      </c>
      <c r="N517" t="s">
        <v>102</v>
      </c>
      <c r="O517" t="s">
        <v>115</v>
      </c>
      <c r="P517">
        <v>0</v>
      </c>
      <c r="Q517">
        <v>0</v>
      </c>
      <c r="R517">
        <v>0</v>
      </c>
      <c r="T517" t="s">
        <v>115</v>
      </c>
      <c r="U517" t="s">
        <v>115</v>
      </c>
      <c r="V517" t="s">
        <v>115</v>
      </c>
      <c r="Z517" t="s">
        <v>115</v>
      </c>
      <c r="AA517" t="s">
        <v>115</v>
      </c>
      <c r="AB517" t="s">
        <v>115</v>
      </c>
      <c r="AC517" t="s">
        <v>115</v>
      </c>
      <c r="AD517" t="s">
        <v>115</v>
      </c>
      <c r="AH517">
        <v>0</v>
      </c>
      <c r="AI517">
        <v>0</v>
      </c>
      <c r="AJ517">
        <v>0</v>
      </c>
      <c r="AK517">
        <v>0</v>
      </c>
      <c r="AL517">
        <v>7</v>
      </c>
      <c r="AM517">
        <f t="shared" si="8"/>
        <v>7</v>
      </c>
      <c r="AN517" t="s">
        <v>188</v>
      </c>
    </row>
    <row r="518" spans="1:43" x14ac:dyDescent="0.2">
      <c r="A518" t="s">
        <v>2619</v>
      </c>
      <c r="B518" t="s">
        <v>2620</v>
      </c>
      <c r="C518">
        <v>6</v>
      </c>
      <c r="D518">
        <v>1</v>
      </c>
      <c r="E518" t="s">
        <v>2601</v>
      </c>
      <c r="F518" s="1">
        <v>43551</v>
      </c>
      <c r="G518" s="1" t="s">
        <v>4026</v>
      </c>
      <c r="H518" s="1"/>
      <c r="I518" s="2">
        <v>4.8611111111111112E-3</v>
      </c>
      <c r="J518" s="176">
        <v>8.1018518518518516E-5</v>
      </c>
      <c r="K518" s="6">
        <v>7</v>
      </c>
      <c r="L518" s="5" t="s">
        <v>398</v>
      </c>
      <c r="M518" t="s">
        <v>173</v>
      </c>
      <c r="N518" t="s">
        <v>102</v>
      </c>
      <c r="O518" t="s">
        <v>115</v>
      </c>
      <c r="P518">
        <v>0</v>
      </c>
      <c r="Q518">
        <v>0</v>
      </c>
      <c r="R518">
        <v>0</v>
      </c>
      <c r="T518" t="s">
        <v>115</v>
      </c>
      <c r="U518" t="s">
        <v>115</v>
      </c>
      <c r="V518" t="s">
        <v>115</v>
      </c>
      <c r="Z518" t="s">
        <v>115</v>
      </c>
      <c r="AA518" t="s">
        <v>115</v>
      </c>
      <c r="AB518" t="s">
        <v>115</v>
      </c>
      <c r="AC518" t="s">
        <v>115</v>
      </c>
      <c r="AD518" t="s">
        <v>115</v>
      </c>
      <c r="AE518" t="s">
        <v>115</v>
      </c>
      <c r="AF518" t="s">
        <v>115</v>
      </c>
      <c r="AH518">
        <v>0</v>
      </c>
      <c r="AI518">
        <v>0</v>
      </c>
      <c r="AJ518">
        <v>0</v>
      </c>
      <c r="AK518">
        <v>0</v>
      </c>
      <c r="AL518">
        <v>7</v>
      </c>
      <c r="AM518">
        <f t="shared" si="8"/>
        <v>7</v>
      </c>
      <c r="AN518" t="s">
        <v>188</v>
      </c>
    </row>
    <row r="519" spans="1:43" x14ac:dyDescent="0.2">
      <c r="A519" t="s">
        <v>2922</v>
      </c>
      <c r="B519" t="s">
        <v>2923</v>
      </c>
      <c r="C519">
        <v>5</v>
      </c>
      <c r="D519">
        <v>1</v>
      </c>
      <c r="E519" t="s">
        <v>2462</v>
      </c>
      <c r="F519" s="1">
        <v>43559</v>
      </c>
      <c r="G519" s="1" t="s">
        <v>4027</v>
      </c>
      <c r="H519" s="1"/>
      <c r="I519" s="2">
        <v>1.5277777777777777E-2</v>
      </c>
      <c r="J519" s="176">
        <v>2.5462962962962961E-4</v>
      </c>
      <c r="K519" s="6">
        <v>22</v>
      </c>
      <c r="M519" t="s">
        <v>64</v>
      </c>
      <c r="N519" t="s">
        <v>102</v>
      </c>
      <c r="O519" t="s">
        <v>115</v>
      </c>
      <c r="P519">
        <v>1</v>
      </c>
      <c r="Q519">
        <v>0</v>
      </c>
      <c r="R519">
        <v>0</v>
      </c>
      <c r="S519" t="s">
        <v>176</v>
      </c>
      <c r="T519" s="5" t="s">
        <v>24</v>
      </c>
      <c r="U519" s="5" t="s">
        <v>122</v>
      </c>
      <c r="V519" s="5" t="s">
        <v>115</v>
      </c>
      <c r="W519" s="5"/>
      <c r="X519" s="5"/>
      <c r="Y519" s="5"/>
      <c r="Z519" s="5" t="s">
        <v>115</v>
      </c>
      <c r="AA519" s="5" t="s">
        <v>115</v>
      </c>
      <c r="AB519" s="5" t="s">
        <v>115</v>
      </c>
      <c r="AC519" s="5" t="s">
        <v>115</v>
      </c>
      <c r="AD519" s="5" t="s">
        <v>115</v>
      </c>
      <c r="AE519" s="5" t="s">
        <v>115</v>
      </c>
      <c r="AF519" s="5" t="s">
        <v>115</v>
      </c>
      <c r="AG519" s="5"/>
      <c r="AH519">
        <v>0</v>
      </c>
      <c r="AI519">
        <v>0</v>
      </c>
      <c r="AJ519">
        <v>0</v>
      </c>
      <c r="AK519">
        <v>0</v>
      </c>
      <c r="AL519">
        <v>7</v>
      </c>
      <c r="AM519">
        <f t="shared" si="8"/>
        <v>7</v>
      </c>
      <c r="AN519" t="s">
        <v>188</v>
      </c>
    </row>
    <row r="520" spans="1:43" x14ac:dyDescent="0.2">
      <c r="A520" t="s">
        <v>3036</v>
      </c>
      <c r="B520" t="s">
        <v>3037</v>
      </c>
      <c r="C520">
        <v>9</v>
      </c>
      <c r="D520">
        <v>1</v>
      </c>
      <c r="E520" t="s">
        <v>2487</v>
      </c>
      <c r="F520" s="1">
        <v>43564</v>
      </c>
      <c r="G520" s="1" t="s">
        <v>4027</v>
      </c>
      <c r="H520" s="1"/>
      <c r="I520" s="2">
        <v>3.1944444444444449E-2</v>
      </c>
      <c r="J520" s="176">
        <v>5.3240740740740744E-4</v>
      </c>
      <c r="K520" s="6">
        <v>46</v>
      </c>
      <c r="M520" t="s">
        <v>2498</v>
      </c>
      <c r="N520" t="s">
        <v>187</v>
      </c>
      <c r="O520" t="s">
        <v>23</v>
      </c>
      <c r="P520">
        <v>1</v>
      </c>
      <c r="Q520">
        <v>0</v>
      </c>
      <c r="R520">
        <v>1</v>
      </c>
      <c r="S520" t="s">
        <v>598</v>
      </c>
      <c r="T520" s="5" t="s">
        <v>2437</v>
      </c>
      <c r="U520" s="5" t="s">
        <v>122</v>
      </c>
      <c r="V520" s="5" t="s">
        <v>2088</v>
      </c>
      <c r="W520" s="5" t="s">
        <v>23</v>
      </c>
      <c r="X520" s="5" t="s">
        <v>3997</v>
      </c>
      <c r="Y520" s="5" t="s">
        <v>4021</v>
      </c>
      <c r="Z520" s="5" t="s">
        <v>2765</v>
      </c>
      <c r="AA520">
        <v>330</v>
      </c>
      <c r="AB520">
        <v>5</v>
      </c>
      <c r="AC520">
        <v>63.719679999999997</v>
      </c>
      <c r="AD520">
        <v>148.98660000000001</v>
      </c>
      <c r="AE520" s="5" t="s">
        <v>115</v>
      </c>
      <c r="AF520" s="5" t="s">
        <v>115</v>
      </c>
      <c r="AG520" s="5"/>
      <c r="AH520">
        <v>0</v>
      </c>
      <c r="AI520">
        <v>0</v>
      </c>
      <c r="AJ520">
        <v>0</v>
      </c>
      <c r="AK520">
        <v>0</v>
      </c>
      <c r="AL520">
        <v>7</v>
      </c>
      <c r="AM520">
        <f t="shared" si="8"/>
        <v>7</v>
      </c>
      <c r="AN520" t="s">
        <v>188</v>
      </c>
    </row>
    <row r="521" spans="1:43" x14ac:dyDescent="0.2">
      <c r="A521" t="s">
        <v>3032</v>
      </c>
      <c r="B521" t="s">
        <v>3033</v>
      </c>
      <c r="C521">
        <v>7</v>
      </c>
      <c r="D521">
        <v>1</v>
      </c>
      <c r="E521" t="s">
        <v>2487</v>
      </c>
      <c r="F521" s="1">
        <v>43564</v>
      </c>
      <c r="G521" s="1" t="s">
        <v>4027</v>
      </c>
      <c r="H521" s="1"/>
      <c r="I521" s="2">
        <v>9.0277777777777787E-3</v>
      </c>
      <c r="J521" s="176">
        <v>1.5046296296296297E-4</v>
      </c>
      <c r="K521" s="6">
        <v>13</v>
      </c>
      <c r="M521" t="s">
        <v>2498</v>
      </c>
      <c r="N521" t="s">
        <v>102</v>
      </c>
      <c r="O521" t="s">
        <v>115</v>
      </c>
      <c r="P521">
        <v>0</v>
      </c>
      <c r="Q521">
        <v>0</v>
      </c>
      <c r="R521">
        <v>0</v>
      </c>
      <c r="T521" s="5" t="s">
        <v>115</v>
      </c>
      <c r="U521" s="5" t="s">
        <v>115</v>
      </c>
      <c r="V521" s="5" t="s">
        <v>115</v>
      </c>
      <c r="W521" s="5"/>
      <c r="X521" s="5"/>
      <c r="Y521" s="5"/>
      <c r="Z521" s="5" t="s">
        <v>115</v>
      </c>
      <c r="AA521" s="5" t="s">
        <v>115</v>
      </c>
      <c r="AB521" s="5" t="s">
        <v>115</v>
      </c>
      <c r="AC521" s="5" t="s">
        <v>115</v>
      </c>
      <c r="AD521" s="5" t="s">
        <v>115</v>
      </c>
      <c r="AE521" s="5" t="s">
        <v>115</v>
      </c>
      <c r="AF521" s="5" t="s">
        <v>115</v>
      </c>
      <c r="AG521" s="5"/>
      <c r="AH521">
        <v>0</v>
      </c>
      <c r="AI521">
        <v>0</v>
      </c>
      <c r="AJ521">
        <v>0</v>
      </c>
      <c r="AK521">
        <v>0</v>
      </c>
      <c r="AL521">
        <v>7</v>
      </c>
      <c r="AM521">
        <f t="shared" si="8"/>
        <v>7</v>
      </c>
      <c r="AN521" t="s">
        <v>188</v>
      </c>
    </row>
    <row r="522" spans="1:43" x14ac:dyDescent="0.2">
      <c r="A522" t="s">
        <v>3097</v>
      </c>
      <c r="B522" t="s">
        <v>3098</v>
      </c>
      <c r="C522">
        <v>3</v>
      </c>
      <c r="D522">
        <v>2</v>
      </c>
      <c r="E522" t="s">
        <v>324</v>
      </c>
      <c r="F522" s="1">
        <v>43570</v>
      </c>
      <c r="G522" s="1" t="s">
        <v>4027</v>
      </c>
      <c r="H522" s="1"/>
      <c r="I522" s="2">
        <v>6.25E-2</v>
      </c>
      <c r="J522" s="176">
        <v>1.0416666666666667E-3</v>
      </c>
      <c r="K522" s="6">
        <v>90</v>
      </c>
      <c r="L522" t="s">
        <v>101</v>
      </c>
      <c r="M522" t="s">
        <v>325</v>
      </c>
      <c r="N522" t="s">
        <v>102</v>
      </c>
      <c r="O522" t="s">
        <v>23</v>
      </c>
      <c r="P522">
        <v>1</v>
      </c>
      <c r="Q522">
        <v>0</v>
      </c>
      <c r="R522">
        <v>0</v>
      </c>
      <c r="S522" t="s">
        <v>112</v>
      </c>
      <c r="T522" s="5" t="s">
        <v>2466</v>
      </c>
      <c r="U522" s="5" t="s">
        <v>487</v>
      </c>
      <c r="V522" s="5" t="s">
        <v>115</v>
      </c>
      <c r="W522" s="5"/>
      <c r="X522" s="5"/>
      <c r="Y522" s="5"/>
      <c r="Z522" s="5" t="s">
        <v>115</v>
      </c>
      <c r="AA522" s="5" t="s">
        <v>115</v>
      </c>
      <c r="AB522" s="5" t="s">
        <v>115</v>
      </c>
      <c r="AC522" s="5" t="s">
        <v>115</v>
      </c>
      <c r="AD522" s="5" t="s">
        <v>115</v>
      </c>
      <c r="AE522" s="5" t="s">
        <v>115</v>
      </c>
      <c r="AF522" s="5" t="s">
        <v>115</v>
      </c>
      <c r="AG522" s="5"/>
      <c r="AH522">
        <v>0</v>
      </c>
      <c r="AI522">
        <v>7</v>
      </c>
      <c r="AJ522">
        <v>0</v>
      </c>
      <c r="AK522">
        <v>7</v>
      </c>
      <c r="AL522">
        <v>0</v>
      </c>
      <c r="AM522">
        <f t="shared" si="8"/>
        <v>7</v>
      </c>
      <c r="AN522" t="s">
        <v>188</v>
      </c>
      <c r="AO522" t="s">
        <v>3099</v>
      </c>
    </row>
    <row r="523" spans="1:43" x14ac:dyDescent="0.2">
      <c r="A523" t="s">
        <v>3198</v>
      </c>
      <c r="B523" t="s">
        <v>3199</v>
      </c>
      <c r="C523">
        <v>7</v>
      </c>
      <c r="D523">
        <v>2</v>
      </c>
      <c r="E523" t="s">
        <v>2487</v>
      </c>
      <c r="F523" s="1">
        <v>43572</v>
      </c>
      <c r="G523" s="1" t="s">
        <v>4027</v>
      </c>
      <c r="H523" s="1"/>
      <c r="I523" s="2">
        <v>2.361111111111111E-2</v>
      </c>
      <c r="J523" s="176">
        <v>3.9351851851851852E-4</v>
      </c>
      <c r="K523" s="6">
        <v>34</v>
      </c>
      <c r="L523" t="s">
        <v>3187</v>
      </c>
      <c r="M523" t="s">
        <v>2498</v>
      </c>
      <c r="N523" t="s">
        <v>102</v>
      </c>
      <c r="O523" t="s">
        <v>115</v>
      </c>
      <c r="P523">
        <v>1</v>
      </c>
      <c r="Q523">
        <v>0</v>
      </c>
      <c r="R523">
        <v>0</v>
      </c>
      <c r="S523" t="s">
        <v>598</v>
      </c>
      <c r="T523" s="5" t="s">
        <v>2506</v>
      </c>
      <c r="U523" s="5" t="s">
        <v>122</v>
      </c>
      <c r="V523" s="5" t="s">
        <v>115</v>
      </c>
      <c r="W523" s="5"/>
      <c r="X523" s="5"/>
      <c r="Y523" s="5"/>
      <c r="Z523" s="5" t="s">
        <v>115</v>
      </c>
      <c r="AA523" s="5" t="s">
        <v>115</v>
      </c>
      <c r="AB523" s="5" t="s">
        <v>115</v>
      </c>
      <c r="AC523" s="5" t="s">
        <v>115</v>
      </c>
      <c r="AD523" s="5" t="s">
        <v>115</v>
      </c>
      <c r="AE523" s="5" t="s">
        <v>115</v>
      </c>
      <c r="AF523" s="5" t="s">
        <v>115</v>
      </c>
      <c r="AG523" s="5"/>
      <c r="AH523">
        <v>0</v>
      </c>
      <c r="AI523">
        <v>0</v>
      </c>
      <c r="AJ523">
        <v>0</v>
      </c>
      <c r="AK523">
        <v>0</v>
      </c>
      <c r="AL523">
        <v>7</v>
      </c>
      <c r="AM523">
        <f t="shared" si="8"/>
        <v>7</v>
      </c>
      <c r="AN523" t="s">
        <v>188</v>
      </c>
    </row>
    <row r="524" spans="1:43" x14ac:dyDescent="0.2">
      <c r="A524" t="s">
        <v>3456</v>
      </c>
      <c r="B524" t="s">
        <v>3457</v>
      </c>
      <c r="C524">
        <v>2</v>
      </c>
      <c r="D524">
        <v>1</v>
      </c>
      <c r="E524" t="s">
        <v>2462</v>
      </c>
      <c r="F524" s="1">
        <v>43579</v>
      </c>
      <c r="G524" s="1" t="s">
        <v>4027</v>
      </c>
      <c r="H524" s="1"/>
      <c r="I524" s="2">
        <v>1.2499999999999999E-2</v>
      </c>
      <c r="J524" s="176">
        <v>2.0833333333333335E-4</v>
      </c>
      <c r="K524" s="6">
        <v>18</v>
      </c>
      <c r="L524" t="s">
        <v>101</v>
      </c>
      <c r="M524" t="s">
        <v>363</v>
      </c>
      <c r="N524" t="s">
        <v>102</v>
      </c>
      <c r="O524" t="s">
        <v>115</v>
      </c>
      <c r="P524">
        <v>1</v>
      </c>
      <c r="Q524">
        <v>0</v>
      </c>
      <c r="R524">
        <v>0</v>
      </c>
      <c r="S524" t="s">
        <v>14</v>
      </c>
      <c r="T524" s="5" t="s">
        <v>2557</v>
      </c>
      <c r="U524" s="5" t="s">
        <v>122</v>
      </c>
      <c r="V524" s="5" t="s">
        <v>115</v>
      </c>
      <c r="W524" s="5"/>
      <c r="X524" s="5"/>
      <c r="Y524" s="5"/>
      <c r="Z524" s="5" t="s">
        <v>115</v>
      </c>
      <c r="AA524" s="5" t="s">
        <v>115</v>
      </c>
      <c r="AB524" s="5" t="s">
        <v>115</v>
      </c>
      <c r="AC524" s="5" t="s">
        <v>115</v>
      </c>
      <c r="AD524" s="5" t="s">
        <v>115</v>
      </c>
      <c r="AE524" s="5" t="s">
        <v>115</v>
      </c>
      <c r="AF524" s="5" t="s">
        <v>115</v>
      </c>
      <c r="AG524" s="5" t="s">
        <v>115</v>
      </c>
      <c r="AH524">
        <v>0</v>
      </c>
      <c r="AI524">
        <v>0</v>
      </c>
      <c r="AJ524">
        <v>0</v>
      </c>
      <c r="AK524">
        <v>0</v>
      </c>
      <c r="AL524">
        <v>7</v>
      </c>
      <c r="AM524">
        <f t="shared" si="8"/>
        <v>7</v>
      </c>
      <c r="AN524" t="s">
        <v>188</v>
      </c>
    </row>
    <row r="525" spans="1:43" x14ac:dyDescent="0.2">
      <c r="A525" t="s">
        <v>3729</v>
      </c>
      <c r="B525" t="s">
        <v>3732</v>
      </c>
      <c r="C525">
        <v>2</v>
      </c>
      <c r="D525">
        <v>1</v>
      </c>
      <c r="E525" t="s">
        <v>3731</v>
      </c>
      <c r="F525" s="1">
        <v>43587</v>
      </c>
      <c r="G525" s="1" t="s">
        <v>4028</v>
      </c>
      <c r="H525" s="1"/>
      <c r="I525" s="2">
        <v>1.0416666666666666E-2</v>
      </c>
      <c r="J525" s="176">
        <v>1.7361111111111112E-4</v>
      </c>
      <c r="K525" s="6">
        <v>15</v>
      </c>
      <c r="L525" t="s">
        <v>1278</v>
      </c>
      <c r="M525" t="s">
        <v>255</v>
      </c>
      <c r="N525" t="s">
        <v>102</v>
      </c>
      <c r="O525" t="s">
        <v>115</v>
      </c>
      <c r="P525">
        <v>0</v>
      </c>
      <c r="Q525">
        <v>0</v>
      </c>
      <c r="R525">
        <v>0</v>
      </c>
      <c r="S525" t="s">
        <v>24</v>
      </c>
      <c r="T525" s="5" t="s">
        <v>24</v>
      </c>
      <c r="U525" s="5" t="s">
        <v>115</v>
      </c>
      <c r="V525" s="5" t="s">
        <v>115</v>
      </c>
      <c r="W525" s="5"/>
      <c r="X525" s="5"/>
      <c r="Y525" s="5"/>
      <c r="Z525" s="5" t="s">
        <v>115</v>
      </c>
      <c r="AA525" s="5" t="s">
        <v>115</v>
      </c>
      <c r="AB525" s="5" t="s">
        <v>115</v>
      </c>
      <c r="AC525" s="5" t="s">
        <v>115</v>
      </c>
      <c r="AD525" s="5" t="s">
        <v>115</v>
      </c>
      <c r="AE525" s="5" t="s">
        <v>115</v>
      </c>
      <c r="AF525" s="5" t="s">
        <v>115</v>
      </c>
      <c r="AG525" s="5" t="s">
        <v>115</v>
      </c>
      <c r="AH525">
        <v>0</v>
      </c>
      <c r="AI525">
        <v>0</v>
      </c>
      <c r="AJ525">
        <v>0</v>
      </c>
      <c r="AK525">
        <v>0</v>
      </c>
      <c r="AL525">
        <v>7</v>
      </c>
      <c r="AM525">
        <f t="shared" si="8"/>
        <v>7</v>
      </c>
      <c r="AN525" t="s">
        <v>188</v>
      </c>
    </row>
    <row r="526" spans="1:43" x14ac:dyDescent="0.2">
      <c r="A526" t="s">
        <v>2711</v>
      </c>
      <c r="B526" t="s">
        <v>2712</v>
      </c>
      <c r="C526">
        <v>15</v>
      </c>
      <c r="D526">
        <v>1</v>
      </c>
      <c r="E526" t="s">
        <v>324</v>
      </c>
      <c r="F526" s="1">
        <v>43554</v>
      </c>
      <c r="G526" s="1" t="s">
        <v>4026</v>
      </c>
      <c r="H526" s="1"/>
      <c r="I526" s="2">
        <v>1.6666666666666666E-2</v>
      </c>
      <c r="J526" s="176">
        <v>2.7777777777777778E-4</v>
      </c>
      <c r="K526" s="6">
        <v>24</v>
      </c>
      <c r="M526" t="s">
        <v>325</v>
      </c>
      <c r="N526" t="s">
        <v>102</v>
      </c>
      <c r="O526" t="s">
        <v>115</v>
      </c>
      <c r="P526" t="s">
        <v>24</v>
      </c>
      <c r="Q526">
        <v>0</v>
      </c>
      <c r="R526">
        <v>0</v>
      </c>
      <c r="T526" t="s">
        <v>115</v>
      </c>
      <c r="U526" t="s">
        <v>115</v>
      </c>
      <c r="V526" t="s">
        <v>115</v>
      </c>
      <c r="Z526" t="s">
        <v>115</v>
      </c>
      <c r="AA526" t="s">
        <v>115</v>
      </c>
      <c r="AB526" t="s">
        <v>115</v>
      </c>
      <c r="AC526" t="s">
        <v>115</v>
      </c>
      <c r="AD526" t="s">
        <v>115</v>
      </c>
      <c r="AE526" t="s">
        <v>115</v>
      </c>
      <c r="AF526" t="s">
        <v>115</v>
      </c>
      <c r="AH526">
        <v>0</v>
      </c>
      <c r="AI526">
        <v>0</v>
      </c>
      <c r="AJ526">
        <v>0</v>
      </c>
      <c r="AK526">
        <v>0</v>
      </c>
      <c r="AL526">
        <v>7</v>
      </c>
      <c r="AM526">
        <f t="shared" si="8"/>
        <v>7</v>
      </c>
      <c r="AN526" t="s">
        <v>188</v>
      </c>
    </row>
    <row r="527" spans="1:43" x14ac:dyDescent="0.2">
      <c r="A527" t="s">
        <v>2719</v>
      </c>
      <c r="B527" t="s">
        <v>2720</v>
      </c>
      <c r="C527">
        <v>19</v>
      </c>
      <c r="D527">
        <v>1</v>
      </c>
      <c r="E527" t="s">
        <v>324</v>
      </c>
      <c r="F527" s="1">
        <v>43554</v>
      </c>
      <c r="G527" s="1" t="s">
        <v>4026</v>
      </c>
      <c r="H527" s="1"/>
      <c r="I527" s="2">
        <v>1.3888888888888888E-2</v>
      </c>
      <c r="J527" s="176">
        <v>2.3148148148148146E-4</v>
      </c>
      <c r="K527" s="6">
        <v>20</v>
      </c>
      <c r="M527" t="s">
        <v>325</v>
      </c>
      <c r="N527" t="s">
        <v>102</v>
      </c>
      <c r="O527" t="s">
        <v>115</v>
      </c>
      <c r="P527" t="s">
        <v>24</v>
      </c>
      <c r="Q527">
        <v>0</v>
      </c>
      <c r="R527">
        <v>0</v>
      </c>
      <c r="T527" s="5" t="s">
        <v>115</v>
      </c>
      <c r="U527" s="5" t="s">
        <v>115</v>
      </c>
      <c r="V527" s="5" t="s">
        <v>115</v>
      </c>
      <c r="W527" s="5"/>
      <c r="X527" s="5"/>
      <c r="Y527" s="5"/>
      <c r="Z527" s="5" t="s">
        <v>115</v>
      </c>
      <c r="AA527" s="5" t="s">
        <v>115</v>
      </c>
      <c r="AB527" s="5" t="s">
        <v>115</v>
      </c>
      <c r="AC527" s="5" t="s">
        <v>115</v>
      </c>
      <c r="AD527" s="5" t="s">
        <v>115</v>
      </c>
      <c r="AE527" s="5" t="s">
        <v>115</v>
      </c>
      <c r="AF527" s="5" t="s">
        <v>115</v>
      </c>
      <c r="AG527" s="5"/>
      <c r="AH527">
        <v>0</v>
      </c>
      <c r="AI527">
        <v>0</v>
      </c>
      <c r="AJ527">
        <v>0</v>
      </c>
      <c r="AK527">
        <v>0</v>
      </c>
      <c r="AL527">
        <v>7</v>
      </c>
      <c r="AM527">
        <f t="shared" si="8"/>
        <v>7</v>
      </c>
      <c r="AN527" t="s">
        <v>188</v>
      </c>
    </row>
    <row r="528" spans="1:43" x14ac:dyDescent="0.2">
      <c r="A528" t="s">
        <v>3115</v>
      </c>
      <c r="B528" t="s">
        <v>3118</v>
      </c>
      <c r="C528">
        <v>11</v>
      </c>
      <c r="D528">
        <v>1</v>
      </c>
      <c r="E528" t="s">
        <v>324</v>
      </c>
      <c r="F528" s="1">
        <v>43570</v>
      </c>
      <c r="G528" s="1" t="s">
        <v>4027</v>
      </c>
      <c r="H528" s="1"/>
      <c r="I528" s="2">
        <v>1.3194444444444444E-2</v>
      </c>
      <c r="J528" s="176">
        <v>2.199074074074074E-4</v>
      </c>
      <c r="K528" s="6">
        <v>19</v>
      </c>
      <c r="L528" t="s">
        <v>101</v>
      </c>
      <c r="M528" t="s">
        <v>325</v>
      </c>
      <c r="N528" t="s">
        <v>102</v>
      </c>
      <c r="O528" t="s">
        <v>115</v>
      </c>
      <c r="P528" t="s">
        <v>24</v>
      </c>
      <c r="Q528">
        <v>0</v>
      </c>
      <c r="R528">
        <v>0</v>
      </c>
      <c r="T528" s="5" t="s">
        <v>115</v>
      </c>
      <c r="U528" s="5" t="s">
        <v>115</v>
      </c>
      <c r="V528" s="5" t="s">
        <v>115</v>
      </c>
      <c r="W528" s="5"/>
      <c r="X528" s="5"/>
      <c r="Y528" s="5"/>
      <c r="Z528" s="5" t="s">
        <v>115</v>
      </c>
      <c r="AA528" s="5" t="s">
        <v>115</v>
      </c>
      <c r="AB528" s="5" t="s">
        <v>115</v>
      </c>
      <c r="AC528" s="5" t="s">
        <v>115</v>
      </c>
      <c r="AD528" s="5" t="s">
        <v>115</v>
      </c>
      <c r="AE528" s="5" t="s">
        <v>115</v>
      </c>
      <c r="AF528" s="5" t="s">
        <v>115</v>
      </c>
      <c r="AG528" s="5"/>
      <c r="AH528">
        <v>0</v>
      </c>
      <c r="AI528">
        <v>0</v>
      </c>
      <c r="AJ528">
        <v>0</v>
      </c>
      <c r="AK528">
        <v>0</v>
      </c>
      <c r="AL528">
        <v>7</v>
      </c>
      <c r="AM528">
        <f t="shared" si="8"/>
        <v>7</v>
      </c>
      <c r="AN528" t="s">
        <v>188</v>
      </c>
    </row>
    <row r="529" spans="1:43" x14ac:dyDescent="0.2">
      <c r="A529" t="s">
        <v>3772</v>
      </c>
      <c r="B529" t="s">
        <v>3773</v>
      </c>
      <c r="C529">
        <v>9</v>
      </c>
      <c r="D529">
        <v>1</v>
      </c>
      <c r="E529" t="s">
        <v>3171</v>
      </c>
      <c r="F529" s="1">
        <v>43588</v>
      </c>
      <c r="G529" s="1" t="s">
        <v>4028</v>
      </c>
      <c r="H529" s="1" t="s">
        <v>4752</v>
      </c>
      <c r="I529" s="2">
        <v>4.8611111111111112E-3</v>
      </c>
      <c r="J529" s="176">
        <v>8.1018518518518516E-5</v>
      </c>
      <c r="K529" s="6">
        <v>7</v>
      </c>
      <c r="L529" t="s">
        <v>3187</v>
      </c>
      <c r="M529" t="s">
        <v>670</v>
      </c>
      <c r="N529" t="s">
        <v>102</v>
      </c>
      <c r="O529" t="s">
        <v>115</v>
      </c>
      <c r="P529" t="s">
        <v>24</v>
      </c>
      <c r="Q529">
        <v>0</v>
      </c>
      <c r="R529">
        <v>0</v>
      </c>
      <c r="T529" s="5" t="s">
        <v>115</v>
      </c>
      <c r="U529" s="5" t="s">
        <v>115</v>
      </c>
      <c r="V529" s="5" t="s">
        <v>115</v>
      </c>
      <c r="W529" s="5"/>
      <c r="X529" s="5"/>
      <c r="Y529" s="5"/>
      <c r="Z529" s="5" t="s">
        <v>115</v>
      </c>
      <c r="AA529" s="5" t="s">
        <v>115</v>
      </c>
      <c r="AB529" s="5" t="s">
        <v>115</v>
      </c>
      <c r="AC529" s="5" t="s">
        <v>115</v>
      </c>
      <c r="AD529" s="5" t="s">
        <v>115</v>
      </c>
      <c r="AE529" s="5" t="s">
        <v>115</v>
      </c>
      <c r="AF529" s="5" t="s">
        <v>115</v>
      </c>
      <c r="AG529" s="5" t="s">
        <v>115</v>
      </c>
      <c r="AH529">
        <v>0</v>
      </c>
      <c r="AI529">
        <v>0</v>
      </c>
      <c r="AJ529">
        <v>0</v>
      </c>
      <c r="AK529">
        <v>0</v>
      </c>
      <c r="AL529">
        <v>7</v>
      </c>
      <c r="AM529">
        <f t="shared" si="8"/>
        <v>7</v>
      </c>
      <c r="AN529" t="s">
        <v>188</v>
      </c>
    </row>
    <row r="530" spans="1:43" x14ac:dyDescent="0.2">
      <c r="A530" t="s">
        <v>2683</v>
      </c>
      <c r="B530" t="s">
        <v>2684</v>
      </c>
      <c r="C530">
        <v>5</v>
      </c>
      <c r="D530">
        <v>1</v>
      </c>
      <c r="E530" t="s">
        <v>324</v>
      </c>
      <c r="F530" s="1">
        <v>43554</v>
      </c>
      <c r="G530" s="1" t="s">
        <v>4026</v>
      </c>
      <c r="H530" s="1"/>
      <c r="I530" s="2">
        <v>2.1527777777777781E-2</v>
      </c>
      <c r="J530" s="176">
        <v>3.5879629629629635E-4</v>
      </c>
      <c r="K530" s="6">
        <v>31</v>
      </c>
      <c r="M530" t="s">
        <v>325</v>
      </c>
      <c r="N530" t="s">
        <v>102</v>
      </c>
      <c r="O530" t="s">
        <v>23</v>
      </c>
      <c r="P530">
        <v>1</v>
      </c>
      <c r="Q530" t="s">
        <v>24</v>
      </c>
      <c r="R530">
        <v>0</v>
      </c>
      <c r="S530" t="s">
        <v>176</v>
      </c>
      <c r="T530" t="s">
        <v>24</v>
      </c>
      <c r="U530" t="s">
        <v>2685</v>
      </c>
      <c r="V530" t="s">
        <v>115</v>
      </c>
      <c r="Z530" t="s">
        <v>115</v>
      </c>
      <c r="AA530" t="s">
        <v>115</v>
      </c>
      <c r="AB530" t="s">
        <v>115</v>
      </c>
      <c r="AC530" t="s">
        <v>115</v>
      </c>
      <c r="AD530" t="s">
        <v>115</v>
      </c>
      <c r="AE530" t="s">
        <v>115</v>
      </c>
      <c r="AF530" t="s">
        <v>115</v>
      </c>
      <c r="AH530">
        <v>0</v>
      </c>
      <c r="AI530">
        <v>6</v>
      </c>
      <c r="AJ530">
        <v>6</v>
      </c>
      <c r="AK530">
        <v>0</v>
      </c>
      <c r="AL530">
        <v>0</v>
      </c>
      <c r="AM530">
        <f t="shared" si="8"/>
        <v>6</v>
      </c>
      <c r="AN530" t="s">
        <v>188</v>
      </c>
    </row>
    <row r="531" spans="1:43" x14ac:dyDescent="0.2">
      <c r="A531" t="s">
        <v>2687</v>
      </c>
      <c r="B531" t="s">
        <v>2688</v>
      </c>
      <c r="C531">
        <v>6</v>
      </c>
      <c r="D531">
        <v>1</v>
      </c>
      <c r="E531" t="s">
        <v>324</v>
      </c>
      <c r="F531" s="1">
        <v>43554</v>
      </c>
      <c r="G531" s="1" t="s">
        <v>4026</v>
      </c>
      <c r="H531" s="1"/>
      <c r="I531" s="2">
        <v>5.5555555555555558E-3</v>
      </c>
      <c r="J531" s="176">
        <v>9.2592592592592588E-5</v>
      </c>
      <c r="K531" s="6">
        <v>8</v>
      </c>
      <c r="M531" t="s">
        <v>325</v>
      </c>
      <c r="N531" t="s">
        <v>102</v>
      </c>
      <c r="O531" t="s">
        <v>23</v>
      </c>
      <c r="P531">
        <v>0</v>
      </c>
      <c r="Q531">
        <v>0</v>
      </c>
      <c r="R531">
        <v>0</v>
      </c>
      <c r="T531" t="s">
        <v>115</v>
      </c>
      <c r="U531" t="s">
        <v>115</v>
      </c>
      <c r="V531" t="s">
        <v>115</v>
      </c>
      <c r="Z531" t="s">
        <v>115</v>
      </c>
      <c r="AA531" t="s">
        <v>115</v>
      </c>
      <c r="AB531" t="s">
        <v>115</v>
      </c>
      <c r="AC531" t="s">
        <v>115</v>
      </c>
      <c r="AD531" t="s">
        <v>115</v>
      </c>
      <c r="AE531" t="s">
        <v>115</v>
      </c>
      <c r="AF531" t="s">
        <v>115</v>
      </c>
      <c r="AH531">
        <v>6</v>
      </c>
      <c r="AI531">
        <v>0</v>
      </c>
      <c r="AJ531">
        <v>6</v>
      </c>
      <c r="AK531">
        <v>0</v>
      </c>
      <c r="AL531">
        <v>0</v>
      </c>
      <c r="AM531">
        <f t="shared" si="8"/>
        <v>6</v>
      </c>
      <c r="AN531" t="s">
        <v>188</v>
      </c>
    </row>
    <row r="532" spans="1:43" x14ac:dyDescent="0.2">
      <c r="A532" t="s">
        <v>2874</v>
      </c>
      <c r="B532" t="s">
        <v>2875</v>
      </c>
      <c r="C532">
        <v>9</v>
      </c>
      <c r="D532">
        <v>1</v>
      </c>
      <c r="E532" t="s">
        <v>324</v>
      </c>
      <c r="F532" s="1">
        <v>43558</v>
      </c>
      <c r="G532" s="1" t="s">
        <v>4027</v>
      </c>
      <c r="H532" s="1"/>
      <c r="I532" s="2">
        <v>1.3888888888888888E-2</v>
      </c>
      <c r="J532" s="176">
        <v>2.3148148148148146E-4</v>
      </c>
      <c r="K532" s="6">
        <v>20</v>
      </c>
      <c r="M532" t="s">
        <v>325</v>
      </c>
      <c r="N532" t="s">
        <v>102</v>
      </c>
      <c r="O532" t="s">
        <v>23</v>
      </c>
      <c r="P532">
        <v>1</v>
      </c>
      <c r="Q532" t="s">
        <v>24</v>
      </c>
      <c r="R532">
        <v>0</v>
      </c>
      <c r="S532" t="s">
        <v>176</v>
      </c>
      <c r="T532" s="5" t="s">
        <v>24</v>
      </c>
      <c r="U532" s="5" t="s">
        <v>487</v>
      </c>
      <c r="V532" s="5" t="s">
        <v>115</v>
      </c>
      <c r="W532" s="5"/>
      <c r="X532" s="5"/>
      <c r="Y532" s="5"/>
      <c r="Z532" s="5" t="s">
        <v>115</v>
      </c>
      <c r="AA532" s="5" t="s">
        <v>115</v>
      </c>
      <c r="AB532" s="5" t="s">
        <v>115</v>
      </c>
      <c r="AC532" s="5" t="s">
        <v>115</v>
      </c>
      <c r="AD532" s="5" t="s">
        <v>115</v>
      </c>
      <c r="AE532" s="5" t="s">
        <v>115</v>
      </c>
      <c r="AF532" s="5" t="s">
        <v>115</v>
      </c>
      <c r="AG532" s="5"/>
      <c r="AH532">
        <v>6</v>
      </c>
      <c r="AI532">
        <v>0</v>
      </c>
      <c r="AJ532">
        <v>0</v>
      </c>
      <c r="AK532">
        <v>6</v>
      </c>
      <c r="AL532">
        <v>0</v>
      </c>
      <c r="AM532">
        <f t="shared" si="8"/>
        <v>6</v>
      </c>
      <c r="AN532" t="s">
        <v>188</v>
      </c>
    </row>
    <row r="533" spans="1:43" x14ac:dyDescent="0.2">
      <c r="A533" t="s">
        <v>2938</v>
      </c>
      <c r="B533" t="s">
        <v>2939</v>
      </c>
      <c r="C533">
        <v>5</v>
      </c>
      <c r="D533">
        <v>1</v>
      </c>
      <c r="E533" t="s">
        <v>834</v>
      </c>
      <c r="F533" s="1">
        <v>43560</v>
      </c>
      <c r="G533" s="1" t="s">
        <v>4027</v>
      </c>
      <c r="H533" s="1"/>
      <c r="I533" s="2">
        <v>9.930555555555555E-2</v>
      </c>
      <c r="J533" s="176">
        <v>1.6550925925925926E-3</v>
      </c>
      <c r="K533" s="6">
        <v>143</v>
      </c>
      <c r="M533" t="s">
        <v>466</v>
      </c>
      <c r="N533" t="s">
        <v>102</v>
      </c>
      <c r="O533" t="s">
        <v>23</v>
      </c>
      <c r="P533">
        <v>1</v>
      </c>
      <c r="Q533">
        <v>0</v>
      </c>
      <c r="R533">
        <v>0</v>
      </c>
      <c r="S533" t="s">
        <v>176</v>
      </c>
      <c r="T533" s="5" t="s">
        <v>24</v>
      </c>
      <c r="U533" s="5" t="s">
        <v>487</v>
      </c>
      <c r="V533" s="5" t="s">
        <v>115</v>
      </c>
      <c r="W533" s="5"/>
      <c r="X533" s="5"/>
      <c r="Y533" s="5"/>
      <c r="Z533" s="5" t="s">
        <v>115</v>
      </c>
      <c r="AA533" s="5" t="s">
        <v>115</v>
      </c>
      <c r="AB533" s="5" t="s">
        <v>115</v>
      </c>
      <c r="AC533" s="5" t="s">
        <v>115</v>
      </c>
      <c r="AD533" s="5" t="s">
        <v>115</v>
      </c>
      <c r="AE533" s="5" t="s">
        <v>115</v>
      </c>
      <c r="AF533" s="5" t="s">
        <v>115</v>
      </c>
      <c r="AG533" s="5"/>
      <c r="AH533">
        <v>6</v>
      </c>
      <c r="AI533">
        <v>0</v>
      </c>
      <c r="AJ533">
        <v>0</v>
      </c>
      <c r="AK533">
        <v>6</v>
      </c>
      <c r="AL533">
        <v>0</v>
      </c>
      <c r="AM533">
        <f t="shared" si="8"/>
        <v>6</v>
      </c>
    </row>
    <row r="534" spans="1:43" x14ac:dyDescent="0.2">
      <c r="A534" t="s">
        <v>2938</v>
      </c>
      <c r="B534" t="s">
        <v>2939</v>
      </c>
      <c r="C534">
        <v>5</v>
      </c>
      <c r="D534">
        <v>3</v>
      </c>
      <c r="E534" t="s">
        <v>834</v>
      </c>
      <c r="F534" s="1">
        <v>43560</v>
      </c>
      <c r="G534" s="1" t="s">
        <v>4027</v>
      </c>
      <c r="H534" s="1"/>
      <c r="I534" s="2">
        <v>9.930555555555555E-2</v>
      </c>
      <c r="J534" s="176">
        <v>1.6550925925925926E-3</v>
      </c>
      <c r="K534" s="6">
        <v>143</v>
      </c>
      <c r="M534" t="s">
        <v>466</v>
      </c>
      <c r="N534" t="s">
        <v>102</v>
      </c>
      <c r="O534" t="s">
        <v>115</v>
      </c>
      <c r="P534">
        <v>1</v>
      </c>
      <c r="Q534">
        <v>0</v>
      </c>
      <c r="R534">
        <v>0</v>
      </c>
      <c r="S534" t="s">
        <v>598</v>
      </c>
      <c r="T534" s="5" t="s">
        <v>2801</v>
      </c>
      <c r="U534" s="5" t="s">
        <v>122</v>
      </c>
      <c r="V534" s="5" t="s">
        <v>115</v>
      </c>
      <c r="W534" s="5"/>
      <c r="X534" s="5"/>
      <c r="Y534" s="5"/>
      <c r="Z534" s="5" t="s">
        <v>115</v>
      </c>
      <c r="AA534" s="5" t="s">
        <v>115</v>
      </c>
      <c r="AB534" s="5" t="s">
        <v>115</v>
      </c>
      <c r="AC534" s="5" t="s">
        <v>115</v>
      </c>
      <c r="AD534" s="5" t="s">
        <v>115</v>
      </c>
      <c r="AE534" s="5" t="s">
        <v>115</v>
      </c>
      <c r="AF534" s="5" t="s">
        <v>115</v>
      </c>
      <c r="AG534" s="5"/>
      <c r="AH534">
        <v>0</v>
      </c>
      <c r="AI534">
        <v>0</v>
      </c>
      <c r="AJ534">
        <v>0</v>
      </c>
      <c r="AK534">
        <v>0</v>
      </c>
      <c r="AL534">
        <v>6</v>
      </c>
      <c r="AM534">
        <f t="shared" si="8"/>
        <v>6</v>
      </c>
      <c r="AN534" t="s">
        <v>188</v>
      </c>
      <c r="AO534" t="s">
        <v>2940</v>
      </c>
    </row>
    <row r="535" spans="1:43" x14ac:dyDescent="0.2">
      <c r="A535" t="s">
        <v>3239</v>
      </c>
      <c r="B535" t="s">
        <v>3240</v>
      </c>
      <c r="C535">
        <v>6</v>
      </c>
      <c r="D535">
        <v>1</v>
      </c>
      <c r="E535" t="s">
        <v>791</v>
      </c>
      <c r="F535" s="1">
        <v>43572</v>
      </c>
      <c r="G535" s="1" t="s">
        <v>4027</v>
      </c>
      <c r="H535" s="1"/>
      <c r="I535" s="2">
        <v>7.6388888888888895E-2</v>
      </c>
      <c r="J535" s="176">
        <v>1.2731481481481483E-3</v>
      </c>
      <c r="K535" s="6">
        <v>110</v>
      </c>
      <c r="L535" t="s">
        <v>3187</v>
      </c>
      <c r="M535" t="s">
        <v>924</v>
      </c>
      <c r="N535" t="s">
        <v>102</v>
      </c>
      <c r="O535" t="s">
        <v>115</v>
      </c>
      <c r="P535">
        <v>1</v>
      </c>
      <c r="Q535">
        <v>0</v>
      </c>
      <c r="R535">
        <v>0</v>
      </c>
      <c r="S535" t="s">
        <v>176</v>
      </c>
      <c r="T535" s="5" t="s">
        <v>24</v>
      </c>
      <c r="U535" s="5" t="s">
        <v>122</v>
      </c>
      <c r="V535" s="5" t="s">
        <v>115</v>
      </c>
      <c r="W535" s="5"/>
      <c r="X535" s="5"/>
      <c r="Y535" s="5"/>
      <c r="Z535" s="5" t="s">
        <v>115</v>
      </c>
      <c r="AA535" s="5" t="s">
        <v>115</v>
      </c>
      <c r="AB535" s="5" t="s">
        <v>115</v>
      </c>
      <c r="AC535" s="5" t="s">
        <v>115</v>
      </c>
      <c r="AD535" s="5" t="s">
        <v>115</v>
      </c>
      <c r="AE535" s="5" t="s">
        <v>115</v>
      </c>
      <c r="AF535" s="5" t="s">
        <v>115</v>
      </c>
      <c r="AG535" s="5" t="s">
        <v>115</v>
      </c>
      <c r="AH535">
        <v>0</v>
      </c>
      <c r="AI535">
        <v>0</v>
      </c>
      <c r="AJ535">
        <v>0</v>
      </c>
      <c r="AK535">
        <v>0</v>
      </c>
      <c r="AL535">
        <v>6</v>
      </c>
      <c r="AM535">
        <f t="shared" si="8"/>
        <v>6</v>
      </c>
      <c r="AN535" t="s">
        <v>188</v>
      </c>
    </row>
    <row r="536" spans="1:43" x14ac:dyDescent="0.2">
      <c r="A536" t="s">
        <v>3321</v>
      </c>
      <c r="B536" t="s">
        <v>3322</v>
      </c>
      <c r="C536">
        <v>13</v>
      </c>
      <c r="D536">
        <v>1</v>
      </c>
      <c r="E536" t="s">
        <v>834</v>
      </c>
      <c r="F536" s="1">
        <v>43577</v>
      </c>
      <c r="G536" s="1" t="s">
        <v>4027</v>
      </c>
      <c r="H536" s="1"/>
      <c r="I536" s="2">
        <v>1.3888888888888888E-2</v>
      </c>
      <c r="J536" s="176">
        <v>2.3148148148148146E-4</v>
      </c>
      <c r="K536" s="6">
        <v>20</v>
      </c>
      <c r="L536" t="s">
        <v>101</v>
      </c>
      <c r="M536" t="s">
        <v>466</v>
      </c>
      <c r="N536" t="s">
        <v>102</v>
      </c>
      <c r="O536" t="s">
        <v>3257</v>
      </c>
      <c r="P536">
        <v>1</v>
      </c>
      <c r="Q536">
        <v>1</v>
      </c>
      <c r="R536">
        <v>0</v>
      </c>
      <c r="S536" t="s">
        <v>176</v>
      </c>
      <c r="T536" s="5" t="s">
        <v>24</v>
      </c>
      <c r="U536" s="5" t="s">
        <v>3323</v>
      </c>
      <c r="V536" s="5" t="s">
        <v>115</v>
      </c>
      <c r="W536" s="5"/>
      <c r="X536" s="5"/>
      <c r="Y536" s="5"/>
      <c r="Z536" s="5" t="s">
        <v>115</v>
      </c>
      <c r="AA536" s="5" t="s">
        <v>115</v>
      </c>
      <c r="AB536" s="5" t="s">
        <v>3324</v>
      </c>
      <c r="AC536" s="5" t="s">
        <v>115</v>
      </c>
      <c r="AD536" s="5" t="s">
        <v>115</v>
      </c>
      <c r="AE536">
        <v>63.74042</v>
      </c>
      <c r="AF536" s="5">
        <v>148.89865</v>
      </c>
      <c r="AG536" s="5" t="s">
        <v>115</v>
      </c>
      <c r="AH536">
        <v>6</v>
      </c>
      <c r="AI536">
        <v>0</v>
      </c>
      <c r="AJ536">
        <v>0</v>
      </c>
      <c r="AK536">
        <v>6</v>
      </c>
      <c r="AL536">
        <v>0</v>
      </c>
      <c r="AM536">
        <f t="shared" si="8"/>
        <v>6</v>
      </c>
      <c r="AN536" t="s">
        <v>2374</v>
      </c>
      <c r="AP536">
        <v>2</v>
      </c>
      <c r="AQ536">
        <v>0</v>
      </c>
    </row>
    <row r="537" spans="1:43" x14ac:dyDescent="0.2">
      <c r="A537" t="s">
        <v>3513</v>
      </c>
      <c r="B537" t="s">
        <v>3514</v>
      </c>
      <c r="C537">
        <v>29</v>
      </c>
      <c r="D537">
        <v>1</v>
      </c>
      <c r="E537" t="s">
        <v>2462</v>
      </c>
      <c r="F537" s="1">
        <v>43579</v>
      </c>
      <c r="G537" s="1" t="s">
        <v>4027</v>
      </c>
      <c r="H537" s="1"/>
      <c r="I537" s="2">
        <v>7.0833333333333331E-2</v>
      </c>
      <c r="J537" s="176">
        <v>1.1805555555555556E-3</v>
      </c>
      <c r="K537" s="6">
        <v>102</v>
      </c>
      <c r="L537" t="s">
        <v>101</v>
      </c>
      <c r="M537" t="s">
        <v>363</v>
      </c>
      <c r="N537" t="s">
        <v>187</v>
      </c>
      <c r="O537" t="s">
        <v>23</v>
      </c>
      <c r="P537">
        <v>1</v>
      </c>
      <c r="Q537">
        <v>0</v>
      </c>
      <c r="R537">
        <v>1</v>
      </c>
      <c r="S537" t="s">
        <v>598</v>
      </c>
      <c r="T537" s="5" t="s">
        <v>2801</v>
      </c>
      <c r="U537" s="5" t="s">
        <v>122</v>
      </c>
      <c r="V537" s="5" t="s">
        <v>2141</v>
      </c>
      <c r="W537" s="5" t="s">
        <v>23</v>
      </c>
      <c r="X537" s="5" t="s">
        <v>3997</v>
      </c>
      <c r="Y537" s="5" t="s">
        <v>4020</v>
      </c>
      <c r="Z537" s="5" t="s">
        <v>2825</v>
      </c>
      <c r="AA537">
        <v>80</v>
      </c>
      <c r="AB537">
        <v>9</v>
      </c>
      <c r="AC537">
        <v>63.73518</v>
      </c>
      <c r="AD537">
        <v>148.90012999999999</v>
      </c>
      <c r="AE537" s="5" t="s">
        <v>115</v>
      </c>
      <c r="AF537" s="5" t="s">
        <v>115</v>
      </c>
      <c r="AG537" s="5" t="s">
        <v>115</v>
      </c>
      <c r="AH537">
        <v>0</v>
      </c>
      <c r="AI537">
        <v>0</v>
      </c>
      <c r="AJ537">
        <v>0</v>
      </c>
      <c r="AK537">
        <v>0</v>
      </c>
      <c r="AL537">
        <v>6</v>
      </c>
      <c r="AM537">
        <f t="shared" si="8"/>
        <v>6</v>
      </c>
      <c r="AN537" t="s">
        <v>188</v>
      </c>
      <c r="AO537" t="s">
        <v>3015</v>
      </c>
    </row>
    <row r="538" spans="1:43" x14ac:dyDescent="0.2">
      <c r="A538" t="s">
        <v>3711</v>
      </c>
      <c r="B538" t="s">
        <v>3712</v>
      </c>
      <c r="C538">
        <v>13</v>
      </c>
      <c r="D538">
        <v>1</v>
      </c>
      <c r="E538" t="s">
        <v>3171</v>
      </c>
      <c r="F538" s="1">
        <v>43585</v>
      </c>
      <c r="G538" s="1" t="s">
        <v>4027</v>
      </c>
      <c r="H538" s="1" t="s">
        <v>4752</v>
      </c>
      <c r="I538" s="2">
        <v>1.4583333333333332E-2</v>
      </c>
      <c r="J538" s="176">
        <v>2.4305555555555552E-4</v>
      </c>
      <c r="K538" s="6">
        <v>21</v>
      </c>
      <c r="L538" t="s">
        <v>3626</v>
      </c>
      <c r="M538" t="s">
        <v>670</v>
      </c>
      <c r="N538" t="s">
        <v>102</v>
      </c>
      <c r="O538" t="s">
        <v>23</v>
      </c>
      <c r="P538">
        <v>1</v>
      </c>
      <c r="Q538" t="s">
        <v>24</v>
      </c>
      <c r="R538">
        <v>0</v>
      </c>
      <c r="S538" t="s">
        <v>176</v>
      </c>
      <c r="T538" s="5" t="s">
        <v>24</v>
      </c>
      <c r="U538" s="5" t="s">
        <v>1035</v>
      </c>
      <c r="V538" s="5" t="s">
        <v>115</v>
      </c>
      <c r="W538" s="5"/>
      <c r="X538" s="5"/>
      <c r="Y538" s="5"/>
      <c r="Z538" s="5" t="s">
        <v>115</v>
      </c>
      <c r="AA538" s="5" t="s">
        <v>115</v>
      </c>
      <c r="AB538" s="5" t="s">
        <v>115</v>
      </c>
      <c r="AC538" s="5" t="s">
        <v>115</v>
      </c>
      <c r="AD538" s="5" t="s">
        <v>115</v>
      </c>
      <c r="AE538" s="5" t="s">
        <v>115</v>
      </c>
      <c r="AF538" s="5" t="s">
        <v>115</v>
      </c>
      <c r="AG538" s="5" t="s">
        <v>115</v>
      </c>
      <c r="AH538">
        <v>0</v>
      </c>
      <c r="AI538">
        <v>6</v>
      </c>
      <c r="AJ538">
        <v>0</v>
      </c>
      <c r="AK538">
        <v>6</v>
      </c>
      <c r="AL538">
        <v>0</v>
      </c>
      <c r="AM538">
        <f t="shared" si="8"/>
        <v>6</v>
      </c>
      <c r="AN538" t="s">
        <v>165</v>
      </c>
      <c r="AP538" t="s">
        <v>176</v>
      </c>
    </row>
    <row r="539" spans="1:43" x14ac:dyDescent="0.2">
      <c r="A539" t="s">
        <v>3657</v>
      </c>
      <c r="B539" t="s">
        <v>3655</v>
      </c>
      <c r="C539">
        <v>13</v>
      </c>
      <c r="D539">
        <v>1</v>
      </c>
      <c r="E539" t="s">
        <v>2487</v>
      </c>
      <c r="F539" s="1">
        <v>43585</v>
      </c>
      <c r="G539" s="1" t="s">
        <v>4027</v>
      </c>
      <c r="H539" s="1"/>
      <c r="I539" s="2">
        <v>4.1666666666666666E-3</v>
      </c>
      <c r="J539" s="176">
        <v>6.9444444444444444E-5</v>
      </c>
      <c r="K539" s="6">
        <v>6</v>
      </c>
      <c r="L539" t="s">
        <v>3626</v>
      </c>
      <c r="M539" t="s">
        <v>2488</v>
      </c>
      <c r="N539" t="s">
        <v>102</v>
      </c>
      <c r="O539" t="s">
        <v>115</v>
      </c>
      <c r="P539">
        <v>0</v>
      </c>
      <c r="Q539">
        <v>0</v>
      </c>
      <c r="R539">
        <v>0</v>
      </c>
      <c r="T539" s="5" t="s">
        <v>115</v>
      </c>
      <c r="U539" s="5" t="s">
        <v>115</v>
      </c>
      <c r="V539" s="5" t="s">
        <v>115</v>
      </c>
      <c r="W539" s="5"/>
      <c r="X539" s="5"/>
      <c r="Y539" s="5"/>
      <c r="Z539" s="5" t="s">
        <v>115</v>
      </c>
      <c r="AA539" s="5" t="s">
        <v>115</v>
      </c>
      <c r="AB539" s="5" t="s">
        <v>115</v>
      </c>
      <c r="AC539" s="5" t="s">
        <v>115</v>
      </c>
      <c r="AD539" s="5" t="s">
        <v>115</v>
      </c>
      <c r="AE539" s="5" t="s">
        <v>115</v>
      </c>
      <c r="AF539" s="5" t="s">
        <v>115</v>
      </c>
      <c r="AG539" s="5" t="s">
        <v>115</v>
      </c>
      <c r="AH539">
        <v>0</v>
      </c>
      <c r="AI539">
        <v>0</v>
      </c>
      <c r="AJ539">
        <v>0</v>
      </c>
      <c r="AK539">
        <v>0</v>
      </c>
      <c r="AL539">
        <v>6</v>
      </c>
      <c r="AM539">
        <f t="shared" si="8"/>
        <v>6</v>
      </c>
      <c r="AN539" t="s">
        <v>188</v>
      </c>
    </row>
    <row r="540" spans="1:43" x14ac:dyDescent="0.2">
      <c r="A540" t="s">
        <v>3127</v>
      </c>
      <c r="B540" t="s">
        <v>3131</v>
      </c>
      <c r="C540">
        <v>17</v>
      </c>
      <c r="D540">
        <v>1</v>
      </c>
      <c r="E540" t="s">
        <v>324</v>
      </c>
      <c r="F540" s="1">
        <v>43570</v>
      </c>
      <c r="G540" s="1" t="s">
        <v>4027</v>
      </c>
      <c r="H540" s="1"/>
      <c r="I540" s="2">
        <v>2.1527777777777781E-2</v>
      </c>
      <c r="J540" s="176">
        <v>3.5879629629629635E-4</v>
      </c>
      <c r="K540" s="6">
        <v>31</v>
      </c>
      <c r="L540" t="s">
        <v>101</v>
      </c>
      <c r="M540" t="s">
        <v>325</v>
      </c>
      <c r="N540" t="s">
        <v>102</v>
      </c>
      <c r="O540" t="s">
        <v>23</v>
      </c>
      <c r="P540" t="s">
        <v>24</v>
      </c>
      <c r="Q540">
        <v>0</v>
      </c>
      <c r="R540">
        <v>0</v>
      </c>
      <c r="T540" s="5" t="s">
        <v>115</v>
      </c>
      <c r="U540" s="5" t="s">
        <v>115</v>
      </c>
      <c r="V540" s="5" t="s">
        <v>115</v>
      </c>
      <c r="W540" s="5"/>
      <c r="X540" s="5"/>
      <c r="Y540" s="5"/>
      <c r="Z540" s="5" t="s">
        <v>115</v>
      </c>
      <c r="AA540" s="5" t="s">
        <v>115</v>
      </c>
      <c r="AB540" s="5" t="s">
        <v>115</v>
      </c>
      <c r="AC540" s="5" t="s">
        <v>115</v>
      </c>
      <c r="AD540" s="5" t="s">
        <v>115</v>
      </c>
      <c r="AE540" s="5" t="s">
        <v>115</v>
      </c>
      <c r="AF540" s="5" t="s">
        <v>115</v>
      </c>
      <c r="AG540" s="5"/>
      <c r="AH540">
        <v>6</v>
      </c>
      <c r="AI540">
        <v>0</v>
      </c>
      <c r="AJ540">
        <v>6</v>
      </c>
      <c r="AK540">
        <v>0</v>
      </c>
      <c r="AL540">
        <v>0</v>
      </c>
      <c r="AM540">
        <f t="shared" si="8"/>
        <v>6</v>
      </c>
      <c r="AN540" t="s">
        <v>188</v>
      </c>
      <c r="AO540" t="s">
        <v>3129</v>
      </c>
    </row>
    <row r="541" spans="1:43" x14ac:dyDescent="0.2">
      <c r="A541" t="s">
        <v>3932</v>
      </c>
      <c r="B541" t="s">
        <v>3933</v>
      </c>
      <c r="C541">
        <v>4</v>
      </c>
      <c r="D541">
        <v>1</v>
      </c>
      <c r="E541" t="s">
        <v>324</v>
      </c>
      <c r="F541" s="1">
        <v>43593</v>
      </c>
      <c r="G541" s="1" t="s">
        <v>4028</v>
      </c>
      <c r="H541" s="1"/>
      <c r="I541" s="2">
        <v>4.1666666666666666E-3</v>
      </c>
      <c r="J541" s="176">
        <v>6.9444444444444444E-5</v>
      </c>
      <c r="K541" s="6">
        <v>6</v>
      </c>
      <c r="L541" t="s">
        <v>3929</v>
      </c>
      <c r="M541" t="s">
        <v>325</v>
      </c>
      <c r="N541" t="s">
        <v>102</v>
      </c>
      <c r="O541" t="s">
        <v>115</v>
      </c>
      <c r="P541" t="s">
        <v>24</v>
      </c>
      <c r="Q541">
        <v>0</v>
      </c>
      <c r="R541">
        <v>0</v>
      </c>
      <c r="T541" s="5" t="s">
        <v>115</v>
      </c>
      <c r="U541" s="5" t="s">
        <v>115</v>
      </c>
      <c r="V541" s="5" t="s">
        <v>115</v>
      </c>
      <c r="W541" s="5"/>
      <c r="X541" s="5"/>
      <c r="Y541" s="5"/>
      <c r="Z541" s="5" t="s">
        <v>115</v>
      </c>
      <c r="AA541" s="5" t="s">
        <v>115</v>
      </c>
      <c r="AB541" s="5" t="s">
        <v>115</v>
      </c>
      <c r="AC541" s="5" t="s">
        <v>115</v>
      </c>
      <c r="AD541" s="5" t="s">
        <v>115</v>
      </c>
      <c r="AE541" s="5" t="s">
        <v>115</v>
      </c>
      <c r="AF541" s="5" t="s">
        <v>115</v>
      </c>
      <c r="AG541" s="5" t="s">
        <v>115</v>
      </c>
      <c r="AH541">
        <v>6</v>
      </c>
      <c r="AI541">
        <v>0</v>
      </c>
      <c r="AJ541">
        <v>6</v>
      </c>
      <c r="AK541">
        <v>0</v>
      </c>
      <c r="AL541">
        <v>0</v>
      </c>
      <c r="AM541">
        <f t="shared" si="8"/>
        <v>6</v>
      </c>
      <c r="AN541" t="s">
        <v>165</v>
      </c>
      <c r="AP541">
        <v>1</v>
      </c>
      <c r="AQ541">
        <v>0</v>
      </c>
    </row>
    <row r="542" spans="1:43" x14ac:dyDescent="0.2">
      <c r="A542" t="s">
        <v>2368</v>
      </c>
      <c r="B542" t="s">
        <v>2369</v>
      </c>
      <c r="C542">
        <v>11</v>
      </c>
      <c r="D542">
        <v>2</v>
      </c>
      <c r="E542" t="s">
        <v>2343</v>
      </c>
      <c r="F542" s="1">
        <v>43544</v>
      </c>
      <c r="G542" s="1" t="s">
        <v>4026</v>
      </c>
      <c r="H542" s="1"/>
      <c r="I542" s="2">
        <v>3.6111111111111115E-2</v>
      </c>
      <c r="J542" s="176">
        <v>6.018518518518519E-4</v>
      </c>
      <c r="K542" s="6">
        <v>52</v>
      </c>
      <c r="L542" t="s">
        <v>101</v>
      </c>
      <c r="M542" t="s">
        <v>2355</v>
      </c>
      <c r="N542" t="s">
        <v>102</v>
      </c>
      <c r="O542" t="s">
        <v>115</v>
      </c>
      <c r="P542">
        <v>1</v>
      </c>
      <c r="Q542">
        <v>0</v>
      </c>
      <c r="R542">
        <v>0</v>
      </c>
      <c r="S542" t="s">
        <v>176</v>
      </c>
      <c r="T542" t="s">
        <v>24</v>
      </c>
      <c r="U542" t="s">
        <v>122</v>
      </c>
      <c r="V542" t="s">
        <v>115</v>
      </c>
      <c r="Z542" t="s">
        <v>115</v>
      </c>
      <c r="AA542" t="s">
        <v>115</v>
      </c>
      <c r="AB542" t="s">
        <v>115</v>
      </c>
      <c r="AC542" t="s">
        <v>115</v>
      </c>
      <c r="AD542" t="s">
        <v>115</v>
      </c>
      <c r="AH542">
        <v>0</v>
      </c>
      <c r="AI542">
        <v>0</v>
      </c>
      <c r="AJ542">
        <v>0</v>
      </c>
      <c r="AK542">
        <v>0</v>
      </c>
      <c r="AL542">
        <v>5</v>
      </c>
      <c r="AM542">
        <f t="shared" si="8"/>
        <v>5</v>
      </c>
      <c r="AN542" t="s">
        <v>188</v>
      </c>
      <c r="AP542">
        <v>0</v>
      </c>
      <c r="AQ542">
        <v>0</v>
      </c>
    </row>
    <row r="543" spans="1:43" x14ac:dyDescent="0.2">
      <c r="A543" t="s">
        <v>2549</v>
      </c>
      <c r="B543" t="s">
        <v>2550</v>
      </c>
      <c r="C543">
        <v>3</v>
      </c>
      <c r="D543">
        <v>2</v>
      </c>
      <c r="E543" t="s">
        <v>324</v>
      </c>
      <c r="F543" s="1">
        <v>43550</v>
      </c>
      <c r="G543" s="1" t="s">
        <v>4026</v>
      </c>
      <c r="H543" s="1"/>
      <c r="I543" s="2">
        <v>4.9305555555555554E-2</v>
      </c>
      <c r="J543" s="176">
        <v>8.2175925925925917E-4</v>
      </c>
      <c r="K543" s="6">
        <v>71</v>
      </c>
      <c r="L543" s="5" t="s">
        <v>640</v>
      </c>
      <c r="M543" t="s">
        <v>325</v>
      </c>
      <c r="N543" t="s">
        <v>156</v>
      </c>
      <c r="O543" t="s">
        <v>23</v>
      </c>
      <c r="P543">
        <v>1</v>
      </c>
      <c r="Q543">
        <v>0</v>
      </c>
      <c r="R543">
        <v>0</v>
      </c>
      <c r="S543" t="s">
        <v>598</v>
      </c>
      <c r="T543" t="s">
        <v>2506</v>
      </c>
      <c r="U543" t="s">
        <v>122</v>
      </c>
      <c r="V543" t="s">
        <v>115</v>
      </c>
      <c r="Z543" t="s">
        <v>115</v>
      </c>
      <c r="AA543" t="s">
        <v>115</v>
      </c>
      <c r="AB543" t="s">
        <v>115</v>
      </c>
      <c r="AC543" t="s">
        <v>115</v>
      </c>
      <c r="AD543" t="s">
        <v>115</v>
      </c>
      <c r="AH543">
        <v>0</v>
      </c>
      <c r="AI543">
        <v>0</v>
      </c>
      <c r="AJ543">
        <v>0</v>
      </c>
      <c r="AK543">
        <v>0</v>
      </c>
      <c r="AL543">
        <v>5</v>
      </c>
      <c r="AM543">
        <f t="shared" si="8"/>
        <v>5</v>
      </c>
      <c r="AN543" t="s">
        <v>188</v>
      </c>
      <c r="AO543" t="s">
        <v>2552</v>
      </c>
    </row>
    <row r="544" spans="1:43" x14ac:dyDescent="0.2">
      <c r="A544" t="s">
        <v>2955</v>
      </c>
      <c r="B544" t="s">
        <v>2956</v>
      </c>
      <c r="C544">
        <v>13</v>
      </c>
      <c r="D544">
        <v>1</v>
      </c>
      <c r="E544" t="s">
        <v>834</v>
      </c>
      <c r="F544" s="1">
        <v>43560</v>
      </c>
      <c r="G544" s="1" t="s">
        <v>4027</v>
      </c>
      <c r="H544" s="1"/>
      <c r="I544" s="2">
        <v>7.6388888888888886E-3</v>
      </c>
      <c r="J544" s="176">
        <v>1.273148148148148E-4</v>
      </c>
      <c r="K544" s="6">
        <v>11</v>
      </c>
      <c r="M544" t="s">
        <v>466</v>
      </c>
      <c r="N544" t="s">
        <v>102</v>
      </c>
      <c r="O544" t="s">
        <v>115</v>
      </c>
      <c r="P544">
        <v>1</v>
      </c>
      <c r="Q544">
        <v>0</v>
      </c>
      <c r="R544">
        <v>0</v>
      </c>
      <c r="S544" t="s">
        <v>598</v>
      </c>
      <c r="T544" s="5" t="s">
        <v>2801</v>
      </c>
      <c r="U544" s="5" t="s">
        <v>122</v>
      </c>
      <c r="V544" s="5" t="s">
        <v>115</v>
      </c>
      <c r="W544" s="5"/>
      <c r="X544" s="5"/>
      <c r="Y544" s="5"/>
      <c r="Z544" s="5" t="s">
        <v>115</v>
      </c>
      <c r="AA544" s="5" t="s">
        <v>115</v>
      </c>
      <c r="AB544" s="5" t="s">
        <v>115</v>
      </c>
      <c r="AC544" s="5" t="s">
        <v>115</v>
      </c>
      <c r="AD544" s="5" t="s">
        <v>115</v>
      </c>
      <c r="AE544" s="5" t="s">
        <v>115</v>
      </c>
      <c r="AF544" s="5" t="s">
        <v>115</v>
      </c>
      <c r="AG544" s="5"/>
      <c r="AH544">
        <v>0</v>
      </c>
      <c r="AI544">
        <v>0</v>
      </c>
      <c r="AJ544">
        <v>0</v>
      </c>
      <c r="AK544">
        <v>0</v>
      </c>
      <c r="AL544">
        <v>5</v>
      </c>
      <c r="AM544">
        <f t="shared" si="8"/>
        <v>5</v>
      </c>
      <c r="AN544" t="s">
        <v>188</v>
      </c>
    </row>
    <row r="545" spans="1:43" x14ac:dyDescent="0.2">
      <c r="A545" t="s">
        <v>3013</v>
      </c>
      <c r="B545" t="s">
        <v>3014</v>
      </c>
      <c r="C545">
        <v>1</v>
      </c>
      <c r="D545">
        <v>1</v>
      </c>
      <c r="E545" t="s">
        <v>2487</v>
      </c>
      <c r="F545" s="1">
        <v>43564</v>
      </c>
      <c r="G545" s="1" t="s">
        <v>4027</v>
      </c>
      <c r="H545" s="1"/>
      <c r="I545" s="2">
        <v>2.7083333333333334E-2</v>
      </c>
      <c r="J545" s="176">
        <v>4.5138888888888892E-4</v>
      </c>
      <c r="K545" s="6">
        <v>39</v>
      </c>
      <c r="M545" t="s">
        <v>2488</v>
      </c>
      <c r="N545" t="s">
        <v>102</v>
      </c>
      <c r="O545" t="s">
        <v>115</v>
      </c>
      <c r="P545">
        <v>1</v>
      </c>
      <c r="Q545">
        <v>0</v>
      </c>
      <c r="R545">
        <v>1</v>
      </c>
      <c r="S545" t="s">
        <v>598</v>
      </c>
      <c r="T545" s="5" t="s">
        <v>2506</v>
      </c>
      <c r="U545" s="5" t="s">
        <v>122</v>
      </c>
      <c r="V545" s="5" t="s">
        <v>2088</v>
      </c>
      <c r="W545" s="5" t="s">
        <v>23</v>
      </c>
      <c r="X545" s="5" t="s">
        <v>3997</v>
      </c>
      <c r="Y545" s="5" t="s">
        <v>4021</v>
      </c>
      <c r="Z545" t="s">
        <v>2825</v>
      </c>
      <c r="AA545">
        <v>95</v>
      </c>
      <c r="AB545">
        <v>1</v>
      </c>
      <c r="AC545">
        <v>63.71951</v>
      </c>
      <c r="AD545">
        <v>148.98781</v>
      </c>
      <c r="AE545" s="5" t="s">
        <v>115</v>
      </c>
      <c r="AF545" s="5" t="s">
        <v>115</v>
      </c>
      <c r="AG545" s="5"/>
      <c r="AH545">
        <v>0</v>
      </c>
      <c r="AI545">
        <v>0</v>
      </c>
      <c r="AJ545">
        <v>0</v>
      </c>
      <c r="AK545">
        <v>0</v>
      </c>
      <c r="AL545">
        <v>5</v>
      </c>
      <c r="AM545">
        <f t="shared" si="8"/>
        <v>5</v>
      </c>
      <c r="AN545" t="s">
        <v>188</v>
      </c>
      <c r="AO545" t="s">
        <v>3015</v>
      </c>
    </row>
    <row r="546" spans="1:43" x14ac:dyDescent="0.2">
      <c r="A546" t="s">
        <v>3061</v>
      </c>
      <c r="B546" t="s">
        <v>3062</v>
      </c>
      <c r="C546">
        <v>5</v>
      </c>
      <c r="D546">
        <v>2</v>
      </c>
      <c r="E546" t="s">
        <v>176</v>
      </c>
      <c r="F546" s="1">
        <v>43566</v>
      </c>
      <c r="G546" s="1" t="s">
        <v>4027</v>
      </c>
      <c r="H546" s="1"/>
      <c r="I546" s="2">
        <v>7.1527777777777787E-2</v>
      </c>
      <c r="J546" s="176">
        <v>1.1921296296296296E-3</v>
      </c>
      <c r="K546" s="6">
        <v>103</v>
      </c>
      <c r="M546" t="s">
        <v>3051</v>
      </c>
      <c r="N546" t="s">
        <v>102</v>
      </c>
      <c r="O546" t="s">
        <v>23</v>
      </c>
      <c r="P546">
        <v>1</v>
      </c>
      <c r="Q546" t="s">
        <v>176</v>
      </c>
      <c r="R546">
        <v>0</v>
      </c>
      <c r="S546" t="s">
        <v>176</v>
      </c>
      <c r="T546" s="5" t="s">
        <v>24</v>
      </c>
      <c r="U546" s="5" t="s">
        <v>709</v>
      </c>
      <c r="V546" s="5" t="s">
        <v>115</v>
      </c>
      <c r="W546" s="5"/>
      <c r="X546" s="5"/>
      <c r="Y546" s="5"/>
      <c r="Z546" s="5" t="s">
        <v>115</v>
      </c>
      <c r="AA546" s="5" t="s">
        <v>115</v>
      </c>
      <c r="AB546" s="5" t="s">
        <v>115</v>
      </c>
      <c r="AC546" s="5" t="s">
        <v>115</v>
      </c>
      <c r="AD546" s="5" t="s">
        <v>115</v>
      </c>
      <c r="AE546" s="5" t="s">
        <v>115</v>
      </c>
      <c r="AF546" s="5" t="s">
        <v>115</v>
      </c>
      <c r="AG546" s="5"/>
      <c r="AH546">
        <v>5</v>
      </c>
      <c r="AI546">
        <v>0</v>
      </c>
      <c r="AJ546">
        <v>5</v>
      </c>
      <c r="AK546">
        <v>0</v>
      </c>
      <c r="AL546">
        <v>0</v>
      </c>
      <c r="AM546">
        <f t="shared" si="8"/>
        <v>5</v>
      </c>
      <c r="AN546" t="s">
        <v>188</v>
      </c>
    </row>
    <row r="547" spans="1:43" x14ac:dyDescent="0.2">
      <c r="A547" t="s">
        <v>3084</v>
      </c>
      <c r="B547" t="s">
        <v>3085</v>
      </c>
      <c r="C547">
        <v>7</v>
      </c>
      <c r="D547">
        <v>1</v>
      </c>
      <c r="E547" t="s">
        <v>2601</v>
      </c>
      <c r="F547" s="1">
        <v>43570</v>
      </c>
      <c r="G547" s="1" t="s">
        <v>4027</v>
      </c>
      <c r="H547" s="1"/>
      <c r="I547" s="2">
        <v>3.7499999999999999E-2</v>
      </c>
      <c r="J547" s="176">
        <v>6.2500000000000001E-4</v>
      </c>
      <c r="K547" s="6">
        <v>54</v>
      </c>
      <c r="L547" t="s">
        <v>101</v>
      </c>
      <c r="M547" t="s">
        <v>177</v>
      </c>
      <c r="N547" t="s">
        <v>102</v>
      </c>
      <c r="O547" t="s">
        <v>115</v>
      </c>
      <c r="P547">
        <v>1</v>
      </c>
      <c r="Q547">
        <v>0</v>
      </c>
      <c r="R547">
        <v>0</v>
      </c>
      <c r="S547" t="s">
        <v>598</v>
      </c>
      <c r="T547" s="5" t="s">
        <v>2506</v>
      </c>
      <c r="U547" s="5" t="s">
        <v>122</v>
      </c>
      <c r="V547" s="5" t="s">
        <v>115</v>
      </c>
      <c r="W547" s="5"/>
      <c r="X547" s="5"/>
      <c r="Y547" s="5"/>
      <c r="Z547" s="5" t="s">
        <v>115</v>
      </c>
      <c r="AA547" s="5" t="s">
        <v>115</v>
      </c>
      <c r="AB547" s="5" t="s">
        <v>115</v>
      </c>
      <c r="AC547" s="5" t="s">
        <v>115</v>
      </c>
      <c r="AD547" s="5" t="s">
        <v>115</v>
      </c>
      <c r="AE547" s="5" t="s">
        <v>115</v>
      </c>
      <c r="AF547" s="5" t="s">
        <v>115</v>
      </c>
      <c r="AG547" s="5"/>
      <c r="AH547">
        <v>0</v>
      </c>
      <c r="AI547">
        <v>0</v>
      </c>
      <c r="AJ547">
        <v>0</v>
      </c>
      <c r="AK547">
        <v>0</v>
      </c>
      <c r="AL547">
        <v>5</v>
      </c>
      <c r="AM547">
        <f t="shared" si="8"/>
        <v>5</v>
      </c>
      <c r="AN547" t="s">
        <v>188</v>
      </c>
      <c r="AO547" t="s">
        <v>3086</v>
      </c>
    </row>
    <row r="548" spans="1:43" x14ac:dyDescent="0.2">
      <c r="A548" t="s">
        <v>3183</v>
      </c>
      <c r="B548" t="s">
        <v>3182</v>
      </c>
      <c r="C548">
        <v>7</v>
      </c>
      <c r="D548">
        <v>1</v>
      </c>
      <c r="E548" t="s">
        <v>3171</v>
      </c>
      <c r="F548" s="1">
        <v>43571</v>
      </c>
      <c r="G548" s="1" t="s">
        <v>4027</v>
      </c>
      <c r="H548" s="1"/>
      <c r="I548" s="2">
        <v>3.6111111111111115E-2</v>
      </c>
      <c r="J548" s="176">
        <v>6.018518518518519E-4</v>
      </c>
      <c r="K548" s="6">
        <v>52</v>
      </c>
      <c r="L548" t="s">
        <v>1278</v>
      </c>
      <c r="M548" t="s">
        <v>149</v>
      </c>
      <c r="N548" t="s">
        <v>102</v>
      </c>
      <c r="O548" t="s">
        <v>23</v>
      </c>
      <c r="P548">
        <v>1</v>
      </c>
      <c r="Q548">
        <v>0</v>
      </c>
      <c r="R548">
        <v>0</v>
      </c>
      <c r="S548" t="s">
        <v>598</v>
      </c>
      <c r="T548" s="5" t="s">
        <v>598</v>
      </c>
      <c r="U548" s="5" t="s">
        <v>3184</v>
      </c>
      <c r="V548" s="5" t="s">
        <v>115</v>
      </c>
      <c r="W548" s="5"/>
      <c r="X548" s="5"/>
      <c r="Y548" s="5"/>
      <c r="Z548" s="5" t="s">
        <v>115</v>
      </c>
      <c r="AA548" s="5" t="s">
        <v>115</v>
      </c>
      <c r="AB548" s="5" t="s">
        <v>115</v>
      </c>
      <c r="AC548" s="5" t="s">
        <v>115</v>
      </c>
      <c r="AD548" s="5" t="s">
        <v>115</v>
      </c>
      <c r="AE548" s="5" t="s">
        <v>115</v>
      </c>
      <c r="AF548" s="5" t="s">
        <v>115</v>
      </c>
      <c r="AG548" s="5"/>
      <c r="AH548">
        <v>5</v>
      </c>
      <c r="AI548">
        <v>0</v>
      </c>
      <c r="AJ548">
        <v>5</v>
      </c>
      <c r="AK548">
        <v>0</v>
      </c>
      <c r="AL548">
        <v>0</v>
      </c>
      <c r="AM548">
        <f t="shared" si="8"/>
        <v>5</v>
      </c>
      <c r="AN548" t="s">
        <v>16</v>
      </c>
      <c r="AP548">
        <v>0</v>
      </c>
      <c r="AQ548">
        <v>1</v>
      </c>
    </row>
    <row r="549" spans="1:43" x14ac:dyDescent="0.2">
      <c r="A549" t="s">
        <v>3147</v>
      </c>
      <c r="B549" t="s">
        <v>3148</v>
      </c>
      <c r="C549">
        <v>1</v>
      </c>
      <c r="D549">
        <v>1</v>
      </c>
      <c r="E549" t="s">
        <v>834</v>
      </c>
      <c r="F549" s="1">
        <v>43571</v>
      </c>
      <c r="G549" s="1" t="s">
        <v>4027</v>
      </c>
      <c r="H549" s="1"/>
      <c r="I549" s="2">
        <v>3.2638888888888891E-2</v>
      </c>
      <c r="J549" s="176">
        <v>5.4398148148148144E-4</v>
      </c>
      <c r="K549" s="6">
        <v>47</v>
      </c>
      <c r="L549" t="s">
        <v>1278</v>
      </c>
      <c r="M549" t="s">
        <v>466</v>
      </c>
      <c r="N549" t="s">
        <v>102</v>
      </c>
      <c r="O549" t="s">
        <v>115</v>
      </c>
      <c r="P549">
        <v>1</v>
      </c>
      <c r="Q549">
        <v>0</v>
      </c>
      <c r="R549">
        <v>0</v>
      </c>
      <c r="S549" t="s">
        <v>461</v>
      </c>
      <c r="T549" s="5" t="s">
        <v>2605</v>
      </c>
      <c r="U549" s="5" t="s">
        <v>122</v>
      </c>
      <c r="V549" t="s">
        <v>115</v>
      </c>
      <c r="Z549" t="s">
        <v>115</v>
      </c>
      <c r="AA549" t="s">
        <v>115</v>
      </c>
      <c r="AB549" t="s">
        <v>115</v>
      </c>
      <c r="AC549" t="s">
        <v>115</v>
      </c>
      <c r="AD549" t="s">
        <v>115</v>
      </c>
      <c r="AE549" t="s">
        <v>115</v>
      </c>
      <c r="AF549" t="s">
        <v>115</v>
      </c>
      <c r="AH549">
        <v>0</v>
      </c>
      <c r="AI549">
        <v>0</v>
      </c>
      <c r="AJ549">
        <v>0</v>
      </c>
      <c r="AK549">
        <v>0</v>
      </c>
      <c r="AL549">
        <v>5</v>
      </c>
      <c r="AM549">
        <f t="shared" si="8"/>
        <v>5</v>
      </c>
      <c r="AN549" t="s">
        <v>188</v>
      </c>
    </row>
    <row r="550" spans="1:43" x14ac:dyDescent="0.2">
      <c r="A550" t="s">
        <v>3228</v>
      </c>
      <c r="B550" t="s">
        <v>3229</v>
      </c>
      <c r="C550">
        <v>1</v>
      </c>
      <c r="D550">
        <v>1</v>
      </c>
      <c r="E550" t="s">
        <v>791</v>
      </c>
      <c r="F550" s="1">
        <v>43572</v>
      </c>
      <c r="G550" s="1" t="s">
        <v>4027</v>
      </c>
      <c r="H550" s="1"/>
      <c r="I550" s="2">
        <v>4.0972222222222222E-2</v>
      </c>
      <c r="J550" s="176">
        <v>6.8287037037037025E-4</v>
      </c>
      <c r="K550" s="6">
        <v>59</v>
      </c>
      <c r="L550" t="s">
        <v>3187</v>
      </c>
      <c r="M550" t="s">
        <v>924</v>
      </c>
      <c r="N550" t="s">
        <v>102</v>
      </c>
      <c r="O550" t="s">
        <v>115</v>
      </c>
      <c r="P550">
        <v>1</v>
      </c>
      <c r="Q550">
        <v>0</v>
      </c>
      <c r="R550">
        <v>0</v>
      </c>
      <c r="S550" t="s">
        <v>598</v>
      </c>
      <c r="T550" s="5" t="s">
        <v>2801</v>
      </c>
      <c r="U550" s="5" t="s">
        <v>122</v>
      </c>
      <c r="V550" s="5" t="s">
        <v>115</v>
      </c>
      <c r="W550" s="5"/>
      <c r="X550" s="5"/>
      <c r="Y550" s="5"/>
      <c r="Z550" s="5" t="s">
        <v>115</v>
      </c>
      <c r="AA550" s="5" t="s">
        <v>115</v>
      </c>
      <c r="AB550" s="5" t="s">
        <v>115</v>
      </c>
      <c r="AC550" s="5" t="s">
        <v>115</v>
      </c>
      <c r="AD550" s="5" t="s">
        <v>115</v>
      </c>
      <c r="AE550" s="5" t="s">
        <v>115</v>
      </c>
      <c r="AF550" s="5" t="s">
        <v>115</v>
      </c>
      <c r="AG550" s="5" t="s">
        <v>115</v>
      </c>
      <c r="AH550">
        <v>0</v>
      </c>
      <c r="AI550">
        <v>0</v>
      </c>
      <c r="AJ550">
        <v>0</v>
      </c>
      <c r="AK550">
        <v>0</v>
      </c>
      <c r="AL550">
        <v>5</v>
      </c>
      <c r="AM550">
        <f t="shared" si="8"/>
        <v>5</v>
      </c>
      <c r="AN550" t="s">
        <v>188</v>
      </c>
    </row>
    <row r="551" spans="1:43" x14ac:dyDescent="0.2">
      <c r="A551" t="s">
        <v>3588</v>
      </c>
      <c r="B551" t="s">
        <v>3589</v>
      </c>
      <c r="C551">
        <v>37</v>
      </c>
      <c r="D551">
        <v>1</v>
      </c>
      <c r="E551" t="s">
        <v>3171</v>
      </c>
      <c r="F551" s="1">
        <v>43580</v>
      </c>
      <c r="G551" s="1" t="s">
        <v>4027</v>
      </c>
      <c r="H551" s="1"/>
      <c r="I551" s="2">
        <v>1.3194444444444444E-2</v>
      </c>
      <c r="J551" s="176">
        <v>2.199074074074074E-4</v>
      </c>
      <c r="K551" s="6">
        <v>19</v>
      </c>
      <c r="L551" t="s">
        <v>101</v>
      </c>
      <c r="M551" t="s">
        <v>149</v>
      </c>
      <c r="N551" t="s">
        <v>102</v>
      </c>
      <c r="O551" t="s">
        <v>23</v>
      </c>
      <c r="P551">
        <v>1</v>
      </c>
      <c r="Q551" t="s">
        <v>24</v>
      </c>
      <c r="R551">
        <v>0</v>
      </c>
      <c r="S551" t="s">
        <v>176</v>
      </c>
      <c r="T551" s="5" t="s">
        <v>24</v>
      </c>
      <c r="U551" s="5" t="s">
        <v>3591</v>
      </c>
      <c r="V551" s="5" t="s">
        <v>115</v>
      </c>
      <c r="W551" s="5"/>
      <c r="X551" s="5"/>
      <c r="Y551" s="5"/>
      <c r="Z551" s="5" t="s">
        <v>115</v>
      </c>
      <c r="AA551" s="5" t="s">
        <v>115</v>
      </c>
      <c r="AB551" s="5" t="s">
        <v>115</v>
      </c>
      <c r="AC551" s="5" t="s">
        <v>115</v>
      </c>
      <c r="AD551" s="5" t="s">
        <v>115</v>
      </c>
      <c r="AE551" s="5" t="s">
        <v>115</v>
      </c>
      <c r="AF551" s="5" t="s">
        <v>115</v>
      </c>
      <c r="AG551" s="5" t="s">
        <v>115</v>
      </c>
      <c r="AH551">
        <v>0</v>
      </c>
      <c r="AI551">
        <v>0</v>
      </c>
      <c r="AJ551">
        <v>0</v>
      </c>
      <c r="AK551">
        <v>0</v>
      </c>
      <c r="AL551">
        <v>5</v>
      </c>
      <c r="AM551">
        <f t="shared" si="8"/>
        <v>5</v>
      </c>
      <c r="AN551" t="s">
        <v>188</v>
      </c>
      <c r="AO551" t="s">
        <v>3592</v>
      </c>
    </row>
    <row r="552" spans="1:43" x14ac:dyDescent="0.2">
      <c r="A552" t="s">
        <v>3685</v>
      </c>
      <c r="B552" t="s">
        <v>3686</v>
      </c>
      <c r="C552">
        <v>1</v>
      </c>
      <c r="D552">
        <v>1</v>
      </c>
      <c r="E552" t="s">
        <v>3171</v>
      </c>
      <c r="F552" s="1">
        <v>43585</v>
      </c>
      <c r="G552" s="1" t="s">
        <v>4027</v>
      </c>
      <c r="H552" s="1"/>
      <c r="I552" s="2">
        <v>2.4999999999999998E-2</v>
      </c>
      <c r="J552" s="176">
        <v>4.1666666666666669E-4</v>
      </c>
      <c r="K552" s="6">
        <v>36</v>
      </c>
      <c r="L552" t="s">
        <v>3626</v>
      </c>
      <c r="M552" t="s">
        <v>149</v>
      </c>
      <c r="N552" t="s">
        <v>102</v>
      </c>
      <c r="O552" t="s">
        <v>115</v>
      </c>
      <c r="P552">
        <v>1</v>
      </c>
      <c r="Q552">
        <v>0</v>
      </c>
      <c r="R552">
        <v>0</v>
      </c>
      <c r="S552" t="s">
        <v>598</v>
      </c>
      <c r="T552" s="5" t="s">
        <v>2437</v>
      </c>
      <c r="U552" s="5" t="s">
        <v>122</v>
      </c>
      <c r="V552" s="5" t="s">
        <v>115</v>
      </c>
      <c r="W552" s="5"/>
      <c r="X552" s="5"/>
      <c r="Y552" s="5"/>
      <c r="Z552" s="5" t="s">
        <v>115</v>
      </c>
      <c r="AA552" s="5" t="s">
        <v>115</v>
      </c>
      <c r="AB552" s="5" t="s">
        <v>115</v>
      </c>
      <c r="AC552" s="5" t="s">
        <v>115</v>
      </c>
      <c r="AD552" s="5" t="s">
        <v>115</v>
      </c>
      <c r="AE552" s="5" t="s">
        <v>115</v>
      </c>
      <c r="AF552" s="5" t="s">
        <v>115</v>
      </c>
      <c r="AG552" s="5" t="s">
        <v>115</v>
      </c>
      <c r="AH552">
        <v>0</v>
      </c>
      <c r="AI552">
        <v>0</v>
      </c>
      <c r="AJ552">
        <v>0</v>
      </c>
      <c r="AK552">
        <v>0</v>
      </c>
      <c r="AL552">
        <v>5</v>
      </c>
      <c r="AM552">
        <f t="shared" si="8"/>
        <v>5</v>
      </c>
      <c r="AN552" t="s">
        <v>188</v>
      </c>
      <c r="AO552" t="s">
        <v>3687</v>
      </c>
    </row>
    <row r="553" spans="1:43" x14ac:dyDescent="0.2">
      <c r="A553" t="s">
        <v>3372</v>
      </c>
      <c r="B553" t="s">
        <v>3373</v>
      </c>
      <c r="C553">
        <v>9</v>
      </c>
      <c r="D553">
        <v>1</v>
      </c>
      <c r="E553" t="s">
        <v>3171</v>
      </c>
      <c r="F553" s="1">
        <v>43577</v>
      </c>
      <c r="G553" s="1" t="s">
        <v>4027</v>
      </c>
      <c r="H553" s="1"/>
      <c r="I553" s="2">
        <v>3.472222222222222E-3</v>
      </c>
      <c r="J553" s="176">
        <v>5.7870370370370366E-5</v>
      </c>
      <c r="K553" s="6">
        <v>5</v>
      </c>
      <c r="L553" t="s">
        <v>101</v>
      </c>
      <c r="M553" t="s">
        <v>24</v>
      </c>
      <c r="N553" t="s">
        <v>102</v>
      </c>
      <c r="O553" t="s">
        <v>115</v>
      </c>
      <c r="P553" t="s">
        <v>24</v>
      </c>
      <c r="Q553">
        <v>0</v>
      </c>
      <c r="R553">
        <v>0</v>
      </c>
      <c r="T553" s="5" t="s">
        <v>115</v>
      </c>
      <c r="U553" s="5" t="s">
        <v>115</v>
      </c>
      <c r="V553" s="5" t="s">
        <v>115</v>
      </c>
      <c r="W553" s="5"/>
      <c r="X553" s="5"/>
      <c r="Y553" s="5"/>
      <c r="Z553" s="5" t="s">
        <v>115</v>
      </c>
      <c r="AA553" s="5" t="s">
        <v>115</v>
      </c>
      <c r="AB553" s="5" t="s">
        <v>115</v>
      </c>
      <c r="AC553" s="5" t="s">
        <v>115</v>
      </c>
      <c r="AD553" s="5" t="s">
        <v>115</v>
      </c>
      <c r="AE553" s="5" t="s">
        <v>115</v>
      </c>
      <c r="AF553" s="5" t="s">
        <v>115</v>
      </c>
      <c r="AG553" s="5" t="s">
        <v>115</v>
      </c>
      <c r="AH553">
        <v>0</v>
      </c>
      <c r="AI553">
        <v>0</v>
      </c>
      <c r="AJ553">
        <v>0</v>
      </c>
      <c r="AK553">
        <v>0</v>
      </c>
      <c r="AL553">
        <v>5</v>
      </c>
      <c r="AM553">
        <f t="shared" si="8"/>
        <v>5</v>
      </c>
      <c r="AN553" t="s">
        <v>188</v>
      </c>
    </row>
    <row r="554" spans="1:43" x14ac:dyDescent="0.2">
      <c r="A554" t="s">
        <v>3435</v>
      </c>
      <c r="B554" t="s">
        <v>3436</v>
      </c>
      <c r="C554">
        <v>4</v>
      </c>
      <c r="D554">
        <v>1</v>
      </c>
      <c r="E554" t="s">
        <v>2601</v>
      </c>
      <c r="F554" s="1">
        <v>43579</v>
      </c>
      <c r="G554" s="1" t="s">
        <v>4027</v>
      </c>
      <c r="H554" s="1"/>
      <c r="I554" s="2">
        <v>1.8055555555555557E-2</v>
      </c>
      <c r="J554" s="176">
        <v>3.0092592592592595E-4</v>
      </c>
      <c r="K554" s="6">
        <v>26</v>
      </c>
      <c r="L554" t="s">
        <v>101</v>
      </c>
      <c r="M554" t="s">
        <v>173</v>
      </c>
      <c r="N554" t="s">
        <v>102</v>
      </c>
      <c r="O554" t="s">
        <v>23</v>
      </c>
      <c r="P554" t="s">
        <v>24</v>
      </c>
      <c r="Q554" t="s">
        <v>24</v>
      </c>
      <c r="R554">
        <v>0</v>
      </c>
      <c r="T554" s="5" t="s">
        <v>115</v>
      </c>
      <c r="U554" s="5" t="s">
        <v>115</v>
      </c>
      <c r="V554" s="5" t="s">
        <v>115</v>
      </c>
      <c r="W554" s="5"/>
      <c r="X554" s="5"/>
      <c r="Y554" s="5"/>
      <c r="Z554" s="5" t="s">
        <v>115</v>
      </c>
      <c r="AA554" s="5" t="s">
        <v>115</v>
      </c>
      <c r="AB554" s="5" t="s">
        <v>115</v>
      </c>
      <c r="AC554" s="5" t="s">
        <v>115</v>
      </c>
      <c r="AD554" s="5" t="s">
        <v>115</v>
      </c>
      <c r="AE554" s="5" t="s">
        <v>115</v>
      </c>
      <c r="AF554" s="5" t="s">
        <v>115</v>
      </c>
      <c r="AG554" s="5" t="s">
        <v>115</v>
      </c>
      <c r="AH554">
        <v>5</v>
      </c>
      <c r="AI554">
        <v>0</v>
      </c>
      <c r="AJ554">
        <v>0</v>
      </c>
      <c r="AK554">
        <v>5</v>
      </c>
      <c r="AL554">
        <v>0</v>
      </c>
      <c r="AM554">
        <f t="shared" si="8"/>
        <v>5</v>
      </c>
      <c r="AN554" t="s">
        <v>188</v>
      </c>
    </row>
    <row r="555" spans="1:43" x14ac:dyDescent="0.2">
      <c r="A555" t="s">
        <v>2516</v>
      </c>
      <c r="B555" t="s">
        <v>2517</v>
      </c>
      <c r="C555">
        <v>13</v>
      </c>
      <c r="D555">
        <v>1</v>
      </c>
      <c r="E555" t="s">
        <v>2487</v>
      </c>
      <c r="F555" s="1">
        <v>43549</v>
      </c>
      <c r="G555" s="1" t="s">
        <v>4026</v>
      </c>
      <c r="H555" s="1"/>
      <c r="I555" s="2">
        <v>1.3888888888888888E-2</v>
      </c>
      <c r="J555" s="176">
        <v>2.3148148148148146E-4</v>
      </c>
      <c r="K555" s="6">
        <v>20</v>
      </c>
      <c r="L555" s="5" t="s">
        <v>640</v>
      </c>
      <c r="M555" t="s">
        <v>2488</v>
      </c>
      <c r="N555" t="s">
        <v>102</v>
      </c>
      <c r="O555" t="s">
        <v>115</v>
      </c>
      <c r="P555">
        <v>1</v>
      </c>
      <c r="Q555">
        <v>0</v>
      </c>
      <c r="R555">
        <v>0</v>
      </c>
      <c r="S555" t="s">
        <v>14</v>
      </c>
      <c r="T555" s="5" t="s">
        <v>14</v>
      </c>
      <c r="U555" s="5" t="s">
        <v>115</v>
      </c>
      <c r="V555" s="5" t="s">
        <v>115</v>
      </c>
      <c r="W555" s="5"/>
      <c r="X555" s="5"/>
      <c r="Y555" s="5"/>
      <c r="Z555" s="5" t="s">
        <v>115</v>
      </c>
      <c r="AA555" s="5" t="s">
        <v>115</v>
      </c>
      <c r="AB555" s="5" t="s">
        <v>115</v>
      </c>
      <c r="AC555" s="5" t="s">
        <v>115</v>
      </c>
      <c r="AD555" s="5" t="s">
        <v>115</v>
      </c>
      <c r="AE555" s="5"/>
      <c r="AF555" s="5"/>
      <c r="AG555" s="5"/>
      <c r="AH555">
        <v>0</v>
      </c>
      <c r="AI555">
        <v>0</v>
      </c>
      <c r="AJ555">
        <v>0</v>
      </c>
      <c r="AK555">
        <v>0</v>
      </c>
      <c r="AL555">
        <v>4</v>
      </c>
      <c r="AM555">
        <f t="shared" si="8"/>
        <v>4</v>
      </c>
      <c r="AN555" t="s">
        <v>188</v>
      </c>
      <c r="AO555" t="s">
        <v>2518</v>
      </c>
    </row>
    <row r="556" spans="1:43" x14ac:dyDescent="0.2">
      <c r="A556" t="s">
        <v>2555</v>
      </c>
      <c r="B556" t="s">
        <v>2556</v>
      </c>
      <c r="C556">
        <v>5</v>
      </c>
      <c r="D556">
        <v>1</v>
      </c>
      <c r="E556" t="s">
        <v>324</v>
      </c>
      <c r="F556" s="1">
        <v>43550</v>
      </c>
      <c r="G556" s="1" t="s">
        <v>4026</v>
      </c>
      <c r="H556" s="1"/>
      <c r="I556" s="2">
        <v>4.5833333333333337E-2</v>
      </c>
      <c r="J556" s="176">
        <v>7.6388888888888893E-4</v>
      </c>
      <c r="K556" s="6">
        <v>66</v>
      </c>
      <c r="L556" s="5" t="s">
        <v>640</v>
      </c>
      <c r="M556" t="s">
        <v>325</v>
      </c>
      <c r="N556" t="s">
        <v>187</v>
      </c>
      <c r="O556" t="s">
        <v>23</v>
      </c>
      <c r="P556">
        <v>1</v>
      </c>
      <c r="Q556">
        <v>0</v>
      </c>
      <c r="R556">
        <v>1</v>
      </c>
      <c r="S556" t="s">
        <v>14</v>
      </c>
      <c r="T556" t="s">
        <v>2557</v>
      </c>
      <c r="U556" t="s">
        <v>122</v>
      </c>
      <c r="V556" t="s">
        <v>1035</v>
      </c>
      <c r="W556" s="5" t="s">
        <v>23</v>
      </c>
      <c r="X556" s="5" t="s">
        <v>3997</v>
      </c>
      <c r="Y556" s="5" t="s">
        <v>4006</v>
      </c>
      <c r="Z556" t="s">
        <v>2558</v>
      </c>
      <c r="AA556">
        <v>270</v>
      </c>
      <c r="AB556">
        <v>10</v>
      </c>
      <c r="AC556">
        <v>63.723640000000003</v>
      </c>
      <c r="AD556">
        <v>148.89089999999999</v>
      </c>
      <c r="AH556">
        <v>0</v>
      </c>
      <c r="AI556">
        <v>0</v>
      </c>
      <c r="AJ556">
        <v>0</v>
      </c>
      <c r="AK556">
        <v>0</v>
      </c>
      <c r="AL556">
        <v>4</v>
      </c>
      <c r="AM556">
        <f t="shared" si="8"/>
        <v>4</v>
      </c>
      <c r="AN556" t="s">
        <v>188</v>
      </c>
    </row>
    <row r="557" spans="1:43" x14ac:dyDescent="0.2">
      <c r="A557" t="s">
        <v>2697</v>
      </c>
      <c r="B557" t="s">
        <v>2698</v>
      </c>
      <c r="C557">
        <v>9</v>
      </c>
      <c r="D557">
        <v>1</v>
      </c>
      <c r="E557" t="s">
        <v>324</v>
      </c>
      <c r="F557" s="1">
        <v>43554</v>
      </c>
      <c r="G557" s="1" t="s">
        <v>4026</v>
      </c>
      <c r="H557" s="1"/>
      <c r="I557" s="2">
        <v>1.9444444444444445E-2</v>
      </c>
      <c r="J557" s="176">
        <v>3.2407407407407406E-4</v>
      </c>
      <c r="K557" s="6">
        <v>28</v>
      </c>
      <c r="M557" t="s">
        <v>325</v>
      </c>
      <c r="N557" t="s">
        <v>102</v>
      </c>
      <c r="O557" t="s">
        <v>23</v>
      </c>
      <c r="P557">
        <v>1</v>
      </c>
      <c r="Q557">
        <v>0</v>
      </c>
      <c r="R557">
        <v>0</v>
      </c>
      <c r="S557" t="s">
        <v>598</v>
      </c>
      <c r="T557" t="s">
        <v>2699</v>
      </c>
      <c r="U557" t="s">
        <v>2700</v>
      </c>
      <c r="V557" t="s">
        <v>115</v>
      </c>
      <c r="Z557" t="s">
        <v>115</v>
      </c>
      <c r="AA557" t="s">
        <v>115</v>
      </c>
      <c r="AB557" t="s">
        <v>115</v>
      </c>
      <c r="AC557" t="s">
        <v>115</v>
      </c>
      <c r="AD557" t="s">
        <v>115</v>
      </c>
      <c r="AE557" t="s">
        <v>115</v>
      </c>
      <c r="AF557" t="s">
        <v>115</v>
      </c>
      <c r="AH557">
        <v>4</v>
      </c>
      <c r="AI557">
        <v>0</v>
      </c>
      <c r="AJ557">
        <v>0</v>
      </c>
      <c r="AK557">
        <v>4</v>
      </c>
      <c r="AL557">
        <v>0</v>
      </c>
      <c r="AM557">
        <f t="shared" si="8"/>
        <v>4</v>
      </c>
      <c r="AN557" t="s">
        <v>188</v>
      </c>
      <c r="AO557" t="s">
        <v>2776</v>
      </c>
    </row>
    <row r="558" spans="1:43" x14ac:dyDescent="0.2">
      <c r="A558" t="s">
        <v>2708</v>
      </c>
      <c r="B558" t="s">
        <v>2710</v>
      </c>
      <c r="C558">
        <v>14</v>
      </c>
      <c r="D558">
        <v>1</v>
      </c>
      <c r="E558" t="s">
        <v>324</v>
      </c>
      <c r="F558" s="1">
        <v>43554</v>
      </c>
      <c r="G558" s="1" t="s">
        <v>4026</v>
      </c>
      <c r="H558" s="1"/>
      <c r="I558" s="2">
        <v>4.1666666666666666E-3</v>
      </c>
      <c r="J558" s="176">
        <v>6.9444444444444444E-5</v>
      </c>
      <c r="K558" s="6">
        <v>6</v>
      </c>
      <c r="M558" t="s">
        <v>325</v>
      </c>
      <c r="N558" t="s">
        <v>102</v>
      </c>
      <c r="O558" t="s">
        <v>115</v>
      </c>
      <c r="P558">
        <v>0</v>
      </c>
      <c r="Q558">
        <v>0</v>
      </c>
      <c r="R558">
        <v>0</v>
      </c>
      <c r="T558" t="s">
        <v>115</v>
      </c>
      <c r="U558" t="s">
        <v>115</v>
      </c>
      <c r="V558" t="s">
        <v>115</v>
      </c>
      <c r="Z558" t="s">
        <v>115</v>
      </c>
      <c r="AA558" t="s">
        <v>115</v>
      </c>
      <c r="AB558" t="s">
        <v>115</v>
      </c>
      <c r="AC558" t="s">
        <v>115</v>
      </c>
      <c r="AD558" t="s">
        <v>115</v>
      </c>
      <c r="AE558" t="s">
        <v>115</v>
      </c>
      <c r="AF558" t="s">
        <v>115</v>
      </c>
      <c r="AH558">
        <v>0</v>
      </c>
      <c r="AI558">
        <v>0</v>
      </c>
      <c r="AJ558">
        <v>0</v>
      </c>
      <c r="AK558">
        <v>0</v>
      </c>
      <c r="AL558">
        <v>4</v>
      </c>
      <c r="AM558">
        <f t="shared" si="8"/>
        <v>4</v>
      </c>
      <c r="AN558" t="s">
        <v>188</v>
      </c>
    </row>
    <row r="559" spans="1:43" x14ac:dyDescent="0.2">
      <c r="A559" t="s">
        <v>2852</v>
      </c>
      <c r="B559" t="s">
        <v>2853</v>
      </c>
      <c r="C559">
        <v>1</v>
      </c>
      <c r="D559">
        <v>1</v>
      </c>
      <c r="E559" t="s">
        <v>834</v>
      </c>
      <c r="F559" s="1">
        <v>43557</v>
      </c>
      <c r="G559" s="1" t="s">
        <v>4027</v>
      </c>
      <c r="H559" s="1"/>
      <c r="I559" s="2">
        <v>5.347222222222222E-2</v>
      </c>
      <c r="J559" s="176">
        <v>8.9120370370370362E-4</v>
      </c>
      <c r="K559" s="6">
        <v>77</v>
      </c>
      <c r="M559" t="s">
        <v>466</v>
      </c>
      <c r="N559" t="s">
        <v>1626</v>
      </c>
      <c r="O559" t="s">
        <v>115</v>
      </c>
      <c r="P559">
        <v>1</v>
      </c>
      <c r="Q559">
        <v>0</v>
      </c>
      <c r="R559">
        <v>0</v>
      </c>
      <c r="S559" t="s">
        <v>598</v>
      </c>
      <c r="T559" s="5" t="s">
        <v>2801</v>
      </c>
      <c r="U559" s="5" t="s">
        <v>122</v>
      </c>
      <c r="V559" s="5" t="s">
        <v>115</v>
      </c>
      <c r="W559" s="5"/>
      <c r="X559" s="5"/>
      <c r="Y559" s="5"/>
      <c r="Z559" s="5" t="s">
        <v>115</v>
      </c>
      <c r="AA559" s="5" t="s">
        <v>115</v>
      </c>
      <c r="AB559" s="5" t="s">
        <v>115</v>
      </c>
      <c r="AC559" s="5" t="s">
        <v>115</v>
      </c>
      <c r="AD559" s="5" t="s">
        <v>115</v>
      </c>
      <c r="AE559" s="5" t="s">
        <v>115</v>
      </c>
      <c r="AF559" s="5" t="s">
        <v>115</v>
      </c>
      <c r="AG559" s="5"/>
      <c r="AH559">
        <v>0</v>
      </c>
      <c r="AI559">
        <v>0</v>
      </c>
      <c r="AJ559">
        <v>0</v>
      </c>
      <c r="AK559">
        <v>0</v>
      </c>
      <c r="AL559">
        <v>4</v>
      </c>
      <c r="AM559">
        <f t="shared" si="8"/>
        <v>4</v>
      </c>
    </row>
    <row r="560" spans="1:43" x14ac:dyDescent="0.2">
      <c r="A560" t="s">
        <v>3543</v>
      </c>
      <c r="B560" t="s">
        <v>3544</v>
      </c>
      <c r="C560">
        <v>15</v>
      </c>
      <c r="D560">
        <v>1</v>
      </c>
      <c r="E560" t="s">
        <v>3171</v>
      </c>
      <c r="F560" s="1">
        <v>43580</v>
      </c>
      <c r="G560" s="1" t="s">
        <v>4027</v>
      </c>
      <c r="H560" s="1"/>
      <c r="I560" s="2">
        <v>1.3194444444444444E-2</v>
      </c>
      <c r="J560" s="176">
        <v>2.199074074074074E-4</v>
      </c>
      <c r="K560" s="6">
        <v>19</v>
      </c>
      <c r="L560" t="s">
        <v>101</v>
      </c>
      <c r="M560" t="s">
        <v>149</v>
      </c>
      <c r="N560" t="s">
        <v>102</v>
      </c>
      <c r="O560" t="s">
        <v>23</v>
      </c>
      <c r="P560">
        <v>0</v>
      </c>
      <c r="Q560">
        <v>0</v>
      </c>
      <c r="R560">
        <v>0</v>
      </c>
      <c r="T560" s="5" t="s">
        <v>115</v>
      </c>
      <c r="U560" s="5" t="s">
        <v>115</v>
      </c>
      <c r="V560" s="5" t="s">
        <v>115</v>
      </c>
      <c r="W560" s="5"/>
      <c r="X560" s="5"/>
      <c r="Y560" s="5"/>
      <c r="Z560" s="5" t="s">
        <v>115</v>
      </c>
      <c r="AA560" s="5" t="s">
        <v>115</v>
      </c>
      <c r="AB560" s="5" t="s">
        <v>115</v>
      </c>
      <c r="AC560" s="5" t="s">
        <v>115</v>
      </c>
      <c r="AD560" s="5" t="s">
        <v>115</v>
      </c>
      <c r="AE560" s="5" t="s">
        <v>115</v>
      </c>
      <c r="AF560" s="5" t="s">
        <v>115</v>
      </c>
      <c r="AG560" s="5" t="s">
        <v>115</v>
      </c>
      <c r="AH560">
        <v>4</v>
      </c>
      <c r="AI560">
        <v>0</v>
      </c>
      <c r="AJ560">
        <v>4</v>
      </c>
      <c r="AK560">
        <v>0</v>
      </c>
      <c r="AL560">
        <v>0</v>
      </c>
      <c r="AM560">
        <f t="shared" si="8"/>
        <v>4</v>
      </c>
      <c r="AN560" t="s">
        <v>2374</v>
      </c>
      <c r="AP560">
        <v>4</v>
      </c>
      <c r="AQ560">
        <v>0</v>
      </c>
    </row>
    <row r="561" spans="1:43" x14ac:dyDescent="0.2">
      <c r="A561" t="s">
        <v>2349</v>
      </c>
      <c r="B561" t="s">
        <v>2350</v>
      </c>
      <c r="C561">
        <v>4</v>
      </c>
      <c r="D561">
        <v>1</v>
      </c>
      <c r="E561" t="s">
        <v>2343</v>
      </c>
      <c r="F561" s="1">
        <v>43544</v>
      </c>
      <c r="G561" s="1" t="s">
        <v>4026</v>
      </c>
      <c r="H561" s="1"/>
      <c r="I561" s="2">
        <v>5.5555555555555558E-3</v>
      </c>
      <c r="J561" s="176">
        <v>9.2592592592592588E-5</v>
      </c>
      <c r="K561" s="6">
        <v>8</v>
      </c>
      <c r="L561" t="s">
        <v>101</v>
      </c>
      <c r="M561" t="s">
        <v>2927</v>
      </c>
      <c r="N561" t="s">
        <v>102</v>
      </c>
      <c r="O561" t="s">
        <v>115</v>
      </c>
      <c r="P561" t="s">
        <v>24</v>
      </c>
      <c r="Q561">
        <v>0</v>
      </c>
      <c r="R561">
        <v>0</v>
      </c>
      <c r="T561" t="s">
        <v>115</v>
      </c>
      <c r="U561" t="s">
        <v>115</v>
      </c>
      <c r="V561" t="s">
        <v>115</v>
      </c>
      <c r="Z561" t="s">
        <v>115</v>
      </c>
      <c r="AA561" t="s">
        <v>115</v>
      </c>
      <c r="AB561" t="s">
        <v>115</v>
      </c>
      <c r="AC561" t="s">
        <v>115</v>
      </c>
      <c r="AD561" t="s">
        <v>115</v>
      </c>
      <c r="AH561">
        <v>0</v>
      </c>
      <c r="AI561">
        <v>0</v>
      </c>
      <c r="AJ561">
        <v>0</v>
      </c>
      <c r="AK561">
        <v>0</v>
      </c>
      <c r="AL561">
        <v>4</v>
      </c>
      <c r="AM561">
        <f t="shared" si="8"/>
        <v>4</v>
      </c>
      <c r="AN561" t="s">
        <v>188</v>
      </c>
      <c r="AP561">
        <v>0</v>
      </c>
      <c r="AQ561">
        <v>0</v>
      </c>
    </row>
    <row r="562" spans="1:43" x14ac:dyDescent="0.2">
      <c r="A562" t="s">
        <v>2767</v>
      </c>
      <c r="B562" t="s">
        <v>2768</v>
      </c>
      <c r="C562">
        <v>18</v>
      </c>
      <c r="D562">
        <v>1</v>
      </c>
      <c r="E562" t="s">
        <v>834</v>
      </c>
      <c r="F562" s="1">
        <v>43554</v>
      </c>
      <c r="G562" s="1" t="s">
        <v>4026</v>
      </c>
      <c r="H562" s="1"/>
      <c r="I562" s="2">
        <v>1.6666666666666666E-2</v>
      </c>
      <c r="J562" s="176">
        <v>2.7777777777777778E-4</v>
      </c>
      <c r="K562" s="6">
        <v>24</v>
      </c>
      <c r="M562" t="s">
        <v>466</v>
      </c>
      <c r="N562" t="s">
        <v>102</v>
      </c>
      <c r="O562" t="s">
        <v>115</v>
      </c>
      <c r="P562" t="s">
        <v>24</v>
      </c>
      <c r="Q562">
        <v>0</v>
      </c>
      <c r="R562">
        <v>0</v>
      </c>
      <c r="T562" s="5" t="s">
        <v>115</v>
      </c>
      <c r="U562" s="5" t="s">
        <v>115</v>
      </c>
      <c r="V562" s="5" t="s">
        <v>115</v>
      </c>
      <c r="W562" s="5"/>
      <c r="X562" s="5"/>
      <c r="Y562" s="5"/>
      <c r="Z562" s="5" t="s">
        <v>115</v>
      </c>
      <c r="AA562" s="5" t="s">
        <v>115</v>
      </c>
      <c r="AB562" s="5" t="s">
        <v>115</v>
      </c>
      <c r="AC562" s="5" t="s">
        <v>115</v>
      </c>
      <c r="AD562" s="5" t="s">
        <v>115</v>
      </c>
      <c r="AE562" s="5" t="s">
        <v>115</v>
      </c>
      <c r="AF562" s="5" t="s">
        <v>115</v>
      </c>
      <c r="AG562" s="5"/>
      <c r="AH562">
        <v>0</v>
      </c>
      <c r="AI562">
        <v>0</v>
      </c>
      <c r="AJ562">
        <v>0</v>
      </c>
      <c r="AK562">
        <v>0</v>
      </c>
      <c r="AL562">
        <v>4</v>
      </c>
      <c r="AM562">
        <f t="shared" si="8"/>
        <v>4</v>
      </c>
      <c r="AN562" t="s">
        <v>188</v>
      </c>
    </row>
    <row r="563" spans="1:43" x14ac:dyDescent="0.2">
      <c r="A563" t="s">
        <v>3480</v>
      </c>
      <c r="B563" t="s">
        <v>3481</v>
      </c>
      <c r="C563">
        <v>13</v>
      </c>
      <c r="D563">
        <v>1</v>
      </c>
      <c r="E563" t="s">
        <v>2462</v>
      </c>
      <c r="F563" s="1">
        <v>43579</v>
      </c>
      <c r="G563" s="1" t="s">
        <v>4027</v>
      </c>
      <c r="H563" s="1"/>
      <c r="I563" s="2">
        <v>9.0277777777777787E-3</v>
      </c>
      <c r="J563" s="176">
        <v>1.5046296296296297E-4</v>
      </c>
      <c r="K563" s="6">
        <v>13</v>
      </c>
      <c r="L563" t="s">
        <v>101</v>
      </c>
      <c r="M563" t="s">
        <v>363</v>
      </c>
      <c r="N563" t="s">
        <v>102</v>
      </c>
      <c r="O563" t="s">
        <v>12</v>
      </c>
      <c r="P563" t="s">
        <v>24</v>
      </c>
      <c r="Q563" t="s">
        <v>24</v>
      </c>
      <c r="R563">
        <v>0</v>
      </c>
      <c r="T563" s="5" t="s">
        <v>115</v>
      </c>
      <c r="U563" s="5" t="s">
        <v>115</v>
      </c>
      <c r="V563" s="5" t="s">
        <v>115</v>
      </c>
      <c r="W563" s="5"/>
      <c r="X563" s="5"/>
      <c r="Y563" s="5"/>
      <c r="Z563" s="5" t="s">
        <v>115</v>
      </c>
      <c r="AA563" s="5" t="s">
        <v>115</v>
      </c>
      <c r="AB563" s="5" t="s">
        <v>115</v>
      </c>
      <c r="AC563" s="5" t="s">
        <v>115</v>
      </c>
      <c r="AD563" s="5" t="s">
        <v>115</v>
      </c>
      <c r="AE563" s="5" t="s">
        <v>115</v>
      </c>
      <c r="AF563" s="5" t="s">
        <v>115</v>
      </c>
      <c r="AG563" s="5" t="s">
        <v>115</v>
      </c>
      <c r="AH563">
        <v>4</v>
      </c>
      <c r="AI563">
        <v>0</v>
      </c>
      <c r="AJ563">
        <v>0</v>
      </c>
      <c r="AK563">
        <v>4</v>
      </c>
      <c r="AL563">
        <v>0</v>
      </c>
      <c r="AM563">
        <f t="shared" si="8"/>
        <v>4</v>
      </c>
      <c r="AN563" t="s">
        <v>165</v>
      </c>
      <c r="AP563">
        <v>1</v>
      </c>
      <c r="AQ563">
        <v>0</v>
      </c>
    </row>
    <row r="564" spans="1:43" x14ac:dyDescent="0.2">
      <c r="A564" t="s">
        <v>3492</v>
      </c>
      <c r="B564" t="s">
        <v>3493</v>
      </c>
      <c r="C564">
        <v>19</v>
      </c>
      <c r="D564">
        <v>1</v>
      </c>
      <c r="E564" t="s">
        <v>2462</v>
      </c>
      <c r="F564" s="1">
        <v>43579</v>
      </c>
      <c r="G564" s="1" t="s">
        <v>4027</v>
      </c>
      <c r="H564" s="1"/>
      <c r="I564" s="2">
        <v>4.9305555555555554E-2</v>
      </c>
      <c r="J564" s="176">
        <v>8.2175925925925917E-4</v>
      </c>
      <c r="K564" s="6">
        <v>71</v>
      </c>
      <c r="L564" t="s">
        <v>101</v>
      </c>
      <c r="M564" t="s">
        <v>363</v>
      </c>
      <c r="N564" t="s">
        <v>102</v>
      </c>
      <c r="O564" t="s">
        <v>115</v>
      </c>
      <c r="P564" t="s">
        <v>24</v>
      </c>
      <c r="Q564">
        <v>0</v>
      </c>
      <c r="R564">
        <v>0</v>
      </c>
      <c r="T564" s="5" t="s">
        <v>115</v>
      </c>
      <c r="U564" s="5" t="s">
        <v>115</v>
      </c>
      <c r="V564" s="5" t="s">
        <v>115</v>
      </c>
      <c r="W564" s="5"/>
      <c r="X564" s="5"/>
      <c r="Y564" s="5"/>
      <c r="Z564" s="5" t="s">
        <v>115</v>
      </c>
      <c r="AA564" s="5" t="s">
        <v>115</v>
      </c>
      <c r="AB564" s="5" t="s">
        <v>115</v>
      </c>
      <c r="AC564" s="5" t="s">
        <v>115</v>
      </c>
      <c r="AD564" s="5" t="s">
        <v>115</v>
      </c>
      <c r="AE564" s="5" t="s">
        <v>115</v>
      </c>
      <c r="AF564" s="5" t="s">
        <v>115</v>
      </c>
      <c r="AG564" s="5" t="s">
        <v>115</v>
      </c>
      <c r="AH564">
        <v>0</v>
      </c>
      <c r="AI564">
        <v>0</v>
      </c>
      <c r="AJ564">
        <v>0</v>
      </c>
      <c r="AK564">
        <v>0</v>
      </c>
      <c r="AL564">
        <v>4</v>
      </c>
      <c r="AM564">
        <f t="shared" si="8"/>
        <v>4</v>
      </c>
      <c r="AN564" t="s">
        <v>188</v>
      </c>
    </row>
    <row r="565" spans="1:43" x14ac:dyDescent="0.2">
      <c r="A565" t="s">
        <v>2435</v>
      </c>
      <c r="B565" t="s">
        <v>2436</v>
      </c>
      <c r="C565">
        <v>7</v>
      </c>
      <c r="D565">
        <v>1</v>
      </c>
      <c r="E565" t="s">
        <v>2420</v>
      </c>
      <c r="F565" s="1">
        <v>43546</v>
      </c>
      <c r="G565" s="1" t="s">
        <v>4026</v>
      </c>
      <c r="H565" s="1"/>
      <c r="I565" s="2">
        <v>2.2916666666666669E-2</v>
      </c>
      <c r="J565" s="176">
        <v>3.8194444444444446E-4</v>
      </c>
      <c r="K565" s="6">
        <v>33</v>
      </c>
      <c r="L565" t="s">
        <v>101</v>
      </c>
      <c r="M565" t="s">
        <v>241</v>
      </c>
      <c r="N565" t="s">
        <v>228</v>
      </c>
      <c r="O565" t="s">
        <v>115</v>
      </c>
      <c r="P565">
        <v>1</v>
      </c>
      <c r="Q565">
        <v>0</v>
      </c>
      <c r="R565">
        <v>0</v>
      </c>
      <c r="S565" t="s">
        <v>598</v>
      </c>
      <c r="T565" t="s">
        <v>2437</v>
      </c>
      <c r="U565" t="s">
        <v>122</v>
      </c>
      <c r="V565" t="s">
        <v>176</v>
      </c>
      <c r="Z565" t="s">
        <v>115</v>
      </c>
      <c r="AA565" t="s">
        <v>115</v>
      </c>
      <c r="AB565" t="s">
        <v>115</v>
      </c>
      <c r="AC565" t="s">
        <v>115</v>
      </c>
      <c r="AD565" t="s">
        <v>115</v>
      </c>
      <c r="AH565">
        <v>0</v>
      </c>
      <c r="AI565">
        <v>0</v>
      </c>
      <c r="AJ565">
        <v>0</v>
      </c>
      <c r="AK565">
        <v>0</v>
      </c>
      <c r="AL565">
        <v>3</v>
      </c>
      <c r="AM565">
        <f t="shared" si="8"/>
        <v>3</v>
      </c>
      <c r="AN565" t="s">
        <v>188</v>
      </c>
    </row>
    <row r="566" spans="1:43" x14ac:dyDescent="0.2">
      <c r="A566" t="s">
        <v>2476</v>
      </c>
      <c r="B566" t="s">
        <v>2477</v>
      </c>
      <c r="C566">
        <v>4</v>
      </c>
      <c r="D566">
        <v>1</v>
      </c>
      <c r="E566" t="s">
        <v>140</v>
      </c>
      <c r="F566" s="1">
        <v>43549</v>
      </c>
      <c r="G566" s="1" t="s">
        <v>4026</v>
      </c>
      <c r="H566" s="1"/>
      <c r="I566" s="2">
        <v>1.8749999999999999E-2</v>
      </c>
      <c r="J566" s="176">
        <v>3.1250000000000001E-4</v>
      </c>
      <c r="K566" s="6">
        <v>27</v>
      </c>
      <c r="L566" s="5" t="s">
        <v>398</v>
      </c>
      <c r="M566" t="s">
        <v>149</v>
      </c>
      <c r="N566" t="s">
        <v>102</v>
      </c>
      <c r="O566" t="s">
        <v>115</v>
      </c>
      <c r="P566">
        <v>0</v>
      </c>
      <c r="Q566">
        <v>0</v>
      </c>
      <c r="R566">
        <v>0</v>
      </c>
      <c r="T566" t="s">
        <v>115</v>
      </c>
      <c r="U566" t="s">
        <v>115</v>
      </c>
      <c r="V566" t="s">
        <v>115</v>
      </c>
      <c r="Z566" t="s">
        <v>115</v>
      </c>
      <c r="AA566" t="s">
        <v>115</v>
      </c>
      <c r="AB566" t="s">
        <v>115</v>
      </c>
      <c r="AC566" t="s">
        <v>115</v>
      </c>
      <c r="AD566" t="s">
        <v>115</v>
      </c>
      <c r="AH566">
        <v>0</v>
      </c>
      <c r="AI566">
        <v>0</v>
      </c>
      <c r="AJ566">
        <v>0</v>
      </c>
      <c r="AK566">
        <v>0</v>
      </c>
      <c r="AL566">
        <v>3</v>
      </c>
      <c r="AM566">
        <f t="shared" si="8"/>
        <v>3</v>
      </c>
    </row>
    <row r="567" spans="1:43" x14ac:dyDescent="0.2">
      <c r="A567" t="s">
        <v>2918</v>
      </c>
      <c r="B567" t="s">
        <v>2919</v>
      </c>
      <c r="C567">
        <v>3</v>
      </c>
      <c r="D567">
        <v>1</v>
      </c>
      <c r="E567" t="s">
        <v>2462</v>
      </c>
      <c r="F567" s="1">
        <v>43559</v>
      </c>
      <c r="G567" s="1" t="s">
        <v>4027</v>
      </c>
      <c r="H567" s="1"/>
      <c r="I567" s="2">
        <v>7.6388888888888886E-3</v>
      </c>
      <c r="J567" s="176">
        <v>1.273148148148148E-4</v>
      </c>
      <c r="K567" s="6">
        <v>11</v>
      </c>
      <c r="M567" t="s">
        <v>64</v>
      </c>
      <c r="N567" t="s">
        <v>102</v>
      </c>
      <c r="O567" t="s">
        <v>23</v>
      </c>
      <c r="P567">
        <v>0</v>
      </c>
      <c r="Q567">
        <v>0</v>
      </c>
      <c r="R567">
        <v>0</v>
      </c>
      <c r="T567" s="5" t="s">
        <v>115</v>
      </c>
      <c r="V567" s="5" t="s">
        <v>115</v>
      </c>
      <c r="W567" s="5"/>
      <c r="X567" s="5"/>
      <c r="Y567" s="5"/>
      <c r="Z567" s="5" t="s">
        <v>115</v>
      </c>
      <c r="AA567" s="5" t="s">
        <v>115</v>
      </c>
      <c r="AB567" s="5" t="s">
        <v>115</v>
      </c>
      <c r="AC567" s="5" t="s">
        <v>115</v>
      </c>
      <c r="AD567" s="5" t="s">
        <v>115</v>
      </c>
      <c r="AE567" s="5" t="s">
        <v>115</v>
      </c>
      <c r="AF567" s="5" t="s">
        <v>115</v>
      </c>
      <c r="AG567" s="5"/>
      <c r="AH567">
        <v>3</v>
      </c>
      <c r="AI567">
        <v>0</v>
      </c>
      <c r="AJ567">
        <v>0</v>
      </c>
      <c r="AK567">
        <v>3</v>
      </c>
      <c r="AL567">
        <v>0</v>
      </c>
      <c r="AM567">
        <f t="shared" si="8"/>
        <v>3</v>
      </c>
      <c r="AN567" t="s">
        <v>2374</v>
      </c>
      <c r="AP567">
        <v>1</v>
      </c>
      <c r="AQ567">
        <v>0</v>
      </c>
    </row>
    <row r="568" spans="1:43" x14ac:dyDescent="0.2">
      <c r="A568" t="s">
        <v>3013</v>
      </c>
      <c r="B568" t="s">
        <v>3014</v>
      </c>
      <c r="C568">
        <v>1</v>
      </c>
      <c r="D568">
        <v>2</v>
      </c>
      <c r="E568" t="s">
        <v>2487</v>
      </c>
      <c r="F568" s="1">
        <v>43564</v>
      </c>
      <c r="G568" s="1" t="s">
        <v>4027</v>
      </c>
      <c r="H568" s="1"/>
      <c r="I568" s="2">
        <v>2.7083333333333334E-2</v>
      </c>
      <c r="J568" s="176">
        <v>4.5138888888888892E-4</v>
      </c>
      <c r="K568" s="6">
        <v>39</v>
      </c>
      <c r="M568" t="s">
        <v>24</v>
      </c>
      <c r="N568" t="s">
        <v>102</v>
      </c>
      <c r="O568" t="s">
        <v>115</v>
      </c>
      <c r="P568">
        <v>1</v>
      </c>
      <c r="Q568">
        <v>0</v>
      </c>
      <c r="R568">
        <v>0</v>
      </c>
      <c r="S568" t="s">
        <v>598</v>
      </c>
      <c r="T568" s="5" t="s">
        <v>2801</v>
      </c>
      <c r="U568" s="5" t="s">
        <v>122</v>
      </c>
      <c r="V568" s="5" t="s">
        <v>115</v>
      </c>
      <c r="W568" s="5"/>
      <c r="X568" s="5"/>
      <c r="Y568" s="5"/>
      <c r="Z568" s="5" t="s">
        <v>115</v>
      </c>
      <c r="AA568" s="5" t="s">
        <v>115</v>
      </c>
      <c r="AB568" s="5" t="s">
        <v>115</v>
      </c>
      <c r="AC568" s="5" t="s">
        <v>115</v>
      </c>
      <c r="AD568" s="5" t="s">
        <v>115</v>
      </c>
      <c r="AE568" s="5" t="s">
        <v>115</v>
      </c>
      <c r="AF568" s="5" t="s">
        <v>115</v>
      </c>
      <c r="AG568" s="5"/>
      <c r="AH568">
        <v>0</v>
      </c>
      <c r="AI568">
        <v>0</v>
      </c>
      <c r="AJ568">
        <v>0</v>
      </c>
      <c r="AK568">
        <v>0</v>
      </c>
      <c r="AL568">
        <v>3</v>
      </c>
      <c r="AM568">
        <f t="shared" si="8"/>
        <v>3</v>
      </c>
      <c r="AO568" t="s">
        <v>3021</v>
      </c>
    </row>
    <row r="569" spans="1:43" x14ac:dyDescent="0.2">
      <c r="A569" t="s">
        <v>3047</v>
      </c>
      <c r="B569" t="s">
        <v>3048</v>
      </c>
      <c r="C569">
        <v>1</v>
      </c>
      <c r="D569">
        <v>1</v>
      </c>
      <c r="E569" t="s">
        <v>834</v>
      </c>
      <c r="F569" s="1">
        <v>43565</v>
      </c>
      <c r="G569" s="1" t="s">
        <v>4027</v>
      </c>
      <c r="H569" s="1"/>
      <c r="I569" s="2">
        <v>7.6388888888888886E-3</v>
      </c>
      <c r="J569" s="176">
        <v>1.273148148148148E-4</v>
      </c>
      <c r="K569" s="6">
        <v>11</v>
      </c>
      <c r="M569" t="s">
        <v>466</v>
      </c>
      <c r="N569" t="s">
        <v>102</v>
      </c>
      <c r="O569" t="s">
        <v>23</v>
      </c>
      <c r="P569">
        <v>1</v>
      </c>
      <c r="Q569">
        <v>1</v>
      </c>
      <c r="R569">
        <v>0</v>
      </c>
      <c r="S569" t="s">
        <v>1618</v>
      </c>
      <c r="T569" s="5" t="s">
        <v>2132</v>
      </c>
      <c r="U569" s="5" t="s">
        <v>115</v>
      </c>
      <c r="V569" s="5" t="s">
        <v>115</v>
      </c>
      <c r="W569" s="5"/>
      <c r="X569" s="5"/>
      <c r="Y569" s="5"/>
      <c r="Z569" s="5" t="s">
        <v>115</v>
      </c>
      <c r="AA569" s="5" t="s">
        <v>115</v>
      </c>
      <c r="AB569" s="5" t="s">
        <v>115</v>
      </c>
      <c r="AC569" s="5" t="s">
        <v>115</v>
      </c>
      <c r="AD569" s="5" t="s">
        <v>115</v>
      </c>
      <c r="AE569">
        <v>63.739699999999999</v>
      </c>
      <c r="AF569">
        <v>148.90033</v>
      </c>
      <c r="AH569">
        <v>0</v>
      </c>
      <c r="AI569">
        <v>3</v>
      </c>
      <c r="AJ569">
        <v>3</v>
      </c>
      <c r="AK569">
        <v>0</v>
      </c>
      <c r="AL569">
        <v>0</v>
      </c>
      <c r="AM569">
        <f t="shared" si="8"/>
        <v>3</v>
      </c>
      <c r="AO569" t="s">
        <v>3049</v>
      </c>
    </row>
    <row r="570" spans="1:43" x14ac:dyDescent="0.2">
      <c r="A570" t="s">
        <v>3095</v>
      </c>
      <c r="B570" t="s">
        <v>3096</v>
      </c>
      <c r="C570">
        <v>2</v>
      </c>
      <c r="D570">
        <v>1</v>
      </c>
      <c r="E570" t="s">
        <v>324</v>
      </c>
      <c r="F570" s="1">
        <v>43570</v>
      </c>
      <c r="G570" s="1" t="s">
        <v>4027</v>
      </c>
      <c r="H570" s="1"/>
      <c r="I570" s="2">
        <v>9.7222222222222224E-2</v>
      </c>
      <c r="J570" s="176">
        <v>1.6203703703703703E-3</v>
      </c>
      <c r="K570" s="6">
        <v>140</v>
      </c>
      <c r="L570" t="s">
        <v>101</v>
      </c>
      <c r="M570" t="s">
        <v>325</v>
      </c>
      <c r="N570" t="s">
        <v>102</v>
      </c>
      <c r="O570" t="s">
        <v>115</v>
      </c>
      <c r="P570">
        <v>1</v>
      </c>
      <c r="Q570">
        <v>0</v>
      </c>
      <c r="R570">
        <v>0</v>
      </c>
      <c r="S570" t="s">
        <v>176</v>
      </c>
      <c r="T570" s="5" t="s">
        <v>24</v>
      </c>
      <c r="U570" s="5" t="s">
        <v>122</v>
      </c>
      <c r="V570" s="5" t="s">
        <v>115</v>
      </c>
      <c r="W570" s="5"/>
      <c r="X570" s="5"/>
      <c r="Y570" s="5"/>
      <c r="Z570" s="5" t="s">
        <v>115</v>
      </c>
      <c r="AA570" s="5" t="s">
        <v>115</v>
      </c>
      <c r="AB570" s="5" t="s">
        <v>115</v>
      </c>
      <c r="AC570" s="5" t="s">
        <v>115</v>
      </c>
      <c r="AD570" s="5" t="s">
        <v>115</v>
      </c>
      <c r="AE570" s="5" t="s">
        <v>115</v>
      </c>
      <c r="AF570" s="5" t="s">
        <v>115</v>
      </c>
      <c r="AG570" s="5"/>
      <c r="AH570">
        <v>0</v>
      </c>
      <c r="AI570">
        <v>0</v>
      </c>
      <c r="AJ570">
        <v>0</v>
      </c>
      <c r="AK570">
        <v>0</v>
      </c>
      <c r="AL570">
        <v>3</v>
      </c>
      <c r="AM570">
        <f t="shared" si="8"/>
        <v>3</v>
      </c>
      <c r="AN570" t="s">
        <v>188</v>
      </c>
    </row>
    <row r="571" spans="1:43" x14ac:dyDescent="0.2">
      <c r="A571" t="s">
        <v>3365</v>
      </c>
      <c r="B571" t="s">
        <v>3366</v>
      </c>
      <c r="C571">
        <v>6</v>
      </c>
      <c r="D571">
        <v>1</v>
      </c>
      <c r="E571" t="s">
        <v>3171</v>
      </c>
      <c r="F571" s="1">
        <v>43577</v>
      </c>
      <c r="G571" s="1" t="s">
        <v>4027</v>
      </c>
      <c r="H571" s="1" t="s">
        <v>4752</v>
      </c>
      <c r="I571" s="2">
        <v>1.0416666666666666E-2</v>
      </c>
      <c r="J571" s="176">
        <v>1.7361111111111112E-4</v>
      </c>
      <c r="K571" s="6">
        <v>15</v>
      </c>
      <c r="L571" t="s">
        <v>101</v>
      </c>
      <c r="M571" t="s">
        <v>670</v>
      </c>
      <c r="N571" t="s">
        <v>102</v>
      </c>
      <c r="O571" t="s">
        <v>23</v>
      </c>
      <c r="P571">
        <v>1</v>
      </c>
      <c r="Q571">
        <v>1</v>
      </c>
      <c r="R571">
        <v>0</v>
      </c>
      <c r="S571" t="s">
        <v>176</v>
      </c>
      <c r="T571" s="5" t="s">
        <v>24</v>
      </c>
      <c r="U571" s="5" t="s">
        <v>487</v>
      </c>
      <c r="V571" s="5" t="s">
        <v>115</v>
      </c>
      <c r="W571" s="5"/>
      <c r="X571" s="5"/>
      <c r="Y571" s="5"/>
      <c r="Z571" s="5" t="s">
        <v>115</v>
      </c>
      <c r="AA571" s="5" t="s">
        <v>115</v>
      </c>
      <c r="AB571" s="5" t="s">
        <v>115</v>
      </c>
      <c r="AC571" s="5" t="s">
        <v>115</v>
      </c>
      <c r="AD571" s="5" t="s">
        <v>115</v>
      </c>
      <c r="AE571" s="5" t="s">
        <v>3378</v>
      </c>
      <c r="AF571" s="5" t="s">
        <v>3378</v>
      </c>
      <c r="AG571" s="5" t="s">
        <v>115</v>
      </c>
      <c r="AH571">
        <v>3</v>
      </c>
      <c r="AI571">
        <v>0</v>
      </c>
      <c r="AJ571">
        <v>0</v>
      </c>
      <c r="AK571">
        <v>3</v>
      </c>
      <c r="AL571">
        <v>0</v>
      </c>
      <c r="AM571">
        <f t="shared" si="8"/>
        <v>3</v>
      </c>
      <c r="AN571" t="s">
        <v>188</v>
      </c>
    </row>
    <row r="572" spans="1:43" x14ac:dyDescent="0.2">
      <c r="A572" t="s">
        <v>3408</v>
      </c>
      <c r="B572" t="s">
        <v>3409</v>
      </c>
      <c r="C572">
        <v>3</v>
      </c>
      <c r="D572">
        <v>1</v>
      </c>
      <c r="E572" t="s">
        <v>3404</v>
      </c>
      <c r="F572" s="1">
        <v>43577</v>
      </c>
      <c r="G572" s="1" t="s">
        <v>4027</v>
      </c>
      <c r="H572" s="1"/>
      <c r="I572" s="2">
        <v>2.361111111111111E-2</v>
      </c>
      <c r="J572" s="176">
        <v>3.9351851851851852E-4</v>
      </c>
      <c r="K572" s="6">
        <v>34</v>
      </c>
      <c r="L572" t="s">
        <v>101</v>
      </c>
      <c r="M572" t="s">
        <v>3405</v>
      </c>
      <c r="N572" t="s">
        <v>102</v>
      </c>
      <c r="O572" t="s">
        <v>115</v>
      </c>
      <c r="P572">
        <v>1</v>
      </c>
      <c r="Q572">
        <v>0</v>
      </c>
      <c r="R572">
        <v>0</v>
      </c>
      <c r="S572" t="s">
        <v>176</v>
      </c>
      <c r="T572" s="5" t="s">
        <v>24</v>
      </c>
      <c r="U572" s="5" t="s">
        <v>122</v>
      </c>
      <c r="V572" s="5" t="s">
        <v>115</v>
      </c>
      <c r="W572" s="5"/>
      <c r="X572" s="5"/>
      <c r="Y572" s="5"/>
      <c r="Z572" s="5" t="s">
        <v>115</v>
      </c>
      <c r="AA572" s="5" t="s">
        <v>115</v>
      </c>
      <c r="AB572" s="5" t="s">
        <v>115</v>
      </c>
      <c r="AC572" s="5" t="s">
        <v>115</v>
      </c>
      <c r="AD572" s="5" t="s">
        <v>115</v>
      </c>
      <c r="AE572" s="5" t="s">
        <v>115</v>
      </c>
      <c r="AF572" s="5" t="s">
        <v>115</v>
      </c>
      <c r="AG572" s="5" t="s">
        <v>115</v>
      </c>
      <c r="AH572">
        <v>0</v>
      </c>
      <c r="AI572">
        <v>0</v>
      </c>
      <c r="AJ572">
        <v>0</v>
      </c>
      <c r="AK572">
        <v>0</v>
      </c>
      <c r="AL572">
        <v>3</v>
      </c>
      <c r="AM572">
        <f t="shared" si="8"/>
        <v>3</v>
      </c>
      <c r="AN572" t="s">
        <v>188</v>
      </c>
    </row>
    <row r="573" spans="1:43" x14ac:dyDescent="0.2">
      <c r="A573" t="s">
        <v>2347</v>
      </c>
      <c r="B573" t="s">
        <v>2348</v>
      </c>
      <c r="C573">
        <v>3</v>
      </c>
      <c r="D573">
        <v>1</v>
      </c>
      <c r="E573" t="s">
        <v>2343</v>
      </c>
      <c r="F573" s="1">
        <v>43544</v>
      </c>
      <c r="G573" s="1" t="s">
        <v>4026</v>
      </c>
      <c r="H573" s="1"/>
      <c r="I573" s="2">
        <v>5.5555555555555558E-3</v>
      </c>
      <c r="J573" s="176">
        <v>9.2592592592592588E-5</v>
      </c>
      <c r="K573" s="6">
        <v>8</v>
      </c>
      <c r="L573" t="s">
        <v>101</v>
      </c>
      <c r="M573" t="s">
        <v>2927</v>
      </c>
      <c r="N573" t="s">
        <v>102</v>
      </c>
      <c r="O573" t="s">
        <v>115</v>
      </c>
      <c r="P573" t="s">
        <v>24</v>
      </c>
      <c r="Q573">
        <v>0</v>
      </c>
      <c r="R573">
        <v>0</v>
      </c>
      <c r="T573" t="s">
        <v>115</v>
      </c>
      <c r="U573" t="s">
        <v>115</v>
      </c>
      <c r="V573" t="s">
        <v>115</v>
      </c>
      <c r="Z573" t="s">
        <v>115</v>
      </c>
      <c r="AA573" t="s">
        <v>115</v>
      </c>
      <c r="AB573" t="s">
        <v>115</v>
      </c>
      <c r="AC573" t="s">
        <v>115</v>
      </c>
      <c r="AD573" t="s">
        <v>115</v>
      </c>
      <c r="AH573">
        <v>0</v>
      </c>
      <c r="AI573">
        <v>0</v>
      </c>
      <c r="AJ573">
        <v>0</v>
      </c>
      <c r="AK573">
        <v>0</v>
      </c>
      <c r="AL573">
        <v>3</v>
      </c>
      <c r="AM573">
        <f t="shared" si="8"/>
        <v>3</v>
      </c>
      <c r="AN573" t="s">
        <v>188</v>
      </c>
      <c r="AP573">
        <v>0</v>
      </c>
      <c r="AQ573">
        <v>0</v>
      </c>
    </row>
    <row r="574" spans="1:43" x14ac:dyDescent="0.2">
      <c r="A574" t="s">
        <v>2468</v>
      </c>
      <c r="B574" t="s">
        <v>2469</v>
      </c>
      <c r="C574">
        <v>1</v>
      </c>
      <c r="D574">
        <v>1</v>
      </c>
      <c r="E574" t="s">
        <v>140</v>
      </c>
      <c r="F574" s="1">
        <v>43549</v>
      </c>
      <c r="G574" s="1" t="s">
        <v>4026</v>
      </c>
      <c r="H574" s="1"/>
      <c r="I574" s="2">
        <v>9.0277777777777787E-3</v>
      </c>
      <c r="J574" s="176">
        <v>1.5046296296296297E-4</v>
      </c>
      <c r="K574" s="6">
        <v>13</v>
      </c>
      <c r="L574" s="5" t="s">
        <v>398</v>
      </c>
      <c r="M574" t="s">
        <v>149</v>
      </c>
      <c r="N574" t="s">
        <v>102</v>
      </c>
      <c r="O574" t="s">
        <v>115</v>
      </c>
      <c r="P574" t="s">
        <v>24</v>
      </c>
      <c r="Q574">
        <v>0</v>
      </c>
      <c r="R574">
        <v>0</v>
      </c>
      <c r="T574" t="s">
        <v>115</v>
      </c>
      <c r="U574" t="s">
        <v>115</v>
      </c>
      <c r="V574" t="s">
        <v>115</v>
      </c>
      <c r="Z574" t="s">
        <v>115</v>
      </c>
      <c r="AA574" t="s">
        <v>115</v>
      </c>
      <c r="AB574" t="s">
        <v>115</v>
      </c>
      <c r="AC574" t="s">
        <v>115</v>
      </c>
      <c r="AD574" t="s">
        <v>115</v>
      </c>
      <c r="AH574">
        <v>0</v>
      </c>
      <c r="AI574">
        <v>0</v>
      </c>
      <c r="AJ574">
        <v>0</v>
      </c>
      <c r="AK574">
        <v>0</v>
      </c>
      <c r="AL574">
        <v>3</v>
      </c>
      <c r="AM574">
        <f t="shared" si="8"/>
        <v>3</v>
      </c>
      <c r="AN574" t="s">
        <v>188</v>
      </c>
    </row>
    <row r="575" spans="1:43" x14ac:dyDescent="0.2">
      <c r="A575" t="s">
        <v>3101</v>
      </c>
      <c r="B575" t="s">
        <v>3102</v>
      </c>
      <c r="C575">
        <v>4</v>
      </c>
      <c r="D575">
        <v>1</v>
      </c>
      <c r="E575" t="s">
        <v>324</v>
      </c>
      <c r="F575" s="1">
        <v>43570</v>
      </c>
      <c r="G575" s="1" t="s">
        <v>4027</v>
      </c>
      <c r="H575" s="1"/>
      <c r="I575" s="2">
        <v>4.1666666666666664E-2</v>
      </c>
      <c r="J575" s="176">
        <v>6.9444444444444447E-4</v>
      </c>
      <c r="K575" s="6">
        <v>60</v>
      </c>
      <c r="L575" t="s">
        <v>101</v>
      </c>
      <c r="M575" t="s">
        <v>325</v>
      </c>
      <c r="N575" t="s">
        <v>102</v>
      </c>
      <c r="O575" t="s">
        <v>115</v>
      </c>
      <c r="P575" t="s">
        <v>24</v>
      </c>
      <c r="Q575">
        <v>0</v>
      </c>
      <c r="R575">
        <v>0</v>
      </c>
      <c r="T575" s="5" t="s">
        <v>115</v>
      </c>
      <c r="U575" s="5" t="s">
        <v>115</v>
      </c>
      <c r="V575" s="5" t="s">
        <v>115</v>
      </c>
      <c r="W575" s="5"/>
      <c r="X575" s="5"/>
      <c r="Y575" s="5"/>
      <c r="Z575" s="5" t="s">
        <v>115</v>
      </c>
      <c r="AA575" s="5" t="s">
        <v>115</v>
      </c>
      <c r="AB575" s="5" t="s">
        <v>115</v>
      </c>
      <c r="AC575" s="5" t="s">
        <v>115</v>
      </c>
      <c r="AD575" s="5" t="s">
        <v>115</v>
      </c>
      <c r="AE575" s="5" t="s">
        <v>115</v>
      </c>
      <c r="AF575" s="5" t="s">
        <v>115</v>
      </c>
      <c r="AG575" s="5"/>
      <c r="AH575">
        <v>0</v>
      </c>
      <c r="AI575">
        <v>0</v>
      </c>
      <c r="AJ575">
        <v>0</v>
      </c>
      <c r="AK575">
        <v>0</v>
      </c>
      <c r="AL575">
        <v>3</v>
      </c>
      <c r="AM575">
        <f t="shared" si="8"/>
        <v>3</v>
      </c>
      <c r="AN575" t="s">
        <v>188</v>
      </c>
    </row>
    <row r="576" spans="1:43" x14ac:dyDescent="0.2">
      <c r="A576" t="s">
        <v>3553</v>
      </c>
      <c r="B576" t="s">
        <v>3554</v>
      </c>
      <c r="C576">
        <v>20</v>
      </c>
      <c r="D576">
        <v>1</v>
      </c>
      <c r="E576" t="s">
        <v>3171</v>
      </c>
      <c r="F576" s="1">
        <v>43580</v>
      </c>
      <c r="G576" s="1" t="s">
        <v>4027</v>
      </c>
      <c r="H576" s="1" t="s">
        <v>4752</v>
      </c>
      <c r="I576" s="2">
        <v>9.7222222222222224E-3</v>
      </c>
      <c r="J576" s="176">
        <v>1.6203703703703703E-4</v>
      </c>
      <c r="K576" s="6">
        <v>14</v>
      </c>
      <c r="L576" t="s">
        <v>101</v>
      </c>
      <c r="M576" t="s">
        <v>670</v>
      </c>
      <c r="N576" t="s">
        <v>102</v>
      </c>
      <c r="O576" t="s">
        <v>115</v>
      </c>
      <c r="P576" t="s">
        <v>24</v>
      </c>
      <c r="Q576">
        <v>0</v>
      </c>
      <c r="R576">
        <v>0</v>
      </c>
      <c r="T576" s="5" t="s">
        <v>115</v>
      </c>
      <c r="U576" s="5" t="s">
        <v>115</v>
      </c>
      <c r="V576" s="5" t="s">
        <v>115</v>
      </c>
      <c r="W576" s="5"/>
      <c r="X576" s="5"/>
      <c r="Y576" s="5"/>
      <c r="Z576" s="5" t="s">
        <v>115</v>
      </c>
      <c r="AA576" s="5" t="s">
        <v>115</v>
      </c>
      <c r="AB576" s="5" t="s">
        <v>115</v>
      </c>
      <c r="AC576" s="5" t="s">
        <v>115</v>
      </c>
      <c r="AD576" s="5" t="s">
        <v>115</v>
      </c>
      <c r="AE576" s="5" t="s">
        <v>115</v>
      </c>
      <c r="AF576" s="5" t="s">
        <v>115</v>
      </c>
      <c r="AG576" s="5" t="s">
        <v>115</v>
      </c>
      <c r="AH576">
        <v>0</v>
      </c>
      <c r="AI576">
        <v>0</v>
      </c>
      <c r="AJ576">
        <v>0</v>
      </c>
      <c r="AK576">
        <v>0</v>
      </c>
      <c r="AL576">
        <v>3</v>
      </c>
      <c r="AM576">
        <f t="shared" si="8"/>
        <v>3</v>
      </c>
      <c r="AN576" t="s">
        <v>188</v>
      </c>
    </row>
    <row r="577" spans="1:43" x14ac:dyDescent="0.2">
      <c r="A577" t="s">
        <v>2635</v>
      </c>
      <c r="B577" t="s">
        <v>2636</v>
      </c>
      <c r="C577">
        <v>5</v>
      </c>
      <c r="D577">
        <v>1</v>
      </c>
      <c r="E577" t="s">
        <v>2487</v>
      </c>
      <c r="F577" s="1">
        <v>43551</v>
      </c>
      <c r="G577" s="1" t="s">
        <v>4026</v>
      </c>
      <c r="H577" s="1"/>
      <c r="I577" s="2">
        <v>6.805555555555555E-2</v>
      </c>
      <c r="J577" s="176">
        <v>1.1342592592592591E-3</v>
      </c>
      <c r="K577" s="6">
        <v>98</v>
      </c>
      <c r="L577" s="5" t="s">
        <v>398</v>
      </c>
      <c r="M577" t="s">
        <v>2488</v>
      </c>
      <c r="N577" t="s">
        <v>102</v>
      </c>
      <c r="O577" t="s">
        <v>115</v>
      </c>
      <c r="P577">
        <v>1</v>
      </c>
      <c r="Q577">
        <v>0</v>
      </c>
      <c r="R577">
        <v>0</v>
      </c>
      <c r="S577" t="s">
        <v>14</v>
      </c>
      <c r="T577" t="s">
        <v>14</v>
      </c>
      <c r="U577" t="s">
        <v>122</v>
      </c>
      <c r="V577" t="s">
        <v>115</v>
      </c>
      <c r="Z577" t="s">
        <v>115</v>
      </c>
      <c r="AA577" t="s">
        <v>115</v>
      </c>
      <c r="AB577" t="s">
        <v>115</v>
      </c>
      <c r="AC577" t="s">
        <v>115</v>
      </c>
      <c r="AD577" t="s">
        <v>115</v>
      </c>
      <c r="AE577" t="s">
        <v>115</v>
      </c>
      <c r="AF577" t="s">
        <v>115</v>
      </c>
      <c r="AH577">
        <v>0</v>
      </c>
      <c r="AI577">
        <v>0</v>
      </c>
      <c r="AJ577">
        <v>0</v>
      </c>
      <c r="AK577">
        <v>0</v>
      </c>
      <c r="AL577">
        <v>2</v>
      </c>
      <c r="AM577">
        <f t="shared" si="8"/>
        <v>2</v>
      </c>
      <c r="AN577" t="s">
        <v>188</v>
      </c>
    </row>
    <row r="578" spans="1:43" x14ac:dyDescent="0.2">
      <c r="A578" t="s">
        <v>3255</v>
      </c>
      <c r="B578" t="s">
        <v>3256</v>
      </c>
      <c r="C578">
        <v>4</v>
      </c>
      <c r="D578">
        <v>1</v>
      </c>
      <c r="E578" t="s">
        <v>2462</v>
      </c>
      <c r="F578" s="1">
        <v>43573</v>
      </c>
      <c r="G578" s="1" t="s">
        <v>4027</v>
      </c>
      <c r="H578" s="1"/>
      <c r="I578" s="2">
        <v>2.2916666666666669E-2</v>
      </c>
      <c r="J578" s="176">
        <v>3.8194444444444446E-4</v>
      </c>
      <c r="K578" s="6">
        <v>33</v>
      </c>
      <c r="L578" t="s">
        <v>398</v>
      </c>
      <c r="M578" t="s">
        <v>64</v>
      </c>
      <c r="N578" t="s">
        <v>102</v>
      </c>
      <c r="O578" t="s">
        <v>3257</v>
      </c>
      <c r="P578">
        <v>1</v>
      </c>
      <c r="Q578" t="s">
        <v>24</v>
      </c>
      <c r="R578">
        <v>0</v>
      </c>
      <c r="S578" t="s">
        <v>176</v>
      </c>
      <c r="T578" s="5" t="s">
        <v>24</v>
      </c>
      <c r="U578" s="5" t="s">
        <v>3258</v>
      </c>
      <c r="V578" s="5" t="s">
        <v>115</v>
      </c>
      <c r="W578" s="5"/>
      <c r="X578" s="5"/>
      <c r="Y578" s="5"/>
      <c r="Z578" s="5" t="s">
        <v>115</v>
      </c>
      <c r="AA578" s="5" t="s">
        <v>115</v>
      </c>
      <c r="AB578" s="5" t="s">
        <v>115</v>
      </c>
      <c r="AC578" s="5" t="s">
        <v>115</v>
      </c>
      <c r="AD578" s="5" t="s">
        <v>115</v>
      </c>
      <c r="AE578" s="5" t="s">
        <v>115</v>
      </c>
      <c r="AF578" s="5" t="s">
        <v>115</v>
      </c>
      <c r="AG578" s="5" t="s">
        <v>115</v>
      </c>
      <c r="AH578">
        <v>0</v>
      </c>
      <c r="AI578">
        <v>0</v>
      </c>
      <c r="AJ578">
        <v>0</v>
      </c>
      <c r="AK578">
        <v>0</v>
      </c>
      <c r="AL578">
        <v>2</v>
      </c>
      <c r="AM578">
        <f t="shared" ref="AM578:AM641" si="9">SUM(AH578+AI578+AL578)</f>
        <v>2</v>
      </c>
      <c r="AO578" t="s">
        <v>3259</v>
      </c>
    </row>
    <row r="579" spans="1:43" x14ac:dyDescent="0.2">
      <c r="A579" t="s">
        <v>3410</v>
      </c>
      <c r="B579" t="s">
        <v>3411</v>
      </c>
      <c r="C579">
        <v>4</v>
      </c>
      <c r="D579">
        <v>2</v>
      </c>
      <c r="E579" t="s">
        <v>3404</v>
      </c>
      <c r="F579" s="1">
        <v>43577</v>
      </c>
      <c r="G579" s="1" t="s">
        <v>4027</v>
      </c>
      <c r="H579" s="1"/>
      <c r="I579" s="2">
        <v>1.9444444444444445E-2</v>
      </c>
      <c r="J579" s="176">
        <v>3.2407407407407406E-4</v>
      </c>
      <c r="K579" s="6">
        <v>28</v>
      </c>
      <c r="L579" t="s">
        <v>101</v>
      </c>
      <c r="M579" t="s">
        <v>3405</v>
      </c>
      <c r="N579" t="s">
        <v>102</v>
      </c>
      <c r="O579" t="s">
        <v>115</v>
      </c>
      <c r="P579">
        <v>1</v>
      </c>
      <c r="Q579">
        <v>0</v>
      </c>
      <c r="R579">
        <v>0</v>
      </c>
      <c r="S579" t="s">
        <v>598</v>
      </c>
      <c r="T579" s="5" t="s">
        <v>2506</v>
      </c>
      <c r="U579" s="5" t="s">
        <v>122</v>
      </c>
      <c r="V579" s="5" t="s">
        <v>115</v>
      </c>
      <c r="W579" s="5"/>
      <c r="X579" s="5"/>
      <c r="Y579" s="5"/>
      <c r="Z579" s="5" t="s">
        <v>115</v>
      </c>
      <c r="AA579" s="5" t="s">
        <v>115</v>
      </c>
      <c r="AB579" s="5" t="s">
        <v>115</v>
      </c>
      <c r="AC579" s="5" t="s">
        <v>115</v>
      </c>
      <c r="AD579" s="5" t="s">
        <v>115</v>
      </c>
      <c r="AE579" s="5" t="s">
        <v>115</v>
      </c>
      <c r="AF579" s="5" t="s">
        <v>115</v>
      </c>
      <c r="AG579" s="5" t="s">
        <v>115</v>
      </c>
      <c r="AH579">
        <v>0</v>
      </c>
      <c r="AI579">
        <v>0</v>
      </c>
      <c r="AJ579">
        <v>0</v>
      </c>
      <c r="AK579">
        <v>0</v>
      </c>
      <c r="AL579">
        <v>2</v>
      </c>
      <c r="AM579">
        <f t="shared" si="9"/>
        <v>2</v>
      </c>
      <c r="AN579" t="s">
        <v>188</v>
      </c>
    </row>
    <row r="580" spans="1:43" x14ac:dyDescent="0.2">
      <c r="A580" t="s">
        <v>3715</v>
      </c>
      <c r="B580" t="s">
        <v>3716</v>
      </c>
      <c r="C580">
        <v>15</v>
      </c>
      <c r="D580">
        <v>1</v>
      </c>
      <c r="E580" t="s">
        <v>3171</v>
      </c>
      <c r="F580" s="1">
        <v>43585</v>
      </c>
      <c r="G580" s="1" t="s">
        <v>4027</v>
      </c>
      <c r="H580" s="1" t="s">
        <v>4752</v>
      </c>
      <c r="I580" s="2">
        <v>8.3333333333333332E-3</v>
      </c>
      <c r="J580" s="176">
        <v>1.3888888888888889E-4</v>
      </c>
      <c r="K580" s="6">
        <v>12</v>
      </c>
      <c r="L580" t="s">
        <v>3626</v>
      </c>
      <c r="M580" t="s">
        <v>670</v>
      </c>
      <c r="N580" t="s">
        <v>102</v>
      </c>
      <c r="O580" t="s">
        <v>115</v>
      </c>
      <c r="P580" t="s">
        <v>24</v>
      </c>
      <c r="Q580">
        <v>0</v>
      </c>
      <c r="R580">
        <v>0</v>
      </c>
      <c r="T580" s="5" t="s">
        <v>115</v>
      </c>
      <c r="U580" s="5" t="s">
        <v>115</v>
      </c>
      <c r="V580" s="5" t="s">
        <v>115</v>
      </c>
      <c r="W580" s="5"/>
      <c r="X580" s="5"/>
      <c r="Y580" s="5"/>
      <c r="Z580" s="5" t="s">
        <v>115</v>
      </c>
      <c r="AA580" s="5" t="s">
        <v>115</v>
      </c>
      <c r="AB580" s="5" t="s">
        <v>115</v>
      </c>
      <c r="AC580" s="5" t="s">
        <v>115</v>
      </c>
      <c r="AD580" s="5" t="s">
        <v>115</v>
      </c>
      <c r="AE580" s="5" t="s">
        <v>115</v>
      </c>
      <c r="AF580" s="5" t="s">
        <v>115</v>
      </c>
      <c r="AG580" s="5" t="s">
        <v>115</v>
      </c>
      <c r="AH580">
        <v>0</v>
      </c>
      <c r="AI580">
        <v>0</v>
      </c>
      <c r="AJ580">
        <v>0</v>
      </c>
      <c r="AK580">
        <v>0</v>
      </c>
      <c r="AL580">
        <v>2</v>
      </c>
      <c r="AM580">
        <f t="shared" si="9"/>
        <v>2</v>
      </c>
      <c r="AN580" t="s">
        <v>188</v>
      </c>
    </row>
    <row r="581" spans="1:43" x14ac:dyDescent="0.2">
      <c r="A581" t="s">
        <v>2403</v>
      </c>
      <c r="B581" t="s">
        <v>2404</v>
      </c>
      <c r="C581">
        <v>24</v>
      </c>
      <c r="D581">
        <v>1</v>
      </c>
      <c r="E581" t="s">
        <v>2343</v>
      </c>
      <c r="F581" s="1">
        <v>43544</v>
      </c>
      <c r="G581" s="1" t="s">
        <v>4026</v>
      </c>
      <c r="H581" s="1"/>
      <c r="I581" s="2">
        <v>3.888888888888889E-2</v>
      </c>
      <c r="J581" s="176">
        <v>6.4814814814814813E-4</v>
      </c>
      <c r="K581" s="6">
        <v>56</v>
      </c>
      <c r="L581" t="s">
        <v>101</v>
      </c>
      <c r="M581" t="s">
        <v>2355</v>
      </c>
      <c r="N581" t="s">
        <v>107</v>
      </c>
      <c r="O581" t="s">
        <v>115</v>
      </c>
      <c r="P581">
        <v>1</v>
      </c>
      <c r="Q581">
        <v>0</v>
      </c>
      <c r="R581">
        <v>0</v>
      </c>
      <c r="S581" t="s">
        <v>176</v>
      </c>
      <c r="T581" t="s">
        <v>24</v>
      </c>
      <c r="U581" t="s">
        <v>122</v>
      </c>
      <c r="V581" t="s">
        <v>115</v>
      </c>
      <c r="Z581" t="s">
        <v>115</v>
      </c>
      <c r="AA581" t="s">
        <v>115</v>
      </c>
      <c r="AB581" s="5" t="s">
        <v>115</v>
      </c>
      <c r="AC581" s="5" t="s">
        <v>115</v>
      </c>
      <c r="AD581" s="5" t="s">
        <v>115</v>
      </c>
      <c r="AE581" s="5"/>
      <c r="AF581" s="5"/>
      <c r="AG581" s="5"/>
      <c r="AH581">
        <v>0</v>
      </c>
      <c r="AI581">
        <v>0</v>
      </c>
      <c r="AJ581">
        <v>0</v>
      </c>
      <c r="AK581">
        <v>0</v>
      </c>
      <c r="AL581">
        <v>0</v>
      </c>
      <c r="AM581">
        <f t="shared" si="9"/>
        <v>0</v>
      </c>
      <c r="AN581" t="s">
        <v>115</v>
      </c>
      <c r="AO581" t="s">
        <v>2405</v>
      </c>
    </row>
    <row r="582" spans="1:43" x14ac:dyDescent="0.2">
      <c r="A582" t="s">
        <v>2412</v>
      </c>
      <c r="B582" t="s">
        <v>2413</v>
      </c>
      <c r="C582">
        <v>28</v>
      </c>
      <c r="D582">
        <v>1</v>
      </c>
      <c r="E582" t="s">
        <v>2343</v>
      </c>
      <c r="F582" s="1">
        <v>43544</v>
      </c>
      <c r="G582" s="1" t="s">
        <v>4026</v>
      </c>
      <c r="H582" s="1"/>
      <c r="I582" s="2">
        <v>7.6388888888888886E-3</v>
      </c>
      <c r="J582" s="176">
        <v>1.273148148148148E-4</v>
      </c>
      <c r="K582" s="6">
        <v>11</v>
      </c>
      <c r="L582" t="s">
        <v>101</v>
      </c>
      <c r="M582" t="s">
        <v>2355</v>
      </c>
      <c r="N582" t="s">
        <v>107</v>
      </c>
      <c r="O582" t="s">
        <v>12</v>
      </c>
      <c r="P582">
        <v>1</v>
      </c>
      <c r="Q582">
        <v>1</v>
      </c>
      <c r="R582">
        <v>0</v>
      </c>
      <c r="S582" t="s">
        <v>176</v>
      </c>
      <c r="T582" t="s">
        <v>24</v>
      </c>
      <c r="U582" t="s">
        <v>2306</v>
      </c>
      <c r="V582" t="s">
        <v>115</v>
      </c>
      <c r="Z582" t="s">
        <v>115</v>
      </c>
      <c r="AA582" t="s">
        <v>115</v>
      </c>
      <c r="AB582" s="5" t="s">
        <v>115</v>
      </c>
      <c r="AC582" s="5" t="s">
        <v>115</v>
      </c>
      <c r="AD582" s="5" t="s">
        <v>115</v>
      </c>
      <c r="AE582" s="5"/>
      <c r="AF582" s="5"/>
      <c r="AG582" s="5"/>
      <c r="AH582">
        <v>0</v>
      </c>
      <c r="AI582">
        <v>0</v>
      </c>
      <c r="AJ582">
        <v>0</v>
      </c>
      <c r="AK582">
        <v>0</v>
      </c>
      <c r="AL582">
        <v>0</v>
      </c>
      <c r="AM582">
        <f t="shared" si="9"/>
        <v>0</v>
      </c>
      <c r="AO582" t="s">
        <v>2414</v>
      </c>
    </row>
    <row r="583" spans="1:43" x14ac:dyDescent="0.2">
      <c r="A583" t="s">
        <v>2336</v>
      </c>
      <c r="B583" t="s">
        <v>2337</v>
      </c>
      <c r="C583">
        <v>1</v>
      </c>
      <c r="D583">
        <v>1</v>
      </c>
      <c r="E583" t="s">
        <v>2338</v>
      </c>
      <c r="F583" s="1">
        <v>43544</v>
      </c>
      <c r="G583" s="1" t="s">
        <v>4026</v>
      </c>
      <c r="H583" s="1"/>
      <c r="I583" s="2">
        <v>1.4583333333333332E-2</v>
      </c>
      <c r="J583" s="176">
        <v>2.4305555555555552E-4</v>
      </c>
      <c r="K583" s="6">
        <v>21</v>
      </c>
      <c r="L583" t="s">
        <v>2339</v>
      </c>
      <c r="M583" t="s">
        <v>932</v>
      </c>
      <c r="N583" t="s">
        <v>102</v>
      </c>
      <c r="O583" t="s">
        <v>23</v>
      </c>
      <c r="P583">
        <v>1</v>
      </c>
      <c r="Q583" t="s">
        <v>24</v>
      </c>
      <c r="R583">
        <v>0</v>
      </c>
      <c r="S583" t="s">
        <v>176</v>
      </c>
      <c r="T583" t="s">
        <v>24</v>
      </c>
      <c r="U583" t="s">
        <v>333</v>
      </c>
      <c r="V583" t="s">
        <v>115</v>
      </c>
      <c r="Z583" t="s">
        <v>115</v>
      </c>
      <c r="AH583">
        <v>0</v>
      </c>
      <c r="AI583">
        <v>0</v>
      </c>
      <c r="AJ583">
        <v>0</v>
      </c>
      <c r="AK583">
        <v>0</v>
      </c>
      <c r="AL583">
        <v>0</v>
      </c>
      <c r="AM583">
        <f t="shared" si="9"/>
        <v>0</v>
      </c>
      <c r="AN583" t="s">
        <v>115</v>
      </c>
      <c r="AO583" t="s">
        <v>2340</v>
      </c>
      <c r="AP583">
        <v>0</v>
      </c>
      <c r="AQ583">
        <v>0</v>
      </c>
    </row>
    <row r="584" spans="1:43" x14ac:dyDescent="0.2">
      <c r="A584" t="s">
        <v>2375</v>
      </c>
      <c r="B584" t="s">
        <v>2376</v>
      </c>
      <c r="C584">
        <v>14</v>
      </c>
      <c r="D584">
        <v>1</v>
      </c>
      <c r="E584" t="s">
        <v>2343</v>
      </c>
      <c r="F584" s="1">
        <v>43544</v>
      </c>
      <c r="G584" s="1" t="s">
        <v>4026</v>
      </c>
      <c r="H584" s="1"/>
      <c r="I584" s="2">
        <v>4.1666666666666666E-3</v>
      </c>
      <c r="J584" s="176">
        <v>6.9444444444444444E-5</v>
      </c>
      <c r="K584" s="6">
        <v>6</v>
      </c>
      <c r="L584" t="s">
        <v>101</v>
      </c>
      <c r="M584" t="s">
        <v>2927</v>
      </c>
      <c r="N584" t="s">
        <v>111</v>
      </c>
      <c r="O584" t="s">
        <v>23</v>
      </c>
      <c r="P584">
        <v>1</v>
      </c>
      <c r="Q584">
        <v>0</v>
      </c>
      <c r="R584">
        <v>1</v>
      </c>
      <c r="S584" t="s">
        <v>598</v>
      </c>
      <c r="T584" t="s">
        <v>2377</v>
      </c>
      <c r="U584" t="s">
        <v>122</v>
      </c>
      <c r="V584" t="s">
        <v>2088</v>
      </c>
      <c r="W584" s="5" t="s">
        <v>23</v>
      </c>
      <c r="X584" s="5" t="s">
        <v>3997</v>
      </c>
      <c r="Y584" s="5" t="s">
        <v>4021</v>
      </c>
      <c r="Z584" t="s">
        <v>2379</v>
      </c>
      <c r="AA584">
        <v>82</v>
      </c>
      <c r="AB584" t="s">
        <v>176</v>
      </c>
      <c r="AC584">
        <v>63.739370000000001</v>
      </c>
      <c r="AD584">
        <v>148.91734</v>
      </c>
      <c r="AH584">
        <v>0</v>
      </c>
      <c r="AI584">
        <v>0</v>
      </c>
      <c r="AJ584">
        <v>0</v>
      </c>
      <c r="AK584">
        <v>0</v>
      </c>
      <c r="AL584">
        <v>0</v>
      </c>
      <c r="AM584">
        <f t="shared" si="9"/>
        <v>0</v>
      </c>
      <c r="AN584" t="s">
        <v>115</v>
      </c>
      <c r="AO584" t="s">
        <v>2380</v>
      </c>
    </row>
    <row r="585" spans="1:43" x14ac:dyDescent="0.2">
      <c r="A585" t="s">
        <v>2359</v>
      </c>
      <c r="B585" t="s">
        <v>2360</v>
      </c>
      <c r="C585">
        <v>8</v>
      </c>
      <c r="D585">
        <v>1</v>
      </c>
      <c r="E585" t="s">
        <v>2343</v>
      </c>
      <c r="F585" s="1">
        <v>43544</v>
      </c>
      <c r="G585" s="1" t="s">
        <v>4026</v>
      </c>
      <c r="H585" s="1"/>
      <c r="I585" s="2">
        <v>1.5277777777777777E-2</v>
      </c>
      <c r="J585" s="176">
        <v>2.5462962962962961E-4</v>
      </c>
      <c r="K585" s="6">
        <v>22</v>
      </c>
      <c r="L585" t="s">
        <v>101</v>
      </c>
      <c r="M585" t="s">
        <v>2355</v>
      </c>
      <c r="N585" t="s">
        <v>102</v>
      </c>
      <c r="O585" t="s">
        <v>23</v>
      </c>
      <c r="P585">
        <v>0</v>
      </c>
      <c r="Q585">
        <v>0</v>
      </c>
      <c r="R585">
        <v>0</v>
      </c>
      <c r="T585" t="s">
        <v>115</v>
      </c>
      <c r="U585" t="s">
        <v>115</v>
      </c>
      <c r="V585" t="s">
        <v>115</v>
      </c>
      <c r="Z585" t="s">
        <v>115</v>
      </c>
      <c r="AA585" t="s">
        <v>115</v>
      </c>
      <c r="AB585" t="s">
        <v>115</v>
      </c>
      <c r="AC585" t="s">
        <v>115</v>
      </c>
      <c r="AD585" t="s">
        <v>115</v>
      </c>
      <c r="AH585">
        <v>0</v>
      </c>
      <c r="AI585">
        <v>0</v>
      </c>
      <c r="AJ585">
        <v>0</v>
      </c>
      <c r="AK585">
        <v>0</v>
      </c>
      <c r="AL585">
        <v>0</v>
      </c>
      <c r="AM585">
        <f t="shared" si="9"/>
        <v>0</v>
      </c>
      <c r="AN585" t="s">
        <v>188</v>
      </c>
      <c r="AO585" t="s">
        <v>2361</v>
      </c>
      <c r="AP585">
        <v>0</v>
      </c>
      <c r="AQ585">
        <v>0</v>
      </c>
    </row>
    <row r="586" spans="1:43" x14ac:dyDescent="0.2">
      <c r="A586" t="s">
        <v>2406</v>
      </c>
      <c r="B586" t="s">
        <v>2407</v>
      </c>
      <c r="C586">
        <v>25</v>
      </c>
      <c r="D586">
        <v>1</v>
      </c>
      <c r="E586" t="s">
        <v>2343</v>
      </c>
      <c r="F586" s="1">
        <v>43544</v>
      </c>
      <c r="G586" s="1" t="s">
        <v>4026</v>
      </c>
      <c r="H586" s="1"/>
      <c r="I586" s="2">
        <v>1.1805555555555555E-2</v>
      </c>
      <c r="J586" s="176">
        <v>1.9675925925925926E-4</v>
      </c>
      <c r="K586" s="6">
        <v>17</v>
      </c>
      <c r="L586" t="s">
        <v>101</v>
      </c>
      <c r="M586" t="s">
        <v>2927</v>
      </c>
      <c r="N586" t="s">
        <v>107</v>
      </c>
      <c r="O586" t="s">
        <v>115</v>
      </c>
      <c r="P586">
        <v>1</v>
      </c>
      <c r="Q586">
        <v>0</v>
      </c>
      <c r="R586">
        <v>0</v>
      </c>
      <c r="S586" t="s">
        <v>598</v>
      </c>
      <c r="T586" t="s">
        <v>2377</v>
      </c>
      <c r="U586" t="s">
        <v>122</v>
      </c>
      <c r="V586" t="s">
        <v>115</v>
      </c>
      <c r="Z586" t="s">
        <v>115</v>
      </c>
      <c r="AA586" t="s">
        <v>115</v>
      </c>
      <c r="AB586" s="5" t="s">
        <v>115</v>
      </c>
      <c r="AC586" s="5" t="s">
        <v>115</v>
      </c>
      <c r="AD586" s="5" t="s">
        <v>115</v>
      </c>
      <c r="AE586" s="5"/>
      <c r="AF586" s="5"/>
      <c r="AG586" s="5"/>
      <c r="AH586">
        <v>0</v>
      </c>
      <c r="AI586">
        <v>0</v>
      </c>
      <c r="AJ586">
        <v>0</v>
      </c>
      <c r="AK586">
        <v>0</v>
      </c>
      <c r="AL586">
        <v>0</v>
      </c>
      <c r="AM586">
        <f t="shared" si="9"/>
        <v>0</v>
      </c>
      <c r="AN586" t="s">
        <v>115</v>
      </c>
      <c r="AO586" t="s">
        <v>2405</v>
      </c>
    </row>
    <row r="587" spans="1:43" x14ac:dyDescent="0.2">
      <c r="A587" t="s">
        <v>2453</v>
      </c>
      <c r="B587" t="s">
        <v>2454</v>
      </c>
      <c r="C587">
        <v>1</v>
      </c>
      <c r="D587">
        <v>1</v>
      </c>
      <c r="E587" t="s">
        <v>2338</v>
      </c>
      <c r="F587" s="1">
        <v>43546</v>
      </c>
      <c r="G587" s="1" t="s">
        <v>4026</v>
      </c>
      <c r="H587" s="1"/>
      <c r="I587" s="2">
        <v>1.5972222222222224E-2</v>
      </c>
      <c r="J587" s="176">
        <v>2.6620370370370372E-4</v>
      </c>
      <c r="K587" s="6">
        <v>23</v>
      </c>
      <c r="L587" t="s">
        <v>101</v>
      </c>
      <c r="M587" t="s">
        <v>589</v>
      </c>
      <c r="N587" t="s">
        <v>102</v>
      </c>
      <c r="O587" t="s">
        <v>23</v>
      </c>
      <c r="P587">
        <v>1</v>
      </c>
      <c r="Q587">
        <v>0</v>
      </c>
      <c r="R587">
        <v>1</v>
      </c>
      <c r="S587" t="s">
        <v>598</v>
      </c>
      <c r="T587" t="s">
        <v>2455</v>
      </c>
      <c r="U587" t="s">
        <v>122</v>
      </c>
      <c r="V587" t="s">
        <v>2456</v>
      </c>
      <c r="W587" s="5" t="s">
        <v>23</v>
      </c>
      <c r="X587" s="5" t="s">
        <v>3997</v>
      </c>
      <c r="Y587" s="5" t="s">
        <v>4005</v>
      </c>
      <c r="Z587" t="s">
        <v>2457</v>
      </c>
      <c r="AB587">
        <v>1</v>
      </c>
      <c r="AC587">
        <v>63.738889999999998</v>
      </c>
      <c r="AD587">
        <v>148.9128</v>
      </c>
      <c r="AH587">
        <v>0</v>
      </c>
      <c r="AI587">
        <v>0</v>
      </c>
      <c r="AJ587">
        <v>0</v>
      </c>
      <c r="AK587">
        <v>0</v>
      </c>
      <c r="AL587">
        <v>0</v>
      </c>
      <c r="AM587">
        <f t="shared" si="9"/>
        <v>0</v>
      </c>
      <c r="AO587" t="s">
        <v>2405</v>
      </c>
    </row>
    <row r="588" spans="1:43" x14ac:dyDescent="0.2">
      <c r="A588" t="s">
        <v>2499</v>
      </c>
      <c r="B588" t="s">
        <v>2500</v>
      </c>
      <c r="C588">
        <v>6</v>
      </c>
      <c r="D588">
        <v>1</v>
      </c>
      <c r="E588" t="s">
        <v>2487</v>
      </c>
      <c r="F588" s="1">
        <v>43549</v>
      </c>
      <c r="G588" s="1" t="s">
        <v>4026</v>
      </c>
      <c r="H588" s="1"/>
      <c r="I588" s="2">
        <v>2.1527777777777781E-2</v>
      </c>
      <c r="J588" s="176">
        <v>3.5879629629629635E-4</v>
      </c>
      <c r="K588" s="6">
        <v>31</v>
      </c>
      <c r="L588" s="5" t="s">
        <v>398</v>
      </c>
      <c r="M588" t="s">
        <v>2498</v>
      </c>
      <c r="N588" t="s">
        <v>111</v>
      </c>
      <c r="O588" t="s">
        <v>23</v>
      </c>
      <c r="P588">
        <v>0</v>
      </c>
      <c r="Q588">
        <v>0</v>
      </c>
      <c r="R588">
        <v>1</v>
      </c>
      <c r="S588" t="s">
        <v>14</v>
      </c>
      <c r="T588" t="s">
        <v>14</v>
      </c>
      <c r="U588" t="s">
        <v>122</v>
      </c>
      <c r="V588" t="s">
        <v>2088</v>
      </c>
      <c r="W588" s="5" t="s">
        <v>23</v>
      </c>
      <c r="X588" s="5" t="s">
        <v>3997</v>
      </c>
      <c r="Y588" s="5" t="s">
        <v>4021</v>
      </c>
      <c r="AB588">
        <v>10</v>
      </c>
      <c r="AC588">
        <v>63.72101</v>
      </c>
      <c r="AD588">
        <v>148.98340999999999</v>
      </c>
      <c r="AH588">
        <v>0</v>
      </c>
      <c r="AI588">
        <v>0</v>
      </c>
      <c r="AJ588">
        <v>0</v>
      </c>
      <c r="AK588">
        <v>0</v>
      </c>
      <c r="AL588">
        <v>0</v>
      </c>
      <c r="AM588">
        <f t="shared" si="9"/>
        <v>0</v>
      </c>
      <c r="AO588" t="s">
        <v>2501</v>
      </c>
    </row>
    <row r="589" spans="1:43" x14ac:dyDescent="0.2">
      <c r="A589" t="s">
        <v>2549</v>
      </c>
      <c r="B589" t="s">
        <v>2550</v>
      </c>
      <c r="C589">
        <v>3</v>
      </c>
      <c r="D589">
        <v>1</v>
      </c>
      <c r="E589" t="s">
        <v>324</v>
      </c>
      <c r="F589" s="1">
        <v>43550</v>
      </c>
      <c r="G589" s="1" t="s">
        <v>4026</v>
      </c>
      <c r="H589" s="1"/>
      <c r="I589" s="2">
        <v>4.9305555555555554E-2</v>
      </c>
      <c r="J589" s="176">
        <v>8.2175925925925917E-4</v>
      </c>
      <c r="K589" s="6">
        <v>71</v>
      </c>
      <c r="L589" s="5" t="s">
        <v>640</v>
      </c>
      <c r="M589" t="s">
        <v>325</v>
      </c>
      <c r="N589" t="s">
        <v>156</v>
      </c>
      <c r="O589" t="s">
        <v>23</v>
      </c>
      <c r="P589">
        <v>0</v>
      </c>
      <c r="Q589">
        <v>0</v>
      </c>
      <c r="R589">
        <v>1</v>
      </c>
      <c r="S589" t="s">
        <v>176</v>
      </c>
      <c r="T589" t="s">
        <v>24</v>
      </c>
      <c r="U589" t="s">
        <v>2383</v>
      </c>
      <c r="V589" t="s">
        <v>2088</v>
      </c>
      <c r="W589" s="5" t="s">
        <v>23</v>
      </c>
      <c r="X589" s="5" t="s">
        <v>3997</v>
      </c>
      <c r="Y589" s="5" t="s">
        <v>4021</v>
      </c>
      <c r="Z589" t="s">
        <v>2551</v>
      </c>
      <c r="AA589">
        <v>0</v>
      </c>
      <c r="AB589" t="s">
        <v>24</v>
      </c>
      <c r="AC589">
        <v>63.723170000000003</v>
      </c>
      <c r="AD589">
        <v>148.89055999999999</v>
      </c>
      <c r="AH589">
        <v>0</v>
      </c>
      <c r="AI589">
        <v>0</v>
      </c>
      <c r="AJ589">
        <v>0</v>
      </c>
      <c r="AK589">
        <v>0</v>
      </c>
      <c r="AL589">
        <v>0</v>
      </c>
      <c r="AM589">
        <f t="shared" si="9"/>
        <v>0</v>
      </c>
    </row>
    <row r="590" spans="1:43" x14ac:dyDescent="0.2">
      <c r="A590" t="s">
        <v>2592</v>
      </c>
      <c r="B590" t="s">
        <v>2593</v>
      </c>
      <c r="C590">
        <v>1</v>
      </c>
      <c r="D590">
        <v>1</v>
      </c>
      <c r="E590" t="s">
        <v>791</v>
      </c>
      <c r="F590" s="1">
        <v>43550</v>
      </c>
      <c r="G590" s="1" t="s">
        <v>4026</v>
      </c>
      <c r="H590" s="1"/>
      <c r="I590" s="2">
        <v>4.8611111111111112E-3</v>
      </c>
      <c r="J590" s="176">
        <v>8.1018518518518516E-5</v>
      </c>
      <c r="K590" s="6">
        <v>7</v>
      </c>
      <c r="L590" s="5" t="s">
        <v>2339</v>
      </c>
      <c r="M590" t="s">
        <v>924</v>
      </c>
      <c r="N590" t="s">
        <v>107</v>
      </c>
      <c r="O590" t="s">
        <v>115</v>
      </c>
      <c r="P590">
        <v>1</v>
      </c>
      <c r="Q590">
        <v>0</v>
      </c>
      <c r="R590">
        <v>0</v>
      </c>
      <c r="S590" t="s">
        <v>176</v>
      </c>
      <c r="T590" t="s">
        <v>24</v>
      </c>
      <c r="U590" t="s">
        <v>122</v>
      </c>
      <c r="V590" t="s">
        <v>115</v>
      </c>
      <c r="Z590" t="s">
        <v>115</v>
      </c>
      <c r="AA590" t="s">
        <v>115</v>
      </c>
      <c r="AB590" t="s">
        <v>115</v>
      </c>
      <c r="AC590" t="s">
        <v>115</v>
      </c>
      <c r="AD590" t="s">
        <v>115</v>
      </c>
      <c r="AH590">
        <v>0</v>
      </c>
      <c r="AI590">
        <v>0</v>
      </c>
      <c r="AJ590">
        <v>0</v>
      </c>
      <c r="AK590">
        <v>0</v>
      </c>
      <c r="AL590">
        <v>0</v>
      </c>
      <c r="AM590">
        <f t="shared" si="9"/>
        <v>0</v>
      </c>
      <c r="AO590" t="s">
        <v>2405</v>
      </c>
    </row>
    <row r="591" spans="1:43" x14ac:dyDescent="0.2">
      <c r="A591" t="s">
        <v>2574</v>
      </c>
      <c r="B591" t="s">
        <v>2575</v>
      </c>
      <c r="C591">
        <v>1</v>
      </c>
      <c r="D591">
        <v>1</v>
      </c>
      <c r="E591" t="s">
        <v>834</v>
      </c>
      <c r="F591" s="1">
        <v>43550</v>
      </c>
      <c r="G591" s="1" t="s">
        <v>4026</v>
      </c>
      <c r="H591" s="1"/>
      <c r="I591" s="2">
        <v>2.0833333333333332E-2</v>
      </c>
      <c r="J591" s="176">
        <v>3.4722222222222224E-4</v>
      </c>
      <c r="K591" s="6">
        <v>30</v>
      </c>
      <c r="L591" t="s">
        <v>2576</v>
      </c>
      <c r="M591" t="s">
        <v>466</v>
      </c>
      <c r="N591" t="s">
        <v>102</v>
      </c>
      <c r="O591" t="s">
        <v>23</v>
      </c>
      <c r="P591">
        <v>1</v>
      </c>
      <c r="Q591">
        <v>1</v>
      </c>
      <c r="R591">
        <v>0</v>
      </c>
      <c r="S591" t="s">
        <v>14</v>
      </c>
      <c r="T591" t="s">
        <v>2557</v>
      </c>
      <c r="U591" t="s">
        <v>2397</v>
      </c>
      <c r="V591" t="s">
        <v>115</v>
      </c>
      <c r="Z591" t="s">
        <v>115</v>
      </c>
      <c r="AA591" t="s">
        <v>115</v>
      </c>
      <c r="AB591" t="s">
        <v>115</v>
      </c>
      <c r="AC591" t="s">
        <v>115</v>
      </c>
      <c r="AD591" t="s">
        <v>115</v>
      </c>
      <c r="AH591">
        <v>0</v>
      </c>
      <c r="AI591">
        <v>0</v>
      </c>
      <c r="AJ591">
        <v>0</v>
      </c>
      <c r="AK591">
        <v>0</v>
      </c>
      <c r="AL591">
        <v>0</v>
      </c>
      <c r="AM591">
        <f t="shared" si="9"/>
        <v>0</v>
      </c>
      <c r="AN591" t="s">
        <v>115</v>
      </c>
      <c r="AO591" t="s">
        <v>2577</v>
      </c>
    </row>
    <row r="592" spans="1:43" x14ac:dyDescent="0.2">
      <c r="A592" t="s">
        <v>2546</v>
      </c>
      <c r="B592" t="s">
        <v>2547</v>
      </c>
      <c r="C592">
        <v>2</v>
      </c>
      <c r="D592">
        <v>1</v>
      </c>
      <c r="E592" t="s">
        <v>324</v>
      </c>
      <c r="F592" s="1">
        <v>43550</v>
      </c>
      <c r="G592" s="1" t="s">
        <v>4026</v>
      </c>
      <c r="H592" s="1"/>
      <c r="I592" s="2">
        <v>2.4305555555555556E-2</v>
      </c>
      <c r="J592" s="176">
        <v>4.0509259259259258E-4</v>
      </c>
      <c r="K592" s="6">
        <v>35</v>
      </c>
      <c r="L592" s="5" t="s">
        <v>640</v>
      </c>
      <c r="M592" t="s">
        <v>325</v>
      </c>
      <c r="N592" t="s">
        <v>156</v>
      </c>
      <c r="O592" t="s">
        <v>12</v>
      </c>
      <c r="P592">
        <v>0</v>
      </c>
      <c r="Q592">
        <v>0</v>
      </c>
      <c r="R592">
        <v>2</v>
      </c>
      <c r="S592" t="s">
        <v>24</v>
      </c>
      <c r="T592" t="s">
        <v>24</v>
      </c>
      <c r="U592" t="s">
        <v>24</v>
      </c>
      <c r="V592" t="s">
        <v>1027</v>
      </c>
      <c r="W592" s="5" t="s">
        <v>12</v>
      </c>
      <c r="X592" s="5" t="s">
        <v>3997</v>
      </c>
      <c r="Y592" s="5" t="s">
        <v>4005</v>
      </c>
      <c r="Z592" t="s">
        <v>24</v>
      </c>
      <c r="AA592" t="s">
        <v>24</v>
      </c>
      <c r="AB592" t="s">
        <v>24</v>
      </c>
      <c r="AC592" t="s">
        <v>24</v>
      </c>
      <c r="AD592" t="s">
        <v>24</v>
      </c>
      <c r="AH592">
        <v>0</v>
      </c>
      <c r="AI592">
        <v>0</v>
      </c>
      <c r="AJ592">
        <v>0</v>
      </c>
      <c r="AK592">
        <v>0</v>
      </c>
      <c r="AL592">
        <v>0</v>
      </c>
      <c r="AM592">
        <f t="shared" si="9"/>
        <v>0</v>
      </c>
      <c r="AO592" t="s">
        <v>2548</v>
      </c>
    </row>
    <row r="593" spans="1:43" x14ac:dyDescent="0.2">
      <c r="A593" t="s">
        <v>2621</v>
      </c>
      <c r="B593" t="s">
        <v>2622</v>
      </c>
      <c r="C593">
        <v>7</v>
      </c>
      <c r="D593">
        <v>1</v>
      </c>
      <c r="E593" t="s">
        <v>2601</v>
      </c>
      <c r="F593" s="1">
        <v>43551</v>
      </c>
      <c r="G593" s="1" t="s">
        <v>4026</v>
      </c>
      <c r="H593" s="1"/>
      <c r="I593" s="2">
        <v>1.2499999999999999E-2</v>
      </c>
      <c r="J593" s="176">
        <v>2.0833333333333335E-4</v>
      </c>
      <c r="K593" s="6">
        <v>18</v>
      </c>
      <c r="L593" s="5" t="s">
        <v>398</v>
      </c>
      <c r="M593" t="s">
        <v>173</v>
      </c>
      <c r="N593" t="s">
        <v>107</v>
      </c>
      <c r="O593" t="s">
        <v>115</v>
      </c>
      <c r="P593">
        <v>1</v>
      </c>
      <c r="Q593">
        <v>0</v>
      </c>
      <c r="R593">
        <v>0</v>
      </c>
      <c r="S593" t="s">
        <v>176</v>
      </c>
      <c r="T593" t="s">
        <v>24</v>
      </c>
      <c r="U593" t="s">
        <v>122</v>
      </c>
      <c r="V593" t="s">
        <v>115</v>
      </c>
      <c r="Z593" t="s">
        <v>115</v>
      </c>
      <c r="AA593" t="s">
        <v>115</v>
      </c>
      <c r="AB593" t="s">
        <v>115</v>
      </c>
      <c r="AC593" t="s">
        <v>115</v>
      </c>
      <c r="AD593" t="s">
        <v>115</v>
      </c>
      <c r="AE593" t="s">
        <v>115</v>
      </c>
      <c r="AF593" t="s">
        <v>115</v>
      </c>
      <c r="AH593">
        <v>0</v>
      </c>
      <c r="AI593">
        <v>0</v>
      </c>
      <c r="AJ593">
        <v>0</v>
      </c>
      <c r="AK593">
        <v>0</v>
      </c>
      <c r="AL593">
        <v>0</v>
      </c>
      <c r="AM593">
        <f t="shared" si="9"/>
        <v>0</v>
      </c>
      <c r="AN593" t="s">
        <v>188</v>
      </c>
      <c r="AO593" t="s">
        <v>2405</v>
      </c>
    </row>
    <row r="594" spans="1:43" x14ac:dyDescent="0.2">
      <c r="A594" t="s">
        <v>2603</v>
      </c>
      <c r="B594" t="s">
        <v>2604</v>
      </c>
      <c r="C594">
        <v>1</v>
      </c>
      <c r="D594">
        <v>1</v>
      </c>
      <c r="E594" t="s">
        <v>2601</v>
      </c>
      <c r="F594" s="1">
        <v>43551</v>
      </c>
      <c r="G594" s="1" t="s">
        <v>4026</v>
      </c>
      <c r="H594" s="1"/>
      <c r="I594" s="2">
        <v>0.11388888888888889</v>
      </c>
      <c r="J594" s="176">
        <v>1.8981481481481482E-3</v>
      </c>
      <c r="K594" s="6">
        <v>164</v>
      </c>
      <c r="L594" s="5" t="s">
        <v>398</v>
      </c>
      <c r="M594" t="s">
        <v>173</v>
      </c>
      <c r="N594" t="s">
        <v>107</v>
      </c>
      <c r="O594" t="s">
        <v>23</v>
      </c>
      <c r="P594">
        <v>1</v>
      </c>
      <c r="Q594">
        <v>1</v>
      </c>
      <c r="R594">
        <v>0</v>
      </c>
      <c r="S594" t="s">
        <v>461</v>
      </c>
      <c r="T594" t="s">
        <v>2605</v>
      </c>
      <c r="U594" t="s">
        <v>2606</v>
      </c>
      <c r="V594" t="s">
        <v>115</v>
      </c>
      <c r="Z594" t="s">
        <v>115</v>
      </c>
      <c r="AA594" t="s">
        <v>115</v>
      </c>
      <c r="AB594" t="s">
        <v>115</v>
      </c>
      <c r="AC594" t="s">
        <v>115</v>
      </c>
      <c r="AD594" t="s">
        <v>115</v>
      </c>
      <c r="AE594">
        <v>63.725360000000002</v>
      </c>
      <c r="AF594">
        <v>148.95681999999999</v>
      </c>
      <c r="AH594">
        <v>0</v>
      </c>
      <c r="AI594">
        <v>0</v>
      </c>
      <c r="AJ594">
        <v>0</v>
      </c>
      <c r="AK594">
        <v>0</v>
      </c>
      <c r="AL594">
        <v>0</v>
      </c>
      <c r="AM594">
        <f t="shared" si="9"/>
        <v>0</v>
      </c>
      <c r="AO594" t="s">
        <v>2609</v>
      </c>
    </row>
    <row r="595" spans="1:43" x14ac:dyDescent="0.2">
      <c r="A595" t="s">
        <v>2612</v>
      </c>
      <c r="B595" t="s">
        <v>2613</v>
      </c>
      <c r="C595">
        <v>3</v>
      </c>
      <c r="D595">
        <v>1</v>
      </c>
      <c r="E595" t="s">
        <v>2601</v>
      </c>
      <c r="F595" s="1">
        <v>43551</v>
      </c>
      <c r="G595" s="1" t="s">
        <v>4026</v>
      </c>
      <c r="H595" s="1"/>
      <c r="I595" s="2">
        <v>2.7777777777777776E-2</v>
      </c>
      <c r="J595" s="176">
        <v>4.6296296296296293E-4</v>
      </c>
      <c r="K595" s="6">
        <v>40</v>
      </c>
      <c r="L595" s="5" t="s">
        <v>398</v>
      </c>
      <c r="M595" t="s">
        <v>173</v>
      </c>
      <c r="N595" t="s">
        <v>107</v>
      </c>
      <c r="O595" t="s">
        <v>23</v>
      </c>
      <c r="P595">
        <v>1</v>
      </c>
      <c r="Q595">
        <v>1</v>
      </c>
      <c r="R595">
        <v>0</v>
      </c>
      <c r="S595" t="s">
        <v>461</v>
      </c>
      <c r="T595" t="s">
        <v>2605</v>
      </c>
      <c r="U595" t="s">
        <v>2606</v>
      </c>
      <c r="V595" t="s">
        <v>115</v>
      </c>
      <c r="Z595" t="s">
        <v>115</v>
      </c>
      <c r="AA595" t="s">
        <v>115</v>
      </c>
      <c r="AB595" t="s">
        <v>115</v>
      </c>
      <c r="AC595" t="s">
        <v>115</v>
      </c>
      <c r="AD595" t="s">
        <v>115</v>
      </c>
      <c r="AE595">
        <v>63.725009999999997</v>
      </c>
      <c r="AF595">
        <v>148.95760999999999</v>
      </c>
      <c r="AH595">
        <v>0</v>
      </c>
      <c r="AI595">
        <v>0</v>
      </c>
      <c r="AJ595">
        <v>0</v>
      </c>
      <c r="AK595">
        <v>0</v>
      </c>
      <c r="AL595">
        <v>0</v>
      </c>
      <c r="AM595">
        <f t="shared" si="9"/>
        <v>0</v>
      </c>
      <c r="AN595" t="s">
        <v>188</v>
      </c>
    </row>
    <row r="596" spans="1:43" x14ac:dyDescent="0.2">
      <c r="A596" t="s">
        <v>2623</v>
      </c>
      <c r="B596" t="s">
        <v>2624</v>
      </c>
      <c r="C596">
        <v>1</v>
      </c>
      <c r="D596">
        <v>1</v>
      </c>
      <c r="E596" t="s">
        <v>2487</v>
      </c>
      <c r="F596" s="1">
        <v>43551</v>
      </c>
      <c r="G596" s="1" t="s">
        <v>4026</v>
      </c>
      <c r="H596" s="1"/>
      <c r="I596" s="2">
        <v>2.9166666666666664E-2</v>
      </c>
      <c r="J596" s="176">
        <v>4.8611111111111104E-4</v>
      </c>
      <c r="K596" s="6">
        <v>42</v>
      </c>
      <c r="L596" s="5" t="s">
        <v>398</v>
      </c>
      <c r="M596" t="s">
        <v>2488</v>
      </c>
      <c r="N596" t="s">
        <v>107</v>
      </c>
      <c r="O596" t="s">
        <v>23</v>
      </c>
      <c r="P596">
        <v>0</v>
      </c>
      <c r="Q596">
        <v>0</v>
      </c>
      <c r="R596">
        <v>0</v>
      </c>
      <c r="T596" t="s">
        <v>2625</v>
      </c>
      <c r="U596" t="s">
        <v>2626</v>
      </c>
      <c r="V596" t="s">
        <v>115</v>
      </c>
      <c r="Z596" t="s">
        <v>115</v>
      </c>
      <c r="AA596" t="s">
        <v>115</v>
      </c>
      <c r="AB596" t="s">
        <v>115</v>
      </c>
      <c r="AC596" t="s">
        <v>115</v>
      </c>
      <c r="AD596" t="s">
        <v>115</v>
      </c>
      <c r="AE596" t="s">
        <v>115</v>
      </c>
      <c r="AF596" t="s">
        <v>115</v>
      </c>
      <c r="AH596">
        <v>0</v>
      </c>
      <c r="AI596">
        <v>0</v>
      </c>
      <c r="AJ596">
        <v>0</v>
      </c>
      <c r="AK596">
        <v>0</v>
      </c>
      <c r="AL596">
        <v>0</v>
      </c>
      <c r="AM596">
        <f t="shared" si="9"/>
        <v>0</v>
      </c>
      <c r="AO596" t="s">
        <v>2627</v>
      </c>
    </row>
    <row r="597" spans="1:43" x14ac:dyDescent="0.2">
      <c r="A597" t="s">
        <v>2666</v>
      </c>
      <c r="B597" t="s">
        <v>2667</v>
      </c>
      <c r="C597">
        <v>2</v>
      </c>
      <c r="D597">
        <v>1</v>
      </c>
      <c r="E597" t="s">
        <v>176</v>
      </c>
      <c r="F597" s="1">
        <v>43552</v>
      </c>
      <c r="G597" s="1" t="s">
        <v>4026</v>
      </c>
      <c r="H597" s="1"/>
      <c r="I597" s="2">
        <v>1.3888888888888888E-2</v>
      </c>
      <c r="J597" s="176">
        <v>2.3148148148148146E-4</v>
      </c>
      <c r="K597" s="6">
        <v>20</v>
      </c>
      <c r="M597" t="s">
        <v>2665</v>
      </c>
      <c r="N597" t="s">
        <v>107</v>
      </c>
      <c r="O597" t="s">
        <v>23</v>
      </c>
      <c r="P597">
        <v>1</v>
      </c>
      <c r="Q597" t="s">
        <v>24</v>
      </c>
      <c r="R597">
        <v>0</v>
      </c>
      <c r="S597" t="s">
        <v>176</v>
      </c>
      <c r="T597" t="s">
        <v>24</v>
      </c>
      <c r="U597" t="s">
        <v>1035</v>
      </c>
      <c r="V597" t="s">
        <v>115</v>
      </c>
      <c r="Z597" t="s">
        <v>115</v>
      </c>
      <c r="AA597" t="s">
        <v>115</v>
      </c>
      <c r="AB597" t="s">
        <v>115</v>
      </c>
      <c r="AC597" t="s">
        <v>115</v>
      </c>
      <c r="AD597" t="s">
        <v>115</v>
      </c>
      <c r="AE597" t="s">
        <v>115</v>
      </c>
      <c r="AF597" t="s">
        <v>115</v>
      </c>
      <c r="AH597">
        <v>0</v>
      </c>
      <c r="AI597">
        <v>0</v>
      </c>
      <c r="AJ597">
        <v>0</v>
      </c>
      <c r="AK597">
        <v>0</v>
      </c>
      <c r="AL597">
        <v>0</v>
      </c>
      <c r="AM597">
        <f t="shared" si="9"/>
        <v>0</v>
      </c>
      <c r="AN597" t="s">
        <v>188</v>
      </c>
      <c r="AO597" t="s">
        <v>2668</v>
      </c>
      <c r="AP597">
        <v>0</v>
      </c>
      <c r="AQ597">
        <v>0</v>
      </c>
    </row>
    <row r="598" spans="1:43" x14ac:dyDescent="0.2">
      <c r="A598" t="s">
        <v>2673</v>
      </c>
      <c r="B598" t="s">
        <v>2674</v>
      </c>
      <c r="C598">
        <v>1</v>
      </c>
      <c r="D598">
        <v>1</v>
      </c>
      <c r="E598" t="s">
        <v>324</v>
      </c>
      <c r="F598" s="1">
        <v>43554</v>
      </c>
      <c r="G598" s="1" t="s">
        <v>4026</v>
      </c>
      <c r="H598" s="1"/>
      <c r="I598" s="2">
        <v>1.3888888888888888E-2</v>
      </c>
      <c r="J598" s="176">
        <v>2.3148148148148146E-4</v>
      </c>
      <c r="K598" s="6">
        <v>20</v>
      </c>
      <c r="L598" t="s">
        <v>2028</v>
      </c>
      <c r="M598" t="s">
        <v>325</v>
      </c>
      <c r="N598" t="s">
        <v>107</v>
      </c>
      <c r="O598" t="s">
        <v>12</v>
      </c>
      <c r="P598">
        <v>1</v>
      </c>
      <c r="Q598" t="s">
        <v>24</v>
      </c>
      <c r="R598">
        <v>0</v>
      </c>
      <c r="S598" t="s">
        <v>176</v>
      </c>
      <c r="T598" t="s">
        <v>24</v>
      </c>
      <c r="U598" t="s">
        <v>2675</v>
      </c>
      <c r="V598" t="s">
        <v>115</v>
      </c>
      <c r="Z598" t="s">
        <v>115</v>
      </c>
      <c r="AA598" t="s">
        <v>115</v>
      </c>
      <c r="AB598" t="s">
        <v>115</v>
      </c>
      <c r="AC598" t="s">
        <v>115</v>
      </c>
      <c r="AD598" t="s">
        <v>115</v>
      </c>
      <c r="AE598" t="s">
        <v>115</v>
      </c>
      <c r="AF598" t="s">
        <v>115</v>
      </c>
      <c r="AH598">
        <v>0</v>
      </c>
      <c r="AI598">
        <v>0</v>
      </c>
      <c r="AJ598">
        <v>0</v>
      </c>
      <c r="AK598">
        <v>0</v>
      </c>
      <c r="AL598">
        <v>0</v>
      </c>
      <c r="AM598">
        <f t="shared" si="9"/>
        <v>0</v>
      </c>
      <c r="AN598" t="s">
        <v>188</v>
      </c>
      <c r="AO598" t="s">
        <v>2676</v>
      </c>
    </row>
    <row r="599" spans="1:43" x14ac:dyDescent="0.2">
      <c r="A599" t="s">
        <v>2692</v>
      </c>
      <c r="B599" t="s">
        <v>2693</v>
      </c>
      <c r="C599">
        <v>8</v>
      </c>
      <c r="D599">
        <v>1</v>
      </c>
      <c r="E599" t="s">
        <v>324</v>
      </c>
      <c r="F599" s="1">
        <v>43554</v>
      </c>
      <c r="G599" s="1" t="s">
        <v>4026</v>
      </c>
      <c r="H599" s="1"/>
      <c r="I599" s="2">
        <v>2.4305555555555556E-2</v>
      </c>
      <c r="J599" s="176">
        <v>4.0509259259259258E-4</v>
      </c>
      <c r="K599" s="6">
        <v>35</v>
      </c>
      <c r="M599" t="s">
        <v>325</v>
      </c>
      <c r="N599" t="s">
        <v>107</v>
      </c>
      <c r="O599" t="s">
        <v>12</v>
      </c>
      <c r="P599">
        <v>1</v>
      </c>
      <c r="Q599" t="s">
        <v>24</v>
      </c>
      <c r="R599">
        <v>0</v>
      </c>
      <c r="S599" t="s">
        <v>176</v>
      </c>
      <c r="T599" t="s">
        <v>2696</v>
      </c>
      <c r="U599" t="s">
        <v>2694</v>
      </c>
      <c r="V599" t="s">
        <v>115</v>
      </c>
      <c r="Z599" t="s">
        <v>115</v>
      </c>
      <c r="AA599" t="s">
        <v>115</v>
      </c>
      <c r="AB599" t="s">
        <v>115</v>
      </c>
      <c r="AC599" t="s">
        <v>115</v>
      </c>
      <c r="AD599" t="s">
        <v>115</v>
      </c>
      <c r="AE599">
        <v>63.722999999999999</v>
      </c>
      <c r="AF599">
        <v>148.88878</v>
      </c>
      <c r="AH599">
        <v>0</v>
      </c>
      <c r="AI599">
        <v>0</v>
      </c>
      <c r="AJ599">
        <v>0</v>
      </c>
      <c r="AK599">
        <v>0</v>
      </c>
      <c r="AL599">
        <v>0</v>
      </c>
      <c r="AM599">
        <f t="shared" si="9"/>
        <v>0</v>
      </c>
      <c r="AO599" t="s">
        <v>2695</v>
      </c>
    </row>
    <row r="600" spans="1:43" x14ac:dyDescent="0.2">
      <c r="A600" t="s">
        <v>2689</v>
      </c>
      <c r="B600" t="s">
        <v>2690</v>
      </c>
      <c r="C600">
        <v>7</v>
      </c>
      <c r="D600">
        <v>1</v>
      </c>
      <c r="E600" t="s">
        <v>324</v>
      </c>
      <c r="F600" s="1">
        <v>43554</v>
      </c>
      <c r="G600" s="1" t="s">
        <v>4026</v>
      </c>
      <c r="H600" s="1"/>
      <c r="I600" s="2">
        <v>4.1666666666666666E-3</v>
      </c>
      <c r="J600" s="176">
        <v>6.9444444444444444E-5</v>
      </c>
      <c r="K600" s="6">
        <v>6</v>
      </c>
      <c r="M600" t="s">
        <v>325</v>
      </c>
      <c r="N600" t="s">
        <v>107</v>
      </c>
      <c r="O600" t="s">
        <v>12</v>
      </c>
      <c r="P600">
        <v>1</v>
      </c>
      <c r="Q600">
        <v>0</v>
      </c>
      <c r="R600">
        <v>0</v>
      </c>
      <c r="S600" t="s">
        <v>176</v>
      </c>
      <c r="T600" t="s">
        <v>24</v>
      </c>
      <c r="U600" t="s">
        <v>24</v>
      </c>
      <c r="V600" t="s">
        <v>115</v>
      </c>
      <c r="Z600" t="s">
        <v>115</v>
      </c>
      <c r="AA600" t="s">
        <v>115</v>
      </c>
      <c r="AB600" t="s">
        <v>115</v>
      </c>
      <c r="AC600" t="s">
        <v>115</v>
      </c>
      <c r="AD600" t="s">
        <v>115</v>
      </c>
      <c r="AE600" t="s">
        <v>115</v>
      </c>
      <c r="AF600" t="s">
        <v>115</v>
      </c>
      <c r="AH600">
        <v>0</v>
      </c>
      <c r="AI600">
        <v>0</v>
      </c>
      <c r="AJ600">
        <v>0</v>
      </c>
      <c r="AK600">
        <v>0</v>
      </c>
      <c r="AL600">
        <v>0</v>
      </c>
      <c r="AM600">
        <f t="shared" si="9"/>
        <v>0</v>
      </c>
      <c r="AO600" t="s">
        <v>2691</v>
      </c>
    </row>
    <row r="601" spans="1:43" x14ac:dyDescent="0.2">
      <c r="A601" t="s">
        <v>2753</v>
      </c>
      <c r="B601" t="s">
        <v>2754</v>
      </c>
      <c r="C601">
        <v>13</v>
      </c>
      <c r="D601">
        <v>1</v>
      </c>
      <c r="E601" t="s">
        <v>834</v>
      </c>
      <c r="F601" s="1">
        <v>43554</v>
      </c>
      <c r="G601" s="1" t="s">
        <v>4026</v>
      </c>
      <c r="H601" s="1"/>
      <c r="I601" s="2">
        <v>5.347222222222222E-2</v>
      </c>
      <c r="J601" s="176">
        <v>8.9120370370370362E-4</v>
      </c>
      <c r="K601" s="6">
        <v>77</v>
      </c>
      <c r="M601" t="s">
        <v>466</v>
      </c>
      <c r="N601" t="s">
        <v>242</v>
      </c>
      <c r="O601" t="s">
        <v>115</v>
      </c>
      <c r="P601">
        <v>0</v>
      </c>
      <c r="Q601">
        <v>0</v>
      </c>
      <c r="R601">
        <v>1</v>
      </c>
      <c r="S601" t="s">
        <v>598</v>
      </c>
      <c r="T601" s="5" t="s">
        <v>2802</v>
      </c>
      <c r="U601" s="5" t="s">
        <v>115</v>
      </c>
      <c r="V601" s="5" t="s">
        <v>2088</v>
      </c>
      <c r="W601" s="5" t="s">
        <v>23</v>
      </c>
      <c r="X601" s="5" t="s">
        <v>3997</v>
      </c>
      <c r="Y601" s="5" t="s">
        <v>4021</v>
      </c>
      <c r="Z601" s="5" t="s">
        <v>2558</v>
      </c>
      <c r="AA601">
        <v>280</v>
      </c>
      <c r="AB601">
        <v>19</v>
      </c>
      <c r="AC601">
        <v>63.740380000000002</v>
      </c>
      <c r="AD601">
        <v>148.90360999999999</v>
      </c>
      <c r="AE601" s="5" t="s">
        <v>115</v>
      </c>
      <c r="AF601" s="5" t="s">
        <v>115</v>
      </c>
      <c r="AG601" s="5"/>
      <c r="AH601">
        <v>0</v>
      </c>
      <c r="AI601">
        <v>0</v>
      </c>
      <c r="AJ601">
        <v>0</v>
      </c>
      <c r="AK601">
        <v>0</v>
      </c>
      <c r="AL601">
        <v>0</v>
      </c>
      <c r="AM601">
        <f t="shared" si="9"/>
        <v>0</v>
      </c>
      <c r="AO601" t="s">
        <v>2755</v>
      </c>
    </row>
    <row r="602" spans="1:43" x14ac:dyDescent="0.2">
      <c r="A602" t="s">
        <v>2763</v>
      </c>
      <c r="B602" t="s">
        <v>2764</v>
      </c>
      <c r="C602">
        <v>17</v>
      </c>
      <c r="D602">
        <v>1</v>
      </c>
      <c r="E602" t="s">
        <v>834</v>
      </c>
      <c r="F602" s="1">
        <v>43554</v>
      </c>
      <c r="G602" s="1" t="s">
        <v>4026</v>
      </c>
      <c r="H602" s="1"/>
      <c r="I602" s="2">
        <v>6.2499999999999995E-3</v>
      </c>
      <c r="J602" s="176">
        <v>1.0416666666666667E-4</v>
      </c>
      <c r="K602" s="6">
        <v>9</v>
      </c>
      <c r="M602" t="s">
        <v>466</v>
      </c>
      <c r="N602" t="s">
        <v>111</v>
      </c>
      <c r="O602" t="s">
        <v>115</v>
      </c>
      <c r="P602">
        <v>0</v>
      </c>
      <c r="Q602">
        <v>0</v>
      </c>
      <c r="R602">
        <v>1</v>
      </c>
      <c r="S602" t="s">
        <v>598</v>
      </c>
      <c r="T602" s="5" t="s">
        <v>2437</v>
      </c>
      <c r="U602" s="5" t="s">
        <v>122</v>
      </c>
      <c r="V602" s="5" t="s">
        <v>2088</v>
      </c>
      <c r="W602" s="5"/>
      <c r="X602" s="5"/>
      <c r="Y602" s="5"/>
      <c r="Z602">
        <v>315</v>
      </c>
      <c r="AA602" s="5" t="s">
        <v>2765</v>
      </c>
      <c r="AB602">
        <v>20</v>
      </c>
      <c r="AC602">
        <v>63.740479999999998</v>
      </c>
      <c r="AD602">
        <v>148.90235999999999</v>
      </c>
      <c r="AE602" s="5" t="s">
        <v>115</v>
      </c>
      <c r="AF602" s="5" t="s">
        <v>115</v>
      </c>
      <c r="AG602" s="5"/>
      <c r="AH602">
        <v>0</v>
      </c>
      <c r="AI602">
        <v>0</v>
      </c>
      <c r="AJ602">
        <v>0</v>
      </c>
      <c r="AK602">
        <v>0</v>
      </c>
      <c r="AL602">
        <v>0</v>
      </c>
      <c r="AM602">
        <f t="shared" si="9"/>
        <v>0</v>
      </c>
      <c r="AO602" t="s">
        <v>2766</v>
      </c>
    </row>
    <row r="603" spans="1:43" x14ac:dyDescent="0.2">
      <c r="A603" t="s">
        <v>2739</v>
      </c>
      <c r="B603" t="s">
        <v>2740</v>
      </c>
      <c r="C603">
        <v>7</v>
      </c>
      <c r="D603">
        <v>2</v>
      </c>
      <c r="E603" t="s">
        <v>834</v>
      </c>
      <c r="F603" s="1">
        <v>43554</v>
      </c>
      <c r="G603" s="1" t="s">
        <v>4026</v>
      </c>
      <c r="H603" s="1"/>
      <c r="I603" s="2">
        <v>0.11319444444444444</v>
      </c>
      <c r="J603" s="176">
        <v>1.8865740740740742E-3</v>
      </c>
      <c r="K603" s="6">
        <v>163</v>
      </c>
      <c r="M603" t="s">
        <v>466</v>
      </c>
      <c r="N603" t="s">
        <v>187</v>
      </c>
      <c r="O603" t="s">
        <v>115</v>
      </c>
      <c r="P603">
        <v>1</v>
      </c>
      <c r="Q603">
        <v>0</v>
      </c>
      <c r="R603">
        <v>1</v>
      </c>
      <c r="S603" t="s">
        <v>598</v>
      </c>
      <c r="T603" s="5" t="s">
        <v>2741</v>
      </c>
      <c r="U603" s="5" t="s">
        <v>122</v>
      </c>
      <c r="V603" s="5" t="s">
        <v>2088</v>
      </c>
      <c r="W603" s="5" t="s">
        <v>23</v>
      </c>
      <c r="X603" s="5" t="s">
        <v>3997</v>
      </c>
      <c r="Y603" s="5" t="s">
        <v>4021</v>
      </c>
      <c r="Z603" s="5" t="s">
        <v>2457</v>
      </c>
      <c r="AA603">
        <v>40</v>
      </c>
      <c r="AB603" s="5" t="s">
        <v>24</v>
      </c>
      <c r="AC603">
        <v>63.739150000000002</v>
      </c>
      <c r="AD603">
        <v>148.90440000000001</v>
      </c>
      <c r="AE603" s="5" t="s">
        <v>115</v>
      </c>
      <c r="AF603" s="5" t="s">
        <v>115</v>
      </c>
      <c r="AG603" s="5"/>
      <c r="AH603">
        <v>0</v>
      </c>
      <c r="AI603">
        <v>0</v>
      </c>
      <c r="AJ603">
        <v>0</v>
      </c>
      <c r="AK603">
        <v>0</v>
      </c>
      <c r="AL603">
        <v>0</v>
      </c>
      <c r="AM603">
        <f t="shared" si="9"/>
        <v>0</v>
      </c>
      <c r="AN603" t="s">
        <v>188</v>
      </c>
      <c r="AO603" t="s">
        <v>2758</v>
      </c>
    </row>
    <row r="604" spans="1:43" x14ac:dyDescent="0.2">
      <c r="A604" t="s">
        <v>2750</v>
      </c>
      <c r="B604" t="s">
        <v>2751</v>
      </c>
      <c r="C604">
        <v>12</v>
      </c>
      <c r="D604">
        <v>1</v>
      </c>
      <c r="E604" t="s">
        <v>834</v>
      </c>
      <c r="F604" s="1">
        <v>43554</v>
      </c>
      <c r="G604" s="1" t="s">
        <v>4026</v>
      </c>
      <c r="H604" s="1"/>
      <c r="I604" s="2">
        <v>1.2499999999999999E-2</v>
      </c>
      <c r="J604" s="176">
        <v>2.0833333333333335E-4</v>
      </c>
      <c r="K604" s="6">
        <v>18</v>
      </c>
      <c r="M604" t="s">
        <v>466</v>
      </c>
      <c r="N604" t="s">
        <v>107</v>
      </c>
      <c r="O604" t="s">
        <v>115</v>
      </c>
      <c r="P604">
        <v>0</v>
      </c>
      <c r="Q604">
        <v>0</v>
      </c>
      <c r="R604">
        <v>0</v>
      </c>
      <c r="S604" t="s">
        <v>598</v>
      </c>
      <c r="T604" s="5" t="s">
        <v>2801</v>
      </c>
      <c r="U604" s="5" t="s">
        <v>115</v>
      </c>
      <c r="V604" s="5" t="s">
        <v>115</v>
      </c>
      <c r="W604" s="5"/>
      <c r="X604" s="5"/>
      <c r="Y604" s="5"/>
      <c r="Z604" s="5" t="s">
        <v>115</v>
      </c>
      <c r="AA604" s="5" t="s">
        <v>115</v>
      </c>
      <c r="AB604" s="5" t="s">
        <v>115</v>
      </c>
      <c r="AC604" s="5" t="s">
        <v>115</v>
      </c>
      <c r="AD604" s="5" t="s">
        <v>115</v>
      </c>
      <c r="AE604" s="5" t="s">
        <v>115</v>
      </c>
      <c r="AF604" s="5" t="s">
        <v>115</v>
      </c>
      <c r="AG604" s="5"/>
      <c r="AH604">
        <v>0</v>
      </c>
      <c r="AI604">
        <v>0</v>
      </c>
      <c r="AJ604">
        <v>0</v>
      </c>
      <c r="AK604">
        <v>0</v>
      </c>
      <c r="AL604">
        <v>0</v>
      </c>
      <c r="AM604">
        <f t="shared" si="9"/>
        <v>0</v>
      </c>
      <c r="AO604" t="s">
        <v>2752</v>
      </c>
    </row>
    <row r="605" spans="1:43" x14ac:dyDescent="0.2">
      <c r="A605" t="s">
        <v>2815</v>
      </c>
      <c r="B605" t="s">
        <v>2816</v>
      </c>
      <c r="C605">
        <v>14</v>
      </c>
      <c r="D605">
        <v>1</v>
      </c>
      <c r="E605" t="s">
        <v>138</v>
      </c>
      <c r="F605" s="1">
        <v>43556</v>
      </c>
      <c r="G605" s="1" t="s">
        <v>4027</v>
      </c>
      <c r="H605" s="1"/>
      <c r="I605" s="2">
        <v>9.1666666666666674E-2</v>
      </c>
      <c r="J605" s="176">
        <v>1.5277777777777779E-3</v>
      </c>
      <c r="K605" s="6">
        <v>132</v>
      </c>
      <c r="M605" t="s">
        <v>173</v>
      </c>
      <c r="N605" t="s">
        <v>187</v>
      </c>
      <c r="O605" t="s">
        <v>23</v>
      </c>
      <c r="P605">
        <v>1</v>
      </c>
      <c r="Q605">
        <v>0</v>
      </c>
      <c r="R605">
        <v>1</v>
      </c>
      <c r="S605" t="s">
        <v>176</v>
      </c>
      <c r="T605" s="5" t="s">
        <v>24</v>
      </c>
      <c r="U605" s="5" t="s">
        <v>122</v>
      </c>
      <c r="V605" s="5" t="s">
        <v>2088</v>
      </c>
      <c r="W605" s="5" t="s">
        <v>23</v>
      </c>
      <c r="X605" s="5" t="s">
        <v>3997</v>
      </c>
      <c r="Y605" s="5" t="s">
        <v>4021</v>
      </c>
      <c r="Z605" s="5" t="s">
        <v>2558</v>
      </c>
      <c r="AA605">
        <v>280</v>
      </c>
      <c r="AB605">
        <v>5</v>
      </c>
      <c r="AC605">
        <v>63.724850000000004</v>
      </c>
      <c r="AD605">
        <v>148.95644999999999</v>
      </c>
      <c r="AE605">
        <v>0</v>
      </c>
      <c r="AF605">
        <v>0</v>
      </c>
      <c r="AH605">
        <v>0</v>
      </c>
      <c r="AI605">
        <v>0</v>
      </c>
      <c r="AJ605">
        <v>0</v>
      </c>
      <c r="AK605">
        <v>0</v>
      </c>
      <c r="AL605">
        <v>0</v>
      </c>
      <c r="AM605">
        <f t="shared" si="9"/>
        <v>0</v>
      </c>
      <c r="AO605" t="s">
        <v>2817</v>
      </c>
    </row>
    <row r="606" spans="1:43" x14ac:dyDescent="0.2">
      <c r="A606" t="s">
        <v>2786</v>
      </c>
      <c r="B606" t="s">
        <v>2787</v>
      </c>
      <c r="C606">
        <v>3</v>
      </c>
      <c r="D606">
        <v>1</v>
      </c>
      <c r="E606" t="s">
        <v>2781</v>
      </c>
      <c r="F606" s="1">
        <v>43556</v>
      </c>
      <c r="G606" s="1" t="s">
        <v>4027</v>
      </c>
      <c r="H606" s="1"/>
      <c r="I606" s="2">
        <v>6.5277777777777782E-2</v>
      </c>
      <c r="J606" s="176">
        <v>1.0879629629629629E-3</v>
      </c>
      <c r="K606" s="6">
        <v>94</v>
      </c>
      <c r="M606" t="s">
        <v>2782</v>
      </c>
      <c r="N606" t="s">
        <v>111</v>
      </c>
      <c r="O606" t="s">
        <v>23</v>
      </c>
      <c r="P606">
        <v>1</v>
      </c>
      <c r="Q606">
        <v>0</v>
      </c>
      <c r="R606">
        <v>1</v>
      </c>
      <c r="S606" t="s">
        <v>176</v>
      </c>
      <c r="T606" s="5" t="s">
        <v>24</v>
      </c>
      <c r="U606" s="5" t="s">
        <v>2383</v>
      </c>
      <c r="V606" s="5" t="s">
        <v>1035</v>
      </c>
      <c r="W606" s="5" t="s">
        <v>23</v>
      </c>
      <c r="X606" s="5" t="s">
        <v>3997</v>
      </c>
      <c r="Y606" s="5" t="s">
        <v>4006</v>
      </c>
      <c r="Z606" s="5" t="s">
        <v>2457</v>
      </c>
      <c r="AA606">
        <v>50</v>
      </c>
      <c r="AB606" s="5" t="s">
        <v>24</v>
      </c>
      <c r="AC606">
        <v>63.725149999999999</v>
      </c>
      <c r="AD606">
        <v>148.98685</v>
      </c>
      <c r="AE606" s="5" t="s">
        <v>115</v>
      </c>
      <c r="AF606" s="5" t="s">
        <v>115</v>
      </c>
      <c r="AG606" s="5"/>
      <c r="AH606">
        <v>0</v>
      </c>
      <c r="AI606">
        <v>0</v>
      </c>
      <c r="AJ606">
        <v>0</v>
      </c>
      <c r="AK606">
        <v>0</v>
      </c>
      <c r="AL606">
        <v>0</v>
      </c>
      <c r="AM606">
        <f t="shared" si="9"/>
        <v>0</v>
      </c>
    </row>
    <row r="607" spans="1:43" x14ac:dyDescent="0.2">
      <c r="A607" t="s">
        <v>2777</v>
      </c>
      <c r="B607" t="s">
        <v>2778</v>
      </c>
      <c r="C607">
        <v>1</v>
      </c>
      <c r="D607">
        <v>1</v>
      </c>
      <c r="E607" t="s">
        <v>2487</v>
      </c>
      <c r="F607" s="1">
        <v>43556</v>
      </c>
      <c r="G607" s="1" t="s">
        <v>4027</v>
      </c>
      <c r="H607" s="1"/>
      <c r="I607" s="2">
        <v>4.1666666666666666E-3</v>
      </c>
      <c r="J607" s="176">
        <v>6.9444444444444444E-5</v>
      </c>
      <c r="K607" s="6">
        <v>6</v>
      </c>
      <c r="L607" t="s">
        <v>2028</v>
      </c>
      <c r="M607" t="s">
        <v>2488</v>
      </c>
      <c r="N607" t="s">
        <v>107</v>
      </c>
      <c r="O607" t="s">
        <v>23</v>
      </c>
      <c r="P607">
        <v>1</v>
      </c>
      <c r="Q607" t="s">
        <v>24</v>
      </c>
      <c r="R607">
        <v>0</v>
      </c>
      <c r="S607" t="s">
        <v>176</v>
      </c>
      <c r="T607" s="5" t="s">
        <v>24</v>
      </c>
      <c r="U607" s="5" t="s">
        <v>487</v>
      </c>
      <c r="V607" s="5" t="s">
        <v>115</v>
      </c>
      <c r="W607" s="5"/>
      <c r="X607" s="5"/>
      <c r="Y607" s="5"/>
      <c r="Z607" s="5" t="s">
        <v>115</v>
      </c>
      <c r="AA607" s="5" t="s">
        <v>115</v>
      </c>
      <c r="AB607" s="5" t="s">
        <v>115</v>
      </c>
      <c r="AC607" s="5" t="s">
        <v>115</v>
      </c>
      <c r="AD607" s="5" t="s">
        <v>115</v>
      </c>
      <c r="AE607" s="5" t="s">
        <v>115</v>
      </c>
      <c r="AF607" s="5" t="s">
        <v>115</v>
      </c>
      <c r="AG607" s="5"/>
      <c r="AH607">
        <v>0</v>
      </c>
      <c r="AI607">
        <v>0</v>
      </c>
      <c r="AJ607">
        <v>0</v>
      </c>
      <c r="AK607">
        <v>0</v>
      </c>
      <c r="AL607">
        <v>0</v>
      </c>
      <c r="AM607">
        <f t="shared" si="9"/>
        <v>0</v>
      </c>
      <c r="AO607" t="s">
        <v>2480</v>
      </c>
    </row>
    <row r="608" spans="1:43" x14ac:dyDescent="0.2">
      <c r="A608" t="s">
        <v>2823</v>
      </c>
      <c r="B608" t="s">
        <v>2824</v>
      </c>
      <c r="C608">
        <v>17</v>
      </c>
      <c r="D608">
        <v>1</v>
      </c>
      <c r="E608" t="s">
        <v>138</v>
      </c>
      <c r="F608" s="1">
        <v>43556</v>
      </c>
      <c r="G608" s="1" t="s">
        <v>4027</v>
      </c>
      <c r="H608" s="1"/>
      <c r="I608" s="2">
        <v>5.5555555555555558E-3</v>
      </c>
      <c r="J608" s="176">
        <v>9.2592592592592588E-5</v>
      </c>
      <c r="K608" s="6">
        <v>8</v>
      </c>
      <c r="M608" t="s">
        <v>173</v>
      </c>
      <c r="N608" t="s">
        <v>111</v>
      </c>
      <c r="O608" t="s">
        <v>23</v>
      </c>
      <c r="P608">
        <v>0</v>
      </c>
      <c r="Q608">
        <v>0</v>
      </c>
      <c r="R608">
        <v>1</v>
      </c>
      <c r="S608" t="s">
        <v>598</v>
      </c>
      <c r="T608" s="5" t="s">
        <v>2802</v>
      </c>
      <c r="U608" s="5" t="s">
        <v>122</v>
      </c>
      <c r="V608" s="5" t="s">
        <v>1035</v>
      </c>
      <c r="W608" s="5" t="s">
        <v>23</v>
      </c>
      <c r="X608" s="5" t="s">
        <v>3997</v>
      </c>
      <c r="Y608" s="5" t="s">
        <v>4006</v>
      </c>
      <c r="Z608" s="5" t="s">
        <v>2825</v>
      </c>
      <c r="AA608">
        <v>105</v>
      </c>
      <c r="AB608">
        <v>30</v>
      </c>
      <c r="AC608">
        <v>63.724870000000003</v>
      </c>
      <c r="AD608">
        <v>148.95508000000001</v>
      </c>
      <c r="AE608">
        <v>0</v>
      </c>
      <c r="AF608">
        <v>0</v>
      </c>
      <c r="AH608">
        <v>0</v>
      </c>
      <c r="AI608">
        <v>0</v>
      </c>
      <c r="AJ608">
        <v>0</v>
      </c>
      <c r="AK608">
        <v>0</v>
      </c>
      <c r="AL608">
        <v>0</v>
      </c>
      <c r="AM608">
        <f t="shared" si="9"/>
        <v>0</v>
      </c>
      <c r="AO608" t="s">
        <v>2826</v>
      </c>
    </row>
    <row r="609" spans="1:41" x14ac:dyDescent="0.2">
      <c r="A609" t="s">
        <v>2799</v>
      </c>
      <c r="B609" t="s">
        <v>2800</v>
      </c>
      <c r="C609">
        <v>7</v>
      </c>
      <c r="D609">
        <v>1</v>
      </c>
      <c r="E609" t="s">
        <v>138</v>
      </c>
      <c r="F609" s="1">
        <v>43556</v>
      </c>
      <c r="G609" s="1" t="s">
        <v>4027</v>
      </c>
      <c r="H609" s="1"/>
      <c r="I609" s="2">
        <v>4.8611111111111112E-3</v>
      </c>
      <c r="J609" s="176">
        <v>8.1018518518518516E-5</v>
      </c>
      <c r="K609" s="6">
        <v>7</v>
      </c>
      <c r="M609" t="s">
        <v>173</v>
      </c>
      <c r="N609" t="s">
        <v>107</v>
      </c>
      <c r="O609" t="s">
        <v>115</v>
      </c>
      <c r="P609">
        <v>1</v>
      </c>
      <c r="Q609">
        <v>0</v>
      </c>
      <c r="R609">
        <v>0</v>
      </c>
      <c r="S609" t="s">
        <v>598</v>
      </c>
      <c r="T609" s="5" t="s">
        <v>2801</v>
      </c>
      <c r="U609" s="5" t="s">
        <v>122</v>
      </c>
      <c r="V609" s="5" t="s">
        <v>115</v>
      </c>
      <c r="W609" s="5"/>
      <c r="X609" s="5"/>
      <c r="Y609" s="5"/>
      <c r="Z609" s="5" t="s">
        <v>115</v>
      </c>
      <c r="AA609" s="5" t="s">
        <v>115</v>
      </c>
      <c r="AB609" s="5" t="s">
        <v>115</v>
      </c>
      <c r="AC609" s="5" t="s">
        <v>115</v>
      </c>
      <c r="AD609" s="5" t="s">
        <v>115</v>
      </c>
      <c r="AE609" s="5" t="s">
        <v>115</v>
      </c>
      <c r="AF609" s="5" t="s">
        <v>115</v>
      </c>
      <c r="AG609" s="5"/>
      <c r="AH609">
        <v>0</v>
      </c>
      <c r="AI609">
        <v>0</v>
      </c>
      <c r="AJ609">
        <v>0</v>
      </c>
      <c r="AK609">
        <v>0</v>
      </c>
      <c r="AL609">
        <v>0</v>
      </c>
      <c r="AM609">
        <f t="shared" si="9"/>
        <v>0</v>
      </c>
      <c r="AO609" t="s">
        <v>2803</v>
      </c>
    </row>
    <row r="610" spans="1:41" x14ac:dyDescent="0.2">
      <c r="A610" t="s">
        <v>2821</v>
      </c>
      <c r="B610" t="s">
        <v>2822</v>
      </c>
      <c r="C610">
        <v>16</v>
      </c>
      <c r="D610">
        <v>1</v>
      </c>
      <c r="E610" t="s">
        <v>138</v>
      </c>
      <c r="F610" s="1">
        <v>43556</v>
      </c>
      <c r="G610" s="1" t="s">
        <v>4027</v>
      </c>
      <c r="H610" s="1"/>
      <c r="I610" s="2">
        <v>6.5277777777777782E-2</v>
      </c>
      <c r="J610" s="176">
        <v>1.0879629629629629E-3</v>
      </c>
      <c r="K610" s="6">
        <v>94</v>
      </c>
      <c r="M610" t="s">
        <v>173</v>
      </c>
      <c r="N610" t="s">
        <v>107</v>
      </c>
      <c r="O610" t="s">
        <v>115</v>
      </c>
      <c r="P610">
        <v>0</v>
      </c>
      <c r="Q610">
        <v>0</v>
      </c>
      <c r="R610">
        <v>0</v>
      </c>
      <c r="S610" t="s">
        <v>598</v>
      </c>
      <c r="T610" s="5" t="s">
        <v>2802</v>
      </c>
      <c r="U610" s="5" t="s">
        <v>115</v>
      </c>
      <c r="V610" s="5" t="s">
        <v>115</v>
      </c>
      <c r="W610" s="5"/>
      <c r="X610" s="5"/>
      <c r="Y610" s="5"/>
      <c r="Z610" s="5" t="s">
        <v>115</v>
      </c>
      <c r="AA610" s="5" t="s">
        <v>115</v>
      </c>
      <c r="AB610" s="5" t="s">
        <v>115</v>
      </c>
      <c r="AC610" s="5" t="s">
        <v>115</v>
      </c>
      <c r="AD610" s="5" t="s">
        <v>115</v>
      </c>
      <c r="AE610" s="5" t="s">
        <v>115</v>
      </c>
      <c r="AF610" s="5" t="s">
        <v>115</v>
      </c>
      <c r="AG610" s="5"/>
      <c r="AH610">
        <v>0</v>
      </c>
      <c r="AI610">
        <v>0</v>
      </c>
      <c r="AJ610">
        <v>0</v>
      </c>
      <c r="AK610">
        <v>0</v>
      </c>
      <c r="AL610">
        <v>0</v>
      </c>
      <c r="AM610">
        <f t="shared" si="9"/>
        <v>0</v>
      </c>
    </row>
    <row r="611" spans="1:41" x14ac:dyDescent="0.2">
      <c r="A611" t="s">
        <v>2804</v>
      </c>
      <c r="B611" t="s">
        <v>2805</v>
      </c>
      <c r="C611">
        <v>8</v>
      </c>
      <c r="D611">
        <v>1</v>
      </c>
      <c r="E611" t="s">
        <v>138</v>
      </c>
      <c r="F611" s="1">
        <v>43556</v>
      </c>
      <c r="G611" s="1" t="s">
        <v>4027</v>
      </c>
      <c r="H611" s="1"/>
      <c r="I611" s="2">
        <v>2.7083333333333334E-2</v>
      </c>
      <c r="J611" s="176">
        <v>4.5138888888888892E-4</v>
      </c>
      <c r="K611" s="6">
        <v>39</v>
      </c>
      <c r="M611" t="s">
        <v>173</v>
      </c>
      <c r="N611" t="s">
        <v>107</v>
      </c>
      <c r="O611" t="s">
        <v>115</v>
      </c>
      <c r="P611">
        <v>0</v>
      </c>
      <c r="Q611">
        <v>0</v>
      </c>
      <c r="R611">
        <v>0</v>
      </c>
      <c r="S611" t="s">
        <v>598</v>
      </c>
      <c r="T611" s="5" t="s">
        <v>2802</v>
      </c>
      <c r="U611" s="5" t="s">
        <v>115</v>
      </c>
      <c r="V611" s="5" t="s">
        <v>115</v>
      </c>
      <c r="W611" s="5"/>
      <c r="X611" s="5"/>
      <c r="Y611" s="5"/>
      <c r="Z611" s="5" t="s">
        <v>115</v>
      </c>
      <c r="AA611" s="5" t="s">
        <v>115</v>
      </c>
      <c r="AB611" s="5" t="s">
        <v>115</v>
      </c>
      <c r="AC611" s="5" t="s">
        <v>115</v>
      </c>
      <c r="AD611" s="5" t="s">
        <v>115</v>
      </c>
      <c r="AE611" s="5" t="s">
        <v>115</v>
      </c>
      <c r="AF611" s="5" t="s">
        <v>115</v>
      </c>
      <c r="AG611" s="5"/>
      <c r="AH611">
        <v>0</v>
      </c>
      <c r="AI611">
        <v>0</v>
      </c>
      <c r="AJ611">
        <v>0</v>
      </c>
      <c r="AK611">
        <v>0</v>
      </c>
      <c r="AL611">
        <v>0</v>
      </c>
      <c r="AM611">
        <f t="shared" si="9"/>
        <v>0</v>
      </c>
    </row>
    <row r="612" spans="1:41" x14ac:dyDescent="0.2">
      <c r="A612" t="s">
        <v>2804</v>
      </c>
      <c r="B612" t="s">
        <v>2806</v>
      </c>
      <c r="C612">
        <v>9</v>
      </c>
      <c r="D612">
        <v>1</v>
      </c>
      <c r="E612" t="s">
        <v>138</v>
      </c>
      <c r="F612" s="1">
        <v>43556</v>
      </c>
      <c r="G612" s="1" t="s">
        <v>4027</v>
      </c>
      <c r="H612" s="1"/>
      <c r="I612" s="2">
        <v>1.5277777777777777E-2</v>
      </c>
      <c r="J612" s="176">
        <v>2.5462962962962961E-4</v>
      </c>
      <c r="K612" s="6">
        <v>22</v>
      </c>
      <c r="M612" t="s">
        <v>173</v>
      </c>
      <c r="N612" t="s">
        <v>107</v>
      </c>
      <c r="O612" t="s">
        <v>115</v>
      </c>
      <c r="P612">
        <v>0</v>
      </c>
      <c r="Q612">
        <v>0</v>
      </c>
      <c r="R612">
        <v>0</v>
      </c>
      <c r="S612" t="s">
        <v>598</v>
      </c>
      <c r="T612" s="5" t="s">
        <v>2802</v>
      </c>
      <c r="U612" s="5" t="s">
        <v>115</v>
      </c>
      <c r="V612" s="5" t="s">
        <v>115</v>
      </c>
      <c r="W612" s="5"/>
      <c r="X612" s="5"/>
      <c r="Y612" s="5"/>
      <c r="Z612" s="5" t="s">
        <v>115</v>
      </c>
      <c r="AA612" s="5" t="s">
        <v>115</v>
      </c>
      <c r="AB612" s="5" t="s">
        <v>115</v>
      </c>
      <c r="AC612" s="5" t="s">
        <v>115</v>
      </c>
      <c r="AD612" s="5" t="s">
        <v>115</v>
      </c>
      <c r="AE612" s="5" t="s">
        <v>115</v>
      </c>
      <c r="AF612" s="5" t="s">
        <v>115</v>
      </c>
      <c r="AG612" s="5"/>
      <c r="AH612">
        <v>0</v>
      </c>
      <c r="AI612">
        <v>0</v>
      </c>
      <c r="AJ612">
        <v>0</v>
      </c>
      <c r="AK612">
        <v>0</v>
      </c>
      <c r="AL612">
        <v>0</v>
      </c>
      <c r="AM612">
        <f t="shared" si="9"/>
        <v>0</v>
      </c>
    </row>
    <row r="613" spans="1:41" x14ac:dyDescent="0.2">
      <c r="A613" t="s">
        <v>2834</v>
      </c>
      <c r="B613" t="s">
        <v>2835</v>
      </c>
      <c r="C613">
        <v>4</v>
      </c>
      <c r="D613">
        <v>1</v>
      </c>
      <c r="E613" t="s">
        <v>2781</v>
      </c>
      <c r="F613" s="1">
        <v>43556</v>
      </c>
      <c r="G613" s="1" t="s">
        <v>4027</v>
      </c>
      <c r="H613" s="1"/>
      <c r="I613" s="2">
        <v>4.1666666666666666E-3</v>
      </c>
      <c r="J613" s="176">
        <v>6.9444444444444444E-5</v>
      </c>
      <c r="K613" s="6">
        <v>6</v>
      </c>
      <c r="M613" t="s">
        <v>64</v>
      </c>
      <c r="N613" t="s">
        <v>102</v>
      </c>
      <c r="O613" t="s">
        <v>115</v>
      </c>
      <c r="P613">
        <v>0</v>
      </c>
      <c r="Q613">
        <v>0</v>
      </c>
      <c r="R613">
        <v>0</v>
      </c>
      <c r="T613" s="5" t="s">
        <v>115</v>
      </c>
      <c r="U613" s="5" t="s">
        <v>115</v>
      </c>
      <c r="V613" s="5" t="s">
        <v>115</v>
      </c>
      <c r="W613" s="5"/>
      <c r="X613" s="5"/>
      <c r="Y613" s="5"/>
      <c r="Z613" s="5" t="s">
        <v>115</v>
      </c>
      <c r="AA613" s="5" t="s">
        <v>115</v>
      </c>
      <c r="AB613" s="5" t="s">
        <v>115</v>
      </c>
      <c r="AC613" s="5" t="s">
        <v>115</v>
      </c>
      <c r="AD613" s="5" t="s">
        <v>115</v>
      </c>
      <c r="AE613" s="5" t="s">
        <v>115</v>
      </c>
      <c r="AF613" s="5" t="s">
        <v>115</v>
      </c>
      <c r="AG613" s="5"/>
      <c r="AH613">
        <v>0</v>
      </c>
      <c r="AI613">
        <v>0</v>
      </c>
      <c r="AJ613">
        <v>0</v>
      </c>
      <c r="AK613">
        <v>0</v>
      </c>
      <c r="AL613">
        <v>0</v>
      </c>
      <c r="AM613">
        <f t="shared" si="9"/>
        <v>0</v>
      </c>
      <c r="AN613" t="s">
        <v>188</v>
      </c>
    </row>
    <row r="614" spans="1:41" x14ac:dyDescent="0.2">
      <c r="A614" t="s">
        <v>2848</v>
      </c>
      <c r="B614" t="s">
        <v>2849</v>
      </c>
      <c r="C614">
        <v>4</v>
      </c>
      <c r="D614">
        <v>1</v>
      </c>
      <c r="E614" t="s">
        <v>140</v>
      </c>
      <c r="F614" s="1">
        <v>43557</v>
      </c>
      <c r="G614" s="1" t="s">
        <v>4027</v>
      </c>
      <c r="H614" s="1"/>
      <c r="I614" s="2">
        <v>1.8749999999999999E-2</v>
      </c>
      <c r="J614" s="176">
        <v>3.1250000000000001E-4</v>
      </c>
      <c r="K614" s="6">
        <v>27</v>
      </c>
      <c r="L614" s="2"/>
      <c r="M614" t="s">
        <v>149</v>
      </c>
      <c r="N614" t="s">
        <v>111</v>
      </c>
      <c r="O614" t="s">
        <v>23</v>
      </c>
      <c r="P614">
        <v>1</v>
      </c>
      <c r="Q614">
        <v>0</v>
      </c>
      <c r="R614">
        <v>1</v>
      </c>
      <c r="S614" t="s">
        <v>176</v>
      </c>
      <c r="T614" s="5" t="s">
        <v>24</v>
      </c>
      <c r="U614" s="5" t="s">
        <v>122</v>
      </c>
      <c r="V614" s="5" t="s">
        <v>1035</v>
      </c>
      <c r="W614" s="5" t="s">
        <v>23</v>
      </c>
      <c r="X614" s="5" t="s">
        <v>3997</v>
      </c>
      <c r="Y614" s="5" t="s">
        <v>4006</v>
      </c>
      <c r="Z614" t="s">
        <v>2850</v>
      </c>
      <c r="AA614" s="5">
        <v>115</v>
      </c>
      <c r="AB614">
        <v>21</v>
      </c>
      <c r="AC614">
        <v>63.724209999999999</v>
      </c>
      <c r="AD614">
        <v>148.95044999999999</v>
      </c>
      <c r="AE614" s="5" t="s">
        <v>115</v>
      </c>
      <c r="AF614" s="5" t="s">
        <v>115</v>
      </c>
      <c r="AG614" s="5"/>
      <c r="AH614">
        <v>0</v>
      </c>
      <c r="AI614">
        <v>0</v>
      </c>
      <c r="AJ614">
        <v>0</v>
      </c>
      <c r="AK614">
        <v>0</v>
      </c>
      <c r="AL614">
        <v>0</v>
      </c>
      <c r="AM614">
        <f t="shared" si="9"/>
        <v>0</v>
      </c>
      <c r="AO614" t="s">
        <v>2851</v>
      </c>
    </row>
    <row r="615" spans="1:41" x14ac:dyDescent="0.2">
      <c r="A615" t="s">
        <v>2841</v>
      </c>
      <c r="B615" t="s">
        <v>2842</v>
      </c>
      <c r="C615">
        <v>1</v>
      </c>
      <c r="D615">
        <v>1</v>
      </c>
      <c r="E615" t="s">
        <v>140</v>
      </c>
      <c r="F615" s="1">
        <v>43557</v>
      </c>
      <c r="G615" s="1" t="s">
        <v>4027</v>
      </c>
      <c r="H615" s="1"/>
      <c r="I615" s="2">
        <v>2.9166666666666664E-2</v>
      </c>
      <c r="J615" s="176">
        <v>4.8611111111111104E-4</v>
      </c>
      <c r="K615" s="6">
        <v>42</v>
      </c>
      <c r="M615" t="s">
        <v>149</v>
      </c>
      <c r="N615" t="s">
        <v>102</v>
      </c>
      <c r="O615" t="s">
        <v>23</v>
      </c>
      <c r="P615">
        <v>1</v>
      </c>
      <c r="Q615" t="s">
        <v>24</v>
      </c>
      <c r="R615">
        <v>0</v>
      </c>
      <c r="S615" t="s">
        <v>176</v>
      </c>
      <c r="T615" s="5" t="s">
        <v>24</v>
      </c>
      <c r="U615" s="5" t="s">
        <v>487</v>
      </c>
      <c r="V615" s="5" t="s">
        <v>115</v>
      </c>
      <c r="W615" s="5"/>
      <c r="X615" s="5"/>
      <c r="Y615" s="5"/>
      <c r="Z615" s="5" t="s">
        <v>115</v>
      </c>
      <c r="AA615" s="5" t="s">
        <v>115</v>
      </c>
      <c r="AB615" s="5" t="s">
        <v>115</v>
      </c>
      <c r="AC615" s="5" t="s">
        <v>115</v>
      </c>
      <c r="AD615" s="5" t="s">
        <v>115</v>
      </c>
      <c r="AE615" s="5" t="s">
        <v>115</v>
      </c>
      <c r="AF615" s="5" t="s">
        <v>115</v>
      </c>
      <c r="AG615" s="5"/>
      <c r="AH615">
        <v>0</v>
      </c>
      <c r="AI615">
        <v>0</v>
      </c>
      <c r="AJ615">
        <v>0</v>
      </c>
      <c r="AK615">
        <v>0</v>
      </c>
      <c r="AL615">
        <v>0</v>
      </c>
      <c r="AM615">
        <f t="shared" si="9"/>
        <v>0</v>
      </c>
      <c r="AO615" t="s">
        <v>2843</v>
      </c>
    </row>
    <row r="616" spans="1:41" x14ac:dyDescent="0.2">
      <c r="A616" t="s">
        <v>2854</v>
      </c>
      <c r="B616" t="s">
        <v>2855</v>
      </c>
      <c r="C616">
        <v>2</v>
      </c>
      <c r="D616">
        <v>1</v>
      </c>
      <c r="E616" t="s">
        <v>834</v>
      </c>
      <c r="F616" s="1">
        <v>43557</v>
      </c>
      <c r="G616" s="1" t="s">
        <v>4027</v>
      </c>
      <c r="H616" s="1"/>
      <c r="I616" s="2">
        <v>2.7083333333333334E-2</v>
      </c>
      <c r="J616" s="176">
        <v>4.5138888888888892E-4</v>
      </c>
      <c r="K616" s="6">
        <v>39</v>
      </c>
      <c r="M616" t="s">
        <v>466</v>
      </c>
      <c r="N616" t="s">
        <v>107</v>
      </c>
      <c r="O616" t="s">
        <v>115</v>
      </c>
      <c r="P616">
        <v>0</v>
      </c>
      <c r="Q616">
        <v>0</v>
      </c>
      <c r="R616">
        <v>0</v>
      </c>
      <c r="S616" t="s">
        <v>598</v>
      </c>
      <c r="T616" s="5" t="s">
        <v>2801</v>
      </c>
      <c r="U616" s="5" t="s">
        <v>115</v>
      </c>
      <c r="V616" s="5" t="s">
        <v>115</v>
      </c>
      <c r="W616" s="5"/>
      <c r="X616" s="5"/>
      <c r="Y616" s="5"/>
      <c r="Z616" s="5" t="s">
        <v>115</v>
      </c>
      <c r="AA616" s="5" t="s">
        <v>115</v>
      </c>
      <c r="AB616" s="5" t="s">
        <v>115</v>
      </c>
      <c r="AC616" s="5" t="s">
        <v>115</v>
      </c>
      <c r="AD616" s="5" t="s">
        <v>115</v>
      </c>
      <c r="AE616" s="5" t="s">
        <v>115</v>
      </c>
      <c r="AF616" s="5" t="s">
        <v>115</v>
      </c>
      <c r="AG616" s="5"/>
      <c r="AH616">
        <v>0</v>
      </c>
      <c r="AI616">
        <v>0</v>
      </c>
      <c r="AJ616">
        <v>0</v>
      </c>
      <c r="AK616">
        <v>0</v>
      </c>
      <c r="AL616">
        <v>0</v>
      </c>
      <c r="AM616">
        <f t="shared" si="9"/>
        <v>0</v>
      </c>
    </row>
    <row r="617" spans="1:41" x14ac:dyDescent="0.2">
      <c r="A617" t="s">
        <v>2893</v>
      </c>
      <c r="B617" t="s">
        <v>2894</v>
      </c>
      <c r="C617">
        <v>16</v>
      </c>
      <c r="D617">
        <v>1</v>
      </c>
      <c r="E617" t="s">
        <v>324</v>
      </c>
      <c r="F617" s="1">
        <v>43558</v>
      </c>
      <c r="G617" s="1" t="s">
        <v>4027</v>
      </c>
      <c r="H617" s="1"/>
      <c r="I617" s="2">
        <v>1.1111111111111112E-2</v>
      </c>
      <c r="J617" s="176">
        <v>1.8518518518518518E-4</v>
      </c>
      <c r="K617" s="6">
        <v>16</v>
      </c>
      <c r="M617" t="s">
        <v>325</v>
      </c>
      <c r="N617" t="s">
        <v>102</v>
      </c>
      <c r="O617" t="s">
        <v>23</v>
      </c>
      <c r="P617">
        <v>1</v>
      </c>
      <c r="Q617" t="s">
        <v>24</v>
      </c>
      <c r="R617">
        <v>0</v>
      </c>
      <c r="S617" t="s">
        <v>176</v>
      </c>
      <c r="T617" s="5" t="s">
        <v>24</v>
      </c>
      <c r="U617" s="5" t="s">
        <v>2189</v>
      </c>
      <c r="V617" s="5" t="s">
        <v>115</v>
      </c>
      <c r="W617" s="5"/>
      <c r="X617" s="5"/>
      <c r="Y617" s="5"/>
      <c r="Z617" s="5" t="s">
        <v>115</v>
      </c>
      <c r="AA617" s="5" t="s">
        <v>115</v>
      </c>
      <c r="AB617" s="5" t="s">
        <v>115</v>
      </c>
      <c r="AC617" s="5" t="s">
        <v>115</v>
      </c>
      <c r="AD617" s="5" t="s">
        <v>115</v>
      </c>
      <c r="AE617" s="5" t="s">
        <v>115</v>
      </c>
      <c r="AF617" s="5" t="s">
        <v>115</v>
      </c>
      <c r="AG617" s="5"/>
      <c r="AH617">
        <v>0</v>
      </c>
      <c r="AI617">
        <v>0</v>
      </c>
      <c r="AJ617">
        <v>0</v>
      </c>
      <c r="AK617">
        <v>0</v>
      </c>
      <c r="AL617">
        <v>0</v>
      </c>
      <c r="AM617">
        <f t="shared" si="9"/>
        <v>0</v>
      </c>
      <c r="AO617" t="s">
        <v>2405</v>
      </c>
    </row>
    <row r="618" spans="1:41" x14ac:dyDescent="0.2">
      <c r="A618" t="s">
        <v>2909</v>
      </c>
      <c r="B618" t="s">
        <v>2910</v>
      </c>
      <c r="C618">
        <v>3</v>
      </c>
      <c r="D618">
        <v>1</v>
      </c>
      <c r="E618" t="s">
        <v>2601</v>
      </c>
      <c r="F618" s="1">
        <v>43558</v>
      </c>
      <c r="G618" s="1" t="s">
        <v>4027</v>
      </c>
      <c r="H618" s="1"/>
      <c r="I618" s="2">
        <v>3.472222222222222E-3</v>
      </c>
      <c r="J618" s="176">
        <v>1.7361111111111112E-4</v>
      </c>
      <c r="K618" s="6">
        <v>15</v>
      </c>
      <c r="M618" t="s">
        <v>173</v>
      </c>
      <c r="N618" t="s">
        <v>111</v>
      </c>
      <c r="O618" t="s">
        <v>23</v>
      </c>
      <c r="P618">
        <v>0</v>
      </c>
      <c r="Q618">
        <v>0</v>
      </c>
      <c r="R618">
        <v>1</v>
      </c>
      <c r="S618" t="s">
        <v>598</v>
      </c>
      <c r="T618" s="5" t="s">
        <v>2911</v>
      </c>
      <c r="U618" s="5" t="s">
        <v>122</v>
      </c>
      <c r="V618" s="5" t="s">
        <v>2088</v>
      </c>
      <c r="W618" s="5" t="s">
        <v>23</v>
      </c>
      <c r="X618" s="5" t="s">
        <v>3997</v>
      </c>
      <c r="Y618" s="5" t="s">
        <v>4021</v>
      </c>
      <c r="Z618" s="5" t="s">
        <v>2912</v>
      </c>
      <c r="AA618">
        <v>220</v>
      </c>
      <c r="AB618" t="s">
        <v>24</v>
      </c>
      <c r="AC618">
        <v>63.725769999999997</v>
      </c>
      <c r="AD618">
        <v>148.95903000000001</v>
      </c>
      <c r="AE618" s="5" t="s">
        <v>115</v>
      </c>
      <c r="AF618" s="5" t="s">
        <v>115</v>
      </c>
      <c r="AG618" s="5"/>
      <c r="AH618">
        <v>0</v>
      </c>
      <c r="AI618">
        <v>0</v>
      </c>
      <c r="AJ618">
        <v>0</v>
      </c>
      <c r="AK618">
        <v>0</v>
      </c>
      <c r="AL618">
        <v>0</v>
      </c>
      <c r="AM618">
        <f t="shared" si="9"/>
        <v>0</v>
      </c>
      <c r="AO618" t="s">
        <v>2913</v>
      </c>
    </row>
    <row r="619" spans="1:41" x14ac:dyDescent="0.2">
      <c r="A619" t="s">
        <v>2938</v>
      </c>
      <c r="B619" t="s">
        <v>2939</v>
      </c>
      <c r="C619">
        <v>5</v>
      </c>
      <c r="D619">
        <v>3</v>
      </c>
      <c r="E619" t="s">
        <v>834</v>
      </c>
      <c r="F619" s="1">
        <v>43560</v>
      </c>
      <c r="G619" s="1" t="s">
        <v>4027</v>
      </c>
      <c r="H619" s="1"/>
      <c r="I619" s="2">
        <v>9.930555555555555E-2</v>
      </c>
      <c r="J619" s="176">
        <v>1.6550925925925926E-3</v>
      </c>
      <c r="K619" s="6">
        <v>143</v>
      </c>
      <c r="M619" t="s">
        <v>466</v>
      </c>
      <c r="N619" t="s">
        <v>111</v>
      </c>
      <c r="O619" t="s">
        <v>23</v>
      </c>
      <c r="P619">
        <v>0</v>
      </c>
      <c r="Q619">
        <v>0</v>
      </c>
      <c r="R619">
        <v>1</v>
      </c>
      <c r="S619" t="s">
        <v>598</v>
      </c>
      <c r="T619" s="5" t="s">
        <v>2801</v>
      </c>
      <c r="U619" s="5" t="s">
        <v>115</v>
      </c>
      <c r="V619" s="5" t="s">
        <v>2088</v>
      </c>
      <c r="W619" s="5" t="s">
        <v>23</v>
      </c>
      <c r="X619" s="5" t="s">
        <v>3997</v>
      </c>
      <c r="Y619" s="5" t="s">
        <v>4021</v>
      </c>
      <c r="Z619">
        <v>66</v>
      </c>
      <c r="AA619" s="5" t="s">
        <v>2457</v>
      </c>
      <c r="AB619">
        <v>3</v>
      </c>
      <c r="AC619">
        <v>63.738750000000003</v>
      </c>
      <c r="AD619">
        <v>148.89812000000001</v>
      </c>
      <c r="AE619" s="5" t="s">
        <v>115</v>
      </c>
      <c r="AF619" s="5" t="s">
        <v>115</v>
      </c>
      <c r="AG619" s="5"/>
      <c r="AH619">
        <v>0</v>
      </c>
      <c r="AI619">
        <v>0</v>
      </c>
      <c r="AJ619">
        <v>0</v>
      </c>
      <c r="AK619">
        <v>0</v>
      </c>
      <c r="AL619">
        <v>0</v>
      </c>
      <c r="AM619">
        <f t="shared" si="9"/>
        <v>0</v>
      </c>
    </row>
    <row r="620" spans="1:41" x14ac:dyDescent="0.2">
      <c r="A620" t="s">
        <v>2935</v>
      </c>
      <c r="B620" t="s">
        <v>2936</v>
      </c>
      <c r="C620">
        <v>4</v>
      </c>
      <c r="D620">
        <v>1</v>
      </c>
      <c r="E620" t="s">
        <v>834</v>
      </c>
      <c r="F620" s="1">
        <v>43560</v>
      </c>
      <c r="G620" s="1" t="s">
        <v>4027</v>
      </c>
      <c r="H620" s="1"/>
      <c r="I620" s="2">
        <v>2.2916666666666669E-2</v>
      </c>
      <c r="J620" s="176">
        <v>3.8194444444444446E-4</v>
      </c>
      <c r="K620" s="6">
        <v>33</v>
      </c>
      <c r="M620" t="s">
        <v>466</v>
      </c>
      <c r="N620" t="s">
        <v>111</v>
      </c>
      <c r="O620" t="s">
        <v>23</v>
      </c>
      <c r="P620">
        <v>0</v>
      </c>
      <c r="Q620">
        <v>0</v>
      </c>
      <c r="R620">
        <v>1</v>
      </c>
      <c r="S620" t="s">
        <v>598</v>
      </c>
      <c r="T620" s="5" t="s">
        <v>2801</v>
      </c>
      <c r="U620" s="5" t="s">
        <v>115</v>
      </c>
      <c r="V620" s="5" t="s">
        <v>2088</v>
      </c>
      <c r="W620" s="5" t="s">
        <v>23</v>
      </c>
      <c r="X620" s="5" t="s">
        <v>3997</v>
      </c>
      <c r="Y620" s="5" t="s">
        <v>4021</v>
      </c>
      <c r="Z620" s="5" t="s">
        <v>2551</v>
      </c>
      <c r="AA620">
        <v>340</v>
      </c>
      <c r="AB620">
        <v>10</v>
      </c>
      <c r="AC620">
        <v>63.738860000000003</v>
      </c>
      <c r="AD620">
        <v>148.89845</v>
      </c>
      <c r="AE620" s="5" t="s">
        <v>115</v>
      </c>
      <c r="AF620" s="5" t="s">
        <v>115</v>
      </c>
      <c r="AG620" s="5"/>
      <c r="AH620">
        <v>0</v>
      </c>
      <c r="AI620">
        <v>0</v>
      </c>
      <c r="AJ620">
        <v>0</v>
      </c>
      <c r="AK620">
        <v>0</v>
      </c>
      <c r="AL620">
        <v>0</v>
      </c>
      <c r="AM620">
        <f t="shared" si="9"/>
        <v>0</v>
      </c>
      <c r="AO620" t="s">
        <v>2937</v>
      </c>
    </row>
    <row r="621" spans="1:41" x14ac:dyDescent="0.2">
      <c r="A621" t="s">
        <v>2972</v>
      </c>
      <c r="B621" t="s">
        <v>2973</v>
      </c>
      <c r="C621">
        <v>21</v>
      </c>
      <c r="D621">
        <v>1</v>
      </c>
      <c r="E621" t="s">
        <v>834</v>
      </c>
      <c r="F621" s="1">
        <v>43560</v>
      </c>
      <c r="G621" s="1" t="s">
        <v>4027</v>
      </c>
      <c r="H621" s="1"/>
      <c r="I621" s="2">
        <v>4.8611111111111112E-3</v>
      </c>
      <c r="J621" s="176">
        <v>8.1018518518518516E-5</v>
      </c>
      <c r="K621" s="6">
        <v>7</v>
      </c>
      <c r="M621" t="s">
        <v>466</v>
      </c>
      <c r="N621" t="s">
        <v>111</v>
      </c>
      <c r="O621" t="s">
        <v>23</v>
      </c>
      <c r="P621">
        <v>0</v>
      </c>
      <c r="Q621">
        <v>0</v>
      </c>
      <c r="R621">
        <v>1</v>
      </c>
      <c r="S621" t="s">
        <v>598</v>
      </c>
      <c r="T621" s="5" t="s">
        <v>2801</v>
      </c>
      <c r="U621" s="5" t="s">
        <v>115</v>
      </c>
      <c r="V621" s="5" t="s">
        <v>1035</v>
      </c>
      <c r="W621" s="5" t="s">
        <v>23</v>
      </c>
      <c r="X621" s="5" t="s">
        <v>3997</v>
      </c>
      <c r="Y621" s="5" t="s">
        <v>4006</v>
      </c>
      <c r="AA621">
        <v>160</v>
      </c>
      <c r="AC621">
        <v>63.739040000000003</v>
      </c>
      <c r="AD621">
        <v>148.89462</v>
      </c>
      <c r="AE621" s="5" t="s">
        <v>115</v>
      </c>
      <c r="AF621" s="5" t="s">
        <v>115</v>
      </c>
      <c r="AG621" s="5"/>
      <c r="AH621">
        <v>0</v>
      </c>
      <c r="AI621">
        <v>0</v>
      </c>
      <c r="AJ621">
        <v>0</v>
      </c>
      <c r="AK621">
        <v>0</v>
      </c>
      <c r="AL621">
        <v>0</v>
      </c>
      <c r="AM621">
        <f t="shared" si="9"/>
        <v>0</v>
      </c>
    </row>
    <row r="622" spans="1:41" x14ac:dyDescent="0.2">
      <c r="A622" t="s">
        <v>2930</v>
      </c>
      <c r="B622" t="s">
        <v>2931</v>
      </c>
      <c r="C622">
        <v>2</v>
      </c>
      <c r="D622">
        <v>1</v>
      </c>
      <c r="E622" t="s">
        <v>834</v>
      </c>
      <c r="F622" s="1">
        <v>43560</v>
      </c>
      <c r="G622" s="1" t="s">
        <v>4027</v>
      </c>
      <c r="H622" s="1"/>
      <c r="I622" s="2">
        <v>1.2499999999999999E-2</v>
      </c>
      <c r="J622" s="176">
        <v>2.0833333333333335E-4</v>
      </c>
      <c r="K622" s="6">
        <v>18</v>
      </c>
      <c r="M622" t="s">
        <v>466</v>
      </c>
      <c r="N622" t="s">
        <v>102</v>
      </c>
      <c r="O622" t="s">
        <v>115</v>
      </c>
      <c r="P622">
        <v>1</v>
      </c>
      <c r="Q622">
        <v>0</v>
      </c>
      <c r="R622">
        <v>0</v>
      </c>
      <c r="S622" t="s">
        <v>598</v>
      </c>
      <c r="T622" s="5" t="s">
        <v>2801</v>
      </c>
      <c r="U622" s="5" t="s">
        <v>122</v>
      </c>
      <c r="V622" s="5" t="s">
        <v>115</v>
      </c>
      <c r="W622" s="5"/>
      <c r="X622" s="5"/>
      <c r="Y622" s="5"/>
      <c r="Z622" s="5" t="s">
        <v>115</v>
      </c>
      <c r="AA622" s="5" t="s">
        <v>115</v>
      </c>
      <c r="AB622" s="5" t="s">
        <v>115</v>
      </c>
      <c r="AC622" s="5" t="s">
        <v>115</v>
      </c>
      <c r="AD622" s="5" t="s">
        <v>115</v>
      </c>
      <c r="AE622" s="5" t="s">
        <v>115</v>
      </c>
      <c r="AF622" s="5" t="s">
        <v>115</v>
      </c>
      <c r="AG622" s="5"/>
      <c r="AH622">
        <v>0</v>
      </c>
      <c r="AI622">
        <v>0</v>
      </c>
      <c r="AJ622">
        <v>0</v>
      </c>
      <c r="AK622">
        <v>0</v>
      </c>
      <c r="AL622">
        <v>0</v>
      </c>
      <c r="AM622">
        <f t="shared" si="9"/>
        <v>0</v>
      </c>
      <c r="AO622" t="s">
        <v>2480</v>
      </c>
    </row>
    <row r="623" spans="1:41" x14ac:dyDescent="0.2">
      <c r="A623" t="s">
        <v>2957</v>
      </c>
      <c r="B623" t="s">
        <v>2958</v>
      </c>
      <c r="C623">
        <v>14</v>
      </c>
      <c r="D623">
        <v>1</v>
      </c>
      <c r="E623" t="s">
        <v>834</v>
      </c>
      <c r="F623" s="1">
        <v>43560</v>
      </c>
      <c r="G623" s="1" t="s">
        <v>4027</v>
      </c>
      <c r="H623" s="1"/>
      <c r="I623" s="2">
        <v>1.7361111111111112E-2</v>
      </c>
      <c r="J623" s="176">
        <v>2.8935185185185189E-4</v>
      </c>
      <c r="K623" s="6">
        <v>25</v>
      </c>
      <c r="M623" t="s">
        <v>466</v>
      </c>
      <c r="N623" t="s">
        <v>107</v>
      </c>
      <c r="O623" t="s">
        <v>115</v>
      </c>
      <c r="P623">
        <v>0</v>
      </c>
      <c r="Q623">
        <v>0</v>
      </c>
      <c r="R623">
        <v>0</v>
      </c>
      <c r="S623" t="s">
        <v>598</v>
      </c>
      <c r="T623" s="5" t="s">
        <v>2801</v>
      </c>
      <c r="U623" s="5" t="s">
        <v>115</v>
      </c>
      <c r="V623" s="5" t="s">
        <v>115</v>
      </c>
      <c r="W623" s="5"/>
      <c r="X623" s="5"/>
      <c r="Y623" s="5"/>
      <c r="Z623" s="5" t="s">
        <v>115</v>
      </c>
      <c r="AA623" s="5" t="s">
        <v>115</v>
      </c>
      <c r="AB623" s="5" t="s">
        <v>115</v>
      </c>
      <c r="AC623" s="5" t="s">
        <v>115</v>
      </c>
      <c r="AD623" s="5" t="s">
        <v>115</v>
      </c>
      <c r="AE623" s="5" t="s">
        <v>115</v>
      </c>
      <c r="AF623" s="5" t="s">
        <v>115</v>
      </c>
      <c r="AG623" s="5"/>
      <c r="AH623">
        <v>0</v>
      </c>
      <c r="AI623">
        <v>0</v>
      </c>
      <c r="AJ623">
        <v>0</v>
      </c>
      <c r="AK623">
        <v>0</v>
      </c>
      <c r="AL623">
        <v>0</v>
      </c>
      <c r="AM623">
        <f t="shared" si="9"/>
        <v>0</v>
      </c>
      <c r="AO623" t="s">
        <v>2959</v>
      </c>
    </row>
    <row r="624" spans="1:41" x14ac:dyDescent="0.2">
      <c r="A624" t="s">
        <v>2974</v>
      </c>
      <c r="B624" t="s">
        <v>2975</v>
      </c>
      <c r="C624">
        <v>22</v>
      </c>
      <c r="D624">
        <v>1</v>
      </c>
      <c r="E624" t="s">
        <v>834</v>
      </c>
      <c r="F624" s="1">
        <v>43560</v>
      </c>
      <c r="G624" s="1" t="s">
        <v>4027</v>
      </c>
      <c r="H624" s="1"/>
      <c r="I624" s="2">
        <v>4.2361111111111106E-2</v>
      </c>
      <c r="J624" s="176">
        <v>7.0601851851851847E-4</v>
      </c>
      <c r="K624" s="6">
        <v>61</v>
      </c>
      <c r="M624" t="s">
        <v>466</v>
      </c>
      <c r="N624" t="s">
        <v>102</v>
      </c>
      <c r="O624" t="s">
        <v>115</v>
      </c>
      <c r="P624">
        <v>0</v>
      </c>
      <c r="Q624">
        <v>0</v>
      </c>
      <c r="R624">
        <v>0</v>
      </c>
      <c r="T624" s="5" t="s">
        <v>115</v>
      </c>
      <c r="U624" s="5" t="s">
        <v>115</v>
      </c>
      <c r="V624" s="5" t="s">
        <v>115</v>
      </c>
      <c r="W624" s="5"/>
      <c r="X624" s="5"/>
      <c r="Y624" s="5"/>
      <c r="Z624" s="5" t="s">
        <v>115</v>
      </c>
      <c r="AA624" s="5" t="s">
        <v>115</v>
      </c>
      <c r="AB624" s="5" t="s">
        <v>115</v>
      </c>
      <c r="AC624" s="5" t="s">
        <v>115</v>
      </c>
      <c r="AD624" s="5" t="s">
        <v>115</v>
      </c>
      <c r="AE624" s="5" t="s">
        <v>115</v>
      </c>
      <c r="AF624" s="5" t="s">
        <v>115</v>
      </c>
      <c r="AG624" s="5"/>
      <c r="AH624">
        <v>0</v>
      </c>
      <c r="AI624">
        <v>0</v>
      </c>
      <c r="AJ624">
        <v>0</v>
      </c>
      <c r="AK624">
        <v>0</v>
      </c>
      <c r="AL624">
        <v>0</v>
      </c>
      <c r="AM624">
        <f t="shared" si="9"/>
        <v>0</v>
      </c>
      <c r="AN624" t="s">
        <v>188</v>
      </c>
    </row>
    <row r="625" spans="1:41" x14ac:dyDescent="0.2">
      <c r="A625" t="s">
        <v>2932</v>
      </c>
      <c r="B625" t="s">
        <v>2933</v>
      </c>
      <c r="C625">
        <v>3</v>
      </c>
      <c r="D625">
        <v>1</v>
      </c>
      <c r="E625" t="s">
        <v>834</v>
      </c>
      <c r="F625" s="1">
        <v>43560</v>
      </c>
      <c r="G625" s="1" t="s">
        <v>4027</v>
      </c>
      <c r="H625" s="1"/>
      <c r="I625" s="2">
        <v>2.2222222222222223E-2</v>
      </c>
      <c r="J625" s="176">
        <v>3.7037037037037035E-4</v>
      </c>
      <c r="K625" s="6">
        <v>32</v>
      </c>
      <c r="M625" t="s">
        <v>466</v>
      </c>
      <c r="N625" t="s">
        <v>107</v>
      </c>
      <c r="O625" t="s">
        <v>115</v>
      </c>
      <c r="P625">
        <v>0</v>
      </c>
      <c r="Q625">
        <v>0</v>
      </c>
      <c r="R625">
        <v>0</v>
      </c>
      <c r="S625" t="s">
        <v>598</v>
      </c>
      <c r="T625" s="5" t="s">
        <v>2801</v>
      </c>
      <c r="U625" s="5" t="s">
        <v>115</v>
      </c>
      <c r="V625" s="5" t="s">
        <v>115</v>
      </c>
      <c r="W625" s="5"/>
      <c r="X625" s="5"/>
      <c r="Y625" s="5"/>
      <c r="Z625" s="5" t="s">
        <v>115</v>
      </c>
      <c r="AA625" s="5" t="s">
        <v>115</v>
      </c>
      <c r="AB625" s="5" t="s">
        <v>115</v>
      </c>
      <c r="AC625" s="5" t="s">
        <v>115</v>
      </c>
      <c r="AD625" s="5" t="s">
        <v>115</v>
      </c>
      <c r="AE625" s="5" t="s">
        <v>115</v>
      </c>
      <c r="AF625" s="5" t="s">
        <v>115</v>
      </c>
      <c r="AG625" s="5"/>
      <c r="AH625">
        <v>0</v>
      </c>
      <c r="AI625">
        <v>0</v>
      </c>
      <c r="AJ625">
        <v>0</v>
      </c>
      <c r="AK625">
        <v>0</v>
      </c>
      <c r="AL625">
        <v>0</v>
      </c>
      <c r="AM625">
        <f t="shared" si="9"/>
        <v>0</v>
      </c>
      <c r="AO625" t="s">
        <v>2934</v>
      </c>
    </row>
    <row r="626" spans="1:41" x14ac:dyDescent="0.2">
      <c r="A626" t="s">
        <v>2998</v>
      </c>
      <c r="B626" t="s">
        <v>2999</v>
      </c>
      <c r="C626">
        <v>34</v>
      </c>
      <c r="D626">
        <v>1</v>
      </c>
      <c r="E626" t="s">
        <v>834</v>
      </c>
      <c r="F626" s="1">
        <v>43560</v>
      </c>
      <c r="G626" s="1" t="s">
        <v>4027</v>
      </c>
      <c r="H626" s="1"/>
      <c r="I626" s="2">
        <v>1.1805555555555555E-2</v>
      </c>
      <c r="J626" s="176">
        <v>1.9675925925925926E-4</v>
      </c>
      <c r="K626" s="6">
        <v>17</v>
      </c>
      <c r="M626" t="s">
        <v>466</v>
      </c>
      <c r="N626" t="s">
        <v>107</v>
      </c>
      <c r="O626" t="s">
        <v>115</v>
      </c>
      <c r="P626">
        <v>0</v>
      </c>
      <c r="Q626">
        <v>0</v>
      </c>
      <c r="R626">
        <v>0</v>
      </c>
      <c r="S626" t="s">
        <v>598</v>
      </c>
      <c r="T626" s="5" t="s">
        <v>2801</v>
      </c>
      <c r="U626" s="5" t="s">
        <v>115</v>
      </c>
      <c r="V626" s="5" t="s">
        <v>115</v>
      </c>
      <c r="W626" s="5"/>
      <c r="X626" s="5"/>
      <c r="Y626" s="5"/>
      <c r="Z626" s="5" t="s">
        <v>115</v>
      </c>
      <c r="AA626" s="5" t="s">
        <v>115</v>
      </c>
      <c r="AB626" s="5" t="s">
        <v>115</v>
      </c>
      <c r="AC626" s="5" t="s">
        <v>115</v>
      </c>
      <c r="AD626" s="5" t="s">
        <v>115</v>
      </c>
      <c r="AE626" s="5" t="s">
        <v>115</v>
      </c>
      <c r="AF626" s="5" t="s">
        <v>115</v>
      </c>
      <c r="AG626" s="5"/>
      <c r="AH626">
        <v>0</v>
      </c>
      <c r="AI626">
        <v>0</v>
      </c>
      <c r="AJ626">
        <v>0</v>
      </c>
      <c r="AK626">
        <v>0</v>
      </c>
      <c r="AL626">
        <v>0</v>
      </c>
      <c r="AM626">
        <f t="shared" si="9"/>
        <v>0</v>
      </c>
      <c r="AO626" t="s">
        <v>2752</v>
      </c>
    </row>
    <row r="627" spans="1:41" x14ac:dyDescent="0.2">
      <c r="A627" t="s">
        <v>2960</v>
      </c>
      <c r="B627" t="s">
        <v>2961</v>
      </c>
      <c r="C627">
        <v>15</v>
      </c>
      <c r="D627">
        <v>1</v>
      </c>
      <c r="E627" t="s">
        <v>834</v>
      </c>
      <c r="F627" s="1">
        <v>43560</v>
      </c>
      <c r="G627" s="1" t="s">
        <v>4027</v>
      </c>
      <c r="H627" s="1"/>
      <c r="I627" s="2">
        <v>3.125E-2</v>
      </c>
      <c r="J627" s="176">
        <v>5.2083333333333333E-4</v>
      </c>
      <c r="K627" s="6">
        <v>45</v>
      </c>
      <c r="M627" t="s">
        <v>466</v>
      </c>
      <c r="N627" t="s">
        <v>107</v>
      </c>
      <c r="O627" t="s">
        <v>115</v>
      </c>
      <c r="P627">
        <v>0</v>
      </c>
      <c r="Q627">
        <v>0</v>
      </c>
      <c r="R627">
        <v>0</v>
      </c>
      <c r="S627" t="s">
        <v>598</v>
      </c>
      <c r="T627" s="5" t="s">
        <v>2801</v>
      </c>
      <c r="V627" s="5" t="s">
        <v>115</v>
      </c>
      <c r="W627" s="5"/>
      <c r="X627" s="5"/>
      <c r="Y627" s="5"/>
      <c r="Z627" s="5" t="s">
        <v>115</v>
      </c>
      <c r="AA627" s="5" t="s">
        <v>115</v>
      </c>
      <c r="AB627" s="5" t="s">
        <v>115</v>
      </c>
      <c r="AC627" s="5" t="s">
        <v>115</v>
      </c>
      <c r="AD627" s="5" t="s">
        <v>115</v>
      </c>
      <c r="AE627" s="5" t="s">
        <v>115</v>
      </c>
      <c r="AF627" s="5" t="s">
        <v>115</v>
      </c>
      <c r="AG627" s="5"/>
      <c r="AH627">
        <v>0</v>
      </c>
      <c r="AI627">
        <v>0</v>
      </c>
      <c r="AJ627">
        <v>0</v>
      </c>
      <c r="AK627">
        <v>0</v>
      </c>
      <c r="AL627">
        <v>0</v>
      </c>
      <c r="AM627">
        <f t="shared" si="9"/>
        <v>0</v>
      </c>
      <c r="AO627" t="s">
        <v>2959</v>
      </c>
    </row>
    <row r="628" spans="1:41" x14ac:dyDescent="0.2">
      <c r="A628" t="s">
        <v>3040</v>
      </c>
      <c r="B628" t="s">
        <v>3041</v>
      </c>
      <c r="C628">
        <v>11</v>
      </c>
      <c r="D628">
        <v>1</v>
      </c>
      <c r="E628" t="s">
        <v>2487</v>
      </c>
      <c r="F628" s="1">
        <v>43564</v>
      </c>
      <c r="G628" s="1" t="s">
        <v>4027</v>
      </c>
      <c r="H628" s="1"/>
      <c r="I628" s="2">
        <v>9.7222222222222224E-3</v>
      </c>
      <c r="J628" s="176">
        <v>1.6203703703703703E-4</v>
      </c>
      <c r="K628" s="6">
        <v>14</v>
      </c>
      <c r="M628" t="s">
        <v>2488</v>
      </c>
      <c r="N628" t="s">
        <v>107</v>
      </c>
      <c r="O628" t="s">
        <v>115</v>
      </c>
      <c r="P628">
        <v>1</v>
      </c>
      <c r="Q628">
        <v>0</v>
      </c>
      <c r="R628">
        <v>0</v>
      </c>
      <c r="S628" t="s">
        <v>598</v>
      </c>
      <c r="T628" s="5" t="s">
        <v>2801</v>
      </c>
      <c r="U628" s="5" t="s">
        <v>122</v>
      </c>
      <c r="V628" s="5" t="s">
        <v>115</v>
      </c>
      <c r="W628" s="5"/>
      <c r="X628" s="5"/>
      <c r="Y628" s="5"/>
      <c r="Z628" s="5" t="s">
        <v>115</v>
      </c>
      <c r="AA628" s="5" t="s">
        <v>115</v>
      </c>
      <c r="AB628" s="5" t="s">
        <v>115</v>
      </c>
      <c r="AC628" s="5" t="s">
        <v>115</v>
      </c>
      <c r="AD628" s="5" t="s">
        <v>115</v>
      </c>
      <c r="AE628" s="5" t="s">
        <v>115</v>
      </c>
      <c r="AF628" s="5" t="s">
        <v>115</v>
      </c>
      <c r="AG628" s="5"/>
      <c r="AH628">
        <v>0</v>
      </c>
      <c r="AI628">
        <v>0</v>
      </c>
      <c r="AJ628">
        <v>0</v>
      </c>
      <c r="AK628">
        <v>0</v>
      </c>
      <c r="AL628">
        <v>0</v>
      </c>
      <c r="AM628">
        <f t="shared" si="9"/>
        <v>0</v>
      </c>
      <c r="AO628" t="s">
        <v>2405</v>
      </c>
    </row>
    <row r="629" spans="1:41" x14ac:dyDescent="0.2">
      <c r="A629" t="s">
        <v>3042</v>
      </c>
      <c r="B629" t="s">
        <v>3043</v>
      </c>
      <c r="C629">
        <v>12</v>
      </c>
      <c r="D629">
        <v>1</v>
      </c>
      <c r="E629" t="s">
        <v>2487</v>
      </c>
      <c r="F629" s="1">
        <v>43564</v>
      </c>
      <c r="G629" s="1" t="s">
        <v>4027</v>
      </c>
      <c r="H629" s="1"/>
      <c r="I629" s="2">
        <v>9.7222222222222224E-3</v>
      </c>
      <c r="J629" s="176">
        <v>1.6203703703703703E-4</v>
      </c>
      <c r="K629" s="6">
        <v>14</v>
      </c>
      <c r="M629" t="s">
        <v>2498</v>
      </c>
      <c r="N629" t="s">
        <v>107</v>
      </c>
      <c r="O629" t="s">
        <v>115</v>
      </c>
      <c r="P629">
        <v>1</v>
      </c>
      <c r="Q629">
        <v>0</v>
      </c>
      <c r="R629">
        <v>0</v>
      </c>
      <c r="S629" t="s">
        <v>598</v>
      </c>
      <c r="T629" s="5" t="s">
        <v>2801</v>
      </c>
      <c r="U629" s="5" t="s">
        <v>122</v>
      </c>
      <c r="V629" s="5" t="s">
        <v>115</v>
      </c>
      <c r="W629" s="5"/>
      <c r="X629" s="5"/>
      <c r="Y629" s="5"/>
      <c r="Z629" s="5" t="s">
        <v>115</v>
      </c>
      <c r="AA629" s="5" t="s">
        <v>115</v>
      </c>
      <c r="AB629" s="5" t="s">
        <v>115</v>
      </c>
      <c r="AC629" s="5" t="s">
        <v>115</v>
      </c>
      <c r="AD629" s="5" t="s">
        <v>115</v>
      </c>
      <c r="AE629" s="5" t="s">
        <v>115</v>
      </c>
      <c r="AF629" s="5" t="s">
        <v>115</v>
      </c>
      <c r="AG629" s="5"/>
      <c r="AH629">
        <v>0</v>
      </c>
      <c r="AI629">
        <v>0</v>
      </c>
      <c r="AJ629">
        <v>0</v>
      </c>
      <c r="AK629">
        <v>0</v>
      </c>
      <c r="AL629">
        <v>0</v>
      </c>
      <c r="AM629">
        <f t="shared" si="9"/>
        <v>0</v>
      </c>
      <c r="AO629" t="s">
        <v>3044</v>
      </c>
    </row>
    <row r="630" spans="1:41" x14ac:dyDescent="0.2">
      <c r="A630" t="s">
        <v>3045</v>
      </c>
      <c r="B630" t="s">
        <v>3046</v>
      </c>
      <c r="C630">
        <v>13</v>
      </c>
      <c r="D630">
        <v>1</v>
      </c>
      <c r="E630" t="s">
        <v>2487</v>
      </c>
      <c r="F630" s="1">
        <v>43564</v>
      </c>
      <c r="G630" s="1" t="s">
        <v>4027</v>
      </c>
      <c r="H630" s="1"/>
      <c r="I630" s="2">
        <v>1.3888888888888888E-2</v>
      </c>
      <c r="J630" s="176">
        <v>2.3148148148148146E-4</v>
      </c>
      <c r="K630" s="6">
        <v>20</v>
      </c>
      <c r="M630" t="s">
        <v>2498</v>
      </c>
      <c r="N630" t="s">
        <v>107</v>
      </c>
      <c r="O630" t="s">
        <v>115</v>
      </c>
      <c r="P630">
        <v>0</v>
      </c>
      <c r="Q630">
        <v>0</v>
      </c>
      <c r="R630">
        <v>0</v>
      </c>
      <c r="S630" t="s">
        <v>598</v>
      </c>
      <c r="T630" s="5" t="s">
        <v>2801</v>
      </c>
      <c r="U630" s="5" t="s">
        <v>115</v>
      </c>
      <c r="V630" s="5" t="s">
        <v>115</v>
      </c>
      <c r="W630" s="5"/>
      <c r="X630" s="5"/>
      <c r="Y630" s="5"/>
      <c r="Z630" s="5" t="s">
        <v>115</v>
      </c>
      <c r="AA630" s="5" t="s">
        <v>115</v>
      </c>
      <c r="AB630" s="5" t="s">
        <v>115</v>
      </c>
      <c r="AC630" s="5" t="s">
        <v>115</v>
      </c>
      <c r="AD630" s="5" t="s">
        <v>115</v>
      </c>
      <c r="AE630" s="5" t="s">
        <v>115</v>
      </c>
      <c r="AF630" s="5" t="s">
        <v>115</v>
      </c>
      <c r="AG630" s="5"/>
      <c r="AH630">
        <v>0</v>
      </c>
      <c r="AI630">
        <v>0</v>
      </c>
      <c r="AJ630">
        <v>0</v>
      </c>
      <c r="AK630">
        <v>0</v>
      </c>
      <c r="AL630">
        <v>0</v>
      </c>
      <c r="AM630">
        <f t="shared" si="9"/>
        <v>0</v>
      </c>
      <c r="AO630" t="s">
        <v>2934</v>
      </c>
    </row>
    <row r="631" spans="1:41" x14ac:dyDescent="0.2">
      <c r="A631" t="s">
        <v>3016</v>
      </c>
      <c r="B631" t="s">
        <v>3017</v>
      </c>
      <c r="C631">
        <v>2</v>
      </c>
      <c r="D631">
        <v>1</v>
      </c>
      <c r="E631" t="s">
        <v>2487</v>
      </c>
      <c r="F631" s="1">
        <v>43564</v>
      </c>
      <c r="G631" s="1" t="s">
        <v>4027</v>
      </c>
      <c r="H631" s="1"/>
      <c r="I631" s="2">
        <v>1.5972222222222224E-2</v>
      </c>
      <c r="J631" s="176">
        <v>2.6620370370370372E-4</v>
      </c>
      <c r="K631" s="6">
        <v>23</v>
      </c>
      <c r="M631" t="s">
        <v>24</v>
      </c>
      <c r="N631" t="s">
        <v>107</v>
      </c>
      <c r="O631" t="s">
        <v>115</v>
      </c>
      <c r="P631">
        <v>0</v>
      </c>
      <c r="Q631">
        <v>0</v>
      </c>
      <c r="R631">
        <v>0</v>
      </c>
      <c r="S631" t="s">
        <v>598</v>
      </c>
      <c r="T631" s="5" t="s">
        <v>2801</v>
      </c>
      <c r="U631" s="5" t="s">
        <v>115</v>
      </c>
      <c r="V631" s="5" t="s">
        <v>115</v>
      </c>
      <c r="W631" s="5"/>
      <c r="X631" s="5"/>
      <c r="Y631" s="5"/>
      <c r="Z631" s="5" t="s">
        <v>115</v>
      </c>
      <c r="AA631" s="5" t="s">
        <v>115</v>
      </c>
      <c r="AB631" s="5" t="s">
        <v>115</v>
      </c>
      <c r="AC631" s="5" t="s">
        <v>115</v>
      </c>
      <c r="AD631" s="5" t="s">
        <v>115</v>
      </c>
      <c r="AE631" s="5" t="s">
        <v>115</v>
      </c>
      <c r="AF631" s="5" t="s">
        <v>115</v>
      </c>
      <c r="AG631" s="5"/>
      <c r="AH631">
        <v>0</v>
      </c>
      <c r="AI631">
        <v>0</v>
      </c>
      <c r="AJ631">
        <v>0</v>
      </c>
      <c r="AK631">
        <v>0</v>
      </c>
      <c r="AL631">
        <v>0</v>
      </c>
      <c r="AM631">
        <f t="shared" si="9"/>
        <v>0</v>
      </c>
      <c r="AO631" t="s">
        <v>3018</v>
      </c>
    </row>
    <row r="632" spans="1:41" x14ac:dyDescent="0.2">
      <c r="A632" t="s">
        <v>3068</v>
      </c>
      <c r="B632" t="s">
        <v>3067</v>
      </c>
      <c r="C632">
        <v>8</v>
      </c>
      <c r="D632">
        <v>1</v>
      </c>
      <c r="E632" t="s">
        <v>176</v>
      </c>
      <c r="F632" s="1">
        <v>43566</v>
      </c>
      <c r="G632" s="1" t="s">
        <v>4027</v>
      </c>
      <c r="H632" s="1"/>
      <c r="I632" s="2">
        <v>3.472222222222222E-3</v>
      </c>
      <c r="J632" s="176">
        <v>5.7870370370370366E-5</v>
      </c>
      <c r="K632" s="6">
        <v>5</v>
      </c>
      <c r="M632" t="s">
        <v>3051</v>
      </c>
      <c r="N632" t="s">
        <v>102</v>
      </c>
      <c r="O632" t="s">
        <v>115</v>
      </c>
      <c r="P632">
        <v>1</v>
      </c>
      <c r="Q632">
        <v>0</v>
      </c>
      <c r="R632">
        <v>0</v>
      </c>
      <c r="S632" t="s">
        <v>176</v>
      </c>
      <c r="T632" s="5" t="s">
        <v>24</v>
      </c>
      <c r="U632" s="5" t="s">
        <v>122</v>
      </c>
      <c r="V632" s="5" t="s">
        <v>115</v>
      </c>
      <c r="W632" s="5"/>
      <c r="X632" s="5"/>
      <c r="Y632" s="5"/>
      <c r="Z632" s="5" t="s">
        <v>115</v>
      </c>
      <c r="AA632" s="5" t="s">
        <v>115</v>
      </c>
      <c r="AB632" s="5" t="s">
        <v>115</v>
      </c>
      <c r="AC632" s="5" t="s">
        <v>115</v>
      </c>
      <c r="AD632" s="5" t="s">
        <v>115</v>
      </c>
      <c r="AE632" s="5" t="s">
        <v>115</v>
      </c>
      <c r="AF632" s="5" t="s">
        <v>115</v>
      </c>
      <c r="AG632" s="5"/>
      <c r="AH632">
        <v>0</v>
      </c>
      <c r="AI632">
        <v>0</v>
      </c>
      <c r="AJ632">
        <v>0</v>
      </c>
      <c r="AK632">
        <v>0</v>
      </c>
      <c r="AL632">
        <v>0</v>
      </c>
      <c r="AM632">
        <f t="shared" si="9"/>
        <v>0</v>
      </c>
      <c r="AO632" t="s">
        <v>2405</v>
      </c>
    </row>
    <row r="633" spans="1:41" x14ac:dyDescent="0.2">
      <c r="A633" t="s">
        <v>3065</v>
      </c>
      <c r="B633" t="s">
        <v>3066</v>
      </c>
      <c r="C633">
        <v>7</v>
      </c>
      <c r="D633">
        <v>1</v>
      </c>
      <c r="E633" t="s">
        <v>176</v>
      </c>
      <c r="F633" s="1">
        <v>43566</v>
      </c>
      <c r="G633" s="1" t="s">
        <v>4027</v>
      </c>
      <c r="H633" s="1"/>
      <c r="I633" s="2">
        <v>9.0277777777777787E-3</v>
      </c>
      <c r="J633" s="176">
        <v>1.5046296296296297E-4</v>
      </c>
      <c r="K633" s="6">
        <v>13</v>
      </c>
      <c r="M633" t="s">
        <v>3051</v>
      </c>
      <c r="N633" t="s">
        <v>102</v>
      </c>
      <c r="O633" t="s">
        <v>23</v>
      </c>
      <c r="P633">
        <v>1</v>
      </c>
      <c r="Q633" t="s">
        <v>24</v>
      </c>
      <c r="R633">
        <v>0</v>
      </c>
      <c r="S633" t="s">
        <v>176</v>
      </c>
      <c r="T633" s="5" t="s">
        <v>24</v>
      </c>
      <c r="U633" s="5" t="s">
        <v>2383</v>
      </c>
      <c r="V633" s="5" t="s">
        <v>115</v>
      </c>
      <c r="W633" s="5"/>
      <c r="X633" s="5"/>
      <c r="Y633" s="5"/>
      <c r="Z633" s="5" t="s">
        <v>115</v>
      </c>
      <c r="AA633" s="5" t="s">
        <v>115</v>
      </c>
      <c r="AB633" s="5" t="s">
        <v>115</v>
      </c>
      <c r="AC633" s="5" t="s">
        <v>115</v>
      </c>
      <c r="AD633" s="5" t="s">
        <v>115</v>
      </c>
      <c r="AE633" s="5" t="s">
        <v>115</v>
      </c>
      <c r="AF633" s="5" t="s">
        <v>115</v>
      </c>
      <c r="AG633" s="5"/>
      <c r="AH633">
        <v>0</v>
      </c>
      <c r="AI633">
        <v>0</v>
      </c>
      <c r="AJ633">
        <v>0</v>
      </c>
      <c r="AK633">
        <v>0</v>
      </c>
      <c r="AL633">
        <v>0</v>
      </c>
      <c r="AM633">
        <f t="shared" si="9"/>
        <v>0</v>
      </c>
      <c r="AN633" t="s">
        <v>188</v>
      </c>
    </row>
    <row r="634" spans="1:41" x14ac:dyDescent="0.2">
      <c r="A634" t="s">
        <v>3081</v>
      </c>
      <c r="B634" t="s">
        <v>3082</v>
      </c>
      <c r="C634">
        <v>6</v>
      </c>
      <c r="D634">
        <v>1</v>
      </c>
      <c r="E634" t="s">
        <v>2601</v>
      </c>
      <c r="F634" s="1">
        <v>43570</v>
      </c>
      <c r="G634" s="1" t="s">
        <v>4027</v>
      </c>
      <c r="H634" s="1"/>
      <c r="I634" s="2">
        <v>2.6388888888888889E-2</v>
      </c>
      <c r="J634" s="176">
        <v>4.3981481481481481E-4</v>
      </c>
      <c r="K634" s="6">
        <v>38</v>
      </c>
      <c r="L634" t="s">
        <v>101</v>
      </c>
      <c r="M634" t="s">
        <v>173</v>
      </c>
      <c r="N634" t="s">
        <v>107</v>
      </c>
      <c r="O634" t="s">
        <v>115</v>
      </c>
      <c r="P634">
        <v>1</v>
      </c>
      <c r="Q634">
        <v>0</v>
      </c>
      <c r="R634">
        <v>0</v>
      </c>
      <c r="S634" t="s">
        <v>176</v>
      </c>
      <c r="T634" s="5" t="s">
        <v>24</v>
      </c>
      <c r="U634" s="5" t="s">
        <v>122</v>
      </c>
      <c r="V634" s="5" t="s">
        <v>115</v>
      </c>
      <c r="W634" s="5"/>
      <c r="X634" s="5"/>
      <c r="Y634" s="5"/>
      <c r="Z634" s="5" t="s">
        <v>115</v>
      </c>
      <c r="AA634" s="5" t="s">
        <v>115</v>
      </c>
      <c r="AB634" s="5" t="s">
        <v>115</v>
      </c>
      <c r="AC634" s="5" t="s">
        <v>115</v>
      </c>
      <c r="AD634" s="5" t="s">
        <v>115</v>
      </c>
      <c r="AE634" s="5" t="s">
        <v>115</v>
      </c>
      <c r="AF634" s="5" t="s">
        <v>115</v>
      </c>
      <c r="AG634" s="5"/>
      <c r="AH634">
        <v>0</v>
      </c>
      <c r="AI634">
        <v>0</v>
      </c>
      <c r="AJ634">
        <v>0</v>
      </c>
      <c r="AK634">
        <v>0</v>
      </c>
      <c r="AL634">
        <v>0</v>
      </c>
      <c r="AM634">
        <f t="shared" si="9"/>
        <v>0</v>
      </c>
      <c r="AO634" t="s">
        <v>2405</v>
      </c>
    </row>
    <row r="635" spans="1:41" x14ac:dyDescent="0.2">
      <c r="A635" t="s">
        <v>3103</v>
      </c>
      <c r="B635" t="s">
        <v>3104</v>
      </c>
      <c r="C635">
        <v>5</v>
      </c>
      <c r="D635">
        <v>1</v>
      </c>
      <c r="E635" t="s">
        <v>324</v>
      </c>
      <c r="F635" s="1">
        <v>43570</v>
      </c>
      <c r="G635" s="1" t="s">
        <v>4027</v>
      </c>
      <c r="H635" s="1"/>
      <c r="I635" s="2">
        <v>3.472222222222222E-3</v>
      </c>
      <c r="J635" s="176">
        <v>5.7870370370370366E-5</v>
      </c>
      <c r="K635" s="6">
        <v>5</v>
      </c>
      <c r="L635" t="s">
        <v>101</v>
      </c>
      <c r="M635" t="s">
        <v>325</v>
      </c>
      <c r="N635" t="s">
        <v>102</v>
      </c>
      <c r="O635" t="s">
        <v>115</v>
      </c>
      <c r="P635">
        <v>1</v>
      </c>
      <c r="Q635">
        <v>0</v>
      </c>
      <c r="R635">
        <v>0</v>
      </c>
      <c r="S635" t="s">
        <v>176</v>
      </c>
      <c r="T635" s="5" t="s">
        <v>24</v>
      </c>
      <c r="U635" s="5" t="s">
        <v>122</v>
      </c>
      <c r="V635" s="5" t="s">
        <v>115</v>
      </c>
      <c r="W635" s="5"/>
      <c r="X635" s="5"/>
      <c r="Y635" s="5"/>
      <c r="Z635" s="5" t="s">
        <v>115</v>
      </c>
      <c r="AA635" s="5" t="s">
        <v>115</v>
      </c>
      <c r="AB635" s="5" t="s">
        <v>115</v>
      </c>
      <c r="AC635" s="5" t="s">
        <v>115</v>
      </c>
      <c r="AD635" s="5" t="s">
        <v>115</v>
      </c>
      <c r="AE635" s="5" t="s">
        <v>115</v>
      </c>
      <c r="AF635" s="5" t="s">
        <v>115</v>
      </c>
      <c r="AG635" s="5"/>
      <c r="AH635">
        <v>0</v>
      </c>
      <c r="AI635">
        <v>0</v>
      </c>
      <c r="AJ635">
        <v>0</v>
      </c>
      <c r="AK635">
        <v>0</v>
      </c>
      <c r="AL635">
        <v>0</v>
      </c>
      <c r="AM635">
        <f t="shared" si="9"/>
        <v>0</v>
      </c>
      <c r="AO635" t="s">
        <v>2405</v>
      </c>
    </row>
    <row r="636" spans="1:41" x14ac:dyDescent="0.2">
      <c r="A636" t="s">
        <v>3090</v>
      </c>
      <c r="B636" t="s">
        <v>3091</v>
      </c>
      <c r="C636">
        <v>9</v>
      </c>
      <c r="D636">
        <v>1</v>
      </c>
      <c r="E636" t="s">
        <v>2601</v>
      </c>
      <c r="F636" s="1">
        <v>43570</v>
      </c>
      <c r="G636" s="1" t="s">
        <v>4027</v>
      </c>
      <c r="H636" s="1"/>
      <c r="I636" s="2">
        <v>8.2638888888888887E-2</v>
      </c>
      <c r="J636" s="176">
        <v>1.3773148148148147E-3</v>
      </c>
      <c r="K636" s="6">
        <v>119</v>
      </c>
      <c r="L636" t="s">
        <v>101</v>
      </c>
      <c r="M636" t="s">
        <v>177</v>
      </c>
      <c r="N636" t="s">
        <v>111</v>
      </c>
      <c r="O636" t="s">
        <v>23</v>
      </c>
      <c r="P636">
        <v>0</v>
      </c>
      <c r="Q636">
        <v>0</v>
      </c>
      <c r="R636">
        <v>1</v>
      </c>
      <c r="S636" t="s">
        <v>598</v>
      </c>
      <c r="T636" s="5" t="s">
        <v>3089</v>
      </c>
      <c r="V636" s="5" t="s">
        <v>2088</v>
      </c>
      <c r="W636" s="5" t="s">
        <v>23</v>
      </c>
      <c r="X636" s="5" t="s">
        <v>3997</v>
      </c>
      <c r="Y636" s="5" t="s">
        <v>4021</v>
      </c>
      <c r="Z636" t="s">
        <v>2551</v>
      </c>
      <c r="AA636">
        <v>0</v>
      </c>
      <c r="AB636">
        <v>40</v>
      </c>
      <c r="AC636">
        <v>63.724319999999999</v>
      </c>
      <c r="AD636">
        <v>148.9547</v>
      </c>
      <c r="AE636" s="5" t="s">
        <v>115</v>
      </c>
      <c r="AF636" s="5" t="s">
        <v>115</v>
      </c>
      <c r="AG636" s="5"/>
      <c r="AH636">
        <v>0</v>
      </c>
      <c r="AI636">
        <v>0</v>
      </c>
      <c r="AJ636">
        <v>0</v>
      </c>
      <c r="AK636">
        <v>0</v>
      </c>
      <c r="AL636">
        <v>0</v>
      </c>
      <c r="AM636">
        <f t="shared" si="9"/>
        <v>0</v>
      </c>
      <c r="AO636" t="s">
        <v>3092</v>
      </c>
    </row>
    <row r="637" spans="1:41" x14ac:dyDescent="0.2">
      <c r="A637" t="s">
        <v>3073</v>
      </c>
      <c r="B637" t="s">
        <v>3074</v>
      </c>
      <c r="C637">
        <v>2</v>
      </c>
      <c r="D637">
        <v>1</v>
      </c>
      <c r="E637" t="s">
        <v>2601</v>
      </c>
      <c r="F637" s="1">
        <v>43570</v>
      </c>
      <c r="G637" s="1" t="s">
        <v>4027</v>
      </c>
      <c r="H637" s="1"/>
      <c r="I637" s="2">
        <v>6.805555555555555E-2</v>
      </c>
      <c r="J637" s="176">
        <v>1.1342592592592591E-3</v>
      </c>
      <c r="K637" s="6">
        <v>98</v>
      </c>
      <c r="L637" t="s">
        <v>101</v>
      </c>
      <c r="M637" t="s">
        <v>173</v>
      </c>
      <c r="N637" t="s">
        <v>107</v>
      </c>
      <c r="O637" t="s">
        <v>115</v>
      </c>
      <c r="P637">
        <v>0</v>
      </c>
      <c r="Q637">
        <v>0</v>
      </c>
      <c r="R637">
        <v>0</v>
      </c>
      <c r="S637" t="s">
        <v>461</v>
      </c>
      <c r="T637" s="5" t="s">
        <v>3071</v>
      </c>
      <c r="U637" s="5" t="s">
        <v>115</v>
      </c>
      <c r="V637" s="5" t="s">
        <v>115</v>
      </c>
      <c r="W637" s="5"/>
      <c r="X637" s="5"/>
      <c r="Y637" s="5"/>
      <c r="Z637" s="5" t="s">
        <v>115</v>
      </c>
      <c r="AA637" s="5" t="s">
        <v>115</v>
      </c>
      <c r="AB637" s="5" t="s">
        <v>115</v>
      </c>
      <c r="AC637" s="5" t="s">
        <v>115</v>
      </c>
      <c r="AD637" s="5" t="s">
        <v>115</v>
      </c>
      <c r="AE637" s="5" t="s">
        <v>115</v>
      </c>
      <c r="AF637" s="5" t="s">
        <v>115</v>
      </c>
      <c r="AG637" s="5"/>
      <c r="AH637">
        <v>0</v>
      </c>
      <c r="AI637">
        <v>0</v>
      </c>
      <c r="AJ637">
        <v>0</v>
      </c>
      <c r="AK637">
        <v>0</v>
      </c>
      <c r="AL637">
        <v>0</v>
      </c>
      <c r="AM637">
        <f t="shared" si="9"/>
        <v>0</v>
      </c>
    </row>
    <row r="638" spans="1:41" x14ac:dyDescent="0.2">
      <c r="A638" t="s">
        <v>3169</v>
      </c>
      <c r="B638" t="s">
        <v>3170</v>
      </c>
      <c r="C638">
        <v>1</v>
      </c>
      <c r="D638">
        <v>1</v>
      </c>
      <c r="E638" t="s">
        <v>3171</v>
      </c>
      <c r="F638" s="1">
        <v>43571</v>
      </c>
      <c r="G638" s="1" t="s">
        <v>4027</v>
      </c>
      <c r="H638" s="1"/>
      <c r="I638" s="2">
        <v>3.472222222222222E-3</v>
      </c>
      <c r="J638" s="176">
        <v>5.7870370370370366E-5</v>
      </c>
      <c r="K638" s="6">
        <v>5</v>
      </c>
      <c r="L638" t="s">
        <v>1278</v>
      </c>
      <c r="M638" t="s">
        <v>149</v>
      </c>
      <c r="N638" t="s">
        <v>102</v>
      </c>
      <c r="O638" t="s">
        <v>115</v>
      </c>
      <c r="P638">
        <v>1</v>
      </c>
      <c r="Q638">
        <v>0</v>
      </c>
      <c r="R638">
        <v>0</v>
      </c>
      <c r="S638" t="s">
        <v>598</v>
      </c>
      <c r="T638" s="5" t="s">
        <v>2506</v>
      </c>
      <c r="U638" s="5" t="s">
        <v>122</v>
      </c>
      <c r="V638" s="5" t="s">
        <v>115</v>
      </c>
      <c r="W638" s="5"/>
      <c r="X638" s="5"/>
      <c r="Y638" s="5"/>
      <c r="Z638" s="5" t="s">
        <v>115</v>
      </c>
      <c r="AA638" s="5" t="s">
        <v>115</v>
      </c>
      <c r="AB638" s="5" t="s">
        <v>115</v>
      </c>
      <c r="AC638" s="5" t="s">
        <v>115</v>
      </c>
      <c r="AD638" s="5" t="s">
        <v>115</v>
      </c>
      <c r="AE638" s="5" t="s">
        <v>115</v>
      </c>
      <c r="AF638" s="5" t="s">
        <v>115</v>
      </c>
      <c r="AG638" s="5"/>
      <c r="AH638">
        <v>0</v>
      </c>
      <c r="AI638">
        <v>0</v>
      </c>
      <c r="AJ638">
        <v>0</v>
      </c>
      <c r="AK638">
        <v>0</v>
      </c>
      <c r="AL638">
        <v>0</v>
      </c>
      <c r="AM638">
        <f t="shared" si="9"/>
        <v>0</v>
      </c>
      <c r="AO638" t="s">
        <v>2480</v>
      </c>
    </row>
    <row r="639" spans="1:41" x14ac:dyDescent="0.2">
      <c r="A639" t="s">
        <v>3152</v>
      </c>
      <c r="B639" t="s">
        <v>3155</v>
      </c>
      <c r="C639">
        <v>4</v>
      </c>
      <c r="D639">
        <v>1</v>
      </c>
      <c r="E639" t="s">
        <v>834</v>
      </c>
      <c r="F639" s="1">
        <v>43571</v>
      </c>
      <c r="G639" s="1" t="s">
        <v>4027</v>
      </c>
      <c r="H639" s="1"/>
      <c r="I639" s="2">
        <v>4.8611111111111112E-3</v>
      </c>
      <c r="J639" s="176">
        <v>8.1018518518518516E-5</v>
      </c>
      <c r="K639" s="6">
        <v>7</v>
      </c>
      <c r="L639" t="s">
        <v>1278</v>
      </c>
      <c r="M639" t="s">
        <v>466</v>
      </c>
      <c r="N639" t="s">
        <v>111</v>
      </c>
      <c r="O639" t="s">
        <v>23</v>
      </c>
      <c r="P639">
        <v>0</v>
      </c>
      <c r="Q639">
        <v>0</v>
      </c>
      <c r="R639">
        <v>1</v>
      </c>
      <c r="S639" t="s">
        <v>461</v>
      </c>
      <c r="T639" s="5" t="s">
        <v>2605</v>
      </c>
      <c r="U639" s="5" t="s">
        <v>122</v>
      </c>
      <c r="V639" s="5" t="s">
        <v>1035</v>
      </c>
      <c r="W639" s="5" t="s">
        <v>23</v>
      </c>
      <c r="X639" s="5" t="s">
        <v>3997</v>
      </c>
      <c r="Y639" s="5" t="s">
        <v>4006</v>
      </c>
      <c r="Z639" s="5" t="s">
        <v>2457</v>
      </c>
      <c r="AA639">
        <v>60</v>
      </c>
      <c r="AB639">
        <v>10</v>
      </c>
      <c r="AC639">
        <v>63.740470000000002</v>
      </c>
      <c r="AD639">
        <v>148.90053</v>
      </c>
      <c r="AE639" s="5" t="s">
        <v>115</v>
      </c>
      <c r="AF639" s="5" t="s">
        <v>115</v>
      </c>
      <c r="AG639" s="5"/>
      <c r="AH639">
        <v>0</v>
      </c>
      <c r="AI639">
        <v>0</v>
      </c>
      <c r="AJ639">
        <v>0</v>
      </c>
      <c r="AK639">
        <v>0</v>
      </c>
      <c r="AL639">
        <v>0</v>
      </c>
      <c r="AM639">
        <f t="shared" si="9"/>
        <v>0</v>
      </c>
      <c r="AO639" t="s">
        <v>3156</v>
      </c>
    </row>
    <row r="640" spans="1:41" x14ac:dyDescent="0.2">
      <c r="A640" t="s">
        <v>3167</v>
      </c>
      <c r="B640" t="s">
        <v>3168</v>
      </c>
      <c r="C640">
        <v>9</v>
      </c>
      <c r="D640">
        <v>1</v>
      </c>
      <c r="E640" t="s">
        <v>834</v>
      </c>
      <c r="F640" s="1">
        <v>43571</v>
      </c>
      <c r="G640" s="1" t="s">
        <v>4027</v>
      </c>
      <c r="H640" s="1"/>
      <c r="I640" s="2">
        <v>2.9166666666666664E-2</v>
      </c>
      <c r="J640" s="176">
        <v>4.8611111111111104E-4</v>
      </c>
      <c r="K640" s="6">
        <v>42</v>
      </c>
      <c r="L640" t="s">
        <v>1278</v>
      </c>
      <c r="M640" t="s">
        <v>466</v>
      </c>
      <c r="N640" t="s">
        <v>111</v>
      </c>
      <c r="O640" t="s">
        <v>23</v>
      </c>
      <c r="P640">
        <v>0</v>
      </c>
      <c r="Q640">
        <v>0</v>
      </c>
      <c r="R640">
        <v>1</v>
      </c>
      <c r="S640" t="s">
        <v>461</v>
      </c>
      <c r="T640" s="5" t="s">
        <v>2605</v>
      </c>
      <c r="U640" s="5" t="s">
        <v>115</v>
      </c>
      <c r="V640" s="5" t="s">
        <v>709</v>
      </c>
      <c r="W640" s="5" t="s">
        <v>23</v>
      </c>
      <c r="X640" s="5" t="s">
        <v>4004</v>
      </c>
      <c r="Y640" s="5" t="s">
        <v>4005</v>
      </c>
      <c r="Z640" s="5" t="s">
        <v>2457</v>
      </c>
      <c r="AA640">
        <v>30</v>
      </c>
      <c r="AB640">
        <v>12</v>
      </c>
      <c r="AC640">
        <v>63.740470000000002</v>
      </c>
      <c r="AD640">
        <v>148.90082000000001</v>
      </c>
      <c r="AE640" s="5" t="s">
        <v>115</v>
      </c>
      <c r="AF640" s="5" t="s">
        <v>115</v>
      </c>
      <c r="AG640" s="5"/>
      <c r="AH640">
        <v>0</v>
      </c>
      <c r="AI640">
        <v>0</v>
      </c>
      <c r="AJ640">
        <v>0</v>
      </c>
      <c r="AK640">
        <v>0</v>
      </c>
      <c r="AL640">
        <v>0</v>
      </c>
      <c r="AM640">
        <f t="shared" si="9"/>
        <v>0</v>
      </c>
    </row>
    <row r="641" spans="1:41" x14ac:dyDescent="0.2">
      <c r="A641" t="s">
        <v>3162</v>
      </c>
      <c r="B641" t="s">
        <v>3163</v>
      </c>
      <c r="C641">
        <v>7</v>
      </c>
      <c r="D641">
        <v>1</v>
      </c>
      <c r="E641" t="s">
        <v>834</v>
      </c>
      <c r="F641" s="1">
        <v>43571</v>
      </c>
      <c r="G641" s="1" t="s">
        <v>4027</v>
      </c>
      <c r="H641" s="1"/>
      <c r="I641" s="2">
        <v>5.6944444444444443E-2</v>
      </c>
      <c r="J641" s="176">
        <v>9.4907407407407408E-4</v>
      </c>
      <c r="K641" s="6">
        <v>82</v>
      </c>
      <c r="L641" t="s">
        <v>1278</v>
      </c>
      <c r="M641" t="s">
        <v>466</v>
      </c>
      <c r="N641" t="s">
        <v>242</v>
      </c>
      <c r="O641" t="s">
        <v>23</v>
      </c>
      <c r="P641">
        <v>0</v>
      </c>
      <c r="Q641">
        <v>0</v>
      </c>
      <c r="R641">
        <v>1</v>
      </c>
      <c r="S641" t="s">
        <v>461</v>
      </c>
      <c r="T641" s="5" t="s">
        <v>2605</v>
      </c>
      <c r="U641" s="5" t="s">
        <v>115</v>
      </c>
      <c r="V641" s="5" t="s">
        <v>333</v>
      </c>
      <c r="W641" s="5" t="s">
        <v>23</v>
      </c>
      <c r="X641" s="5" t="s">
        <v>3999</v>
      </c>
      <c r="Y641" s="5" t="s">
        <v>4006</v>
      </c>
      <c r="Z641" s="5" t="s">
        <v>2850</v>
      </c>
      <c r="AA641">
        <v>157</v>
      </c>
      <c r="AB641">
        <v>26</v>
      </c>
      <c r="AC641">
        <v>63.740699999999997</v>
      </c>
      <c r="AD641">
        <v>148.90117000000001</v>
      </c>
      <c r="AE641" s="5" t="s">
        <v>115</v>
      </c>
      <c r="AF641" s="5" t="s">
        <v>115</v>
      </c>
      <c r="AG641" s="5"/>
      <c r="AH641">
        <v>0</v>
      </c>
      <c r="AI641">
        <v>0</v>
      </c>
      <c r="AJ641">
        <v>0</v>
      </c>
      <c r="AK641">
        <v>0</v>
      </c>
      <c r="AL641">
        <v>0</v>
      </c>
      <c r="AM641">
        <f t="shared" si="9"/>
        <v>0</v>
      </c>
      <c r="AO641" t="s">
        <v>3164</v>
      </c>
    </row>
    <row r="642" spans="1:41" x14ac:dyDescent="0.2">
      <c r="A642" t="s">
        <v>3157</v>
      </c>
      <c r="B642" t="s">
        <v>3158</v>
      </c>
      <c r="C642">
        <v>5</v>
      </c>
      <c r="D642">
        <v>1</v>
      </c>
      <c r="E642" t="s">
        <v>834</v>
      </c>
      <c r="F642" s="1">
        <v>43571</v>
      </c>
      <c r="G642" s="1" t="s">
        <v>4027</v>
      </c>
      <c r="H642" s="1"/>
      <c r="I642" s="2">
        <v>2.2222222222222223E-2</v>
      </c>
      <c r="J642" s="176">
        <v>3.7037037037037035E-4</v>
      </c>
      <c r="K642" s="6">
        <v>32</v>
      </c>
      <c r="L642" t="s">
        <v>1278</v>
      </c>
      <c r="M642" t="s">
        <v>466</v>
      </c>
      <c r="N642" t="s">
        <v>102</v>
      </c>
      <c r="O642" t="s">
        <v>115</v>
      </c>
      <c r="P642">
        <v>1</v>
      </c>
      <c r="Q642">
        <v>0</v>
      </c>
      <c r="R642">
        <v>0</v>
      </c>
      <c r="S642" t="s">
        <v>461</v>
      </c>
      <c r="T642" s="5" t="s">
        <v>2605</v>
      </c>
      <c r="U642" s="5" t="s">
        <v>122</v>
      </c>
      <c r="V642" s="5" t="s">
        <v>115</v>
      </c>
      <c r="W642" s="5"/>
      <c r="X642" s="5"/>
      <c r="Y642" s="5"/>
      <c r="Z642" s="5" t="s">
        <v>115</v>
      </c>
      <c r="AA642" s="5" t="s">
        <v>115</v>
      </c>
      <c r="AB642" s="5" t="s">
        <v>115</v>
      </c>
      <c r="AC642" s="5" t="s">
        <v>115</v>
      </c>
      <c r="AD642" s="5" t="s">
        <v>115</v>
      </c>
      <c r="AE642" s="5" t="s">
        <v>115</v>
      </c>
      <c r="AF642" s="5" t="s">
        <v>115</v>
      </c>
      <c r="AG642" s="5"/>
      <c r="AH642">
        <v>0</v>
      </c>
      <c r="AI642">
        <v>0</v>
      </c>
      <c r="AJ642">
        <v>0</v>
      </c>
      <c r="AK642">
        <v>0</v>
      </c>
      <c r="AL642">
        <v>0</v>
      </c>
      <c r="AM642">
        <f t="shared" ref="AM642:AM689" si="10">SUM(AH642+AI642+AL642)</f>
        <v>0</v>
      </c>
      <c r="AO642" t="s">
        <v>3159</v>
      </c>
    </row>
    <row r="643" spans="1:41" x14ac:dyDescent="0.2">
      <c r="A643" t="s">
        <v>3165</v>
      </c>
      <c r="B643" t="s">
        <v>3166</v>
      </c>
      <c r="C643">
        <v>8</v>
      </c>
      <c r="D643">
        <v>1</v>
      </c>
      <c r="E643" t="s">
        <v>834</v>
      </c>
      <c r="F643" s="1">
        <v>43571</v>
      </c>
      <c r="G643" s="1" t="s">
        <v>4027</v>
      </c>
      <c r="H643" s="1"/>
      <c r="I643" s="2">
        <v>2.7777777777777776E-2</v>
      </c>
      <c r="J643" s="176">
        <v>4.6296296296296293E-4</v>
      </c>
      <c r="K643" s="6">
        <v>40</v>
      </c>
      <c r="L643" t="s">
        <v>1278</v>
      </c>
      <c r="M643" t="s">
        <v>466</v>
      </c>
      <c r="N643" t="s">
        <v>102</v>
      </c>
      <c r="O643" t="s">
        <v>115</v>
      </c>
      <c r="P643">
        <v>1</v>
      </c>
      <c r="Q643">
        <v>0</v>
      </c>
      <c r="R643">
        <v>0</v>
      </c>
      <c r="S643" t="s">
        <v>461</v>
      </c>
      <c r="T643" s="5" t="s">
        <v>2605</v>
      </c>
      <c r="U643" s="5" t="s">
        <v>122</v>
      </c>
      <c r="V643" s="5" t="s">
        <v>115</v>
      </c>
      <c r="W643" s="5"/>
      <c r="X643" s="5"/>
      <c r="Y643" s="5"/>
      <c r="Z643" s="5" t="s">
        <v>115</v>
      </c>
      <c r="AA643" s="5" t="s">
        <v>115</v>
      </c>
      <c r="AB643" s="5" t="s">
        <v>115</v>
      </c>
      <c r="AC643" s="5" t="s">
        <v>115</v>
      </c>
      <c r="AD643" s="5" t="s">
        <v>115</v>
      </c>
      <c r="AE643" s="5" t="s">
        <v>115</v>
      </c>
      <c r="AF643" s="5" t="s">
        <v>115</v>
      </c>
      <c r="AG643" s="5"/>
      <c r="AH643">
        <v>0</v>
      </c>
      <c r="AI643">
        <v>0</v>
      </c>
      <c r="AJ643">
        <v>0</v>
      </c>
      <c r="AK643">
        <v>0</v>
      </c>
      <c r="AL643">
        <v>0</v>
      </c>
      <c r="AM643">
        <f t="shared" si="10"/>
        <v>0</v>
      </c>
    </row>
    <row r="644" spans="1:41" x14ac:dyDescent="0.2">
      <c r="A644" t="s">
        <v>3149</v>
      </c>
      <c r="B644" t="s">
        <v>3150</v>
      </c>
      <c r="C644">
        <v>2</v>
      </c>
      <c r="D644">
        <v>1</v>
      </c>
      <c r="E644" t="s">
        <v>834</v>
      </c>
      <c r="F644" s="1">
        <v>43571</v>
      </c>
      <c r="G644" s="1" t="s">
        <v>4027</v>
      </c>
      <c r="H644" s="1"/>
      <c r="I644" s="2">
        <v>2.361111111111111E-2</v>
      </c>
      <c r="J644" s="176">
        <v>3.9351851851851852E-4</v>
      </c>
      <c r="K644" s="6">
        <v>34</v>
      </c>
      <c r="L644" t="s">
        <v>1278</v>
      </c>
      <c r="M644" t="s">
        <v>466</v>
      </c>
      <c r="N644" t="s">
        <v>107</v>
      </c>
      <c r="O644" t="s">
        <v>115</v>
      </c>
      <c r="P644">
        <v>0</v>
      </c>
      <c r="Q644">
        <v>0</v>
      </c>
      <c r="R644">
        <v>0</v>
      </c>
      <c r="S644" t="s">
        <v>461</v>
      </c>
      <c r="T644" s="5" t="s">
        <v>2605</v>
      </c>
      <c r="U644" s="5" t="s">
        <v>115</v>
      </c>
      <c r="V644" s="5" t="s">
        <v>115</v>
      </c>
      <c r="W644" s="5"/>
      <c r="X644" s="5"/>
      <c r="Y644" s="5"/>
      <c r="Z644" s="5" t="s">
        <v>115</v>
      </c>
      <c r="AA644" s="5" t="s">
        <v>115</v>
      </c>
      <c r="AB644" s="5" t="s">
        <v>115</v>
      </c>
      <c r="AC644" s="5" t="s">
        <v>115</v>
      </c>
      <c r="AD644" s="5" t="s">
        <v>115</v>
      </c>
      <c r="AE644" s="5" t="s">
        <v>115</v>
      </c>
      <c r="AF644" s="5" t="s">
        <v>115</v>
      </c>
      <c r="AG644" s="5"/>
      <c r="AH644">
        <v>0</v>
      </c>
      <c r="AI644">
        <v>0</v>
      </c>
      <c r="AJ644">
        <v>0</v>
      </c>
      <c r="AK644">
        <v>0</v>
      </c>
      <c r="AL644">
        <v>0</v>
      </c>
      <c r="AM644">
        <f t="shared" si="10"/>
        <v>0</v>
      </c>
      <c r="AO644" t="s">
        <v>3151</v>
      </c>
    </row>
    <row r="645" spans="1:41" x14ac:dyDescent="0.2">
      <c r="A645" t="s">
        <v>3153</v>
      </c>
      <c r="B645" t="s">
        <v>3154</v>
      </c>
      <c r="C645">
        <v>3</v>
      </c>
      <c r="D645">
        <v>1</v>
      </c>
      <c r="E645" t="s">
        <v>834</v>
      </c>
      <c r="F645" s="1">
        <v>43571</v>
      </c>
      <c r="G645" s="1" t="s">
        <v>4027</v>
      </c>
      <c r="H645" s="1"/>
      <c r="I645" s="2">
        <v>1.1805555555555555E-2</v>
      </c>
      <c r="J645" s="176">
        <v>1.9675925925925926E-4</v>
      </c>
      <c r="K645" s="6">
        <v>17</v>
      </c>
      <c r="L645" t="s">
        <v>1278</v>
      </c>
      <c r="M645" t="s">
        <v>466</v>
      </c>
      <c r="N645" t="s">
        <v>107</v>
      </c>
      <c r="O645" t="s">
        <v>115</v>
      </c>
      <c r="P645">
        <v>0</v>
      </c>
      <c r="Q645">
        <v>0</v>
      </c>
      <c r="R645">
        <v>0</v>
      </c>
      <c r="S645" t="s">
        <v>461</v>
      </c>
      <c r="T645" s="5" t="s">
        <v>2605</v>
      </c>
      <c r="U645" s="5" t="s">
        <v>115</v>
      </c>
      <c r="V645" s="5" t="s">
        <v>115</v>
      </c>
      <c r="W645" s="5"/>
      <c r="X645" s="5"/>
      <c r="Y645" s="5"/>
      <c r="Z645" s="5" t="s">
        <v>115</v>
      </c>
      <c r="AA645" s="5" t="s">
        <v>115</v>
      </c>
      <c r="AB645" s="5" t="s">
        <v>115</v>
      </c>
      <c r="AC645" s="5" t="s">
        <v>115</v>
      </c>
      <c r="AD645" s="5" t="s">
        <v>115</v>
      </c>
      <c r="AE645" s="5" t="s">
        <v>115</v>
      </c>
      <c r="AF645" s="5" t="s">
        <v>115</v>
      </c>
      <c r="AG645" s="5"/>
      <c r="AH645">
        <v>0</v>
      </c>
      <c r="AI645">
        <v>0</v>
      </c>
      <c r="AJ645">
        <v>0</v>
      </c>
      <c r="AK645">
        <v>0</v>
      </c>
      <c r="AL645">
        <v>0</v>
      </c>
      <c r="AM645">
        <f t="shared" si="10"/>
        <v>0</v>
      </c>
      <c r="AO645" t="s">
        <v>3151</v>
      </c>
    </row>
    <row r="646" spans="1:41" x14ac:dyDescent="0.2">
      <c r="A646" t="s">
        <v>3160</v>
      </c>
      <c r="B646" t="s">
        <v>3161</v>
      </c>
      <c r="C646">
        <v>6</v>
      </c>
      <c r="D646">
        <v>1</v>
      </c>
      <c r="E646" t="s">
        <v>834</v>
      </c>
      <c r="F646" s="1">
        <v>43571</v>
      </c>
      <c r="G646" s="1" t="s">
        <v>4027</v>
      </c>
      <c r="H646" s="1"/>
      <c r="I646" s="2">
        <v>3.6111111111111115E-2</v>
      </c>
      <c r="J646" s="176">
        <v>6.018518518518519E-4</v>
      </c>
      <c r="K646" s="6">
        <v>52</v>
      </c>
      <c r="L646" t="s">
        <v>1278</v>
      </c>
      <c r="M646" t="s">
        <v>466</v>
      </c>
      <c r="N646" t="s">
        <v>107</v>
      </c>
      <c r="O646" t="s">
        <v>115</v>
      </c>
      <c r="P646">
        <v>0</v>
      </c>
      <c r="Q646">
        <v>0</v>
      </c>
      <c r="R646">
        <v>0</v>
      </c>
      <c r="S646" t="s">
        <v>461</v>
      </c>
      <c r="T646" s="5" t="s">
        <v>2605</v>
      </c>
      <c r="U646" s="5" t="s">
        <v>115</v>
      </c>
      <c r="V646" s="5" t="s">
        <v>115</v>
      </c>
      <c r="W646" s="5"/>
      <c r="X646" s="5"/>
      <c r="Y646" s="5"/>
      <c r="Z646" s="5" t="s">
        <v>115</v>
      </c>
      <c r="AA646" s="5" t="s">
        <v>115</v>
      </c>
      <c r="AB646" s="5" t="s">
        <v>115</v>
      </c>
      <c r="AC646" s="5" t="s">
        <v>115</v>
      </c>
      <c r="AD646" s="5" t="s">
        <v>115</v>
      </c>
      <c r="AE646" s="5" t="s">
        <v>115</v>
      </c>
      <c r="AF646" s="5" t="s">
        <v>115</v>
      </c>
      <c r="AG646" s="5"/>
      <c r="AH646">
        <v>0</v>
      </c>
      <c r="AI646">
        <v>0</v>
      </c>
      <c r="AJ646">
        <v>0</v>
      </c>
      <c r="AK646">
        <v>0</v>
      </c>
      <c r="AL646">
        <v>0</v>
      </c>
      <c r="AM646">
        <f t="shared" si="10"/>
        <v>0</v>
      </c>
      <c r="AO646" t="s">
        <v>3151</v>
      </c>
    </row>
    <row r="647" spans="1:41" x14ac:dyDescent="0.2">
      <c r="A647" t="s">
        <v>3232</v>
      </c>
      <c r="B647" t="s">
        <v>3233</v>
      </c>
      <c r="C647">
        <v>3</v>
      </c>
      <c r="D647">
        <v>1</v>
      </c>
      <c r="E647" t="s">
        <v>791</v>
      </c>
      <c r="F647" s="1">
        <v>43572</v>
      </c>
      <c r="G647" s="1" t="s">
        <v>4027</v>
      </c>
      <c r="H647" s="1"/>
      <c r="I647" s="2">
        <v>4.7916666666666663E-2</v>
      </c>
      <c r="J647" s="176">
        <v>7.9861111111111105E-4</v>
      </c>
      <c r="K647" s="6">
        <v>69</v>
      </c>
      <c r="L647" t="s">
        <v>3187</v>
      </c>
      <c r="M647" t="s">
        <v>924</v>
      </c>
      <c r="N647" t="s">
        <v>111</v>
      </c>
      <c r="O647" t="s">
        <v>115</v>
      </c>
      <c r="P647">
        <v>0</v>
      </c>
      <c r="Q647">
        <v>0</v>
      </c>
      <c r="R647">
        <v>1</v>
      </c>
      <c r="S647" t="s">
        <v>598</v>
      </c>
      <c r="T647" s="5" t="s">
        <v>2801</v>
      </c>
      <c r="U647" s="5" t="s">
        <v>115</v>
      </c>
      <c r="V647" s="5" t="s">
        <v>2068</v>
      </c>
      <c r="W647" s="5" t="s">
        <v>23</v>
      </c>
      <c r="X647" s="5" t="s">
        <v>3997</v>
      </c>
      <c r="Y647" s="5" t="s">
        <v>4005</v>
      </c>
      <c r="Z647" s="5" t="s">
        <v>3238</v>
      </c>
      <c r="AA647" s="5">
        <v>265</v>
      </c>
      <c r="AB647" s="5">
        <v>9</v>
      </c>
      <c r="AC647" s="5">
        <v>63.725189999999998</v>
      </c>
      <c r="AD647" s="5">
        <v>148.96460999999999</v>
      </c>
      <c r="AE647" s="5" t="s">
        <v>115</v>
      </c>
      <c r="AF647" s="5" t="s">
        <v>115</v>
      </c>
      <c r="AG647" s="5" t="s">
        <v>115</v>
      </c>
      <c r="AH647" s="5">
        <v>0</v>
      </c>
      <c r="AI647" s="5">
        <v>0</v>
      </c>
      <c r="AJ647" s="5">
        <v>0</v>
      </c>
      <c r="AK647" s="5">
        <v>0</v>
      </c>
      <c r="AL647" s="5">
        <v>0</v>
      </c>
      <c r="AM647">
        <f t="shared" si="10"/>
        <v>0</v>
      </c>
    </row>
    <row r="648" spans="1:41" x14ac:dyDescent="0.2">
      <c r="A648" t="s">
        <v>3202</v>
      </c>
      <c r="B648" t="s">
        <v>3203</v>
      </c>
      <c r="C648">
        <v>9</v>
      </c>
      <c r="D648">
        <v>1</v>
      </c>
      <c r="E648" t="s">
        <v>2487</v>
      </c>
      <c r="F648" s="1">
        <v>43572</v>
      </c>
      <c r="G648" s="1" t="s">
        <v>4027</v>
      </c>
      <c r="H648" s="1"/>
      <c r="I648" s="2">
        <v>2.7777777777777779E-3</v>
      </c>
      <c r="J648" s="176">
        <v>4.6296296296296294E-5</v>
      </c>
      <c r="K648" s="6">
        <v>4</v>
      </c>
      <c r="L648" t="s">
        <v>3187</v>
      </c>
      <c r="M648" t="s">
        <v>2488</v>
      </c>
      <c r="N648" t="s">
        <v>102</v>
      </c>
      <c r="O648" t="s">
        <v>115</v>
      </c>
      <c r="P648">
        <v>1</v>
      </c>
      <c r="Q648">
        <v>0</v>
      </c>
      <c r="R648">
        <v>0</v>
      </c>
      <c r="S648" t="s">
        <v>598</v>
      </c>
      <c r="T648" s="5" t="s">
        <v>2801</v>
      </c>
      <c r="U648" s="5" t="s">
        <v>122</v>
      </c>
      <c r="V648" s="5" t="s">
        <v>115</v>
      </c>
      <c r="W648" s="5"/>
      <c r="X648" s="5"/>
      <c r="Y648" s="5"/>
      <c r="Z648" s="5" t="s">
        <v>115</v>
      </c>
      <c r="AA648" s="5" t="s">
        <v>115</v>
      </c>
      <c r="AB648" s="5" t="s">
        <v>115</v>
      </c>
      <c r="AC648" s="5" t="s">
        <v>115</v>
      </c>
      <c r="AD648" s="5" t="s">
        <v>115</v>
      </c>
      <c r="AE648" s="5" t="s">
        <v>115</v>
      </c>
      <c r="AF648" s="5" t="s">
        <v>115</v>
      </c>
      <c r="AG648" s="5"/>
      <c r="AH648">
        <v>0</v>
      </c>
      <c r="AI648">
        <v>0</v>
      </c>
      <c r="AJ648">
        <v>0</v>
      </c>
      <c r="AK648">
        <v>0</v>
      </c>
      <c r="AL648">
        <v>0</v>
      </c>
      <c r="AM648">
        <f t="shared" si="10"/>
        <v>0</v>
      </c>
      <c r="AO648" t="s">
        <v>3204</v>
      </c>
    </row>
    <row r="649" spans="1:41" x14ac:dyDescent="0.2">
      <c r="A649" t="s">
        <v>3190</v>
      </c>
      <c r="B649" t="s">
        <v>3191</v>
      </c>
      <c r="C649">
        <v>3</v>
      </c>
      <c r="D649">
        <v>1</v>
      </c>
      <c r="E649" t="s">
        <v>2487</v>
      </c>
      <c r="F649" s="1">
        <v>43572</v>
      </c>
      <c r="G649" s="1" t="s">
        <v>4027</v>
      </c>
      <c r="H649" s="1"/>
      <c r="I649" s="2">
        <v>2.2222222222222223E-2</v>
      </c>
      <c r="J649" s="176">
        <v>3.7037037037037035E-4</v>
      </c>
      <c r="K649" s="6">
        <v>32</v>
      </c>
      <c r="L649" t="s">
        <v>3187</v>
      </c>
      <c r="M649" t="s">
        <v>2488</v>
      </c>
      <c r="N649" t="s">
        <v>107</v>
      </c>
      <c r="O649" t="s">
        <v>115</v>
      </c>
      <c r="P649">
        <v>1</v>
      </c>
      <c r="Q649">
        <v>0</v>
      </c>
      <c r="R649">
        <v>0</v>
      </c>
      <c r="S649" t="s">
        <v>598</v>
      </c>
      <c r="T649" s="5" t="s">
        <v>2801</v>
      </c>
      <c r="U649" s="5" t="s">
        <v>2383</v>
      </c>
      <c r="V649" s="5" t="s">
        <v>115</v>
      </c>
      <c r="W649" s="5"/>
      <c r="X649" s="5"/>
      <c r="Y649" s="5"/>
      <c r="Z649" s="5" t="s">
        <v>115</v>
      </c>
      <c r="AA649" s="5" t="s">
        <v>115</v>
      </c>
      <c r="AB649" s="5" t="s">
        <v>115</v>
      </c>
      <c r="AC649" s="5" t="s">
        <v>115</v>
      </c>
      <c r="AD649" s="5" t="s">
        <v>115</v>
      </c>
      <c r="AE649" s="5" t="s">
        <v>115</v>
      </c>
      <c r="AF649" s="5" t="s">
        <v>115</v>
      </c>
      <c r="AG649" s="5"/>
      <c r="AH649">
        <v>0</v>
      </c>
      <c r="AI649">
        <v>0</v>
      </c>
      <c r="AJ649">
        <v>0</v>
      </c>
      <c r="AK649">
        <v>0</v>
      </c>
      <c r="AL649">
        <v>0</v>
      </c>
      <c r="AM649">
        <f t="shared" si="10"/>
        <v>0</v>
      </c>
      <c r="AO649" t="s">
        <v>2480</v>
      </c>
    </row>
    <row r="650" spans="1:41" x14ac:dyDescent="0.2">
      <c r="A650" t="s">
        <v>3230</v>
      </c>
      <c r="B650" t="s">
        <v>3231</v>
      </c>
      <c r="C650">
        <v>2</v>
      </c>
      <c r="D650">
        <v>1</v>
      </c>
      <c r="E650" t="s">
        <v>791</v>
      </c>
      <c r="F650" s="1">
        <v>43572</v>
      </c>
      <c r="G650" s="1" t="s">
        <v>4027</v>
      </c>
      <c r="H650" s="1"/>
      <c r="I650" s="2">
        <v>1.3888888888888888E-2</v>
      </c>
      <c r="J650" s="176">
        <v>2.3148148148148146E-4</v>
      </c>
      <c r="K650" s="6">
        <v>20</v>
      </c>
      <c r="L650" t="s">
        <v>3187</v>
      </c>
      <c r="M650" t="s">
        <v>924</v>
      </c>
      <c r="N650" t="s">
        <v>107</v>
      </c>
      <c r="O650" t="s">
        <v>115</v>
      </c>
      <c r="P650">
        <v>0</v>
      </c>
      <c r="Q650">
        <v>0</v>
      </c>
      <c r="R650">
        <v>0</v>
      </c>
      <c r="S650" t="s">
        <v>598</v>
      </c>
      <c r="T650" s="5" t="s">
        <v>2801</v>
      </c>
      <c r="U650" s="5" t="s">
        <v>115</v>
      </c>
      <c r="V650" s="5" t="s">
        <v>115</v>
      </c>
      <c r="W650" s="5"/>
      <c r="X650" s="5"/>
      <c r="Y650" s="5"/>
      <c r="Z650" s="5" t="s">
        <v>115</v>
      </c>
      <c r="AA650" s="5" t="s">
        <v>115</v>
      </c>
      <c r="AB650" s="5" t="s">
        <v>115</v>
      </c>
      <c r="AC650" s="5" t="s">
        <v>115</v>
      </c>
      <c r="AD650" s="5" t="s">
        <v>115</v>
      </c>
      <c r="AE650" s="5" t="s">
        <v>115</v>
      </c>
      <c r="AF650" s="5" t="s">
        <v>115</v>
      </c>
      <c r="AG650" s="5" t="s">
        <v>115</v>
      </c>
      <c r="AH650">
        <v>0</v>
      </c>
      <c r="AI650">
        <v>0</v>
      </c>
      <c r="AJ650">
        <v>0</v>
      </c>
      <c r="AK650">
        <v>0</v>
      </c>
      <c r="AL650">
        <v>0</v>
      </c>
      <c r="AM650">
        <f t="shared" si="10"/>
        <v>0</v>
      </c>
    </row>
    <row r="651" spans="1:41" x14ac:dyDescent="0.2">
      <c r="A651" t="s">
        <v>3205</v>
      </c>
      <c r="B651" t="s">
        <v>3206</v>
      </c>
      <c r="C651">
        <v>10</v>
      </c>
      <c r="D651">
        <v>1</v>
      </c>
      <c r="E651" t="s">
        <v>2487</v>
      </c>
      <c r="F651" s="1">
        <v>43572</v>
      </c>
      <c r="G651" s="1" t="s">
        <v>4027</v>
      </c>
      <c r="H651" s="1"/>
      <c r="I651" s="2">
        <v>1.1805555555555555E-2</v>
      </c>
      <c r="J651" s="176">
        <v>1.9675925925925926E-4</v>
      </c>
      <c r="K651" s="6">
        <v>17</v>
      </c>
      <c r="L651" t="s">
        <v>3187</v>
      </c>
      <c r="M651" t="s">
        <v>2488</v>
      </c>
      <c r="N651" t="s">
        <v>107</v>
      </c>
      <c r="O651" t="s">
        <v>115</v>
      </c>
      <c r="P651">
        <v>0</v>
      </c>
      <c r="Q651">
        <v>0</v>
      </c>
      <c r="R651">
        <v>0</v>
      </c>
      <c r="S651" t="s">
        <v>598</v>
      </c>
      <c r="T651" s="5" t="s">
        <v>2801</v>
      </c>
      <c r="U651" s="5" t="s">
        <v>115</v>
      </c>
      <c r="V651" s="5" t="s">
        <v>115</v>
      </c>
      <c r="W651" s="5"/>
      <c r="X651" s="5"/>
      <c r="Y651" s="5"/>
      <c r="Z651" s="5" t="s">
        <v>115</v>
      </c>
      <c r="AA651" s="5" t="s">
        <v>115</v>
      </c>
      <c r="AB651" s="5" t="s">
        <v>115</v>
      </c>
      <c r="AC651" s="5" t="s">
        <v>115</v>
      </c>
      <c r="AD651" s="5" t="s">
        <v>115</v>
      </c>
      <c r="AE651" s="5" t="s">
        <v>115</v>
      </c>
      <c r="AF651" s="5" t="s">
        <v>115</v>
      </c>
      <c r="AG651" s="5"/>
      <c r="AH651">
        <v>0</v>
      </c>
      <c r="AI651">
        <v>0</v>
      </c>
      <c r="AJ651">
        <v>0</v>
      </c>
      <c r="AK651">
        <v>0</v>
      </c>
      <c r="AL651">
        <v>0</v>
      </c>
      <c r="AM651">
        <f t="shared" si="10"/>
        <v>0</v>
      </c>
    </row>
    <row r="652" spans="1:41" x14ac:dyDescent="0.2">
      <c r="A652" t="s">
        <v>3207</v>
      </c>
      <c r="B652" t="s">
        <v>3208</v>
      </c>
      <c r="C652">
        <v>11</v>
      </c>
      <c r="D652">
        <v>1</v>
      </c>
      <c r="E652" t="s">
        <v>2487</v>
      </c>
      <c r="F652" s="1">
        <v>43572</v>
      </c>
      <c r="G652" s="1" t="s">
        <v>4027</v>
      </c>
      <c r="H652" s="1"/>
      <c r="I652" s="2">
        <v>1.8749999999999999E-2</v>
      </c>
      <c r="J652" s="176">
        <v>3.1250000000000001E-4</v>
      </c>
      <c r="K652" s="6">
        <v>27</v>
      </c>
      <c r="L652" t="s">
        <v>3187</v>
      </c>
      <c r="M652" t="s">
        <v>2488</v>
      </c>
      <c r="N652" t="s">
        <v>107</v>
      </c>
      <c r="O652" t="s">
        <v>115</v>
      </c>
      <c r="P652">
        <v>0</v>
      </c>
      <c r="Q652">
        <v>0</v>
      </c>
      <c r="R652">
        <v>0</v>
      </c>
      <c r="S652" t="s">
        <v>598</v>
      </c>
      <c r="T652" s="5" t="s">
        <v>2801</v>
      </c>
      <c r="U652" s="5" t="s">
        <v>115</v>
      </c>
      <c r="V652" s="5" t="s">
        <v>115</v>
      </c>
      <c r="W652" s="5"/>
      <c r="X652" s="5"/>
      <c r="Y652" s="5"/>
      <c r="Z652" s="5" t="s">
        <v>115</v>
      </c>
      <c r="AA652" s="5" t="s">
        <v>115</v>
      </c>
      <c r="AB652" s="5" t="s">
        <v>115</v>
      </c>
      <c r="AC652" s="5" t="s">
        <v>115</v>
      </c>
      <c r="AD652" s="5" t="s">
        <v>115</v>
      </c>
      <c r="AE652" s="5" t="s">
        <v>115</v>
      </c>
      <c r="AF652" s="5" t="s">
        <v>115</v>
      </c>
      <c r="AG652" s="5"/>
      <c r="AH652">
        <v>0</v>
      </c>
      <c r="AI652">
        <v>0</v>
      </c>
      <c r="AJ652">
        <v>0</v>
      </c>
      <c r="AK652">
        <v>0</v>
      </c>
      <c r="AL652">
        <v>0</v>
      </c>
      <c r="AM652">
        <f t="shared" si="10"/>
        <v>0</v>
      </c>
    </row>
    <row r="653" spans="1:41" x14ac:dyDescent="0.2">
      <c r="A653" t="s">
        <v>3282</v>
      </c>
      <c r="B653" t="s">
        <v>3283</v>
      </c>
      <c r="C653">
        <v>4</v>
      </c>
      <c r="D653">
        <v>1</v>
      </c>
      <c r="E653" t="s">
        <v>2601</v>
      </c>
      <c r="F653" s="1">
        <v>43573</v>
      </c>
      <c r="G653" s="1" t="s">
        <v>4027</v>
      </c>
      <c r="H653" s="1"/>
      <c r="I653" s="2">
        <v>1.3194444444444444E-2</v>
      </c>
      <c r="J653" s="176">
        <v>2.199074074074074E-4</v>
      </c>
      <c r="K653" s="6">
        <v>19</v>
      </c>
      <c r="L653" t="s">
        <v>3277</v>
      </c>
      <c r="M653" t="s">
        <v>173</v>
      </c>
      <c r="N653" t="s">
        <v>111</v>
      </c>
      <c r="O653" t="s">
        <v>23</v>
      </c>
      <c r="P653">
        <v>0</v>
      </c>
      <c r="Q653">
        <v>0</v>
      </c>
      <c r="R653">
        <v>1</v>
      </c>
      <c r="S653" t="s">
        <v>598</v>
      </c>
      <c r="T653" s="5" t="s">
        <v>2801</v>
      </c>
      <c r="U653" s="5" t="s">
        <v>115</v>
      </c>
      <c r="V653" s="5" t="s">
        <v>333</v>
      </c>
      <c r="W653" s="5" t="s">
        <v>23</v>
      </c>
      <c r="X653" s="5" t="s">
        <v>3999</v>
      </c>
      <c r="Y653" s="5" t="s">
        <v>4006</v>
      </c>
      <c r="Z653" s="5" t="s">
        <v>2850</v>
      </c>
      <c r="AA653" s="5">
        <v>120</v>
      </c>
      <c r="AB653" s="5" t="s">
        <v>176</v>
      </c>
      <c r="AC653" s="5">
        <v>63.726089999999999</v>
      </c>
      <c r="AD653" s="5">
        <v>148.95284000000001</v>
      </c>
      <c r="AE653" s="5" t="s">
        <v>115</v>
      </c>
      <c r="AF653" s="5" t="s">
        <v>115</v>
      </c>
      <c r="AG653" s="5" t="s">
        <v>115</v>
      </c>
      <c r="AH653">
        <v>0</v>
      </c>
      <c r="AI653">
        <v>0</v>
      </c>
      <c r="AJ653">
        <v>0</v>
      </c>
      <c r="AK653">
        <v>0</v>
      </c>
      <c r="AL653">
        <v>0</v>
      </c>
      <c r="AM653">
        <f t="shared" si="10"/>
        <v>0</v>
      </c>
    </row>
    <row r="654" spans="1:41" x14ac:dyDescent="0.2">
      <c r="A654" t="s">
        <v>3280</v>
      </c>
      <c r="B654" t="s">
        <v>3281</v>
      </c>
      <c r="C654">
        <v>3</v>
      </c>
      <c r="D654">
        <v>1</v>
      </c>
      <c r="E654" t="s">
        <v>2601</v>
      </c>
      <c r="F654" s="1">
        <v>43573</v>
      </c>
      <c r="G654" s="1" t="s">
        <v>4027</v>
      </c>
      <c r="H654" s="1"/>
      <c r="I654" s="2">
        <v>2.2222222222222223E-2</v>
      </c>
      <c r="J654" s="176">
        <v>3.7037037037037035E-4</v>
      </c>
      <c r="K654" s="6">
        <v>32</v>
      </c>
      <c r="L654" t="s">
        <v>3277</v>
      </c>
      <c r="M654" t="s">
        <v>173</v>
      </c>
      <c r="N654" t="s">
        <v>107</v>
      </c>
      <c r="O654" t="s">
        <v>115</v>
      </c>
      <c r="P654">
        <v>1</v>
      </c>
      <c r="Q654">
        <v>0</v>
      </c>
      <c r="R654">
        <v>0</v>
      </c>
      <c r="S654" t="s">
        <v>598</v>
      </c>
      <c r="T654" s="5" t="s">
        <v>2801</v>
      </c>
      <c r="U654" s="5" t="s">
        <v>122</v>
      </c>
      <c r="V654" s="5" t="s">
        <v>115</v>
      </c>
      <c r="W654" s="5"/>
      <c r="X654" s="5"/>
      <c r="Y654" s="5"/>
      <c r="Z654" s="5" t="s">
        <v>115</v>
      </c>
      <c r="AA654" s="5" t="s">
        <v>115</v>
      </c>
      <c r="AB654" s="5" t="s">
        <v>115</v>
      </c>
      <c r="AC654" s="5" t="s">
        <v>115</v>
      </c>
      <c r="AD654" s="5" t="s">
        <v>115</v>
      </c>
      <c r="AE654" s="5" t="s">
        <v>115</v>
      </c>
      <c r="AF654" s="5" t="s">
        <v>115</v>
      </c>
      <c r="AG654" s="5" t="s">
        <v>115</v>
      </c>
      <c r="AH654">
        <v>0</v>
      </c>
      <c r="AI654">
        <v>0</v>
      </c>
      <c r="AJ654">
        <v>0</v>
      </c>
      <c r="AK654">
        <v>0</v>
      </c>
      <c r="AL654">
        <v>0</v>
      </c>
      <c r="AM654">
        <f t="shared" si="10"/>
        <v>0</v>
      </c>
      <c r="AO654" t="s">
        <v>2480</v>
      </c>
    </row>
    <row r="655" spans="1:41" x14ac:dyDescent="0.2">
      <c r="A655" t="s">
        <v>3293</v>
      </c>
      <c r="B655" t="s">
        <v>3294</v>
      </c>
      <c r="C655">
        <v>5</v>
      </c>
      <c r="D655">
        <v>1</v>
      </c>
      <c r="E655" t="s">
        <v>2487</v>
      </c>
      <c r="F655" s="1">
        <v>43574</v>
      </c>
      <c r="G655" s="1" t="s">
        <v>4027</v>
      </c>
      <c r="H655" s="1"/>
      <c r="I655" s="2">
        <v>1.9444444444444445E-2</v>
      </c>
      <c r="J655" s="176">
        <v>3.2407407407407406E-4</v>
      </c>
      <c r="K655" s="6">
        <v>28</v>
      </c>
      <c r="L655" t="s">
        <v>101</v>
      </c>
      <c r="M655" t="s">
        <v>2488</v>
      </c>
      <c r="N655" t="s">
        <v>107</v>
      </c>
      <c r="O655" t="s">
        <v>23</v>
      </c>
      <c r="P655">
        <v>1</v>
      </c>
      <c r="Q655" t="s">
        <v>24</v>
      </c>
      <c r="R655">
        <v>0</v>
      </c>
      <c r="S655" t="s">
        <v>176</v>
      </c>
      <c r="T655" s="5" t="s">
        <v>24</v>
      </c>
      <c r="U655" s="5" t="s">
        <v>487</v>
      </c>
      <c r="V655" s="5" t="s">
        <v>115</v>
      </c>
      <c r="W655" s="5"/>
      <c r="X655" s="5"/>
      <c r="Y655" s="5"/>
      <c r="Z655" s="5" t="s">
        <v>115</v>
      </c>
      <c r="AA655" s="5" t="s">
        <v>115</v>
      </c>
      <c r="AB655" s="5" t="s">
        <v>115</v>
      </c>
      <c r="AC655" s="5" t="s">
        <v>115</v>
      </c>
      <c r="AD655" s="5" t="s">
        <v>115</v>
      </c>
      <c r="AE655" s="5" t="s">
        <v>115</v>
      </c>
      <c r="AF655" s="5" t="s">
        <v>115</v>
      </c>
      <c r="AG655" s="5" t="s">
        <v>115</v>
      </c>
      <c r="AH655">
        <v>0</v>
      </c>
      <c r="AI655">
        <v>0</v>
      </c>
      <c r="AJ655">
        <v>0</v>
      </c>
      <c r="AK655">
        <v>0</v>
      </c>
      <c r="AL655">
        <v>0</v>
      </c>
      <c r="AM655">
        <f t="shared" si="10"/>
        <v>0</v>
      </c>
      <c r="AO655" t="s">
        <v>2480</v>
      </c>
    </row>
    <row r="656" spans="1:41" x14ac:dyDescent="0.2">
      <c r="A656" t="s">
        <v>3389</v>
      </c>
      <c r="B656" t="s">
        <v>3390</v>
      </c>
      <c r="C656">
        <v>17</v>
      </c>
      <c r="D656">
        <v>1</v>
      </c>
      <c r="E656" t="s">
        <v>3171</v>
      </c>
      <c r="F656" s="1">
        <v>43577</v>
      </c>
      <c r="G656" s="1" t="s">
        <v>4027</v>
      </c>
      <c r="H656" s="1"/>
      <c r="I656" s="2">
        <v>5.6944444444444443E-2</v>
      </c>
      <c r="J656" s="176">
        <v>9.4907407407407408E-4</v>
      </c>
      <c r="K656" s="6">
        <v>82</v>
      </c>
      <c r="L656" t="s">
        <v>101</v>
      </c>
      <c r="M656" t="s">
        <v>149</v>
      </c>
      <c r="N656" t="s">
        <v>242</v>
      </c>
      <c r="O656" t="s">
        <v>23</v>
      </c>
      <c r="P656">
        <v>0</v>
      </c>
      <c r="Q656">
        <v>0</v>
      </c>
      <c r="R656">
        <v>1</v>
      </c>
      <c r="S656" t="s">
        <v>176</v>
      </c>
      <c r="T656" s="5" t="s">
        <v>24</v>
      </c>
      <c r="U656" s="5" t="s">
        <v>24</v>
      </c>
      <c r="V656" s="5" t="s">
        <v>2068</v>
      </c>
      <c r="W656" s="5" t="s">
        <v>23</v>
      </c>
      <c r="X656" s="5" t="s">
        <v>3997</v>
      </c>
      <c r="Y656" s="5" t="s">
        <v>4005</v>
      </c>
      <c r="Z656" s="4"/>
      <c r="AA656" s="4"/>
      <c r="AB656" s="5" t="s">
        <v>176</v>
      </c>
      <c r="AC656" s="5">
        <v>63.722610000000003</v>
      </c>
      <c r="AD656" s="5">
        <v>148.94719000000001</v>
      </c>
      <c r="AE656" s="5" t="s">
        <v>115</v>
      </c>
      <c r="AF656" s="5" t="s">
        <v>115</v>
      </c>
      <c r="AG656" s="5" t="s">
        <v>115</v>
      </c>
      <c r="AH656">
        <v>0</v>
      </c>
      <c r="AI656">
        <v>0</v>
      </c>
      <c r="AJ656">
        <v>0</v>
      </c>
      <c r="AK656">
        <v>0</v>
      </c>
      <c r="AL656">
        <v>0</v>
      </c>
      <c r="AM656">
        <f t="shared" si="10"/>
        <v>0</v>
      </c>
      <c r="AO656" t="s">
        <v>3391</v>
      </c>
    </row>
    <row r="657" spans="1:41" x14ac:dyDescent="0.2">
      <c r="A657" t="s">
        <v>3389</v>
      </c>
      <c r="B657" t="s">
        <v>3390</v>
      </c>
      <c r="C657">
        <v>17</v>
      </c>
      <c r="D657">
        <v>2</v>
      </c>
      <c r="E657" t="s">
        <v>3171</v>
      </c>
      <c r="F657" s="1">
        <v>43577</v>
      </c>
      <c r="G657" s="1" t="s">
        <v>4027</v>
      </c>
      <c r="H657" s="1"/>
      <c r="I657" s="2">
        <v>5.6944444444444443E-2</v>
      </c>
      <c r="J657" s="176">
        <v>9.4907407407407408E-4</v>
      </c>
      <c r="K657" s="6">
        <v>82</v>
      </c>
      <c r="L657" t="s">
        <v>101</v>
      </c>
      <c r="M657" t="s">
        <v>149</v>
      </c>
      <c r="N657" t="s">
        <v>242</v>
      </c>
      <c r="O657" t="s">
        <v>23</v>
      </c>
      <c r="P657">
        <v>0</v>
      </c>
      <c r="Q657">
        <v>0</v>
      </c>
      <c r="R657">
        <v>1</v>
      </c>
      <c r="S657" t="s">
        <v>176</v>
      </c>
      <c r="T657" s="5" t="s">
        <v>24</v>
      </c>
      <c r="U657" s="5" t="s">
        <v>24</v>
      </c>
      <c r="V657" s="5" t="s">
        <v>2068</v>
      </c>
      <c r="W657" s="5" t="s">
        <v>23</v>
      </c>
      <c r="X657" s="5" t="s">
        <v>3997</v>
      </c>
      <c r="Y657" s="5" t="s">
        <v>4005</v>
      </c>
      <c r="Z657" s="4"/>
      <c r="AA657" s="4"/>
      <c r="AB657" s="5" t="s">
        <v>176</v>
      </c>
      <c r="AC657" s="5">
        <v>63.722610000000003</v>
      </c>
      <c r="AD657" s="5">
        <v>148.94719000000001</v>
      </c>
      <c r="AE657" s="5" t="s">
        <v>115</v>
      </c>
      <c r="AF657" s="5" t="s">
        <v>115</v>
      </c>
      <c r="AG657" s="5" t="s">
        <v>115</v>
      </c>
      <c r="AH657">
        <v>0</v>
      </c>
      <c r="AI657">
        <v>0</v>
      </c>
      <c r="AJ657">
        <v>0</v>
      </c>
      <c r="AK657">
        <v>0</v>
      </c>
      <c r="AL657">
        <v>0</v>
      </c>
      <c r="AM657">
        <f t="shared" si="10"/>
        <v>0</v>
      </c>
      <c r="AO657" t="s">
        <v>3391</v>
      </c>
    </row>
    <row r="658" spans="1:41" x14ac:dyDescent="0.2">
      <c r="A658" t="s">
        <v>3358</v>
      </c>
      <c r="B658" t="s">
        <v>3359</v>
      </c>
      <c r="C658">
        <v>3</v>
      </c>
      <c r="D658">
        <v>1</v>
      </c>
      <c r="E658" t="s">
        <v>3171</v>
      </c>
      <c r="F658" s="1">
        <v>43577</v>
      </c>
      <c r="G658" s="1" t="s">
        <v>4027</v>
      </c>
      <c r="H658" s="1"/>
      <c r="I658" s="2">
        <v>2.7777777777777776E-2</v>
      </c>
      <c r="J658" s="176">
        <v>4.6296296296296293E-4</v>
      </c>
      <c r="K658" s="6">
        <v>40</v>
      </c>
      <c r="L658" t="s">
        <v>101</v>
      </c>
      <c r="M658" t="s">
        <v>149</v>
      </c>
      <c r="N658" t="s">
        <v>242</v>
      </c>
      <c r="O658" t="s">
        <v>115</v>
      </c>
      <c r="P658">
        <v>0</v>
      </c>
      <c r="Q658">
        <v>0</v>
      </c>
      <c r="R658">
        <v>1</v>
      </c>
      <c r="S658" t="s">
        <v>598</v>
      </c>
      <c r="T658" s="5" t="s">
        <v>2801</v>
      </c>
      <c r="U658" s="5" t="s">
        <v>115</v>
      </c>
      <c r="V658" s="5" t="s">
        <v>333</v>
      </c>
      <c r="W658" s="5" t="s">
        <v>23</v>
      </c>
      <c r="X658" s="5" t="s">
        <v>3999</v>
      </c>
      <c r="Y658" s="5" t="s">
        <v>4006</v>
      </c>
      <c r="Z658" s="4"/>
      <c r="AA658" s="4"/>
      <c r="AB658" s="4" t="s">
        <v>24</v>
      </c>
      <c r="AC658">
        <v>63.722679999999997</v>
      </c>
      <c r="AD658">
        <v>148.95184</v>
      </c>
      <c r="AE658" s="5" t="s">
        <v>115</v>
      </c>
      <c r="AF658" s="5" t="s">
        <v>115</v>
      </c>
      <c r="AG658" s="5" t="s">
        <v>3360</v>
      </c>
      <c r="AH658">
        <v>0</v>
      </c>
      <c r="AJ658">
        <v>0</v>
      </c>
      <c r="AK658">
        <v>0</v>
      </c>
      <c r="AL658">
        <v>0</v>
      </c>
      <c r="AM658">
        <f t="shared" si="10"/>
        <v>0</v>
      </c>
      <c r="AN658" t="s">
        <v>188</v>
      </c>
    </row>
    <row r="659" spans="1:41" x14ac:dyDescent="0.2">
      <c r="A659" t="s">
        <v>3412</v>
      </c>
      <c r="B659" t="s">
        <v>3413</v>
      </c>
      <c r="C659">
        <v>5</v>
      </c>
      <c r="D659">
        <v>1</v>
      </c>
      <c r="E659" t="s">
        <v>3404</v>
      </c>
      <c r="F659" s="1">
        <v>43577</v>
      </c>
      <c r="G659" s="1" t="s">
        <v>4027</v>
      </c>
      <c r="H659" s="1"/>
      <c r="I659" s="2">
        <v>2.2222222222222223E-2</v>
      </c>
      <c r="J659" s="176">
        <v>3.7037037037037035E-4</v>
      </c>
      <c r="K659" s="6">
        <v>32</v>
      </c>
      <c r="L659" t="s">
        <v>101</v>
      </c>
      <c r="M659" t="s">
        <v>3405</v>
      </c>
      <c r="N659" t="s">
        <v>102</v>
      </c>
      <c r="O659" t="s">
        <v>115</v>
      </c>
      <c r="P659">
        <v>1</v>
      </c>
      <c r="Q659">
        <v>0</v>
      </c>
      <c r="R659">
        <v>0</v>
      </c>
      <c r="S659" t="s">
        <v>598</v>
      </c>
      <c r="T659" s="5" t="s">
        <v>2437</v>
      </c>
      <c r="U659" s="5" t="s">
        <v>122</v>
      </c>
      <c r="V659" s="5" t="s">
        <v>115</v>
      </c>
      <c r="W659" s="5"/>
      <c r="X659" s="5"/>
      <c r="Y659" s="5"/>
      <c r="Z659" s="5" t="s">
        <v>115</v>
      </c>
      <c r="AA659" s="5" t="s">
        <v>115</v>
      </c>
      <c r="AB659" s="5" t="s">
        <v>115</v>
      </c>
      <c r="AC659" s="5" t="s">
        <v>115</v>
      </c>
      <c r="AD659" s="5" t="s">
        <v>115</v>
      </c>
      <c r="AE659" s="5" t="s">
        <v>115</v>
      </c>
      <c r="AF659" s="5" t="s">
        <v>115</v>
      </c>
      <c r="AG659" s="5" t="s">
        <v>115</v>
      </c>
      <c r="AH659">
        <v>0</v>
      </c>
      <c r="AI659">
        <v>0</v>
      </c>
      <c r="AJ659">
        <v>0</v>
      </c>
      <c r="AK659">
        <v>0</v>
      </c>
      <c r="AL659">
        <v>0</v>
      </c>
      <c r="AM659">
        <f t="shared" si="10"/>
        <v>0</v>
      </c>
      <c r="AO659" t="s">
        <v>2405</v>
      </c>
    </row>
    <row r="660" spans="1:41" x14ac:dyDescent="0.2">
      <c r="A660" t="s">
        <v>3416</v>
      </c>
      <c r="B660" t="s">
        <v>3417</v>
      </c>
      <c r="C660">
        <v>6</v>
      </c>
      <c r="D660">
        <v>1</v>
      </c>
      <c r="E660" t="s">
        <v>3404</v>
      </c>
      <c r="F660" s="1">
        <v>43577</v>
      </c>
      <c r="G660" s="1" t="s">
        <v>4027</v>
      </c>
      <c r="H660" s="1"/>
      <c r="I660" s="2">
        <v>1.7361111111111112E-2</v>
      </c>
      <c r="J660" s="176">
        <v>2.8935185185185189E-4</v>
      </c>
      <c r="K660" s="6">
        <v>25</v>
      </c>
      <c r="L660" t="s">
        <v>101</v>
      </c>
      <c r="M660" t="s">
        <v>3405</v>
      </c>
      <c r="N660" t="s">
        <v>107</v>
      </c>
      <c r="O660" t="s">
        <v>115</v>
      </c>
      <c r="P660">
        <v>0</v>
      </c>
      <c r="Q660">
        <v>0</v>
      </c>
      <c r="R660">
        <v>0</v>
      </c>
      <c r="T660" s="5" t="s">
        <v>115</v>
      </c>
      <c r="U660" s="5" t="s">
        <v>115</v>
      </c>
      <c r="V660" s="5" t="s">
        <v>115</v>
      </c>
      <c r="W660" s="5"/>
      <c r="X660" s="5"/>
      <c r="Y660" s="5"/>
      <c r="Z660" s="5" t="s">
        <v>115</v>
      </c>
      <c r="AA660" s="5" t="s">
        <v>115</v>
      </c>
      <c r="AB660" s="5" t="s">
        <v>115</v>
      </c>
      <c r="AC660" s="5" t="s">
        <v>115</v>
      </c>
      <c r="AD660" s="5" t="s">
        <v>115</v>
      </c>
      <c r="AE660" s="5" t="s">
        <v>115</v>
      </c>
      <c r="AF660" s="5" t="s">
        <v>115</v>
      </c>
      <c r="AG660" s="5" t="s">
        <v>115</v>
      </c>
      <c r="AH660">
        <v>0</v>
      </c>
      <c r="AI660">
        <v>0</v>
      </c>
      <c r="AJ660">
        <v>0</v>
      </c>
      <c r="AK660">
        <v>0</v>
      </c>
      <c r="AL660">
        <v>0</v>
      </c>
      <c r="AM660">
        <f t="shared" si="10"/>
        <v>0</v>
      </c>
      <c r="AO660" t="s">
        <v>3418</v>
      </c>
    </row>
    <row r="661" spans="1:41" x14ac:dyDescent="0.2">
      <c r="A661" t="s">
        <v>3295</v>
      </c>
      <c r="B661" t="s">
        <v>3297</v>
      </c>
      <c r="C661">
        <v>1</v>
      </c>
      <c r="D661">
        <v>1</v>
      </c>
      <c r="E661" t="s">
        <v>834</v>
      </c>
      <c r="F661" s="1">
        <v>43577</v>
      </c>
      <c r="G661" s="1" t="s">
        <v>4027</v>
      </c>
      <c r="H661" s="1"/>
      <c r="I661" s="2">
        <v>2.1527777777777781E-2</v>
      </c>
      <c r="J661" s="176">
        <v>3.5879629629629635E-4</v>
      </c>
      <c r="K661" s="6">
        <v>31</v>
      </c>
      <c r="L661" t="s">
        <v>101</v>
      </c>
      <c r="M661" t="s">
        <v>466</v>
      </c>
      <c r="N661" t="s">
        <v>102</v>
      </c>
      <c r="O661" t="s">
        <v>115</v>
      </c>
      <c r="P661">
        <v>0</v>
      </c>
      <c r="Q661">
        <v>0</v>
      </c>
      <c r="R661">
        <v>0</v>
      </c>
      <c r="T661" s="5" t="s">
        <v>115</v>
      </c>
      <c r="U661" s="5" t="s">
        <v>115</v>
      </c>
      <c r="V661" s="5" t="s">
        <v>115</v>
      </c>
      <c r="W661" s="5"/>
      <c r="X661" s="5"/>
      <c r="Y661" s="5"/>
      <c r="Z661" s="5" t="s">
        <v>115</v>
      </c>
      <c r="AA661" s="5" t="s">
        <v>115</v>
      </c>
      <c r="AB661" s="5" t="s">
        <v>115</v>
      </c>
      <c r="AC661" s="5" t="s">
        <v>115</v>
      </c>
      <c r="AD661" s="5" t="s">
        <v>115</v>
      </c>
      <c r="AE661" s="5" t="s">
        <v>115</v>
      </c>
      <c r="AF661" s="5" t="s">
        <v>115</v>
      </c>
      <c r="AG661" s="5" t="s">
        <v>115</v>
      </c>
      <c r="AH661">
        <v>0</v>
      </c>
      <c r="AI661">
        <v>0</v>
      </c>
      <c r="AJ661">
        <v>0</v>
      </c>
      <c r="AK661">
        <v>0</v>
      </c>
      <c r="AL661">
        <v>0</v>
      </c>
      <c r="AM661">
        <f t="shared" si="10"/>
        <v>0</v>
      </c>
      <c r="AN661" t="s">
        <v>188</v>
      </c>
    </row>
    <row r="662" spans="1:41" x14ac:dyDescent="0.2">
      <c r="A662" t="s">
        <v>3477</v>
      </c>
      <c r="B662" t="s">
        <v>3478</v>
      </c>
      <c r="C662">
        <v>12</v>
      </c>
      <c r="D662">
        <v>1</v>
      </c>
      <c r="E662" t="s">
        <v>2462</v>
      </c>
      <c r="F662" s="1">
        <v>43579</v>
      </c>
      <c r="G662" s="1" t="s">
        <v>4027</v>
      </c>
      <c r="H662" s="1"/>
      <c r="I662" s="2">
        <v>2.8472222222222222E-2</v>
      </c>
      <c r="J662" s="176">
        <v>4.7453703703703704E-4</v>
      </c>
      <c r="K662" s="6">
        <v>41</v>
      </c>
      <c r="L662" t="s">
        <v>101</v>
      </c>
      <c r="M662" t="s">
        <v>363</v>
      </c>
      <c r="N662" t="s">
        <v>107</v>
      </c>
      <c r="O662" t="s">
        <v>115</v>
      </c>
      <c r="P662">
        <v>1</v>
      </c>
      <c r="Q662">
        <v>0</v>
      </c>
      <c r="R662">
        <v>1</v>
      </c>
      <c r="S662" t="s">
        <v>176</v>
      </c>
      <c r="T662" s="5" t="s">
        <v>24</v>
      </c>
      <c r="U662" s="5" t="s">
        <v>24</v>
      </c>
      <c r="V662" s="5" t="s">
        <v>2068</v>
      </c>
      <c r="W662" s="5" t="s">
        <v>23</v>
      </c>
      <c r="X662" s="5" t="s">
        <v>3997</v>
      </c>
      <c r="Y662" s="5" t="s">
        <v>4005</v>
      </c>
      <c r="AB662" s="5" t="s">
        <v>176</v>
      </c>
      <c r="AE662" s="5" t="s">
        <v>115</v>
      </c>
      <c r="AF662" s="5" t="s">
        <v>115</v>
      </c>
      <c r="AG662" s="5" t="s">
        <v>115</v>
      </c>
      <c r="AH662">
        <v>0</v>
      </c>
      <c r="AI662">
        <v>0</v>
      </c>
      <c r="AJ662">
        <v>0</v>
      </c>
      <c r="AK662">
        <v>0</v>
      </c>
      <c r="AL662">
        <v>0</v>
      </c>
      <c r="AM662">
        <f t="shared" si="10"/>
        <v>0</v>
      </c>
      <c r="AO662" t="s">
        <v>3479</v>
      </c>
    </row>
    <row r="663" spans="1:41" x14ac:dyDescent="0.2">
      <c r="A663" t="s">
        <v>3486</v>
      </c>
      <c r="B663" t="s">
        <v>3487</v>
      </c>
      <c r="C663">
        <v>16</v>
      </c>
      <c r="D663">
        <v>1</v>
      </c>
      <c r="E663" t="s">
        <v>2462</v>
      </c>
      <c r="F663" s="1">
        <v>43579</v>
      </c>
      <c r="G663" s="1" t="s">
        <v>4027</v>
      </c>
      <c r="H663" s="1"/>
      <c r="I663" s="2">
        <v>7.6388888888888886E-3</v>
      </c>
      <c r="J663" s="176">
        <v>1.273148148148148E-4</v>
      </c>
      <c r="K663" s="6">
        <v>11</v>
      </c>
      <c r="L663" t="s">
        <v>101</v>
      </c>
      <c r="M663" t="s">
        <v>363</v>
      </c>
      <c r="N663" t="s">
        <v>102</v>
      </c>
      <c r="O663" t="s">
        <v>12</v>
      </c>
      <c r="P663">
        <v>1</v>
      </c>
      <c r="Q663">
        <v>0</v>
      </c>
      <c r="R663">
        <v>0</v>
      </c>
      <c r="S663" t="s">
        <v>176</v>
      </c>
      <c r="T663" s="5" t="s">
        <v>24</v>
      </c>
      <c r="U663" s="5" t="s">
        <v>819</v>
      </c>
      <c r="V663" s="5" t="s">
        <v>115</v>
      </c>
      <c r="W663" s="5"/>
      <c r="X663" s="5"/>
      <c r="Y663" s="5"/>
      <c r="Z663" s="5" t="s">
        <v>115</v>
      </c>
      <c r="AA663" s="5" t="s">
        <v>115</v>
      </c>
      <c r="AB663" s="5" t="s">
        <v>115</v>
      </c>
      <c r="AC663" s="5" t="s">
        <v>115</v>
      </c>
      <c r="AD663" s="5" t="s">
        <v>115</v>
      </c>
      <c r="AE663" s="5" t="s">
        <v>115</v>
      </c>
      <c r="AF663" s="5" t="s">
        <v>115</v>
      </c>
      <c r="AG663" s="5" t="s">
        <v>115</v>
      </c>
      <c r="AH663">
        <v>0</v>
      </c>
      <c r="AI663">
        <v>0</v>
      </c>
      <c r="AJ663">
        <v>0</v>
      </c>
      <c r="AK663">
        <v>0</v>
      </c>
      <c r="AL663">
        <v>0</v>
      </c>
      <c r="AM663">
        <f t="shared" si="10"/>
        <v>0</v>
      </c>
      <c r="AO663" t="s">
        <v>2405</v>
      </c>
    </row>
    <row r="664" spans="1:41" x14ac:dyDescent="0.2">
      <c r="A664" t="s">
        <v>3442</v>
      </c>
      <c r="B664" t="s">
        <v>3443</v>
      </c>
      <c r="C664">
        <v>8</v>
      </c>
      <c r="D664">
        <v>1</v>
      </c>
      <c r="E664" t="s">
        <v>2601</v>
      </c>
      <c r="F664" s="1">
        <v>43579</v>
      </c>
      <c r="G664" s="1" t="s">
        <v>4027</v>
      </c>
      <c r="H664" s="1"/>
      <c r="I664" s="2">
        <v>4.1666666666666666E-3</v>
      </c>
      <c r="J664" s="176">
        <v>6.9444444444444444E-5</v>
      </c>
      <c r="K664" s="6">
        <v>6</v>
      </c>
      <c r="L664" t="s">
        <v>101</v>
      </c>
      <c r="M664" t="s">
        <v>173</v>
      </c>
      <c r="N664" t="s">
        <v>102</v>
      </c>
      <c r="O664" t="s">
        <v>23</v>
      </c>
      <c r="P664">
        <v>1</v>
      </c>
      <c r="Q664">
        <v>0</v>
      </c>
      <c r="R664">
        <v>0</v>
      </c>
      <c r="S664" t="s">
        <v>176</v>
      </c>
      <c r="T664" s="5" t="s">
        <v>2727</v>
      </c>
      <c r="U664" s="5" t="s">
        <v>1940</v>
      </c>
      <c r="V664" s="5" t="s">
        <v>115</v>
      </c>
      <c r="W664" s="5"/>
      <c r="X664" s="5"/>
      <c r="Y664" s="5"/>
      <c r="Z664" s="5" t="s">
        <v>115</v>
      </c>
      <c r="AA664" s="5" t="s">
        <v>115</v>
      </c>
      <c r="AB664" s="5" t="s">
        <v>115</v>
      </c>
      <c r="AC664" s="5" t="s">
        <v>115</v>
      </c>
      <c r="AD664" s="5" t="s">
        <v>115</v>
      </c>
      <c r="AE664" s="5" t="s">
        <v>115</v>
      </c>
      <c r="AF664" s="5" t="s">
        <v>115</v>
      </c>
      <c r="AG664" s="5" t="s">
        <v>115</v>
      </c>
      <c r="AH664">
        <v>0</v>
      </c>
      <c r="AI664">
        <v>0</v>
      </c>
      <c r="AJ664">
        <v>0</v>
      </c>
      <c r="AK664">
        <v>0</v>
      </c>
      <c r="AL664">
        <v>0</v>
      </c>
      <c r="AM664">
        <f t="shared" si="10"/>
        <v>0</v>
      </c>
      <c r="AO664" t="s">
        <v>2803</v>
      </c>
    </row>
    <row r="665" spans="1:41" x14ac:dyDescent="0.2">
      <c r="A665" t="s">
        <v>3614</v>
      </c>
      <c r="B665" t="s">
        <v>3615</v>
      </c>
      <c r="C665">
        <v>6</v>
      </c>
      <c r="D665">
        <v>1</v>
      </c>
      <c r="E665" t="s">
        <v>791</v>
      </c>
      <c r="F665" s="1">
        <v>43581</v>
      </c>
      <c r="G665" s="1" t="s">
        <v>4027</v>
      </c>
      <c r="H665" s="1"/>
      <c r="I665" s="2">
        <v>8.819444444444445E-2</v>
      </c>
      <c r="J665" s="176">
        <v>1.4699074074074074E-3</v>
      </c>
      <c r="K665" s="6">
        <v>127</v>
      </c>
      <c r="M665" t="s">
        <v>924</v>
      </c>
      <c r="N665" t="s">
        <v>102</v>
      </c>
      <c r="O665" t="s">
        <v>115</v>
      </c>
      <c r="P665">
        <v>1</v>
      </c>
      <c r="Q665">
        <v>0</v>
      </c>
      <c r="R665">
        <v>0</v>
      </c>
      <c r="S665" t="s">
        <v>176</v>
      </c>
      <c r="T665" s="5" t="s">
        <v>24</v>
      </c>
      <c r="U665" s="5" t="s">
        <v>122</v>
      </c>
      <c r="V665" s="5" t="s">
        <v>115</v>
      </c>
      <c r="W665" s="5"/>
      <c r="X665" s="5"/>
      <c r="Y665" s="5"/>
      <c r="Z665" s="5" t="s">
        <v>115</v>
      </c>
      <c r="AA665" s="5" t="s">
        <v>115</v>
      </c>
      <c r="AB665" s="5" t="s">
        <v>115</v>
      </c>
      <c r="AC665" s="5" t="s">
        <v>115</v>
      </c>
      <c r="AD665" s="5" t="s">
        <v>115</v>
      </c>
      <c r="AE665" s="5" t="s">
        <v>115</v>
      </c>
      <c r="AF665" s="5" t="s">
        <v>115</v>
      </c>
      <c r="AG665" s="5" t="s">
        <v>115</v>
      </c>
      <c r="AH665">
        <v>0</v>
      </c>
      <c r="AI665">
        <v>0</v>
      </c>
      <c r="AJ665">
        <v>0</v>
      </c>
      <c r="AK665">
        <v>0</v>
      </c>
      <c r="AL665">
        <v>0</v>
      </c>
      <c r="AM665">
        <f t="shared" si="10"/>
        <v>0</v>
      </c>
      <c r="AN665" t="s">
        <v>188</v>
      </c>
    </row>
    <row r="666" spans="1:41" x14ac:dyDescent="0.2">
      <c r="A666" t="s">
        <v>3614</v>
      </c>
      <c r="B666" t="s">
        <v>3615</v>
      </c>
      <c r="C666">
        <v>6</v>
      </c>
      <c r="D666">
        <v>2</v>
      </c>
      <c r="E666" t="s">
        <v>791</v>
      </c>
      <c r="F666" s="1">
        <v>43581</v>
      </c>
      <c r="G666" s="1" t="s">
        <v>4027</v>
      </c>
      <c r="H666" s="1"/>
      <c r="I666" s="2">
        <v>8.819444444444445E-2</v>
      </c>
      <c r="J666" s="176">
        <v>1.4699074074074074E-3</v>
      </c>
      <c r="K666" s="6">
        <v>127</v>
      </c>
      <c r="M666" t="s">
        <v>924</v>
      </c>
      <c r="N666" t="s">
        <v>102</v>
      </c>
      <c r="O666" t="s">
        <v>115</v>
      </c>
      <c r="P666">
        <v>1</v>
      </c>
      <c r="Q666">
        <v>0</v>
      </c>
      <c r="R666">
        <v>0</v>
      </c>
      <c r="S666" t="s">
        <v>598</v>
      </c>
      <c r="T666" s="5" t="s">
        <v>598</v>
      </c>
      <c r="U666" s="5" t="s">
        <v>122</v>
      </c>
      <c r="V666" s="5" t="s">
        <v>115</v>
      </c>
      <c r="W666" s="5"/>
      <c r="X666" s="5"/>
      <c r="Y666" s="5"/>
      <c r="Z666" s="5" t="s">
        <v>115</v>
      </c>
      <c r="AA666" s="5" t="s">
        <v>115</v>
      </c>
      <c r="AB666" s="5" t="s">
        <v>115</v>
      </c>
      <c r="AC666" s="5" t="s">
        <v>115</v>
      </c>
      <c r="AD666" s="5" t="s">
        <v>115</v>
      </c>
      <c r="AE666" s="5" t="s">
        <v>115</v>
      </c>
      <c r="AF666" s="5" t="s">
        <v>115</v>
      </c>
      <c r="AG666" s="5" t="s">
        <v>115</v>
      </c>
      <c r="AH666">
        <v>0</v>
      </c>
      <c r="AI666">
        <v>0</v>
      </c>
      <c r="AJ666">
        <v>0</v>
      </c>
      <c r="AK666">
        <v>0</v>
      </c>
      <c r="AL666">
        <v>0</v>
      </c>
      <c r="AM666">
        <f t="shared" si="10"/>
        <v>0</v>
      </c>
      <c r="AN666" t="s">
        <v>188</v>
      </c>
    </row>
    <row r="667" spans="1:41" x14ac:dyDescent="0.2">
      <c r="A667" t="s">
        <v>3597</v>
      </c>
      <c r="B667" t="s">
        <v>3598</v>
      </c>
      <c r="C667">
        <v>1</v>
      </c>
      <c r="D667">
        <v>2</v>
      </c>
      <c r="E667" t="s">
        <v>791</v>
      </c>
      <c r="F667" s="1">
        <v>43581</v>
      </c>
      <c r="G667" s="1" t="s">
        <v>4027</v>
      </c>
      <c r="H667" s="1"/>
      <c r="I667" s="2">
        <v>2.7083333333333334E-2</v>
      </c>
      <c r="J667" s="176">
        <v>4.5138888888888892E-4</v>
      </c>
      <c r="K667" s="6">
        <v>39</v>
      </c>
      <c r="M667" t="s">
        <v>927</v>
      </c>
      <c r="N667" t="s">
        <v>107</v>
      </c>
      <c r="O667" t="s">
        <v>115</v>
      </c>
      <c r="P667">
        <v>0</v>
      </c>
      <c r="Q667">
        <v>0</v>
      </c>
      <c r="R667">
        <v>1</v>
      </c>
      <c r="S667" t="s">
        <v>1618</v>
      </c>
      <c r="T667" s="5" t="s">
        <v>764</v>
      </c>
      <c r="U667" s="5" t="s">
        <v>24</v>
      </c>
      <c r="V667" s="5" t="s">
        <v>3599</v>
      </c>
      <c r="W667" s="5" t="s">
        <v>23</v>
      </c>
      <c r="X667" s="5" t="s">
        <v>3997</v>
      </c>
      <c r="Y667" s="5" t="s">
        <v>4006</v>
      </c>
      <c r="Z667" s="5" t="s">
        <v>115</v>
      </c>
      <c r="AA667" s="5" t="s">
        <v>115</v>
      </c>
      <c r="AB667" s="5" t="s">
        <v>115</v>
      </c>
      <c r="AC667" s="5">
        <v>63.72457</v>
      </c>
      <c r="AD667" s="5">
        <v>148.96351999999999</v>
      </c>
      <c r="AE667" s="5" t="s">
        <v>24</v>
      </c>
      <c r="AF667" s="5" t="s">
        <v>24</v>
      </c>
      <c r="AG667" s="5" t="s">
        <v>115</v>
      </c>
      <c r="AH667">
        <v>0</v>
      </c>
      <c r="AI667">
        <v>0</v>
      </c>
      <c r="AJ667">
        <v>0</v>
      </c>
      <c r="AK667">
        <v>0</v>
      </c>
      <c r="AL667">
        <v>0</v>
      </c>
      <c r="AM667">
        <f t="shared" si="10"/>
        <v>0</v>
      </c>
      <c r="AO667" t="s">
        <v>3600</v>
      </c>
    </row>
    <row r="668" spans="1:41" x14ac:dyDescent="0.2">
      <c r="A668" t="s">
        <v>3597</v>
      </c>
      <c r="B668" t="s">
        <v>3598</v>
      </c>
      <c r="C668">
        <v>1</v>
      </c>
      <c r="D668">
        <v>1</v>
      </c>
      <c r="E668" t="s">
        <v>791</v>
      </c>
      <c r="F668" s="1">
        <v>43581</v>
      </c>
      <c r="G668" s="1" t="s">
        <v>4027</v>
      </c>
      <c r="H668" s="1"/>
      <c r="I668" s="2">
        <v>2.7083333333333334E-2</v>
      </c>
      <c r="J668" s="176">
        <v>4.5138888888888892E-4</v>
      </c>
      <c r="K668" s="6">
        <v>39</v>
      </c>
      <c r="M668" t="s">
        <v>927</v>
      </c>
      <c r="N668" t="s">
        <v>107</v>
      </c>
      <c r="O668" t="s">
        <v>115</v>
      </c>
      <c r="P668">
        <v>1</v>
      </c>
      <c r="Q668">
        <v>1</v>
      </c>
      <c r="R668">
        <v>1</v>
      </c>
      <c r="S668" t="s">
        <v>1618</v>
      </c>
      <c r="T668" s="5" t="s">
        <v>764</v>
      </c>
      <c r="U668" s="5" t="s">
        <v>24</v>
      </c>
      <c r="V668" s="5" t="s">
        <v>3599</v>
      </c>
      <c r="W668" s="5" t="s">
        <v>23</v>
      </c>
      <c r="X668" s="5" t="s">
        <v>3997</v>
      </c>
      <c r="Y668" s="5" t="s">
        <v>4006</v>
      </c>
      <c r="Z668" s="5" t="s">
        <v>2825</v>
      </c>
      <c r="AA668" s="5">
        <v>90</v>
      </c>
      <c r="AB668" s="5" t="s">
        <v>176</v>
      </c>
      <c r="AC668" s="5">
        <v>63.72457</v>
      </c>
      <c r="AD668" s="5">
        <v>148.96351999999999</v>
      </c>
      <c r="AE668" s="5" t="s">
        <v>24</v>
      </c>
      <c r="AF668" s="5" t="s">
        <v>24</v>
      </c>
      <c r="AG668" s="5" t="s">
        <v>115</v>
      </c>
      <c r="AH668">
        <v>0</v>
      </c>
      <c r="AI668">
        <v>0</v>
      </c>
      <c r="AJ668">
        <v>0</v>
      </c>
      <c r="AK668">
        <v>0</v>
      </c>
      <c r="AL668">
        <v>0</v>
      </c>
      <c r="AM668">
        <f t="shared" si="10"/>
        <v>0</v>
      </c>
      <c r="AO668" t="s">
        <v>2480</v>
      </c>
    </row>
    <row r="669" spans="1:41" x14ac:dyDescent="0.2">
      <c r="A669" t="s">
        <v>3624</v>
      </c>
      <c r="B669" t="s">
        <v>3628</v>
      </c>
      <c r="C669">
        <v>3</v>
      </c>
      <c r="D669">
        <v>1</v>
      </c>
      <c r="E669" t="s">
        <v>834</v>
      </c>
      <c r="F669" s="1">
        <v>43583</v>
      </c>
      <c r="G669" s="1" t="s">
        <v>4027</v>
      </c>
      <c r="H669" s="1"/>
      <c r="I669" s="2">
        <v>6.9444444444444441E-3</v>
      </c>
      <c r="J669" s="176">
        <v>1.1574074074074073E-4</v>
      </c>
      <c r="K669" s="6">
        <v>10</v>
      </c>
      <c r="L669" t="s">
        <v>3626</v>
      </c>
      <c r="M669" t="s">
        <v>466</v>
      </c>
      <c r="N669" t="s">
        <v>102</v>
      </c>
      <c r="O669" t="s">
        <v>12</v>
      </c>
      <c r="P669">
        <v>1</v>
      </c>
      <c r="Q669">
        <v>1</v>
      </c>
      <c r="R669">
        <v>0</v>
      </c>
      <c r="S669" t="s">
        <v>176</v>
      </c>
      <c r="T669" s="5" t="s">
        <v>24</v>
      </c>
      <c r="U669" s="5" t="s">
        <v>1027</v>
      </c>
      <c r="V669" s="5" t="s">
        <v>115</v>
      </c>
      <c r="W669" s="5"/>
      <c r="X669" s="5"/>
      <c r="Y669" s="5"/>
      <c r="Z669" s="5" t="s">
        <v>115</v>
      </c>
      <c r="AA669" s="5" t="s">
        <v>115</v>
      </c>
      <c r="AB669" s="5" t="s">
        <v>115</v>
      </c>
      <c r="AC669" s="5" t="s">
        <v>115</v>
      </c>
      <c r="AD669" s="5" t="s">
        <v>115</v>
      </c>
      <c r="AE669">
        <v>63.740810000000003</v>
      </c>
      <c r="AF669">
        <v>148.8981</v>
      </c>
      <c r="AG669" s="5" t="s">
        <v>115</v>
      </c>
      <c r="AH669">
        <v>0</v>
      </c>
      <c r="AI669">
        <v>0</v>
      </c>
      <c r="AJ669">
        <v>0</v>
      </c>
      <c r="AK669">
        <v>0</v>
      </c>
      <c r="AL669">
        <v>0</v>
      </c>
      <c r="AM669">
        <f t="shared" si="10"/>
        <v>0</v>
      </c>
      <c r="AN669" t="s">
        <v>188</v>
      </c>
      <c r="AO669" t="s">
        <v>2480</v>
      </c>
    </row>
    <row r="670" spans="1:41" x14ac:dyDescent="0.2">
      <c r="A670" t="s">
        <v>3635</v>
      </c>
      <c r="B670" t="s">
        <v>3641</v>
      </c>
      <c r="C670">
        <v>6</v>
      </c>
      <c r="D670">
        <v>1</v>
      </c>
      <c r="E670" t="s">
        <v>2487</v>
      </c>
      <c r="F670" s="1">
        <v>43585</v>
      </c>
      <c r="G670" s="1" t="s">
        <v>4027</v>
      </c>
      <c r="H670" s="1"/>
      <c r="I670" s="2">
        <v>3.472222222222222E-3</v>
      </c>
      <c r="J670" s="176">
        <v>5.7870370370370366E-5</v>
      </c>
      <c r="K670" s="6">
        <v>5</v>
      </c>
      <c r="L670" t="s">
        <v>3626</v>
      </c>
      <c r="M670" t="s">
        <v>2488</v>
      </c>
      <c r="N670" t="s">
        <v>102</v>
      </c>
      <c r="O670" t="s">
        <v>115</v>
      </c>
      <c r="P670">
        <v>0</v>
      </c>
      <c r="Q670">
        <v>0</v>
      </c>
      <c r="R670">
        <v>1</v>
      </c>
      <c r="S670" t="s">
        <v>176</v>
      </c>
      <c r="T670" s="5" t="s">
        <v>24</v>
      </c>
      <c r="U670" s="5" t="s">
        <v>24</v>
      </c>
      <c r="V670" s="5" t="s">
        <v>2088</v>
      </c>
      <c r="W670" s="5" t="s">
        <v>23</v>
      </c>
      <c r="X670" s="5" t="s">
        <v>3997</v>
      </c>
      <c r="Y670" s="5" t="s">
        <v>4021</v>
      </c>
      <c r="Z670" s="5" t="s">
        <v>2457</v>
      </c>
      <c r="AA670">
        <v>50</v>
      </c>
      <c r="AB670" s="5" t="s">
        <v>176</v>
      </c>
      <c r="AC670">
        <v>63.720140000000001</v>
      </c>
      <c r="AD670">
        <v>148.98885999999999</v>
      </c>
      <c r="AE670" s="5" t="s">
        <v>115</v>
      </c>
      <c r="AF670" s="5" t="s">
        <v>115</v>
      </c>
      <c r="AG670" s="5" t="s">
        <v>115</v>
      </c>
      <c r="AH670">
        <v>0</v>
      </c>
      <c r="AI670">
        <v>0</v>
      </c>
      <c r="AJ670">
        <v>0</v>
      </c>
      <c r="AK670">
        <v>0</v>
      </c>
      <c r="AL670">
        <v>0</v>
      </c>
      <c r="AM670">
        <f t="shared" si="10"/>
        <v>0</v>
      </c>
      <c r="AO670" t="s">
        <v>3636</v>
      </c>
    </row>
    <row r="671" spans="1:41" x14ac:dyDescent="0.2">
      <c r="A671" t="s">
        <v>3683</v>
      </c>
      <c r="B671" t="s">
        <v>3681</v>
      </c>
      <c r="C671">
        <v>24</v>
      </c>
      <c r="D671">
        <v>1</v>
      </c>
      <c r="E671" t="s">
        <v>2487</v>
      </c>
      <c r="F671" s="1">
        <v>43585</v>
      </c>
      <c r="G671" s="1" t="s">
        <v>4027</v>
      </c>
      <c r="H671" s="1"/>
      <c r="I671" s="2">
        <v>7.9861111111111105E-2</v>
      </c>
      <c r="J671" s="176">
        <v>1.3310185185185185E-3</v>
      </c>
      <c r="K671" s="6">
        <v>115</v>
      </c>
      <c r="L671" t="s">
        <v>3626</v>
      </c>
      <c r="M671" t="s">
        <v>2488</v>
      </c>
      <c r="N671" t="s">
        <v>111</v>
      </c>
      <c r="O671" t="s">
        <v>23</v>
      </c>
      <c r="P671">
        <v>0</v>
      </c>
      <c r="Q671">
        <v>0</v>
      </c>
      <c r="R671">
        <v>1</v>
      </c>
      <c r="S671" t="s">
        <v>598</v>
      </c>
      <c r="T671" s="5" t="s">
        <v>2801</v>
      </c>
      <c r="U671" s="5" t="s">
        <v>115</v>
      </c>
      <c r="V671" s="5" t="s">
        <v>3599</v>
      </c>
      <c r="W671" s="5" t="s">
        <v>23</v>
      </c>
      <c r="X671" s="5" t="s">
        <v>3997</v>
      </c>
      <c r="Y671" s="5" t="s">
        <v>4006</v>
      </c>
      <c r="Z671" s="5" t="s">
        <v>2912</v>
      </c>
      <c r="AA671">
        <v>175</v>
      </c>
      <c r="AB671">
        <v>12</v>
      </c>
      <c r="AC671">
        <v>63.720010000000002</v>
      </c>
      <c r="AD671">
        <v>148.98734999999999</v>
      </c>
      <c r="AE671" s="5" t="s">
        <v>115</v>
      </c>
      <c r="AF671" s="5" t="s">
        <v>115</v>
      </c>
      <c r="AG671" s="5" t="s">
        <v>115</v>
      </c>
      <c r="AH671">
        <v>0</v>
      </c>
      <c r="AI671">
        <v>0</v>
      </c>
      <c r="AJ671">
        <v>0</v>
      </c>
      <c r="AK671">
        <v>0</v>
      </c>
      <c r="AL671">
        <v>0</v>
      </c>
      <c r="AM671">
        <f t="shared" si="10"/>
        <v>0</v>
      </c>
      <c r="AO671" t="s">
        <v>3611</v>
      </c>
    </row>
    <row r="672" spans="1:41" x14ac:dyDescent="0.2">
      <c r="A672" t="s">
        <v>3678</v>
      </c>
      <c r="B672" t="s">
        <v>3677</v>
      </c>
      <c r="C672">
        <v>22</v>
      </c>
      <c r="D672">
        <v>1</v>
      </c>
      <c r="E672" t="s">
        <v>2487</v>
      </c>
      <c r="F672" s="1">
        <v>43585</v>
      </c>
      <c r="G672" s="1" t="s">
        <v>4027</v>
      </c>
      <c r="H672" s="1"/>
      <c r="I672" s="2">
        <v>2.4305555555555556E-2</v>
      </c>
      <c r="J672" s="176">
        <v>4.0509259259259258E-4</v>
      </c>
      <c r="K672" s="6">
        <v>35</v>
      </c>
      <c r="L672" t="s">
        <v>3626</v>
      </c>
      <c r="M672" t="s">
        <v>2488</v>
      </c>
      <c r="N672" t="s">
        <v>107</v>
      </c>
      <c r="O672" t="s">
        <v>115</v>
      </c>
      <c r="P672">
        <v>1</v>
      </c>
      <c r="Q672">
        <v>0</v>
      </c>
      <c r="R672">
        <v>0</v>
      </c>
      <c r="S672" t="s">
        <v>598</v>
      </c>
      <c r="T672" s="5" t="s">
        <v>2801</v>
      </c>
      <c r="U672" s="5" t="s">
        <v>122</v>
      </c>
      <c r="V672" s="5" t="s">
        <v>115</v>
      </c>
      <c r="W672" s="5"/>
      <c r="X672" s="5"/>
      <c r="Y672" s="5"/>
      <c r="Z672" s="5" t="s">
        <v>115</v>
      </c>
      <c r="AA672" s="5" t="s">
        <v>115</v>
      </c>
      <c r="AB672" s="5" t="s">
        <v>115</v>
      </c>
      <c r="AC672" s="5" t="s">
        <v>115</v>
      </c>
      <c r="AD672" s="5" t="s">
        <v>115</v>
      </c>
      <c r="AE672" s="5" t="s">
        <v>115</v>
      </c>
      <c r="AF672" s="5" t="s">
        <v>115</v>
      </c>
      <c r="AG672" s="5" t="s">
        <v>115</v>
      </c>
      <c r="AH672">
        <v>0</v>
      </c>
      <c r="AI672">
        <v>0</v>
      </c>
      <c r="AJ672">
        <v>0</v>
      </c>
      <c r="AK672">
        <v>0</v>
      </c>
      <c r="AL672">
        <v>0</v>
      </c>
      <c r="AM672">
        <f t="shared" si="10"/>
        <v>0</v>
      </c>
      <c r="AO672" t="s">
        <v>2480</v>
      </c>
    </row>
    <row r="673" spans="1:41" x14ac:dyDescent="0.2">
      <c r="A673" t="s">
        <v>3654</v>
      </c>
      <c r="B673" t="s">
        <v>3684</v>
      </c>
      <c r="C673">
        <v>12</v>
      </c>
      <c r="D673">
        <v>1</v>
      </c>
      <c r="E673" t="s">
        <v>2487</v>
      </c>
      <c r="F673" s="1">
        <v>43585</v>
      </c>
      <c r="G673" s="1" t="s">
        <v>4027</v>
      </c>
      <c r="H673" s="1"/>
      <c r="I673" s="2">
        <v>9.0277777777777787E-3</v>
      </c>
      <c r="J673" s="176">
        <v>1.5046296296296297E-4</v>
      </c>
      <c r="K673" s="6">
        <v>13</v>
      </c>
      <c r="L673" t="s">
        <v>3626</v>
      </c>
      <c r="M673" t="s">
        <v>2498</v>
      </c>
      <c r="N673" t="s">
        <v>102</v>
      </c>
      <c r="O673" t="s">
        <v>115</v>
      </c>
      <c r="P673">
        <v>0</v>
      </c>
      <c r="Q673">
        <v>0</v>
      </c>
      <c r="R673">
        <v>0</v>
      </c>
      <c r="T673" s="5" t="s">
        <v>115</v>
      </c>
      <c r="U673" s="5" t="s">
        <v>115</v>
      </c>
      <c r="V673" s="5" t="s">
        <v>115</v>
      </c>
      <c r="W673" s="5"/>
      <c r="X673" s="5"/>
      <c r="Y673" s="5"/>
      <c r="Z673" s="5" t="s">
        <v>115</v>
      </c>
      <c r="AA673" s="5" t="s">
        <v>115</v>
      </c>
      <c r="AB673" s="5" t="s">
        <v>115</v>
      </c>
      <c r="AC673" s="5" t="s">
        <v>115</v>
      </c>
      <c r="AD673" s="5" t="s">
        <v>115</v>
      </c>
      <c r="AE673" s="5" t="s">
        <v>115</v>
      </c>
      <c r="AF673" s="5" t="s">
        <v>115</v>
      </c>
      <c r="AG673" s="5" t="s">
        <v>115</v>
      </c>
      <c r="AH673">
        <v>0</v>
      </c>
      <c r="AI673">
        <v>0</v>
      </c>
      <c r="AJ673">
        <v>0</v>
      </c>
      <c r="AK673">
        <v>0</v>
      </c>
      <c r="AL673">
        <v>0</v>
      </c>
      <c r="AM673">
        <f t="shared" si="10"/>
        <v>0</v>
      </c>
      <c r="AO673" t="s">
        <v>3656</v>
      </c>
    </row>
    <row r="674" spans="1:41" x14ac:dyDescent="0.2">
      <c r="A674" t="s">
        <v>3680</v>
      </c>
      <c r="B674" t="s">
        <v>3679</v>
      </c>
      <c r="C674">
        <v>23</v>
      </c>
      <c r="D674">
        <v>1</v>
      </c>
      <c r="E674" t="s">
        <v>2487</v>
      </c>
      <c r="F674" s="1">
        <v>43585</v>
      </c>
      <c r="G674" s="1" t="s">
        <v>4027</v>
      </c>
      <c r="H674" s="1"/>
      <c r="I674" s="2">
        <v>1.6666666666666666E-2</v>
      </c>
      <c r="J674" s="176">
        <v>2.7777777777777778E-4</v>
      </c>
      <c r="K674" s="6">
        <v>24</v>
      </c>
      <c r="L674" t="s">
        <v>3626</v>
      </c>
      <c r="M674" t="s">
        <v>2488</v>
      </c>
      <c r="N674" t="s">
        <v>107</v>
      </c>
      <c r="O674" t="s">
        <v>115</v>
      </c>
      <c r="P674">
        <v>0</v>
      </c>
      <c r="Q674">
        <v>0</v>
      </c>
      <c r="R674">
        <v>0</v>
      </c>
      <c r="S674" t="s">
        <v>598</v>
      </c>
      <c r="T674" s="5" t="s">
        <v>2801</v>
      </c>
      <c r="U674" s="5" t="s">
        <v>115</v>
      </c>
      <c r="V674" s="5" t="s">
        <v>115</v>
      </c>
      <c r="W674" s="5"/>
      <c r="X674" s="5"/>
      <c r="Y674" s="5"/>
      <c r="Z674" s="5" t="s">
        <v>115</v>
      </c>
      <c r="AA674" s="5" t="s">
        <v>115</v>
      </c>
      <c r="AB674" s="5" t="s">
        <v>115</v>
      </c>
      <c r="AC674" s="5" t="s">
        <v>115</v>
      </c>
      <c r="AD674" s="5" t="s">
        <v>115</v>
      </c>
      <c r="AE674" s="5" t="s">
        <v>115</v>
      </c>
      <c r="AF674" s="5" t="s">
        <v>115</v>
      </c>
      <c r="AG674" s="5" t="s">
        <v>115</v>
      </c>
      <c r="AH674">
        <v>0</v>
      </c>
      <c r="AI674">
        <v>0</v>
      </c>
      <c r="AJ674">
        <v>0</v>
      </c>
      <c r="AK674">
        <v>0</v>
      </c>
      <c r="AL674">
        <v>0</v>
      </c>
      <c r="AM674">
        <f t="shared" si="10"/>
        <v>0</v>
      </c>
      <c r="AO674" t="s">
        <v>3682</v>
      </c>
    </row>
    <row r="675" spans="1:41" x14ac:dyDescent="0.2">
      <c r="A675" t="s">
        <v>3738</v>
      </c>
      <c r="B675" t="s">
        <v>3739</v>
      </c>
      <c r="C675">
        <v>1</v>
      </c>
      <c r="D675">
        <v>1</v>
      </c>
      <c r="E675" t="s">
        <v>2601</v>
      </c>
      <c r="F675" s="1">
        <v>43587</v>
      </c>
      <c r="G675" s="1" t="s">
        <v>4028</v>
      </c>
      <c r="H675" s="1"/>
      <c r="I675" s="2">
        <v>1.3888888888888888E-2</v>
      </c>
      <c r="J675" s="176">
        <v>2.3148148148148146E-4</v>
      </c>
      <c r="K675" s="6">
        <v>20</v>
      </c>
      <c r="L675" t="s">
        <v>1278</v>
      </c>
      <c r="M675" t="s">
        <v>173</v>
      </c>
      <c r="N675" t="s">
        <v>102</v>
      </c>
      <c r="O675" t="s">
        <v>23</v>
      </c>
      <c r="P675">
        <v>1</v>
      </c>
      <c r="Q675">
        <v>1</v>
      </c>
      <c r="R675">
        <v>0</v>
      </c>
      <c r="S675" t="s">
        <v>176</v>
      </c>
      <c r="T675" s="5" t="s">
        <v>24</v>
      </c>
      <c r="U675" s="5" t="s">
        <v>2061</v>
      </c>
      <c r="V675" s="5" t="s">
        <v>115</v>
      </c>
      <c r="W675" s="5"/>
      <c r="X675" s="5"/>
      <c r="Y675" s="5"/>
      <c r="Z675" s="5" t="s">
        <v>115</v>
      </c>
      <c r="AA675" s="5" t="s">
        <v>115</v>
      </c>
      <c r="AB675" s="5" t="s">
        <v>115</v>
      </c>
      <c r="AC675" s="5" t="s">
        <v>115</v>
      </c>
      <c r="AD675" s="5" t="s">
        <v>115</v>
      </c>
      <c r="AE675">
        <v>63.726010000000002</v>
      </c>
      <c r="AF675">
        <v>148.95821000000001</v>
      </c>
      <c r="AG675" s="5" t="s">
        <v>115</v>
      </c>
      <c r="AH675">
        <v>0</v>
      </c>
      <c r="AI675">
        <v>0</v>
      </c>
      <c r="AJ675">
        <v>0</v>
      </c>
      <c r="AK675">
        <v>0</v>
      </c>
      <c r="AL675">
        <v>0</v>
      </c>
      <c r="AM675">
        <f t="shared" si="10"/>
        <v>0</v>
      </c>
      <c r="AO675" t="s">
        <v>2480</v>
      </c>
    </row>
    <row r="676" spans="1:41" x14ac:dyDescent="0.2">
      <c r="A676" t="s">
        <v>3735</v>
      </c>
      <c r="B676" t="s">
        <v>3736</v>
      </c>
      <c r="C676">
        <v>4</v>
      </c>
      <c r="D676">
        <v>1</v>
      </c>
      <c r="E676" t="s">
        <v>3731</v>
      </c>
      <c r="F676" s="1">
        <v>43587</v>
      </c>
      <c r="G676" s="1" t="s">
        <v>4028</v>
      </c>
      <c r="H676" s="1"/>
      <c r="I676" s="2">
        <v>2.7083333333333334E-2</v>
      </c>
      <c r="J676" s="176">
        <v>4.5138888888888892E-4</v>
      </c>
      <c r="K676" s="6">
        <v>39</v>
      </c>
      <c r="L676" t="s">
        <v>1278</v>
      </c>
      <c r="M676" t="s">
        <v>255</v>
      </c>
      <c r="N676" t="s">
        <v>111</v>
      </c>
      <c r="O676" t="s">
        <v>23</v>
      </c>
      <c r="P676">
        <v>0</v>
      </c>
      <c r="Q676">
        <v>0</v>
      </c>
      <c r="R676">
        <v>1</v>
      </c>
      <c r="S676" t="s">
        <v>598</v>
      </c>
      <c r="T676" s="5" t="s">
        <v>2801</v>
      </c>
      <c r="U676" s="5" t="s">
        <v>115</v>
      </c>
      <c r="V676" s="5" t="s">
        <v>2088</v>
      </c>
      <c r="W676" s="5" t="s">
        <v>23</v>
      </c>
      <c r="X676" s="5" t="s">
        <v>3997</v>
      </c>
      <c r="Y676" s="5" t="s">
        <v>4021</v>
      </c>
      <c r="Z676" s="5" t="s">
        <v>2765</v>
      </c>
      <c r="AA676">
        <v>220</v>
      </c>
      <c r="AB676">
        <v>20</v>
      </c>
      <c r="AC676">
        <v>63.733550000000001</v>
      </c>
      <c r="AD676">
        <v>148.90380999999999</v>
      </c>
      <c r="AE676" s="5" t="s">
        <v>115</v>
      </c>
      <c r="AF676" s="5" t="s">
        <v>115</v>
      </c>
      <c r="AG676" s="5" t="s">
        <v>115</v>
      </c>
      <c r="AH676">
        <v>0</v>
      </c>
      <c r="AI676">
        <v>0</v>
      </c>
      <c r="AJ676">
        <v>0</v>
      </c>
      <c r="AK676">
        <v>0</v>
      </c>
      <c r="AL676">
        <v>0</v>
      </c>
      <c r="AM676">
        <f t="shared" si="10"/>
        <v>0</v>
      </c>
    </row>
    <row r="677" spans="1:41" x14ac:dyDescent="0.2">
      <c r="A677" t="s">
        <v>3735</v>
      </c>
      <c r="B677" t="s">
        <v>3736</v>
      </c>
      <c r="C677">
        <v>4</v>
      </c>
      <c r="D677">
        <v>2</v>
      </c>
      <c r="E677" t="s">
        <v>3731</v>
      </c>
      <c r="F677" s="1">
        <v>43587</v>
      </c>
      <c r="G677" s="1" t="s">
        <v>4028</v>
      </c>
      <c r="H677" s="1"/>
      <c r="I677" s="2">
        <v>2.7083333333333334E-2</v>
      </c>
      <c r="J677" s="176">
        <v>4.5138888888888892E-4</v>
      </c>
      <c r="K677" s="6">
        <v>39</v>
      </c>
      <c r="L677" t="s">
        <v>1278</v>
      </c>
      <c r="M677" t="s">
        <v>255</v>
      </c>
      <c r="N677" t="s">
        <v>111</v>
      </c>
      <c r="O677" t="s">
        <v>23</v>
      </c>
      <c r="P677">
        <v>0</v>
      </c>
      <c r="Q677">
        <v>0</v>
      </c>
      <c r="R677">
        <v>1</v>
      </c>
      <c r="S677" t="s">
        <v>598</v>
      </c>
      <c r="T677" s="5" t="s">
        <v>2801</v>
      </c>
      <c r="U677" s="5" t="s">
        <v>115</v>
      </c>
      <c r="V677" s="5" t="s">
        <v>2088</v>
      </c>
      <c r="W677" s="5" t="s">
        <v>23</v>
      </c>
      <c r="X677" s="5" t="s">
        <v>3997</v>
      </c>
      <c r="Y677" s="5" t="s">
        <v>4021</v>
      </c>
      <c r="Z677" s="5" t="s">
        <v>2765</v>
      </c>
      <c r="AA677">
        <v>240</v>
      </c>
      <c r="AB677">
        <v>20</v>
      </c>
      <c r="AC677">
        <v>63.733550000000001</v>
      </c>
      <c r="AD677">
        <v>148.90380999999999</v>
      </c>
      <c r="AE677" s="5" t="s">
        <v>115</v>
      </c>
      <c r="AF677" s="5" t="s">
        <v>115</v>
      </c>
      <c r="AG677" s="5" t="s">
        <v>115</v>
      </c>
      <c r="AH677">
        <v>0</v>
      </c>
      <c r="AI677">
        <v>0</v>
      </c>
      <c r="AJ677">
        <v>0</v>
      </c>
      <c r="AK677">
        <v>0</v>
      </c>
      <c r="AL677">
        <v>0</v>
      </c>
      <c r="AM677">
        <f t="shared" si="10"/>
        <v>0</v>
      </c>
      <c r="AO677" t="s">
        <v>3737</v>
      </c>
    </row>
    <row r="678" spans="1:41" x14ac:dyDescent="0.2">
      <c r="A678" t="s">
        <v>3733</v>
      </c>
      <c r="B678" t="s">
        <v>3734</v>
      </c>
      <c r="C678">
        <v>3</v>
      </c>
      <c r="D678">
        <v>1</v>
      </c>
      <c r="E678" t="s">
        <v>3731</v>
      </c>
      <c r="F678" s="1">
        <v>43587</v>
      </c>
      <c r="G678" s="1" t="s">
        <v>4028</v>
      </c>
      <c r="H678" s="1"/>
      <c r="I678" s="2">
        <v>1.4583333333333332E-2</v>
      </c>
      <c r="J678" s="176">
        <v>2.4305555555555552E-4</v>
      </c>
      <c r="K678" s="6">
        <v>21</v>
      </c>
      <c r="L678" t="s">
        <v>1278</v>
      </c>
      <c r="M678" t="s">
        <v>255</v>
      </c>
      <c r="N678" t="s">
        <v>107</v>
      </c>
      <c r="O678" t="s">
        <v>115</v>
      </c>
      <c r="P678">
        <v>1</v>
      </c>
      <c r="Q678">
        <v>0</v>
      </c>
      <c r="R678">
        <v>0</v>
      </c>
      <c r="S678" t="s">
        <v>598</v>
      </c>
      <c r="T678" s="5" t="s">
        <v>2801</v>
      </c>
      <c r="U678" s="5" t="s">
        <v>122</v>
      </c>
      <c r="V678" s="5" t="s">
        <v>115</v>
      </c>
      <c r="W678" s="5"/>
      <c r="X678" s="5"/>
      <c r="Y678" s="5"/>
      <c r="Z678" s="5" t="s">
        <v>115</v>
      </c>
      <c r="AA678" s="5" t="s">
        <v>115</v>
      </c>
      <c r="AB678" s="5" t="s">
        <v>115</v>
      </c>
      <c r="AC678" s="5" t="s">
        <v>115</v>
      </c>
      <c r="AD678" s="5" t="s">
        <v>115</v>
      </c>
      <c r="AE678" s="5" t="s">
        <v>115</v>
      </c>
      <c r="AF678" s="5" t="s">
        <v>115</v>
      </c>
      <c r="AG678" s="5" t="s">
        <v>115</v>
      </c>
      <c r="AH678">
        <v>0</v>
      </c>
      <c r="AI678">
        <v>0</v>
      </c>
      <c r="AJ678">
        <v>0</v>
      </c>
      <c r="AK678">
        <v>0</v>
      </c>
      <c r="AL678">
        <v>0</v>
      </c>
      <c r="AM678">
        <f t="shared" si="10"/>
        <v>0</v>
      </c>
      <c r="AN678" t="s">
        <v>188</v>
      </c>
      <c r="AO678" t="s">
        <v>2480</v>
      </c>
    </row>
    <row r="679" spans="1:41" x14ac:dyDescent="0.2">
      <c r="A679" t="s">
        <v>3761</v>
      </c>
      <c r="B679" t="s">
        <v>3762</v>
      </c>
      <c r="C679">
        <v>4</v>
      </c>
      <c r="D679">
        <v>1</v>
      </c>
      <c r="E679" t="s">
        <v>3171</v>
      </c>
      <c r="F679" s="1">
        <v>43588</v>
      </c>
      <c r="G679" s="1" t="s">
        <v>4028</v>
      </c>
      <c r="H679" s="1"/>
      <c r="I679" s="2">
        <v>6.9444444444444441E-3</v>
      </c>
      <c r="J679" s="176">
        <v>1.1574074074074073E-4</v>
      </c>
      <c r="K679" s="6">
        <v>10</v>
      </c>
      <c r="L679" t="s">
        <v>3187</v>
      </c>
      <c r="M679" t="s">
        <v>149</v>
      </c>
      <c r="N679" t="s">
        <v>242</v>
      </c>
      <c r="O679" t="s">
        <v>23</v>
      </c>
      <c r="P679">
        <v>1</v>
      </c>
      <c r="Q679">
        <v>0</v>
      </c>
      <c r="R679">
        <v>1</v>
      </c>
      <c r="S679" t="s">
        <v>598</v>
      </c>
      <c r="T679" s="5" t="s">
        <v>3794</v>
      </c>
      <c r="U679" s="5" t="s">
        <v>122</v>
      </c>
      <c r="V679" s="5" t="s">
        <v>333</v>
      </c>
      <c r="W679" s="5" t="s">
        <v>23</v>
      </c>
      <c r="X679" s="5" t="s">
        <v>3999</v>
      </c>
      <c r="Y679" s="5" t="s">
        <v>4006</v>
      </c>
      <c r="Z679" s="5" t="s">
        <v>2850</v>
      </c>
      <c r="AA679">
        <v>115</v>
      </c>
      <c r="AB679" s="5">
        <v>10</v>
      </c>
      <c r="AC679">
        <v>63.722990000000003</v>
      </c>
      <c r="AD679" s="5">
        <v>148.94640999999999</v>
      </c>
      <c r="AE679" s="5" t="s">
        <v>115</v>
      </c>
      <c r="AF679" s="5" t="s">
        <v>115</v>
      </c>
      <c r="AG679" s="5" t="s">
        <v>115</v>
      </c>
      <c r="AH679">
        <v>0</v>
      </c>
      <c r="AI679">
        <v>0</v>
      </c>
      <c r="AJ679">
        <v>0</v>
      </c>
      <c r="AK679">
        <v>0</v>
      </c>
      <c r="AL679">
        <v>0</v>
      </c>
      <c r="AM679">
        <f t="shared" si="10"/>
        <v>0</v>
      </c>
      <c r="AO679" t="s">
        <v>3763</v>
      </c>
    </row>
    <row r="680" spans="1:41" x14ac:dyDescent="0.2">
      <c r="A680" t="s">
        <v>3759</v>
      </c>
      <c r="B680" t="s">
        <v>3760</v>
      </c>
      <c r="C680">
        <v>3</v>
      </c>
      <c r="D680">
        <v>1</v>
      </c>
      <c r="E680" t="s">
        <v>3171</v>
      </c>
      <c r="F680" s="1">
        <v>43588</v>
      </c>
      <c r="G680" s="1" t="s">
        <v>4028</v>
      </c>
      <c r="H680" s="1"/>
      <c r="I680" s="2">
        <v>2.0833333333333333E-3</v>
      </c>
      <c r="J680" s="176">
        <v>3.4722222222222222E-5</v>
      </c>
      <c r="K680" s="6">
        <v>3</v>
      </c>
      <c r="L680" t="s">
        <v>3187</v>
      </c>
      <c r="M680" t="s">
        <v>149</v>
      </c>
      <c r="N680" t="s">
        <v>107</v>
      </c>
      <c r="O680" t="s">
        <v>115</v>
      </c>
      <c r="P680">
        <v>1</v>
      </c>
      <c r="Q680">
        <v>0</v>
      </c>
      <c r="R680">
        <v>0</v>
      </c>
      <c r="S680" t="s">
        <v>598</v>
      </c>
      <c r="T680" s="5" t="s">
        <v>2437</v>
      </c>
      <c r="U680" s="5" t="s">
        <v>122</v>
      </c>
      <c r="V680" s="5" t="s">
        <v>115</v>
      </c>
      <c r="W680" s="5"/>
      <c r="X680" s="5"/>
      <c r="Y680" s="5"/>
      <c r="Z680" s="5" t="s">
        <v>115</v>
      </c>
      <c r="AA680" s="5" t="s">
        <v>115</v>
      </c>
      <c r="AB680" s="5" t="s">
        <v>115</v>
      </c>
      <c r="AC680" s="5" t="s">
        <v>115</v>
      </c>
      <c r="AD680" s="5" t="s">
        <v>115</v>
      </c>
      <c r="AE680" s="5" t="s">
        <v>115</v>
      </c>
      <c r="AF680" s="5" t="s">
        <v>115</v>
      </c>
      <c r="AG680" s="5" t="s">
        <v>115</v>
      </c>
      <c r="AH680">
        <v>0</v>
      </c>
      <c r="AI680">
        <v>0</v>
      </c>
      <c r="AJ680">
        <v>0</v>
      </c>
      <c r="AK680">
        <v>0</v>
      </c>
      <c r="AL680">
        <v>0</v>
      </c>
      <c r="AM680">
        <f t="shared" si="10"/>
        <v>0</v>
      </c>
      <c r="AN680" t="s">
        <v>188</v>
      </c>
    </row>
    <row r="681" spans="1:41" x14ac:dyDescent="0.2">
      <c r="A681" t="s">
        <v>3785</v>
      </c>
      <c r="B681" t="s">
        <v>3786</v>
      </c>
      <c r="C681">
        <v>15</v>
      </c>
      <c r="D681">
        <v>1</v>
      </c>
      <c r="E681" t="s">
        <v>3171</v>
      </c>
      <c r="F681" s="1">
        <v>43590</v>
      </c>
      <c r="G681" s="1" t="s">
        <v>4028</v>
      </c>
      <c r="H681" s="1"/>
      <c r="I681" s="2">
        <v>8.4722222222222213E-2</v>
      </c>
      <c r="J681" s="176">
        <v>1.4120370370370369E-3</v>
      </c>
      <c r="K681" s="6">
        <v>122</v>
      </c>
      <c r="L681" t="s">
        <v>3187</v>
      </c>
      <c r="M681" t="s">
        <v>149</v>
      </c>
      <c r="N681" t="s">
        <v>111</v>
      </c>
      <c r="O681" t="s">
        <v>23</v>
      </c>
      <c r="P681">
        <v>0</v>
      </c>
      <c r="Q681">
        <v>0</v>
      </c>
      <c r="R681">
        <v>1</v>
      </c>
      <c r="S681" t="s">
        <v>598</v>
      </c>
      <c r="T681" s="5" t="s">
        <v>2437</v>
      </c>
      <c r="U681" s="5" t="s">
        <v>115</v>
      </c>
      <c r="V681" s="5" t="s">
        <v>263</v>
      </c>
      <c r="W681" s="5" t="s">
        <v>23</v>
      </c>
      <c r="X681" s="5" t="s">
        <v>4004</v>
      </c>
      <c r="Y681" s="5" t="s">
        <v>4005</v>
      </c>
      <c r="Z681" s="5" t="s">
        <v>3787</v>
      </c>
      <c r="AA681" s="5" t="s">
        <v>3787</v>
      </c>
      <c r="AB681" s="5" t="s">
        <v>3787</v>
      </c>
      <c r="AC681" s="5" t="s">
        <v>3787</v>
      </c>
      <c r="AD681" s="5" t="s">
        <v>3787</v>
      </c>
      <c r="AE681" s="5" t="s">
        <v>115</v>
      </c>
      <c r="AF681" s="5" t="s">
        <v>115</v>
      </c>
      <c r="AG681" s="5" t="s">
        <v>115</v>
      </c>
      <c r="AH681">
        <v>0</v>
      </c>
      <c r="AI681">
        <v>0</v>
      </c>
      <c r="AJ681">
        <v>0</v>
      </c>
      <c r="AK681">
        <v>0</v>
      </c>
      <c r="AL681">
        <v>0</v>
      </c>
      <c r="AM681">
        <f t="shared" si="10"/>
        <v>0</v>
      </c>
    </row>
    <row r="682" spans="1:41" x14ac:dyDescent="0.2">
      <c r="A682" t="s">
        <v>3882</v>
      </c>
      <c r="B682" t="s">
        <v>3883</v>
      </c>
      <c r="C682">
        <v>4</v>
      </c>
      <c r="D682">
        <v>1</v>
      </c>
      <c r="E682" t="s">
        <v>3171</v>
      </c>
      <c r="F682" s="1">
        <v>43591</v>
      </c>
      <c r="G682" s="1" t="s">
        <v>4028</v>
      </c>
      <c r="H682" s="1"/>
      <c r="I682" s="2">
        <v>7.5694444444444439E-2</v>
      </c>
      <c r="J682" s="176">
        <v>1.261574074074074E-3</v>
      </c>
      <c r="K682" s="6">
        <v>109</v>
      </c>
      <c r="L682" t="s">
        <v>1278</v>
      </c>
      <c r="M682" t="s">
        <v>149</v>
      </c>
      <c r="N682" t="s">
        <v>102</v>
      </c>
      <c r="O682" t="s">
        <v>115</v>
      </c>
      <c r="P682">
        <v>0</v>
      </c>
      <c r="Q682">
        <v>0</v>
      </c>
      <c r="R682">
        <v>3</v>
      </c>
      <c r="S682" t="s">
        <v>176</v>
      </c>
      <c r="T682" s="5" t="s">
        <v>24</v>
      </c>
      <c r="U682" s="5" t="s">
        <v>24</v>
      </c>
      <c r="V682" s="5" t="s">
        <v>2088</v>
      </c>
      <c r="W682" s="5" t="s">
        <v>23</v>
      </c>
      <c r="X682" s="5" t="s">
        <v>3997</v>
      </c>
      <c r="Y682" s="5" t="s">
        <v>4021</v>
      </c>
      <c r="Z682" s="5" t="s">
        <v>3653</v>
      </c>
      <c r="AA682">
        <v>230</v>
      </c>
      <c r="AB682" s="5" t="s">
        <v>176</v>
      </c>
      <c r="AC682">
        <v>63.72392</v>
      </c>
      <c r="AD682">
        <v>148.95093</v>
      </c>
      <c r="AE682" s="5" t="s">
        <v>115</v>
      </c>
      <c r="AF682" s="5" t="s">
        <v>115</v>
      </c>
      <c r="AG682" s="5" t="s">
        <v>115</v>
      </c>
      <c r="AH682">
        <v>0</v>
      </c>
      <c r="AI682">
        <v>0</v>
      </c>
      <c r="AJ682">
        <v>0</v>
      </c>
      <c r="AK682">
        <v>0</v>
      </c>
      <c r="AL682">
        <v>0</v>
      </c>
      <c r="AM682">
        <f t="shared" si="10"/>
        <v>0</v>
      </c>
      <c r="AO682" t="s">
        <v>3884</v>
      </c>
    </row>
    <row r="683" spans="1:41" x14ac:dyDescent="0.2">
      <c r="A683" t="s">
        <v>3903</v>
      </c>
      <c r="B683" t="s">
        <v>3904</v>
      </c>
      <c r="C683">
        <v>10</v>
      </c>
      <c r="D683">
        <v>1</v>
      </c>
      <c r="E683" t="s">
        <v>2462</v>
      </c>
      <c r="F683" s="1">
        <v>43591</v>
      </c>
      <c r="G683" s="1" t="s">
        <v>4028</v>
      </c>
      <c r="H683" s="1"/>
      <c r="I683" s="2">
        <v>8.3333333333333332E-3</v>
      </c>
      <c r="J683" s="176">
        <v>1.3888888888888889E-4</v>
      </c>
      <c r="K683" s="6">
        <v>12</v>
      </c>
      <c r="L683" t="s">
        <v>1278</v>
      </c>
      <c r="M683" t="s">
        <v>64</v>
      </c>
      <c r="N683" t="s">
        <v>102</v>
      </c>
      <c r="O683" t="s">
        <v>23</v>
      </c>
      <c r="P683">
        <v>1</v>
      </c>
      <c r="Q683" t="s">
        <v>24</v>
      </c>
      <c r="R683">
        <v>0</v>
      </c>
      <c r="S683" t="s">
        <v>176</v>
      </c>
      <c r="T683" s="5" t="s">
        <v>24</v>
      </c>
      <c r="U683" s="5" t="s">
        <v>3905</v>
      </c>
      <c r="V683" s="5" t="s">
        <v>115</v>
      </c>
      <c r="W683" s="5"/>
      <c r="X683" s="5"/>
      <c r="Y683" s="5"/>
      <c r="Z683" s="5" t="s">
        <v>115</v>
      </c>
      <c r="AA683" s="5" t="s">
        <v>115</v>
      </c>
      <c r="AB683" s="5" t="s">
        <v>115</v>
      </c>
      <c r="AC683" s="5" t="s">
        <v>115</v>
      </c>
      <c r="AD683" s="5" t="s">
        <v>115</v>
      </c>
      <c r="AE683" s="5" t="s">
        <v>115</v>
      </c>
      <c r="AF683" s="5" t="s">
        <v>115</v>
      </c>
      <c r="AG683" s="5" t="s">
        <v>115</v>
      </c>
      <c r="AH683">
        <v>0</v>
      </c>
      <c r="AI683">
        <v>0</v>
      </c>
      <c r="AJ683">
        <v>0</v>
      </c>
      <c r="AK683">
        <v>0</v>
      </c>
      <c r="AL683">
        <v>0</v>
      </c>
      <c r="AM683">
        <f t="shared" si="10"/>
        <v>0</v>
      </c>
      <c r="AO683" t="s">
        <v>2480</v>
      </c>
    </row>
    <row r="684" spans="1:41" x14ac:dyDescent="0.2">
      <c r="A684" t="s">
        <v>3910</v>
      </c>
      <c r="B684" t="s">
        <v>3911</v>
      </c>
      <c r="C684">
        <v>13</v>
      </c>
      <c r="D684">
        <v>1</v>
      </c>
      <c r="E684" t="s">
        <v>2462</v>
      </c>
      <c r="F684" s="1">
        <v>43591</v>
      </c>
      <c r="G684" s="1" t="s">
        <v>4028</v>
      </c>
      <c r="H684" s="1"/>
      <c r="I684" s="2">
        <v>9.0277777777777787E-3</v>
      </c>
      <c r="J684" s="176">
        <v>1.5046296296296297E-4</v>
      </c>
      <c r="K684" s="6">
        <v>13</v>
      </c>
      <c r="L684" t="s">
        <v>1278</v>
      </c>
      <c r="M684" t="s">
        <v>64</v>
      </c>
      <c r="N684" t="s">
        <v>111</v>
      </c>
      <c r="O684" t="s">
        <v>23</v>
      </c>
      <c r="P684">
        <v>0</v>
      </c>
      <c r="Q684">
        <v>0</v>
      </c>
      <c r="R684">
        <v>1</v>
      </c>
      <c r="S684" t="s">
        <v>598</v>
      </c>
      <c r="T684" s="5" t="s">
        <v>2801</v>
      </c>
      <c r="U684" s="5" t="s">
        <v>115</v>
      </c>
      <c r="V684" s="5" t="s">
        <v>333</v>
      </c>
      <c r="W684" s="5" t="s">
        <v>23</v>
      </c>
      <c r="X684" s="5" t="s">
        <v>3999</v>
      </c>
      <c r="Y684" s="5" t="s">
        <v>4006</v>
      </c>
      <c r="Z684" t="s">
        <v>3912</v>
      </c>
      <c r="AA684">
        <v>95</v>
      </c>
      <c r="AB684">
        <v>21</v>
      </c>
      <c r="AC684">
        <v>63.736319999999999</v>
      </c>
      <c r="AD684">
        <v>148.90260000000001</v>
      </c>
      <c r="AE684" s="5" t="s">
        <v>115</v>
      </c>
      <c r="AF684" s="5" t="s">
        <v>115</v>
      </c>
      <c r="AG684" s="5" t="s">
        <v>115</v>
      </c>
      <c r="AH684">
        <v>0</v>
      </c>
      <c r="AI684">
        <v>0</v>
      </c>
      <c r="AJ684">
        <v>0</v>
      </c>
      <c r="AK684">
        <v>0</v>
      </c>
      <c r="AL684">
        <v>0</v>
      </c>
      <c r="AM684">
        <f t="shared" si="10"/>
        <v>0</v>
      </c>
      <c r="AO684" t="s">
        <v>3611</v>
      </c>
    </row>
    <row r="685" spans="1:41" x14ac:dyDescent="0.2">
      <c r="A685" t="s">
        <v>3913</v>
      </c>
      <c r="B685" t="s">
        <v>3914</v>
      </c>
      <c r="C685">
        <v>14</v>
      </c>
      <c r="D685">
        <v>1</v>
      </c>
      <c r="E685" t="s">
        <v>2462</v>
      </c>
      <c r="F685" s="1">
        <v>43591</v>
      </c>
      <c r="G685" s="1" t="s">
        <v>4028</v>
      </c>
      <c r="H685" s="1"/>
      <c r="I685" s="2">
        <v>6.9444444444444441E-3</v>
      </c>
      <c r="J685" s="176">
        <v>1.1574074074074073E-4</v>
      </c>
      <c r="K685" s="6">
        <v>10</v>
      </c>
      <c r="L685" t="s">
        <v>1278</v>
      </c>
      <c r="M685" t="s">
        <v>64</v>
      </c>
      <c r="N685" t="s">
        <v>111</v>
      </c>
      <c r="O685" t="s">
        <v>23</v>
      </c>
      <c r="P685">
        <v>1</v>
      </c>
      <c r="Q685">
        <v>0</v>
      </c>
      <c r="R685">
        <v>1</v>
      </c>
      <c r="S685" t="s">
        <v>598</v>
      </c>
      <c r="T685" s="5" t="s">
        <v>2437</v>
      </c>
      <c r="U685" s="5" t="s">
        <v>24</v>
      </c>
      <c r="V685" s="5" t="s">
        <v>3591</v>
      </c>
      <c r="W685" s="5" t="s">
        <v>23</v>
      </c>
      <c r="X685" s="5" t="s">
        <v>3997</v>
      </c>
      <c r="Y685" s="5" t="s">
        <v>4020</v>
      </c>
      <c r="Z685" s="5" t="s">
        <v>2457</v>
      </c>
      <c r="AA685">
        <v>39</v>
      </c>
      <c r="AB685" s="5" t="s">
        <v>176</v>
      </c>
      <c r="AC685">
        <v>63.736240000000002</v>
      </c>
      <c r="AD685">
        <v>148.90282999999999</v>
      </c>
      <c r="AE685" s="5" t="s">
        <v>115</v>
      </c>
      <c r="AF685" s="5" t="s">
        <v>115</v>
      </c>
      <c r="AG685" s="5" t="s">
        <v>115</v>
      </c>
      <c r="AH685">
        <v>0</v>
      </c>
      <c r="AI685">
        <v>0</v>
      </c>
      <c r="AJ685">
        <v>0</v>
      </c>
      <c r="AK685">
        <v>0</v>
      </c>
      <c r="AL685">
        <v>0</v>
      </c>
      <c r="AM685">
        <f t="shared" si="10"/>
        <v>0</v>
      </c>
      <c r="AO685" t="s">
        <v>3611</v>
      </c>
    </row>
    <row r="686" spans="1:41" x14ac:dyDescent="0.2">
      <c r="A686" t="s">
        <v>3897</v>
      </c>
      <c r="B686" t="s">
        <v>3898</v>
      </c>
      <c r="C686">
        <v>7</v>
      </c>
      <c r="D686">
        <v>1</v>
      </c>
      <c r="E686" t="s">
        <v>2462</v>
      </c>
      <c r="F686" s="1">
        <v>43591</v>
      </c>
      <c r="G686" s="1" t="s">
        <v>4028</v>
      </c>
      <c r="H686" s="1"/>
      <c r="I686" s="2">
        <v>1.8055555555555557E-2</v>
      </c>
      <c r="J686" s="176">
        <v>3.0092592592592595E-4</v>
      </c>
      <c r="K686" s="6">
        <v>26</v>
      </c>
      <c r="L686" t="s">
        <v>1278</v>
      </c>
      <c r="M686" t="s">
        <v>363</v>
      </c>
      <c r="N686" t="s">
        <v>107</v>
      </c>
      <c r="O686" t="s">
        <v>115</v>
      </c>
      <c r="P686">
        <v>1</v>
      </c>
      <c r="Q686">
        <v>0</v>
      </c>
      <c r="R686">
        <v>0</v>
      </c>
      <c r="S686" t="s">
        <v>598</v>
      </c>
      <c r="T686" s="5" t="s">
        <v>2801</v>
      </c>
      <c r="U686" s="5" t="s">
        <v>122</v>
      </c>
      <c r="V686" s="5" t="s">
        <v>115</v>
      </c>
      <c r="W686" s="5"/>
      <c r="X686" s="5"/>
      <c r="Y686" s="5"/>
      <c r="Z686" s="5" t="s">
        <v>115</v>
      </c>
      <c r="AA686" s="5" t="s">
        <v>115</v>
      </c>
      <c r="AB686" s="5" t="s">
        <v>115</v>
      </c>
      <c r="AC686" s="5" t="s">
        <v>115</v>
      </c>
      <c r="AD686" s="5" t="s">
        <v>115</v>
      </c>
      <c r="AE686" s="5" t="s">
        <v>115</v>
      </c>
      <c r="AF686" s="5" t="s">
        <v>115</v>
      </c>
      <c r="AG686" s="5" t="s">
        <v>115</v>
      </c>
      <c r="AH686">
        <v>0</v>
      </c>
      <c r="AI686">
        <v>0</v>
      </c>
      <c r="AJ686">
        <v>0</v>
      </c>
      <c r="AK686">
        <v>0</v>
      </c>
      <c r="AL686">
        <v>0</v>
      </c>
      <c r="AM686">
        <f t="shared" si="10"/>
        <v>0</v>
      </c>
    </row>
    <row r="687" spans="1:41" x14ac:dyDescent="0.2">
      <c r="A687" t="s">
        <v>2381</v>
      </c>
      <c r="B687" t="s">
        <v>2382</v>
      </c>
      <c r="C687">
        <v>15</v>
      </c>
      <c r="D687">
        <v>1</v>
      </c>
      <c r="E687" t="s">
        <v>2343</v>
      </c>
      <c r="F687" s="1">
        <v>43544</v>
      </c>
      <c r="G687" s="1" t="s">
        <v>4026</v>
      </c>
      <c r="H687" s="1"/>
      <c r="I687" s="2">
        <v>2.7083333333333334E-2</v>
      </c>
      <c r="J687" s="176">
        <v>4.5138888888888892E-4</v>
      </c>
      <c r="K687" s="6">
        <v>39</v>
      </c>
      <c r="L687" t="s">
        <v>101</v>
      </c>
      <c r="M687" t="s">
        <v>2355</v>
      </c>
      <c r="N687" t="s">
        <v>176</v>
      </c>
      <c r="O687" t="s">
        <v>23</v>
      </c>
      <c r="P687" t="s">
        <v>24</v>
      </c>
      <c r="Q687">
        <v>0</v>
      </c>
      <c r="R687" t="s">
        <v>176</v>
      </c>
      <c r="T687" t="s">
        <v>24</v>
      </c>
      <c r="U687" t="s">
        <v>2383</v>
      </c>
      <c r="V687" t="s">
        <v>115</v>
      </c>
      <c r="Z687" t="s">
        <v>115</v>
      </c>
      <c r="AA687" t="s">
        <v>115</v>
      </c>
      <c r="AB687" s="5" t="s">
        <v>115</v>
      </c>
      <c r="AC687" s="5" t="s">
        <v>115</v>
      </c>
      <c r="AD687" s="5" t="s">
        <v>115</v>
      </c>
      <c r="AE687" s="5"/>
      <c r="AF687" s="5"/>
      <c r="AG687" s="5"/>
      <c r="AH687">
        <v>0</v>
      </c>
      <c r="AI687">
        <v>0</v>
      </c>
      <c r="AJ687">
        <v>0</v>
      </c>
      <c r="AK687">
        <v>0</v>
      </c>
      <c r="AL687">
        <v>0</v>
      </c>
      <c r="AM687">
        <f t="shared" si="10"/>
        <v>0</v>
      </c>
      <c r="AN687" t="s">
        <v>2384</v>
      </c>
    </row>
    <row r="688" spans="1:41" x14ac:dyDescent="0.2">
      <c r="A688" t="s">
        <v>2553</v>
      </c>
      <c r="B688" t="s">
        <v>2554</v>
      </c>
      <c r="C688">
        <v>4</v>
      </c>
      <c r="D688">
        <v>1</v>
      </c>
      <c r="E688" t="s">
        <v>324</v>
      </c>
      <c r="F688" s="1">
        <v>43550</v>
      </c>
      <c r="G688" s="1" t="s">
        <v>4026</v>
      </c>
      <c r="H688" s="1"/>
      <c r="I688" s="2">
        <v>9.7222222222222224E-3</v>
      </c>
      <c r="J688" s="176">
        <v>1.6203703703703703E-4</v>
      </c>
      <c r="K688" s="6">
        <v>14</v>
      </c>
      <c r="L688" s="5" t="s">
        <v>640</v>
      </c>
      <c r="M688" t="s">
        <v>325</v>
      </c>
      <c r="N688" t="s">
        <v>176</v>
      </c>
      <c r="O688" t="s">
        <v>12</v>
      </c>
      <c r="P688" t="s">
        <v>24</v>
      </c>
      <c r="Q688" t="s">
        <v>24</v>
      </c>
      <c r="R688" t="s">
        <v>24</v>
      </c>
      <c r="T688" t="s">
        <v>115</v>
      </c>
      <c r="U688" t="s">
        <v>115</v>
      </c>
      <c r="V688" t="s">
        <v>115</v>
      </c>
      <c r="Z688" t="s">
        <v>115</v>
      </c>
      <c r="AA688" t="s">
        <v>115</v>
      </c>
      <c r="AB688" t="s">
        <v>115</v>
      </c>
      <c r="AC688" t="s">
        <v>115</v>
      </c>
      <c r="AD688" t="s">
        <v>115</v>
      </c>
      <c r="AM688">
        <f t="shared" si="10"/>
        <v>0</v>
      </c>
    </row>
    <row r="689" spans="1:41" x14ac:dyDescent="0.2">
      <c r="A689" t="s">
        <v>2779</v>
      </c>
      <c r="B689" t="s">
        <v>2780</v>
      </c>
      <c r="C689">
        <v>1</v>
      </c>
      <c r="D689">
        <v>1</v>
      </c>
      <c r="E689" t="s">
        <v>2781</v>
      </c>
      <c r="F689" s="1">
        <v>43556</v>
      </c>
      <c r="G689" s="1" t="s">
        <v>4027</v>
      </c>
      <c r="H689" s="1"/>
      <c r="I689" s="2">
        <v>9.7222222222222224E-3</v>
      </c>
      <c r="J689" s="176">
        <v>1.6203703703703703E-4</v>
      </c>
      <c r="K689" s="6">
        <v>14</v>
      </c>
      <c r="M689" t="s">
        <v>2782</v>
      </c>
      <c r="N689" t="s">
        <v>176</v>
      </c>
      <c r="O689" t="s">
        <v>23</v>
      </c>
      <c r="P689" t="s">
        <v>24</v>
      </c>
      <c r="Q689" t="s">
        <v>24</v>
      </c>
      <c r="R689" t="s">
        <v>176</v>
      </c>
      <c r="T689" s="5" t="s">
        <v>115</v>
      </c>
      <c r="U689" s="5" t="s">
        <v>115</v>
      </c>
      <c r="V689" s="5" t="s">
        <v>115</v>
      </c>
      <c r="W689" s="5"/>
      <c r="X689" s="5"/>
      <c r="Y689" s="5"/>
      <c r="Z689" s="5" t="s">
        <v>115</v>
      </c>
      <c r="AA689" s="5" t="s">
        <v>115</v>
      </c>
      <c r="AB689" s="5" t="s">
        <v>115</v>
      </c>
      <c r="AC689" s="5" t="s">
        <v>115</v>
      </c>
      <c r="AD689" s="5" t="s">
        <v>115</v>
      </c>
      <c r="AE689" s="5" t="s">
        <v>115</v>
      </c>
      <c r="AF689" s="5" t="s">
        <v>115</v>
      </c>
      <c r="AG689" s="5"/>
      <c r="AH689">
        <v>0</v>
      </c>
      <c r="AI689">
        <v>0</v>
      </c>
      <c r="AJ689">
        <v>0</v>
      </c>
      <c r="AK689">
        <v>0</v>
      </c>
      <c r="AL689">
        <v>0</v>
      </c>
      <c r="AM689">
        <f t="shared" si="10"/>
        <v>0</v>
      </c>
      <c r="AO689" t="s">
        <v>2783</v>
      </c>
    </row>
  </sheetData>
  <sortState xmlns:xlrd2="http://schemas.microsoft.com/office/spreadsheetml/2017/richdata2" ref="A2:AQ701">
    <sortCondition ref="U2:U701"/>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92"/>
  <sheetViews>
    <sheetView topLeftCell="A4" workbookViewId="0">
      <selection activeCell="C19" sqref="C19"/>
    </sheetView>
  </sheetViews>
  <sheetFormatPr baseColWidth="10" defaultRowHeight="16" x14ac:dyDescent="0.2"/>
  <cols>
    <col min="7" max="7" width="11.6640625" style="31" bestFit="1" customWidth="1"/>
  </cols>
  <sheetData>
    <row r="1" spans="1:13" x14ac:dyDescent="0.2">
      <c r="A1" t="s">
        <v>2</v>
      </c>
      <c r="B1" t="s">
        <v>2532</v>
      </c>
      <c r="C1" t="s">
        <v>2533</v>
      </c>
      <c r="D1" t="s">
        <v>1277</v>
      </c>
      <c r="E1" t="s">
        <v>2534</v>
      </c>
      <c r="F1" t="s">
        <v>2535</v>
      </c>
      <c r="G1" s="31" t="s">
        <v>2536</v>
      </c>
      <c r="H1" t="s">
        <v>2539</v>
      </c>
      <c r="I1" t="s">
        <v>2541</v>
      </c>
      <c r="J1" t="s">
        <v>2587</v>
      </c>
      <c r="K1" t="s">
        <v>2589</v>
      </c>
      <c r="M1" t="s">
        <v>3832</v>
      </c>
    </row>
    <row r="2" spans="1:13" x14ac:dyDescent="0.2">
      <c r="A2" s="1">
        <v>43549</v>
      </c>
      <c r="B2" t="s">
        <v>2537</v>
      </c>
      <c r="C2">
        <v>63.735880000000002</v>
      </c>
      <c r="D2">
        <v>148.89922999999999</v>
      </c>
      <c r="E2" s="2">
        <v>0.4604166666666667</v>
      </c>
      <c r="G2" s="31">
        <f>F2-E2</f>
        <v>-0.4604166666666667</v>
      </c>
      <c r="M2" t="s">
        <v>3833</v>
      </c>
    </row>
    <row r="3" spans="1:13" x14ac:dyDescent="0.2">
      <c r="A3" s="1">
        <v>43549</v>
      </c>
      <c r="B3" t="s">
        <v>2538</v>
      </c>
      <c r="C3">
        <v>63.72101</v>
      </c>
      <c r="D3">
        <v>148.98340999999999</v>
      </c>
      <c r="E3" s="2">
        <v>0.6</v>
      </c>
      <c r="F3" s="2">
        <v>0.60277777777777775</v>
      </c>
      <c r="G3" s="31">
        <f t="shared" ref="G3:G36" si="0">F3-E3</f>
        <v>2.7777777777777679E-3</v>
      </c>
      <c r="H3" t="s">
        <v>2540</v>
      </c>
      <c r="I3" t="s">
        <v>2542</v>
      </c>
      <c r="M3" t="s">
        <v>3834</v>
      </c>
    </row>
    <row r="4" spans="1:13" x14ac:dyDescent="0.2">
      <c r="A4" s="1">
        <v>43549</v>
      </c>
      <c r="B4" t="s">
        <v>2538</v>
      </c>
      <c r="E4" s="2">
        <v>0.60972222222222217</v>
      </c>
      <c r="F4" s="2">
        <v>0.61597222222222225</v>
      </c>
      <c r="G4" s="31">
        <f t="shared" si="0"/>
        <v>6.2500000000000888E-3</v>
      </c>
      <c r="H4" t="s">
        <v>2543</v>
      </c>
    </row>
    <row r="5" spans="1:13" x14ac:dyDescent="0.2">
      <c r="A5" s="1">
        <v>43549</v>
      </c>
      <c r="B5" t="s">
        <v>2538</v>
      </c>
      <c r="C5">
        <v>63.722329999999999</v>
      </c>
      <c r="D5">
        <v>148.98430999999999</v>
      </c>
      <c r="E5" s="2">
        <v>0.62013888888888891</v>
      </c>
      <c r="F5" s="2">
        <v>0.62638888888888888</v>
      </c>
      <c r="G5" s="31">
        <f t="shared" si="0"/>
        <v>6.2499999999999778E-3</v>
      </c>
      <c r="H5" t="s">
        <v>2543</v>
      </c>
    </row>
    <row r="6" spans="1:13" x14ac:dyDescent="0.2">
      <c r="A6" s="1">
        <v>43550</v>
      </c>
      <c r="B6" t="s">
        <v>2586</v>
      </c>
      <c r="C6">
        <v>63.724159999999998</v>
      </c>
      <c r="D6">
        <v>148.89940000000001</v>
      </c>
      <c r="E6" s="2">
        <v>0.39444444444444443</v>
      </c>
      <c r="F6" s="2">
        <v>0.39583333333333331</v>
      </c>
      <c r="G6" s="31">
        <f t="shared" si="0"/>
        <v>1.388888888888884E-3</v>
      </c>
      <c r="H6" t="s">
        <v>2543</v>
      </c>
      <c r="K6" t="s">
        <v>2545</v>
      </c>
    </row>
    <row r="7" spans="1:13" x14ac:dyDescent="0.2">
      <c r="A7" s="1">
        <v>43550</v>
      </c>
      <c r="B7" t="s">
        <v>2586</v>
      </c>
      <c r="C7">
        <v>63.723170000000003</v>
      </c>
      <c r="D7">
        <v>148.89055999999999</v>
      </c>
      <c r="E7" s="2">
        <v>0.39861111111111108</v>
      </c>
      <c r="F7" s="2">
        <v>0.40277777777777773</v>
      </c>
      <c r="G7" s="31">
        <f t="shared" si="0"/>
        <v>4.1666666666666519E-3</v>
      </c>
      <c r="H7" t="s">
        <v>2540</v>
      </c>
      <c r="I7" t="s">
        <v>2542</v>
      </c>
      <c r="J7" t="s">
        <v>2588</v>
      </c>
      <c r="K7" t="s">
        <v>2598</v>
      </c>
    </row>
    <row r="8" spans="1:13" x14ac:dyDescent="0.2">
      <c r="A8" s="1">
        <v>43550</v>
      </c>
      <c r="B8" t="s">
        <v>2586</v>
      </c>
      <c r="C8">
        <v>63.723080000000003</v>
      </c>
      <c r="D8">
        <v>148.89058</v>
      </c>
      <c r="E8" s="2">
        <v>0.41875000000000001</v>
      </c>
      <c r="F8" s="2">
        <v>0.42430555555555555</v>
      </c>
      <c r="G8" s="31">
        <f t="shared" si="0"/>
        <v>5.5555555555555358E-3</v>
      </c>
      <c r="H8" t="s">
        <v>2543</v>
      </c>
      <c r="K8" t="s">
        <v>2599</v>
      </c>
    </row>
    <row r="9" spans="1:13" x14ac:dyDescent="0.2">
      <c r="A9" s="1">
        <v>43550</v>
      </c>
      <c r="B9" t="s">
        <v>2590</v>
      </c>
      <c r="C9">
        <v>63.738639999999997</v>
      </c>
      <c r="D9">
        <v>148.89887999999999</v>
      </c>
      <c r="E9" s="2">
        <v>0.45624999999999999</v>
      </c>
      <c r="F9" s="2">
        <v>0.45694444444444443</v>
      </c>
      <c r="G9" s="31">
        <f t="shared" si="0"/>
        <v>6.9444444444444198E-4</v>
      </c>
      <c r="H9" t="s">
        <v>2543</v>
      </c>
      <c r="K9" t="s">
        <v>2575</v>
      </c>
    </row>
    <row r="10" spans="1:13" x14ac:dyDescent="0.2">
      <c r="A10" s="1">
        <v>43550</v>
      </c>
      <c r="B10" t="s">
        <v>2590</v>
      </c>
      <c r="C10">
        <v>63.739249999999998</v>
      </c>
      <c r="D10">
        <v>148.90030999999999</v>
      </c>
      <c r="E10" s="2">
        <v>0.46597222222222223</v>
      </c>
      <c r="F10" s="2">
        <v>0.46736111111111112</v>
      </c>
      <c r="G10" s="31">
        <f t="shared" si="0"/>
        <v>1.388888888888884E-3</v>
      </c>
      <c r="H10" t="s">
        <v>2543</v>
      </c>
      <c r="K10" t="s">
        <v>2579</v>
      </c>
    </row>
    <row r="11" spans="1:13" x14ac:dyDescent="0.2">
      <c r="A11" s="1">
        <v>43550</v>
      </c>
      <c r="B11" t="s">
        <v>2590</v>
      </c>
      <c r="C11">
        <v>63.73948</v>
      </c>
      <c r="D11">
        <v>148.89815999999999</v>
      </c>
      <c r="E11" s="2">
        <v>0.4826388888888889</v>
      </c>
      <c r="F11" s="2">
        <v>0.48402777777777778</v>
      </c>
      <c r="G11" s="31">
        <f t="shared" si="0"/>
        <v>1.388888888888884E-3</v>
      </c>
      <c r="H11" t="s">
        <v>2540</v>
      </c>
      <c r="I11" t="s">
        <v>2542</v>
      </c>
      <c r="K11" t="s">
        <v>2581</v>
      </c>
    </row>
    <row r="12" spans="1:13" x14ac:dyDescent="0.2">
      <c r="A12" s="1">
        <v>43550</v>
      </c>
      <c r="B12" t="s">
        <v>2591</v>
      </c>
      <c r="C12">
        <v>63.723419999999997</v>
      </c>
      <c r="D12">
        <v>148.96782999999999</v>
      </c>
      <c r="E12" s="2">
        <v>0.55833333333333335</v>
      </c>
      <c r="F12" s="2">
        <v>0.55972222222222223</v>
      </c>
      <c r="G12" s="31">
        <f t="shared" si="0"/>
        <v>1.388888888888884E-3</v>
      </c>
      <c r="H12" t="s">
        <v>2543</v>
      </c>
      <c r="K12" t="s">
        <v>2593</v>
      </c>
    </row>
    <row r="13" spans="1:13" x14ac:dyDescent="0.2">
      <c r="A13" s="1">
        <v>43550</v>
      </c>
      <c r="B13" t="s">
        <v>2591</v>
      </c>
      <c r="C13">
        <v>63.723419999999997</v>
      </c>
      <c r="D13">
        <v>148.96782999999999</v>
      </c>
      <c r="E13" s="2">
        <v>0.5625</v>
      </c>
      <c r="F13" s="2">
        <v>0.56388888888888888</v>
      </c>
      <c r="G13" s="31">
        <f t="shared" si="0"/>
        <v>1.388888888888884E-3</v>
      </c>
      <c r="H13" t="s">
        <v>2543</v>
      </c>
      <c r="K13" t="s">
        <v>2600</v>
      </c>
    </row>
    <row r="14" spans="1:13" x14ac:dyDescent="0.2">
      <c r="A14" s="1">
        <v>43551</v>
      </c>
      <c r="B14" t="s">
        <v>2601</v>
      </c>
      <c r="C14">
        <v>63.725360000000002</v>
      </c>
      <c r="D14">
        <v>148.95627999999999</v>
      </c>
      <c r="E14" s="2">
        <v>0.37777777777777777</v>
      </c>
      <c r="F14" s="2">
        <v>0.3840277777777778</v>
      </c>
      <c r="G14" s="31">
        <f t="shared" si="0"/>
        <v>6.2500000000000333E-3</v>
      </c>
      <c r="H14" t="s">
        <v>2543</v>
      </c>
      <c r="K14" t="s">
        <v>2604</v>
      </c>
    </row>
    <row r="15" spans="1:13" x14ac:dyDescent="0.2">
      <c r="A15" s="1">
        <v>43551</v>
      </c>
      <c r="B15" t="s">
        <v>2601</v>
      </c>
      <c r="C15">
        <v>63.725009999999997</v>
      </c>
      <c r="D15">
        <v>148.95760999999999</v>
      </c>
      <c r="E15" s="2">
        <v>0.39930555555555558</v>
      </c>
      <c r="F15" s="2">
        <v>0.40416666666666662</v>
      </c>
      <c r="G15" s="31">
        <f t="shared" si="0"/>
        <v>4.8611111111110383E-3</v>
      </c>
      <c r="H15" t="s">
        <v>2543</v>
      </c>
      <c r="K15" t="s">
        <v>2657</v>
      </c>
    </row>
    <row r="16" spans="1:13" x14ac:dyDescent="0.2">
      <c r="A16" s="1">
        <v>43551</v>
      </c>
      <c r="B16" t="s">
        <v>2601</v>
      </c>
      <c r="C16">
        <v>63.726010000000002</v>
      </c>
      <c r="D16">
        <v>148.96159</v>
      </c>
      <c r="E16" s="2">
        <v>0.4055555555555555</v>
      </c>
      <c r="F16" s="2">
        <v>0.40763888888888888</v>
      </c>
      <c r="G16" s="31">
        <f t="shared" si="0"/>
        <v>2.0833333333333814E-3</v>
      </c>
      <c r="H16" t="s">
        <v>2543</v>
      </c>
      <c r="K16" t="s">
        <v>2617</v>
      </c>
    </row>
    <row r="17" spans="1:11" x14ac:dyDescent="0.2">
      <c r="A17" s="1">
        <v>43551</v>
      </c>
      <c r="B17" t="s">
        <v>2601</v>
      </c>
      <c r="C17">
        <v>63.725850000000001</v>
      </c>
      <c r="D17">
        <v>148.96053000000001</v>
      </c>
      <c r="E17" s="2">
        <v>0.4236111111111111</v>
      </c>
      <c r="F17" s="2">
        <v>0.42638888888888887</v>
      </c>
      <c r="G17" s="31">
        <f t="shared" si="0"/>
        <v>2.7777777777777679E-3</v>
      </c>
      <c r="H17" t="s">
        <v>2543</v>
      </c>
      <c r="K17" t="s">
        <v>2658</v>
      </c>
    </row>
    <row r="18" spans="1:11" x14ac:dyDescent="0.2">
      <c r="A18" s="1">
        <v>43551</v>
      </c>
      <c r="B18" t="s">
        <v>2538</v>
      </c>
      <c r="C18">
        <v>63.720709999999997</v>
      </c>
      <c r="D18">
        <v>148.98546999999999</v>
      </c>
      <c r="E18" s="2">
        <v>0.5</v>
      </c>
      <c r="F18" s="2">
        <v>0.50138888888888888</v>
      </c>
      <c r="G18" s="31">
        <f t="shared" si="0"/>
        <v>1.388888888888884E-3</v>
      </c>
      <c r="H18" t="s">
        <v>2543</v>
      </c>
      <c r="K18" t="s">
        <v>2659</v>
      </c>
    </row>
    <row r="19" spans="1:11" x14ac:dyDescent="0.2">
      <c r="A19" s="1">
        <v>43551</v>
      </c>
      <c r="B19" t="s">
        <v>2538</v>
      </c>
      <c r="C19">
        <v>63.719589999999997</v>
      </c>
      <c r="D19">
        <v>148.98758000000001</v>
      </c>
      <c r="E19" s="2">
        <v>0.50694444444444442</v>
      </c>
      <c r="F19" s="2">
        <v>0.51111111111111118</v>
      </c>
      <c r="G19" s="31">
        <f t="shared" si="0"/>
        <v>4.1666666666667629E-3</v>
      </c>
      <c r="H19" t="s">
        <v>2543</v>
      </c>
      <c r="K19" t="s">
        <v>2660</v>
      </c>
    </row>
    <row r="20" spans="1:11" x14ac:dyDescent="0.2">
      <c r="A20" s="1">
        <v>43551</v>
      </c>
      <c r="B20" t="s">
        <v>2538</v>
      </c>
      <c r="C20">
        <v>63.719720000000002</v>
      </c>
      <c r="D20">
        <v>148.98688999999999</v>
      </c>
      <c r="E20" s="2">
        <v>0.51527777777777783</v>
      </c>
      <c r="F20" s="2">
        <v>0.52013888888888882</v>
      </c>
      <c r="G20" s="31">
        <f t="shared" si="0"/>
        <v>4.8611111111109828E-3</v>
      </c>
      <c r="H20" t="s">
        <v>2543</v>
      </c>
      <c r="K20" t="s">
        <v>2661</v>
      </c>
    </row>
    <row r="21" spans="1:11" x14ac:dyDescent="0.2">
      <c r="A21" s="1">
        <v>43551</v>
      </c>
      <c r="B21" t="s">
        <v>2602</v>
      </c>
      <c r="C21">
        <v>63.734560000000002</v>
      </c>
      <c r="D21">
        <v>148.89864</v>
      </c>
      <c r="E21" s="2">
        <v>0.59861111111111109</v>
      </c>
      <c r="F21" s="2">
        <v>0.60069444444444442</v>
      </c>
      <c r="G21" s="31">
        <f t="shared" si="0"/>
        <v>2.0833333333333259E-3</v>
      </c>
      <c r="H21" t="s">
        <v>2543</v>
      </c>
      <c r="K21" t="s">
        <v>2662</v>
      </c>
    </row>
    <row r="22" spans="1:11" x14ac:dyDescent="0.2">
      <c r="A22" s="1">
        <v>43552</v>
      </c>
      <c r="B22" t="s">
        <v>2671</v>
      </c>
      <c r="C22">
        <v>63.722250000000003</v>
      </c>
      <c r="D22">
        <v>148.96746999999999</v>
      </c>
      <c r="E22" s="2">
        <v>0.39930555555555558</v>
      </c>
      <c r="F22" s="2">
        <v>0.40277777777777773</v>
      </c>
      <c r="G22" s="31">
        <f t="shared" si="0"/>
        <v>3.4722222222221544E-3</v>
      </c>
      <c r="H22" t="s">
        <v>2543</v>
      </c>
      <c r="K22" t="s">
        <v>2672</v>
      </c>
    </row>
    <row r="23" spans="1:11" x14ac:dyDescent="0.2">
      <c r="A23" s="1">
        <v>43554</v>
      </c>
      <c r="B23" t="s">
        <v>2586</v>
      </c>
      <c r="C23">
        <v>63.723469999999999</v>
      </c>
      <c r="D23">
        <v>148.88889</v>
      </c>
      <c r="E23" s="2">
        <v>0.42222222222222222</v>
      </c>
      <c r="F23" s="2">
        <v>0.42569444444444443</v>
      </c>
      <c r="G23" s="31">
        <f t="shared" si="0"/>
        <v>3.4722222222222099E-3</v>
      </c>
      <c r="H23" t="s">
        <v>2543</v>
      </c>
      <c r="K23" t="s">
        <v>2769</v>
      </c>
    </row>
    <row r="24" spans="1:11" x14ac:dyDescent="0.2">
      <c r="A24" s="1">
        <v>43554</v>
      </c>
      <c r="B24" t="s">
        <v>2586</v>
      </c>
      <c r="C24">
        <v>63.72336</v>
      </c>
      <c r="D24">
        <v>148.88953000000001</v>
      </c>
      <c r="E24" s="2">
        <v>0.4284722222222222</v>
      </c>
      <c r="F24" s="2">
        <v>0.43124999999999997</v>
      </c>
      <c r="G24" s="31">
        <f t="shared" si="0"/>
        <v>2.7777777777777679E-3</v>
      </c>
      <c r="H24" t="s">
        <v>2543</v>
      </c>
      <c r="K24" t="s">
        <v>2770</v>
      </c>
    </row>
    <row r="25" spans="1:11" x14ac:dyDescent="0.2">
      <c r="A25" s="1">
        <v>43554</v>
      </c>
      <c r="B25" t="s">
        <v>2586</v>
      </c>
      <c r="C25">
        <v>63.72372</v>
      </c>
      <c r="D25">
        <v>148.88912999999999</v>
      </c>
      <c r="E25" s="2">
        <v>0.4548611111111111</v>
      </c>
      <c r="F25" s="2">
        <v>0.45833333333333331</v>
      </c>
      <c r="G25" s="31">
        <f t="shared" si="0"/>
        <v>3.4722222222222099E-3</v>
      </c>
      <c r="H25" t="s">
        <v>2543</v>
      </c>
      <c r="K25" t="s">
        <v>2771</v>
      </c>
    </row>
    <row r="26" spans="1:11" x14ac:dyDescent="0.2">
      <c r="A26" s="1">
        <v>43554</v>
      </c>
      <c r="B26" t="s">
        <v>2586</v>
      </c>
      <c r="C26">
        <v>63.723930000000003</v>
      </c>
      <c r="D26">
        <v>148.89090999999999</v>
      </c>
      <c r="E26" s="2">
        <v>0.47013888888888888</v>
      </c>
      <c r="F26" s="2">
        <v>0.47500000000000003</v>
      </c>
      <c r="G26" s="31">
        <f t="shared" si="0"/>
        <v>4.8611111111111494E-3</v>
      </c>
      <c r="H26" t="s">
        <v>2543</v>
      </c>
      <c r="K26" t="s">
        <v>2772</v>
      </c>
    </row>
    <row r="27" spans="1:11" x14ac:dyDescent="0.2">
      <c r="A27" s="1">
        <v>43554</v>
      </c>
      <c r="B27" t="s">
        <v>2590</v>
      </c>
      <c r="C27">
        <v>63.740670000000001</v>
      </c>
      <c r="D27">
        <v>148.89992000000001</v>
      </c>
      <c r="E27" s="2">
        <v>0.51250000000000007</v>
      </c>
      <c r="F27" s="2">
        <v>0.51736111111111105</v>
      </c>
      <c r="G27" s="31">
        <f t="shared" si="0"/>
        <v>4.8611111111109828E-3</v>
      </c>
      <c r="H27" t="s">
        <v>2543</v>
      </c>
      <c r="K27" t="s">
        <v>2773</v>
      </c>
    </row>
    <row r="28" spans="1:11" x14ac:dyDescent="0.2">
      <c r="A28" s="1">
        <v>43554</v>
      </c>
      <c r="B28" t="s">
        <v>2590</v>
      </c>
      <c r="C28">
        <v>63.739150000000002</v>
      </c>
      <c r="D28">
        <v>148.90440000000001</v>
      </c>
      <c r="E28" s="2">
        <v>0.55138888888888882</v>
      </c>
      <c r="F28" s="2">
        <v>0.56458333333333333</v>
      </c>
      <c r="G28" s="31">
        <f t="shared" si="0"/>
        <v>1.3194444444444509E-2</v>
      </c>
      <c r="H28" t="s">
        <v>2540</v>
      </c>
      <c r="I28" t="s">
        <v>2542</v>
      </c>
      <c r="J28" t="s">
        <v>2775</v>
      </c>
      <c r="K28" t="s">
        <v>2774</v>
      </c>
    </row>
    <row r="29" spans="1:11" x14ac:dyDescent="0.2">
      <c r="A29" s="1">
        <v>43556</v>
      </c>
      <c r="B29" t="s">
        <v>2601</v>
      </c>
      <c r="C29">
        <v>63.725560000000002</v>
      </c>
      <c r="D29">
        <v>148.95836</v>
      </c>
      <c r="E29" s="2">
        <v>0.46736111111111112</v>
      </c>
      <c r="F29" s="2">
        <v>0.46875</v>
      </c>
      <c r="G29" s="31">
        <f t="shared" si="0"/>
        <v>1.388888888888884E-3</v>
      </c>
      <c r="H29" t="s">
        <v>2543</v>
      </c>
      <c r="K29" t="s">
        <v>2837</v>
      </c>
    </row>
    <row r="30" spans="1:11" x14ac:dyDescent="0.2">
      <c r="A30" s="1">
        <v>43556</v>
      </c>
      <c r="B30" t="s">
        <v>2601</v>
      </c>
      <c r="C30">
        <v>63.725439999999999</v>
      </c>
      <c r="D30">
        <v>148.96021999999999</v>
      </c>
      <c r="E30" s="2">
        <v>0.47152777777777777</v>
      </c>
      <c r="F30" s="2">
        <v>0.47916666666666669</v>
      </c>
      <c r="G30" s="31">
        <f t="shared" si="0"/>
        <v>7.6388888888889173E-3</v>
      </c>
      <c r="H30" t="s">
        <v>2543</v>
      </c>
      <c r="K30" t="s">
        <v>2838</v>
      </c>
    </row>
    <row r="31" spans="1:11" x14ac:dyDescent="0.2">
      <c r="A31" s="1">
        <v>43556</v>
      </c>
      <c r="B31" t="s">
        <v>2601</v>
      </c>
      <c r="C31">
        <v>63.724780000000003</v>
      </c>
      <c r="D31">
        <v>148.95665</v>
      </c>
      <c r="E31" s="2">
        <v>0.48541666666666666</v>
      </c>
      <c r="F31" s="2">
        <v>0.49444444444444446</v>
      </c>
      <c r="G31" s="31">
        <f t="shared" si="0"/>
        <v>9.0277777777778012E-3</v>
      </c>
      <c r="H31" t="s">
        <v>2543</v>
      </c>
      <c r="J31" t="s">
        <v>2836</v>
      </c>
      <c r="K31" t="s">
        <v>2839</v>
      </c>
    </row>
    <row r="32" spans="1:11" x14ac:dyDescent="0.2">
      <c r="A32" s="1">
        <v>43556</v>
      </c>
      <c r="B32" t="s">
        <v>2602</v>
      </c>
      <c r="C32">
        <v>63.735469999999999</v>
      </c>
      <c r="D32">
        <v>148.89887999999999</v>
      </c>
      <c r="E32" s="2">
        <v>0.53125</v>
      </c>
      <c r="F32" s="2">
        <v>0.53611111111111109</v>
      </c>
      <c r="G32" s="31">
        <f t="shared" si="0"/>
        <v>4.8611111111110938E-3</v>
      </c>
      <c r="K32" t="s">
        <v>2840</v>
      </c>
    </row>
    <row r="33" spans="1:11" x14ac:dyDescent="0.2">
      <c r="A33" s="1">
        <v>43557</v>
      </c>
      <c r="B33" t="s">
        <v>2856</v>
      </c>
      <c r="C33">
        <v>63.724209999999999</v>
      </c>
      <c r="D33">
        <v>148.94846999999999</v>
      </c>
      <c r="E33" s="2">
        <v>0.44375000000000003</v>
      </c>
      <c r="F33" s="2">
        <v>0.44861111111111113</v>
      </c>
      <c r="G33" s="31">
        <f t="shared" si="0"/>
        <v>4.8611111111110938E-3</v>
      </c>
      <c r="J33" t="s">
        <v>2542</v>
      </c>
      <c r="K33" t="s">
        <v>3807</v>
      </c>
    </row>
    <row r="34" spans="1:11" x14ac:dyDescent="0.2">
      <c r="A34" s="1">
        <v>43557</v>
      </c>
      <c r="B34" t="s">
        <v>2590</v>
      </c>
      <c r="C34">
        <v>63.739780000000003</v>
      </c>
      <c r="D34">
        <v>148.89481000000001</v>
      </c>
      <c r="E34" s="2">
        <v>0.53125</v>
      </c>
      <c r="F34" s="2">
        <v>0.54027777777777775</v>
      </c>
      <c r="G34" s="31">
        <f t="shared" si="0"/>
        <v>9.0277777777777457E-3</v>
      </c>
      <c r="K34" t="s">
        <v>3808</v>
      </c>
    </row>
    <row r="35" spans="1:11" x14ac:dyDescent="0.2">
      <c r="A35" s="1">
        <v>43559</v>
      </c>
      <c r="B35" t="s">
        <v>2602</v>
      </c>
      <c r="C35">
        <v>63.73442</v>
      </c>
      <c r="D35">
        <v>148.89711</v>
      </c>
      <c r="E35" s="2">
        <v>0.53263888888888888</v>
      </c>
      <c r="F35" s="2">
        <v>0.54027777777777775</v>
      </c>
      <c r="G35" s="31">
        <f t="shared" si="0"/>
        <v>7.6388888888888618E-3</v>
      </c>
      <c r="K35" t="s">
        <v>3809</v>
      </c>
    </row>
    <row r="36" spans="1:11" x14ac:dyDescent="0.2">
      <c r="A36" s="1">
        <v>43560</v>
      </c>
      <c r="B36" t="s">
        <v>2591</v>
      </c>
      <c r="C36">
        <v>63.721980000000002</v>
      </c>
      <c r="D36">
        <v>148.96399</v>
      </c>
      <c r="E36" s="2">
        <v>0.44236111111111115</v>
      </c>
      <c r="F36" s="2">
        <v>0.44444444444444442</v>
      </c>
      <c r="G36" s="31">
        <f t="shared" si="0"/>
        <v>2.0833333333332704E-3</v>
      </c>
      <c r="K36" t="s">
        <v>3810</v>
      </c>
    </row>
    <row r="37" spans="1:11" x14ac:dyDescent="0.2">
      <c r="A37" s="1">
        <v>43560</v>
      </c>
      <c r="B37" t="s">
        <v>2590</v>
      </c>
      <c r="C37">
        <v>63.738849999999999</v>
      </c>
      <c r="D37">
        <v>148.892</v>
      </c>
      <c r="E37" s="2">
        <v>5.5555555555555552E-2</v>
      </c>
      <c r="F37" s="2">
        <v>8.4027777777777771E-2</v>
      </c>
      <c r="G37" s="31">
        <f t="shared" ref="G37:G71" si="1">F37-E37</f>
        <v>2.8472222222222218E-2</v>
      </c>
      <c r="H37" t="s">
        <v>2543</v>
      </c>
      <c r="J37" t="s">
        <v>2926</v>
      </c>
      <c r="K37" t="s">
        <v>3000</v>
      </c>
    </row>
    <row r="38" spans="1:11" x14ac:dyDescent="0.2">
      <c r="A38" s="1">
        <v>43564</v>
      </c>
      <c r="B38" t="s">
        <v>2586</v>
      </c>
      <c r="C38">
        <v>63.724330000000002</v>
      </c>
      <c r="D38">
        <v>148.88914</v>
      </c>
      <c r="E38" s="2">
        <v>0.39513888888888887</v>
      </c>
      <c r="F38" s="2">
        <v>0.40347222222222223</v>
      </c>
      <c r="G38" s="31">
        <f t="shared" si="1"/>
        <v>8.3333333333333592E-3</v>
      </c>
      <c r="H38" t="s">
        <v>2543</v>
      </c>
      <c r="K38" t="s">
        <v>3811</v>
      </c>
    </row>
    <row r="39" spans="1:11" x14ac:dyDescent="0.2">
      <c r="A39" s="1">
        <v>43564</v>
      </c>
      <c r="B39" t="s">
        <v>2538</v>
      </c>
      <c r="C39">
        <v>63.71922</v>
      </c>
      <c r="D39">
        <v>148.98706000000001</v>
      </c>
      <c r="E39" s="2">
        <v>0.54097222222222219</v>
      </c>
      <c r="F39" s="2">
        <v>0.55069444444444449</v>
      </c>
      <c r="G39" s="31">
        <f t="shared" si="1"/>
        <v>9.7222222222222987E-3</v>
      </c>
      <c r="H39" t="s">
        <v>2540</v>
      </c>
      <c r="I39" t="s">
        <v>2542</v>
      </c>
      <c r="J39" t="s">
        <v>2775</v>
      </c>
      <c r="K39" t="s">
        <v>3812</v>
      </c>
    </row>
    <row r="40" spans="1:11" x14ac:dyDescent="0.2">
      <c r="A40" s="1">
        <v>43565</v>
      </c>
      <c r="B40" t="s">
        <v>2590</v>
      </c>
      <c r="C40">
        <v>63.739699999999999</v>
      </c>
      <c r="D40">
        <v>148.90033</v>
      </c>
      <c r="E40" s="2">
        <v>0.39166666666666666</v>
      </c>
      <c r="F40" s="2">
        <v>0.3923611111111111</v>
      </c>
      <c r="G40" s="31">
        <f t="shared" si="1"/>
        <v>6.9444444444444198E-4</v>
      </c>
      <c r="H40" t="s">
        <v>2543</v>
      </c>
      <c r="K40" t="s">
        <v>3813</v>
      </c>
    </row>
    <row r="41" spans="1:11" x14ac:dyDescent="0.2">
      <c r="A41" s="1">
        <v>43566</v>
      </c>
      <c r="B41" t="s">
        <v>2671</v>
      </c>
      <c r="C41">
        <v>63.721600000000002</v>
      </c>
      <c r="D41">
        <v>148.95052999999999</v>
      </c>
      <c r="E41" s="2">
        <v>0.54861111111111105</v>
      </c>
      <c r="F41" s="2">
        <v>0.55347222222222225</v>
      </c>
      <c r="G41" s="31">
        <f t="shared" si="1"/>
        <v>4.8611111111112049E-3</v>
      </c>
      <c r="H41" t="s">
        <v>2543</v>
      </c>
      <c r="K41" t="s">
        <v>3814</v>
      </c>
    </row>
    <row r="42" spans="1:11" x14ac:dyDescent="0.2">
      <c r="A42" s="1">
        <v>43566</v>
      </c>
      <c r="B42" t="s">
        <v>2671</v>
      </c>
      <c r="C42">
        <v>63.720739999999999</v>
      </c>
      <c r="D42">
        <v>148.95025999999999</v>
      </c>
      <c r="E42" s="2">
        <v>0.5625</v>
      </c>
      <c r="F42" s="2">
        <v>0.56458333333333333</v>
      </c>
      <c r="G42" s="31">
        <f t="shared" si="1"/>
        <v>2.0833333333333259E-3</v>
      </c>
      <c r="H42" t="s">
        <v>2543</v>
      </c>
      <c r="K42" t="s">
        <v>3815</v>
      </c>
    </row>
    <row r="43" spans="1:11" x14ac:dyDescent="0.2">
      <c r="A43" s="1">
        <v>43567</v>
      </c>
      <c r="B43" t="s">
        <v>2601</v>
      </c>
      <c r="C43">
        <v>63.724919999999997</v>
      </c>
      <c r="D43">
        <v>148.95565999999999</v>
      </c>
      <c r="E43" s="2">
        <v>0.52083333333333337</v>
      </c>
      <c r="F43" s="2">
        <v>0.52361111111111114</v>
      </c>
      <c r="G43" s="31">
        <f t="shared" si="1"/>
        <v>2.7777777777777679E-3</v>
      </c>
      <c r="H43" t="s">
        <v>2543</v>
      </c>
      <c r="K43" t="s">
        <v>3810</v>
      </c>
    </row>
    <row r="44" spans="1:11" x14ac:dyDescent="0.2">
      <c r="A44" s="1">
        <v>43570</v>
      </c>
      <c r="B44" t="s">
        <v>2601</v>
      </c>
      <c r="C44">
        <v>63.724440000000001</v>
      </c>
      <c r="D44">
        <v>148.95590000000001</v>
      </c>
      <c r="E44" s="2">
        <v>0.49861111111111112</v>
      </c>
      <c r="F44" s="2">
        <v>0.50347222222222221</v>
      </c>
      <c r="G44" s="31">
        <f t="shared" si="1"/>
        <v>4.8611111111110938E-3</v>
      </c>
      <c r="H44" t="s">
        <v>2543</v>
      </c>
      <c r="K44" t="s">
        <v>3816</v>
      </c>
    </row>
    <row r="45" spans="1:11" x14ac:dyDescent="0.2">
      <c r="A45" s="1">
        <v>43570</v>
      </c>
      <c r="B45" t="s">
        <v>2601</v>
      </c>
      <c r="C45">
        <v>63.724319999999999</v>
      </c>
      <c r="D45">
        <v>148.9547</v>
      </c>
      <c r="E45" s="2">
        <v>0.53125</v>
      </c>
      <c r="F45" s="2">
        <v>0.54027777777777775</v>
      </c>
      <c r="G45" s="31">
        <f t="shared" si="1"/>
        <v>9.0277777777777457E-3</v>
      </c>
      <c r="H45" t="s">
        <v>2540</v>
      </c>
      <c r="I45" t="s">
        <v>3136</v>
      </c>
      <c r="K45" t="s">
        <v>3817</v>
      </c>
    </row>
    <row r="46" spans="1:11" x14ac:dyDescent="0.2">
      <c r="A46" s="1">
        <v>43570</v>
      </c>
      <c r="B46" t="s">
        <v>2586</v>
      </c>
      <c r="C46">
        <v>63.722990000000003</v>
      </c>
      <c r="D46">
        <v>148.89008000000001</v>
      </c>
      <c r="E46" s="2">
        <v>0.57916666666666672</v>
      </c>
      <c r="F46" s="2">
        <v>0.60138888888888886</v>
      </c>
      <c r="G46" s="31">
        <f t="shared" si="1"/>
        <v>2.2222222222222143E-2</v>
      </c>
      <c r="H46" t="s">
        <v>2543</v>
      </c>
      <c r="K46" t="s">
        <v>3819</v>
      </c>
    </row>
    <row r="47" spans="1:11" x14ac:dyDescent="0.2">
      <c r="A47" s="1">
        <v>43571</v>
      </c>
      <c r="B47" t="s">
        <v>2602</v>
      </c>
      <c r="C47">
        <v>63.735900000000001</v>
      </c>
      <c r="D47">
        <v>148.89832000000001</v>
      </c>
      <c r="E47" s="2">
        <v>0.37291666666666662</v>
      </c>
      <c r="F47" s="2">
        <v>0.37708333333333338</v>
      </c>
      <c r="G47" s="31">
        <f t="shared" si="1"/>
        <v>4.1666666666667629E-3</v>
      </c>
      <c r="H47" t="s">
        <v>2540</v>
      </c>
      <c r="I47" t="s">
        <v>2542</v>
      </c>
      <c r="K47" t="s">
        <v>3820</v>
      </c>
    </row>
    <row r="48" spans="1:11" x14ac:dyDescent="0.2">
      <c r="A48" s="1">
        <v>43571</v>
      </c>
      <c r="B48" t="s">
        <v>2590</v>
      </c>
      <c r="C48">
        <v>63.740470000000002</v>
      </c>
      <c r="D48">
        <v>148.90053</v>
      </c>
      <c r="E48" s="2">
        <v>0.45902777777777781</v>
      </c>
      <c r="F48" s="2">
        <v>0.47916666666666669</v>
      </c>
      <c r="G48" s="31">
        <f t="shared" si="1"/>
        <v>2.0138888888888873E-2</v>
      </c>
      <c r="H48" t="s">
        <v>2540</v>
      </c>
      <c r="I48" t="s">
        <v>2542</v>
      </c>
      <c r="J48" t="s">
        <v>2775</v>
      </c>
      <c r="K48" t="s">
        <v>3821</v>
      </c>
    </row>
    <row r="49" spans="1:11" x14ac:dyDescent="0.2">
      <c r="A49" s="1">
        <v>43571</v>
      </c>
      <c r="B49" t="s">
        <v>2856</v>
      </c>
      <c r="C49">
        <v>63.722569999999997</v>
      </c>
      <c r="D49">
        <v>148.94936999999999</v>
      </c>
      <c r="E49" s="2">
        <v>0.56597222222222221</v>
      </c>
      <c r="F49" s="2">
        <v>0.57638888888888895</v>
      </c>
      <c r="G49" s="31">
        <f t="shared" si="1"/>
        <v>1.0416666666666741E-2</v>
      </c>
      <c r="H49" t="s">
        <v>2543</v>
      </c>
      <c r="K49" t="s">
        <v>3822</v>
      </c>
    </row>
    <row r="50" spans="1:11" x14ac:dyDescent="0.2">
      <c r="A50" s="1">
        <v>43572</v>
      </c>
      <c r="B50" t="s">
        <v>2538</v>
      </c>
      <c r="C50">
        <v>63.721649999999997</v>
      </c>
      <c r="D50">
        <v>148.98562999999999</v>
      </c>
      <c r="E50" s="2">
        <v>0.39027777777777778</v>
      </c>
      <c r="F50" s="2">
        <v>0.3923611111111111</v>
      </c>
      <c r="G50" s="31">
        <f t="shared" si="1"/>
        <v>2.0833333333333259E-3</v>
      </c>
      <c r="H50" t="s">
        <v>2543</v>
      </c>
      <c r="K50" t="s">
        <v>3823</v>
      </c>
    </row>
    <row r="51" spans="1:11" x14ac:dyDescent="0.2">
      <c r="A51" s="1">
        <v>43572</v>
      </c>
      <c r="B51" t="s">
        <v>2538</v>
      </c>
      <c r="C51">
        <v>63.720039999999997</v>
      </c>
      <c r="D51">
        <v>148.98666</v>
      </c>
      <c r="E51" s="2">
        <v>0.42638888888888887</v>
      </c>
      <c r="F51" s="2">
        <v>0.42777777777777781</v>
      </c>
      <c r="G51" s="31">
        <f t="shared" si="1"/>
        <v>1.3888888888889395E-3</v>
      </c>
      <c r="H51" t="s">
        <v>2543</v>
      </c>
      <c r="K51" t="s">
        <v>3191</v>
      </c>
    </row>
    <row r="52" spans="1:11" x14ac:dyDescent="0.2">
      <c r="A52" s="1">
        <v>43572</v>
      </c>
      <c r="B52" t="s">
        <v>2538</v>
      </c>
      <c r="C52">
        <v>63.720730000000003</v>
      </c>
      <c r="D52">
        <v>148.98537999999999</v>
      </c>
      <c r="E52" s="2">
        <v>0.43958333333333338</v>
      </c>
      <c r="F52" s="2">
        <v>0.44791666666666669</v>
      </c>
      <c r="G52" s="31">
        <f t="shared" si="1"/>
        <v>8.3333333333333037E-3</v>
      </c>
      <c r="H52" t="s">
        <v>2543</v>
      </c>
      <c r="K52" t="s">
        <v>3824</v>
      </c>
    </row>
    <row r="53" spans="1:11" x14ac:dyDescent="0.2">
      <c r="A53" s="1">
        <v>43572</v>
      </c>
      <c r="B53" t="s">
        <v>2591</v>
      </c>
      <c r="C53">
        <v>63.725009999999997</v>
      </c>
      <c r="D53">
        <v>148.96494999999999</v>
      </c>
      <c r="E53" s="2">
        <v>0.53541666666666665</v>
      </c>
      <c r="F53" s="2">
        <v>0.54027777777777775</v>
      </c>
      <c r="G53" s="31">
        <f t="shared" si="1"/>
        <v>4.8611111111110938E-3</v>
      </c>
      <c r="H53" t="s">
        <v>2543</v>
      </c>
      <c r="J53" t="s">
        <v>2542</v>
      </c>
      <c r="K53" t="s">
        <v>3825</v>
      </c>
    </row>
    <row r="54" spans="1:11" x14ac:dyDescent="0.2">
      <c r="A54" s="1">
        <v>43572</v>
      </c>
      <c r="B54" t="s">
        <v>2591</v>
      </c>
      <c r="C54">
        <v>63.72533</v>
      </c>
      <c r="D54">
        <v>148.96584999999999</v>
      </c>
      <c r="E54" s="2">
        <v>6.3194444444444442E-2</v>
      </c>
      <c r="F54" s="2">
        <v>6.5277777777777782E-2</v>
      </c>
      <c r="G54" s="31">
        <f t="shared" si="1"/>
        <v>2.0833333333333398E-3</v>
      </c>
      <c r="H54" t="s">
        <v>2543</v>
      </c>
      <c r="K54" t="s">
        <v>3826</v>
      </c>
    </row>
    <row r="55" spans="1:11" x14ac:dyDescent="0.2">
      <c r="A55" s="1">
        <v>43573</v>
      </c>
      <c r="B55" t="s">
        <v>2602</v>
      </c>
      <c r="C55">
        <v>63.735770000000002</v>
      </c>
      <c r="D55">
        <v>148.89854</v>
      </c>
      <c r="E55" s="2">
        <v>0.50486111111111109</v>
      </c>
      <c r="F55" s="2">
        <v>0.50763888888888886</v>
      </c>
      <c r="G55" s="31">
        <f t="shared" si="1"/>
        <v>2.7777777777777679E-3</v>
      </c>
      <c r="H55" t="s">
        <v>2540</v>
      </c>
      <c r="I55" t="s">
        <v>2542</v>
      </c>
      <c r="J55" t="s">
        <v>2588</v>
      </c>
      <c r="K55" t="s">
        <v>3246</v>
      </c>
    </row>
    <row r="56" spans="1:11" x14ac:dyDescent="0.2">
      <c r="A56" s="1">
        <v>43573</v>
      </c>
      <c r="B56" t="s">
        <v>2602</v>
      </c>
      <c r="C56">
        <v>63.736310000000003</v>
      </c>
      <c r="D56">
        <v>148.89966000000001</v>
      </c>
      <c r="E56" s="2">
        <v>0.5131944444444444</v>
      </c>
      <c r="F56" s="2">
        <v>0.51527777777777783</v>
      </c>
      <c r="G56" s="31">
        <f t="shared" si="1"/>
        <v>2.083333333333437E-3</v>
      </c>
      <c r="H56" t="s">
        <v>2543</v>
      </c>
      <c r="K56" t="s">
        <v>3827</v>
      </c>
    </row>
    <row r="57" spans="1:11" x14ac:dyDescent="0.2">
      <c r="A57" s="1">
        <v>43573</v>
      </c>
      <c r="B57" t="s">
        <v>2602</v>
      </c>
      <c r="C57">
        <v>63.736739999999998</v>
      </c>
      <c r="D57">
        <v>148.89778000000001</v>
      </c>
      <c r="E57" s="2">
        <v>0.51874999999999993</v>
      </c>
      <c r="F57" s="2">
        <v>0.52152777777777781</v>
      </c>
      <c r="G57" s="31">
        <f t="shared" si="1"/>
        <v>2.7777777777778789E-3</v>
      </c>
      <c r="H57" t="s">
        <v>2543</v>
      </c>
      <c r="K57" t="s">
        <v>3256</v>
      </c>
    </row>
    <row r="58" spans="1:11" x14ac:dyDescent="0.2">
      <c r="A58" s="1">
        <v>43573</v>
      </c>
      <c r="B58" t="s">
        <v>2602</v>
      </c>
      <c r="C58">
        <v>63.737099999999998</v>
      </c>
      <c r="D58">
        <v>148.89556999999999</v>
      </c>
      <c r="E58" s="2">
        <v>0.52152777777777781</v>
      </c>
      <c r="F58" s="2">
        <v>0.52777777777777779</v>
      </c>
      <c r="G58" s="31">
        <f t="shared" si="1"/>
        <v>6.2499999999999778E-3</v>
      </c>
      <c r="H58" t="s">
        <v>2543</v>
      </c>
      <c r="K58" t="s">
        <v>3828</v>
      </c>
    </row>
    <row r="59" spans="1:11" x14ac:dyDescent="0.2">
      <c r="A59" s="1">
        <v>43573</v>
      </c>
      <c r="B59" t="s">
        <v>138</v>
      </c>
      <c r="C59">
        <v>63.725110000000001</v>
      </c>
      <c r="D59">
        <v>148.95482000000001</v>
      </c>
      <c r="E59" s="2">
        <v>0.56458333333333333</v>
      </c>
      <c r="F59" s="2">
        <v>0.56736111111111109</v>
      </c>
      <c r="G59" s="31">
        <f t="shared" si="1"/>
        <v>2.7777777777777679E-3</v>
      </c>
      <c r="H59" t="s">
        <v>2543</v>
      </c>
      <c r="K59" t="s">
        <v>3829</v>
      </c>
    </row>
    <row r="60" spans="1:11" x14ac:dyDescent="0.2">
      <c r="A60" s="1">
        <v>43573</v>
      </c>
      <c r="B60" t="s">
        <v>138</v>
      </c>
      <c r="C60">
        <v>63.726120000000002</v>
      </c>
      <c r="D60">
        <v>148.95264</v>
      </c>
      <c r="E60" s="2">
        <v>0.57847222222222217</v>
      </c>
      <c r="F60" s="2">
        <v>0.58333333333333337</v>
      </c>
      <c r="G60" s="31">
        <f t="shared" si="1"/>
        <v>4.8611111111112049E-3</v>
      </c>
      <c r="H60" t="s">
        <v>2543</v>
      </c>
      <c r="J60" t="s">
        <v>2542</v>
      </c>
      <c r="K60" t="s">
        <v>3830</v>
      </c>
    </row>
    <row r="61" spans="1:11" x14ac:dyDescent="0.2">
      <c r="A61" s="1">
        <v>43574</v>
      </c>
      <c r="B61" t="s">
        <v>2538</v>
      </c>
      <c r="C61">
        <v>63.72052</v>
      </c>
      <c r="D61">
        <v>148.98351</v>
      </c>
      <c r="E61" s="2">
        <v>0.4152777777777778</v>
      </c>
      <c r="F61" s="2">
        <v>0.41736111111111113</v>
      </c>
      <c r="G61" s="31">
        <f t="shared" si="1"/>
        <v>2.0833333333333259E-3</v>
      </c>
      <c r="H61" t="s">
        <v>2543</v>
      </c>
      <c r="K61" t="s">
        <v>3831</v>
      </c>
    </row>
    <row r="62" spans="1:11" x14ac:dyDescent="0.2">
      <c r="A62" s="1">
        <v>43577</v>
      </c>
      <c r="B62" t="s">
        <v>2590</v>
      </c>
      <c r="C62">
        <v>63.740519999999997</v>
      </c>
      <c r="D62">
        <v>148.89938000000001</v>
      </c>
      <c r="E62" s="2">
        <v>0.46736111111111112</v>
      </c>
      <c r="F62" s="2">
        <v>0.4694444444444445</v>
      </c>
      <c r="G62" s="31">
        <f t="shared" si="1"/>
        <v>2.0833333333333814E-3</v>
      </c>
      <c r="H62" t="s">
        <v>2543</v>
      </c>
      <c r="K62" t="s">
        <v>3835</v>
      </c>
    </row>
    <row r="63" spans="1:11" x14ac:dyDescent="0.2">
      <c r="A63" s="1">
        <v>43577</v>
      </c>
      <c r="B63" t="s">
        <v>2590</v>
      </c>
      <c r="C63">
        <v>63.740670000000001</v>
      </c>
      <c r="D63">
        <v>148.89822000000001</v>
      </c>
      <c r="E63" s="2">
        <v>0.47152777777777777</v>
      </c>
      <c r="F63" s="2">
        <v>0.4861111111111111</v>
      </c>
      <c r="G63" s="31">
        <f t="shared" si="1"/>
        <v>1.4583333333333337E-2</v>
      </c>
      <c r="H63" t="s">
        <v>2543</v>
      </c>
      <c r="K63" t="s">
        <v>3836</v>
      </c>
    </row>
    <row r="64" spans="1:11" x14ac:dyDescent="0.2">
      <c r="A64" s="1">
        <v>43577</v>
      </c>
      <c r="B64" t="s">
        <v>2590</v>
      </c>
      <c r="C64">
        <v>63.740409999999997</v>
      </c>
      <c r="D64">
        <v>148.89946</v>
      </c>
      <c r="E64" s="2">
        <v>0.48680555555555555</v>
      </c>
      <c r="F64" s="2">
        <v>0.49861111111111112</v>
      </c>
      <c r="G64" s="31">
        <f t="shared" si="1"/>
        <v>1.1805555555555569E-2</v>
      </c>
      <c r="H64" t="s">
        <v>2543</v>
      </c>
      <c r="K64" t="s">
        <v>3837</v>
      </c>
    </row>
    <row r="65" spans="1:11" x14ac:dyDescent="0.2">
      <c r="A65" s="1">
        <v>43577</v>
      </c>
      <c r="B65" t="s">
        <v>2590</v>
      </c>
      <c r="C65">
        <v>63.740130000000001</v>
      </c>
      <c r="D65">
        <v>148.89891</v>
      </c>
      <c r="E65" s="2">
        <v>0.5</v>
      </c>
      <c r="F65" s="2">
        <v>0.50138888888888888</v>
      </c>
      <c r="G65" s="31">
        <f t="shared" si="1"/>
        <v>1.388888888888884E-3</v>
      </c>
      <c r="H65" t="s">
        <v>2543</v>
      </c>
      <c r="K65" t="s">
        <v>3353</v>
      </c>
    </row>
    <row r="66" spans="1:11" x14ac:dyDescent="0.2">
      <c r="A66" s="1">
        <v>43577</v>
      </c>
      <c r="B66" t="s">
        <v>2856</v>
      </c>
      <c r="C66">
        <v>63.722679999999997</v>
      </c>
      <c r="D66">
        <v>148.95204000000001</v>
      </c>
      <c r="E66" s="2">
        <v>0.54583333333333328</v>
      </c>
      <c r="F66" s="2">
        <v>0.54722222222222217</v>
      </c>
      <c r="G66" s="31">
        <f t="shared" si="1"/>
        <v>1.388888888888884E-3</v>
      </c>
      <c r="H66" t="s">
        <v>2543</v>
      </c>
      <c r="J66" t="s">
        <v>3721</v>
      </c>
      <c r="K66" t="s">
        <v>3838</v>
      </c>
    </row>
    <row r="67" spans="1:11" x14ac:dyDescent="0.2">
      <c r="A67" s="1">
        <v>43577</v>
      </c>
      <c r="B67" t="s">
        <v>2856</v>
      </c>
      <c r="C67">
        <v>63.722279999999998</v>
      </c>
      <c r="D67">
        <v>148.94917000000001</v>
      </c>
      <c r="E67" s="2">
        <v>0.54722222222222217</v>
      </c>
      <c r="F67" s="2">
        <v>0.56388888888888888</v>
      </c>
      <c r="G67" s="31">
        <f t="shared" si="1"/>
        <v>1.6666666666666718E-2</v>
      </c>
      <c r="H67" t="s">
        <v>2543</v>
      </c>
      <c r="J67" t="s">
        <v>2836</v>
      </c>
      <c r="K67" t="s">
        <v>3839</v>
      </c>
    </row>
    <row r="68" spans="1:11" x14ac:dyDescent="0.2">
      <c r="A68" s="1">
        <v>43579</v>
      </c>
      <c r="B68" t="s">
        <v>2601</v>
      </c>
      <c r="C68">
        <v>63.724699999999999</v>
      </c>
      <c r="D68">
        <v>148.95609999999999</v>
      </c>
      <c r="E68" s="2">
        <v>0.42708333333333331</v>
      </c>
      <c r="F68" s="2">
        <v>0.42986111111111108</v>
      </c>
      <c r="G68" s="31">
        <f t="shared" si="1"/>
        <v>2.7777777777777679E-3</v>
      </c>
      <c r="H68" t="s">
        <v>2543</v>
      </c>
      <c r="K68" t="s">
        <v>3835</v>
      </c>
    </row>
    <row r="69" spans="1:11" x14ac:dyDescent="0.2">
      <c r="A69" s="1">
        <v>43579</v>
      </c>
      <c r="B69" t="s">
        <v>2601</v>
      </c>
      <c r="C69">
        <v>63.725110000000001</v>
      </c>
      <c r="D69">
        <v>148.95482000000001</v>
      </c>
      <c r="E69" s="2">
        <v>0.4381944444444445</v>
      </c>
      <c r="F69" s="2">
        <v>0.44097222222222227</v>
      </c>
      <c r="G69" s="31">
        <f t="shared" si="1"/>
        <v>2.7777777777777679E-3</v>
      </c>
      <c r="H69" t="s">
        <v>2543</v>
      </c>
      <c r="K69" t="s">
        <v>3840</v>
      </c>
    </row>
    <row r="70" spans="1:11" x14ac:dyDescent="0.2">
      <c r="A70" s="1">
        <v>43579</v>
      </c>
      <c r="B70" t="s">
        <v>2601</v>
      </c>
      <c r="C70">
        <v>63.726460000000003</v>
      </c>
      <c r="D70">
        <v>148.95648</v>
      </c>
      <c r="E70" s="2">
        <v>0.44166666666666665</v>
      </c>
      <c r="F70" s="2">
        <v>0.4458333333333333</v>
      </c>
      <c r="G70" s="31">
        <f t="shared" si="1"/>
        <v>4.1666666666666519E-3</v>
      </c>
      <c r="H70" t="s">
        <v>2543</v>
      </c>
      <c r="K70" t="s">
        <v>3841</v>
      </c>
    </row>
    <row r="71" spans="1:11" x14ac:dyDescent="0.2">
      <c r="A71" s="1">
        <v>43579</v>
      </c>
      <c r="B71" t="s">
        <v>2602</v>
      </c>
      <c r="C71">
        <v>63.735790000000001</v>
      </c>
      <c r="D71">
        <v>148.89839000000001</v>
      </c>
      <c r="E71" s="2">
        <v>0.47152777777777777</v>
      </c>
      <c r="F71" s="2">
        <v>0.47361111111111115</v>
      </c>
      <c r="G71" s="31">
        <f t="shared" si="1"/>
        <v>2.0833333333333814E-3</v>
      </c>
      <c r="H71" t="s">
        <v>2543</v>
      </c>
      <c r="K71" t="s">
        <v>3842</v>
      </c>
    </row>
    <row r="72" spans="1:11" x14ac:dyDescent="0.2">
      <c r="A72" s="1">
        <v>43579</v>
      </c>
      <c r="B72" t="s">
        <v>2602</v>
      </c>
      <c r="C72">
        <v>63.735790000000001</v>
      </c>
      <c r="D72">
        <v>148.89839000000001</v>
      </c>
      <c r="E72" s="2">
        <v>0.47430555555555554</v>
      </c>
      <c r="F72" s="2">
        <v>0.48055555555555557</v>
      </c>
      <c r="G72" s="31">
        <f t="shared" ref="G72:G92" si="2">F72-E72</f>
        <v>6.2500000000000333E-3</v>
      </c>
      <c r="H72" t="s">
        <v>2543</v>
      </c>
      <c r="K72" t="s">
        <v>3843</v>
      </c>
    </row>
    <row r="73" spans="1:11" x14ac:dyDescent="0.2">
      <c r="A73" s="1">
        <v>43579</v>
      </c>
      <c r="B73" t="s">
        <v>2602</v>
      </c>
      <c r="C73">
        <v>63.735430000000001</v>
      </c>
      <c r="D73">
        <v>148.8974</v>
      </c>
      <c r="E73" s="2">
        <v>0.48194444444444445</v>
      </c>
      <c r="F73" s="2">
        <v>0.49027777777777781</v>
      </c>
      <c r="G73" s="31">
        <f t="shared" si="2"/>
        <v>8.3333333333333592E-3</v>
      </c>
      <c r="H73" t="s">
        <v>2543</v>
      </c>
      <c r="K73" t="s">
        <v>3844</v>
      </c>
    </row>
    <row r="74" spans="1:11" x14ac:dyDescent="0.2">
      <c r="A74" s="1">
        <v>43579</v>
      </c>
      <c r="B74" t="s">
        <v>2602</v>
      </c>
      <c r="C74">
        <v>63.735250000000001</v>
      </c>
      <c r="D74">
        <v>148.89762999999999</v>
      </c>
      <c r="E74" s="2">
        <v>0.50694444444444442</v>
      </c>
      <c r="F74" s="2">
        <v>0.51527777777777783</v>
      </c>
      <c r="G74" s="31">
        <f t="shared" si="2"/>
        <v>8.3333333333334147E-3</v>
      </c>
      <c r="H74" t="s">
        <v>2543</v>
      </c>
      <c r="K74" t="s">
        <v>3845</v>
      </c>
    </row>
    <row r="75" spans="1:11" x14ac:dyDescent="0.2">
      <c r="A75" s="1">
        <v>43579</v>
      </c>
      <c r="B75" t="s">
        <v>2602</v>
      </c>
      <c r="C75">
        <v>63.735849999999999</v>
      </c>
      <c r="D75">
        <v>148.89861999999999</v>
      </c>
      <c r="E75" s="2">
        <v>0.52500000000000002</v>
      </c>
      <c r="F75" s="2">
        <v>0.53402777777777777</v>
      </c>
      <c r="G75" s="31">
        <f t="shared" si="2"/>
        <v>9.0277777777777457E-3</v>
      </c>
      <c r="H75" t="s">
        <v>2543</v>
      </c>
      <c r="K75" t="s">
        <v>3846</v>
      </c>
    </row>
    <row r="76" spans="1:11" x14ac:dyDescent="0.2">
      <c r="A76" s="1">
        <v>43580</v>
      </c>
      <c r="B76" t="s">
        <v>2856</v>
      </c>
      <c r="C76">
        <v>63.722020000000001</v>
      </c>
      <c r="D76">
        <v>148.95556999999999</v>
      </c>
      <c r="E76" s="2">
        <v>0.39444444444444443</v>
      </c>
      <c r="F76" s="2">
        <v>0.40833333333333338</v>
      </c>
      <c r="G76" s="31">
        <f t="shared" si="2"/>
        <v>1.3888888888888951E-2</v>
      </c>
      <c r="H76" t="s">
        <v>2543</v>
      </c>
      <c r="K76" t="s">
        <v>3847</v>
      </c>
    </row>
    <row r="77" spans="1:11" x14ac:dyDescent="0.2">
      <c r="A77" s="1">
        <v>43580</v>
      </c>
      <c r="B77" t="s">
        <v>2856</v>
      </c>
      <c r="C77">
        <v>63.722020000000001</v>
      </c>
      <c r="D77">
        <v>148.95556999999999</v>
      </c>
      <c r="E77" s="2">
        <v>0.41111111111111115</v>
      </c>
      <c r="F77" s="2">
        <v>0.44027777777777777</v>
      </c>
      <c r="G77" s="31">
        <f t="shared" si="2"/>
        <v>2.9166666666666619E-2</v>
      </c>
      <c r="H77" t="s">
        <v>2543</v>
      </c>
      <c r="K77" t="s">
        <v>3848</v>
      </c>
    </row>
    <row r="78" spans="1:11" x14ac:dyDescent="0.2">
      <c r="A78" s="1">
        <v>43581</v>
      </c>
      <c r="B78" t="s">
        <v>2591</v>
      </c>
      <c r="C78">
        <v>63.72457</v>
      </c>
      <c r="D78">
        <v>148.96351999999999</v>
      </c>
      <c r="E78" s="2">
        <v>0.36527777777777781</v>
      </c>
      <c r="F78" s="2">
        <v>0.36874999999999997</v>
      </c>
      <c r="G78" s="31">
        <f t="shared" si="2"/>
        <v>3.4722222222221544E-3</v>
      </c>
      <c r="H78" t="s">
        <v>2540</v>
      </c>
      <c r="I78" t="s">
        <v>2542</v>
      </c>
      <c r="K78" t="s">
        <v>3598</v>
      </c>
    </row>
    <row r="79" spans="1:11" x14ac:dyDescent="0.2">
      <c r="A79" s="1">
        <v>43581</v>
      </c>
      <c r="B79" t="s">
        <v>2591</v>
      </c>
      <c r="C79">
        <v>63.725070000000002</v>
      </c>
      <c r="D79">
        <v>148.96459999999999</v>
      </c>
      <c r="E79" s="2">
        <v>0.37638888888888888</v>
      </c>
      <c r="F79" s="2">
        <v>0.37847222222222227</v>
      </c>
      <c r="G79" s="31">
        <f t="shared" si="2"/>
        <v>2.0833333333333814E-3</v>
      </c>
      <c r="H79" t="s">
        <v>2543</v>
      </c>
      <c r="K79" t="s">
        <v>3849</v>
      </c>
    </row>
    <row r="80" spans="1:11" x14ac:dyDescent="0.2">
      <c r="A80" s="1">
        <v>43581</v>
      </c>
      <c r="B80" t="s">
        <v>2591</v>
      </c>
      <c r="C80">
        <v>63.724170000000001</v>
      </c>
      <c r="D80">
        <v>148.96494000000001</v>
      </c>
      <c r="E80" s="2">
        <v>0.44305555555555554</v>
      </c>
      <c r="F80" s="2">
        <v>0.44930555555555557</v>
      </c>
      <c r="G80" s="31">
        <f t="shared" si="2"/>
        <v>6.2500000000000333E-3</v>
      </c>
      <c r="H80" t="s">
        <v>2540</v>
      </c>
      <c r="I80" t="s">
        <v>3136</v>
      </c>
      <c r="K80" t="s">
        <v>3850</v>
      </c>
    </row>
    <row r="81" spans="1:11" x14ac:dyDescent="0.2">
      <c r="A81" s="1">
        <v>43581</v>
      </c>
      <c r="B81" t="s">
        <v>2586</v>
      </c>
      <c r="C81">
        <v>63.722990000000003</v>
      </c>
      <c r="D81">
        <v>148.88989000000001</v>
      </c>
      <c r="E81" s="2">
        <v>0.5805555555555556</v>
      </c>
      <c r="F81" s="2">
        <v>0.58194444444444449</v>
      </c>
      <c r="G81" s="31">
        <f t="shared" si="2"/>
        <v>1.388888888888884E-3</v>
      </c>
      <c r="H81" t="s">
        <v>2543</v>
      </c>
      <c r="K81" t="s">
        <v>3810</v>
      </c>
    </row>
    <row r="82" spans="1:11" x14ac:dyDescent="0.2">
      <c r="A82" s="1">
        <v>43583</v>
      </c>
      <c r="B82" t="s">
        <v>2590</v>
      </c>
      <c r="C82">
        <v>63.740600000000001</v>
      </c>
      <c r="D82">
        <v>148.89827</v>
      </c>
      <c r="E82" s="2">
        <v>0.48888888888888887</v>
      </c>
      <c r="F82" s="2">
        <v>0.49305555555555558</v>
      </c>
      <c r="G82" s="31">
        <f t="shared" si="2"/>
        <v>4.1666666666667074E-3</v>
      </c>
      <c r="H82" t="s">
        <v>2543</v>
      </c>
      <c r="K82" t="s">
        <v>3851</v>
      </c>
    </row>
    <row r="83" spans="1:11" x14ac:dyDescent="0.2">
      <c r="A83" s="1">
        <v>43585</v>
      </c>
      <c r="B83" t="s">
        <v>2538</v>
      </c>
      <c r="C83">
        <v>63.720030000000001</v>
      </c>
      <c r="D83">
        <v>148.98892000000001</v>
      </c>
      <c r="E83" s="2">
        <v>0.36944444444444446</v>
      </c>
      <c r="F83" s="2">
        <v>0.37847222222222227</v>
      </c>
      <c r="G83" s="31">
        <f t="shared" si="2"/>
        <v>9.0277777777778012E-3</v>
      </c>
      <c r="H83" t="s">
        <v>2543</v>
      </c>
      <c r="J83" t="s">
        <v>2542</v>
      </c>
      <c r="K83" t="s">
        <v>3852</v>
      </c>
    </row>
    <row r="84" spans="1:11" x14ac:dyDescent="0.2">
      <c r="A84" s="1">
        <v>43585</v>
      </c>
      <c r="B84" t="s">
        <v>2538</v>
      </c>
      <c r="C84">
        <v>63.720149999999997</v>
      </c>
      <c r="D84">
        <v>148.98871</v>
      </c>
      <c r="E84" s="2">
        <v>0.38055555555555554</v>
      </c>
      <c r="F84" s="2">
        <v>0.3840277777777778</v>
      </c>
      <c r="G84" s="31">
        <f t="shared" si="2"/>
        <v>3.4722222222222654E-3</v>
      </c>
      <c r="H84" t="s">
        <v>2543</v>
      </c>
      <c r="J84" t="s">
        <v>2588</v>
      </c>
      <c r="K84" t="s">
        <v>3853</v>
      </c>
    </row>
    <row r="85" spans="1:11" x14ac:dyDescent="0.2">
      <c r="A85" s="1">
        <v>43585</v>
      </c>
      <c r="B85" t="s">
        <v>2538</v>
      </c>
      <c r="C85">
        <v>63.720289999999999</v>
      </c>
      <c r="D85">
        <v>148.98912000000001</v>
      </c>
      <c r="E85" s="2">
        <v>0.39374999999999999</v>
      </c>
      <c r="F85" s="2">
        <v>0.40069444444444446</v>
      </c>
      <c r="G85" s="31">
        <f t="shared" si="2"/>
        <v>6.9444444444444753E-3</v>
      </c>
      <c r="H85" t="s">
        <v>2543</v>
      </c>
      <c r="J85" t="s">
        <v>3136</v>
      </c>
      <c r="K85" t="s">
        <v>3854</v>
      </c>
    </row>
    <row r="86" spans="1:11" x14ac:dyDescent="0.2">
      <c r="A86" s="1">
        <v>43585</v>
      </c>
      <c r="B86" t="s">
        <v>2538</v>
      </c>
      <c r="C86">
        <v>63.720010000000002</v>
      </c>
      <c r="D86">
        <v>148.98734999999999</v>
      </c>
      <c r="E86" s="2">
        <v>0.40972222222222227</v>
      </c>
      <c r="F86" s="2">
        <v>0.4201388888888889</v>
      </c>
      <c r="G86" s="31">
        <f t="shared" si="2"/>
        <v>1.041666666666663E-2</v>
      </c>
      <c r="H86" t="s">
        <v>2540</v>
      </c>
      <c r="I86" t="s">
        <v>3722</v>
      </c>
      <c r="K86" t="s">
        <v>3855</v>
      </c>
    </row>
    <row r="87" spans="1:11" x14ac:dyDescent="0.2">
      <c r="A87" s="1">
        <v>43585</v>
      </c>
      <c r="B87" t="s">
        <v>2856</v>
      </c>
      <c r="C87">
        <v>63.722299999999997</v>
      </c>
      <c r="D87">
        <v>148.95059000000001</v>
      </c>
      <c r="E87" s="2">
        <v>0.60069444444444442</v>
      </c>
      <c r="F87" s="2">
        <v>0.61597222222222225</v>
      </c>
      <c r="G87" s="31">
        <f t="shared" si="2"/>
        <v>1.5277777777777835E-2</v>
      </c>
      <c r="H87" t="s">
        <v>2543</v>
      </c>
      <c r="K87" t="s">
        <v>3856</v>
      </c>
    </row>
    <row r="88" spans="1:11" x14ac:dyDescent="0.2">
      <c r="A88" s="1">
        <v>43587</v>
      </c>
      <c r="B88" t="s">
        <v>2602</v>
      </c>
      <c r="C88">
        <v>63.73657</v>
      </c>
      <c r="D88">
        <v>148.90421000000001</v>
      </c>
      <c r="E88" s="2">
        <v>0.40763888888888888</v>
      </c>
      <c r="F88" s="2">
        <v>0.41319444444444442</v>
      </c>
      <c r="G88" s="31">
        <f t="shared" si="2"/>
        <v>5.5555555555555358E-3</v>
      </c>
      <c r="H88" t="s">
        <v>2543</v>
      </c>
      <c r="K88" t="s">
        <v>3857</v>
      </c>
    </row>
    <row r="89" spans="1:11" x14ac:dyDescent="0.2">
      <c r="A89" s="1">
        <v>43587</v>
      </c>
      <c r="B89" t="s">
        <v>3753</v>
      </c>
      <c r="C89">
        <v>63.733550000000001</v>
      </c>
      <c r="D89">
        <v>148.90380999999999</v>
      </c>
      <c r="E89" s="2">
        <v>0.4201388888888889</v>
      </c>
      <c r="F89" s="2">
        <v>0.4291666666666667</v>
      </c>
      <c r="G89" s="31">
        <f t="shared" si="2"/>
        <v>9.0277777777778012E-3</v>
      </c>
      <c r="H89" t="s">
        <v>2540</v>
      </c>
      <c r="I89" t="s">
        <v>2542</v>
      </c>
      <c r="J89" t="s">
        <v>2588</v>
      </c>
      <c r="K89" t="s">
        <v>3858</v>
      </c>
    </row>
    <row r="90" spans="1:11" x14ac:dyDescent="0.2">
      <c r="A90" s="1">
        <v>43587</v>
      </c>
      <c r="B90" t="s">
        <v>2601</v>
      </c>
      <c r="C90">
        <v>63.725999999999999</v>
      </c>
      <c r="D90">
        <v>148.95747</v>
      </c>
      <c r="E90" s="2">
        <v>0.59861111111111109</v>
      </c>
      <c r="F90" s="2">
        <v>0.60486111111111118</v>
      </c>
      <c r="G90" s="31">
        <f t="shared" si="2"/>
        <v>6.2500000000000888E-3</v>
      </c>
      <c r="H90" t="s">
        <v>2543</v>
      </c>
      <c r="K90" t="s">
        <v>3859</v>
      </c>
    </row>
    <row r="91" spans="1:11" x14ac:dyDescent="0.2">
      <c r="A91" s="1">
        <v>43587</v>
      </c>
      <c r="B91" t="s">
        <v>2601</v>
      </c>
      <c r="C91">
        <v>63.726219999999998</v>
      </c>
      <c r="D91">
        <v>148.96073999999999</v>
      </c>
      <c r="E91" s="2">
        <v>0.60902777777777783</v>
      </c>
      <c r="F91" s="2">
        <v>0.61249999999999993</v>
      </c>
      <c r="G91" s="31">
        <f t="shared" si="2"/>
        <v>3.4722222222220989E-3</v>
      </c>
      <c r="H91" t="s">
        <v>2543</v>
      </c>
      <c r="K91" t="s">
        <v>3860</v>
      </c>
    </row>
    <row r="92" spans="1:11" x14ac:dyDescent="0.2">
      <c r="A92" s="1">
        <v>43588</v>
      </c>
      <c r="B92" t="s">
        <v>2856</v>
      </c>
      <c r="C92">
        <v>63.722990000000003</v>
      </c>
      <c r="D92">
        <v>148.94640999999999</v>
      </c>
      <c r="E92" s="2">
        <v>0.47152777777777777</v>
      </c>
      <c r="F92" s="2">
        <v>0.49374999999999997</v>
      </c>
      <c r="G92" s="31">
        <f t="shared" si="2"/>
        <v>2.2222222222222199E-2</v>
      </c>
      <c r="H92" t="s">
        <v>2540</v>
      </c>
      <c r="I92" t="s">
        <v>2542</v>
      </c>
      <c r="J92" t="s">
        <v>2588</v>
      </c>
      <c r="K92" t="s">
        <v>3861</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I63"/>
  <sheetViews>
    <sheetView workbookViewId="0">
      <selection activeCell="R16" sqref="R16"/>
    </sheetView>
  </sheetViews>
  <sheetFormatPr baseColWidth="10" defaultRowHeight="16" x14ac:dyDescent="0.2"/>
  <cols>
    <col min="21" max="22" width="10.83203125" style="19"/>
    <col min="23" max="23" width="12.1640625" customWidth="1"/>
    <col min="34" max="34" width="11" customWidth="1"/>
  </cols>
  <sheetData>
    <row r="1" spans="1:35" x14ac:dyDescent="0.2">
      <c r="A1" t="s">
        <v>25</v>
      </c>
      <c r="B1" t="s">
        <v>0</v>
      </c>
      <c r="C1" t="s">
        <v>2033</v>
      </c>
      <c r="D1" t="s">
        <v>2034</v>
      </c>
      <c r="E1" t="s">
        <v>1</v>
      </c>
      <c r="F1" t="s">
        <v>2</v>
      </c>
      <c r="G1" t="s">
        <v>4</v>
      </c>
      <c r="H1" t="s">
        <v>3</v>
      </c>
      <c r="I1" t="s">
        <v>9</v>
      </c>
      <c r="J1" t="s">
        <v>106</v>
      </c>
      <c r="K1" t="s">
        <v>5</v>
      </c>
      <c r="L1" t="s">
        <v>6</v>
      </c>
      <c r="M1" t="s">
        <v>7</v>
      </c>
      <c r="N1" t="s">
        <v>98</v>
      </c>
      <c r="O1" t="s">
        <v>551</v>
      </c>
      <c r="P1" t="s">
        <v>113</v>
      </c>
      <c r="Q1" t="s">
        <v>114</v>
      </c>
      <c r="R1" t="s">
        <v>2335</v>
      </c>
      <c r="S1" t="s">
        <v>2378</v>
      </c>
      <c r="T1" t="s">
        <v>912</v>
      </c>
      <c r="U1" s="19" t="s">
        <v>2038</v>
      </c>
      <c r="V1" s="19" t="s">
        <v>2039</v>
      </c>
      <c r="W1" s="19" t="s">
        <v>2607</v>
      </c>
      <c r="X1" s="19" t="s">
        <v>2608</v>
      </c>
      <c r="Y1" s="19" t="s">
        <v>3222</v>
      </c>
      <c r="Z1" t="s">
        <v>19</v>
      </c>
      <c r="AA1" t="s">
        <v>20</v>
      </c>
      <c r="AB1" t="s">
        <v>18</v>
      </c>
      <c r="AC1" t="s">
        <v>21</v>
      </c>
      <c r="AD1" t="s">
        <v>122</v>
      </c>
      <c r="AE1" t="s">
        <v>8</v>
      </c>
      <c r="AF1" t="s">
        <v>15</v>
      </c>
      <c r="AG1" t="s">
        <v>17</v>
      </c>
      <c r="AH1" t="s">
        <v>56</v>
      </c>
      <c r="AI1" t="s">
        <v>57</v>
      </c>
    </row>
    <row r="2" spans="1:35" x14ac:dyDescent="0.2">
      <c r="A2" t="s">
        <v>3608</v>
      </c>
      <c r="B2" t="s">
        <v>3606</v>
      </c>
      <c r="C2">
        <v>4</v>
      </c>
      <c r="D2">
        <v>1</v>
      </c>
      <c r="E2" t="s">
        <v>791</v>
      </c>
      <c r="F2" s="1">
        <v>43581</v>
      </c>
      <c r="G2" s="2">
        <v>0.25069444444444444</v>
      </c>
      <c r="I2" t="s">
        <v>924</v>
      </c>
      <c r="J2" t="s">
        <v>187</v>
      </c>
      <c r="K2" t="s">
        <v>1196</v>
      </c>
      <c r="L2">
        <v>1</v>
      </c>
      <c r="M2">
        <v>0</v>
      </c>
      <c r="N2">
        <v>1</v>
      </c>
      <c r="O2" s="5" t="s">
        <v>2437</v>
      </c>
      <c r="P2" s="5" t="s">
        <v>122</v>
      </c>
      <c r="Q2" s="5" t="s">
        <v>3609</v>
      </c>
      <c r="R2" s="5" t="s">
        <v>3610</v>
      </c>
      <c r="S2" s="5" t="s">
        <v>3610</v>
      </c>
      <c r="T2">
        <v>1</v>
      </c>
      <c r="U2" s="19">
        <v>63.724170000000001</v>
      </c>
      <c r="V2" s="19">
        <v>148.96494000000001</v>
      </c>
      <c r="W2" s="5" t="s">
        <v>115</v>
      </c>
      <c r="X2" s="5" t="s">
        <v>115</v>
      </c>
      <c r="Y2" s="5" t="s">
        <v>115</v>
      </c>
      <c r="Z2">
        <v>0</v>
      </c>
      <c r="AA2">
        <v>0</v>
      </c>
      <c r="AB2">
        <v>0</v>
      </c>
      <c r="AC2">
        <v>0</v>
      </c>
      <c r="AD2">
        <v>253</v>
      </c>
      <c r="AE2">
        <f>SUM(Z2+AA2+AD2)</f>
        <v>253</v>
      </c>
      <c r="AF2" t="s">
        <v>188</v>
      </c>
      <c r="AG2" t="s">
        <v>3611</v>
      </c>
    </row>
    <row r="3" spans="1:35" x14ac:dyDescent="0.2">
      <c r="A3" t="s">
        <v>3597</v>
      </c>
      <c r="B3" t="s">
        <v>3598</v>
      </c>
      <c r="C3">
        <v>1</v>
      </c>
      <c r="D3">
        <v>2</v>
      </c>
      <c r="E3" t="s">
        <v>791</v>
      </c>
      <c r="F3" s="1">
        <v>43581</v>
      </c>
      <c r="G3" s="2">
        <v>2.7083333333333334E-2</v>
      </c>
      <c r="I3" t="s">
        <v>927</v>
      </c>
      <c r="J3" t="s">
        <v>107</v>
      </c>
      <c r="K3" t="s">
        <v>115</v>
      </c>
      <c r="L3">
        <v>0</v>
      </c>
      <c r="M3">
        <v>0</v>
      </c>
      <c r="N3">
        <v>1</v>
      </c>
      <c r="O3" s="5" t="s">
        <v>764</v>
      </c>
      <c r="P3" s="5" t="s">
        <v>24</v>
      </c>
      <c r="Q3" s="5" t="s">
        <v>3599</v>
      </c>
      <c r="R3" s="5" t="s">
        <v>115</v>
      </c>
      <c r="S3" s="5" t="s">
        <v>115</v>
      </c>
      <c r="T3" s="5" t="s">
        <v>115</v>
      </c>
      <c r="U3" s="24">
        <v>63.72457</v>
      </c>
      <c r="V3" s="24">
        <v>148.96351999999999</v>
      </c>
      <c r="W3" s="5" t="s">
        <v>24</v>
      </c>
      <c r="X3" s="5" t="s">
        <v>24</v>
      </c>
      <c r="Y3" s="5" t="s">
        <v>115</v>
      </c>
      <c r="Z3">
        <v>0</v>
      </c>
      <c r="AA3">
        <v>0</v>
      </c>
      <c r="AB3">
        <v>0</v>
      </c>
      <c r="AC3">
        <v>0</v>
      </c>
      <c r="AD3">
        <v>0</v>
      </c>
      <c r="AE3">
        <f>SUM(Z3+AA3+AD3)</f>
        <v>0</v>
      </c>
      <c r="AG3" t="s">
        <v>3600</v>
      </c>
    </row>
    <row r="4" spans="1:35" x14ac:dyDescent="0.2">
      <c r="A4" t="s">
        <v>3597</v>
      </c>
      <c r="B4" t="s">
        <v>3598</v>
      </c>
      <c r="C4">
        <v>1</v>
      </c>
      <c r="D4">
        <v>1</v>
      </c>
      <c r="E4" t="s">
        <v>791</v>
      </c>
      <c r="F4" s="1">
        <v>43581</v>
      </c>
      <c r="G4" s="2">
        <v>2.7083333333333334E-2</v>
      </c>
      <c r="I4" t="s">
        <v>927</v>
      </c>
      <c r="J4" t="s">
        <v>107</v>
      </c>
      <c r="K4" t="s">
        <v>115</v>
      </c>
      <c r="L4">
        <v>1</v>
      </c>
      <c r="M4">
        <v>1</v>
      </c>
      <c r="N4">
        <v>1</v>
      </c>
      <c r="O4" s="5" t="s">
        <v>764</v>
      </c>
      <c r="P4" s="5" t="s">
        <v>24</v>
      </c>
      <c r="Q4" s="5" t="s">
        <v>3599</v>
      </c>
      <c r="R4" s="5" t="s">
        <v>2825</v>
      </c>
      <c r="S4" s="5">
        <v>90</v>
      </c>
      <c r="T4" s="5" t="s">
        <v>176</v>
      </c>
      <c r="U4" s="24">
        <v>63.72457</v>
      </c>
      <c r="V4" s="24">
        <v>148.96351999999999</v>
      </c>
      <c r="W4" s="5" t="s">
        <v>24</v>
      </c>
      <c r="X4" s="5" t="s">
        <v>24</v>
      </c>
      <c r="Y4" s="5" t="s">
        <v>115</v>
      </c>
      <c r="Z4">
        <v>0</v>
      </c>
      <c r="AA4">
        <v>0</v>
      </c>
      <c r="AB4">
        <v>0</v>
      </c>
      <c r="AC4">
        <v>0</v>
      </c>
      <c r="AD4">
        <v>0</v>
      </c>
      <c r="AE4">
        <f>SUM(Z4+AA4+AD4)</f>
        <v>0</v>
      </c>
      <c r="AG4" t="s">
        <v>2480</v>
      </c>
    </row>
    <row r="5" spans="1:35" x14ac:dyDescent="0.2">
      <c r="A5" t="s">
        <v>3232</v>
      </c>
      <c r="B5" t="s">
        <v>3233</v>
      </c>
      <c r="C5">
        <v>3</v>
      </c>
      <c r="D5">
        <v>1</v>
      </c>
      <c r="E5" t="s">
        <v>791</v>
      </c>
      <c r="F5" s="1">
        <v>43572</v>
      </c>
      <c r="G5" s="2">
        <v>4.7916666666666663E-2</v>
      </c>
      <c r="H5" t="s">
        <v>3187</v>
      </c>
      <c r="I5" t="s">
        <v>924</v>
      </c>
      <c r="J5" t="s">
        <v>111</v>
      </c>
      <c r="K5" t="s">
        <v>115</v>
      </c>
      <c r="L5">
        <v>0</v>
      </c>
      <c r="M5">
        <v>0</v>
      </c>
      <c r="N5">
        <v>1</v>
      </c>
      <c r="O5" s="5" t="s">
        <v>2801</v>
      </c>
      <c r="P5" s="5" t="s">
        <v>115</v>
      </c>
      <c r="Q5" s="5" t="s">
        <v>2068</v>
      </c>
      <c r="R5" s="5" t="s">
        <v>3238</v>
      </c>
      <c r="S5" s="5">
        <v>265</v>
      </c>
      <c r="T5" s="5">
        <v>9</v>
      </c>
      <c r="U5" s="24">
        <v>63.725189999999998</v>
      </c>
      <c r="V5" s="24">
        <v>148.96460999999999</v>
      </c>
      <c r="W5" s="5" t="s">
        <v>115</v>
      </c>
      <c r="X5" s="5" t="s">
        <v>115</v>
      </c>
      <c r="Y5" s="5" t="s">
        <v>115</v>
      </c>
      <c r="Z5" s="5">
        <v>0</v>
      </c>
      <c r="AA5" s="5">
        <v>0</v>
      </c>
      <c r="AB5" s="5">
        <v>0</v>
      </c>
      <c r="AC5" s="5">
        <v>0</v>
      </c>
      <c r="AD5" s="5">
        <v>0</v>
      </c>
      <c r="AE5" s="5">
        <v>0</v>
      </c>
    </row>
    <row r="6" spans="1:35" x14ac:dyDescent="0.2">
      <c r="A6" t="s">
        <v>3090</v>
      </c>
      <c r="B6" t="s">
        <v>3091</v>
      </c>
      <c r="C6">
        <v>9</v>
      </c>
      <c r="D6">
        <v>1</v>
      </c>
      <c r="E6" t="s">
        <v>2601</v>
      </c>
      <c r="F6" s="1">
        <v>43570</v>
      </c>
      <c r="G6" s="2">
        <v>8.2638888888888887E-2</v>
      </c>
      <c r="H6" t="s">
        <v>101</v>
      </c>
      <c r="I6" t="s">
        <v>177</v>
      </c>
      <c r="J6" t="s">
        <v>111</v>
      </c>
      <c r="K6" t="s">
        <v>23</v>
      </c>
      <c r="L6">
        <v>0</v>
      </c>
      <c r="M6">
        <v>0</v>
      </c>
      <c r="N6">
        <v>1</v>
      </c>
      <c r="O6" s="5" t="s">
        <v>3089</v>
      </c>
      <c r="Q6" s="5" t="s">
        <v>2088</v>
      </c>
      <c r="R6" t="s">
        <v>2551</v>
      </c>
      <c r="S6">
        <v>0</v>
      </c>
      <c r="T6">
        <v>40</v>
      </c>
      <c r="U6" s="19">
        <v>63.724319999999999</v>
      </c>
      <c r="V6" s="19">
        <v>148.9547</v>
      </c>
      <c r="W6" s="5" t="s">
        <v>115</v>
      </c>
      <c r="X6" s="5" t="s">
        <v>115</v>
      </c>
      <c r="Y6" s="5"/>
      <c r="Z6">
        <v>0</v>
      </c>
      <c r="AA6">
        <v>0</v>
      </c>
      <c r="AB6">
        <v>0</v>
      </c>
      <c r="AC6">
        <v>0</v>
      </c>
      <c r="AD6">
        <v>0</v>
      </c>
      <c r="AE6">
        <f t="shared" ref="AE6:AE23" si="0">SUM(Z6+AA6+AD6)</f>
        <v>0</v>
      </c>
      <c r="AG6" t="s">
        <v>3092</v>
      </c>
    </row>
    <row r="7" spans="1:35" x14ac:dyDescent="0.2">
      <c r="A7" t="s">
        <v>2909</v>
      </c>
      <c r="B7" t="s">
        <v>2910</v>
      </c>
      <c r="C7">
        <v>3</v>
      </c>
      <c r="D7">
        <v>1</v>
      </c>
      <c r="E7" t="s">
        <v>2601</v>
      </c>
      <c r="F7" s="1">
        <v>43558</v>
      </c>
      <c r="G7" s="2">
        <v>3.472222222222222E-3</v>
      </c>
      <c r="I7" t="s">
        <v>173</v>
      </c>
      <c r="J7" t="s">
        <v>111</v>
      </c>
      <c r="K7" t="s">
        <v>23</v>
      </c>
      <c r="L7">
        <v>0</v>
      </c>
      <c r="M7">
        <v>0</v>
      </c>
      <c r="N7">
        <v>1</v>
      </c>
      <c r="O7" s="5" t="s">
        <v>2911</v>
      </c>
      <c r="P7" s="5" t="s">
        <v>122</v>
      </c>
      <c r="Q7" s="5" t="s">
        <v>2088</v>
      </c>
      <c r="R7" s="5" t="s">
        <v>2912</v>
      </c>
      <c r="S7">
        <v>220</v>
      </c>
      <c r="T7" t="s">
        <v>24</v>
      </c>
      <c r="U7" s="19">
        <v>63.725769999999997</v>
      </c>
      <c r="V7" s="19">
        <v>148.95903000000001</v>
      </c>
      <c r="W7" s="5" t="s">
        <v>115</v>
      </c>
      <c r="X7" s="5" t="s">
        <v>115</v>
      </c>
      <c r="Y7" s="5"/>
      <c r="Z7">
        <v>0</v>
      </c>
      <c r="AA7">
        <v>0</v>
      </c>
      <c r="AB7">
        <v>0</v>
      </c>
      <c r="AC7">
        <v>0</v>
      </c>
      <c r="AD7">
        <v>0</v>
      </c>
      <c r="AE7">
        <f t="shared" si="0"/>
        <v>0</v>
      </c>
      <c r="AG7" t="s">
        <v>2913</v>
      </c>
    </row>
    <row r="8" spans="1:35" x14ac:dyDescent="0.2">
      <c r="A8" t="s">
        <v>3742</v>
      </c>
      <c r="B8" t="s">
        <v>3743</v>
      </c>
      <c r="C8">
        <v>3</v>
      </c>
      <c r="D8">
        <v>1</v>
      </c>
      <c r="E8" t="s">
        <v>2601</v>
      </c>
      <c r="F8" s="1">
        <v>43587</v>
      </c>
      <c r="G8" s="2">
        <v>3.888888888888889E-2</v>
      </c>
      <c r="H8" t="s">
        <v>1278</v>
      </c>
      <c r="I8" t="s">
        <v>177</v>
      </c>
      <c r="J8" t="s">
        <v>187</v>
      </c>
      <c r="K8" t="s">
        <v>23</v>
      </c>
      <c r="L8" t="s">
        <v>24</v>
      </c>
      <c r="M8">
        <v>0</v>
      </c>
      <c r="N8">
        <v>1</v>
      </c>
      <c r="O8" s="5" t="s">
        <v>24</v>
      </c>
      <c r="P8" s="5" t="s">
        <v>24</v>
      </c>
      <c r="Q8" s="5" t="s">
        <v>3744</v>
      </c>
      <c r="R8" t="s">
        <v>2457</v>
      </c>
      <c r="S8">
        <v>32</v>
      </c>
      <c r="T8" s="5" t="s">
        <v>176</v>
      </c>
      <c r="U8" s="19">
        <v>63.72598</v>
      </c>
      <c r="V8" s="19">
        <v>148.96046000000001</v>
      </c>
      <c r="W8" s="5" t="s">
        <v>115</v>
      </c>
      <c r="X8" s="5" t="s">
        <v>115</v>
      </c>
      <c r="Y8" s="5" t="s">
        <v>115</v>
      </c>
      <c r="Z8">
        <v>0</v>
      </c>
      <c r="AA8">
        <v>0</v>
      </c>
      <c r="AB8">
        <v>0</v>
      </c>
      <c r="AC8">
        <v>0</v>
      </c>
      <c r="AD8">
        <v>54</v>
      </c>
      <c r="AE8">
        <f t="shared" si="0"/>
        <v>54</v>
      </c>
      <c r="AF8" t="s">
        <v>188</v>
      </c>
      <c r="AG8" t="s">
        <v>3754</v>
      </c>
    </row>
    <row r="9" spans="1:35" x14ac:dyDescent="0.2">
      <c r="A9" t="s">
        <v>3282</v>
      </c>
      <c r="B9" t="s">
        <v>3283</v>
      </c>
      <c r="C9">
        <v>4</v>
      </c>
      <c r="D9">
        <v>1</v>
      </c>
      <c r="E9" t="s">
        <v>2601</v>
      </c>
      <c r="F9" s="1">
        <v>43573</v>
      </c>
      <c r="G9" s="2">
        <v>1.3194444444444444E-2</v>
      </c>
      <c r="H9" t="s">
        <v>3277</v>
      </c>
      <c r="I9" t="s">
        <v>173</v>
      </c>
      <c r="J9" t="s">
        <v>111</v>
      </c>
      <c r="K9" t="s">
        <v>23</v>
      </c>
      <c r="L9">
        <v>0</v>
      </c>
      <c r="M9">
        <v>0</v>
      </c>
      <c r="N9">
        <v>1</v>
      </c>
      <c r="O9" s="5" t="s">
        <v>2801</v>
      </c>
      <c r="P9" s="5" t="s">
        <v>115</v>
      </c>
      <c r="Q9" s="5" t="s">
        <v>333</v>
      </c>
      <c r="R9" s="5" t="s">
        <v>2850</v>
      </c>
      <c r="S9" s="5">
        <v>120</v>
      </c>
      <c r="T9" s="5" t="s">
        <v>176</v>
      </c>
      <c r="U9" s="24">
        <v>63.726089999999999</v>
      </c>
      <c r="V9" s="24">
        <v>148.95284000000001</v>
      </c>
      <c r="W9" s="5" t="s">
        <v>115</v>
      </c>
      <c r="X9" s="5" t="s">
        <v>115</v>
      </c>
      <c r="Y9" s="5" t="s">
        <v>115</v>
      </c>
      <c r="Z9">
        <v>0</v>
      </c>
      <c r="AA9">
        <v>0</v>
      </c>
      <c r="AB9">
        <v>0</v>
      </c>
      <c r="AC9">
        <v>0</v>
      </c>
      <c r="AD9">
        <v>0</v>
      </c>
      <c r="AE9">
        <f t="shared" si="0"/>
        <v>0</v>
      </c>
    </row>
    <row r="10" spans="1:35" x14ac:dyDescent="0.2">
      <c r="A10" t="s">
        <v>3864</v>
      </c>
      <c r="B10" t="s">
        <v>3865</v>
      </c>
      <c r="C10">
        <v>2</v>
      </c>
      <c r="D10">
        <v>1</v>
      </c>
      <c r="E10" t="s">
        <v>2601</v>
      </c>
      <c r="F10" s="1">
        <v>43590</v>
      </c>
      <c r="G10" s="2">
        <v>3.3333333333333333E-2</v>
      </c>
      <c r="H10" t="s">
        <v>1278</v>
      </c>
      <c r="I10" t="s">
        <v>177</v>
      </c>
      <c r="J10" t="s">
        <v>187</v>
      </c>
      <c r="K10" t="s">
        <v>115</v>
      </c>
      <c r="L10" t="s">
        <v>24</v>
      </c>
      <c r="M10">
        <v>0</v>
      </c>
      <c r="N10">
        <v>1</v>
      </c>
      <c r="O10" s="5" t="s">
        <v>2437</v>
      </c>
      <c r="P10" s="5" t="s">
        <v>24</v>
      </c>
      <c r="Q10" s="5" t="s">
        <v>3866</v>
      </c>
      <c r="R10" s="5" t="s">
        <v>2551</v>
      </c>
      <c r="S10">
        <v>355</v>
      </c>
      <c r="T10" s="5" t="s">
        <v>176</v>
      </c>
      <c r="U10" s="19">
        <v>63.72616</v>
      </c>
      <c r="V10" s="19">
        <v>148.96205</v>
      </c>
      <c r="W10" s="5" t="s">
        <v>115</v>
      </c>
      <c r="X10" s="5" t="s">
        <v>115</v>
      </c>
      <c r="Y10" s="5" t="s">
        <v>115</v>
      </c>
      <c r="Z10">
        <v>0</v>
      </c>
      <c r="AA10">
        <v>0</v>
      </c>
      <c r="AB10">
        <v>0</v>
      </c>
      <c r="AC10">
        <v>0</v>
      </c>
      <c r="AD10">
        <v>44</v>
      </c>
      <c r="AE10">
        <f t="shared" si="0"/>
        <v>44</v>
      </c>
      <c r="AF10" t="s">
        <v>188</v>
      </c>
    </row>
    <row r="11" spans="1:35" x14ac:dyDescent="0.2">
      <c r="A11" t="s">
        <v>3389</v>
      </c>
      <c r="B11" t="s">
        <v>3390</v>
      </c>
      <c r="C11">
        <v>17</v>
      </c>
      <c r="D11">
        <v>1</v>
      </c>
      <c r="E11" t="s">
        <v>3171</v>
      </c>
      <c r="F11" s="1">
        <v>43577</v>
      </c>
      <c r="G11" s="2">
        <v>5.6944444444444443E-2</v>
      </c>
      <c r="H11" t="s">
        <v>101</v>
      </c>
      <c r="I11" t="s">
        <v>149</v>
      </c>
      <c r="J11" t="s">
        <v>242</v>
      </c>
      <c r="K11" t="s">
        <v>23</v>
      </c>
      <c r="L11">
        <v>0</v>
      </c>
      <c r="M11">
        <v>0</v>
      </c>
      <c r="N11">
        <v>1</v>
      </c>
      <c r="O11" s="5" t="s">
        <v>24</v>
      </c>
      <c r="P11" s="5" t="s">
        <v>24</v>
      </c>
      <c r="Q11" s="5" t="s">
        <v>2068</v>
      </c>
      <c r="R11" s="4"/>
      <c r="S11" s="4"/>
      <c r="T11" s="5" t="s">
        <v>176</v>
      </c>
      <c r="U11" s="24">
        <v>63.722610000000003</v>
      </c>
      <c r="V11" s="24">
        <v>148.94719000000001</v>
      </c>
      <c r="W11" s="5" t="s">
        <v>115</v>
      </c>
      <c r="X11" s="5" t="s">
        <v>115</v>
      </c>
      <c r="Y11" s="5" t="s">
        <v>115</v>
      </c>
      <c r="Z11">
        <v>0</v>
      </c>
      <c r="AA11">
        <v>0</v>
      </c>
      <c r="AB11">
        <v>0</v>
      </c>
      <c r="AC11">
        <v>0</v>
      </c>
      <c r="AD11">
        <v>0</v>
      </c>
      <c r="AE11">
        <f t="shared" si="0"/>
        <v>0</v>
      </c>
      <c r="AG11" t="s">
        <v>3391</v>
      </c>
    </row>
    <row r="12" spans="1:35" x14ac:dyDescent="0.2">
      <c r="A12" t="s">
        <v>3389</v>
      </c>
      <c r="B12" t="s">
        <v>3390</v>
      </c>
      <c r="C12">
        <v>17</v>
      </c>
      <c r="D12">
        <v>2</v>
      </c>
      <c r="E12" t="s">
        <v>3171</v>
      </c>
      <c r="F12" s="1">
        <v>43577</v>
      </c>
      <c r="G12" s="2">
        <v>5.6944444444444443E-2</v>
      </c>
      <c r="H12" t="s">
        <v>101</v>
      </c>
      <c r="I12" t="s">
        <v>149</v>
      </c>
      <c r="J12" t="s">
        <v>242</v>
      </c>
      <c r="K12" t="s">
        <v>23</v>
      </c>
      <c r="L12">
        <v>0</v>
      </c>
      <c r="M12">
        <v>0</v>
      </c>
      <c r="N12">
        <v>1</v>
      </c>
      <c r="O12" s="5" t="s">
        <v>24</v>
      </c>
      <c r="P12" s="5" t="s">
        <v>24</v>
      </c>
      <c r="Q12" s="5" t="s">
        <v>2068</v>
      </c>
      <c r="R12" s="4"/>
      <c r="S12" s="4"/>
      <c r="T12" s="5" t="s">
        <v>176</v>
      </c>
      <c r="U12" s="24">
        <v>63.722610000000003</v>
      </c>
      <c r="V12" s="24">
        <v>148.94719000000001</v>
      </c>
      <c r="W12" s="5" t="s">
        <v>115</v>
      </c>
      <c r="X12" s="5" t="s">
        <v>115</v>
      </c>
      <c r="Y12" s="5" t="s">
        <v>115</v>
      </c>
      <c r="Z12">
        <v>0</v>
      </c>
      <c r="AA12">
        <v>0</v>
      </c>
      <c r="AB12">
        <v>0</v>
      </c>
      <c r="AC12">
        <v>0</v>
      </c>
      <c r="AD12">
        <v>0</v>
      </c>
      <c r="AE12">
        <f t="shared" si="0"/>
        <v>0</v>
      </c>
      <c r="AG12" t="s">
        <v>3391</v>
      </c>
    </row>
    <row r="13" spans="1:35" x14ac:dyDescent="0.2">
      <c r="A13" t="s">
        <v>3358</v>
      </c>
      <c r="B13" t="s">
        <v>3359</v>
      </c>
      <c r="C13">
        <v>3</v>
      </c>
      <c r="D13">
        <v>1</v>
      </c>
      <c r="E13" t="s">
        <v>3171</v>
      </c>
      <c r="F13" s="1">
        <v>43577</v>
      </c>
      <c r="G13" s="2">
        <v>2.7777777777777776E-2</v>
      </c>
      <c r="H13" t="s">
        <v>101</v>
      </c>
      <c r="I13" t="s">
        <v>149</v>
      </c>
      <c r="J13" t="s">
        <v>242</v>
      </c>
      <c r="K13" t="s">
        <v>115</v>
      </c>
      <c r="L13">
        <v>0</v>
      </c>
      <c r="M13">
        <v>0</v>
      </c>
      <c r="N13">
        <v>1</v>
      </c>
      <c r="O13" s="5" t="s">
        <v>2801</v>
      </c>
      <c r="P13" s="5" t="s">
        <v>115</v>
      </c>
      <c r="Q13" s="5" t="s">
        <v>333</v>
      </c>
      <c r="R13" s="4"/>
      <c r="S13" s="4"/>
      <c r="T13" s="4" t="s">
        <v>24</v>
      </c>
      <c r="U13" s="19">
        <v>63.722679999999997</v>
      </c>
      <c r="V13" s="19">
        <v>148.95184</v>
      </c>
      <c r="W13" s="5" t="s">
        <v>115</v>
      </c>
      <c r="X13" s="5" t="s">
        <v>115</v>
      </c>
      <c r="Y13" s="5" t="s">
        <v>3360</v>
      </c>
      <c r="Z13">
        <v>0</v>
      </c>
      <c r="AB13">
        <v>0</v>
      </c>
      <c r="AC13">
        <v>0</v>
      </c>
      <c r="AD13">
        <v>0</v>
      </c>
      <c r="AE13">
        <f t="shared" si="0"/>
        <v>0</v>
      </c>
      <c r="AF13" t="s">
        <v>188</v>
      </c>
    </row>
    <row r="14" spans="1:35" x14ac:dyDescent="0.2">
      <c r="A14" t="s">
        <v>3788</v>
      </c>
      <c r="B14" t="s">
        <v>3789</v>
      </c>
      <c r="C14">
        <v>16</v>
      </c>
      <c r="D14">
        <v>1</v>
      </c>
      <c r="E14" t="s">
        <v>3171</v>
      </c>
      <c r="F14" s="1">
        <v>43223</v>
      </c>
      <c r="G14" s="2">
        <v>2.6388888888888889E-2</v>
      </c>
      <c r="H14" t="s">
        <v>3187</v>
      </c>
      <c r="I14" t="s">
        <v>149</v>
      </c>
      <c r="J14" t="s">
        <v>187</v>
      </c>
      <c r="K14" t="s">
        <v>23</v>
      </c>
      <c r="L14">
        <v>1</v>
      </c>
      <c r="M14">
        <v>0</v>
      </c>
      <c r="N14">
        <v>1</v>
      </c>
      <c r="O14" s="5" t="s">
        <v>2437</v>
      </c>
      <c r="P14" s="5" t="s">
        <v>122</v>
      </c>
      <c r="Q14" s="5" t="s">
        <v>333</v>
      </c>
      <c r="R14" s="5" t="s">
        <v>2912</v>
      </c>
      <c r="S14">
        <v>165</v>
      </c>
      <c r="T14">
        <v>5</v>
      </c>
      <c r="U14" s="19">
        <v>63.722900000000003</v>
      </c>
      <c r="V14" s="19">
        <v>148.94708</v>
      </c>
      <c r="X14" s="5" t="s">
        <v>115</v>
      </c>
      <c r="Y14" s="5" t="s">
        <v>115</v>
      </c>
      <c r="Z14">
        <v>0</v>
      </c>
      <c r="AA14">
        <v>0</v>
      </c>
      <c r="AB14">
        <v>0</v>
      </c>
      <c r="AC14">
        <v>0</v>
      </c>
      <c r="AD14">
        <v>23</v>
      </c>
      <c r="AE14">
        <f t="shared" si="0"/>
        <v>23</v>
      </c>
      <c r="AF14" t="s">
        <v>188</v>
      </c>
    </row>
    <row r="15" spans="1:35" x14ac:dyDescent="0.2">
      <c r="A15" t="s">
        <v>3761</v>
      </c>
      <c r="B15" t="s">
        <v>3762</v>
      </c>
      <c r="C15">
        <v>4</v>
      </c>
      <c r="D15">
        <v>1</v>
      </c>
      <c r="E15" t="s">
        <v>3171</v>
      </c>
      <c r="F15" s="1">
        <v>43223</v>
      </c>
      <c r="G15" s="2">
        <v>6.9444444444444441E-3</v>
      </c>
      <c r="H15" t="s">
        <v>3187</v>
      </c>
      <c r="I15" t="s">
        <v>149</v>
      </c>
      <c r="J15" t="s">
        <v>242</v>
      </c>
      <c r="K15" t="s">
        <v>23</v>
      </c>
      <c r="L15">
        <v>1</v>
      </c>
      <c r="M15">
        <v>0</v>
      </c>
      <c r="N15">
        <v>1</v>
      </c>
      <c r="O15" s="5" t="s">
        <v>3794</v>
      </c>
      <c r="P15" s="5" t="s">
        <v>122</v>
      </c>
      <c r="Q15" s="5" t="s">
        <v>333</v>
      </c>
      <c r="R15" s="5" t="s">
        <v>2850</v>
      </c>
      <c r="S15">
        <v>115</v>
      </c>
      <c r="T15" s="5">
        <v>10</v>
      </c>
      <c r="U15" s="19">
        <v>63.722990000000003</v>
      </c>
      <c r="V15" s="24">
        <v>148.94640999999999</v>
      </c>
      <c r="W15" s="5" t="s">
        <v>115</v>
      </c>
      <c r="X15" s="5" t="s">
        <v>115</v>
      </c>
      <c r="Y15" s="5" t="s">
        <v>115</v>
      </c>
      <c r="Z15">
        <v>0</v>
      </c>
      <c r="AA15">
        <v>0</v>
      </c>
      <c r="AB15">
        <v>0</v>
      </c>
      <c r="AC15">
        <v>0</v>
      </c>
      <c r="AD15">
        <v>0</v>
      </c>
      <c r="AE15">
        <f t="shared" si="0"/>
        <v>0</v>
      </c>
      <c r="AG15" t="s">
        <v>3763</v>
      </c>
    </row>
    <row r="16" spans="1:35" x14ac:dyDescent="0.2">
      <c r="A16" t="s">
        <v>3882</v>
      </c>
      <c r="B16" t="s">
        <v>3883</v>
      </c>
      <c r="C16">
        <v>4</v>
      </c>
      <c r="D16">
        <v>1</v>
      </c>
      <c r="E16" t="s">
        <v>3171</v>
      </c>
      <c r="F16" s="1">
        <v>43591</v>
      </c>
      <c r="G16" s="2">
        <v>7.5694444444444439E-2</v>
      </c>
      <c r="H16" t="s">
        <v>1278</v>
      </c>
      <c r="I16" t="s">
        <v>149</v>
      </c>
      <c r="J16" t="s">
        <v>102</v>
      </c>
      <c r="K16" t="s">
        <v>115</v>
      </c>
      <c r="L16">
        <v>0</v>
      </c>
      <c r="M16">
        <v>0</v>
      </c>
      <c r="N16">
        <v>3</v>
      </c>
      <c r="O16" s="5" t="s">
        <v>24</v>
      </c>
      <c r="P16" s="5" t="s">
        <v>24</v>
      </c>
      <c r="Q16" s="5" t="s">
        <v>2088</v>
      </c>
      <c r="R16" s="5" t="s">
        <v>3653</v>
      </c>
      <c r="S16">
        <v>230</v>
      </c>
      <c r="T16" s="5" t="s">
        <v>176</v>
      </c>
      <c r="U16" s="19">
        <v>63.72392</v>
      </c>
      <c r="V16" s="19">
        <v>148.95093</v>
      </c>
      <c r="W16" s="5" t="s">
        <v>115</v>
      </c>
      <c r="X16" s="5" t="s">
        <v>115</v>
      </c>
      <c r="Y16" s="5" t="s">
        <v>115</v>
      </c>
      <c r="Z16">
        <v>0</v>
      </c>
      <c r="AA16">
        <v>0</v>
      </c>
      <c r="AB16">
        <v>0</v>
      </c>
      <c r="AC16">
        <v>0</v>
      </c>
      <c r="AD16">
        <v>0</v>
      </c>
      <c r="AE16">
        <f t="shared" si="0"/>
        <v>0</v>
      </c>
      <c r="AG16" t="s">
        <v>3884</v>
      </c>
    </row>
    <row r="17" spans="1:33" x14ac:dyDescent="0.2">
      <c r="A17" t="s">
        <v>2848</v>
      </c>
      <c r="B17" t="s">
        <v>2849</v>
      </c>
      <c r="C17">
        <v>4</v>
      </c>
      <c r="D17">
        <v>1</v>
      </c>
      <c r="E17" t="s">
        <v>140</v>
      </c>
      <c r="F17" s="1">
        <v>43557</v>
      </c>
      <c r="G17" s="2">
        <v>1.8749999999999999E-2</v>
      </c>
      <c r="H17" s="2"/>
      <c r="I17" t="s">
        <v>149</v>
      </c>
      <c r="J17" t="s">
        <v>111</v>
      </c>
      <c r="K17" t="s">
        <v>23</v>
      </c>
      <c r="L17">
        <v>1</v>
      </c>
      <c r="M17">
        <v>0</v>
      </c>
      <c r="N17">
        <v>1</v>
      </c>
      <c r="O17" s="5" t="s">
        <v>24</v>
      </c>
      <c r="P17" s="5" t="s">
        <v>122</v>
      </c>
      <c r="Q17" s="5" t="s">
        <v>1035</v>
      </c>
      <c r="R17" t="s">
        <v>2850</v>
      </c>
      <c r="S17" s="5">
        <v>115</v>
      </c>
      <c r="T17">
        <v>21</v>
      </c>
      <c r="U17" s="19">
        <v>63.724209999999999</v>
      </c>
      <c r="V17" s="19">
        <v>148.95044999999999</v>
      </c>
      <c r="W17" s="5" t="s">
        <v>115</v>
      </c>
      <c r="X17" s="5" t="s">
        <v>115</v>
      </c>
      <c r="Y17" s="5"/>
      <c r="Z17">
        <v>0</v>
      </c>
      <c r="AA17">
        <v>0</v>
      </c>
      <c r="AB17">
        <v>0</v>
      </c>
      <c r="AC17">
        <v>0</v>
      </c>
      <c r="AD17">
        <v>0</v>
      </c>
      <c r="AE17">
        <f t="shared" si="0"/>
        <v>0</v>
      </c>
      <c r="AG17" t="s">
        <v>2851</v>
      </c>
    </row>
    <row r="18" spans="1:33" x14ac:dyDescent="0.2">
      <c r="A18" t="s">
        <v>2453</v>
      </c>
      <c r="B18" t="s">
        <v>2454</v>
      </c>
      <c r="C18">
        <v>1</v>
      </c>
      <c r="D18">
        <v>1</v>
      </c>
      <c r="E18" t="s">
        <v>2338</v>
      </c>
      <c r="F18" s="1">
        <v>43546</v>
      </c>
      <c r="G18" s="2">
        <v>1.5972222222222224E-2</v>
      </c>
      <c r="H18" t="s">
        <v>101</v>
      </c>
      <c r="I18" t="s">
        <v>589</v>
      </c>
      <c r="J18" t="s">
        <v>102</v>
      </c>
      <c r="K18" t="s">
        <v>23</v>
      </c>
      <c r="L18">
        <v>1</v>
      </c>
      <c r="M18">
        <v>0</v>
      </c>
      <c r="N18">
        <v>1</v>
      </c>
      <c r="O18" t="s">
        <v>2455</v>
      </c>
      <c r="P18" t="s">
        <v>122</v>
      </c>
      <c r="Q18" t="s">
        <v>2456</v>
      </c>
      <c r="R18" t="s">
        <v>2457</v>
      </c>
      <c r="T18">
        <v>1</v>
      </c>
      <c r="U18" s="19">
        <v>63.738889999999998</v>
      </c>
      <c r="V18" s="19">
        <v>148.9128</v>
      </c>
      <c r="Z18">
        <v>0</v>
      </c>
      <c r="AA18">
        <v>0</v>
      </c>
      <c r="AB18">
        <v>0</v>
      </c>
      <c r="AC18">
        <v>0</v>
      </c>
      <c r="AD18">
        <v>0</v>
      </c>
      <c r="AE18">
        <f t="shared" si="0"/>
        <v>0</v>
      </c>
      <c r="AG18" t="s">
        <v>2405</v>
      </c>
    </row>
    <row r="19" spans="1:33" x14ac:dyDescent="0.2">
      <c r="A19" t="s">
        <v>3022</v>
      </c>
      <c r="B19" t="s">
        <v>3023</v>
      </c>
      <c r="C19">
        <v>4</v>
      </c>
      <c r="D19">
        <v>1</v>
      </c>
      <c r="E19" t="s">
        <v>2487</v>
      </c>
      <c r="F19" s="1">
        <v>43564</v>
      </c>
      <c r="G19" s="2">
        <v>5.7638888888888885E-2</v>
      </c>
      <c r="I19" t="s">
        <v>2498</v>
      </c>
      <c r="J19" t="s">
        <v>156</v>
      </c>
      <c r="K19" t="s">
        <v>1196</v>
      </c>
      <c r="L19">
        <v>0</v>
      </c>
      <c r="M19">
        <v>0</v>
      </c>
      <c r="N19">
        <v>1</v>
      </c>
      <c r="O19" s="5" t="s">
        <v>3100</v>
      </c>
      <c r="P19" s="5" t="s">
        <v>122</v>
      </c>
      <c r="Q19" s="5" t="s">
        <v>3024</v>
      </c>
      <c r="R19" s="5" t="s">
        <v>3025</v>
      </c>
      <c r="S19" s="5" t="s">
        <v>3025</v>
      </c>
      <c r="T19" s="5" t="s">
        <v>3026</v>
      </c>
      <c r="U19" s="19">
        <v>63.71922</v>
      </c>
      <c r="V19" s="19">
        <v>148.98706000000001</v>
      </c>
      <c r="W19" s="5" t="s">
        <v>115</v>
      </c>
      <c r="X19" s="5" t="s">
        <v>115</v>
      </c>
      <c r="Y19" s="5"/>
      <c r="Z19">
        <v>0</v>
      </c>
      <c r="AA19">
        <v>0</v>
      </c>
      <c r="AB19">
        <v>0</v>
      </c>
      <c r="AC19">
        <v>0</v>
      </c>
      <c r="AD19">
        <v>65</v>
      </c>
      <c r="AE19">
        <f t="shared" si="0"/>
        <v>65</v>
      </c>
      <c r="AG19" t="s">
        <v>3031</v>
      </c>
    </row>
    <row r="20" spans="1:33" x14ac:dyDescent="0.2">
      <c r="A20" t="s">
        <v>3013</v>
      </c>
      <c r="B20" t="s">
        <v>3014</v>
      </c>
      <c r="C20">
        <v>1</v>
      </c>
      <c r="D20">
        <v>1</v>
      </c>
      <c r="E20" t="s">
        <v>2487</v>
      </c>
      <c r="F20" s="1">
        <v>43564</v>
      </c>
      <c r="G20" s="2">
        <v>2.7083333333333334E-2</v>
      </c>
      <c r="I20" t="s">
        <v>2488</v>
      </c>
      <c r="J20" t="s">
        <v>102</v>
      </c>
      <c r="K20" t="s">
        <v>115</v>
      </c>
      <c r="L20">
        <v>1</v>
      </c>
      <c r="M20">
        <v>0</v>
      </c>
      <c r="N20">
        <v>1</v>
      </c>
      <c r="O20" s="5" t="s">
        <v>2506</v>
      </c>
      <c r="P20" s="5" t="s">
        <v>122</v>
      </c>
      <c r="Q20" s="5" t="s">
        <v>2088</v>
      </c>
      <c r="R20" t="s">
        <v>2825</v>
      </c>
      <c r="S20">
        <v>95</v>
      </c>
      <c r="T20">
        <v>1</v>
      </c>
      <c r="U20" s="19">
        <v>63.71951</v>
      </c>
      <c r="V20" s="19">
        <v>148.98781</v>
      </c>
      <c r="W20" s="5" t="s">
        <v>115</v>
      </c>
      <c r="X20" s="5" t="s">
        <v>115</v>
      </c>
      <c r="Y20" s="5"/>
      <c r="Z20">
        <v>0</v>
      </c>
      <c r="AA20">
        <v>0</v>
      </c>
      <c r="AB20">
        <v>0</v>
      </c>
      <c r="AC20">
        <v>0</v>
      </c>
      <c r="AD20">
        <v>5</v>
      </c>
      <c r="AE20">
        <f t="shared" si="0"/>
        <v>5</v>
      </c>
      <c r="AF20" t="s">
        <v>188</v>
      </c>
      <c r="AG20" t="s">
        <v>3015</v>
      </c>
    </row>
    <row r="21" spans="1:33" x14ac:dyDescent="0.2">
      <c r="A21" t="s">
        <v>3036</v>
      </c>
      <c r="B21" t="s">
        <v>3037</v>
      </c>
      <c r="C21">
        <v>9</v>
      </c>
      <c r="D21">
        <v>1</v>
      </c>
      <c r="E21" t="s">
        <v>2487</v>
      </c>
      <c r="F21" s="1">
        <v>43564</v>
      </c>
      <c r="G21" s="2">
        <v>3.1944444444444449E-2</v>
      </c>
      <c r="I21" t="s">
        <v>2498</v>
      </c>
      <c r="J21" t="s">
        <v>187</v>
      </c>
      <c r="K21" t="s">
        <v>23</v>
      </c>
      <c r="L21">
        <v>1</v>
      </c>
      <c r="M21">
        <v>0</v>
      </c>
      <c r="N21">
        <v>1</v>
      </c>
      <c r="O21" s="5" t="s">
        <v>2437</v>
      </c>
      <c r="P21" s="5" t="s">
        <v>122</v>
      </c>
      <c r="Q21" s="5" t="s">
        <v>2088</v>
      </c>
      <c r="R21" s="5" t="s">
        <v>2765</v>
      </c>
      <c r="S21">
        <v>330</v>
      </c>
      <c r="T21">
        <v>5</v>
      </c>
      <c r="U21" s="19">
        <v>63.719679999999997</v>
      </c>
      <c r="V21" s="19">
        <v>148.98660000000001</v>
      </c>
      <c r="W21" s="5" t="s">
        <v>115</v>
      </c>
      <c r="X21" s="5" t="s">
        <v>115</v>
      </c>
      <c r="Y21" s="5"/>
      <c r="Z21">
        <v>0</v>
      </c>
      <c r="AA21">
        <v>0</v>
      </c>
      <c r="AB21">
        <v>0</v>
      </c>
      <c r="AC21">
        <v>0</v>
      </c>
      <c r="AD21">
        <v>7</v>
      </c>
      <c r="AE21">
        <f t="shared" si="0"/>
        <v>7</v>
      </c>
      <c r="AF21" t="s">
        <v>188</v>
      </c>
    </row>
    <row r="22" spans="1:33" x14ac:dyDescent="0.2">
      <c r="A22" t="s">
        <v>3652</v>
      </c>
      <c r="B22" t="s">
        <v>3651</v>
      </c>
      <c r="C22">
        <v>11</v>
      </c>
      <c r="D22">
        <v>1</v>
      </c>
      <c r="E22" t="s">
        <v>2487</v>
      </c>
      <c r="F22" s="1">
        <v>43585</v>
      </c>
      <c r="G22" s="2">
        <v>6.7361111111111108E-2</v>
      </c>
      <c r="H22" t="s">
        <v>3626</v>
      </c>
      <c r="I22" t="s">
        <v>2498</v>
      </c>
      <c r="J22" t="s">
        <v>102</v>
      </c>
      <c r="K22" t="s">
        <v>115</v>
      </c>
      <c r="L22">
        <v>1</v>
      </c>
      <c r="M22">
        <v>0</v>
      </c>
      <c r="N22">
        <v>1</v>
      </c>
      <c r="O22" s="5" t="s">
        <v>3279</v>
      </c>
      <c r="P22" s="5" t="s">
        <v>122</v>
      </c>
      <c r="Q22" s="5" t="s">
        <v>2088</v>
      </c>
      <c r="R22" s="5" t="s">
        <v>3653</v>
      </c>
      <c r="S22">
        <v>220</v>
      </c>
      <c r="T22" s="32">
        <v>10.9</v>
      </c>
      <c r="U22" s="19">
        <v>63.719990000000003</v>
      </c>
      <c r="V22" s="19">
        <v>148.98865000000001</v>
      </c>
      <c r="W22" t="s">
        <v>115</v>
      </c>
      <c r="X22" t="s">
        <v>115</v>
      </c>
      <c r="Y22" s="5" t="s">
        <v>115</v>
      </c>
      <c r="Z22">
        <v>0</v>
      </c>
      <c r="AA22">
        <v>0</v>
      </c>
      <c r="AB22">
        <v>0</v>
      </c>
      <c r="AC22">
        <v>0</v>
      </c>
      <c r="AD22">
        <v>85</v>
      </c>
      <c r="AE22">
        <f t="shared" si="0"/>
        <v>85</v>
      </c>
      <c r="AF22" t="s">
        <v>188</v>
      </c>
    </row>
    <row r="23" spans="1:33" x14ac:dyDescent="0.2">
      <c r="A23" t="s">
        <v>3683</v>
      </c>
      <c r="B23" t="s">
        <v>3681</v>
      </c>
      <c r="C23">
        <v>24</v>
      </c>
      <c r="D23">
        <v>1</v>
      </c>
      <c r="E23" t="s">
        <v>2487</v>
      </c>
      <c r="F23" s="1">
        <v>43585</v>
      </c>
      <c r="G23" s="2">
        <v>7.9861111111111105E-2</v>
      </c>
      <c r="H23" t="s">
        <v>3626</v>
      </c>
      <c r="I23" t="s">
        <v>2488</v>
      </c>
      <c r="J23" t="s">
        <v>111</v>
      </c>
      <c r="K23" t="s">
        <v>23</v>
      </c>
      <c r="L23">
        <v>0</v>
      </c>
      <c r="M23">
        <v>0</v>
      </c>
      <c r="N23">
        <v>1</v>
      </c>
      <c r="O23" s="5" t="s">
        <v>2801</v>
      </c>
      <c r="P23" s="5" t="s">
        <v>115</v>
      </c>
      <c r="Q23" s="5" t="s">
        <v>3599</v>
      </c>
      <c r="R23" s="5" t="s">
        <v>2912</v>
      </c>
      <c r="S23">
        <v>175</v>
      </c>
      <c r="T23">
        <v>12</v>
      </c>
      <c r="U23" s="19">
        <v>63.720010000000002</v>
      </c>
      <c r="V23" s="19">
        <v>148.98734999999999</v>
      </c>
      <c r="W23" s="5" t="s">
        <v>115</v>
      </c>
      <c r="X23" s="5" t="s">
        <v>115</v>
      </c>
      <c r="Y23" s="5" t="s">
        <v>115</v>
      </c>
      <c r="Z23">
        <v>0</v>
      </c>
      <c r="AA23">
        <v>0</v>
      </c>
      <c r="AB23">
        <v>0</v>
      </c>
      <c r="AC23">
        <v>0</v>
      </c>
      <c r="AD23">
        <v>0</v>
      </c>
      <c r="AE23">
        <f t="shared" si="0"/>
        <v>0</v>
      </c>
      <c r="AG23" t="s">
        <v>3611</v>
      </c>
    </row>
    <row r="24" spans="1:33" x14ac:dyDescent="0.2">
      <c r="A24" t="s">
        <v>3635</v>
      </c>
      <c r="B24" t="s">
        <v>3641</v>
      </c>
      <c r="C24">
        <v>6</v>
      </c>
      <c r="D24">
        <v>1</v>
      </c>
      <c r="E24" t="s">
        <v>2487</v>
      </c>
      <c r="F24" s="1">
        <v>43585</v>
      </c>
      <c r="G24" s="2">
        <v>3.472222222222222E-3</v>
      </c>
      <c r="H24" t="s">
        <v>3626</v>
      </c>
      <c r="I24" t="s">
        <v>2488</v>
      </c>
      <c r="J24" t="s">
        <v>102</v>
      </c>
      <c r="K24" t="s">
        <v>115</v>
      </c>
      <c r="L24">
        <v>0</v>
      </c>
      <c r="M24">
        <v>0</v>
      </c>
      <c r="N24">
        <v>1</v>
      </c>
      <c r="O24" s="5" t="s">
        <v>24</v>
      </c>
      <c r="P24" s="5" t="s">
        <v>24</v>
      </c>
      <c r="Q24" s="5" t="s">
        <v>2088</v>
      </c>
      <c r="R24" s="5" t="s">
        <v>2457</v>
      </c>
      <c r="S24">
        <v>50</v>
      </c>
      <c r="T24" s="5" t="s">
        <v>176</v>
      </c>
      <c r="U24" s="19">
        <v>63.720140000000001</v>
      </c>
      <c r="V24" s="19">
        <v>148.98885999999999</v>
      </c>
      <c r="W24" s="5" t="s">
        <v>115</v>
      </c>
      <c r="X24" s="5" t="s">
        <v>115</v>
      </c>
      <c r="Y24" s="5" t="s">
        <v>115</v>
      </c>
      <c r="Z24">
        <v>0</v>
      </c>
      <c r="AA24">
        <v>0</v>
      </c>
      <c r="AB24">
        <v>0</v>
      </c>
      <c r="AC24">
        <v>0</v>
      </c>
      <c r="AD24">
        <v>0</v>
      </c>
      <c r="AE24">
        <v>0</v>
      </c>
      <c r="AG24" t="s">
        <v>3636</v>
      </c>
    </row>
    <row r="25" spans="1:33" x14ac:dyDescent="0.2">
      <c r="A25" t="s">
        <v>3661</v>
      </c>
      <c r="B25" t="s">
        <v>3660</v>
      </c>
      <c r="C25">
        <v>15</v>
      </c>
      <c r="D25">
        <v>2</v>
      </c>
      <c r="E25" t="s">
        <v>2487</v>
      </c>
      <c r="F25" s="1">
        <v>43585</v>
      </c>
      <c r="G25" s="2">
        <v>0.15416666666666667</v>
      </c>
      <c r="H25" t="s">
        <v>3626</v>
      </c>
      <c r="I25" t="s">
        <v>2488</v>
      </c>
      <c r="J25" t="s">
        <v>102</v>
      </c>
      <c r="K25" t="s">
        <v>115</v>
      </c>
      <c r="L25">
        <v>1</v>
      </c>
      <c r="M25">
        <v>0</v>
      </c>
      <c r="N25">
        <v>1</v>
      </c>
      <c r="O25" s="5" t="s">
        <v>2437</v>
      </c>
      <c r="P25" s="5" t="s">
        <v>122</v>
      </c>
      <c r="Q25" s="5" t="s">
        <v>2141</v>
      </c>
      <c r="R25" s="5" t="s">
        <v>3653</v>
      </c>
      <c r="S25">
        <v>220</v>
      </c>
      <c r="T25">
        <v>4</v>
      </c>
      <c r="U25" s="19">
        <v>63.720669999999998</v>
      </c>
      <c r="V25" s="19">
        <v>148.98961</v>
      </c>
      <c r="W25" s="5" t="s">
        <v>115</v>
      </c>
      <c r="X25" s="5" t="s">
        <v>115</v>
      </c>
      <c r="Y25" s="5" t="s">
        <v>115</v>
      </c>
      <c r="Z25">
        <v>0</v>
      </c>
      <c r="AA25">
        <v>0</v>
      </c>
      <c r="AB25">
        <v>0</v>
      </c>
      <c r="AC25">
        <v>0</v>
      </c>
      <c r="AD25">
        <v>168</v>
      </c>
      <c r="AE25">
        <f t="shared" ref="AE25:AE63" si="1">SUM(Z25+AA25+AD25)</f>
        <v>168</v>
      </c>
      <c r="AF25" t="s">
        <v>188</v>
      </c>
      <c r="AG25" t="s">
        <v>3663</v>
      </c>
    </row>
    <row r="26" spans="1:33" x14ac:dyDescent="0.2">
      <c r="A26" t="s">
        <v>2499</v>
      </c>
      <c r="B26" t="s">
        <v>2500</v>
      </c>
      <c r="C26">
        <v>6</v>
      </c>
      <c r="D26">
        <v>1</v>
      </c>
      <c r="E26" t="s">
        <v>2487</v>
      </c>
      <c r="F26" s="1">
        <v>43549</v>
      </c>
      <c r="G26" s="2">
        <v>2.1527777777777781E-2</v>
      </c>
      <c r="H26" s="5" t="s">
        <v>398</v>
      </c>
      <c r="I26" t="s">
        <v>2498</v>
      </c>
      <c r="J26" t="s">
        <v>111</v>
      </c>
      <c r="K26" t="s">
        <v>23</v>
      </c>
      <c r="L26">
        <v>0</v>
      </c>
      <c r="M26">
        <v>0</v>
      </c>
      <c r="N26">
        <v>1</v>
      </c>
      <c r="O26" t="s">
        <v>14</v>
      </c>
      <c r="P26" t="s">
        <v>122</v>
      </c>
      <c r="Q26" t="s">
        <v>2088</v>
      </c>
      <c r="T26">
        <v>10</v>
      </c>
      <c r="U26" s="19">
        <v>63.72101</v>
      </c>
      <c r="V26" s="19">
        <v>148.98340999999999</v>
      </c>
      <c r="Z26">
        <v>0</v>
      </c>
      <c r="AA26">
        <v>0</v>
      </c>
      <c r="AB26">
        <v>0</v>
      </c>
      <c r="AC26">
        <v>0</v>
      </c>
      <c r="AD26">
        <v>0</v>
      </c>
      <c r="AE26">
        <f t="shared" si="1"/>
        <v>0</v>
      </c>
      <c r="AG26" t="s">
        <v>2501</v>
      </c>
    </row>
    <row r="27" spans="1:33" x14ac:dyDescent="0.2">
      <c r="A27" t="s">
        <v>2815</v>
      </c>
      <c r="B27" t="s">
        <v>2816</v>
      </c>
      <c r="C27">
        <v>14</v>
      </c>
      <c r="D27">
        <v>1</v>
      </c>
      <c r="E27" t="s">
        <v>138</v>
      </c>
      <c r="F27" s="1">
        <v>43556</v>
      </c>
      <c r="G27" s="2">
        <v>9.1666666666666674E-2</v>
      </c>
      <c r="I27" t="s">
        <v>173</v>
      </c>
      <c r="J27" t="s">
        <v>187</v>
      </c>
      <c r="K27" t="s">
        <v>23</v>
      </c>
      <c r="L27">
        <v>1</v>
      </c>
      <c r="M27">
        <v>0</v>
      </c>
      <c r="N27">
        <v>1</v>
      </c>
      <c r="O27" s="5" t="s">
        <v>24</v>
      </c>
      <c r="P27" s="5" t="s">
        <v>122</v>
      </c>
      <c r="Q27" s="5" t="s">
        <v>2088</v>
      </c>
      <c r="R27" s="5" t="s">
        <v>2558</v>
      </c>
      <c r="S27">
        <v>280</v>
      </c>
      <c r="T27">
        <v>5</v>
      </c>
      <c r="U27" s="19">
        <v>63.724850000000004</v>
      </c>
      <c r="V27" s="19">
        <v>148.95644999999999</v>
      </c>
      <c r="W27">
        <v>0</v>
      </c>
      <c r="X27">
        <v>0</v>
      </c>
      <c r="Z27">
        <v>0</v>
      </c>
      <c r="AA27">
        <v>0</v>
      </c>
      <c r="AB27">
        <v>0</v>
      </c>
      <c r="AC27">
        <v>0</v>
      </c>
      <c r="AD27">
        <v>0</v>
      </c>
      <c r="AE27">
        <f t="shared" si="1"/>
        <v>0</v>
      </c>
      <c r="AG27" t="s">
        <v>2817</v>
      </c>
    </row>
    <row r="28" spans="1:33" x14ac:dyDescent="0.2">
      <c r="A28" t="s">
        <v>2823</v>
      </c>
      <c r="B28" t="s">
        <v>2824</v>
      </c>
      <c r="C28">
        <v>17</v>
      </c>
      <c r="D28">
        <v>1</v>
      </c>
      <c r="E28" t="s">
        <v>138</v>
      </c>
      <c r="F28" s="1">
        <v>43556</v>
      </c>
      <c r="G28" s="2">
        <v>5.5555555555555558E-3</v>
      </c>
      <c r="I28" t="s">
        <v>173</v>
      </c>
      <c r="J28" t="s">
        <v>111</v>
      </c>
      <c r="K28" t="s">
        <v>23</v>
      </c>
      <c r="L28">
        <v>0</v>
      </c>
      <c r="M28">
        <v>0</v>
      </c>
      <c r="N28">
        <v>1</v>
      </c>
      <c r="O28" s="5" t="s">
        <v>2802</v>
      </c>
      <c r="P28" s="5" t="s">
        <v>122</v>
      </c>
      <c r="Q28" s="5" t="s">
        <v>1035</v>
      </c>
      <c r="R28" s="5" t="s">
        <v>2825</v>
      </c>
      <c r="S28">
        <v>105</v>
      </c>
      <c r="T28">
        <v>30</v>
      </c>
      <c r="U28" s="19">
        <v>63.724870000000003</v>
      </c>
      <c r="V28" s="19">
        <v>148.95508000000001</v>
      </c>
      <c r="W28">
        <v>0</v>
      </c>
      <c r="X28">
        <v>0</v>
      </c>
      <c r="Z28">
        <v>0</v>
      </c>
      <c r="AA28">
        <v>0</v>
      </c>
      <c r="AB28">
        <v>0</v>
      </c>
      <c r="AC28">
        <v>0</v>
      </c>
      <c r="AD28">
        <v>0</v>
      </c>
      <c r="AE28">
        <f t="shared" si="1"/>
        <v>0</v>
      </c>
      <c r="AG28" t="s">
        <v>2826</v>
      </c>
    </row>
    <row r="29" spans="1:33" x14ac:dyDescent="0.2">
      <c r="A29" t="s">
        <v>2786</v>
      </c>
      <c r="B29" t="s">
        <v>2787</v>
      </c>
      <c r="C29">
        <v>3</v>
      </c>
      <c r="D29">
        <v>1</v>
      </c>
      <c r="E29" t="s">
        <v>2781</v>
      </c>
      <c r="F29" s="1">
        <v>43556</v>
      </c>
      <c r="G29" s="2">
        <v>6.5277777777777782E-2</v>
      </c>
      <c r="I29" t="s">
        <v>2782</v>
      </c>
      <c r="J29" t="s">
        <v>111</v>
      </c>
      <c r="K29" t="s">
        <v>23</v>
      </c>
      <c r="L29">
        <v>1</v>
      </c>
      <c r="M29">
        <v>0</v>
      </c>
      <c r="N29">
        <v>1</v>
      </c>
      <c r="O29" s="5" t="s">
        <v>24</v>
      </c>
      <c r="P29" s="5" t="s">
        <v>2383</v>
      </c>
      <c r="Q29" s="5" t="s">
        <v>1035</v>
      </c>
      <c r="R29" s="5" t="s">
        <v>2457</v>
      </c>
      <c r="S29">
        <v>50</v>
      </c>
      <c r="T29" s="5" t="s">
        <v>24</v>
      </c>
      <c r="U29" s="19">
        <v>63.725149999999999</v>
      </c>
      <c r="V29" s="19">
        <v>148.98685</v>
      </c>
      <c r="W29" s="5" t="s">
        <v>115</v>
      </c>
      <c r="X29" s="5" t="s">
        <v>115</v>
      </c>
      <c r="Y29" s="5"/>
      <c r="Z29">
        <v>0</v>
      </c>
      <c r="AA29">
        <v>0</v>
      </c>
      <c r="AB29">
        <v>0</v>
      </c>
      <c r="AC29">
        <v>0</v>
      </c>
      <c r="AD29">
        <v>0</v>
      </c>
      <c r="AE29">
        <f t="shared" si="1"/>
        <v>0</v>
      </c>
    </row>
    <row r="30" spans="1:33" x14ac:dyDescent="0.2">
      <c r="A30" t="s">
        <v>3513</v>
      </c>
      <c r="B30" t="s">
        <v>3514</v>
      </c>
      <c r="C30">
        <v>29</v>
      </c>
      <c r="D30">
        <v>1</v>
      </c>
      <c r="E30" t="s">
        <v>2462</v>
      </c>
      <c r="F30" s="1">
        <v>43579</v>
      </c>
      <c r="G30" s="2">
        <v>7.0833333333333331E-2</v>
      </c>
      <c r="H30" t="s">
        <v>101</v>
      </c>
      <c r="I30" t="s">
        <v>363</v>
      </c>
      <c r="J30" t="s">
        <v>187</v>
      </c>
      <c r="K30" t="s">
        <v>23</v>
      </c>
      <c r="L30">
        <v>1</v>
      </c>
      <c r="M30">
        <v>0</v>
      </c>
      <c r="N30">
        <v>1</v>
      </c>
      <c r="O30" s="5" t="s">
        <v>2801</v>
      </c>
      <c r="P30" s="5" t="s">
        <v>122</v>
      </c>
      <c r="Q30" s="5" t="s">
        <v>2141</v>
      </c>
      <c r="R30" s="5" t="s">
        <v>2825</v>
      </c>
      <c r="S30">
        <v>80</v>
      </c>
      <c r="T30">
        <v>9</v>
      </c>
      <c r="U30" s="19">
        <v>63.73518</v>
      </c>
      <c r="V30" s="19">
        <v>148.90012999999999</v>
      </c>
      <c r="W30" s="5" t="s">
        <v>115</v>
      </c>
      <c r="X30" s="5" t="s">
        <v>115</v>
      </c>
      <c r="Y30" s="5" t="s">
        <v>115</v>
      </c>
      <c r="Z30">
        <v>0</v>
      </c>
      <c r="AA30">
        <v>0</v>
      </c>
      <c r="AB30">
        <v>0</v>
      </c>
      <c r="AC30">
        <v>0</v>
      </c>
      <c r="AD30">
        <v>6</v>
      </c>
      <c r="AE30">
        <f t="shared" si="1"/>
        <v>6</v>
      </c>
      <c r="AF30" t="s">
        <v>188</v>
      </c>
      <c r="AG30" t="s">
        <v>3015</v>
      </c>
    </row>
    <row r="31" spans="1:33" x14ac:dyDescent="0.2">
      <c r="A31" t="s">
        <v>3245</v>
      </c>
      <c r="B31" t="s">
        <v>3246</v>
      </c>
      <c r="C31">
        <v>1</v>
      </c>
      <c r="D31">
        <v>1</v>
      </c>
      <c r="E31" t="s">
        <v>2462</v>
      </c>
      <c r="F31" s="1">
        <v>43573</v>
      </c>
      <c r="G31" s="2">
        <v>9.7222222222222224E-2</v>
      </c>
      <c r="H31" t="s">
        <v>398</v>
      </c>
      <c r="I31" t="s">
        <v>64</v>
      </c>
      <c r="J31" t="s">
        <v>102</v>
      </c>
      <c r="K31" t="s">
        <v>115</v>
      </c>
      <c r="L31">
        <v>1</v>
      </c>
      <c r="N31">
        <v>1</v>
      </c>
      <c r="O31" s="5" t="s">
        <v>3250</v>
      </c>
      <c r="P31" s="5" t="s">
        <v>122</v>
      </c>
      <c r="Q31" s="5" t="s">
        <v>1035</v>
      </c>
      <c r="R31" s="5" t="s">
        <v>2850</v>
      </c>
      <c r="S31">
        <v>120</v>
      </c>
      <c r="T31">
        <v>2</v>
      </c>
      <c r="U31" s="19">
        <v>63.735770000000002</v>
      </c>
      <c r="V31" s="19">
        <v>148.89854</v>
      </c>
      <c r="W31" s="5" t="s">
        <v>115</v>
      </c>
      <c r="X31" s="5" t="s">
        <v>115</v>
      </c>
      <c r="Y31" s="5" t="s">
        <v>115</v>
      </c>
      <c r="Z31">
        <v>0</v>
      </c>
      <c r="AA31">
        <v>0</v>
      </c>
      <c r="AB31">
        <v>0</v>
      </c>
      <c r="AC31">
        <v>0</v>
      </c>
      <c r="AD31">
        <v>10</v>
      </c>
      <c r="AE31">
        <f t="shared" si="1"/>
        <v>10</v>
      </c>
    </row>
    <row r="32" spans="1:33" x14ac:dyDescent="0.2">
      <c r="A32" t="s">
        <v>3245</v>
      </c>
      <c r="B32" t="s">
        <v>3246</v>
      </c>
      <c r="C32">
        <v>1</v>
      </c>
      <c r="D32">
        <v>2</v>
      </c>
      <c r="E32" t="s">
        <v>2462</v>
      </c>
      <c r="F32" s="1">
        <v>43573</v>
      </c>
      <c r="G32" s="2">
        <v>9.7222222222222224E-2</v>
      </c>
      <c r="H32" t="s">
        <v>398</v>
      </c>
      <c r="I32" t="s">
        <v>64</v>
      </c>
      <c r="J32" t="s">
        <v>102</v>
      </c>
      <c r="K32" t="s">
        <v>23</v>
      </c>
      <c r="L32">
        <v>1</v>
      </c>
      <c r="M32">
        <v>1</v>
      </c>
      <c r="N32">
        <v>1</v>
      </c>
      <c r="O32" s="5" t="s">
        <v>3247</v>
      </c>
      <c r="P32" s="5" t="s">
        <v>2061</v>
      </c>
      <c r="Q32" s="5" t="s">
        <v>1035</v>
      </c>
      <c r="R32" s="5" t="s">
        <v>2825</v>
      </c>
      <c r="S32">
        <v>70</v>
      </c>
      <c r="T32" s="5" t="s">
        <v>3026</v>
      </c>
      <c r="U32" s="19">
        <v>63.735770000000002</v>
      </c>
      <c r="V32" s="19">
        <v>148.89865</v>
      </c>
      <c r="W32">
        <v>63.735770000000002</v>
      </c>
      <c r="X32">
        <v>148.89854</v>
      </c>
      <c r="Y32" s="5" t="s">
        <v>115</v>
      </c>
      <c r="Z32">
        <v>0</v>
      </c>
      <c r="AA32">
        <v>10</v>
      </c>
      <c r="AB32">
        <v>10</v>
      </c>
      <c r="AC32">
        <v>0</v>
      </c>
      <c r="AD32">
        <v>0</v>
      </c>
      <c r="AE32">
        <f t="shared" si="1"/>
        <v>10</v>
      </c>
      <c r="AF32" t="s">
        <v>188</v>
      </c>
      <c r="AG32" t="s">
        <v>3248</v>
      </c>
    </row>
    <row r="33" spans="1:33" x14ac:dyDescent="0.2">
      <c r="A33" t="s">
        <v>3137</v>
      </c>
      <c r="B33" t="s">
        <v>3138</v>
      </c>
      <c r="C33">
        <v>1</v>
      </c>
      <c r="D33">
        <v>1</v>
      </c>
      <c r="E33" t="s">
        <v>2462</v>
      </c>
      <c r="F33" s="1">
        <v>43571</v>
      </c>
      <c r="G33" s="2">
        <v>4.7222222222222221E-2</v>
      </c>
      <c r="H33" t="s">
        <v>1278</v>
      </c>
      <c r="I33" t="s">
        <v>64</v>
      </c>
      <c r="J33" t="s">
        <v>102</v>
      </c>
      <c r="K33" t="s">
        <v>23</v>
      </c>
      <c r="L33">
        <v>1</v>
      </c>
      <c r="M33">
        <v>0</v>
      </c>
      <c r="N33">
        <v>1</v>
      </c>
      <c r="O33" s="5" t="s">
        <v>3139</v>
      </c>
      <c r="P33" s="5" t="s">
        <v>122</v>
      </c>
      <c r="Q33" s="5" t="s">
        <v>1035</v>
      </c>
      <c r="R33" t="s">
        <v>2825</v>
      </c>
      <c r="S33">
        <v>70</v>
      </c>
      <c r="T33">
        <v>1</v>
      </c>
      <c r="U33" s="19">
        <v>63.735900000000001</v>
      </c>
      <c r="V33" s="19">
        <v>148.89832000000001</v>
      </c>
      <c r="W33" s="5" t="s">
        <v>115</v>
      </c>
      <c r="X33" s="5" t="s">
        <v>115</v>
      </c>
      <c r="Y33" s="5"/>
      <c r="Z33">
        <v>0</v>
      </c>
      <c r="AA33">
        <v>0</v>
      </c>
      <c r="AB33">
        <v>0</v>
      </c>
      <c r="AC33">
        <v>0</v>
      </c>
      <c r="AD33">
        <v>33</v>
      </c>
      <c r="AE33">
        <f t="shared" si="1"/>
        <v>33</v>
      </c>
      <c r="AF33" t="s">
        <v>188</v>
      </c>
      <c r="AG33" t="s">
        <v>3140</v>
      </c>
    </row>
    <row r="34" spans="1:33" x14ac:dyDescent="0.2">
      <c r="A34" t="s">
        <v>3913</v>
      </c>
      <c r="B34" t="s">
        <v>3914</v>
      </c>
      <c r="C34">
        <v>14</v>
      </c>
      <c r="D34">
        <v>1</v>
      </c>
      <c r="E34" t="s">
        <v>2462</v>
      </c>
      <c r="F34" s="1">
        <v>43591</v>
      </c>
      <c r="G34" s="2">
        <v>6.9444444444444441E-3</v>
      </c>
      <c r="H34" t="s">
        <v>1278</v>
      </c>
      <c r="I34" t="s">
        <v>64</v>
      </c>
      <c r="J34" t="s">
        <v>111</v>
      </c>
      <c r="K34" t="s">
        <v>23</v>
      </c>
      <c r="L34">
        <v>1</v>
      </c>
      <c r="M34">
        <v>0</v>
      </c>
      <c r="N34">
        <v>1</v>
      </c>
      <c r="O34" s="5" t="s">
        <v>2437</v>
      </c>
      <c r="P34" s="5" t="s">
        <v>24</v>
      </c>
      <c r="Q34" s="5" t="s">
        <v>3591</v>
      </c>
      <c r="R34" s="5" t="s">
        <v>2457</v>
      </c>
      <c r="S34">
        <v>39</v>
      </c>
      <c r="T34" s="5" t="s">
        <v>176</v>
      </c>
      <c r="U34" s="19">
        <v>63.736240000000002</v>
      </c>
      <c r="V34" s="19">
        <v>148.90282999999999</v>
      </c>
      <c r="W34" s="5" t="s">
        <v>115</v>
      </c>
      <c r="X34" s="5" t="s">
        <v>115</v>
      </c>
      <c r="Y34" s="5" t="s">
        <v>115</v>
      </c>
      <c r="Z34">
        <v>0</v>
      </c>
      <c r="AA34">
        <v>0</v>
      </c>
      <c r="AB34">
        <v>0</v>
      </c>
      <c r="AC34">
        <v>0</v>
      </c>
      <c r="AD34">
        <v>0</v>
      </c>
      <c r="AE34">
        <f t="shared" si="1"/>
        <v>0</v>
      </c>
      <c r="AG34" t="s">
        <v>3611</v>
      </c>
    </row>
    <row r="35" spans="1:33" x14ac:dyDescent="0.2">
      <c r="A35" t="s">
        <v>3910</v>
      </c>
      <c r="B35" t="s">
        <v>3911</v>
      </c>
      <c r="C35">
        <v>13</v>
      </c>
      <c r="D35">
        <v>1</v>
      </c>
      <c r="E35" t="s">
        <v>2462</v>
      </c>
      <c r="F35" s="1">
        <v>43591</v>
      </c>
      <c r="G35" s="2">
        <v>9.0277777777777787E-3</v>
      </c>
      <c r="H35" t="s">
        <v>1278</v>
      </c>
      <c r="I35" t="s">
        <v>64</v>
      </c>
      <c r="J35" t="s">
        <v>111</v>
      </c>
      <c r="K35" t="s">
        <v>23</v>
      </c>
      <c r="L35">
        <v>0</v>
      </c>
      <c r="M35">
        <v>0</v>
      </c>
      <c r="N35">
        <v>1</v>
      </c>
      <c r="O35" s="5" t="s">
        <v>2801</v>
      </c>
      <c r="P35" s="5" t="s">
        <v>115</v>
      </c>
      <c r="Q35" s="5" t="s">
        <v>333</v>
      </c>
      <c r="R35" t="s">
        <v>3912</v>
      </c>
      <c r="S35">
        <v>95</v>
      </c>
      <c r="T35">
        <v>21</v>
      </c>
      <c r="U35" s="19">
        <v>63.736319999999999</v>
      </c>
      <c r="V35" s="19">
        <v>148.90260000000001</v>
      </c>
      <c r="W35" s="5" t="s">
        <v>115</v>
      </c>
      <c r="X35" s="5" t="s">
        <v>115</v>
      </c>
      <c r="Y35" s="5" t="s">
        <v>115</v>
      </c>
      <c r="Z35">
        <v>0</v>
      </c>
      <c r="AA35">
        <v>0</v>
      </c>
      <c r="AB35">
        <v>0</v>
      </c>
      <c r="AC35">
        <v>0</v>
      </c>
      <c r="AD35">
        <v>0</v>
      </c>
      <c r="AE35">
        <f t="shared" si="1"/>
        <v>0</v>
      </c>
      <c r="AG35" t="s">
        <v>3611</v>
      </c>
    </row>
    <row r="36" spans="1:33" x14ac:dyDescent="0.2">
      <c r="A36" t="s">
        <v>2549</v>
      </c>
      <c r="B36" t="s">
        <v>2550</v>
      </c>
      <c r="C36">
        <v>3</v>
      </c>
      <c r="D36">
        <v>1</v>
      </c>
      <c r="E36" t="s">
        <v>324</v>
      </c>
      <c r="F36" s="1">
        <v>43550</v>
      </c>
      <c r="G36" s="2">
        <v>4.9305555555555554E-2</v>
      </c>
      <c r="H36" s="5" t="s">
        <v>640</v>
      </c>
      <c r="I36" t="s">
        <v>325</v>
      </c>
      <c r="J36" t="s">
        <v>156</v>
      </c>
      <c r="K36" t="s">
        <v>23</v>
      </c>
      <c r="L36">
        <v>0</v>
      </c>
      <c r="M36">
        <v>0</v>
      </c>
      <c r="N36">
        <v>1</v>
      </c>
      <c r="O36" t="s">
        <v>24</v>
      </c>
      <c r="P36" t="s">
        <v>2383</v>
      </c>
      <c r="Q36" t="s">
        <v>2088</v>
      </c>
      <c r="R36" t="s">
        <v>2551</v>
      </c>
      <c r="S36">
        <v>0</v>
      </c>
      <c r="T36" t="s">
        <v>24</v>
      </c>
      <c r="U36" s="19">
        <v>63.723170000000003</v>
      </c>
      <c r="V36" s="19">
        <v>148.89055999999999</v>
      </c>
      <c r="Z36">
        <v>0</v>
      </c>
      <c r="AA36">
        <v>0</v>
      </c>
      <c r="AB36">
        <v>0</v>
      </c>
      <c r="AC36">
        <v>0</v>
      </c>
      <c r="AD36">
        <v>0</v>
      </c>
      <c r="AE36">
        <f t="shared" si="1"/>
        <v>0</v>
      </c>
    </row>
    <row r="37" spans="1:33" x14ac:dyDescent="0.2">
      <c r="A37" t="s">
        <v>2555</v>
      </c>
      <c r="B37" t="s">
        <v>2556</v>
      </c>
      <c r="C37">
        <v>5</v>
      </c>
      <c r="D37">
        <v>1</v>
      </c>
      <c r="E37" t="s">
        <v>324</v>
      </c>
      <c r="F37" s="1">
        <v>43550</v>
      </c>
      <c r="G37" s="2">
        <v>4.5833333333333337E-2</v>
      </c>
      <c r="H37" s="5" t="s">
        <v>640</v>
      </c>
      <c r="I37" t="s">
        <v>325</v>
      </c>
      <c r="J37" t="s">
        <v>187</v>
      </c>
      <c r="K37" t="s">
        <v>23</v>
      </c>
      <c r="L37">
        <v>1</v>
      </c>
      <c r="M37">
        <v>0</v>
      </c>
      <c r="N37">
        <v>1</v>
      </c>
      <c r="O37" t="s">
        <v>2557</v>
      </c>
      <c r="P37" t="s">
        <v>122</v>
      </c>
      <c r="Q37" t="s">
        <v>1035</v>
      </c>
      <c r="R37" t="s">
        <v>2558</v>
      </c>
      <c r="S37">
        <v>270</v>
      </c>
      <c r="T37">
        <v>10</v>
      </c>
      <c r="U37" s="19">
        <v>63.723640000000003</v>
      </c>
      <c r="V37" s="19">
        <v>148.89089999999999</v>
      </c>
      <c r="Z37">
        <v>0</v>
      </c>
      <c r="AA37">
        <v>0</v>
      </c>
      <c r="AB37">
        <v>0</v>
      </c>
      <c r="AC37">
        <v>0</v>
      </c>
      <c r="AD37">
        <v>4</v>
      </c>
      <c r="AE37">
        <f t="shared" si="1"/>
        <v>4</v>
      </c>
      <c r="AF37" t="s">
        <v>188</v>
      </c>
    </row>
    <row r="38" spans="1:33" x14ac:dyDescent="0.2">
      <c r="A38" t="s">
        <v>2375</v>
      </c>
      <c r="B38" t="s">
        <v>2376</v>
      </c>
      <c r="C38">
        <v>14</v>
      </c>
      <c r="D38">
        <v>1</v>
      </c>
      <c r="E38" t="s">
        <v>2343</v>
      </c>
      <c r="F38" s="1">
        <v>43544</v>
      </c>
      <c r="G38" s="2">
        <v>4.1666666666666666E-3</v>
      </c>
      <c r="H38" t="s">
        <v>101</v>
      </c>
      <c r="I38" t="s">
        <v>2927</v>
      </c>
      <c r="J38" t="s">
        <v>111</v>
      </c>
      <c r="K38" t="s">
        <v>23</v>
      </c>
      <c r="L38">
        <v>1</v>
      </c>
      <c r="M38">
        <v>0</v>
      </c>
      <c r="N38">
        <v>1</v>
      </c>
      <c r="O38" t="s">
        <v>2377</v>
      </c>
      <c r="P38" t="s">
        <v>122</v>
      </c>
      <c r="Q38" t="s">
        <v>2088</v>
      </c>
      <c r="R38" t="s">
        <v>2379</v>
      </c>
      <c r="S38">
        <v>82</v>
      </c>
      <c r="T38" t="s">
        <v>176</v>
      </c>
      <c r="U38" s="19">
        <v>63.739370000000001</v>
      </c>
      <c r="V38" s="19">
        <v>148.91734</v>
      </c>
      <c r="Z38">
        <v>0</v>
      </c>
      <c r="AA38">
        <v>0</v>
      </c>
      <c r="AB38">
        <v>0</v>
      </c>
      <c r="AC38">
        <v>0</v>
      </c>
      <c r="AD38">
        <v>0</v>
      </c>
      <c r="AE38">
        <f t="shared" si="1"/>
        <v>0</v>
      </c>
      <c r="AF38" t="s">
        <v>115</v>
      </c>
      <c r="AG38" t="s">
        <v>2380</v>
      </c>
    </row>
    <row r="39" spans="1:33" x14ac:dyDescent="0.2">
      <c r="A39" t="s">
        <v>3735</v>
      </c>
      <c r="B39" t="s">
        <v>3736</v>
      </c>
      <c r="C39">
        <v>4</v>
      </c>
      <c r="D39">
        <v>1</v>
      </c>
      <c r="E39" t="s">
        <v>3731</v>
      </c>
      <c r="F39" s="1">
        <v>43587</v>
      </c>
      <c r="G39" s="2">
        <v>2.7083333333333334E-2</v>
      </c>
      <c r="H39" t="s">
        <v>1278</v>
      </c>
      <c r="I39" t="s">
        <v>255</v>
      </c>
      <c r="J39" t="s">
        <v>111</v>
      </c>
      <c r="K39" t="s">
        <v>23</v>
      </c>
      <c r="L39">
        <v>0</v>
      </c>
      <c r="M39">
        <v>0</v>
      </c>
      <c r="N39">
        <v>1</v>
      </c>
      <c r="O39" s="5" t="s">
        <v>2801</v>
      </c>
      <c r="P39" s="5" t="s">
        <v>115</v>
      </c>
      <c r="Q39" s="5" t="s">
        <v>2088</v>
      </c>
      <c r="R39" s="5" t="s">
        <v>2765</v>
      </c>
      <c r="S39">
        <v>220</v>
      </c>
      <c r="T39">
        <v>20</v>
      </c>
      <c r="U39" s="19">
        <v>63.733550000000001</v>
      </c>
      <c r="V39" s="19">
        <v>148.90380999999999</v>
      </c>
      <c r="W39" s="5" t="s">
        <v>115</v>
      </c>
      <c r="X39" s="5" t="s">
        <v>115</v>
      </c>
      <c r="Y39" s="5" t="s">
        <v>115</v>
      </c>
      <c r="Z39">
        <v>0</v>
      </c>
      <c r="AA39">
        <v>0</v>
      </c>
      <c r="AB39">
        <v>0</v>
      </c>
      <c r="AC39">
        <v>0</v>
      </c>
      <c r="AD39">
        <v>0</v>
      </c>
      <c r="AE39">
        <f t="shared" si="1"/>
        <v>0</v>
      </c>
    </row>
    <row r="40" spans="1:33" x14ac:dyDescent="0.2">
      <c r="A40" t="s">
        <v>3735</v>
      </c>
      <c r="B40" t="s">
        <v>3736</v>
      </c>
      <c r="C40">
        <v>4</v>
      </c>
      <c r="D40">
        <v>2</v>
      </c>
      <c r="E40" t="s">
        <v>3731</v>
      </c>
      <c r="F40" s="1">
        <v>43587</v>
      </c>
      <c r="G40" s="2">
        <v>2.7083333333333334E-2</v>
      </c>
      <c r="H40" t="s">
        <v>1278</v>
      </c>
      <c r="I40" t="s">
        <v>255</v>
      </c>
      <c r="J40" t="s">
        <v>111</v>
      </c>
      <c r="K40" t="s">
        <v>23</v>
      </c>
      <c r="L40">
        <v>0</v>
      </c>
      <c r="M40">
        <v>0</v>
      </c>
      <c r="N40">
        <v>1</v>
      </c>
      <c r="O40" s="5" t="s">
        <v>2801</v>
      </c>
      <c r="P40" s="5" t="s">
        <v>115</v>
      </c>
      <c r="Q40" s="5" t="s">
        <v>2088</v>
      </c>
      <c r="R40" s="5" t="s">
        <v>2765</v>
      </c>
      <c r="S40">
        <v>240</v>
      </c>
      <c r="T40">
        <v>20</v>
      </c>
      <c r="U40" s="19">
        <v>63.733550000000001</v>
      </c>
      <c r="V40" s="19">
        <v>148.90380999999999</v>
      </c>
      <c r="W40" s="5" t="s">
        <v>115</v>
      </c>
      <c r="X40" s="5" t="s">
        <v>115</v>
      </c>
      <c r="Y40" s="5" t="s">
        <v>115</v>
      </c>
      <c r="Z40">
        <v>0</v>
      </c>
      <c r="AA40">
        <v>0</v>
      </c>
      <c r="AB40">
        <v>0</v>
      </c>
      <c r="AC40">
        <v>0</v>
      </c>
      <c r="AD40">
        <v>0</v>
      </c>
      <c r="AE40">
        <f t="shared" si="1"/>
        <v>0</v>
      </c>
      <c r="AG40" t="s">
        <v>3737</v>
      </c>
    </row>
    <row r="41" spans="1:33" x14ac:dyDescent="0.2">
      <c r="A41" t="s">
        <v>2938</v>
      </c>
      <c r="B41" t="s">
        <v>2939</v>
      </c>
      <c r="C41">
        <v>5</v>
      </c>
      <c r="D41">
        <v>3</v>
      </c>
      <c r="E41" t="s">
        <v>834</v>
      </c>
      <c r="F41" s="1">
        <v>43560</v>
      </c>
      <c r="G41" s="2">
        <v>9.930555555555555E-2</v>
      </c>
      <c r="I41" t="s">
        <v>466</v>
      </c>
      <c r="J41" t="s">
        <v>111</v>
      </c>
      <c r="K41" t="s">
        <v>23</v>
      </c>
      <c r="L41">
        <v>0</v>
      </c>
      <c r="M41">
        <v>0</v>
      </c>
      <c r="N41">
        <v>1</v>
      </c>
      <c r="O41" s="5" t="s">
        <v>2801</v>
      </c>
      <c r="P41" s="5" t="s">
        <v>115</v>
      </c>
      <c r="Q41" s="5" t="s">
        <v>2088</v>
      </c>
      <c r="R41">
        <v>66</v>
      </c>
      <c r="S41" s="5" t="s">
        <v>2457</v>
      </c>
      <c r="T41">
        <v>3</v>
      </c>
      <c r="U41" s="19">
        <v>63.738750000000003</v>
      </c>
      <c r="V41" s="19">
        <v>148.89812000000001</v>
      </c>
      <c r="W41" s="5" t="s">
        <v>115</v>
      </c>
      <c r="X41" s="5" t="s">
        <v>115</v>
      </c>
      <c r="Y41" s="5"/>
      <c r="Z41">
        <v>0</v>
      </c>
      <c r="AA41">
        <v>0</v>
      </c>
      <c r="AB41">
        <v>0</v>
      </c>
      <c r="AC41">
        <v>0</v>
      </c>
      <c r="AD41">
        <v>0</v>
      </c>
      <c r="AE41">
        <f t="shared" si="1"/>
        <v>0</v>
      </c>
    </row>
    <row r="42" spans="1:33" x14ac:dyDescent="0.2">
      <c r="A42" t="s">
        <v>2935</v>
      </c>
      <c r="B42" t="s">
        <v>2936</v>
      </c>
      <c r="C42">
        <v>4</v>
      </c>
      <c r="D42">
        <v>1</v>
      </c>
      <c r="E42" t="s">
        <v>834</v>
      </c>
      <c r="F42" s="1">
        <v>43560</v>
      </c>
      <c r="G42" s="2">
        <v>2.2916666666666669E-2</v>
      </c>
      <c r="I42" t="s">
        <v>466</v>
      </c>
      <c r="J42" t="s">
        <v>111</v>
      </c>
      <c r="K42" t="s">
        <v>23</v>
      </c>
      <c r="L42">
        <v>0</v>
      </c>
      <c r="M42">
        <v>0</v>
      </c>
      <c r="N42">
        <v>1</v>
      </c>
      <c r="O42" s="5" t="s">
        <v>2801</v>
      </c>
      <c r="P42" s="5" t="s">
        <v>115</v>
      </c>
      <c r="Q42" s="5" t="s">
        <v>2088</v>
      </c>
      <c r="R42" s="5" t="s">
        <v>2551</v>
      </c>
      <c r="S42">
        <v>340</v>
      </c>
      <c r="T42">
        <v>10</v>
      </c>
      <c r="U42" s="19">
        <v>63.738860000000003</v>
      </c>
      <c r="V42" s="19">
        <v>148.89845</v>
      </c>
      <c r="W42" s="5" t="s">
        <v>115</v>
      </c>
      <c r="X42" s="5" t="s">
        <v>115</v>
      </c>
      <c r="Y42" s="5"/>
      <c r="Z42">
        <v>0</v>
      </c>
      <c r="AA42">
        <v>0</v>
      </c>
      <c r="AB42">
        <v>0</v>
      </c>
      <c r="AC42">
        <v>0</v>
      </c>
      <c r="AD42">
        <v>0</v>
      </c>
      <c r="AE42">
        <f t="shared" si="1"/>
        <v>0</v>
      </c>
      <c r="AG42" t="s">
        <v>2937</v>
      </c>
    </row>
    <row r="43" spans="1:33" x14ac:dyDescent="0.2">
      <c r="A43" t="s">
        <v>2962</v>
      </c>
      <c r="B43" t="s">
        <v>2963</v>
      </c>
      <c r="C43">
        <v>16</v>
      </c>
      <c r="D43">
        <v>1</v>
      </c>
      <c r="E43" t="s">
        <v>834</v>
      </c>
      <c r="F43" s="1">
        <v>43560</v>
      </c>
      <c r="G43" s="2">
        <v>8.7500000000000008E-2</v>
      </c>
      <c r="I43" t="s">
        <v>466</v>
      </c>
      <c r="J43" t="s">
        <v>111</v>
      </c>
      <c r="K43" t="s">
        <v>23</v>
      </c>
      <c r="L43">
        <v>0</v>
      </c>
      <c r="M43">
        <v>0</v>
      </c>
      <c r="N43">
        <v>1</v>
      </c>
      <c r="O43" s="5" t="s">
        <v>2801</v>
      </c>
      <c r="P43" s="5" t="s">
        <v>115</v>
      </c>
      <c r="Q43" s="5" t="s">
        <v>2088</v>
      </c>
      <c r="S43">
        <v>60</v>
      </c>
      <c r="T43">
        <v>15</v>
      </c>
      <c r="U43" s="19">
        <v>63.738950000000003</v>
      </c>
      <c r="V43" s="19">
        <v>148.89493999999999</v>
      </c>
      <c r="W43" s="5" t="s">
        <v>115</v>
      </c>
      <c r="X43" s="5" t="s">
        <v>115</v>
      </c>
      <c r="Y43" s="5"/>
      <c r="Z43">
        <v>0</v>
      </c>
      <c r="AA43">
        <v>0</v>
      </c>
      <c r="AB43">
        <v>0</v>
      </c>
      <c r="AC43">
        <v>0</v>
      </c>
      <c r="AD43">
        <v>81</v>
      </c>
      <c r="AE43">
        <f t="shared" si="1"/>
        <v>81</v>
      </c>
      <c r="AF43" t="s">
        <v>188</v>
      </c>
    </row>
    <row r="44" spans="1:33" x14ac:dyDescent="0.2">
      <c r="A44" t="s">
        <v>2972</v>
      </c>
      <c r="B44" t="s">
        <v>2973</v>
      </c>
      <c r="C44">
        <v>21</v>
      </c>
      <c r="D44">
        <v>1</v>
      </c>
      <c r="E44" t="s">
        <v>834</v>
      </c>
      <c r="F44" s="1">
        <v>43560</v>
      </c>
      <c r="G44" s="2">
        <v>4.8611111111111112E-3</v>
      </c>
      <c r="I44" t="s">
        <v>466</v>
      </c>
      <c r="J44" t="s">
        <v>111</v>
      </c>
      <c r="K44" t="s">
        <v>23</v>
      </c>
      <c r="L44">
        <v>0</v>
      </c>
      <c r="M44">
        <v>0</v>
      </c>
      <c r="N44">
        <v>1</v>
      </c>
      <c r="O44" s="5" t="s">
        <v>2801</v>
      </c>
      <c r="P44" s="5" t="s">
        <v>115</v>
      </c>
      <c r="Q44" s="5" t="s">
        <v>1035</v>
      </c>
      <c r="S44">
        <v>160</v>
      </c>
      <c r="U44" s="19">
        <v>63.739040000000003</v>
      </c>
      <c r="V44" s="19">
        <v>148.89462</v>
      </c>
      <c r="W44" s="5" t="s">
        <v>115</v>
      </c>
      <c r="X44" s="5" t="s">
        <v>115</v>
      </c>
      <c r="Y44" s="5"/>
      <c r="Z44">
        <v>0</v>
      </c>
      <c r="AA44">
        <v>0</v>
      </c>
      <c r="AB44">
        <v>0</v>
      </c>
      <c r="AC44">
        <v>0</v>
      </c>
      <c r="AD44">
        <v>0</v>
      </c>
      <c r="AE44">
        <f t="shared" si="1"/>
        <v>0</v>
      </c>
    </row>
    <row r="45" spans="1:33" x14ac:dyDescent="0.2">
      <c r="A45" t="s">
        <v>2739</v>
      </c>
      <c r="B45" t="s">
        <v>2740</v>
      </c>
      <c r="C45">
        <v>7</v>
      </c>
      <c r="D45">
        <v>2</v>
      </c>
      <c r="E45" t="s">
        <v>834</v>
      </c>
      <c r="F45" s="1">
        <v>43554</v>
      </c>
      <c r="G45" s="2">
        <v>0.11319444444444444</v>
      </c>
      <c r="I45" t="s">
        <v>466</v>
      </c>
      <c r="J45" t="s">
        <v>187</v>
      </c>
      <c r="K45" t="s">
        <v>115</v>
      </c>
      <c r="L45">
        <v>1</v>
      </c>
      <c r="M45">
        <v>0</v>
      </c>
      <c r="N45">
        <v>1</v>
      </c>
      <c r="O45" s="5" t="s">
        <v>2741</v>
      </c>
      <c r="P45" s="5" t="s">
        <v>122</v>
      </c>
      <c r="Q45" s="5" t="s">
        <v>2088</v>
      </c>
      <c r="R45" s="5" t="s">
        <v>2457</v>
      </c>
      <c r="S45">
        <v>40</v>
      </c>
      <c r="T45" s="5" t="s">
        <v>24</v>
      </c>
      <c r="U45" s="19">
        <v>63.739150000000002</v>
      </c>
      <c r="V45" s="19">
        <v>148.90440000000001</v>
      </c>
      <c r="W45" s="5" t="s">
        <v>115</v>
      </c>
      <c r="X45" s="5" t="s">
        <v>115</v>
      </c>
      <c r="Y45" s="5"/>
      <c r="Z45">
        <v>0</v>
      </c>
      <c r="AA45">
        <v>0</v>
      </c>
      <c r="AB45">
        <v>0</v>
      </c>
      <c r="AC45">
        <v>0</v>
      </c>
      <c r="AD45">
        <v>0</v>
      </c>
      <c r="AE45">
        <f t="shared" si="1"/>
        <v>0</v>
      </c>
      <c r="AF45" t="s">
        <v>188</v>
      </c>
      <c r="AG45" t="s">
        <v>2758</v>
      </c>
    </row>
    <row r="46" spans="1:33" x14ac:dyDescent="0.2">
      <c r="A46" t="s">
        <v>2580</v>
      </c>
      <c r="B46" t="s">
        <v>2581</v>
      </c>
      <c r="C46">
        <v>3</v>
      </c>
      <c r="D46">
        <v>1</v>
      </c>
      <c r="E46" t="s">
        <v>834</v>
      </c>
      <c r="F46" s="1">
        <v>43550</v>
      </c>
      <c r="G46" s="2">
        <v>3.888888888888889E-2</v>
      </c>
      <c r="H46" s="5" t="s">
        <v>2576</v>
      </c>
      <c r="I46" t="s">
        <v>466</v>
      </c>
      <c r="J46" t="s">
        <v>187</v>
      </c>
      <c r="K46" t="s">
        <v>23</v>
      </c>
      <c r="L46">
        <v>1</v>
      </c>
      <c r="M46">
        <v>0</v>
      </c>
      <c r="N46">
        <v>1</v>
      </c>
      <c r="O46" t="s">
        <v>2582</v>
      </c>
      <c r="P46" t="s">
        <v>122</v>
      </c>
      <c r="Q46" t="s">
        <v>2088</v>
      </c>
      <c r="R46" t="s">
        <v>2551</v>
      </c>
      <c r="S46">
        <v>335</v>
      </c>
      <c r="T46">
        <v>3</v>
      </c>
      <c r="U46" s="19">
        <v>63.73948</v>
      </c>
      <c r="V46" s="19">
        <v>148.89815999999999</v>
      </c>
      <c r="Z46">
        <v>0</v>
      </c>
      <c r="AA46">
        <v>0</v>
      </c>
      <c r="AB46">
        <v>0</v>
      </c>
      <c r="AC46">
        <v>0</v>
      </c>
      <c r="AD46">
        <v>34</v>
      </c>
      <c r="AE46">
        <f t="shared" si="1"/>
        <v>34</v>
      </c>
      <c r="AG46" t="s">
        <v>2583</v>
      </c>
    </row>
    <row r="47" spans="1:33" x14ac:dyDescent="0.2">
      <c r="A47" t="s">
        <v>2753</v>
      </c>
      <c r="B47" t="s">
        <v>2754</v>
      </c>
      <c r="C47">
        <v>13</v>
      </c>
      <c r="D47">
        <v>1</v>
      </c>
      <c r="E47" t="s">
        <v>834</v>
      </c>
      <c r="F47" s="1">
        <v>43554</v>
      </c>
      <c r="G47" s="2">
        <v>5.347222222222222E-2</v>
      </c>
      <c r="I47" t="s">
        <v>466</v>
      </c>
      <c r="J47" t="s">
        <v>242</v>
      </c>
      <c r="K47" t="s">
        <v>115</v>
      </c>
      <c r="L47">
        <v>0</v>
      </c>
      <c r="M47">
        <v>0</v>
      </c>
      <c r="N47">
        <v>1</v>
      </c>
      <c r="O47" s="5" t="s">
        <v>2802</v>
      </c>
      <c r="P47" s="5" t="s">
        <v>115</v>
      </c>
      <c r="Q47" s="5" t="s">
        <v>2088</v>
      </c>
      <c r="R47" s="5" t="s">
        <v>2558</v>
      </c>
      <c r="S47">
        <v>280</v>
      </c>
      <c r="T47">
        <v>19</v>
      </c>
      <c r="U47" s="19">
        <v>63.740380000000002</v>
      </c>
      <c r="V47" s="19">
        <v>148.90360999999999</v>
      </c>
      <c r="W47" s="5" t="s">
        <v>115</v>
      </c>
      <c r="X47" s="5" t="s">
        <v>115</v>
      </c>
      <c r="Y47" s="5"/>
      <c r="Z47">
        <v>0</v>
      </c>
      <c r="AA47">
        <v>0</v>
      </c>
      <c r="AB47">
        <v>0</v>
      </c>
      <c r="AC47">
        <v>0</v>
      </c>
      <c r="AD47">
        <v>0</v>
      </c>
      <c r="AE47">
        <f t="shared" si="1"/>
        <v>0</v>
      </c>
      <c r="AG47" t="s">
        <v>2755</v>
      </c>
    </row>
    <row r="48" spans="1:33" x14ac:dyDescent="0.2">
      <c r="A48" t="s">
        <v>3152</v>
      </c>
      <c r="B48" t="s">
        <v>3155</v>
      </c>
      <c r="C48">
        <v>4</v>
      </c>
      <c r="D48">
        <v>1</v>
      </c>
      <c r="E48" t="s">
        <v>834</v>
      </c>
      <c r="F48" s="1">
        <v>43571</v>
      </c>
      <c r="G48" s="2">
        <v>4.8611111111111112E-3</v>
      </c>
      <c r="H48" t="s">
        <v>1278</v>
      </c>
      <c r="I48" t="s">
        <v>466</v>
      </c>
      <c r="J48" t="s">
        <v>111</v>
      </c>
      <c r="K48" t="s">
        <v>23</v>
      </c>
      <c r="L48">
        <v>0</v>
      </c>
      <c r="M48">
        <v>0</v>
      </c>
      <c r="N48">
        <v>1</v>
      </c>
      <c r="O48" s="5" t="s">
        <v>2605</v>
      </c>
      <c r="P48" s="5" t="s">
        <v>122</v>
      </c>
      <c r="Q48" s="5" t="s">
        <v>1035</v>
      </c>
      <c r="R48" s="5" t="s">
        <v>2457</v>
      </c>
      <c r="S48">
        <v>60</v>
      </c>
      <c r="T48">
        <v>10</v>
      </c>
      <c r="U48" s="19">
        <v>63.740470000000002</v>
      </c>
      <c r="V48" s="19">
        <v>148.90053</v>
      </c>
      <c r="W48" s="5" t="s">
        <v>115</v>
      </c>
      <c r="X48" s="5" t="s">
        <v>115</v>
      </c>
      <c r="Y48" s="5"/>
      <c r="Z48">
        <v>0</v>
      </c>
      <c r="AA48">
        <v>0</v>
      </c>
      <c r="AB48">
        <v>0</v>
      </c>
      <c r="AC48">
        <v>0</v>
      </c>
      <c r="AD48">
        <v>0</v>
      </c>
      <c r="AE48">
        <f t="shared" si="1"/>
        <v>0</v>
      </c>
      <c r="AG48" t="s">
        <v>3156</v>
      </c>
    </row>
    <row r="49" spans="1:33" x14ac:dyDescent="0.2">
      <c r="A49" t="s">
        <v>3167</v>
      </c>
      <c r="B49" t="s">
        <v>3168</v>
      </c>
      <c r="C49">
        <v>9</v>
      </c>
      <c r="D49">
        <v>1</v>
      </c>
      <c r="E49" t="s">
        <v>834</v>
      </c>
      <c r="F49" s="1">
        <v>43571</v>
      </c>
      <c r="G49" s="2">
        <v>2.9166666666666664E-2</v>
      </c>
      <c r="H49" t="s">
        <v>1278</v>
      </c>
      <c r="I49" t="s">
        <v>466</v>
      </c>
      <c r="J49" t="s">
        <v>111</v>
      </c>
      <c r="K49" t="s">
        <v>23</v>
      </c>
      <c r="L49">
        <v>0</v>
      </c>
      <c r="M49">
        <v>0</v>
      </c>
      <c r="N49">
        <v>1</v>
      </c>
      <c r="O49" s="5" t="s">
        <v>2605</v>
      </c>
      <c r="P49" s="5" t="s">
        <v>115</v>
      </c>
      <c r="Q49" s="5" t="s">
        <v>709</v>
      </c>
      <c r="R49" s="5" t="s">
        <v>2457</v>
      </c>
      <c r="S49">
        <v>30</v>
      </c>
      <c r="T49">
        <v>12</v>
      </c>
      <c r="U49" s="19">
        <v>63.740470000000002</v>
      </c>
      <c r="V49" s="19">
        <v>148.90082000000001</v>
      </c>
      <c r="W49" s="5" t="s">
        <v>115</v>
      </c>
      <c r="X49" s="5" t="s">
        <v>115</v>
      </c>
      <c r="Y49" s="5"/>
      <c r="Z49">
        <v>0</v>
      </c>
      <c r="AA49">
        <v>0</v>
      </c>
      <c r="AB49">
        <v>0</v>
      </c>
      <c r="AC49">
        <v>0</v>
      </c>
      <c r="AD49">
        <v>0</v>
      </c>
      <c r="AE49">
        <f t="shared" si="1"/>
        <v>0</v>
      </c>
    </row>
    <row r="50" spans="1:33" x14ac:dyDescent="0.2">
      <c r="A50" t="s">
        <v>2763</v>
      </c>
      <c r="B50" t="s">
        <v>2764</v>
      </c>
      <c r="C50">
        <v>17</v>
      </c>
      <c r="D50">
        <v>1</v>
      </c>
      <c r="E50" t="s">
        <v>834</v>
      </c>
      <c r="F50" s="1">
        <v>43554</v>
      </c>
      <c r="G50" s="2">
        <v>6.2499999999999995E-3</v>
      </c>
      <c r="I50" t="s">
        <v>466</v>
      </c>
      <c r="J50" t="s">
        <v>111</v>
      </c>
      <c r="K50" t="s">
        <v>115</v>
      </c>
      <c r="L50">
        <v>0</v>
      </c>
      <c r="M50">
        <v>0</v>
      </c>
      <c r="N50">
        <v>1</v>
      </c>
      <c r="O50" s="5" t="s">
        <v>2437</v>
      </c>
      <c r="P50" s="5" t="s">
        <v>122</v>
      </c>
      <c r="Q50" s="5" t="s">
        <v>2088</v>
      </c>
      <c r="R50" s="5" t="s">
        <v>2765</v>
      </c>
      <c r="S50">
        <v>315</v>
      </c>
      <c r="T50">
        <v>20</v>
      </c>
      <c r="U50" s="19">
        <v>63.740479999999998</v>
      </c>
      <c r="V50" s="19">
        <v>148.90235999999999</v>
      </c>
      <c r="W50" s="5" t="s">
        <v>115</v>
      </c>
      <c r="X50" s="5" t="s">
        <v>115</v>
      </c>
      <c r="Y50" s="5"/>
      <c r="Z50">
        <v>0</v>
      </c>
      <c r="AA50">
        <v>0</v>
      </c>
      <c r="AB50">
        <v>0</v>
      </c>
      <c r="AC50">
        <v>0</v>
      </c>
      <c r="AD50">
        <v>0</v>
      </c>
      <c r="AE50">
        <f t="shared" si="1"/>
        <v>0</v>
      </c>
      <c r="AG50" t="s">
        <v>2766</v>
      </c>
    </row>
    <row r="51" spans="1:33" x14ac:dyDescent="0.2">
      <c r="A51" t="s">
        <v>3162</v>
      </c>
      <c r="B51" t="s">
        <v>3163</v>
      </c>
      <c r="C51">
        <v>7</v>
      </c>
      <c r="D51">
        <v>1</v>
      </c>
      <c r="E51" t="s">
        <v>834</v>
      </c>
      <c r="F51" s="1">
        <v>43571</v>
      </c>
      <c r="G51" s="2">
        <v>5.6944444444444443E-2</v>
      </c>
      <c r="H51" t="s">
        <v>1278</v>
      </c>
      <c r="I51" t="s">
        <v>466</v>
      </c>
      <c r="J51" t="s">
        <v>242</v>
      </c>
      <c r="K51" t="s">
        <v>23</v>
      </c>
      <c r="L51">
        <v>0</v>
      </c>
      <c r="M51">
        <v>0</v>
      </c>
      <c r="N51">
        <v>1</v>
      </c>
      <c r="O51" s="5" t="s">
        <v>2605</v>
      </c>
      <c r="P51" s="5" t="s">
        <v>115</v>
      </c>
      <c r="Q51" s="5" t="s">
        <v>333</v>
      </c>
      <c r="R51" s="5" t="s">
        <v>2850</v>
      </c>
      <c r="S51">
        <v>157</v>
      </c>
      <c r="T51">
        <v>26</v>
      </c>
      <c r="U51" s="19">
        <v>63.740699999999997</v>
      </c>
      <c r="V51" s="19">
        <v>148.90117000000001</v>
      </c>
      <c r="W51" s="5" t="s">
        <v>115</v>
      </c>
      <c r="X51" s="5" t="s">
        <v>115</v>
      </c>
      <c r="Y51" s="5"/>
      <c r="Z51">
        <v>0</v>
      </c>
      <c r="AA51">
        <v>0</v>
      </c>
      <c r="AB51">
        <v>0</v>
      </c>
      <c r="AC51">
        <v>0</v>
      </c>
      <c r="AD51">
        <v>0</v>
      </c>
      <c r="AE51">
        <f t="shared" si="1"/>
        <v>0</v>
      </c>
      <c r="AG51" t="s">
        <v>3164</v>
      </c>
    </row>
    <row r="52" spans="1:33" x14ac:dyDescent="0.2">
      <c r="AE52">
        <f t="shared" si="1"/>
        <v>0</v>
      </c>
    </row>
    <row r="53" spans="1:33" x14ac:dyDescent="0.2">
      <c r="AE53">
        <f t="shared" si="1"/>
        <v>0</v>
      </c>
    </row>
    <row r="54" spans="1:33" x14ac:dyDescent="0.2">
      <c r="Q54" s="5"/>
      <c r="AE54">
        <f t="shared" si="1"/>
        <v>0</v>
      </c>
    </row>
    <row r="55" spans="1:33" x14ac:dyDescent="0.2">
      <c r="AE55">
        <f t="shared" si="1"/>
        <v>0</v>
      </c>
    </row>
    <row r="56" spans="1:33" x14ac:dyDescent="0.2">
      <c r="AE56">
        <f t="shared" si="1"/>
        <v>0</v>
      </c>
    </row>
    <row r="57" spans="1:33" x14ac:dyDescent="0.2">
      <c r="AE57">
        <f t="shared" si="1"/>
        <v>0</v>
      </c>
    </row>
    <row r="58" spans="1:33" x14ac:dyDescent="0.2">
      <c r="AE58">
        <f t="shared" si="1"/>
        <v>0</v>
      </c>
    </row>
    <row r="59" spans="1:33" x14ac:dyDescent="0.2">
      <c r="AE59">
        <f t="shared" si="1"/>
        <v>0</v>
      </c>
    </row>
    <row r="60" spans="1:33" x14ac:dyDescent="0.2">
      <c r="AE60">
        <f t="shared" si="1"/>
        <v>0</v>
      </c>
    </row>
    <row r="61" spans="1:33" x14ac:dyDescent="0.2">
      <c r="AE61">
        <f t="shared" si="1"/>
        <v>0</v>
      </c>
    </row>
    <row r="62" spans="1:33" x14ac:dyDescent="0.2">
      <c r="AE62">
        <f t="shared" si="1"/>
        <v>0</v>
      </c>
    </row>
    <row r="63" spans="1:33" x14ac:dyDescent="0.2">
      <c r="AE63">
        <f t="shared" si="1"/>
        <v>0</v>
      </c>
    </row>
  </sheetData>
  <sortState xmlns:xlrd2="http://schemas.microsoft.com/office/spreadsheetml/2017/richdata2" ref="A2:AI63">
    <sortCondition ref="E2:E63"/>
  </sortState>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filterMode="1"/>
  <dimension ref="A1:AP55"/>
  <sheetViews>
    <sheetView topLeftCell="B1" workbookViewId="0">
      <pane ySplit="1" topLeftCell="A4" activePane="bottomLeft" state="frozen"/>
      <selection pane="bottomLeft" activeCell="P1" sqref="P1"/>
    </sheetView>
  </sheetViews>
  <sheetFormatPr baseColWidth="10" defaultRowHeight="16" x14ac:dyDescent="0.2"/>
  <cols>
    <col min="9" max="9" width="10.83203125" style="176"/>
    <col min="10" max="10" width="10.83203125" style="6"/>
  </cols>
  <sheetData>
    <row r="1" spans="1:42" x14ac:dyDescent="0.2">
      <c r="A1" t="s">
        <v>25</v>
      </c>
      <c r="B1" t="s">
        <v>0</v>
      </c>
      <c r="C1" t="s">
        <v>2033</v>
      </c>
      <c r="D1" t="s">
        <v>2034</v>
      </c>
      <c r="E1" t="s">
        <v>1</v>
      </c>
      <c r="F1" t="s">
        <v>2</v>
      </c>
      <c r="G1" t="s">
        <v>4025</v>
      </c>
      <c r="H1" t="s">
        <v>4</v>
      </c>
      <c r="I1" s="176" t="s">
        <v>4</v>
      </c>
      <c r="J1" s="6" t="s">
        <v>5099</v>
      </c>
      <c r="K1" t="s">
        <v>3</v>
      </c>
      <c r="L1" t="s">
        <v>9</v>
      </c>
      <c r="M1" t="s">
        <v>106</v>
      </c>
      <c r="N1" t="s">
        <v>5</v>
      </c>
      <c r="O1" t="s">
        <v>6</v>
      </c>
      <c r="P1" t="s">
        <v>7</v>
      </c>
      <c r="Q1" t="s">
        <v>98</v>
      </c>
      <c r="R1" t="s">
        <v>4029</v>
      </c>
      <c r="S1" t="s">
        <v>551</v>
      </c>
      <c r="T1" t="s">
        <v>113</v>
      </c>
      <c r="U1" t="s">
        <v>114</v>
      </c>
      <c r="V1" t="s">
        <v>3995</v>
      </c>
      <c r="W1" t="s">
        <v>3996</v>
      </c>
      <c r="X1" t="s">
        <v>4000</v>
      </c>
      <c r="Y1" t="s">
        <v>2335</v>
      </c>
      <c r="Z1" t="s">
        <v>2378</v>
      </c>
      <c r="AA1" t="s">
        <v>912</v>
      </c>
      <c r="AB1" s="19" t="s">
        <v>2038</v>
      </c>
      <c r="AC1" s="19" t="s">
        <v>2039</v>
      </c>
      <c r="AD1" s="19" t="s">
        <v>2607</v>
      </c>
      <c r="AE1" s="19" t="s">
        <v>2608</v>
      </c>
      <c r="AF1" s="19" t="s">
        <v>3222</v>
      </c>
      <c r="AG1" t="s">
        <v>19</v>
      </c>
      <c r="AH1" t="s">
        <v>20</v>
      </c>
      <c r="AI1" t="s">
        <v>18</v>
      </c>
      <c r="AJ1" t="s">
        <v>21</v>
      </c>
      <c r="AK1" t="s">
        <v>122</v>
      </c>
      <c r="AL1" t="s">
        <v>8</v>
      </c>
      <c r="AM1" t="s">
        <v>15</v>
      </c>
      <c r="AN1" t="s">
        <v>17</v>
      </c>
      <c r="AO1" t="s">
        <v>56</v>
      </c>
      <c r="AP1" t="s">
        <v>57</v>
      </c>
    </row>
    <row r="2" spans="1:42" x14ac:dyDescent="0.2">
      <c r="A2" s="5" t="s">
        <v>4036</v>
      </c>
      <c r="B2" s="5" t="s">
        <v>4037</v>
      </c>
      <c r="C2" s="5">
        <v>2</v>
      </c>
      <c r="D2" s="5">
        <v>1</v>
      </c>
      <c r="E2" s="5" t="s">
        <v>2462</v>
      </c>
      <c r="F2" s="11">
        <v>43646</v>
      </c>
      <c r="G2" s="5" t="s">
        <v>4034</v>
      </c>
      <c r="H2" s="45">
        <v>6.9444444444444441E-3</v>
      </c>
      <c r="I2" s="181">
        <v>1.1574074074074073E-4</v>
      </c>
      <c r="J2" s="48">
        <v>10</v>
      </c>
      <c r="K2" s="5" t="s">
        <v>4035</v>
      </c>
      <c r="L2" s="5" t="s">
        <v>64</v>
      </c>
      <c r="M2" s="5" t="s">
        <v>102</v>
      </c>
      <c r="N2" s="5" t="s">
        <v>23</v>
      </c>
      <c r="O2" s="5" t="s">
        <v>176</v>
      </c>
      <c r="P2" s="5" t="s">
        <v>3835</v>
      </c>
      <c r="Q2" s="5">
        <v>0</v>
      </c>
      <c r="R2" s="5" t="s">
        <v>115</v>
      </c>
      <c r="S2" s="5" t="s">
        <v>115</v>
      </c>
      <c r="T2" s="5" t="s">
        <v>115</v>
      </c>
      <c r="U2" s="5" t="s">
        <v>115</v>
      </c>
      <c r="V2" s="5" t="s">
        <v>115</v>
      </c>
      <c r="W2" s="5" t="s">
        <v>115</v>
      </c>
      <c r="X2" s="5" t="s">
        <v>115</v>
      </c>
      <c r="Y2" s="5" t="s">
        <v>115</v>
      </c>
      <c r="Z2" s="5" t="s">
        <v>115</v>
      </c>
      <c r="AA2" s="5" t="s">
        <v>115</v>
      </c>
      <c r="AB2" s="5" t="s">
        <v>115</v>
      </c>
      <c r="AC2" s="5" t="s">
        <v>115</v>
      </c>
      <c r="AD2" s="5" t="s">
        <v>115</v>
      </c>
      <c r="AE2" s="5" t="s">
        <v>115</v>
      </c>
      <c r="AF2" s="5" t="s">
        <v>115</v>
      </c>
      <c r="AG2" s="5">
        <v>10</v>
      </c>
      <c r="AH2" s="5">
        <v>0</v>
      </c>
      <c r="AI2" s="5">
        <v>0</v>
      </c>
      <c r="AJ2" s="5">
        <v>10</v>
      </c>
      <c r="AK2" s="5">
        <v>0</v>
      </c>
      <c r="AL2" s="5">
        <f t="shared" ref="AL2:AL36" si="0">SUM(AI2:AK2)</f>
        <v>10</v>
      </c>
      <c r="AM2" s="5"/>
      <c r="AN2" s="5"/>
      <c r="AO2" s="5"/>
      <c r="AP2" s="5"/>
    </row>
    <row r="3" spans="1:42" x14ac:dyDescent="0.2">
      <c r="A3" s="5" t="s">
        <v>4049</v>
      </c>
      <c r="B3" s="5" t="s">
        <v>4050</v>
      </c>
      <c r="C3" s="5">
        <v>8</v>
      </c>
      <c r="D3" s="5">
        <v>1</v>
      </c>
      <c r="E3" s="5" t="s">
        <v>2462</v>
      </c>
      <c r="F3" s="11">
        <v>43646</v>
      </c>
      <c r="G3" s="5" t="s">
        <v>4034</v>
      </c>
      <c r="H3" s="45">
        <v>4.027777777777778E-2</v>
      </c>
      <c r="I3" s="181">
        <v>6.7129629629629625E-4</v>
      </c>
      <c r="J3" s="48">
        <v>58</v>
      </c>
      <c r="K3" s="5" t="s">
        <v>4035</v>
      </c>
      <c r="L3" s="5" t="s">
        <v>363</v>
      </c>
      <c r="M3" s="5" t="s">
        <v>102</v>
      </c>
      <c r="N3" s="5" t="s">
        <v>23</v>
      </c>
      <c r="O3" s="5" t="s">
        <v>176</v>
      </c>
      <c r="P3" s="5">
        <v>0</v>
      </c>
      <c r="Q3" s="5">
        <v>0</v>
      </c>
      <c r="R3" s="5" t="s">
        <v>115</v>
      </c>
      <c r="S3" s="5" t="s">
        <v>115</v>
      </c>
      <c r="T3" s="5" t="s">
        <v>115</v>
      </c>
      <c r="U3" s="5" t="s">
        <v>115</v>
      </c>
      <c r="V3" s="5" t="s">
        <v>115</v>
      </c>
      <c r="W3" s="5" t="s">
        <v>115</v>
      </c>
      <c r="X3" s="5" t="s">
        <v>115</v>
      </c>
      <c r="Y3" s="5" t="s">
        <v>115</v>
      </c>
      <c r="Z3" s="5" t="s">
        <v>115</v>
      </c>
      <c r="AA3" s="5" t="s">
        <v>115</v>
      </c>
      <c r="AB3" s="5" t="s">
        <v>115</v>
      </c>
      <c r="AC3" s="5" t="s">
        <v>115</v>
      </c>
      <c r="AD3" s="5" t="s">
        <v>115</v>
      </c>
      <c r="AE3" s="5" t="s">
        <v>115</v>
      </c>
      <c r="AF3" s="5" t="s">
        <v>115</v>
      </c>
      <c r="AG3" s="5">
        <v>0</v>
      </c>
      <c r="AH3" s="5">
        <v>0</v>
      </c>
      <c r="AI3" s="5">
        <v>0</v>
      </c>
      <c r="AJ3" s="5">
        <v>0</v>
      </c>
      <c r="AK3" s="5">
        <v>16</v>
      </c>
      <c r="AL3" s="5">
        <f t="shared" si="0"/>
        <v>16</v>
      </c>
      <c r="AM3" s="5" t="s">
        <v>188</v>
      </c>
      <c r="AN3" s="5"/>
      <c r="AO3" s="5"/>
      <c r="AP3" s="5"/>
    </row>
    <row r="4" spans="1:42" x14ac:dyDescent="0.2">
      <c r="A4" s="5" t="s">
        <v>4044</v>
      </c>
      <c r="B4" s="5" t="s">
        <v>4045</v>
      </c>
      <c r="C4" s="5">
        <v>6</v>
      </c>
      <c r="D4" s="5">
        <v>1</v>
      </c>
      <c r="E4" s="5" t="s">
        <v>2462</v>
      </c>
      <c r="F4" s="11">
        <v>43646</v>
      </c>
      <c r="G4" s="5" t="s">
        <v>4034</v>
      </c>
      <c r="H4" s="45">
        <v>1.8749999999999999E-2</v>
      </c>
      <c r="I4" s="181">
        <v>3.1250000000000001E-4</v>
      </c>
      <c r="J4" s="48">
        <v>27</v>
      </c>
      <c r="K4" s="5" t="s">
        <v>4035</v>
      </c>
      <c r="L4" s="5" t="s">
        <v>363</v>
      </c>
      <c r="M4" s="5" t="s">
        <v>102</v>
      </c>
      <c r="N4" s="5" t="s">
        <v>23</v>
      </c>
      <c r="O4" s="5">
        <v>1</v>
      </c>
      <c r="P4" s="5" t="s">
        <v>176</v>
      </c>
      <c r="Q4" s="5">
        <v>0</v>
      </c>
      <c r="R4" s="5" t="s">
        <v>176</v>
      </c>
      <c r="S4" s="5" t="s">
        <v>176</v>
      </c>
      <c r="T4" s="5" t="s">
        <v>1057</v>
      </c>
      <c r="U4" s="5" t="s">
        <v>115</v>
      </c>
      <c r="V4" s="5" t="s">
        <v>115</v>
      </c>
      <c r="W4" s="5" t="s">
        <v>115</v>
      </c>
      <c r="X4" s="5" t="s">
        <v>115</v>
      </c>
      <c r="Y4" s="5" t="s">
        <v>115</v>
      </c>
      <c r="Z4" s="5" t="s">
        <v>115</v>
      </c>
      <c r="AA4" s="5" t="s">
        <v>115</v>
      </c>
      <c r="AB4" s="5" t="s">
        <v>115</v>
      </c>
      <c r="AC4" s="5" t="s">
        <v>115</v>
      </c>
      <c r="AD4" s="5" t="s">
        <v>115</v>
      </c>
      <c r="AE4" s="5" t="s">
        <v>115</v>
      </c>
      <c r="AF4" s="5" t="s">
        <v>115</v>
      </c>
      <c r="AG4" s="5">
        <v>27</v>
      </c>
      <c r="AH4" s="5">
        <v>0</v>
      </c>
      <c r="AI4" s="5">
        <v>27</v>
      </c>
      <c r="AJ4" s="5">
        <v>0</v>
      </c>
      <c r="AK4" s="5">
        <v>0</v>
      </c>
      <c r="AL4" s="5">
        <f t="shared" si="0"/>
        <v>27</v>
      </c>
      <c r="AM4" s="5" t="s">
        <v>165</v>
      </c>
      <c r="AN4" s="5"/>
      <c r="AO4" s="5">
        <v>1</v>
      </c>
      <c r="AP4" s="5"/>
    </row>
    <row r="5" spans="1:42" x14ac:dyDescent="0.2">
      <c r="A5" s="5" t="s">
        <v>4038</v>
      </c>
      <c r="B5" s="5" t="s">
        <v>4039</v>
      </c>
      <c r="C5" s="5">
        <v>3</v>
      </c>
      <c r="D5" s="5">
        <v>1</v>
      </c>
      <c r="E5" s="5" t="s">
        <v>2462</v>
      </c>
      <c r="F5" s="11">
        <v>43646</v>
      </c>
      <c r="G5" s="5" t="s">
        <v>4034</v>
      </c>
      <c r="H5" s="45">
        <v>1.4583333333333332E-2</v>
      </c>
      <c r="I5" s="181">
        <v>2.4305555555555552E-4</v>
      </c>
      <c r="J5" s="48">
        <v>21</v>
      </c>
      <c r="K5" s="5" t="s">
        <v>4035</v>
      </c>
      <c r="L5" s="5" t="s">
        <v>64</v>
      </c>
      <c r="M5" s="5" t="s">
        <v>102</v>
      </c>
      <c r="N5" s="5" t="s">
        <v>23</v>
      </c>
      <c r="O5" s="5">
        <v>0</v>
      </c>
      <c r="P5" s="5">
        <v>0</v>
      </c>
      <c r="Q5" s="5">
        <v>0</v>
      </c>
      <c r="R5" s="5" t="s">
        <v>115</v>
      </c>
      <c r="S5" s="5" t="s">
        <v>115</v>
      </c>
      <c r="T5" s="5" t="s">
        <v>115</v>
      </c>
      <c r="U5" s="5" t="s">
        <v>115</v>
      </c>
      <c r="V5" s="5" t="s">
        <v>115</v>
      </c>
      <c r="W5" s="5" t="s">
        <v>115</v>
      </c>
      <c r="X5" s="5" t="s">
        <v>115</v>
      </c>
      <c r="Y5" s="5" t="s">
        <v>115</v>
      </c>
      <c r="Z5" s="5" t="s">
        <v>115</v>
      </c>
      <c r="AA5" s="5" t="s">
        <v>115</v>
      </c>
      <c r="AB5" s="5" t="s">
        <v>115</v>
      </c>
      <c r="AC5" s="5" t="s">
        <v>115</v>
      </c>
      <c r="AD5" s="5" t="s">
        <v>115</v>
      </c>
      <c r="AE5" s="5" t="s">
        <v>115</v>
      </c>
      <c r="AF5" s="5" t="s">
        <v>115</v>
      </c>
      <c r="AG5" s="5">
        <v>10</v>
      </c>
      <c r="AH5" s="5">
        <v>0</v>
      </c>
      <c r="AI5" s="5">
        <v>0</v>
      </c>
      <c r="AJ5" s="5">
        <v>10</v>
      </c>
      <c r="AK5" s="5">
        <v>0</v>
      </c>
      <c r="AL5" s="5">
        <f t="shared" si="0"/>
        <v>10</v>
      </c>
      <c r="AM5" s="5"/>
      <c r="AN5" s="5"/>
      <c r="AO5" s="5"/>
      <c r="AP5" s="5"/>
    </row>
    <row r="6" spans="1:42" x14ac:dyDescent="0.2">
      <c r="A6" s="5" t="s">
        <v>4040</v>
      </c>
      <c r="B6" s="5" t="s">
        <v>4041</v>
      </c>
      <c r="C6" s="5">
        <v>4</v>
      </c>
      <c r="D6" s="5">
        <v>1</v>
      </c>
      <c r="E6" s="5" t="s">
        <v>2462</v>
      </c>
      <c r="F6" s="11">
        <v>43646</v>
      </c>
      <c r="G6" s="5" t="s">
        <v>4034</v>
      </c>
      <c r="H6" s="45">
        <v>1.1805555555555555E-2</v>
      </c>
      <c r="I6" s="181">
        <v>1.9675925925925926E-4</v>
      </c>
      <c r="J6" s="48">
        <v>17</v>
      </c>
      <c r="K6" s="5" t="s">
        <v>4035</v>
      </c>
      <c r="L6" s="5" t="s">
        <v>64</v>
      </c>
      <c r="M6" s="5" t="s">
        <v>102</v>
      </c>
      <c r="N6" s="5" t="s">
        <v>23</v>
      </c>
      <c r="O6" s="5">
        <v>0</v>
      </c>
      <c r="P6" s="5">
        <v>0</v>
      </c>
      <c r="Q6" s="5">
        <v>0</v>
      </c>
      <c r="R6" s="5" t="s">
        <v>115</v>
      </c>
      <c r="S6" s="5" t="s">
        <v>115</v>
      </c>
      <c r="T6" s="5" t="s">
        <v>115</v>
      </c>
      <c r="U6" s="5" t="s">
        <v>115</v>
      </c>
      <c r="V6" s="5" t="s">
        <v>115</v>
      </c>
      <c r="W6" s="5" t="s">
        <v>115</v>
      </c>
      <c r="X6" s="5" t="s">
        <v>115</v>
      </c>
      <c r="Y6" s="5" t="s">
        <v>115</v>
      </c>
      <c r="Z6" s="5" t="s">
        <v>115</v>
      </c>
      <c r="AA6" s="5" t="s">
        <v>115</v>
      </c>
      <c r="AB6" s="5" t="s">
        <v>115</v>
      </c>
      <c r="AC6" s="5" t="s">
        <v>115</v>
      </c>
      <c r="AD6" s="5" t="s">
        <v>115</v>
      </c>
      <c r="AE6" s="5" t="s">
        <v>115</v>
      </c>
      <c r="AF6" s="5" t="s">
        <v>115</v>
      </c>
      <c r="AG6" s="5">
        <v>16</v>
      </c>
      <c r="AH6" s="5">
        <v>0</v>
      </c>
      <c r="AI6" s="5">
        <v>0</v>
      </c>
      <c r="AJ6" s="5">
        <v>16</v>
      </c>
      <c r="AK6" s="5">
        <v>0</v>
      </c>
      <c r="AL6" s="5">
        <f t="shared" si="0"/>
        <v>16</v>
      </c>
      <c r="AM6" s="5"/>
      <c r="AN6" s="5"/>
      <c r="AO6" s="5"/>
      <c r="AP6" s="5"/>
    </row>
    <row r="7" spans="1:42" x14ac:dyDescent="0.2">
      <c r="A7" s="5" t="s">
        <v>4046</v>
      </c>
      <c r="B7" s="5" t="s">
        <v>4047</v>
      </c>
      <c r="C7" s="5">
        <v>7</v>
      </c>
      <c r="D7" s="5">
        <v>1</v>
      </c>
      <c r="E7" s="5" t="s">
        <v>2462</v>
      </c>
      <c r="F7" s="11">
        <v>43646</v>
      </c>
      <c r="G7" s="5" t="s">
        <v>4034</v>
      </c>
      <c r="H7" s="45">
        <v>4.3750000000000004E-2</v>
      </c>
      <c r="I7" s="181">
        <v>7.291666666666667E-4</v>
      </c>
      <c r="J7" s="48">
        <v>63</v>
      </c>
      <c r="K7" s="5" t="s">
        <v>4035</v>
      </c>
      <c r="L7" s="5" t="s">
        <v>363</v>
      </c>
      <c r="M7" s="5" t="s">
        <v>4079</v>
      </c>
      <c r="N7" s="5" t="s">
        <v>23</v>
      </c>
      <c r="O7" s="5">
        <v>1</v>
      </c>
      <c r="P7" s="5">
        <v>0</v>
      </c>
      <c r="Q7" s="5">
        <v>1</v>
      </c>
      <c r="R7" s="5" t="s">
        <v>598</v>
      </c>
      <c r="S7" s="5" t="s">
        <v>4048</v>
      </c>
      <c r="T7" s="5" t="s">
        <v>122</v>
      </c>
      <c r="U7" s="5" t="s">
        <v>263</v>
      </c>
      <c r="V7" s="5" t="s">
        <v>23</v>
      </c>
      <c r="W7" s="5" t="s">
        <v>4004</v>
      </c>
      <c r="X7" s="5" t="s">
        <v>4022</v>
      </c>
      <c r="Y7" s="5" t="s">
        <v>2912</v>
      </c>
      <c r="Z7" s="5">
        <v>190</v>
      </c>
      <c r="AA7" s="5">
        <v>2</v>
      </c>
      <c r="AB7" s="5">
        <v>63.73545</v>
      </c>
      <c r="AC7" s="5">
        <v>148.89067</v>
      </c>
      <c r="AD7" s="5" t="s">
        <v>115</v>
      </c>
      <c r="AE7" s="5" t="s">
        <v>115</v>
      </c>
      <c r="AF7" s="5" t="s">
        <v>115</v>
      </c>
      <c r="AG7" s="5">
        <v>0</v>
      </c>
      <c r="AH7" s="5">
        <v>0</v>
      </c>
      <c r="AI7" s="5">
        <v>0</v>
      </c>
      <c r="AJ7" s="5">
        <v>0</v>
      </c>
      <c r="AK7" s="5">
        <v>38</v>
      </c>
      <c r="AL7" s="5">
        <f t="shared" si="0"/>
        <v>38</v>
      </c>
      <c r="AM7" s="5" t="s">
        <v>188</v>
      </c>
      <c r="AN7" s="5" t="s">
        <v>4113</v>
      </c>
      <c r="AO7" s="5"/>
      <c r="AP7" s="5"/>
    </row>
    <row r="8" spans="1:42" x14ac:dyDescent="0.2">
      <c r="A8" s="5" t="s">
        <v>4051</v>
      </c>
      <c r="B8" s="5" t="s">
        <v>4052</v>
      </c>
      <c r="C8" s="5">
        <v>9</v>
      </c>
      <c r="D8" s="5">
        <v>1</v>
      </c>
      <c r="E8" s="5" t="s">
        <v>2462</v>
      </c>
      <c r="F8" s="11">
        <v>43646</v>
      </c>
      <c r="G8" s="5" t="s">
        <v>4034</v>
      </c>
      <c r="H8" s="45">
        <v>1.3888888888888888E-2</v>
      </c>
      <c r="I8" s="181">
        <v>2.3148148148148146E-4</v>
      </c>
      <c r="J8" s="48">
        <v>20</v>
      </c>
      <c r="K8" s="5" t="s">
        <v>4035</v>
      </c>
      <c r="L8" s="5" t="s">
        <v>64</v>
      </c>
      <c r="M8" s="5" t="s">
        <v>102</v>
      </c>
      <c r="N8" s="5" t="s">
        <v>23</v>
      </c>
      <c r="O8" s="5">
        <v>1</v>
      </c>
      <c r="P8" s="5" t="s">
        <v>115</v>
      </c>
      <c r="Q8" s="5">
        <v>1</v>
      </c>
      <c r="R8" s="5" t="s">
        <v>1618</v>
      </c>
      <c r="S8" s="5" t="s">
        <v>4053</v>
      </c>
      <c r="T8" s="5" t="s">
        <v>176</v>
      </c>
      <c r="U8" s="5" t="s">
        <v>4054</v>
      </c>
      <c r="V8" s="5" t="s">
        <v>23</v>
      </c>
      <c r="W8" s="5" t="s">
        <v>4055</v>
      </c>
      <c r="X8" s="5" t="s">
        <v>4006</v>
      </c>
      <c r="Y8" s="46"/>
      <c r="Z8" s="46"/>
      <c r="AA8" s="5" t="s">
        <v>176</v>
      </c>
      <c r="AB8" s="5">
        <v>63.737050000000004</v>
      </c>
      <c r="AC8" s="5">
        <v>148.89748</v>
      </c>
      <c r="AD8" s="5" t="s">
        <v>115</v>
      </c>
      <c r="AE8" s="5" t="s">
        <v>115</v>
      </c>
      <c r="AF8" s="5" t="s">
        <v>115</v>
      </c>
      <c r="AG8" s="5">
        <v>0</v>
      </c>
      <c r="AH8" s="5">
        <v>0</v>
      </c>
      <c r="AI8" s="5">
        <v>0</v>
      </c>
      <c r="AJ8" s="5">
        <v>0</v>
      </c>
      <c r="AK8" s="5">
        <v>0</v>
      </c>
      <c r="AL8" s="5">
        <f t="shared" si="0"/>
        <v>0</v>
      </c>
      <c r="AM8" s="5"/>
      <c r="AN8" s="5"/>
      <c r="AO8" s="5"/>
      <c r="AP8" s="5"/>
    </row>
    <row r="9" spans="1:42" x14ac:dyDescent="0.2">
      <c r="A9" s="5" t="s">
        <v>4042</v>
      </c>
      <c r="B9" s="5" t="s">
        <v>4043</v>
      </c>
      <c r="C9" s="5">
        <v>5</v>
      </c>
      <c r="D9" s="5">
        <v>1</v>
      </c>
      <c r="E9" s="5" t="s">
        <v>2462</v>
      </c>
      <c r="F9" s="11">
        <v>43646</v>
      </c>
      <c r="G9" s="5" t="s">
        <v>4034</v>
      </c>
      <c r="H9" s="45">
        <v>1.5972222222222224E-2</v>
      </c>
      <c r="I9" s="181">
        <v>2.6620370370370372E-4</v>
      </c>
      <c r="J9" s="48">
        <v>23</v>
      </c>
      <c r="K9" s="5" t="s">
        <v>4035</v>
      </c>
      <c r="L9" s="5" t="s">
        <v>363</v>
      </c>
      <c r="M9" s="5" t="s">
        <v>102</v>
      </c>
      <c r="N9" s="5" t="s">
        <v>23</v>
      </c>
      <c r="O9" s="5" t="s">
        <v>176</v>
      </c>
      <c r="P9" s="5" t="s">
        <v>176</v>
      </c>
      <c r="Q9" s="5" t="s">
        <v>176</v>
      </c>
      <c r="R9" s="5" t="s">
        <v>115</v>
      </c>
      <c r="S9" s="5" t="s">
        <v>115</v>
      </c>
      <c r="T9" s="5" t="s">
        <v>115</v>
      </c>
      <c r="U9" s="5" t="s">
        <v>115</v>
      </c>
      <c r="V9" s="5" t="s">
        <v>115</v>
      </c>
      <c r="W9" s="5" t="s">
        <v>115</v>
      </c>
      <c r="X9" s="5" t="s">
        <v>115</v>
      </c>
      <c r="Y9" s="5" t="s">
        <v>115</v>
      </c>
      <c r="Z9" s="5" t="s">
        <v>115</v>
      </c>
      <c r="AA9" s="5" t="s">
        <v>115</v>
      </c>
      <c r="AB9" s="5" t="s">
        <v>115</v>
      </c>
      <c r="AC9" s="5" t="s">
        <v>115</v>
      </c>
      <c r="AD9" s="5" t="s">
        <v>115</v>
      </c>
      <c r="AE9" s="5" t="s">
        <v>115</v>
      </c>
      <c r="AF9" s="5" t="s">
        <v>115</v>
      </c>
      <c r="AG9" s="5">
        <v>9</v>
      </c>
      <c r="AH9" s="5">
        <v>0</v>
      </c>
      <c r="AI9" s="5">
        <v>0</v>
      </c>
      <c r="AJ9" s="5">
        <v>9</v>
      </c>
      <c r="AK9" s="5">
        <v>0</v>
      </c>
      <c r="AL9" s="5">
        <f t="shared" si="0"/>
        <v>9</v>
      </c>
      <c r="AM9" s="5" t="s">
        <v>165</v>
      </c>
      <c r="AN9" s="5"/>
      <c r="AO9" s="5" t="s">
        <v>24</v>
      </c>
      <c r="AP9" s="5"/>
    </row>
    <row r="10" spans="1:42" x14ac:dyDescent="0.2">
      <c r="A10" s="5" t="s">
        <v>4071</v>
      </c>
      <c r="B10" s="5" t="s">
        <v>4072</v>
      </c>
      <c r="C10" s="5">
        <v>7</v>
      </c>
      <c r="D10" s="5">
        <v>1</v>
      </c>
      <c r="E10" s="5" t="s">
        <v>140</v>
      </c>
      <c r="F10" s="11">
        <v>43647</v>
      </c>
      <c r="G10" s="5" t="s">
        <v>4058</v>
      </c>
      <c r="H10" s="45">
        <v>2.9166666666666664E-2</v>
      </c>
      <c r="I10" s="181">
        <v>4.8611111111111104E-4</v>
      </c>
      <c r="J10" s="48">
        <v>42</v>
      </c>
      <c r="K10" s="5" t="s">
        <v>398</v>
      </c>
      <c r="L10" s="5" t="s">
        <v>670</v>
      </c>
      <c r="M10" s="5" t="s">
        <v>102</v>
      </c>
      <c r="N10" s="5" t="s">
        <v>23</v>
      </c>
      <c r="O10" s="5" t="s">
        <v>176</v>
      </c>
      <c r="P10" s="5">
        <v>0</v>
      </c>
      <c r="Q10" s="5">
        <v>0</v>
      </c>
      <c r="R10" s="5" t="s">
        <v>115</v>
      </c>
      <c r="S10" s="5" t="s">
        <v>115</v>
      </c>
      <c r="T10" s="5" t="s">
        <v>115</v>
      </c>
      <c r="U10" s="5" t="s">
        <v>115</v>
      </c>
      <c r="V10" s="5" t="s">
        <v>115</v>
      </c>
      <c r="W10" s="5" t="s">
        <v>115</v>
      </c>
      <c r="X10" s="5" t="s">
        <v>115</v>
      </c>
      <c r="Y10" s="5" t="s">
        <v>115</v>
      </c>
      <c r="Z10" s="5" t="s">
        <v>115</v>
      </c>
      <c r="AA10" s="5" t="s">
        <v>115</v>
      </c>
      <c r="AB10" s="5" t="s">
        <v>115</v>
      </c>
      <c r="AC10" s="5" t="s">
        <v>115</v>
      </c>
      <c r="AD10" s="5" t="s">
        <v>115</v>
      </c>
      <c r="AE10" s="5" t="s">
        <v>115</v>
      </c>
      <c r="AF10" s="5" t="s">
        <v>115</v>
      </c>
      <c r="AG10" s="5">
        <v>42</v>
      </c>
      <c r="AH10" s="5">
        <v>0</v>
      </c>
      <c r="AI10" s="5">
        <v>42</v>
      </c>
      <c r="AJ10" s="5">
        <v>0</v>
      </c>
      <c r="AK10" s="5">
        <v>0</v>
      </c>
      <c r="AL10" s="5">
        <f t="shared" si="0"/>
        <v>42</v>
      </c>
      <c r="AM10" s="5" t="s">
        <v>188</v>
      </c>
      <c r="AN10" s="5"/>
      <c r="AO10" s="5"/>
      <c r="AP10" s="5"/>
    </row>
    <row r="11" spans="1:42" x14ac:dyDescent="0.2">
      <c r="A11" s="5" t="s">
        <v>4073</v>
      </c>
      <c r="B11" s="5" t="s">
        <v>4074</v>
      </c>
      <c r="C11" s="5">
        <v>8</v>
      </c>
      <c r="D11" s="5">
        <v>1</v>
      </c>
      <c r="E11" s="5" t="s">
        <v>140</v>
      </c>
      <c r="F11" s="11">
        <v>43647</v>
      </c>
      <c r="G11" s="5" t="s">
        <v>4058</v>
      </c>
      <c r="H11" s="45">
        <v>1.3194444444444444E-2</v>
      </c>
      <c r="I11" s="181">
        <v>2.199074074074074E-4</v>
      </c>
      <c r="J11" s="48">
        <v>19</v>
      </c>
      <c r="K11" s="5" t="s">
        <v>398</v>
      </c>
      <c r="L11" s="5" t="s">
        <v>670</v>
      </c>
      <c r="M11" s="5" t="s">
        <v>102</v>
      </c>
      <c r="N11" s="5" t="s">
        <v>23</v>
      </c>
      <c r="O11" s="5" t="s">
        <v>176</v>
      </c>
      <c r="P11" s="5">
        <v>0</v>
      </c>
      <c r="Q11" s="5">
        <v>0</v>
      </c>
      <c r="R11" s="5" t="s">
        <v>115</v>
      </c>
      <c r="S11" s="5" t="s">
        <v>115</v>
      </c>
      <c r="T11" s="5" t="s">
        <v>115</v>
      </c>
      <c r="U11" s="5" t="s">
        <v>115</v>
      </c>
      <c r="V11" s="5" t="s">
        <v>115</v>
      </c>
      <c r="W11" s="5" t="s">
        <v>115</v>
      </c>
      <c r="X11" s="5" t="s">
        <v>115</v>
      </c>
      <c r="Y11" s="5" t="s">
        <v>115</v>
      </c>
      <c r="Z11" s="5" t="s">
        <v>115</v>
      </c>
      <c r="AA11" s="5" t="s">
        <v>115</v>
      </c>
      <c r="AB11" s="5" t="s">
        <v>115</v>
      </c>
      <c r="AC11" s="5" t="s">
        <v>115</v>
      </c>
      <c r="AD11" s="5" t="s">
        <v>115</v>
      </c>
      <c r="AE11" s="5" t="s">
        <v>115</v>
      </c>
      <c r="AF11" s="5" t="s">
        <v>115</v>
      </c>
      <c r="AG11" s="5">
        <v>0</v>
      </c>
      <c r="AH11" s="5">
        <v>15</v>
      </c>
      <c r="AI11" s="5">
        <v>0</v>
      </c>
      <c r="AJ11" s="5">
        <v>15</v>
      </c>
      <c r="AK11" s="5">
        <v>0</v>
      </c>
      <c r="AL11" s="5">
        <f t="shared" si="0"/>
        <v>15</v>
      </c>
      <c r="AM11" s="5" t="s">
        <v>16</v>
      </c>
      <c r="AN11" s="5"/>
      <c r="AO11" s="5"/>
      <c r="AP11" s="5"/>
    </row>
    <row r="12" spans="1:42" x14ac:dyDescent="0.2">
      <c r="A12" s="5" t="s">
        <v>471</v>
      </c>
      <c r="B12" s="5" t="s">
        <v>4081</v>
      </c>
      <c r="C12" s="5">
        <v>11</v>
      </c>
      <c r="D12" s="5">
        <v>1</v>
      </c>
      <c r="E12" s="5" t="s">
        <v>140</v>
      </c>
      <c r="F12" s="11">
        <v>43647</v>
      </c>
      <c r="G12" s="5" t="s">
        <v>4058</v>
      </c>
      <c r="H12" s="45">
        <v>2.361111111111111E-2</v>
      </c>
      <c r="I12" s="181">
        <v>3.9351851851851852E-4</v>
      </c>
      <c r="J12" s="48">
        <v>34</v>
      </c>
      <c r="K12" s="5" t="s">
        <v>398</v>
      </c>
      <c r="L12" s="5" t="s">
        <v>670</v>
      </c>
      <c r="M12" s="5" t="s">
        <v>102</v>
      </c>
      <c r="N12" s="5" t="s">
        <v>23</v>
      </c>
      <c r="O12" s="5" t="s">
        <v>176</v>
      </c>
      <c r="P12" s="5">
        <v>0</v>
      </c>
      <c r="Q12" s="5">
        <v>0</v>
      </c>
      <c r="R12" s="5" t="s">
        <v>115</v>
      </c>
      <c r="S12" s="5" t="s">
        <v>115</v>
      </c>
      <c r="T12" s="5" t="s">
        <v>115</v>
      </c>
      <c r="U12" s="5" t="s">
        <v>115</v>
      </c>
      <c r="V12" s="5" t="s">
        <v>115</v>
      </c>
      <c r="W12" s="5" t="s">
        <v>115</v>
      </c>
      <c r="X12" s="5" t="s">
        <v>115</v>
      </c>
      <c r="Y12" s="5" t="s">
        <v>115</v>
      </c>
      <c r="Z12" s="5" t="s">
        <v>115</v>
      </c>
      <c r="AA12" s="5" t="s">
        <v>115</v>
      </c>
      <c r="AB12" s="5" t="s">
        <v>115</v>
      </c>
      <c r="AC12" s="5" t="s">
        <v>115</v>
      </c>
      <c r="AD12" s="5" t="s">
        <v>115</v>
      </c>
      <c r="AE12" s="5" t="s">
        <v>115</v>
      </c>
      <c r="AF12" s="5" t="s">
        <v>115</v>
      </c>
      <c r="AG12" s="5">
        <v>0</v>
      </c>
      <c r="AH12" s="5">
        <v>32</v>
      </c>
      <c r="AI12" s="5">
        <v>32</v>
      </c>
      <c r="AJ12" s="5">
        <v>0</v>
      </c>
      <c r="AK12" s="5">
        <v>0</v>
      </c>
      <c r="AL12" s="5">
        <f t="shared" si="0"/>
        <v>32</v>
      </c>
      <c r="AM12" s="5" t="s">
        <v>188</v>
      </c>
      <c r="AN12" s="5"/>
      <c r="AO12" s="5"/>
      <c r="AP12" s="5"/>
    </row>
    <row r="13" spans="1:42" x14ac:dyDescent="0.2">
      <c r="A13" s="5" t="s">
        <v>4082</v>
      </c>
      <c r="B13" s="5" t="s">
        <v>4083</v>
      </c>
      <c r="C13" s="5">
        <v>12</v>
      </c>
      <c r="D13" s="5">
        <v>1</v>
      </c>
      <c r="E13" s="5" t="s">
        <v>140</v>
      </c>
      <c r="F13" s="11">
        <v>43647</v>
      </c>
      <c r="G13" s="5" t="s">
        <v>4058</v>
      </c>
      <c r="H13" s="45">
        <v>3.4027777777777775E-2</v>
      </c>
      <c r="I13" s="181">
        <v>5.6712962962962956E-4</v>
      </c>
      <c r="J13" s="48">
        <v>49</v>
      </c>
      <c r="K13" s="5" t="s">
        <v>398</v>
      </c>
      <c r="L13" s="5" t="s">
        <v>670</v>
      </c>
      <c r="M13" s="5" t="s">
        <v>102</v>
      </c>
      <c r="N13" s="5" t="s">
        <v>23</v>
      </c>
      <c r="O13" s="5" t="s">
        <v>176</v>
      </c>
      <c r="P13" s="5">
        <v>0</v>
      </c>
      <c r="Q13" s="5">
        <v>0</v>
      </c>
      <c r="R13" s="5" t="s">
        <v>115</v>
      </c>
      <c r="S13" s="5" t="s">
        <v>115</v>
      </c>
      <c r="T13" s="5" t="s">
        <v>115</v>
      </c>
      <c r="U13" s="5" t="s">
        <v>115</v>
      </c>
      <c r="V13" s="5" t="s">
        <v>115</v>
      </c>
      <c r="W13" s="5" t="s">
        <v>115</v>
      </c>
      <c r="X13" s="5" t="s">
        <v>115</v>
      </c>
      <c r="Y13" s="5" t="s">
        <v>115</v>
      </c>
      <c r="Z13" s="5" t="s">
        <v>115</v>
      </c>
      <c r="AA13" s="5" t="s">
        <v>115</v>
      </c>
      <c r="AB13" s="5" t="s">
        <v>115</v>
      </c>
      <c r="AC13" s="5" t="s">
        <v>115</v>
      </c>
      <c r="AD13" s="5" t="s">
        <v>115</v>
      </c>
      <c r="AE13" s="5" t="s">
        <v>115</v>
      </c>
      <c r="AF13" s="5" t="s">
        <v>115</v>
      </c>
      <c r="AG13" s="5">
        <v>0</v>
      </c>
      <c r="AH13" s="5">
        <v>36</v>
      </c>
      <c r="AI13" s="5">
        <v>10</v>
      </c>
      <c r="AJ13" s="5">
        <v>26</v>
      </c>
      <c r="AK13" s="5">
        <v>0</v>
      </c>
      <c r="AL13" s="5">
        <f t="shared" si="0"/>
        <v>36</v>
      </c>
      <c r="AM13" s="5" t="s">
        <v>188</v>
      </c>
      <c r="AN13" s="5"/>
      <c r="AO13" s="5"/>
      <c r="AP13" s="5"/>
    </row>
    <row r="14" spans="1:42" x14ac:dyDescent="0.2">
      <c r="A14" s="5" t="s">
        <v>4089</v>
      </c>
      <c r="B14" s="5" t="s">
        <v>4090</v>
      </c>
      <c r="C14" s="5">
        <v>15</v>
      </c>
      <c r="D14" s="5">
        <v>1</v>
      </c>
      <c r="E14" s="5" t="s">
        <v>140</v>
      </c>
      <c r="F14" s="11">
        <v>43647</v>
      </c>
      <c r="G14" s="5" t="s">
        <v>4058</v>
      </c>
      <c r="H14" s="45">
        <v>1.1805555555555555E-2</v>
      </c>
      <c r="I14" s="181">
        <v>1.9675925925925926E-4</v>
      </c>
      <c r="J14" s="48">
        <v>17</v>
      </c>
      <c r="K14" s="5" t="s">
        <v>398</v>
      </c>
      <c r="L14" s="5" t="s">
        <v>670</v>
      </c>
      <c r="M14" s="5" t="s">
        <v>102</v>
      </c>
      <c r="N14" s="5" t="s">
        <v>23</v>
      </c>
      <c r="O14" s="5" t="s">
        <v>176</v>
      </c>
      <c r="P14" s="5">
        <v>0</v>
      </c>
      <c r="Q14" s="5">
        <v>0</v>
      </c>
      <c r="R14" s="5" t="s">
        <v>115</v>
      </c>
      <c r="S14" s="5" t="s">
        <v>115</v>
      </c>
      <c r="T14" s="5" t="s">
        <v>115</v>
      </c>
      <c r="U14" s="5" t="s">
        <v>115</v>
      </c>
      <c r="V14" s="5" t="s">
        <v>115</v>
      </c>
      <c r="W14" s="5" t="s">
        <v>115</v>
      </c>
      <c r="X14" s="5" t="s">
        <v>115</v>
      </c>
      <c r="Y14" s="5" t="s">
        <v>115</v>
      </c>
      <c r="Z14" s="5" t="s">
        <v>115</v>
      </c>
      <c r="AA14" s="5" t="s">
        <v>115</v>
      </c>
      <c r="AB14" s="5" t="s">
        <v>115</v>
      </c>
      <c r="AC14" s="5" t="s">
        <v>115</v>
      </c>
      <c r="AD14" s="5" t="s">
        <v>115</v>
      </c>
      <c r="AE14" s="5" t="s">
        <v>115</v>
      </c>
      <c r="AF14" s="5" t="s">
        <v>115</v>
      </c>
      <c r="AG14" s="5">
        <v>0</v>
      </c>
      <c r="AH14" s="5">
        <v>10</v>
      </c>
      <c r="AI14" s="5">
        <v>10</v>
      </c>
      <c r="AJ14" s="5">
        <v>0</v>
      </c>
      <c r="AK14" s="5">
        <v>0</v>
      </c>
      <c r="AL14" s="5">
        <f t="shared" si="0"/>
        <v>10</v>
      </c>
      <c r="AM14" s="5" t="s">
        <v>16</v>
      </c>
      <c r="AN14" s="5"/>
      <c r="AO14" s="5"/>
      <c r="AP14" s="5">
        <v>1</v>
      </c>
    </row>
    <row r="15" spans="1:42" x14ac:dyDescent="0.2">
      <c r="A15" s="5" t="s">
        <v>4093</v>
      </c>
      <c r="B15" s="5" t="s">
        <v>4094</v>
      </c>
      <c r="C15" s="5">
        <v>17</v>
      </c>
      <c r="D15" s="5">
        <v>1</v>
      </c>
      <c r="E15" s="5" t="s">
        <v>140</v>
      </c>
      <c r="F15" s="11">
        <v>43647</v>
      </c>
      <c r="G15" s="5" t="s">
        <v>4058</v>
      </c>
      <c r="H15" s="45">
        <v>1.3888888888888888E-2</v>
      </c>
      <c r="I15" s="181">
        <v>2.3148148148148146E-4</v>
      </c>
      <c r="J15" s="48">
        <v>20</v>
      </c>
      <c r="K15" s="5" t="s">
        <v>398</v>
      </c>
      <c r="L15" s="5" t="s">
        <v>149</v>
      </c>
      <c r="M15" s="5" t="s">
        <v>102</v>
      </c>
      <c r="N15" s="5" t="s">
        <v>115</v>
      </c>
      <c r="O15" s="5" t="s">
        <v>176</v>
      </c>
      <c r="P15" s="5">
        <v>0</v>
      </c>
      <c r="Q15" s="5">
        <v>0</v>
      </c>
      <c r="R15" s="5" t="s">
        <v>115</v>
      </c>
      <c r="S15" s="5" t="s">
        <v>115</v>
      </c>
      <c r="T15" s="5" t="s">
        <v>115</v>
      </c>
      <c r="U15" s="5" t="s">
        <v>115</v>
      </c>
      <c r="V15" s="5" t="s">
        <v>115</v>
      </c>
      <c r="W15" s="5" t="s">
        <v>115</v>
      </c>
      <c r="X15" s="5" t="s">
        <v>115</v>
      </c>
      <c r="Y15" s="5" t="s">
        <v>115</v>
      </c>
      <c r="Z15" s="5" t="s">
        <v>115</v>
      </c>
      <c r="AA15" s="5" t="s">
        <v>115</v>
      </c>
      <c r="AB15" s="5" t="s">
        <v>115</v>
      </c>
      <c r="AC15" s="5" t="s">
        <v>115</v>
      </c>
      <c r="AD15" s="5" t="s">
        <v>115</v>
      </c>
      <c r="AE15" s="5" t="s">
        <v>115</v>
      </c>
      <c r="AF15" s="5" t="s">
        <v>115</v>
      </c>
      <c r="AG15" s="5">
        <v>0</v>
      </c>
      <c r="AH15" s="5">
        <v>0</v>
      </c>
      <c r="AI15" s="5">
        <v>0</v>
      </c>
      <c r="AJ15" s="5">
        <v>0</v>
      </c>
      <c r="AK15" s="5">
        <v>4</v>
      </c>
      <c r="AL15" s="5">
        <f t="shared" si="0"/>
        <v>4</v>
      </c>
      <c r="AM15" s="5" t="s">
        <v>188</v>
      </c>
      <c r="AN15" s="5"/>
      <c r="AO15" s="5"/>
      <c r="AP15" s="5"/>
    </row>
    <row r="16" spans="1:42" x14ac:dyDescent="0.2">
      <c r="A16" s="5" t="s">
        <v>4095</v>
      </c>
      <c r="B16" s="5" t="s">
        <v>4096</v>
      </c>
      <c r="C16" s="5">
        <v>18</v>
      </c>
      <c r="D16" s="5">
        <v>1</v>
      </c>
      <c r="E16" s="5" t="s">
        <v>140</v>
      </c>
      <c r="F16" s="11">
        <v>43647</v>
      </c>
      <c r="G16" s="5" t="s">
        <v>4058</v>
      </c>
      <c r="H16" s="45">
        <v>6.6666666666666666E-2</v>
      </c>
      <c r="I16" s="181">
        <v>1.1111111111111111E-3</v>
      </c>
      <c r="J16" s="48">
        <v>96</v>
      </c>
      <c r="K16" s="5" t="s">
        <v>398</v>
      </c>
      <c r="L16" s="5" t="s">
        <v>149</v>
      </c>
      <c r="M16" s="5" t="s">
        <v>102</v>
      </c>
      <c r="N16" s="5" t="s">
        <v>115</v>
      </c>
      <c r="O16" s="5" t="s">
        <v>176</v>
      </c>
      <c r="P16" s="5">
        <v>0</v>
      </c>
      <c r="Q16" s="5">
        <v>0</v>
      </c>
      <c r="R16" s="5" t="s">
        <v>115</v>
      </c>
      <c r="S16" s="5" t="s">
        <v>115</v>
      </c>
      <c r="T16" s="5" t="s">
        <v>115</v>
      </c>
      <c r="U16" s="5" t="s">
        <v>115</v>
      </c>
      <c r="V16" s="5" t="s">
        <v>115</v>
      </c>
      <c r="W16" s="5" t="s">
        <v>115</v>
      </c>
      <c r="X16" s="5" t="s">
        <v>115</v>
      </c>
      <c r="Y16" s="5" t="s">
        <v>115</v>
      </c>
      <c r="Z16" s="5" t="s">
        <v>115</v>
      </c>
      <c r="AA16" s="5" t="s">
        <v>115</v>
      </c>
      <c r="AB16" s="5" t="s">
        <v>115</v>
      </c>
      <c r="AC16" s="5" t="s">
        <v>115</v>
      </c>
      <c r="AD16" s="5" t="s">
        <v>115</v>
      </c>
      <c r="AE16" s="5" t="s">
        <v>115</v>
      </c>
      <c r="AF16" s="5" t="s">
        <v>115</v>
      </c>
      <c r="AG16" s="5">
        <v>0</v>
      </c>
      <c r="AH16" s="5">
        <v>0</v>
      </c>
      <c r="AI16" s="5">
        <v>0</v>
      </c>
      <c r="AJ16" s="5">
        <v>0</v>
      </c>
      <c r="AK16" s="5">
        <v>96</v>
      </c>
      <c r="AL16" s="5">
        <f t="shared" si="0"/>
        <v>96</v>
      </c>
      <c r="AM16" s="5" t="s">
        <v>188</v>
      </c>
      <c r="AN16" s="5"/>
      <c r="AO16" s="5"/>
      <c r="AP16" s="5"/>
    </row>
    <row r="17" spans="1:42" x14ac:dyDescent="0.2">
      <c r="A17" s="5" t="s">
        <v>4097</v>
      </c>
      <c r="B17" s="5" t="s">
        <v>4098</v>
      </c>
      <c r="C17" s="5">
        <v>19</v>
      </c>
      <c r="D17" s="5">
        <v>1</v>
      </c>
      <c r="E17" s="5" t="s">
        <v>140</v>
      </c>
      <c r="F17" s="11">
        <v>43647</v>
      </c>
      <c r="G17" s="5" t="s">
        <v>4058</v>
      </c>
      <c r="H17" s="45">
        <v>2.6388888888888889E-2</v>
      </c>
      <c r="I17" s="181">
        <v>4.3981481481481481E-4</v>
      </c>
      <c r="J17" s="48">
        <v>38</v>
      </c>
      <c r="K17" s="5" t="s">
        <v>398</v>
      </c>
      <c r="L17" s="5" t="s">
        <v>149</v>
      </c>
      <c r="M17" s="5" t="s">
        <v>102</v>
      </c>
      <c r="N17" s="5" t="s">
        <v>115</v>
      </c>
      <c r="O17" s="5" t="s">
        <v>176</v>
      </c>
      <c r="P17" s="5">
        <v>0</v>
      </c>
      <c r="Q17" s="5">
        <v>0</v>
      </c>
      <c r="R17" s="5" t="s">
        <v>115</v>
      </c>
      <c r="S17" s="5" t="s">
        <v>115</v>
      </c>
      <c r="T17" s="5" t="s">
        <v>115</v>
      </c>
      <c r="U17" s="5" t="s">
        <v>115</v>
      </c>
      <c r="V17" s="5" t="s">
        <v>115</v>
      </c>
      <c r="W17" s="5" t="s">
        <v>115</v>
      </c>
      <c r="X17" s="5" t="s">
        <v>115</v>
      </c>
      <c r="Y17" s="5" t="s">
        <v>115</v>
      </c>
      <c r="Z17" s="5" t="s">
        <v>115</v>
      </c>
      <c r="AA17" s="5" t="s">
        <v>115</v>
      </c>
      <c r="AB17" s="5" t="s">
        <v>115</v>
      </c>
      <c r="AC17" s="5" t="s">
        <v>115</v>
      </c>
      <c r="AD17" s="5" t="s">
        <v>115</v>
      </c>
      <c r="AE17" s="5" t="s">
        <v>115</v>
      </c>
      <c r="AF17" s="5" t="s">
        <v>115</v>
      </c>
      <c r="AG17" s="5">
        <v>0</v>
      </c>
      <c r="AH17" s="5">
        <v>0</v>
      </c>
      <c r="AI17" s="5">
        <v>0</v>
      </c>
      <c r="AJ17" s="5">
        <v>0</v>
      </c>
      <c r="AK17" s="5">
        <v>38</v>
      </c>
      <c r="AL17" s="5">
        <f t="shared" si="0"/>
        <v>38</v>
      </c>
      <c r="AM17" s="5" t="s">
        <v>188</v>
      </c>
      <c r="AN17" s="5"/>
      <c r="AO17" s="5"/>
      <c r="AP17" s="5"/>
    </row>
    <row r="18" spans="1:42" x14ac:dyDescent="0.2">
      <c r="A18" s="5" t="s">
        <v>4099</v>
      </c>
      <c r="B18" s="5" t="s">
        <v>4100</v>
      </c>
      <c r="C18" s="5">
        <v>20</v>
      </c>
      <c r="D18" s="5">
        <v>1</v>
      </c>
      <c r="E18" s="5" t="s">
        <v>140</v>
      </c>
      <c r="F18" s="11">
        <v>43647</v>
      </c>
      <c r="G18" s="5" t="s">
        <v>4058</v>
      </c>
      <c r="H18" s="45">
        <v>3.7499999999999999E-2</v>
      </c>
      <c r="I18" s="181">
        <v>6.2500000000000001E-4</v>
      </c>
      <c r="J18" s="48">
        <v>54</v>
      </c>
      <c r="K18" s="5" t="s">
        <v>398</v>
      </c>
      <c r="L18" s="5" t="s">
        <v>149</v>
      </c>
      <c r="M18" s="5" t="s">
        <v>102</v>
      </c>
      <c r="N18" s="5" t="s">
        <v>23</v>
      </c>
      <c r="O18" s="5" t="s">
        <v>176</v>
      </c>
      <c r="P18" s="5">
        <v>0</v>
      </c>
      <c r="Q18" s="5">
        <v>0</v>
      </c>
      <c r="R18" s="5" t="s">
        <v>115</v>
      </c>
      <c r="S18" s="5" t="s">
        <v>115</v>
      </c>
      <c r="T18" s="5" t="s">
        <v>115</v>
      </c>
      <c r="U18" s="5" t="s">
        <v>115</v>
      </c>
      <c r="V18" s="5" t="s">
        <v>115</v>
      </c>
      <c r="W18" s="5" t="s">
        <v>115</v>
      </c>
      <c r="X18" s="5" t="s">
        <v>115</v>
      </c>
      <c r="Y18" s="5" t="s">
        <v>115</v>
      </c>
      <c r="Z18" s="5" t="s">
        <v>115</v>
      </c>
      <c r="AA18" s="5" t="s">
        <v>115</v>
      </c>
      <c r="AB18" s="5" t="s">
        <v>115</v>
      </c>
      <c r="AC18" s="5" t="s">
        <v>115</v>
      </c>
      <c r="AD18" s="5" t="s">
        <v>115</v>
      </c>
      <c r="AE18" s="5" t="s">
        <v>115</v>
      </c>
      <c r="AF18" s="5" t="s">
        <v>115</v>
      </c>
      <c r="AG18" s="48">
        <v>10</v>
      </c>
      <c r="AH18" s="5">
        <v>0</v>
      </c>
      <c r="AI18" s="5">
        <v>10</v>
      </c>
      <c r="AJ18" s="5">
        <v>0</v>
      </c>
      <c r="AK18" s="5">
        <v>4</v>
      </c>
      <c r="AL18" s="5">
        <f t="shared" si="0"/>
        <v>14</v>
      </c>
      <c r="AM18" s="5" t="s">
        <v>16</v>
      </c>
      <c r="AN18" s="5"/>
      <c r="AO18" s="5"/>
      <c r="AP18" s="5">
        <v>1</v>
      </c>
    </row>
    <row r="19" spans="1:42" x14ac:dyDescent="0.2">
      <c r="A19" s="5" t="s">
        <v>4065</v>
      </c>
      <c r="B19" s="5" t="s">
        <v>4066</v>
      </c>
      <c r="C19" s="5">
        <v>5</v>
      </c>
      <c r="D19" s="5">
        <v>1</v>
      </c>
      <c r="E19" s="5" t="s">
        <v>140</v>
      </c>
      <c r="F19" s="11">
        <v>43647</v>
      </c>
      <c r="G19" s="5" t="s">
        <v>4058</v>
      </c>
      <c r="H19" s="45">
        <v>6.7361111111111108E-2</v>
      </c>
      <c r="I19" s="181">
        <v>1.1226851851851851E-3</v>
      </c>
      <c r="J19" s="48">
        <v>97</v>
      </c>
      <c r="K19" s="5" t="s">
        <v>398</v>
      </c>
      <c r="L19" s="5" t="s">
        <v>670</v>
      </c>
      <c r="M19" s="5" t="s">
        <v>102</v>
      </c>
      <c r="N19" s="5" t="s">
        <v>23</v>
      </c>
      <c r="O19" s="5">
        <v>2</v>
      </c>
      <c r="P19" s="5" t="s">
        <v>176</v>
      </c>
      <c r="Q19" s="5">
        <v>0</v>
      </c>
      <c r="R19" s="5" t="s">
        <v>176</v>
      </c>
      <c r="S19" s="5" t="s">
        <v>176</v>
      </c>
      <c r="T19" s="5" t="s">
        <v>263</v>
      </c>
      <c r="U19" s="5" t="s">
        <v>115</v>
      </c>
      <c r="V19" s="5" t="s">
        <v>115</v>
      </c>
      <c r="W19" s="5" t="s">
        <v>115</v>
      </c>
      <c r="X19" s="5" t="s">
        <v>115</v>
      </c>
      <c r="Y19" s="5" t="s">
        <v>115</v>
      </c>
      <c r="Z19" s="5" t="s">
        <v>115</v>
      </c>
      <c r="AA19" s="5" t="s">
        <v>115</v>
      </c>
      <c r="AB19" s="5" t="s">
        <v>115</v>
      </c>
      <c r="AC19" s="5" t="s">
        <v>115</v>
      </c>
      <c r="AD19" s="5" t="s">
        <v>115</v>
      </c>
      <c r="AE19" s="5" t="s">
        <v>115</v>
      </c>
      <c r="AF19" s="5" t="s">
        <v>115</v>
      </c>
      <c r="AG19" s="5">
        <v>30</v>
      </c>
      <c r="AH19" s="5">
        <v>13</v>
      </c>
      <c r="AI19" s="5">
        <v>30</v>
      </c>
      <c r="AJ19" s="5">
        <v>13</v>
      </c>
      <c r="AK19" s="5">
        <v>14</v>
      </c>
      <c r="AL19" s="5">
        <f t="shared" si="0"/>
        <v>57</v>
      </c>
      <c r="AM19" s="5" t="s">
        <v>188</v>
      </c>
      <c r="AN19" s="5"/>
      <c r="AO19" s="5"/>
      <c r="AP19" s="5"/>
    </row>
    <row r="20" spans="1:42" x14ac:dyDescent="0.2">
      <c r="A20" s="5" t="s">
        <v>4056</v>
      </c>
      <c r="B20" s="5" t="s">
        <v>4057</v>
      </c>
      <c r="C20" s="5">
        <v>1</v>
      </c>
      <c r="D20" s="5">
        <v>1</v>
      </c>
      <c r="E20" s="5" t="s">
        <v>140</v>
      </c>
      <c r="F20" s="11">
        <v>43647</v>
      </c>
      <c r="G20" s="5" t="s">
        <v>4058</v>
      </c>
      <c r="H20" s="45">
        <v>9.0277777777777787E-3</v>
      </c>
      <c r="I20" s="181">
        <v>1.5046296296296297E-4</v>
      </c>
      <c r="J20" s="48">
        <v>13</v>
      </c>
      <c r="K20" s="5" t="s">
        <v>398</v>
      </c>
      <c r="L20" s="5" t="s">
        <v>149</v>
      </c>
      <c r="M20" s="5" t="s">
        <v>102</v>
      </c>
      <c r="N20" s="5" t="s">
        <v>23</v>
      </c>
      <c r="O20" s="5">
        <v>1</v>
      </c>
      <c r="P20" s="5" t="s">
        <v>176</v>
      </c>
      <c r="Q20" s="5">
        <v>0</v>
      </c>
      <c r="R20" s="5" t="s">
        <v>176</v>
      </c>
      <c r="S20" s="5" t="s">
        <v>176</v>
      </c>
      <c r="T20" s="5" t="s">
        <v>1035</v>
      </c>
      <c r="U20" s="5" t="s">
        <v>115</v>
      </c>
      <c r="V20" s="5" t="s">
        <v>115</v>
      </c>
      <c r="W20" s="5" t="s">
        <v>115</v>
      </c>
      <c r="X20" s="5" t="s">
        <v>115</v>
      </c>
      <c r="Y20" s="5" t="s">
        <v>115</v>
      </c>
      <c r="Z20" s="5" t="s">
        <v>115</v>
      </c>
      <c r="AA20" s="5" t="s">
        <v>115</v>
      </c>
      <c r="AB20" s="5" t="s">
        <v>115</v>
      </c>
      <c r="AC20" s="5" t="s">
        <v>115</v>
      </c>
      <c r="AD20" s="5" t="s">
        <v>115</v>
      </c>
      <c r="AE20" s="5" t="s">
        <v>115</v>
      </c>
      <c r="AF20" s="5" t="s">
        <v>115</v>
      </c>
      <c r="AG20" s="5">
        <v>0</v>
      </c>
      <c r="AH20" s="5">
        <v>9</v>
      </c>
      <c r="AI20" s="5">
        <v>0</v>
      </c>
      <c r="AJ20" s="5">
        <v>9</v>
      </c>
      <c r="AK20" s="5">
        <v>0</v>
      </c>
      <c r="AL20" s="5">
        <f t="shared" si="0"/>
        <v>9</v>
      </c>
      <c r="AM20" s="5" t="s">
        <v>188</v>
      </c>
      <c r="AN20" s="5"/>
      <c r="AO20" s="5"/>
      <c r="AP20" s="5"/>
    </row>
    <row r="21" spans="1:42" x14ac:dyDescent="0.2">
      <c r="A21" s="5" t="s">
        <v>4059</v>
      </c>
      <c r="B21" s="5" t="s">
        <v>4060</v>
      </c>
      <c r="C21" s="5">
        <v>2</v>
      </c>
      <c r="D21" s="5">
        <v>1</v>
      </c>
      <c r="E21" s="5" t="s">
        <v>140</v>
      </c>
      <c r="F21" s="11">
        <v>43647</v>
      </c>
      <c r="G21" s="5" t="s">
        <v>4058</v>
      </c>
      <c r="H21" s="45">
        <v>4.7222222222222221E-2</v>
      </c>
      <c r="I21" s="181">
        <v>7.8703703703703705E-4</v>
      </c>
      <c r="J21" s="48">
        <v>68</v>
      </c>
      <c r="K21" s="5" t="s">
        <v>398</v>
      </c>
      <c r="L21" s="5" t="s">
        <v>670</v>
      </c>
      <c r="M21" s="5" t="s">
        <v>102</v>
      </c>
      <c r="N21" s="5" t="s">
        <v>23</v>
      </c>
      <c r="O21" s="5">
        <v>1</v>
      </c>
      <c r="P21" s="5" t="s">
        <v>176</v>
      </c>
      <c r="Q21" s="5">
        <v>0</v>
      </c>
      <c r="R21" s="5" t="s">
        <v>176</v>
      </c>
      <c r="S21" s="5" t="s">
        <v>176</v>
      </c>
      <c r="T21" s="5" t="s">
        <v>1057</v>
      </c>
      <c r="U21" s="5" t="s">
        <v>115</v>
      </c>
      <c r="V21" s="5" t="s">
        <v>115</v>
      </c>
      <c r="W21" s="5" t="s">
        <v>115</v>
      </c>
      <c r="X21" s="5" t="s">
        <v>115</v>
      </c>
      <c r="Y21" s="5" t="s">
        <v>115</v>
      </c>
      <c r="Z21" s="5" t="s">
        <v>115</v>
      </c>
      <c r="AA21" s="5" t="s">
        <v>115</v>
      </c>
      <c r="AB21" s="5" t="s">
        <v>115</v>
      </c>
      <c r="AC21" s="5" t="s">
        <v>115</v>
      </c>
      <c r="AD21" s="5" t="s">
        <v>115</v>
      </c>
      <c r="AE21" s="5" t="s">
        <v>115</v>
      </c>
      <c r="AF21" s="5" t="s">
        <v>115</v>
      </c>
      <c r="AG21" s="5">
        <v>54</v>
      </c>
      <c r="AH21" s="5">
        <v>0</v>
      </c>
      <c r="AI21" s="5">
        <v>54</v>
      </c>
      <c r="AJ21" s="5">
        <v>0</v>
      </c>
      <c r="AK21" s="5">
        <v>0</v>
      </c>
      <c r="AL21" s="5">
        <f t="shared" si="0"/>
        <v>54</v>
      </c>
      <c r="AM21" s="5" t="s">
        <v>188</v>
      </c>
      <c r="AN21" s="5"/>
      <c r="AO21" s="5"/>
      <c r="AP21" s="5"/>
    </row>
    <row r="22" spans="1:42" x14ac:dyDescent="0.2">
      <c r="A22" s="5" t="s">
        <v>4061</v>
      </c>
      <c r="B22" s="5" t="s">
        <v>4062</v>
      </c>
      <c r="C22" s="5">
        <v>3</v>
      </c>
      <c r="D22" s="5">
        <v>1</v>
      </c>
      <c r="E22" s="5" t="s">
        <v>140</v>
      </c>
      <c r="F22" s="11">
        <v>43647</v>
      </c>
      <c r="G22" s="5" t="s">
        <v>4058</v>
      </c>
      <c r="H22" s="45">
        <v>1.3888888888888889E-3</v>
      </c>
      <c r="I22" s="181">
        <v>2.3148148148148147E-5</v>
      </c>
      <c r="J22" s="48">
        <v>2</v>
      </c>
      <c r="K22" s="5" t="s">
        <v>398</v>
      </c>
      <c r="L22" s="5" t="s">
        <v>670</v>
      </c>
      <c r="M22" s="5" t="s">
        <v>102</v>
      </c>
      <c r="N22" s="5" t="s">
        <v>115</v>
      </c>
      <c r="O22" s="5">
        <v>1</v>
      </c>
      <c r="P22" s="5">
        <v>0</v>
      </c>
      <c r="Q22" s="5">
        <v>0</v>
      </c>
      <c r="R22" s="5" t="s">
        <v>176</v>
      </c>
      <c r="S22" s="5" t="s">
        <v>176</v>
      </c>
      <c r="T22" s="5" t="s">
        <v>122</v>
      </c>
      <c r="U22" s="5" t="s">
        <v>115</v>
      </c>
      <c r="V22" s="5" t="s">
        <v>115</v>
      </c>
      <c r="W22" s="5" t="s">
        <v>115</v>
      </c>
      <c r="X22" s="5" t="s">
        <v>115</v>
      </c>
      <c r="Y22" s="5" t="s">
        <v>115</v>
      </c>
      <c r="Z22" s="5" t="s">
        <v>115</v>
      </c>
      <c r="AA22" s="5" t="s">
        <v>115</v>
      </c>
      <c r="AB22" s="5" t="s">
        <v>115</v>
      </c>
      <c r="AC22" s="5" t="s">
        <v>115</v>
      </c>
      <c r="AD22" s="5" t="s">
        <v>115</v>
      </c>
      <c r="AE22" s="5" t="s">
        <v>115</v>
      </c>
      <c r="AF22" s="5" t="s">
        <v>115</v>
      </c>
      <c r="AG22" s="5">
        <v>0</v>
      </c>
      <c r="AH22" s="5">
        <v>0</v>
      </c>
      <c r="AI22" s="5">
        <v>0</v>
      </c>
      <c r="AJ22" s="5">
        <v>0</v>
      </c>
      <c r="AK22" s="5">
        <v>2</v>
      </c>
      <c r="AL22" s="5">
        <f t="shared" si="0"/>
        <v>2</v>
      </c>
      <c r="AM22" s="5" t="s">
        <v>188</v>
      </c>
      <c r="AN22" s="5"/>
      <c r="AO22" s="5"/>
      <c r="AP22" s="5"/>
    </row>
    <row r="23" spans="1:42" x14ac:dyDescent="0.2">
      <c r="A23" s="5" t="s">
        <v>4067</v>
      </c>
      <c r="B23" s="5" t="s">
        <v>4068</v>
      </c>
      <c r="C23" s="5">
        <v>6</v>
      </c>
      <c r="D23" s="5">
        <v>1</v>
      </c>
      <c r="E23" s="5" t="s">
        <v>140</v>
      </c>
      <c r="F23" s="11">
        <v>43647</v>
      </c>
      <c r="G23" s="5" t="s">
        <v>4058</v>
      </c>
      <c r="H23" s="45">
        <v>9.7222222222222224E-3</v>
      </c>
      <c r="I23" s="181">
        <v>1.6203703703703703E-4</v>
      </c>
      <c r="J23" s="48">
        <v>14</v>
      </c>
      <c r="K23" s="5" t="s">
        <v>398</v>
      </c>
      <c r="L23" s="5" t="s">
        <v>149</v>
      </c>
      <c r="M23" s="5" t="s">
        <v>102</v>
      </c>
      <c r="N23" s="5" t="s">
        <v>23</v>
      </c>
      <c r="O23" s="5">
        <v>1</v>
      </c>
      <c r="P23" s="5">
        <v>0</v>
      </c>
      <c r="Q23" s="5">
        <v>0</v>
      </c>
      <c r="R23" s="5" t="s">
        <v>4069</v>
      </c>
      <c r="S23" s="5" t="s">
        <v>176</v>
      </c>
      <c r="T23" s="5" t="s">
        <v>4070</v>
      </c>
      <c r="U23" s="5" t="s">
        <v>115</v>
      </c>
      <c r="V23" s="5" t="s">
        <v>115</v>
      </c>
      <c r="W23" s="5" t="s">
        <v>115</v>
      </c>
      <c r="X23" s="5" t="s">
        <v>115</v>
      </c>
      <c r="Y23" s="5" t="s">
        <v>115</v>
      </c>
      <c r="Z23" s="5" t="s">
        <v>115</v>
      </c>
      <c r="AA23" s="5" t="s">
        <v>115</v>
      </c>
      <c r="AB23" s="5" t="s">
        <v>115</v>
      </c>
      <c r="AC23" s="5" t="s">
        <v>115</v>
      </c>
      <c r="AD23" s="5" t="s">
        <v>115</v>
      </c>
      <c r="AE23" s="5" t="s">
        <v>115</v>
      </c>
      <c r="AF23" s="5" t="s">
        <v>115</v>
      </c>
      <c r="AG23" s="5">
        <v>0</v>
      </c>
      <c r="AH23" s="5">
        <v>5</v>
      </c>
      <c r="AI23" s="5">
        <v>5</v>
      </c>
      <c r="AJ23" s="5">
        <v>0</v>
      </c>
      <c r="AK23" s="5">
        <v>0</v>
      </c>
      <c r="AL23" s="5">
        <f t="shared" si="0"/>
        <v>5</v>
      </c>
      <c r="AM23" s="5" t="s">
        <v>188</v>
      </c>
      <c r="AN23" s="5"/>
      <c r="AO23" s="5"/>
      <c r="AP23" s="5"/>
    </row>
    <row r="24" spans="1:42" x14ac:dyDescent="0.2">
      <c r="A24" s="5" t="s">
        <v>4075</v>
      </c>
      <c r="B24" s="5" t="s">
        <v>4076</v>
      </c>
      <c r="C24" s="5">
        <v>9</v>
      </c>
      <c r="D24" s="5">
        <v>1</v>
      </c>
      <c r="E24" s="5" t="s">
        <v>140</v>
      </c>
      <c r="F24" s="11">
        <v>43647</v>
      </c>
      <c r="G24" s="5" t="s">
        <v>4058</v>
      </c>
      <c r="H24" s="45">
        <v>2.2916666666666669E-2</v>
      </c>
      <c r="I24" s="181">
        <v>3.8194444444444446E-4</v>
      </c>
      <c r="J24" s="48">
        <v>33</v>
      </c>
      <c r="K24" s="5" t="s">
        <v>398</v>
      </c>
      <c r="L24" s="5" t="s">
        <v>670</v>
      </c>
      <c r="M24" s="5" t="s">
        <v>102</v>
      </c>
      <c r="N24" s="5" t="s">
        <v>23</v>
      </c>
      <c r="O24" s="5">
        <v>1</v>
      </c>
      <c r="P24" s="5" t="s">
        <v>176</v>
      </c>
      <c r="Q24" s="5">
        <v>0</v>
      </c>
      <c r="R24" s="5" t="s">
        <v>176</v>
      </c>
      <c r="S24" s="5" t="s">
        <v>176</v>
      </c>
      <c r="T24" s="5" t="s">
        <v>4070</v>
      </c>
      <c r="U24" s="5" t="s">
        <v>115</v>
      </c>
      <c r="V24" s="5" t="s">
        <v>115</v>
      </c>
      <c r="W24" s="5" t="s">
        <v>115</v>
      </c>
      <c r="X24" s="5" t="s">
        <v>115</v>
      </c>
      <c r="Y24" s="5" t="s">
        <v>115</v>
      </c>
      <c r="Z24" s="5" t="s">
        <v>115</v>
      </c>
      <c r="AA24" s="5" t="s">
        <v>115</v>
      </c>
      <c r="AB24" s="5" t="s">
        <v>115</v>
      </c>
      <c r="AC24" s="5" t="s">
        <v>115</v>
      </c>
      <c r="AD24" s="5" t="s">
        <v>115</v>
      </c>
      <c r="AE24" s="5" t="s">
        <v>115</v>
      </c>
      <c r="AF24" s="5" t="s">
        <v>115</v>
      </c>
      <c r="AG24" s="5">
        <v>0</v>
      </c>
      <c r="AH24" s="5">
        <v>29</v>
      </c>
      <c r="AI24" s="5">
        <v>0</v>
      </c>
      <c r="AJ24" s="5">
        <v>29</v>
      </c>
      <c r="AK24" s="5">
        <v>0</v>
      </c>
      <c r="AL24" s="5">
        <f t="shared" si="0"/>
        <v>29</v>
      </c>
      <c r="AM24" s="5" t="s">
        <v>188</v>
      </c>
      <c r="AN24" s="5"/>
      <c r="AO24" s="5"/>
      <c r="AP24" s="5"/>
    </row>
    <row r="25" spans="1:42" x14ac:dyDescent="0.2">
      <c r="A25" s="5" t="s">
        <v>4077</v>
      </c>
      <c r="B25" s="5" t="s">
        <v>4078</v>
      </c>
      <c r="C25" s="5">
        <v>10</v>
      </c>
      <c r="D25" s="5">
        <v>1</v>
      </c>
      <c r="E25" s="5" t="s">
        <v>140</v>
      </c>
      <c r="F25" s="11">
        <v>43647</v>
      </c>
      <c r="G25" s="5" t="s">
        <v>4058</v>
      </c>
      <c r="H25" s="45">
        <v>6.805555555555555E-2</v>
      </c>
      <c r="I25" s="181">
        <v>1.1342592592592591E-3</v>
      </c>
      <c r="J25" s="48">
        <v>98</v>
      </c>
      <c r="K25" s="5" t="s">
        <v>398</v>
      </c>
      <c r="L25" s="5" t="s">
        <v>670</v>
      </c>
      <c r="M25" s="5" t="s">
        <v>102</v>
      </c>
      <c r="N25" s="5" t="s">
        <v>23</v>
      </c>
      <c r="O25" s="5">
        <v>1</v>
      </c>
      <c r="P25" s="5" t="s">
        <v>176</v>
      </c>
      <c r="Q25" s="5">
        <v>0</v>
      </c>
      <c r="R25" s="5" t="s">
        <v>176</v>
      </c>
      <c r="S25" s="5" t="s">
        <v>176</v>
      </c>
      <c r="T25" s="5" t="s">
        <v>263</v>
      </c>
      <c r="U25" s="5" t="s">
        <v>115</v>
      </c>
      <c r="V25" s="5" t="s">
        <v>115</v>
      </c>
      <c r="W25" s="5" t="s">
        <v>115</v>
      </c>
      <c r="X25" s="5" t="s">
        <v>115</v>
      </c>
      <c r="Y25" s="5" t="s">
        <v>115</v>
      </c>
      <c r="Z25" s="5" t="s">
        <v>115</v>
      </c>
      <c r="AA25" s="5" t="s">
        <v>115</v>
      </c>
      <c r="AB25" s="5" t="s">
        <v>115</v>
      </c>
      <c r="AC25" s="5" t="s">
        <v>115</v>
      </c>
      <c r="AD25" s="5" t="s">
        <v>115</v>
      </c>
      <c r="AE25" s="5" t="s">
        <v>115</v>
      </c>
      <c r="AF25" s="5" t="s">
        <v>115</v>
      </c>
      <c r="AG25" s="5">
        <v>11</v>
      </c>
      <c r="AH25" s="5">
        <v>0</v>
      </c>
      <c r="AI25" s="5">
        <v>11</v>
      </c>
      <c r="AJ25" s="5">
        <v>0</v>
      </c>
      <c r="AK25" s="5">
        <v>0</v>
      </c>
      <c r="AL25" s="5">
        <f t="shared" si="0"/>
        <v>11</v>
      </c>
      <c r="AM25" s="5" t="s">
        <v>16</v>
      </c>
      <c r="AN25" s="5"/>
      <c r="AO25" s="5"/>
      <c r="AP25" s="5">
        <v>1</v>
      </c>
    </row>
    <row r="26" spans="1:42" hidden="1" x14ac:dyDescent="0.2">
      <c r="A26" s="5" t="s">
        <v>4077</v>
      </c>
      <c r="B26" s="5" t="s">
        <v>4078</v>
      </c>
      <c r="C26" s="5">
        <v>10</v>
      </c>
      <c r="D26" s="5">
        <v>3</v>
      </c>
      <c r="E26" s="5" t="s">
        <v>140</v>
      </c>
      <c r="F26" s="11">
        <v>43647</v>
      </c>
      <c r="G26" s="5" t="s">
        <v>4058</v>
      </c>
      <c r="H26" s="45">
        <v>6.805555555555555E-2</v>
      </c>
      <c r="I26" s="181">
        <v>1.1342592592592591E-3</v>
      </c>
      <c r="J26" s="48">
        <v>98</v>
      </c>
      <c r="K26" s="5" t="s">
        <v>398</v>
      </c>
      <c r="L26" s="5" t="s">
        <v>670</v>
      </c>
      <c r="M26" s="5" t="s">
        <v>102</v>
      </c>
      <c r="N26" s="5" t="s">
        <v>23</v>
      </c>
      <c r="O26" s="5">
        <v>1</v>
      </c>
      <c r="P26" s="5">
        <v>0</v>
      </c>
      <c r="Q26" s="5">
        <v>0</v>
      </c>
      <c r="R26" s="5" t="s">
        <v>598</v>
      </c>
      <c r="S26" s="5" t="s">
        <v>4080</v>
      </c>
      <c r="T26" s="5" t="s">
        <v>263</v>
      </c>
      <c r="U26" s="5" t="s">
        <v>115</v>
      </c>
      <c r="V26" s="5" t="s">
        <v>115</v>
      </c>
      <c r="W26" s="5" t="s">
        <v>115</v>
      </c>
      <c r="X26" s="5" t="s">
        <v>115</v>
      </c>
      <c r="Y26" s="5" t="s">
        <v>115</v>
      </c>
      <c r="Z26" s="5" t="s">
        <v>115</v>
      </c>
      <c r="AA26" s="5" t="s">
        <v>115</v>
      </c>
      <c r="AB26" s="5" t="s">
        <v>115</v>
      </c>
      <c r="AC26" s="5" t="s">
        <v>115</v>
      </c>
      <c r="AD26" s="5" t="s">
        <v>115</v>
      </c>
      <c r="AE26" s="5" t="s">
        <v>115</v>
      </c>
      <c r="AF26" s="5" t="s">
        <v>115</v>
      </c>
      <c r="AG26" s="5">
        <v>9</v>
      </c>
      <c r="AH26" s="5">
        <v>0</v>
      </c>
      <c r="AI26" s="5">
        <v>9</v>
      </c>
      <c r="AJ26" s="5">
        <v>0</v>
      </c>
      <c r="AK26" s="5">
        <v>0</v>
      </c>
      <c r="AL26" s="5">
        <f t="shared" si="0"/>
        <v>9</v>
      </c>
      <c r="AM26" s="5" t="s">
        <v>188</v>
      </c>
      <c r="AN26" s="5"/>
      <c r="AO26" s="5"/>
      <c r="AP26" s="5">
        <v>1</v>
      </c>
    </row>
    <row r="27" spans="1:42" x14ac:dyDescent="0.2">
      <c r="A27" s="5" t="s">
        <v>4087</v>
      </c>
      <c r="B27" s="5" t="s">
        <v>4088</v>
      </c>
      <c r="C27" s="5">
        <v>14</v>
      </c>
      <c r="D27" s="5">
        <v>1</v>
      </c>
      <c r="E27" s="5" t="s">
        <v>140</v>
      </c>
      <c r="F27" s="11">
        <v>43647</v>
      </c>
      <c r="G27" s="5" t="s">
        <v>4058</v>
      </c>
      <c r="H27" s="45">
        <v>8.1944444444444445E-2</v>
      </c>
      <c r="I27" s="181">
        <v>1.3657407407407409E-3</v>
      </c>
      <c r="J27" s="48">
        <v>118</v>
      </c>
      <c r="K27" s="5" t="s">
        <v>398</v>
      </c>
      <c r="L27" s="5" t="s">
        <v>149</v>
      </c>
      <c r="M27" s="5" t="s">
        <v>102</v>
      </c>
      <c r="N27" s="5" t="s">
        <v>23</v>
      </c>
      <c r="O27" s="5">
        <v>1</v>
      </c>
      <c r="P27" s="5">
        <v>0</v>
      </c>
      <c r="Q27" s="5">
        <v>0</v>
      </c>
      <c r="R27" s="5" t="s">
        <v>176</v>
      </c>
      <c r="S27" s="5" t="s">
        <v>176</v>
      </c>
      <c r="T27" s="5" t="s">
        <v>1035</v>
      </c>
      <c r="U27" s="5" t="s">
        <v>115</v>
      </c>
      <c r="V27" s="5" t="s">
        <v>115</v>
      </c>
      <c r="W27" s="5" t="s">
        <v>115</v>
      </c>
      <c r="X27" s="5" t="s">
        <v>115</v>
      </c>
      <c r="Y27" s="5" t="s">
        <v>115</v>
      </c>
      <c r="Z27" s="5" t="s">
        <v>115</v>
      </c>
      <c r="AA27" s="5" t="s">
        <v>115</v>
      </c>
      <c r="AB27" s="5" t="s">
        <v>115</v>
      </c>
      <c r="AC27" s="5" t="s">
        <v>115</v>
      </c>
      <c r="AD27" s="5" t="s">
        <v>115</v>
      </c>
      <c r="AE27" s="5" t="s">
        <v>115</v>
      </c>
      <c r="AF27" s="5" t="s">
        <v>115</v>
      </c>
      <c r="AG27" s="5">
        <v>52</v>
      </c>
      <c r="AH27" s="5">
        <v>78</v>
      </c>
      <c r="AI27" s="5">
        <v>52</v>
      </c>
      <c r="AJ27" s="5">
        <v>78</v>
      </c>
      <c r="AK27" s="5">
        <v>0</v>
      </c>
      <c r="AL27" s="5">
        <f t="shared" si="0"/>
        <v>130</v>
      </c>
      <c r="AM27" s="5" t="s">
        <v>16</v>
      </c>
      <c r="AN27" s="5"/>
      <c r="AO27" s="5"/>
      <c r="AP27" s="5">
        <v>3</v>
      </c>
    </row>
    <row r="28" spans="1:42" x14ac:dyDescent="0.2">
      <c r="A28" s="5" t="s">
        <v>4104</v>
      </c>
      <c r="B28" s="5" t="s">
        <v>4105</v>
      </c>
      <c r="C28" s="5">
        <v>2</v>
      </c>
      <c r="D28" s="5">
        <v>1</v>
      </c>
      <c r="E28" s="5" t="s">
        <v>176</v>
      </c>
      <c r="F28" s="11">
        <v>43647</v>
      </c>
      <c r="G28" s="5" t="s">
        <v>4058</v>
      </c>
      <c r="H28" s="45">
        <v>5.2777777777777778E-2</v>
      </c>
      <c r="I28" s="181">
        <v>8.7962962962962962E-4</v>
      </c>
      <c r="J28" s="48">
        <v>76</v>
      </c>
      <c r="K28" s="5" t="s">
        <v>398</v>
      </c>
      <c r="L28" s="5" t="s">
        <v>4106</v>
      </c>
      <c r="M28" s="5" t="s">
        <v>102</v>
      </c>
      <c r="N28" s="5" t="s">
        <v>23</v>
      </c>
      <c r="O28" s="5">
        <v>1</v>
      </c>
      <c r="P28" s="5" t="s">
        <v>176</v>
      </c>
      <c r="Q28" s="5">
        <v>0</v>
      </c>
      <c r="R28" s="5" t="s">
        <v>176</v>
      </c>
      <c r="S28" s="5" t="s">
        <v>176</v>
      </c>
      <c r="T28" s="5" t="s">
        <v>4107</v>
      </c>
      <c r="U28" s="5" t="s">
        <v>115</v>
      </c>
      <c r="V28" s="5" t="s">
        <v>115</v>
      </c>
      <c r="W28" s="5" t="s">
        <v>115</v>
      </c>
      <c r="X28" s="5" t="s">
        <v>115</v>
      </c>
      <c r="Y28" s="5" t="s">
        <v>115</v>
      </c>
      <c r="Z28" s="5" t="s">
        <v>115</v>
      </c>
      <c r="AA28" s="5" t="s">
        <v>115</v>
      </c>
      <c r="AB28" s="5" t="s">
        <v>115</v>
      </c>
      <c r="AC28" s="5" t="s">
        <v>115</v>
      </c>
      <c r="AD28" s="5" t="s">
        <v>115</v>
      </c>
      <c r="AE28" s="5" t="s">
        <v>115</v>
      </c>
      <c r="AF28" s="5" t="s">
        <v>115</v>
      </c>
      <c r="AG28" s="5">
        <v>24</v>
      </c>
      <c r="AH28" s="5">
        <v>0</v>
      </c>
      <c r="AI28" s="5">
        <v>0</v>
      </c>
      <c r="AJ28" s="5">
        <v>24</v>
      </c>
      <c r="AK28" s="5">
        <v>19</v>
      </c>
      <c r="AL28" s="5">
        <f t="shared" si="0"/>
        <v>43</v>
      </c>
      <c r="AM28" s="5" t="s">
        <v>188</v>
      </c>
      <c r="AN28" s="5"/>
      <c r="AO28" s="5"/>
      <c r="AP28" s="5"/>
    </row>
    <row r="29" spans="1:42" x14ac:dyDescent="0.2">
      <c r="A29" s="5" t="s">
        <v>4110</v>
      </c>
      <c r="B29" s="5" t="s">
        <v>4111</v>
      </c>
      <c r="C29" s="5">
        <v>4</v>
      </c>
      <c r="D29" s="5">
        <v>1</v>
      </c>
      <c r="E29" s="5" t="s">
        <v>176</v>
      </c>
      <c r="F29" s="11">
        <v>43647</v>
      </c>
      <c r="G29" s="5" t="s">
        <v>4058</v>
      </c>
      <c r="H29" s="45">
        <v>3.125E-2</v>
      </c>
      <c r="I29" s="181">
        <v>5.2083333333333333E-4</v>
      </c>
      <c r="J29" s="48">
        <v>45</v>
      </c>
      <c r="K29" s="5" t="s">
        <v>398</v>
      </c>
      <c r="L29" s="5" t="s">
        <v>4112</v>
      </c>
      <c r="M29" s="5" t="s">
        <v>102</v>
      </c>
      <c r="N29" s="5" t="s">
        <v>23</v>
      </c>
      <c r="O29" s="5">
        <v>1</v>
      </c>
      <c r="P29" s="5" t="s">
        <v>176</v>
      </c>
      <c r="Q29" s="5">
        <v>0</v>
      </c>
      <c r="R29" s="5" t="s">
        <v>176</v>
      </c>
      <c r="S29" s="5" t="s">
        <v>176</v>
      </c>
      <c r="T29" s="5" t="s">
        <v>1057</v>
      </c>
      <c r="U29" s="5" t="s">
        <v>115</v>
      </c>
      <c r="V29" s="5" t="s">
        <v>115</v>
      </c>
      <c r="W29" s="5" t="s">
        <v>115</v>
      </c>
      <c r="X29" s="5" t="s">
        <v>115</v>
      </c>
      <c r="Y29" s="5" t="s">
        <v>115</v>
      </c>
      <c r="Z29" s="5" t="s">
        <v>115</v>
      </c>
      <c r="AA29" s="5" t="s">
        <v>115</v>
      </c>
      <c r="AB29" s="5" t="s">
        <v>115</v>
      </c>
      <c r="AC29" s="5" t="s">
        <v>115</v>
      </c>
      <c r="AD29" s="5" t="s">
        <v>115</v>
      </c>
      <c r="AE29" s="5" t="s">
        <v>115</v>
      </c>
      <c r="AF29" s="5" t="s">
        <v>115</v>
      </c>
      <c r="AG29" s="5">
        <v>14</v>
      </c>
      <c r="AH29" s="5">
        <v>0</v>
      </c>
      <c r="AI29" s="5">
        <v>14</v>
      </c>
      <c r="AJ29" s="5">
        <v>0</v>
      </c>
      <c r="AK29" s="5">
        <v>0</v>
      </c>
      <c r="AL29" s="5">
        <f t="shared" si="0"/>
        <v>14</v>
      </c>
      <c r="AM29" s="5" t="s">
        <v>16</v>
      </c>
      <c r="AN29" s="5"/>
      <c r="AO29" s="5"/>
      <c r="AP29" s="5">
        <v>1</v>
      </c>
    </row>
    <row r="30" spans="1:42" x14ac:dyDescent="0.2">
      <c r="A30" s="5" t="s">
        <v>4114</v>
      </c>
      <c r="B30" s="5" t="s">
        <v>4115</v>
      </c>
      <c r="C30" s="5">
        <v>5</v>
      </c>
      <c r="D30" s="5">
        <v>1</v>
      </c>
      <c r="E30" s="5" t="s">
        <v>176</v>
      </c>
      <c r="F30" s="11">
        <v>43647</v>
      </c>
      <c r="G30" s="5" t="s">
        <v>4058</v>
      </c>
      <c r="H30" s="45">
        <v>1.5972222222222224E-2</v>
      </c>
      <c r="I30" s="181">
        <v>2.6620370370370372E-4</v>
      </c>
      <c r="J30" s="48">
        <v>23</v>
      </c>
      <c r="K30" s="5" t="s">
        <v>398</v>
      </c>
      <c r="L30" s="5" t="s">
        <v>4106</v>
      </c>
      <c r="M30" s="5" t="s">
        <v>102</v>
      </c>
      <c r="N30" s="5" t="s">
        <v>23</v>
      </c>
      <c r="O30" s="5">
        <v>1</v>
      </c>
      <c r="P30" s="5" t="s">
        <v>176</v>
      </c>
      <c r="Q30" s="5">
        <v>0</v>
      </c>
      <c r="R30" s="5" t="s">
        <v>176</v>
      </c>
      <c r="S30" s="5" t="s">
        <v>176</v>
      </c>
      <c r="T30" s="5" t="s">
        <v>1035</v>
      </c>
      <c r="U30" s="5" t="s">
        <v>115</v>
      </c>
      <c r="V30" s="5" t="s">
        <v>115</v>
      </c>
      <c r="W30" s="5" t="s">
        <v>115</v>
      </c>
      <c r="X30" s="5" t="s">
        <v>115</v>
      </c>
      <c r="Y30" s="5" t="s">
        <v>115</v>
      </c>
      <c r="Z30" s="5" t="s">
        <v>115</v>
      </c>
      <c r="AA30" s="5" t="s">
        <v>115</v>
      </c>
      <c r="AB30" s="5" t="s">
        <v>115</v>
      </c>
      <c r="AC30" s="5" t="s">
        <v>115</v>
      </c>
      <c r="AD30" s="5" t="s">
        <v>115</v>
      </c>
      <c r="AE30" s="5" t="s">
        <v>115</v>
      </c>
      <c r="AF30" s="5" t="s">
        <v>115</v>
      </c>
      <c r="AG30" s="5">
        <v>0</v>
      </c>
      <c r="AH30" s="5">
        <v>23</v>
      </c>
      <c r="AI30" s="5">
        <v>0</v>
      </c>
      <c r="AJ30" s="5">
        <v>23</v>
      </c>
      <c r="AK30" s="5">
        <v>0</v>
      </c>
      <c r="AL30" s="5">
        <f t="shared" si="0"/>
        <v>23</v>
      </c>
      <c r="AM30" s="5" t="s">
        <v>16</v>
      </c>
      <c r="AN30" s="5"/>
      <c r="AO30" s="5"/>
      <c r="AP30" s="5"/>
    </row>
    <row r="31" spans="1:42" x14ac:dyDescent="0.2">
      <c r="A31" s="5" t="s">
        <v>4108</v>
      </c>
      <c r="B31" s="5" t="s">
        <v>4109</v>
      </c>
      <c r="C31" s="5">
        <v>3</v>
      </c>
      <c r="D31" s="5">
        <v>1</v>
      </c>
      <c r="E31" s="5" t="s">
        <v>176</v>
      </c>
      <c r="F31" s="11">
        <v>43647</v>
      </c>
      <c r="G31" s="5" t="s">
        <v>4058</v>
      </c>
      <c r="H31" s="45">
        <v>7.6388888888888886E-3</v>
      </c>
      <c r="I31" s="181">
        <v>1.273148148148148E-4</v>
      </c>
      <c r="J31" s="48">
        <v>11</v>
      </c>
      <c r="K31" s="5" t="s">
        <v>398</v>
      </c>
      <c r="L31" s="5" t="s">
        <v>4106</v>
      </c>
      <c r="M31" s="5" t="s">
        <v>102</v>
      </c>
      <c r="N31" s="5" t="s">
        <v>23</v>
      </c>
      <c r="O31" s="5">
        <v>0</v>
      </c>
      <c r="P31" s="5">
        <v>0</v>
      </c>
      <c r="Q31" s="5">
        <v>0</v>
      </c>
      <c r="R31" s="5" t="s">
        <v>115</v>
      </c>
      <c r="S31" s="5" t="s">
        <v>115</v>
      </c>
      <c r="T31" s="5" t="s">
        <v>115</v>
      </c>
      <c r="U31" s="5" t="s">
        <v>115</v>
      </c>
      <c r="V31" s="5" t="s">
        <v>115</v>
      </c>
      <c r="W31" s="5" t="s">
        <v>115</v>
      </c>
      <c r="X31" s="5" t="s">
        <v>115</v>
      </c>
      <c r="Y31" s="5" t="s">
        <v>115</v>
      </c>
      <c r="Z31" s="5" t="s">
        <v>115</v>
      </c>
      <c r="AA31" s="5" t="s">
        <v>115</v>
      </c>
      <c r="AB31" s="5" t="s">
        <v>115</v>
      </c>
      <c r="AC31" s="5" t="s">
        <v>115</v>
      </c>
      <c r="AD31" s="5" t="s">
        <v>115</v>
      </c>
      <c r="AE31" s="5" t="s">
        <v>115</v>
      </c>
      <c r="AF31" s="5" t="s">
        <v>115</v>
      </c>
      <c r="AG31" s="5">
        <v>0</v>
      </c>
      <c r="AH31" s="5">
        <v>10</v>
      </c>
      <c r="AI31" s="5">
        <v>10</v>
      </c>
      <c r="AJ31" s="5">
        <v>0</v>
      </c>
      <c r="AK31" s="5">
        <v>0</v>
      </c>
      <c r="AL31" s="5">
        <f t="shared" si="0"/>
        <v>10</v>
      </c>
      <c r="AM31" s="5" t="s">
        <v>188</v>
      </c>
      <c r="AN31" s="5"/>
      <c r="AO31" s="5"/>
      <c r="AP31" s="5"/>
    </row>
    <row r="32" spans="1:42" x14ac:dyDescent="0.2">
      <c r="A32" s="5" t="s">
        <v>4085</v>
      </c>
      <c r="B32" s="5" t="s">
        <v>4086</v>
      </c>
      <c r="C32" s="5">
        <v>13</v>
      </c>
      <c r="D32" s="5">
        <v>1</v>
      </c>
      <c r="E32" s="5" t="s">
        <v>140</v>
      </c>
      <c r="F32" s="11">
        <v>43647</v>
      </c>
      <c r="G32" s="5" t="s">
        <v>4058</v>
      </c>
      <c r="H32" s="45">
        <v>2.7777777777777776E-2</v>
      </c>
      <c r="I32" s="181">
        <v>4.6296296296296293E-4</v>
      </c>
      <c r="J32" s="48">
        <v>40</v>
      </c>
      <c r="K32" s="5" t="s">
        <v>398</v>
      </c>
      <c r="L32" s="5" t="s">
        <v>670</v>
      </c>
      <c r="M32" s="5" t="s">
        <v>4079</v>
      </c>
      <c r="N32" s="5" t="s">
        <v>23</v>
      </c>
      <c r="O32" s="5">
        <v>1</v>
      </c>
      <c r="P32" s="5">
        <v>0</v>
      </c>
      <c r="Q32" s="5">
        <v>1</v>
      </c>
      <c r="R32" s="5" t="s">
        <v>176</v>
      </c>
      <c r="S32" s="5" t="s">
        <v>176</v>
      </c>
      <c r="T32" s="5" t="s">
        <v>4084</v>
      </c>
      <c r="U32" s="5" t="s">
        <v>487</v>
      </c>
      <c r="V32" s="5" t="s">
        <v>23</v>
      </c>
      <c r="W32" s="5" t="s">
        <v>3997</v>
      </c>
      <c r="X32" s="5" t="s">
        <v>4022</v>
      </c>
      <c r="Y32" s="5" t="s">
        <v>2457</v>
      </c>
      <c r="Z32" s="5">
        <v>34</v>
      </c>
      <c r="AA32" s="47" t="s">
        <v>176</v>
      </c>
      <c r="AB32" s="5">
        <v>63.724420000000002</v>
      </c>
      <c r="AC32" s="5">
        <v>148.94866999999999</v>
      </c>
      <c r="AD32" s="5" t="s">
        <v>115</v>
      </c>
      <c r="AE32" s="5" t="s">
        <v>115</v>
      </c>
      <c r="AF32" s="5" t="s">
        <v>115</v>
      </c>
      <c r="AG32" s="5">
        <v>0</v>
      </c>
      <c r="AH32" s="5">
        <v>26</v>
      </c>
      <c r="AI32" s="5">
        <v>26</v>
      </c>
      <c r="AJ32" s="5">
        <v>0</v>
      </c>
      <c r="AK32" s="5">
        <v>0</v>
      </c>
      <c r="AL32" s="5">
        <f t="shared" si="0"/>
        <v>26</v>
      </c>
      <c r="AM32" s="5" t="s">
        <v>188</v>
      </c>
      <c r="AN32" s="5"/>
      <c r="AO32" s="5"/>
      <c r="AP32" s="5"/>
    </row>
    <row r="33" spans="1:42" hidden="1" x14ac:dyDescent="0.2">
      <c r="A33" s="5" t="s">
        <v>4077</v>
      </c>
      <c r="B33" s="5" t="s">
        <v>4078</v>
      </c>
      <c r="C33" s="5">
        <v>10</v>
      </c>
      <c r="D33" s="5">
        <v>2</v>
      </c>
      <c r="E33" s="5" t="s">
        <v>140</v>
      </c>
      <c r="F33" s="11">
        <v>43647</v>
      </c>
      <c r="G33" s="5" t="s">
        <v>4058</v>
      </c>
      <c r="H33" s="45">
        <v>6.805555555555555E-2</v>
      </c>
      <c r="I33" s="181">
        <v>1.1342592592592591E-3</v>
      </c>
      <c r="J33" s="48">
        <v>98</v>
      </c>
      <c r="K33" s="5" t="s">
        <v>398</v>
      </c>
      <c r="L33" s="5" t="s">
        <v>670</v>
      </c>
      <c r="M33" s="5" t="s">
        <v>4079</v>
      </c>
      <c r="N33" s="5" t="s">
        <v>23</v>
      </c>
      <c r="O33" s="5">
        <v>0</v>
      </c>
      <c r="P33" s="5">
        <v>0</v>
      </c>
      <c r="Q33" s="5">
        <v>1</v>
      </c>
      <c r="R33" s="5" t="s">
        <v>176</v>
      </c>
      <c r="S33" s="5" t="s">
        <v>176</v>
      </c>
      <c r="T33" s="5" t="s">
        <v>176</v>
      </c>
      <c r="U33" s="5" t="s">
        <v>1940</v>
      </c>
      <c r="V33" s="5" t="s">
        <v>23</v>
      </c>
      <c r="W33" s="5" t="s">
        <v>4055</v>
      </c>
      <c r="X33" s="5" t="s">
        <v>4022</v>
      </c>
      <c r="Y33" s="47"/>
      <c r="Z33" s="47"/>
      <c r="AA33" s="5" t="s">
        <v>176</v>
      </c>
      <c r="AB33" s="5">
        <v>63.724249999999998</v>
      </c>
      <c r="AC33" s="5">
        <v>148.94682</v>
      </c>
      <c r="AD33" s="5" t="s">
        <v>115</v>
      </c>
      <c r="AE33" s="5" t="s">
        <v>115</v>
      </c>
      <c r="AF33" s="5" t="s">
        <v>115</v>
      </c>
      <c r="AG33" s="5">
        <v>65</v>
      </c>
      <c r="AH33" s="5">
        <v>0</v>
      </c>
      <c r="AI33" s="5">
        <v>65</v>
      </c>
      <c r="AJ33" s="5">
        <v>0</v>
      </c>
      <c r="AK33" s="5">
        <v>0</v>
      </c>
      <c r="AL33" s="5">
        <f t="shared" si="0"/>
        <v>65</v>
      </c>
      <c r="AM33" s="5" t="s">
        <v>188</v>
      </c>
      <c r="AN33" s="5"/>
      <c r="AO33" s="5"/>
      <c r="AP33" s="5">
        <v>1</v>
      </c>
    </row>
    <row r="34" spans="1:42" x14ac:dyDescent="0.2">
      <c r="A34" s="5" t="s">
        <v>4091</v>
      </c>
      <c r="B34" s="5" t="s">
        <v>4092</v>
      </c>
      <c r="C34" s="5">
        <v>16</v>
      </c>
      <c r="D34" s="5">
        <v>1</v>
      </c>
      <c r="E34" s="5" t="s">
        <v>140</v>
      </c>
      <c r="F34" s="11">
        <v>43647</v>
      </c>
      <c r="G34" s="5" t="s">
        <v>4058</v>
      </c>
      <c r="H34" s="45">
        <v>2.1527777777777781E-2</v>
      </c>
      <c r="I34" s="181">
        <v>3.5879629629629635E-4</v>
      </c>
      <c r="J34" s="48">
        <v>31</v>
      </c>
      <c r="K34" s="5" t="s">
        <v>398</v>
      </c>
      <c r="L34" s="5" t="s">
        <v>149</v>
      </c>
      <c r="M34" s="5" t="s">
        <v>111</v>
      </c>
      <c r="N34" s="5" t="s">
        <v>23</v>
      </c>
      <c r="O34" s="5">
        <v>0</v>
      </c>
      <c r="P34" s="5">
        <v>0</v>
      </c>
      <c r="Q34" s="5">
        <v>1</v>
      </c>
      <c r="R34" s="5" t="s">
        <v>176</v>
      </c>
      <c r="S34" s="5" t="s">
        <v>176</v>
      </c>
      <c r="T34" s="5" t="s">
        <v>176</v>
      </c>
      <c r="U34" s="5" t="s">
        <v>263</v>
      </c>
      <c r="V34" s="5" t="s">
        <v>23</v>
      </c>
      <c r="W34" s="5" t="s">
        <v>4004</v>
      </c>
      <c r="X34" s="5" t="s">
        <v>4022</v>
      </c>
      <c r="Y34" s="5"/>
      <c r="Z34" s="5">
        <v>201</v>
      </c>
      <c r="AA34" s="5" t="s">
        <v>176</v>
      </c>
      <c r="AB34" s="5">
        <v>63.725879999999997</v>
      </c>
      <c r="AC34" s="5">
        <v>148.94893999999999</v>
      </c>
      <c r="AD34" s="5" t="s">
        <v>115</v>
      </c>
      <c r="AE34" s="5" t="s">
        <v>115</v>
      </c>
      <c r="AF34" s="5" t="s">
        <v>115</v>
      </c>
      <c r="AG34" s="5">
        <v>0</v>
      </c>
      <c r="AH34" s="5">
        <v>0</v>
      </c>
      <c r="AI34" s="5">
        <v>0</v>
      </c>
      <c r="AJ34" s="5">
        <v>0</v>
      </c>
      <c r="AK34" s="5">
        <v>0</v>
      </c>
      <c r="AL34" s="5">
        <f t="shared" si="0"/>
        <v>0</v>
      </c>
      <c r="AM34" s="5"/>
      <c r="AN34" s="5"/>
      <c r="AO34" s="5"/>
      <c r="AP34" s="5"/>
    </row>
    <row r="35" spans="1:42" x14ac:dyDescent="0.2">
      <c r="A35" s="5" t="s">
        <v>4101</v>
      </c>
      <c r="B35" s="5" t="s">
        <v>4102</v>
      </c>
      <c r="C35" s="5">
        <v>1</v>
      </c>
      <c r="D35" s="5">
        <v>1</v>
      </c>
      <c r="E35" s="5" t="s">
        <v>176</v>
      </c>
      <c r="F35" s="11">
        <v>43647</v>
      </c>
      <c r="G35" s="5" t="s">
        <v>4058</v>
      </c>
      <c r="H35" s="45">
        <v>1.6666666666666666E-2</v>
      </c>
      <c r="I35" s="181">
        <v>2.7777777777777778E-4</v>
      </c>
      <c r="J35" s="48">
        <v>24</v>
      </c>
      <c r="K35" s="5" t="s">
        <v>398</v>
      </c>
      <c r="L35" s="5" t="s">
        <v>4112</v>
      </c>
      <c r="M35" s="5" t="s">
        <v>111</v>
      </c>
      <c r="N35" s="5" t="s">
        <v>23</v>
      </c>
      <c r="O35" s="5">
        <v>0</v>
      </c>
      <c r="P35" s="5">
        <v>0</v>
      </c>
      <c r="Q35" s="5">
        <v>1</v>
      </c>
      <c r="R35" s="5" t="s">
        <v>176</v>
      </c>
      <c r="S35" s="5" t="s">
        <v>176</v>
      </c>
      <c r="T35" s="5" t="s">
        <v>4103</v>
      </c>
      <c r="U35" s="5" t="s">
        <v>487</v>
      </c>
      <c r="V35" s="5" t="s">
        <v>23</v>
      </c>
      <c r="W35" s="5" t="s">
        <v>3997</v>
      </c>
      <c r="X35" s="5" t="s">
        <v>4022</v>
      </c>
      <c r="Y35" s="5"/>
      <c r="Z35" s="5">
        <v>70</v>
      </c>
      <c r="AA35" s="5" t="s">
        <v>176</v>
      </c>
      <c r="AB35" s="5">
        <v>63.727580000000003</v>
      </c>
      <c r="AC35" s="5">
        <v>148.95523</v>
      </c>
      <c r="AD35" s="5" t="s">
        <v>115</v>
      </c>
      <c r="AE35" s="5" t="s">
        <v>115</v>
      </c>
      <c r="AF35" s="5" t="s">
        <v>115</v>
      </c>
      <c r="AG35" s="5">
        <v>0</v>
      </c>
      <c r="AH35" s="5">
        <v>0</v>
      </c>
      <c r="AI35" s="5">
        <v>0</v>
      </c>
      <c r="AJ35" s="5">
        <v>0</v>
      </c>
      <c r="AK35" s="5">
        <v>0</v>
      </c>
      <c r="AL35" s="5">
        <f t="shared" si="0"/>
        <v>0</v>
      </c>
      <c r="AM35" s="5"/>
      <c r="AN35" s="5"/>
      <c r="AO35" s="5"/>
      <c r="AP35" s="5"/>
    </row>
    <row r="36" spans="1:42" x14ac:dyDescent="0.2">
      <c r="A36" s="5" t="s">
        <v>4063</v>
      </c>
      <c r="B36" s="5" t="s">
        <v>4064</v>
      </c>
      <c r="C36" s="5">
        <v>4</v>
      </c>
      <c r="D36" s="5">
        <v>1</v>
      </c>
      <c r="E36" s="5" t="s">
        <v>140</v>
      </c>
      <c r="F36" s="11">
        <v>43647</v>
      </c>
      <c r="G36" s="5" t="s">
        <v>4058</v>
      </c>
      <c r="H36" s="45">
        <v>7.0833333333333331E-2</v>
      </c>
      <c r="I36" s="181">
        <v>1.1805555555555556E-3</v>
      </c>
      <c r="J36" s="48">
        <v>102</v>
      </c>
      <c r="K36" s="5" t="s">
        <v>398</v>
      </c>
      <c r="L36" s="5" t="s">
        <v>670</v>
      </c>
      <c r="M36" s="5" t="s">
        <v>102</v>
      </c>
      <c r="N36" s="5" t="s">
        <v>23</v>
      </c>
      <c r="O36" s="5" t="s">
        <v>176</v>
      </c>
      <c r="P36" s="5" t="s">
        <v>176</v>
      </c>
      <c r="Q36" s="5" t="s">
        <v>176</v>
      </c>
      <c r="R36" s="5" t="s">
        <v>115</v>
      </c>
      <c r="S36" s="5" t="s">
        <v>115</v>
      </c>
      <c r="T36" s="5" t="s">
        <v>115</v>
      </c>
      <c r="U36" s="5" t="s">
        <v>115</v>
      </c>
      <c r="V36" s="5" t="s">
        <v>115</v>
      </c>
      <c r="W36" s="5" t="s">
        <v>115</v>
      </c>
      <c r="X36" s="5" t="s">
        <v>115</v>
      </c>
      <c r="Y36" s="5" t="s">
        <v>115</v>
      </c>
      <c r="Z36" s="5" t="s">
        <v>115</v>
      </c>
      <c r="AA36" s="5" t="s">
        <v>115</v>
      </c>
      <c r="AB36" s="5" t="s">
        <v>115</v>
      </c>
      <c r="AC36" s="5" t="s">
        <v>115</v>
      </c>
      <c r="AD36" s="5" t="s">
        <v>115</v>
      </c>
      <c r="AE36" s="5" t="s">
        <v>115</v>
      </c>
      <c r="AF36" s="5" t="s">
        <v>115</v>
      </c>
      <c r="AG36" s="5">
        <v>78</v>
      </c>
      <c r="AH36" s="5">
        <v>0</v>
      </c>
      <c r="AI36" s="5">
        <v>78</v>
      </c>
      <c r="AJ36" s="5">
        <v>0</v>
      </c>
      <c r="AK36" s="5">
        <v>0</v>
      </c>
      <c r="AL36" s="5">
        <f t="shared" si="0"/>
        <v>78</v>
      </c>
      <c r="AM36" s="5"/>
      <c r="AN36" s="5"/>
      <c r="AO36" s="5"/>
      <c r="AP36" s="5"/>
    </row>
    <row r="37" spans="1:42" x14ac:dyDescent="0.2">
      <c r="A37" s="5" t="s">
        <v>4120</v>
      </c>
      <c r="B37" s="5" t="s">
        <v>4121</v>
      </c>
      <c r="C37" s="5">
        <v>3</v>
      </c>
      <c r="D37" s="5">
        <v>1</v>
      </c>
      <c r="E37" s="5" t="s">
        <v>395</v>
      </c>
      <c r="F37" s="11">
        <v>43648</v>
      </c>
      <c r="G37" s="5" t="s">
        <v>4058</v>
      </c>
      <c r="H37" s="45">
        <v>1.9444444444444445E-2</v>
      </c>
      <c r="I37" s="181">
        <v>3.2407407407407406E-4</v>
      </c>
      <c r="J37" s="48">
        <v>28</v>
      </c>
      <c r="K37" s="5" t="s">
        <v>398</v>
      </c>
      <c r="L37" s="5" t="s">
        <v>2488</v>
      </c>
      <c r="M37" s="5" t="s">
        <v>102</v>
      </c>
      <c r="N37" s="5" t="s">
        <v>23</v>
      </c>
      <c r="O37" s="5" t="s">
        <v>176</v>
      </c>
      <c r="P37" s="5">
        <v>0</v>
      </c>
      <c r="Q37" s="5">
        <v>0</v>
      </c>
      <c r="R37" s="5" t="s">
        <v>115</v>
      </c>
      <c r="S37" s="5" t="s">
        <v>115</v>
      </c>
      <c r="T37" s="5" t="s">
        <v>115</v>
      </c>
      <c r="U37" s="5" t="s">
        <v>115</v>
      </c>
      <c r="V37" s="5" t="s">
        <v>115</v>
      </c>
      <c r="W37" s="5" t="s">
        <v>115</v>
      </c>
      <c r="X37" s="5" t="s">
        <v>115</v>
      </c>
      <c r="Y37" s="5" t="s">
        <v>115</v>
      </c>
      <c r="Z37" s="5" t="s">
        <v>115</v>
      </c>
      <c r="AA37" s="5" t="s">
        <v>115</v>
      </c>
      <c r="AB37" s="5" t="s">
        <v>115</v>
      </c>
      <c r="AC37" s="5" t="s">
        <v>115</v>
      </c>
      <c r="AD37" s="5" t="s">
        <v>115</v>
      </c>
      <c r="AE37" s="5" t="s">
        <v>115</v>
      </c>
      <c r="AF37" s="5" t="s">
        <v>115</v>
      </c>
      <c r="AG37" s="5">
        <v>0</v>
      </c>
      <c r="AH37" s="5">
        <v>0</v>
      </c>
      <c r="AI37" s="5">
        <v>0</v>
      </c>
      <c r="AJ37" s="5">
        <v>0</v>
      </c>
      <c r="AK37" s="5">
        <v>28</v>
      </c>
      <c r="AL37" s="5">
        <v>28</v>
      </c>
      <c r="AM37" s="5"/>
      <c r="AN37" s="5"/>
      <c r="AO37" s="5"/>
      <c r="AP37" s="5"/>
    </row>
    <row r="38" spans="1:42" x14ac:dyDescent="0.2">
      <c r="A38" s="5" t="s">
        <v>4124</v>
      </c>
      <c r="B38" s="5" t="s">
        <v>4125</v>
      </c>
      <c r="C38" s="5">
        <v>5</v>
      </c>
      <c r="D38" s="5">
        <v>1</v>
      </c>
      <c r="E38" s="5" t="s">
        <v>395</v>
      </c>
      <c r="F38" s="11">
        <v>43648</v>
      </c>
      <c r="G38" s="5" t="s">
        <v>4058</v>
      </c>
      <c r="H38" s="45">
        <v>7.6388888888888886E-3</v>
      </c>
      <c r="I38" s="181">
        <v>1.273148148148148E-4</v>
      </c>
      <c r="J38" s="48">
        <v>11</v>
      </c>
      <c r="K38" s="5" t="s">
        <v>398</v>
      </c>
      <c r="L38" s="5" t="s">
        <v>2498</v>
      </c>
      <c r="M38" s="5" t="s">
        <v>102</v>
      </c>
      <c r="N38" s="5" t="s">
        <v>23</v>
      </c>
      <c r="O38" s="5" t="s">
        <v>176</v>
      </c>
      <c r="P38" s="5">
        <v>0</v>
      </c>
      <c r="Q38" s="5">
        <v>0</v>
      </c>
      <c r="R38" s="5" t="s">
        <v>115</v>
      </c>
      <c r="S38" s="5" t="s">
        <v>115</v>
      </c>
      <c r="T38" s="5" t="s">
        <v>115</v>
      </c>
      <c r="U38" s="5" t="s">
        <v>115</v>
      </c>
      <c r="V38" s="5" t="s">
        <v>115</v>
      </c>
      <c r="W38" s="5" t="s">
        <v>115</v>
      </c>
      <c r="X38" s="5" t="s">
        <v>115</v>
      </c>
      <c r="Y38" s="5" t="s">
        <v>115</v>
      </c>
      <c r="Z38" s="5" t="s">
        <v>115</v>
      </c>
      <c r="AA38" s="5" t="s">
        <v>115</v>
      </c>
      <c r="AB38" s="5" t="s">
        <v>115</v>
      </c>
      <c r="AC38" s="5" t="s">
        <v>115</v>
      </c>
      <c r="AD38" s="5" t="s">
        <v>115</v>
      </c>
      <c r="AE38" s="5" t="s">
        <v>115</v>
      </c>
      <c r="AF38" s="5" t="s">
        <v>115</v>
      </c>
      <c r="AG38" s="5">
        <v>0</v>
      </c>
      <c r="AH38" s="5">
        <v>10</v>
      </c>
      <c r="AI38" s="5">
        <v>10</v>
      </c>
      <c r="AJ38" s="5">
        <v>0</v>
      </c>
      <c r="AK38" s="5">
        <v>0</v>
      </c>
      <c r="AL38" s="5">
        <v>10</v>
      </c>
      <c r="AM38" s="5"/>
      <c r="AN38" s="5"/>
      <c r="AO38" s="5"/>
      <c r="AP38" s="5"/>
    </row>
    <row r="39" spans="1:42" x14ac:dyDescent="0.2">
      <c r="A39" s="5" t="s">
        <v>4136</v>
      </c>
      <c r="B39" s="5" t="s">
        <v>4137</v>
      </c>
      <c r="C39" s="5">
        <v>11</v>
      </c>
      <c r="D39" s="5">
        <v>1</v>
      </c>
      <c r="E39" s="5" t="s">
        <v>395</v>
      </c>
      <c r="F39" s="11">
        <v>43648</v>
      </c>
      <c r="G39" s="5" t="s">
        <v>4058</v>
      </c>
      <c r="H39" s="45">
        <v>7.4999999999999997E-2</v>
      </c>
      <c r="I39" s="181">
        <v>1.25E-3</v>
      </c>
      <c r="J39" s="48">
        <v>108</v>
      </c>
      <c r="K39" s="5" t="s">
        <v>398</v>
      </c>
      <c r="L39" s="5" t="s">
        <v>2488</v>
      </c>
      <c r="M39" s="5" t="s">
        <v>102</v>
      </c>
      <c r="N39" s="5" t="s">
        <v>23</v>
      </c>
      <c r="O39" s="5" t="s">
        <v>176</v>
      </c>
      <c r="P39" s="5">
        <v>0</v>
      </c>
      <c r="Q39" s="5">
        <v>0</v>
      </c>
      <c r="R39" s="5" t="s">
        <v>115</v>
      </c>
      <c r="S39" s="5" t="s">
        <v>115</v>
      </c>
      <c r="T39" s="5" t="s">
        <v>115</v>
      </c>
      <c r="U39" s="5" t="s">
        <v>115</v>
      </c>
      <c r="V39" s="5" t="s">
        <v>115</v>
      </c>
      <c r="W39" s="5" t="s">
        <v>115</v>
      </c>
      <c r="X39" s="5" t="s">
        <v>115</v>
      </c>
      <c r="Y39" s="5" t="s">
        <v>115</v>
      </c>
      <c r="Z39" s="5" t="s">
        <v>115</v>
      </c>
      <c r="AA39" s="5" t="s">
        <v>115</v>
      </c>
      <c r="AB39" s="5" t="s">
        <v>115</v>
      </c>
      <c r="AC39" s="5" t="s">
        <v>115</v>
      </c>
      <c r="AD39" s="5" t="s">
        <v>115</v>
      </c>
      <c r="AE39" s="5" t="s">
        <v>115</v>
      </c>
      <c r="AF39" s="5" t="s">
        <v>115</v>
      </c>
      <c r="AG39" s="5">
        <v>0</v>
      </c>
      <c r="AH39" s="5">
        <v>0</v>
      </c>
      <c r="AI39" s="5">
        <v>0</v>
      </c>
      <c r="AJ39" s="5">
        <v>0</v>
      </c>
      <c r="AK39" s="5">
        <v>95</v>
      </c>
      <c r="AL39" s="5">
        <v>95</v>
      </c>
      <c r="AM39" s="5"/>
      <c r="AN39" s="5"/>
      <c r="AO39" s="5"/>
      <c r="AP39" s="5"/>
    </row>
    <row r="40" spans="1:42" x14ac:dyDescent="0.2">
      <c r="A40" s="5" t="s">
        <v>4142</v>
      </c>
      <c r="B40" s="5" t="s">
        <v>4143</v>
      </c>
      <c r="C40" s="5">
        <v>14</v>
      </c>
      <c r="D40" s="5">
        <v>1</v>
      </c>
      <c r="E40" s="5" t="s">
        <v>395</v>
      </c>
      <c r="F40" s="11">
        <v>43648</v>
      </c>
      <c r="G40" s="5" t="s">
        <v>4058</v>
      </c>
      <c r="H40" s="45">
        <v>9.0277777777777787E-3</v>
      </c>
      <c r="I40" s="181">
        <v>1.5046296296296297E-4</v>
      </c>
      <c r="J40" s="48">
        <v>13</v>
      </c>
      <c r="K40" s="5" t="s">
        <v>398</v>
      </c>
      <c r="L40" s="5" t="s">
        <v>2488</v>
      </c>
      <c r="M40" s="5" t="s">
        <v>102</v>
      </c>
      <c r="N40" s="5" t="s">
        <v>115</v>
      </c>
      <c r="O40" s="5" t="s">
        <v>176</v>
      </c>
      <c r="P40" s="5">
        <v>0</v>
      </c>
      <c r="Q40" s="5">
        <v>0</v>
      </c>
      <c r="R40" s="5" t="s">
        <v>115</v>
      </c>
      <c r="S40" s="5" t="s">
        <v>115</v>
      </c>
      <c r="T40" s="5" t="s">
        <v>115</v>
      </c>
      <c r="U40" s="5" t="s">
        <v>115</v>
      </c>
      <c r="V40" s="5" t="s">
        <v>115</v>
      </c>
      <c r="W40" s="5" t="s">
        <v>115</v>
      </c>
      <c r="X40" s="5" t="s">
        <v>115</v>
      </c>
      <c r="Y40" s="5" t="s">
        <v>115</v>
      </c>
      <c r="Z40" s="5" t="s">
        <v>115</v>
      </c>
      <c r="AA40" s="5" t="s">
        <v>115</v>
      </c>
      <c r="AB40" s="5" t="s">
        <v>115</v>
      </c>
      <c r="AC40" s="5" t="s">
        <v>115</v>
      </c>
      <c r="AD40" s="5" t="s">
        <v>115</v>
      </c>
      <c r="AE40" s="5" t="s">
        <v>115</v>
      </c>
      <c r="AF40" s="5" t="s">
        <v>115</v>
      </c>
      <c r="AG40" s="5">
        <v>0</v>
      </c>
      <c r="AH40" s="5">
        <v>0</v>
      </c>
      <c r="AI40" s="5">
        <v>0</v>
      </c>
      <c r="AJ40" s="5">
        <v>0</v>
      </c>
      <c r="AK40" s="5">
        <v>4</v>
      </c>
      <c r="AL40" s="5">
        <f>SUM(AI40:AK40)</f>
        <v>4</v>
      </c>
      <c r="AM40" s="5" t="s">
        <v>188</v>
      </c>
      <c r="AN40" s="5"/>
      <c r="AO40" s="5"/>
      <c r="AP40" s="5"/>
    </row>
    <row r="41" spans="1:42" x14ac:dyDescent="0.2">
      <c r="A41" s="5" t="s">
        <v>4144</v>
      </c>
      <c r="B41" s="5" t="s">
        <v>4145</v>
      </c>
      <c r="C41" s="5">
        <v>15</v>
      </c>
      <c r="D41" s="5">
        <v>1</v>
      </c>
      <c r="E41" s="5" t="s">
        <v>395</v>
      </c>
      <c r="F41" s="11">
        <v>43648</v>
      </c>
      <c r="G41" s="5" t="s">
        <v>4058</v>
      </c>
      <c r="H41" s="45">
        <v>1.4583333333333332E-2</v>
      </c>
      <c r="I41" s="181">
        <v>2.4305555555555552E-4</v>
      </c>
      <c r="J41" s="48">
        <v>21</v>
      </c>
      <c r="K41" s="5" t="s">
        <v>398</v>
      </c>
      <c r="L41" s="5" t="s">
        <v>2488</v>
      </c>
      <c r="M41" s="5" t="s">
        <v>102</v>
      </c>
      <c r="N41" s="5" t="s">
        <v>23</v>
      </c>
      <c r="O41" s="5" t="s">
        <v>176</v>
      </c>
      <c r="P41" s="5">
        <v>0</v>
      </c>
      <c r="Q41" s="5">
        <v>0</v>
      </c>
      <c r="R41" s="5" t="s">
        <v>115</v>
      </c>
      <c r="S41" s="5" t="s">
        <v>115</v>
      </c>
      <c r="T41" s="5" t="s">
        <v>115</v>
      </c>
      <c r="U41" s="5" t="s">
        <v>115</v>
      </c>
      <c r="V41" s="5" t="s">
        <v>115</v>
      </c>
      <c r="W41" s="5" t="s">
        <v>115</v>
      </c>
      <c r="X41" s="5" t="s">
        <v>115</v>
      </c>
      <c r="Y41" s="5" t="s">
        <v>115</v>
      </c>
      <c r="Z41" s="5" t="s">
        <v>115</v>
      </c>
      <c r="AA41" s="5" t="s">
        <v>115</v>
      </c>
      <c r="AB41" s="5" t="s">
        <v>115</v>
      </c>
      <c r="AC41" s="5" t="s">
        <v>115</v>
      </c>
      <c r="AD41" s="5" t="s">
        <v>115</v>
      </c>
      <c r="AE41" s="5" t="s">
        <v>115</v>
      </c>
      <c r="AF41" s="5" t="s">
        <v>115</v>
      </c>
      <c r="AG41" s="5">
        <v>0</v>
      </c>
      <c r="AH41" s="5">
        <v>21</v>
      </c>
      <c r="AI41" s="5">
        <v>0</v>
      </c>
      <c r="AJ41" s="5">
        <v>21</v>
      </c>
      <c r="AK41" s="5">
        <v>0</v>
      </c>
      <c r="AL41" s="5">
        <f t="shared" ref="AL41:AL55" si="1">SUM(AI41:AK41)</f>
        <v>21</v>
      </c>
      <c r="AM41" s="5" t="s">
        <v>188</v>
      </c>
      <c r="AN41" s="5"/>
      <c r="AO41" s="5"/>
      <c r="AP41" s="5"/>
    </row>
    <row r="42" spans="1:42" x14ac:dyDescent="0.2">
      <c r="A42" s="5" t="s">
        <v>4116</v>
      </c>
      <c r="B42" s="5" t="s">
        <v>4117</v>
      </c>
      <c r="C42" s="5">
        <v>1</v>
      </c>
      <c r="D42" s="5">
        <v>1</v>
      </c>
      <c r="E42" s="5" t="s">
        <v>395</v>
      </c>
      <c r="F42" s="11">
        <v>43648</v>
      </c>
      <c r="G42" s="5" t="s">
        <v>4058</v>
      </c>
      <c r="H42" s="45">
        <v>4.2361111111111106E-2</v>
      </c>
      <c r="I42" s="181">
        <v>7.0601851851851847E-4</v>
      </c>
      <c r="J42" s="48">
        <v>61</v>
      </c>
      <c r="K42" s="5" t="s">
        <v>398</v>
      </c>
      <c r="L42" s="5" t="s">
        <v>344</v>
      </c>
      <c r="M42" s="5" t="s">
        <v>102</v>
      </c>
      <c r="N42" s="5" t="s">
        <v>23</v>
      </c>
      <c r="O42" s="5">
        <v>2</v>
      </c>
      <c r="P42" s="5">
        <v>0</v>
      </c>
      <c r="Q42" s="5">
        <v>0</v>
      </c>
      <c r="R42" s="5" t="s">
        <v>176</v>
      </c>
      <c r="S42" s="5" t="s">
        <v>176</v>
      </c>
      <c r="T42" s="5" t="s">
        <v>333</v>
      </c>
      <c r="U42" s="5" t="s">
        <v>115</v>
      </c>
      <c r="V42" s="5" t="s">
        <v>115</v>
      </c>
      <c r="W42" s="5" t="s">
        <v>115</v>
      </c>
      <c r="X42" s="5" t="s">
        <v>115</v>
      </c>
      <c r="Y42" s="5" t="s">
        <v>115</v>
      </c>
      <c r="Z42" s="5" t="s">
        <v>115</v>
      </c>
      <c r="AA42" s="5" t="s">
        <v>115</v>
      </c>
      <c r="AB42" s="5" t="s">
        <v>115</v>
      </c>
      <c r="AC42" s="5" t="s">
        <v>115</v>
      </c>
      <c r="AD42" s="5" t="s">
        <v>115</v>
      </c>
      <c r="AE42" s="5" t="s">
        <v>115</v>
      </c>
      <c r="AF42" s="5" t="s">
        <v>115</v>
      </c>
      <c r="AG42" s="5">
        <v>0</v>
      </c>
      <c r="AH42" s="5">
        <v>61</v>
      </c>
      <c r="AI42" s="5">
        <v>61</v>
      </c>
      <c r="AJ42" s="5">
        <v>0</v>
      </c>
      <c r="AK42" s="5">
        <v>0</v>
      </c>
      <c r="AL42" s="5">
        <f t="shared" si="1"/>
        <v>61</v>
      </c>
      <c r="AM42" s="5"/>
      <c r="AN42" s="5"/>
      <c r="AO42" s="5"/>
      <c r="AP42" s="5"/>
    </row>
    <row r="43" spans="1:42" x14ac:dyDescent="0.2">
      <c r="A43" s="5" t="s">
        <v>4130</v>
      </c>
      <c r="B43" s="5" t="s">
        <v>4131</v>
      </c>
      <c r="C43" s="5">
        <v>8</v>
      </c>
      <c r="D43" s="5">
        <v>1</v>
      </c>
      <c r="E43" s="5" t="s">
        <v>395</v>
      </c>
      <c r="F43" s="11">
        <v>43648</v>
      </c>
      <c r="G43" s="5" t="s">
        <v>4058</v>
      </c>
      <c r="H43" s="45">
        <v>1.8055555555555557E-2</v>
      </c>
      <c r="I43" s="181">
        <v>3.0092592592592595E-4</v>
      </c>
      <c r="J43" s="48">
        <v>26</v>
      </c>
      <c r="K43" s="5" t="s">
        <v>398</v>
      </c>
      <c r="L43" s="5" t="s">
        <v>2488</v>
      </c>
      <c r="M43" s="5" t="s">
        <v>102</v>
      </c>
      <c r="N43" s="5" t="s">
        <v>23</v>
      </c>
      <c r="O43" s="5">
        <v>2</v>
      </c>
      <c r="P43" s="5">
        <v>0</v>
      </c>
      <c r="Q43" s="5">
        <v>0</v>
      </c>
      <c r="R43" s="5" t="s">
        <v>4069</v>
      </c>
      <c r="S43" s="5" t="s">
        <v>176</v>
      </c>
      <c r="T43" s="5" t="s">
        <v>1035</v>
      </c>
      <c r="U43" s="5" t="s">
        <v>115</v>
      </c>
      <c r="V43" s="5" t="s">
        <v>115</v>
      </c>
      <c r="W43" s="5" t="s">
        <v>115</v>
      </c>
      <c r="X43" s="5" t="s">
        <v>115</v>
      </c>
      <c r="Y43" s="5" t="s">
        <v>115</v>
      </c>
      <c r="Z43" s="5" t="s">
        <v>115</v>
      </c>
      <c r="AA43" s="5" t="s">
        <v>115</v>
      </c>
      <c r="AB43" s="5" t="s">
        <v>115</v>
      </c>
      <c r="AC43" s="5" t="s">
        <v>115</v>
      </c>
      <c r="AD43" s="5" t="s">
        <v>115</v>
      </c>
      <c r="AE43" s="5" t="s">
        <v>115</v>
      </c>
      <c r="AF43" s="5" t="s">
        <v>115</v>
      </c>
      <c r="AG43" s="5">
        <v>0</v>
      </c>
      <c r="AH43" s="5">
        <v>26</v>
      </c>
      <c r="AI43" s="5">
        <v>0</v>
      </c>
      <c r="AJ43" s="5">
        <v>26</v>
      </c>
      <c r="AK43" s="5">
        <v>0</v>
      </c>
      <c r="AL43" s="5">
        <f t="shared" si="1"/>
        <v>26</v>
      </c>
      <c r="AM43" s="5"/>
      <c r="AN43" s="5"/>
      <c r="AO43" s="5"/>
      <c r="AP43" s="5"/>
    </row>
    <row r="44" spans="1:42" x14ac:dyDescent="0.2">
      <c r="A44" s="5" t="s">
        <v>4128</v>
      </c>
      <c r="B44" s="5" t="s">
        <v>4129</v>
      </c>
      <c r="C44" s="5">
        <v>7</v>
      </c>
      <c r="D44" s="5">
        <v>1</v>
      </c>
      <c r="E44" s="5" t="s">
        <v>395</v>
      </c>
      <c r="F44" s="11">
        <v>43648</v>
      </c>
      <c r="G44" s="5" t="s">
        <v>4058</v>
      </c>
      <c r="H44" s="45">
        <v>2.6388888888888889E-2</v>
      </c>
      <c r="I44" s="181">
        <v>4.3981481481481481E-4</v>
      </c>
      <c r="J44" s="48">
        <v>38</v>
      </c>
      <c r="K44" s="5" t="s">
        <v>398</v>
      </c>
      <c r="L44" s="5" t="s">
        <v>2498</v>
      </c>
      <c r="M44" s="5" t="s">
        <v>102</v>
      </c>
      <c r="N44" s="5" t="s">
        <v>23</v>
      </c>
      <c r="O44" s="5">
        <v>1</v>
      </c>
      <c r="P44" s="5">
        <v>0</v>
      </c>
      <c r="Q44" s="5">
        <v>0</v>
      </c>
      <c r="R44" s="5" t="s">
        <v>176</v>
      </c>
      <c r="S44" s="5" t="s">
        <v>4069</v>
      </c>
      <c r="T44" s="5" t="s">
        <v>1035</v>
      </c>
      <c r="U44" s="5" t="s">
        <v>115</v>
      </c>
      <c r="V44" s="5" t="s">
        <v>115</v>
      </c>
      <c r="W44" s="5" t="s">
        <v>115</v>
      </c>
      <c r="X44" s="5" t="s">
        <v>115</v>
      </c>
      <c r="Y44" s="5" t="s">
        <v>115</v>
      </c>
      <c r="Z44" s="5" t="s">
        <v>115</v>
      </c>
      <c r="AA44" s="5" t="s">
        <v>115</v>
      </c>
      <c r="AB44" s="5" t="s">
        <v>115</v>
      </c>
      <c r="AC44" s="5" t="s">
        <v>115</v>
      </c>
      <c r="AD44" s="5" t="s">
        <v>115</v>
      </c>
      <c r="AE44" s="5" t="s">
        <v>115</v>
      </c>
      <c r="AF44" s="5" t="s">
        <v>115</v>
      </c>
      <c r="AG44" s="5">
        <v>0</v>
      </c>
      <c r="AH44" s="5">
        <v>31</v>
      </c>
      <c r="AI44" s="5">
        <v>0</v>
      </c>
      <c r="AJ44" s="5">
        <v>31</v>
      </c>
      <c r="AK44" s="5">
        <v>7</v>
      </c>
      <c r="AL44" s="5">
        <f t="shared" si="1"/>
        <v>38</v>
      </c>
      <c r="AM44" s="5" t="s">
        <v>16</v>
      </c>
      <c r="AN44" s="5"/>
      <c r="AO44" s="5"/>
      <c r="AP44" s="5">
        <v>1</v>
      </c>
    </row>
    <row r="45" spans="1:42" x14ac:dyDescent="0.2">
      <c r="A45" s="5" t="s">
        <v>4132</v>
      </c>
      <c r="B45" s="5" t="s">
        <v>4133</v>
      </c>
      <c r="C45" s="5">
        <v>9</v>
      </c>
      <c r="D45" s="5">
        <v>1</v>
      </c>
      <c r="E45" s="5" t="s">
        <v>395</v>
      </c>
      <c r="F45" s="11">
        <v>43648</v>
      </c>
      <c r="G45" s="5" t="s">
        <v>4058</v>
      </c>
      <c r="H45" s="45">
        <v>3.4027777777777775E-2</v>
      </c>
      <c r="I45" s="181">
        <v>5.6712962962962956E-4</v>
      </c>
      <c r="J45" s="48">
        <v>49</v>
      </c>
      <c r="K45" s="5" t="s">
        <v>398</v>
      </c>
      <c r="L45" s="5" t="s">
        <v>2498</v>
      </c>
      <c r="M45" s="5" t="s">
        <v>102</v>
      </c>
      <c r="N45" s="5" t="s">
        <v>23</v>
      </c>
      <c r="O45" s="5">
        <v>1</v>
      </c>
      <c r="P45" s="5">
        <v>0</v>
      </c>
      <c r="Q45" s="5">
        <v>0</v>
      </c>
      <c r="R45" s="5" t="s">
        <v>176</v>
      </c>
      <c r="S45" s="5" t="s">
        <v>4069</v>
      </c>
      <c r="T45" s="5" t="s">
        <v>1035</v>
      </c>
      <c r="U45" s="5" t="s">
        <v>115</v>
      </c>
      <c r="V45" s="5" t="s">
        <v>115</v>
      </c>
      <c r="W45" s="5" t="s">
        <v>115</v>
      </c>
      <c r="X45" s="5" t="s">
        <v>115</v>
      </c>
      <c r="Y45" s="5" t="s">
        <v>115</v>
      </c>
      <c r="Z45" s="5" t="s">
        <v>115</v>
      </c>
      <c r="AA45" s="5" t="s">
        <v>115</v>
      </c>
      <c r="AB45" s="5" t="s">
        <v>115</v>
      </c>
      <c r="AC45" s="5" t="s">
        <v>115</v>
      </c>
      <c r="AD45" s="5" t="s">
        <v>115</v>
      </c>
      <c r="AE45" s="5" t="s">
        <v>115</v>
      </c>
      <c r="AF45" s="5" t="s">
        <v>115</v>
      </c>
      <c r="AG45" s="5">
        <v>0</v>
      </c>
      <c r="AH45" s="5">
        <v>5</v>
      </c>
      <c r="AI45" s="5">
        <v>0</v>
      </c>
      <c r="AJ45" s="5">
        <v>5</v>
      </c>
      <c r="AK45" s="5">
        <v>0</v>
      </c>
      <c r="AL45" s="5">
        <f t="shared" si="1"/>
        <v>5</v>
      </c>
      <c r="AM45" s="5" t="s">
        <v>16</v>
      </c>
      <c r="AN45" s="5"/>
      <c r="AO45" s="5"/>
      <c r="AP45" s="5">
        <v>1</v>
      </c>
    </row>
    <row r="46" spans="1:42" x14ac:dyDescent="0.2">
      <c r="A46" s="5" t="s">
        <v>4134</v>
      </c>
      <c r="B46" s="5" t="s">
        <v>4135</v>
      </c>
      <c r="C46" s="5">
        <v>10</v>
      </c>
      <c r="D46" s="5">
        <v>1</v>
      </c>
      <c r="E46" s="5" t="s">
        <v>395</v>
      </c>
      <c r="F46" s="11">
        <v>43648</v>
      </c>
      <c r="G46" s="5" t="s">
        <v>4058</v>
      </c>
      <c r="H46" s="45">
        <v>2.4999999999999998E-2</v>
      </c>
      <c r="I46" s="181">
        <v>4.1666666666666669E-4</v>
      </c>
      <c r="J46" s="48">
        <v>36</v>
      </c>
      <c r="K46" s="5" t="s">
        <v>398</v>
      </c>
      <c r="L46" s="5" t="s">
        <v>2498</v>
      </c>
      <c r="M46" s="5" t="s">
        <v>102</v>
      </c>
      <c r="N46" s="5" t="s">
        <v>23</v>
      </c>
      <c r="O46" s="5">
        <v>1</v>
      </c>
      <c r="P46" s="5">
        <v>0</v>
      </c>
      <c r="Q46" s="5">
        <v>0</v>
      </c>
      <c r="R46" s="5" t="s">
        <v>176</v>
      </c>
      <c r="S46" s="5" t="s">
        <v>176</v>
      </c>
      <c r="T46" s="5" t="s">
        <v>333</v>
      </c>
      <c r="U46" s="5" t="s">
        <v>115</v>
      </c>
      <c r="V46" s="5" t="s">
        <v>115</v>
      </c>
      <c r="W46" s="5" t="s">
        <v>115</v>
      </c>
      <c r="X46" s="5" t="s">
        <v>115</v>
      </c>
      <c r="Y46" s="5" t="s">
        <v>115</v>
      </c>
      <c r="Z46" s="5" t="s">
        <v>115</v>
      </c>
      <c r="AA46" s="5" t="s">
        <v>115</v>
      </c>
      <c r="AB46" s="5" t="s">
        <v>115</v>
      </c>
      <c r="AC46" s="5" t="s">
        <v>115</v>
      </c>
      <c r="AD46" s="5" t="s">
        <v>115</v>
      </c>
      <c r="AE46" s="5" t="s">
        <v>115</v>
      </c>
      <c r="AF46" s="5" t="s">
        <v>115</v>
      </c>
      <c r="AG46" s="5">
        <v>3</v>
      </c>
      <c r="AH46" s="5">
        <v>30</v>
      </c>
      <c r="AI46" s="5">
        <v>33</v>
      </c>
      <c r="AJ46" s="5">
        <v>0</v>
      </c>
      <c r="AK46" s="5">
        <v>0</v>
      </c>
      <c r="AL46" s="5">
        <f t="shared" si="1"/>
        <v>33</v>
      </c>
      <c r="AM46" s="5"/>
      <c r="AN46" s="5"/>
      <c r="AO46" s="5"/>
      <c r="AP46" s="5"/>
    </row>
    <row r="47" spans="1:42" x14ac:dyDescent="0.2">
      <c r="A47" s="5" t="s">
        <v>4146</v>
      </c>
      <c r="B47" s="5" t="s">
        <v>4147</v>
      </c>
      <c r="C47" s="5">
        <v>16</v>
      </c>
      <c r="D47" s="5">
        <v>1</v>
      </c>
      <c r="E47" s="5" t="s">
        <v>395</v>
      </c>
      <c r="F47" s="11">
        <v>43648</v>
      </c>
      <c r="G47" s="5" t="s">
        <v>4058</v>
      </c>
      <c r="H47" s="45">
        <v>5.5555555555555558E-3</v>
      </c>
      <c r="I47" s="181">
        <v>9.2592592592592588E-5</v>
      </c>
      <c r="J47" s="48">
        <v>8</v>
      </c>
      <c r="K47" s="5" t="s">
        <v>398</v>
      </c>
      <c r="L47" s="5" t="s">
        <v>2488</v>
      </c>
      <c r="M47" s="5" t="s">
        <v>102</v>
      </c>
      <c r="N47" s="5" t="s">
        <v>23</v>
      </c>
      <c r="O47" s="5">
        <v>1</v>
      </c>
      <c r="P47" s="5">
        <v>0</v>
      </c>
      <c r="Q47" s="5">
        <v>0</v>
      </c>
      <c r="R47" s="5" t="s">
        <v>176</v>
      </c>
      <c r="S47" s="5" t="s">
        <v>176</v>
      </c>
      <c r="T47" s="5" t="s">
        <v>115</v>
      </c>
      <c r="U47" s="5" t="s">
        <v>115</v>
      </c>
      <c r="V47" s="5" t="s">
        <v>115</v>
      </c>
      <c r="W47" s="5" t="s">
        <v>115</v>
      </c>
      <c r="X47" s="5" t="s">
        <v>115</v>
      </c>
      <c r="Y47" s="5" t="s">
        <v>115</v>
      </c>
      <c r="Z47" s="5" t="s">
        <v>115</v>
      </c>
      <c r="AA47" s="5" t="s">
        <v>115</v>
      </c>
      <c r="AB47" s="5" t="s">
        <v>115</v>
      </c>
      <c r="AC47" s="5" t="s">
        <v>115</v>
      </c>
      <c r="AD47" s="5" t="s">
        <v>115</v>
      </c>
      <c r="AE47" s="5" t="s">
        <v>115</v>
      </c>
      <c r="AF47" s="5" t="s">
        <v>115</v>
      </c>
      <c r="AG47" s="5">
        <v>0</v>
      </c>
      <c r="AH47" s="5">
        <v>8</v>
      </c>
      <c r="AI47" s="5">
        <v>0</v>
      </c>
      <c r="AJ47" s="5">
        <v>8</v>
      </c>
      <c r="AK47" s="5">
        <v>0</v>
      </c>
      <c r="AL47" s="5">
        <f t="shared" si="1"/>
        <v>8</v>
      </c>
      <c r="AM47" s="5"/>
      <c r="AN47" s="5"/>
      <c r="AO47" s="5"/>
      <c r="AP47" s="5"/>
    </row>
    <row r="48" spans="1:42" x14ac:dyDescent="0.2">
      <c r="A48" s="5" t="s">
        <v>4151</v>
      </c>
      <c r="B48" s="5" t="s">
        <v>4152</v>
      </c>
      <c r="C48" s="5">
        <v>18</v>
      </c>
      <c r="D48" s="5">
        <v>1</v>
      </c>
      <c r="E48" s="5" t="s">
        <v>395</v>
      </c>
      <c r="F48" s="1">
        <v>43648</v>
      </c>
      <c r="G48" s="5" t="s">
        <v>4058</v>
      </c>
      <c r="H48" s="2">
        <v>1.0416666666666666E-2</v>
      </c>
      <c r="I48" s="176">
        <v>1.7361111111111112E-4</v>
      </c>
      <c r="J48" s="6">
        <v>15</v>
      </c>
      <c r="K48" s="5" t="s">
        <v>398</v>
      </c>
      <c r="L48" s="5" t="s">
        <v>2488</v>
      </c>
      <c r="M48" s="5" t="s">
        <v>102</v>
      </c>
      <c r="N48" s="5" t="s">
        <v>23</v>
      </c>
      <c r="O48">
        <v>1</v>
      </c>
      <c r="P48" s="5">
        <v>0</v>
      </c>
      <c r="Q48" s="5">
        <v>0</v>
      </c>
      <c r="R48" s="5" t="s">
        <v>176</v>
      </c>
      <c r="S48" s="5" t="s">
        <v>176</v>
      </c>
      <c r="T48" s="5" t="s">
        <v>333</v>
      </c>
      <c r="U48" s="5" t="s">
        <v>115</v>
      </c>
      <c r="V48" s="5" t="s">
        <v>115</v>
      </c>
      <c r="W48" s="5" t="s">
        <v>115</v>
      </c>
      <c r="X48" s="5" t="s">
        <v>115</v>
      </c>
      <c r="Y48" s="5" t="s">
        <v>115</v>
      </c>
      <c r="Z48" s="5" t="s">
        <v>115</v>
      </c>
      <c r="AA48" s="5" t="s">
        <v>115</v>
      </c>
      <c r="AB48" s="5" t="s">
        <v>115</v>
      </c>
      <c r="AC48" s="5" t="s">
        <v>115</v>
      </c>
      <c r="AD48" s="5" t="s">
        <v>115</v>
      </c>
      <c r="AE48" s="5" t="s">
        <v>115</v>
      </c>
      <c r="AF48" s="5" t="s">
        <v>115</v>
      </c>
      <c r="AG48" s="5">
        <v>0</v>
      </c>
      <c r="AH48" s="5">
        <v>4</v>
      </c>
      <c r="AI48" s="5">
        <v>4</v>
      </c>
      <c r="AJ48" s="5">
        <v>0</v>
      </c>
      <c r="AK48" s="5">
        <v>0</v>
      </c>
      <c r="AL48" s="5">
        <f t="shared" si="1"/>
        <v>4</v>
      </c>
      <c r="AM48" s="5" t="s">
        <v>188</v>
      </c>
    </row>
    <row r="49" spans="1:42" x14ac:dyDescent="0.2">
      <c r="A49" s="5" t="s">
        <v>4118</v>
      </c>
      <c r="B49" s="5" t="s">
        <v>4119</v>
      </c>
      <c r="C49" s="5">
        <v>2</v>
      </c>
      <c r="D49" s="5">
        <v>1</v>
      </c>
      <c r="E49" s="5" t="s">
        <v>395</v>
      </c>
      <c r="F49" s="11">
        <v>43648</v>
      </c>
      <c r="G49" s="5" t="s">
        <v>4058</v>
      </c>
      <c r="H49" s="45">
        <v>1.8749999999999999E-2</v>
      </c>
      <c r="I49" s="181">
        <v>3.1250000000000001E-4</v>
      </c>
      <c r="J49" s="48">
        <v>27</v>
      </c>
      <c r="K49" s="5" t="s">
        <v>398</v>
      </c>
      <c r="L49" s="5" t="s">
        <v>344</v>
      </c>
      <c r="M49" s="5" t="s">
        <v>102</v>
      </c>
      <c r="N49" s="5" t="s">
        <v>23</v>
      </c>
      <c r="O49" s="5">
        <v>0</v>
      </c>
      <c r="P49" s="5">
        <v>0</v>
      </c>
      <c r="Q49" s="5">
        <v>0</v>
      </c>
      <c r="R49" s="5" t="s">
        <v>115</v>
      </c>
      <c r="S49" s="5" t="s">
        <v>115</v>
      </c>
      <c r="T49" s="5" t="s">
        <v>115</v>
      </c>
      <c r="U49" s="5" t="s">
        <v>115</v>
      </c>
      <c r="V49" s="5" t="s">
        <v>115</v>
      </c>
      <c r="W49" s="5" t="s">
        <v>115</v>
      </c>
      <c r="X49" s="5" t="s">
        <v>115</v>
      </c>
      <c r="Y49" s="5" t="s">
        <v>115</v>
      </c>
      <c r="Z49" s="5" t="s">
        <v>115</v>
      </c>
      <c r="AA49" s="5" t="s">
        <v>115</v>
      </c>
      <c r="AB49" s="5" t="s">
        <v>115</v>
      </c>
      <c r="AC49" s="5" t="s">
        <v>115</v>
      </c>
      <c r="AD49" s="5" t="s">
        <v>115</v>
      </c>
      <c r="AE49" s="5" t="s">
        <v>115</v>
      </c>
      <c r="AF49" s="5" t="s">
        <v>115</v>
      </c>
      <c r="AG49" s="5">
        <v>16</v>
      </c>
      <c r="AH49" s="5">
        <v>6</v>
      </c>
      <c r="AI49" s="5">
        <v>22</v>
      </c>
      <c r="AJ49" s="5">
        <v>0</v>
      </c>
      <c r="AK49" s="5">
        <v>0</v>
      </c>
      <c r="AL49" s="5">
        <f t="shared" si="1"/>
        <v>22</v>
      </c>
      <c r="AM49" s="5"/>
      <c r="AN49" s="5"/>
      <c r="AO49" s="5"/>
      <c r="AP49" s="5"/>
    </row>
    <row r="50" spans="1:42" x14ac:dyDescent="0.2">
      <c r="A50" s="5" t="s">
        <v>4148</v>
      </c>
      <c r="B50" s="5" t="s">
        <v>4149</v>
      </c>
      <c r="C50" s="5">
        <v>17</v>
      </c>
      <c r="D50" s="5">
        <v>1</v>
      </c>
      <c r="E50" s="5" t="s">
        <v>395</v>
      </c>
      <c r="F50" s="1">
        <v>43648</v>
      </c>
      <c r="G50" s="5" t="s">
        <v>4058</v>
      </c>
      <c r="H50" s="2">
        <v>1.4583333333333332E-2</v>
      </c>
      <c r="I50" s="176">
        <v>2.4305555555555552E-4</v>
      </c>
      <c r="J50" s="6">
        <v>21</v>
      </c>
      <c r="K50" s="5" t="s">
        <v>398</v>
      </c>
      <c r="L50" s="5" t="s">
        <v>2488</v>
      </c>
      <c r="M50" s="5" t="s">
        <v>111</v>
      </c>
      <c r="N50" s="5" t="s">
        <v>23</v>
      </c>
      <c r="O50">
        <v>0</v>
      </c>
      <c r="Q50" s="5">
        <v>1</v>
      </c>
      <c r="R50" s="5" t="s">
        <v>176</v>
      </c>
      <c r="S50" s="5" t="s">
        <v>176</v>
      </c>
      <c r="T50" s="5" t="s">
        <v>4150</v>
      </c>
      <c r="U50" s="5" t="s">
        <v>487</v>
      </c>
      <c r="V50" s="5" t="s">
        <v>23</v>
      </c>
      <c r="W50" s="5" t="s">
        <v>3997</v>
      </c>
      <c r="X50" s="5" t="s">
        <v>4022</v>
      </c>
      <c r="Y50" s="5"/>
      <c r="Z50" s="5">
        <v>87</v>
      </c>
      <c r="AA50" s="5" t="s">
        <v>176</v>
      </c>
      <c r="AB50" s="5">
        <v>63.720939999999999</v>
      </c>
      <c r="AC50" s="5">
        <v>148.98759000000001</v>
      </c>
      <c r="AD50" s="5" t="s">
        <v>115</v>
      </c>
      <c r="AE50" s="5" t="s">
        <v>115</v>
      </c>
      <c r="AF50" s="5" t="s">
        <v>115</v>
      </c>
      <c r="AG50" s="5">
        <v>7</v>
      </c>
      <c r="AH50" s="5">
        <v>0</v>
      </c>
      <c r="AI50" s="5">
        <v>7</v>
      </c>
      <c r="AJ50" s="5">
        <v>0</v>
      </c>
      <c r="AK50" s="5">
        <v>0</v>
      </c>
      <c r="AL50" s="5">
        <f t="shared" si="1"/>
        <v>7</v>
      </c>
    </row>
    <row r="51" spans="1:42" x14ac:dyDescent="0.2">
      <c r="A51" s="5" t="s">
        <v>4138</v>
      </c>
      <c r="B51" s="5" t="s">
        <v>4139</v>
      </c>
      <c r="C51" s="5">
        <v>12</v>
      </c>
      <c r="D51" s="5">
        <v>1</v>
      </c>
      <c r="E51" s="5" t="s">
        <v>395</v>
      </c>
      <c r="F51" s="11">
        <v>43648</v>
      </c>
      <c r="G51" s="5" t="s">
        <v>4058</v>
      </c>
      <c r="H51" s="45">
        <v>1.0416666666666666E-2</v>
      </c>
      <c r="I51" s="181">
        <v>1.7361111111111112E-4</v>
      </c>
      <c r="J51" s="48">
        <v>15</v>
      </c>
      <c r="K51" s="5" t="s">
        <v>398</v>
      </c>
      <c r="L51" s="5" t="s">
        <v>24</v>
      </c>
      <c r="M51" s="5" t="s">
        <v>102</v>
      </c>
      <c r="N51" s="5" t="s">
        <v>23</v>
      </c>
      <c r="O51" s="5" t="s">
        <v>176</v>
      </c>
      <c r="P51" s="5" t="s">
        <v>176</v>
      </c>
      <c r="Q51" s="5" t="s">
        <v>176</v>
      </c>
      <c r="R51" s="5" t="s">
        <v>115</v>
      </c>
      <c r="S51" s="5" t="s">
        <v>115</v>
      </c>
      <c r="T51" s="5" t="s">
        <v>115</v>
      </c>
      <c r="U51" s="5" t="s">
        <v>115</v>
      </c>
      <c r="V51" s="5" t="s">
        <v>115</v>
      </c>
      <c r="W51" s="5" t="s">
        <v>115</v>
      </c>
      <c r="X51" s="5" t="s">
        <v>115</v>
      </c>
      <c r="Y51" s="5" t="s">
        <v>115</v>
      </c>
      <c r="Z51" s="5" t="s">
        <v>115</v>
      </c>
      <c r="AA51" s="5" t="s">
        <v>115</v>
      </c>
      <c r="AB51" s="5" t="s">
        <v>115</v>
      </c>
      <c r="AC51" s="5" t="s">
        <v>115</v>
      </c>
      <c r="AD51" s="5" t="s">
        <v>115</v>
      </c>
      <c r="AE51" s="5" t="s">
        <v>115</v>
      </c>
      <c r="AF51" s="5" t="s">
        <v>115</v>
      </c>
      <c r="AG51" s="5">
        <v>10</v>
      </c>
      <c r="AH51" s="5">
        <v>0</v>
      </c>
      <c r="AI51" s="5">
        <v>10</v>
      </c>
      <c r="AJ51" s="5">
        <v>0</v>
      </c>
      <c r="AK51" s="5">
        <v>0</v>
      </c>
      <c r="AL51" s="5">
        <f t="shared" si="1"/>
        <v>10</v>
      </c>
      <c r="AM51" s="5" t="s">
        <v>188</v>
      </c>
      <c r="AN51" s="5"/>
      <c r="AO51" s="5"/>
      <c r="AP51" s="5"/>
    </row>
    <row r="52" spans="1:42" x14ac:dyDescent="0.2">
      <c r="A52" s="5" t="s">
        <v>4140</v>
      </c>
      <c r="B52" s="5" t="s">
        <v>4141</v>
      </c>
      <c r="C52" s="5">
        <v>13</v>
      </c>
      <c r="D52" s="5">
        <v>1</v>
      </c>
      <c r="E52" s="5" t="s">
        <v>395</v>
      </c>
      <c r="F52" s="11">
        <v>43648</v>
      </c>
      <c r="G52" s="5" t="s">
        <v>4058</v>
      </c>
      <c r="H52" s="45">
        <v>1.7361111111111112E-2</v>
      </c>
      <c r="I52" s="181">
        <v>2.8935185185185189E-4</v>
      </c>
      <c r="J52" s="48">
        <v>25</v>
      </c>
      <c r="K52" s="5" t="s">
        <v>398</v>
      </c>
      <c r="L52" s="5" t="s">
        <v>2488</v>
      </c>
      <c r="M52" s="5" t="s">
        <v>102</v>
      </c>
      <c r="N52" s="5" t="s">
        <v>23</v>
      </c>
      <c r="O52" s="5" t="s">
        <v>176</v>
      </c>
      <c r="P52" s="5">
        <v>0</v>
      </c>
      <c r="Q52" s="5" t="s">
        <v>176</v>
      </c>
      <c r="R52" s="5" t="s">
        <v>176</v>
      </c>
      <c r="S52" s="5" t="s">
        <v>176</v>
      </c>
      <c r="T52" s="5" t="s">
        <v>263</v>
      </c>
      <c r="U52" s="5" t="s">
        <v>115</v>
      </c>
      <c r="V52" s="5" t="s">
        <v>115</v>
      </c>
      <c r="W52" s="5" t="s">
        <v>115</v>
      </c>
      <c r="X52" s="5" t="s">
        <v>115</v>
      </c>
      <c r="Y52" s="5" t="s">
        <v>115</v>
      </c>
      <c r="Z52" s="5" t="s">
        <v>115</v>
      </c>
      <c r="AA52" s="5" t="s">
        <v>115</v>
      </c>
      <c r="AB52" s="5" t="s">
        <v>115</v>
      </c>
      <c r="AC52" s="5" t="s">
        <v>115</v>
      </c>
      <c r="AD52" s="5" t="s">
        <v>115</v>
      </c>
      <c r="AE52" s="5" t="s">
        <v>115</v>
      </c>
      <c r="AF52" s="5" t="s">
        <v>115</v>
      </c>
      <c r="AG52" s="5">
        <v>10</v>
      </c>
      <c r="AH52" s="5">
        <v>0</v>
      </c>
      <c r="AI52" s="5">
        <v>10</v>
      </c>
      <c r="AJ52" s="5">
        <v>0</v>
      </c>
      <c r="AK52" s="5">
        <v>9</v>
      </c>
      <c r="AL52" s="5">
        <f t="shared" si="1"/>
        <v>19</v>
      </c>
      <c r="AM52" s="5" t="s">
        <v>188</v>
      </c>
      <c r="AN52" s="5"/>
      <c r="AO52" s="5"/>
      <c r="AP52" s="5"/>
    </row>
    <row r="53" spans="1:42" x14ac:dyDescent="0.2">
      <c r="A53" s="5" t="s">
        <v>4122</v>
      </c>
      <c r="B53" s="5" t="s">
        <v>4123</v>
      </c>
      <c r="C53" s="5">
        <v>4</v>
      </c>
      <c r="D53" s="5">
        <v>1</v>
      </c>
      <c r="E53" s="5" t="s">
        <v>395</v>
      </c>
      <c r="F53" s="11">
        <v>43648</v>
      </c>
      <c r="G53" s="5" t="s">
        <v>4058</v>
      </c>
      <c r="H53" s="182">
        <v>4.9768518518518521E-4</v>
      </c>
      <c r="I53" s="181">
        <v>4.9768518518518521E-4</v>
      </c>
      <c r="J53" s="48">
        <v>43</v>
      </c>
      <c r="K53" s="5" t="s">
        <v>398</v>
      </c>
      <c r="L53" s="5" t="s">
        <v>2488</v>
      </c>
      <c r="M53" s="5" t="s">
        <v>102</v>
      </c>
      <c r="N53" s="5" t="s">
        <v>23</v>
      </c>
      <c r="O53" s="5">
        <v>1</v>
      </c>
      <c r="P53" s="5">
        <v>0</v>
      </c>
      <c r="Q53" s="5" t="s">
        <v>176</v>
      </c>
      <c r="R53" s="5" t="s">
        <v>176</v>
      </c>
      <c r="S53" s="5" t="s">
        <v>176</v>
      </c>
      <c r="T53" s="5" t="s">
        <v>122</v>
      </c>
      <c r="U53" s="5" t="s">
        <v>115</v>
      </c>
      <c r="V53" s="5" t="s">
        <v>115</v>
      </c>
      <c r="W53" s="5" t="s">
        <v>115</v>
      </c>
      <c r="X53" s="5" t="s">
        <v>115</v>
      </c>
      <c r="Y53" s="5" t="s">
        <v>115</v>
      </c>
      <c r="Z53" s="5" t="s">
        <v>115</v>
      </c>
      <c r="AA53" s="5" t="s">
        <v>115</v>
      </c>
      <c r="AB53" s="5" t="s">
        <v>115</v>
      </c>
      <c r="AC53" s="5" t="s">
        <v>115</v>
      </c>
      <c r="AD53" s="5" t="s">
        <v>115</v>
      </c>
      <c r="AE53" s="5" t="s">
        <v>115</v>
      </c>
      <c r="AF53" s="5" t="s">
        <v>115</v>
      </c>
      <c r="AG53" s="5">
        <v>0</v>
      </c>
      <c r="AH53" s="5">
        <v>0</v>
      </c>
      <c r="AI53" s="5">
        <v>0</v>
      </c>
      <c r="AJ53" s="5">
        <v>0</v>
      </c>
      <c r="AK53" s="5">
        <v>18</v>
      </c>
      <c r="AL53" s="5">
        <f t="shared" si="1"/>
        <v>18</v>
      </c>
      <c r="AM53" s="5"/>
      <c r="AN53" s="5"/>
      <c r="AO53" s="5"/>
      <c r="AP53" s="5"/>
    </row>
    <row r="54" spans="1:42" x14ac:dyDescent="0.2">
      <c r="A54" s="5" t="s">
        <v>4126</v>
      </c>
      <c r="B54" s="5" t="s">
        <v>4127</v>
      </c>
      <c r="C54" s="5">
        <v>6</v>
      </c>
      <c r="D54" s="5">
        <v>1</v>
      </c>
      <c r="E54" s="5" t="s">
        <v>395</v>
      </c>
      <c r="F54" s="11">
        <v>43648</v>
      </c>
      <c r="G54" s="5" t="s">
        <v>4058</v>
      </c>
      <c r="H54" s="45">
        <v>1.9444444444444445E-2</v>
      </c>
      <c r="I54" s="181">
        <v>3.1250000000000001E-4</v>
      </c>
      <c r="J54" s="48">
        <v>27</v>
      </c>
      <c r="K54" s="5" t="s">
        <v>398</v>
      </c>
      <c r="L54" s="5" t="s">
        <v>2498</v>
      </c>
      <c r="M54" s="5" t="s">
        <v>102</v>
      </c>
      <c r="N54" s="5" t="s">
        <v>115</v>
      </c>
      <c r="O54" s="5">
        <v>1</v>
      </c>
      <c r="P54" s="5">
        <v>0</v>
      </c>
      <c r="Q54" s="5">
        <v>0</v>
      </c>
      <c r="R54" s="5" t="s">
        <v>112</v>
      </c>
      <c r="S54" s="5" t="s">
        <v>112</v>
      </c>
      <c r="T54" s="5" t="s">
        <v>122</v>
      </c>
      <c r="U54" s="5" t="s">
        <v>115</v>
      </c>
      <c r="V54" s="5" t="s">
        <v>115</v>
      </c>
      <c r="W54" s="5" t="s">
        <v>115</v>
      </c>
      <c r="X54" s="5" t="s">
        <v>115</v>
      </c>
      <c r="Y54" s="5" t="s">
        <v>115</v>
      </c>
      <c r="Z54" s="5" t="s">
        <v>115</v>
      </c>
      <c r="AA54" s="5" t="s">
        <v>115</v>
      </c>
      <c r="AB54" s="5" t="s">
        <v>115</v>
      </c>
      <c r="AC54" s="5" t="s">
        <v>115</v>
      </c>
      <c r="AD54" s="5" t="s">
        <v>115</v>
      </c>
      <c r="AE54" s="5" t="s">
        <v>115</v>
      </c>
      <c r="AF54" s="5" t="s">
        <v>115</v>
      </c>
      <c r="AG54" s="5">
        <v>0</v>
      </c>
      <c r="AH54" s="5">
        <v>0</v>
      </c>
      <c r="AI54" s="5">
        <v>0</v>
      </c>
      <c r="AJ54" s="5">
        <v>0</v>
      </c>
      <c r="AK54" s="5">
        <v>25</v>
      </c>
      <c r="AL54" s="5">
        <f t="shared" si="1"/>
        <v>25</v>
      </c>
      <c r="AM54" s="5"/>
      <c r="AN54" s="5"/>
      <c r="AO54" s="5"/>
      <c r="AP54" s="5"/>
    </row>
    <row r="55" spans="1:42" x14ac:dyDescent="0.2">
      <c r="A55" s="5" t="s">
        <v>4153</v>
      </c>
      <c r="B55" s="5" t="s">
        <v>4154</v>
      </c>
      <c r="C55" s="5">
        <v>1</v>
      </c>
      <c r="D55" s="5">
        <v>1</v>
      </c>
      <c r="E55" s="5" t="s">
        <v>138</v>
      </c>
      <c r="F55" s="1">
        <v>43650</v>
      </c>
      <c r="G55" s="5" t="s">
        <v>4058</v>
      </c>
      <c r="H55" s="2">
        <v>9.7222222222222224E-3</v>
      </c>
      <c r="I55" s="176">
        <v>1.6203703703703703E-4</v>
      </c>
      <c r="J55" s="6">
        <v>14</v>
      </c>
      <c r="K55" s="5" t="s">
        <v>398</v>
      </c>
      <c r="L55" s="5" t="s">
        <v>177</v>
      </c>
      <c r="M55" s="5" t="s">
        <v>102</v>
      </c>
      <c r="N55" s="5" t="s">
        <v>23</v>
      </c>
      <c r="O55" s="5">
        <v>0</v>
      </c>
      <c r="P55" s="5">
        <v>0</v>
      </c>
      <c r="Q55" s="5">
        <v>0</v>
      </c>
      <c r="R55" s="5" t="s">
        <v>115</v>
      </c>
      <c r="S55" s="5" t="s">
        <v>115</v>
      </c>
      <c r="T55" s="5" t="s">
        <v>115</v>
      </c>
      <c r="U55" s="5" t="s">
        <v>115</v>
      </c>
      <c r="V55" s="5" t="s">
        <v>115</v>
      </c>
      <c r="W55" s="5" t="s">
        <v>115</v>
      </c>
      <c r="X55" s="5" t="s">
        <v>115</v>
      </c>
      <c r="Y55" s="5" t="s">
        <v>115</v>
      </c>
      <c r="Z55" s="5" t="s">
        <v>115</v>
      </c>
      <c r="AA55" s="5" t="s">
        <v>115</v>
      </c>
      <c r="AB55" s="5" t="s">
        <v>115</v>
      </c>
      <c r="AC55" s="5" t="s">
        <v>115</v>
      </c>
      <c r="AD55" s="5" t="s">
        <v>115</v>
      </c>
      <c r="AE55" s="5" t="s">
        <v>115</v>
      </c>
      <c r="AF55" s="5" t="s">
        <v>115</v>
      </c>
      <c r="AG55" s="5">
        <v>14</v>
      </c>
      <c r="AH55" s="5">
        <v>0</v>
      </c>
      <c r="AI55" s="5">
        <v>14</v>
      </c>
      <c r="AJ55" s="5">
        <v>0</v>
      </c>
      <c r="AK55" s="5">
        <v>0</v>
      </c>
      <c r="AL55" s="5">
        <f t="shared" si="1"/>
        <v>14</v>
      </c>
    </row>
  </sheetData>
  <autoFilter ref="A1:AP55" xr:uid="{62327D94-F1EA-2E47-AE38-C2427A2462D1}">
    <filterColumn colId="3">
      <filters>
        <filter val="1"/>
      </filters>
    </filterColumn>
  </autoFilter>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filterMode="1"/>
  <dimension ref="A1:AR285"/>
  <sheetViews>
    <sheetView topLeftCell="E1" workbookViewId="0">
      <pane ySplit="1" topLeftCell="A4" activePane="bottomLeft" state="frozen"/>
      <selection pane="bottomLeft" activeCell="K288" sqref="K288"/>
    </sheetView>
  </sheetViews>
  <sheetFormatPr baseColWidth="10" defaultRowHeight="16" x14ac:dyDescent="0.2"/>
  <cols>
    <col min="10" max="10" width="10.83203125" style="176"/>
    <col min="11" max="11" width="10.83203125" style="6"/>
  </cols>
  <sheetData>
    <row r="1" spans="1:44" x14ac:dyDescent="0.2">
      <c r="A1" t="s">
        <v>25</v>
      </c>
      <c r="B1" t="s">
        <v>0</v>
      </c>
      <c r="C1" t="s">
        <v>2033</v>
      </c>
      <c r="D1" t="s">
        <v>2034</v>
      </c>
      <c r="E1" t="s">
        <v>1</v>
      </c>
      <c r="F1" t="s">
        <v>2</v>
      </c>
      <c r="G1" t="s">
        <v>4025</v>
      </c>
      <c r="H1" t="s">
        <v>5058</v>
      </c>
      <c r="I1" t="s">
        <v>4</v>
      </c>
      <c r="J1" s="176" t="s">
        <v>5095</v>
      </c>
      <c r="K1" s="6" t="s">
        <v>5099</v>
      </c>
      <c r="L1" t="s">
        <v>3</v>
      </c>
      <c r="M1" t="s">
        <v>9</v>
      </c>
      <c r="N1" t="s">
        <v>106</v>
      </c>
      <c r="O1" t="s">
        <v>5</v>
      </c>
      <c r="P1" t="s">
        <v>6</v>
      </c>
      <c r="Q1" t="s">
        <v>7</v>
      </c>
      <c r="R1" t="s">
        <v>98</v>
      </c>
      <c r="S1" t="s">
        <v>4029</v>
      </c>
      <c r="T1" t="s">
        <v>551</v>
      </c>
      <c r="U1" t="s">
        <v>113</v>
      </c>
      <c r="V1" t="s">
        <v>114</v>
      </c>
      <c r="W1" t="s">
        <v>3995</v>
      </c>
      <c r="X1" t="s">
        <v>3996</v>
      </c>
      <c r="Y1" t="s">
        <v>4000</v>
      </c>
      <c r="Z1" t="s">
        <v>2335</v>
      </c>
      <c r="AA1" t="s">
        <v>2378</v>
      </c>
      <c r="AB1" t="s">
        <v>912</v>
      </c>
      <c r="AC1" s="19" t="s">
        <v>2038</v>
      </c>
      <c r="AD1" s="19" t="s">
        <v>2039</v>
      </c>
      <c r="AE1" s="19" t="s">
        <v>2607</v>
      </c>
      <c r="AF1" s="19" t="s">
        <v>2608</v>
      </c>
      <c r="AG1" s="19" t="s">
        <v>3222</v>
      </c>
      <c r="AH1" t="s">
        <v>19</v>
      </c>
      <c r="AI1" t="s">
        <v>20</v>
      </c>
      <c r="AJ1" t="s">
        <v>18</v>
      </c>
      <c r="AK1" t="s">
        <v>21</v>
      </c>
      <c r="AL1" t="s">
        <v>122</v>
      </c>
      <c r="AM1" t="s">
        <v>2052</v>
      </c>
      <c r="AN1" t="s">
        <v>8</v>
      </c>
      <c r="AO1" t="s">
        <v>15</v>
      </c>
      <c r="AP1" t="s">
        <v>17</v>
      </c>
      <c r="AQ1" t="s">
        <v>56</v>
      </c>
      <c r="AR1" t="s">
        <v>57</v>
      </c>
    </row>
    <row r="2" spans="1:44" hidden="1" x14ac:dyDescent="0.2">
      <c r="A2" t="s">
        <v>4161</v>
      </c>
      <c r="B2" t="s">
        <v>4164</v>
      </c>
      <c r="C2">
        <v>1</v>
      </c>
      <c r="D2">
        <v>1</v>
      </c>
      <c r="E2" t="s">
        <v>4165</v>
      </c>
      <c r="F2" s="1">
        <v>43685</v>
      </c>
      <c r="G2" t="s">
        <v>4031</v>
      </c>
      <c r="H2" t="s">
        <v>4724</v>
      </c>
      <c r="I2" s="2">
        <v>2.013888888888889E-2</v>
      </c>
      <c r="J2" s="176">
        <v>3.3564814814814812E-4</v>
      </c>
      <c r="K2" s="6">
        <v>29</v>
      </c>
      <c r="L2" t="s">
        <v>4157</v>
      </c>
      <c r="M2" t="s">
        <v>4163</v>
      </c>
      <c r="N2" t="s">
        <v>111</v>
      </c>
      <c r="O2" t="s">
        <v>23</v>
      </c>
      <c r="P2">
        <v>0</v>
      </c>
      <c r="Q2" t="s">
        <v>115</v>
      </c>
      <c r="R2">
        <v>1</v>
      </c>
      <c r="S2" t="s">
        <v>176</v>
      </c>
      <c r="T2" t="s">
        <v>176</v>
      </c>
      <c r="U2" t="s">
        <v>176</v>
      </c>
      <c r="V2" t="s">
        <v>939</v>
      </c>
      <c r="W2" t="s">
        <v>23</v>
      </c>
      <c r="X2" t="s">
        <v>3999</v>
      </c>
      <c r="Y2" t="s">
        <v>4022</v>
      </c>
      <c r="Z2" t="s">
        <v>2457</v>
      </c>
      <c r="AA2">
        <v>62</v>
      </c>
      <c r="AB2" t="s">
        <v>176</v>
      </c>
      <c r="AC2" s="19">
        <v>63.720280000000002</v>
      </c>
      <c r="AD2" s="19">
        <v>148.97528</v>
      </c>
      <c r="AE2" t="s">
        <v>115</v>
      </c>
      <c r="AF2" t="s">
        <v>115</v>
      </c>
      <c r="AG2" t="s">
        <v>115</v>
      </c>
      <c r="AH2">
        <v>0</v>
      </c>
      <c r="AI2">
        <v>0</v>
      </c>
      <c r="AJ2">
        <v>0</v>
      </c>
      <c r="AK2">
        <v>0</v>
      </c>
      <c r="AL2">
        <v>0</v>
      </c>
      <c r="AM2">
        <v>0</v>
      </c>
      <c r="AN2">
        <f t="shared" ref="AN2:AN33" si="0">SUM(AH2+AI2+AL2+AM2)</f>
        <v>0</v>
      </c>
    </row>
    <row r="3" spans="1:44" hidden="1" x14ac:dyDescent="0.2">
      <c r="A3" t="s">
        <v>4155</v>
      </c>
      <c r="B3" t="s">
        <v>4156</v>
      </c>
      <c r="C3">
        <v>1</v>
      </c>
      <c r="D3">
        <v>1</v>
      </c>
      <c r="E3" t="s">
        <v>213</v>
      </c>
      <c r="F3" s="1">
        <v>43685</v>
      </c>
      <c r="G3" t="s">
        <v>4031</v>
      </c>
      <c r="H3" t="s">
        <v>4724</v>
      </c>
      <c r="I3" s="2">
        <v>5.5555555555555552E-2</v>
      </c>
      <c r="J3" s="176">
        <v>9.2592592592592585E-4</v>
      </c>
      <c r="K3" s="6">
        <v>80</v>
      </c>
      <c r="L3" t="s">
        <v>4157</v>
      </c>
      <c r="M3" t="s">
        <v>4158</v>
      </c>
      <c r="N3" t="s">
        <v>102</v>
      </c>
      <c r="O3" t="s">
        <v>23</v>
      </c>
      <c r="P3">
        <v>1</v>
      </c>
      <c r="Q3" t="s">
        <v>176</v>
      </c>
      <c r="R3" t="s">
        <v>176</v>
      </c>
      <c r="S3" t="s">
        <v>176</v>
      </c>
      <c r="T3" t="s">
        <v>176</v>
      </c>
      <c r="U3" t="s">
        <v>4159</v>
      </c>
      <c r="V3" t="s">
        <v>115</v>
      </c>
      <c r="W3" t="s">
        <v>115</v>
      </c>
      <c r="X3" t="s">
        <v>115</v>
      </c>
      <c r="Y3" t="s">
        <v>115</v>
      </c>
      <c r="Z3" t="s">
        <v>115</v>
      </c>
      <c r="AA3" t="s">
        <v>115</v>
      </c>
      <c r="AB3" t="s">
        <v>115</v>
      </c>
      <c r="AC3" t="s">
        <v>115</v>
      </c>
      <c r="AD3" t="s">
        <v>115</v>
      </c>
      <c r="AE3" t="s">
        <v>115</v>
      </c>
      <c r="AF3" t="s">
        <v>115</v>
      </c>
      <c r="AG3" t="s">
        <v>115</v>
      </c>
      <c r="AH3">
        <v>41</v>
      </c>
      <c r="AI3">
        <v>0</v>
      </c>
      <c r="AJ3">
        <v>12</v>
      </c>
      <c r="AK3">
        <v>29</v>
      </c>
      <c r="AL3">
        <v>0</v>
      </c>
      <c r="AM3">
        <v>0</v>
      </c>
      <c r="AN3">
        <f t="shared" si="0"/>
        <v>41</v>
      </c>
      <c r="AO3" t="s">
        <v>16</v>
      </c>
      <c r="AQ3">
        <v>0</v>
      </c>
      <c r="AR3">
        <v>1</v>
      </c>
    </row>
    <row r="4" spans="1:44" x14ac:dyDescent="0.2">
      <c r="A4" t="s">
        <v>4169</v>
      </c>
      <c r="B4" t="s">
        <v>4170</v>
      </c>
      <c r="C4">
        <v>3</v>
      </c>
      <c r="D4">
        <v>1</v>
      </c>
      <c r="E4" t="s">
        <v>2537</v>
      </c>
      <c r="F4" s="1">
        <v>43686</v>
      </c>
      <c r="G4" t="s">
        <v>4031</v>
      </c>
      <c r="H4" t="s">
        <v>4724</v>
      </c>
      <c r="I4" s="2">
        <v>4.8611111111111112E-3</v>
      </c>
      <c r="J4" s="176">
        <v>8.1018518518518516E-5</v>
      </c>
      <c r="K4" s="6">
        <v>7</v>
      </c>
      <c r="L4" t="s">
        <v>1278</v>
      </c>
      <c r="M4" t="s">
        <v>363</v>
      </c>
      <c r="N4" t="s">
        <v>111</v>
      </c>
      <c r="O4" t="s">
        <v>23</v>
      </c>
      <c r="P4">
        <v>0</v>
      </c>
      <c r="Q4">
        <v>1</v>
      </c>
      <c r="R4">
        <v>1</v>
      </c>
      <c r="S4" t="s">
        <v>176</v>
      </c>
      <c r="T4" t="s">
        <v>176</v>
      </c>
      <c r="U4" t="s">
        <v>176</v>
      </c>
      <c r="V4" t="s">
        <v>709</v>
      </c>
      <c r="W4" t="s">
        <v>23</v>
      </c>
      <c r="X4" t="s">
        <v>4004</v>
      </c>
      <c r="Y4" t="s">
        <v>4022</v>
      </c>
      <c r="AA4">
        <v>246</v>
      </c>
      <c r="AB4" t="s">
        <v>176</v>
      </c>
      <c r="AC4" s="19">
        <v>63.731619999999999</v>
      </c>
      <c r="AD4" s="19">
        <v>148.90079</v>
      </c>
      <c r="AE4" t="s">
        <v>115</v>
      </c>
      <c r="AF4" t="s">
        <v>115</v>
      </c>
      <c r="AG4" t="s">
        <v>115</v>
      </c>
      <c r="AH4">
        <v>0</v>
      </c>
      <c r="AI4">
        <v>0</v>
      </c>
      <c r="AJ4">
        <v>0</v>
      </c>
      <c r="AK4">
        <v>0</v>
      </c>
      <c r="AL4">
        <v>0</v>
      </c>
      <c r="AM4">
        <v>0</v>
      </c>
      <c r="AN4">
        <f t="shared" si="0"/>
        <v>0</v>
      </c>
      <c r="AP4" t="s">
        <v>2405</v>
      </c>
    </row>
    <row r="5" spans="1:44" hidden="1" x14ac:dyDescent="0.2">
      <c r="A5" t="s">
        <v>4179</v>
      </c>
      <c r="B5" t="s">
        <v>4180</v>
      </c>
      <c r="C5">
        <v>7</v>
      </c>
      <c r="D5">
        <v>1</v>
      </c>
      <c r="E5" t="s">
        <v>2537</v>
      </c>
      <c r="F5" s="1">
        <v>43686</v>
      </c>
      <c r="G5" t="s">
        <v>4031</v>
      </c>
      <c r="H5" t="s">
        <v>4724</v>
      </c>
      <c r="I5" s="2">
        <v>1.5277777777777777E-2</v>
      </c>
      <c r="J5" s="176">
        <v>2.5462962962962961E-4</v>
      </c>
      <c r="K5" s="6">
        <v>22</v>
      </c>
      <c r="L5" t="s">
        <v>1278</v>
      </c>
      <c r="M5" t="s">
        <v>363</v>
      </c>
      <c r="N5" t="s">
        <v>111</v>
      </c>
      <c r="O5" t="s">
        <v>23</v>
      </c>
      <c r="P5">
        <v>0</v>
      </c>
      <c r="Q5">
        <v>0</v>
      </c>
      <c r="R5">
        <v>1</v>
      </c>
      <c r="S5" t="s">
        <v>176</v>
      </c>
      <c r="T5" t="s">
        <v>176</v>
      </c>
      <c r="U5" t="s">
        <v>176</v>
      </c>
      <c r="V5" t="s">
        <v>4168</v>
      </c>
      <c r="W5" t="s">
        <v>23</v>
      </c>
      <c r="X5" t="s">
        <v>3997</v>
      </c>
      <c r="Y5" t="s">
        <v>4022</v>
      </c>
      <c r="AA5">
        <v>215</v>
      </c>
      <c r="AB5" t="s">
        <v>176</v>
      </c>
      <c r="AC5" s="19">
        <v>63.733350000000002</v>
      </c>
      <c r="AD5" s="19">
        <v>148.89823999999999</v>
      </c>
      <c r="AE5" t="s">
        <v>115</v>
      </c>
      <c r="AF5" t="s">
        <v>115</v>
      </c>
      <c r="AG5" t="s">
        <v>115</v>
      </c>
      <c r="AH5">
        <v>0</v>
      </c>
      <c r="AI5">
        <v>0</v>
      </c>
      <c r="AJ5">
        <v>0</v>
      </c>
      <c r="AK5">
        <v>0</v>
      </c>
      <c r="AL5">
        <v>0</v>
      </c>
      <c r="AM5">
        <v>0</v>
      </c>
      <c r="AN5">
        <f t="shared" si="0"/>
        <v>0</v>
      </c>
    </row>
    <row r="6" spans="1:44" hidden="1" x14ac:dyDescent="0.2">
      <c r="A6" t="s">
        <v>4179</v>
      </c>
      <c r="B6" t="s">
        <v>4180</v>
      </c>
      <c r="C6">
        <v>7</v>
      </c>
      <c r="D6">
        <v>1</v>
      </c>
      <c r="E6" t="s">
        <v>2537</v>
      </c>
      <c r="F6" s="1">
        <v>43686</v>
      </c>
      <c r="G6" t="s">
        <v>4031</v>
      </c>
      <c r="H6" t="s">
        <v>4724</v>
      </c>
      <c r="I6" s="2">
        <v>1.5277777777777777E-2</v>
      </c>
      <c r="J6" s="176">
        <v>2.5462962962962961E-4</v>
      </c>
      <c r="K6" s="6">
        <v>22</v>
      </c>
      <c r="L6" t="s">
        <v>1278</v>
      </c>
      <c r="M6" t="s">
        <v>363</v>
      </c>
      <c r="N6" t="s">
        <v>111</v>
      </c>
      <c r="O6" t="s">
        <v>23</v>
      </c>
      <c r="P6">
        <v>0</v>
      </c>
      <c r="Q6">
        <v>0</v>
      </c>
      <c r="R6">
        <v>1</v>
      </c>
      <c r="S6" t="s">
        <v>176</v>
      </c>
      <c r="T6" t="s">
        <v>176</v>
      </c>
      <c r="U6" t="s">
        <v>176</v>
      </c>
      <c r="V6" t="s">
        <v>939</v>
      </c>
      <c r="W6" t="s">
        <v>23</v>
      </c>
      <c r="X6" t="s">
        <v>3999</v>
      </c>
      <c r="Y6" t="s">
        <v>4022</v>
      </c>
      <c r="AA6">
        <v>215</v>
      </c>
      <c r="AB6" t="s">
        <v>176</v>
      </c>
      <c r="AC6" s="19">
        <v>63.733350000000002</v>
      </c>
      <c r="AD6" s="19">
        <v>148.89823999999999</v>
      </c>
      <c r="AE6" t="s">
        <v>115</v>
      </c>
      <c r="AF6" t="s">
        <v>115</v>
      </c>
      <c r="AG6" t="s">
        <v>115</v>
      </c>
      <c r="AH6">
        <v>0</v>
      </c>
      <c r="AI6">
        <v>0</v>
      </c>
      <c r="AJ6">
        <v>0</v>
      </c>
      <c r="AK6">
        <v>0</v>
      </c>
      <c r="AL6">
        <v>0</v>
      </c>
      <c r="AM6">
        <v>0</v>
      </c>
      <c r="AN6">
        <f t="shared" si="0"/>
        <v>0</v>
      </c>
      <c r="AP6" t="s">
        <v>4181</v>
      </c>
    </row>
    <row r="7" spans="1:44" hidden="1" x14ac:dyDescent="0.2">
      <c r="A7" t="s">
        <v>4166</v>
      </c>
      <c r="B7" t="s">
        <v>4167</v>
      </c>
      <c r="C7">
        <v>2</v>
      </c>
      <c r="D7">
        <v>1</v>
      </c>
      <c r="E7" t="s">
        <v>2537</v>
      </c>
      <c r="F7" s="1">
        <v>43686</v>
      </c>
      <c r="G7" t="s">
        <v>4031</v>
      </c>
      <c r="H7" t="s">
        <v>4724</v>
      </c>
      <c r="I7" s="2">
        <v>1.8749999999999999E-2</v>
      </c>
      <c r="J7" s="176">
        <v>3.1250000000000001E-4</v>
      </c>
      <c r="K7" s="6">
        <v>27</v>
      </c>
      <c r="L7" t="s">
        <v>1278</v>
      </c>
      <c r="M7" t="s">
        <v>363</v>
      </c>
      <c r="N7" t="s">
        <v>111</v>
      </c>
      <c r="O7" t="s">
        <v>23</v>
      </c>
      <c r="P7">
        <v>0</v>
      </c>
      <c r="Q7">
        <v>0</v>
      </c>
      <c r="R7">
        <v>1</v>
      </c>
      <c r="S7" t="s">
        <v>176</v>
      </c>
      <c r="T7" t="s">
        <v>176</v>
      </c>
      <c r="U7" t="s">
        <v>176</v>
      </c>
      <c r="V7" t="s">
        <v>4168</v>
      </c>
      <c r="W7" t="s">
        <v>23</v>
      </c>
      <c r="X7" t="s">
        <v>3997</v>
      </c>
      <c r="Y7" t="s">
        <v>4022</v>
      </c>
      <c r="AA7">
        <v>300</v>
      </c>
      <c r="AB7" t="s">
        <v>176</v>
      </c>
      <c r="AC7" s="19">
        <v>63.733980000000003</v>
      </c>
      <c r="AD7" s="19">
        <v>148.89940000000001</v>
      </c>
      <c r="AE7" t="s">
        <v>115</v>
      </c>
      <c r="AF7" t="s">
        <v>115</v>
      </c>
      <c r="AG7" t="s">
        <v>115</v>
      </c>
      <c r="AH7">
        <v>0</v>
      </c>
      <c r="AI7">
        <v>0</v>
      </c>
      <c r="AJ7">
        <v>0</v>
      </c>
      <c r="AK7">
        <v>0</v>
      </c>
      <c r="AL7">
        <v>0</v>
      </c>
      <c r="AM7">
        <v>0</v>
      </c>
      <c r="AN7">
        <f t="shared" si="0"/>
        <v>0</v>
      </c>
      <c r="AP7" t="s">
        <v>2405</v>
      </c>
    </row>
    <row r="8" spans="1:44" hidden="1" x14ac:dyDescent="0.2">
      <c r="A8" t="s">
        <v>4186</v>
      </c>
      <c r="B8" t="s">
        <v>4187</v>
      </c>
      <c r="C8">
        <v>10</v>
      </c>
      <c r="D8">
        <v>1</v>
      </c>
      <c r="E8" t="s">
        <v>2537</v>
      </c>
      <c r="F8" s="1">
        <v>43686</v>
      </c>
      <c r="G8" t="s">
        <v>4031</v>
      </c>
      <c r="H8" t="s">
        <v>4724</v>
      </c>
      <c r="I8" s="2">
        <v>1.5277777777777777E-2</v>
      </c>
      <c r="J8" s="176">
        <v>2.5462962962962961E-4</v>
      </c>
      <c r="K8" s="6">
        <v>22</v>
      </c>
      <c r="L8" t="s">
        <v>1278</v>
      </c>
      <c r="M8" t="s">
        <v>64</v>
      </c>
      <c r="N8" t="s">
        <v>111</v>
      </c>
      <c r="O8" t="s">
        <v>12</v>
      </c>
      <c r="P8">
        <v>0</v>
      </c>
      <c r="Q8">
        <v>0</v>
      </c>
      <c r="R8">
        <v>1</v>
      </c>
      <c r="S8" t="s">
        <v>176</v>
      </c>
      <c r="T8" t="s">
        <v>176</v>
      </c>
      <c r="U8" t="s">
        <v>176</v>
      </c>
      <c r="V8" t="s">
        <v>4188</v>
      </c>
      <c r="W8" t="s">
        <v>12</v>
      </c>
      <c r="X8" t="s">
        <v>3997</v>
      </c>
      <c r="Y8" t="s">
        <v>4022</v>
      </c>
      <c r="AA8">
        <v>65</v>
      </c>
      <c r="AB8" t="s">
        <v>176</v>
      </c>
      <c r="AC8" s="19">
        <v>63.734540000000003</v>
      </c>
      <c r="AD8" s="19">
        <v>148.89734000000001</v>
      </c>
      <c r="AE8" t="s">
        <v>115</v>
      </c>
      <c r="AF8" s="5" t="s">
        <v>115</v>
      </c>
      <c r="AG8" s="5" t="s">
        <v>115</v>
      </c>
      <c r="AH8">
        <v>0</v>
      </c>
      <c r="AI8">
        <v>0</v>
      </c>
      <c r="AJ8">
        <v>0</v>
      </c>
      <c r="AK8">
        <v>0</v>
      </c>
      <c r="AL8">
        <v>0</v>
      </c>
      <c r="AM8">
        <v>0</v>
      </c>
      <c r="AN8">
        <f t="shared" si="0"/>
        <v>0</v>
      </c>
    </row>
    <row r="9" spans="1:44" hidden="1" x14ac:dyDescent="0.2">
      <c r="A9" t="s">
        <v>4160</v>
      </c>
      <c r="B9" t="s">
        <v>4162</v>
      </c>
      <c r="C9">
        <v>1</v>
      </c>
      <c r="D9">
        <v>1</v>
      </c>
      <c r="E9" t="s">
        <v>2537</v>
      </c>
      <c r="F9" s="1">
        <v>43686</v>
      </c>
      <c r="G9" t="s">
        <v>4031</v>
      </c>
      <c r="H9" t="s">
        <v>4724</v>
      </c>
      <c r="I9" s="2">
        <v>9.0277777777777787E-3</v>
      </c>
      <c r="J9" s="176">
        <v>1.5046296296296297E-4</v>
      </c>
      <c r="K9" s="6">
        <v>13</v>
      </c>
      <c r="L9" t="s">
        <v>1278</v>
      </c>
      <c r="M9" t="s">
        <v>363</v>
      </c>
      <c r="N9" t="s">
        <v>102</v>
      </c>
      <c r="O9" t="s">
        <v>23</v>
      </c>
      <c r="P9">
        <v>1</v>
      </c>
      <c r="Q9" t="s">
        <v>176</v>
      </c>
      <c r="R9">
        <v>0</v>
      </c>
      <c r="S9" t="s">
        <v>176</v>
      </c>
      <c r="T9" t="s">
        <v>176</v>
      </c>
      <c r="U9" t="s">
        <v>4159</v>
      </c>
      <c r="V9" t="s">
        <v>115</v>
      </c>
      <c r="W9" t="s">
        <v>115</v>
      </c>
      <c r="X9" t="s">
        <v>115</v>
      </c>
      <c r="Y9" t="s">
        <v>115</v>
      </c>
      <c r="Z9" t="s">
        <v>115</v>
      </c>
      <c r="AA9" t="s">
        <v>115</v>
      </c>
      <c r="AB9" t="s">
        <v>115</v>
      </c>
      <c r="AC9" t="s">
        <v>115</v>
      </c>
      <c r="AD9" t="s">
        <v>115</v>
      </c>
      <c r="AE9" t="s">
        <v>115</v>
      </c>
      <c r="AF9" t="s">
        <v>115</v>
      </c>
      <c r="AG9" t="s">
        <v>115</v>
      </c>
      <c r="AH9">
        <v>0</v>
      </c>
      <c r="AI9">
        <v>0</v>
      </c>
      <c r="AJ9">
        <v>0</v>
      </c>
      <c r="AK9">
        <v>0</v>
      </c>
      <c r="AL9">
        <v>0</v>
      </c>
      <c r="AM9">
        <v>0</v>
      </c>
      <c r="AN9">
        <f t="shared" si="0"/>
        <v>0</v>
      </c>
      <c r="AP9" t="s">
        <v>2405</v>
      </c>
    </row>
    <row r="10" spans="1:44" hidden="1" x14ac:dyDescent="0.2">
      <c r="A10" t="s">
        <v>4160</v>
      </c>
      <c r="B10" t="s">
        <v>4162</v>
      </c>
      <c r="C10">
        <v>1</v>
      </c>
      <c r="D10">
        <v>2</v>
      </c>
      <c r="E10" t="s">
        <v>2537</v>
      </c>
      <c r="F10" s="1">
        <v>43686</v>
      </c>
      <c r="G10" t="s">
        <v>4031</v>
      </c>
      <c r="H10" t="s">
        <v>4724</v>
      </c>
      <c r="I10" s="2">
        <v>9.0277777777777787E-3</v>
      </c>
      <c r="J10" s="176">
        <v>1.5046296296296297E-4</v>
      </c>
      <c r="K10" s="6">
        <v>13</v>
      </c>
      <c r="L10" t="s">
        <v>1278</v>
      </c>
      <c r="M10" t="s">
        <v>363</v>
      </c>
      <c r="N10" t="s">
        <v>102</v>
      </c>
      <c r="O10" t="s">
        <v>23</v>
      </c>
      <c r="P10">
        <v>1</v>
      </c>
      <c r="Q10" t="s">
        <v>176</v>
      </c>
      <c r="R10">
        <v>0</v>
      </c>
      <c r="S10" t="s">
        <v>176</v>
      </c>
      <c r="T10" t="s">
        <v>176</v>
      </c>
      <c r="U10" t="s">
        <v>176</v>
      </c>
      <c r="V10" t="s">
        <v>115</v>
      </c>
      <c r="W10" t="s">
        <v>115</v>
      </c>
      <c r="X10" t="s">
        <v>115</v>
      </c>
      <c r="Y10" t="s">
        <v>115</v>
      </c>
      <c r="Z10" t="s">
        <v>115</v>
      </c>
      <c r="AA10" t="s">
        <v>115</v>
      </c>
      <c r="AB10" t="s">
        <v>115</v>
      </c>
      <c r="AC10" t="s">
        <v>115</v>
      </c>
      <c r="AD10" t="s">
        <v>115</v>
      </c>
      <c r="AE10" t="s">
        <v>115</v>
      </c>
      <c r="AF10" t="s">
        <v>115</v>
      </c>
      <c r="AG10" t="s">
        <v>115</v>
      </c>
      <c r="AH10">
        <v>0</v>
      </c>
      <c r="AI10">
        <v>0</v>
      </c>
      <c r="AJ10">
        <v>0</v>
      </c>
      <c r="AK10">
        <v>0</v>
      </c>
      <c r="AL10">
        <v>0</v>
      </c>
      <c r="AM10">
        <v>0</v>
      </c>
      <c r="AN10">
        <f t="shared" si="0"/>
        <v>0</v>
      </c>
      <c r="AP10" t="s">
        <v>2405</v>
      </c>
    </row>
    <row r="11" spans="1:44" hidden="1" x14ac:dyDescent="0.2">
      <c r="A11" t="s">
        <v>4177</v>
      </c>
      <c r="B11" t="s">
        <v>4178</v>
      </c>
      <c r="C11">
        <v>6</v>
      </c>
      <c r="D11">
        <v>1</v>
      </c>
      <c r="E11" t="s">
        <v>2537</v>
      </c>
      <c r="F11" s="1">
        <v>43686</v>
      </c>
      <c r="G11" t="s">
        <v>4031</v>
      </c>
      <c r="H11" t="s">
        <v>4724</v>
      </c>
      <c r="I11" s="2">
        <v>2.361111111111111E-2</v>
      </c>
      <c r="J11" s="176">
        <v>3.9351851851851852E-4</v>
      </c>
      <c r="K11" s="6">
        <v>34</v>
      </c>
      <c r="L11" t="s">
        <v>1278</v>
      </c>
      <c r="M11" t="s">
        <v>363</v>
      </c>
      <c r="N11" t="s">
        <v>102</v>
      </c>
      <c r="O11" t="s">
        <v>23</v>
      </c>
      <c r="P11">
        <v>1</v>
      </c>
      <c r="Q11" t="s">
        <v>176</v>
      </c>
      <c r="R11">
        <v>0</v>
      </c>
      <c r="S11" t="s">
        <v>176</v>
      </c>
      <c r="T11" t="s">
        <v>176</v>
      </c>
      <c r="U11" t="s">
        <v>333</v>
      </c>
      <c r="V11" t="s">
        <v>115</v>
      </c>
      <c r="W11" t="s">
        <v>115</v>
      </c>
      <c r="X11" t="s">
        <v>115</v>
      </c>
      <c r="Y11" t="s">
        <v>115</v>
      </c>
      <c r="Z11" t="s">
        <v>115</v>
      </c>
      <c r="AA11" t="s">
        <v>115</v>
      </c>
      <c r="AB11" t="s">
        <v>115</v>
      </c>
      <c r="AC11" t="s">
        <v>115</v>
      </c>
      <c r="AD11" t="s">
        <v>115</v>
      </c>
      <c r="AE11" t="s">
        <v>115</v>
      </c>
      <c r="AF11" t="s">
        <v>115</v>
      </c>
      <c r="AG11" t="s">
        <v>115</v>
      </c>
      <c r="AH11">
        <v>0</v>
      </c>
      <c r="AI11">
        <v>10</v>
      </c>
      <c r="AJ11">
        <v>10</v>
      </c>
      <c r="AK11">
        <v>0</v>
      </c>
      <c r="AL11">
        <v>3</v>
      </c>
      <c r="AM11">
        <v>0</v>
      </c>
      <c r="AN11">
        <f t="shared" si="0"/>
        <v>13</v>
      </c>
    </row>
    <row r="12" spans="1:44" hidden="1" x14ac:dyDescent="0.2">
      <c r="A12" t="s">
        <v>4182</v>
      </c>
      <c r="B12" t="s">
        <v>4183</v>
      </c>
      <c r="C12">
        <v>8</v>
      </c>
      <c r="D12">
        <v>1</v>
      </c>
      <c r="E12" t="s">
        <v>2537</v>
      </c>
      <c r="F12" s="1">
        <v>43686</v>
      </c>
      <c r="G12" t="s">
        <v>4031</v>
      </c>
      <c r="H12" t="s">
        <v>4724</v>
      </c>
      <c r="I12" s="2">
        <v>2.2222222222222223E-2</v>
      </c>
      <c r="J12" s="176">
        <v>3.7037037037037035E-4</v>
      </c>
      <c r="K12" s="6">
        <v>32</v>
      </c>
      <c r="L12" t="s">
        <v>1278</v>
      </c>
      <c r="M12" t="s">
        <v>64</v>
      </c>
      <c r="N12" t="s">
        <v>102</v>
      </c>
      <c r="O12" t="s">
        <v>115</v>
      </c>
      <c r="P12">
        <v>1</v>
      </c>
      <c r="Q12">
        <v>0</v>
      </c>
      <c r="R12">
        <v>0</v>
      </c>
      <c r="S12" t="s">
        <v>176</v>
      </c>
      <c r="T12" t="s">
        <v>176</v>
      </c>
      <c r="U12" t="s">
        <v>122</v>
      </c>
      <c r="V12" s="5" t="s">
        <v>115</v>
      </c>
      <c r="W12" s="5" t="s">
        <v>115</v>
      </c>
      <c r="X12" s="5" t="s">
        <v>115</v>
      </c>
      <c r="Y12" s="5" t="s">
        <v>115</v>
      </c>
      <c r="Z12" s="5" t="s">
        <v>115</v>
      </c>
      <c r="AA12" s="5" t="s">
        <v>115</v>
      </c>
      <c r="AB12" s="5" t="s">
        <v>115</v>
      </c>
      <c r="AC12" s="5" t="s">
        <v>115</v>
      </c>
      <c r="AD12" s="5" t="s">
        <v>115</v>
      </c>
      <c r="AE12" s="5" t="s">
        <v>115</v>
      </c>
      <c r="AF12" s="5" t="s">
        <v>115</v>
      </c>
      <c r="AG12" s="5" t="s">
        <v>115</v>
      </c>
      <c r="AH12">
        <v>0</v>
      </c>
      <c r="AI12">
        <v>0</v>
      </c>
      <c r="AJ12">
        <v>0</v>
      </c>
      <c r="AK12">
        <v>0</v>
      </c>
      <c r="AL12">
        <v>4</v>
      </c>
      <c r="AM12">
        <v>0</v>
      </c>
      <c r="AN12">
        <f t="shared" si="0"/>
        <v>4</v>
      </c>
    </row>
    <row r="13" spans="1:44" hidden="1" x14ac:dyDescent="0.2">
      <c r="A13" t="s">
        <v>4184</v>
      </c>
      <c r="B13" t="s">
        <v>4185</v>
      </c>
      <c r="C13">
        <v>9</v>
      </c>
      <c r="D13">
        <v>1</v>
      </c>
      <c r="E13" t="s">
        <v>2537</v>
      </c>
      <c r="F13" s="1">
        <v>43686</v>
      </c>
      <c r="G13" t="s">
        <v>4031</v>
      </c>
      <c r="H13" t="s">
        <v>4724</v>
      </c>
      <c r="I13" s="2">
        <v>1.5972222222222224E-2</v>
      </c>
      <c r="J13" s="176">
        <v>2.6620370370370372E-4</v>
      </c>
      <c r="K13" s="6">
        <v>23</v>
      </c>
      <c r="L13" t="s">
        <v>1278</v>
      </c>
      <c r="M13" t="s">
        <v>64</v>
      </c>
      <c r="N13" t="s">
        <v>102</v>
      </c>
      <c r="O13" t="s">
        <v>23</v>
      </c>
      <c r="P13">
        <v>1</v>
      </c>
      <c r="Q13" t="s">
        <v>176</v>
      </c>
      <c r="R13" t="s">
        <v>176</v>
      </c>
      <c r="S13" t="s">
        <v>176</v>
      </c>
      <c r="T13" t="s">
        <v>176</v>
      </c>
      <c r="U13" t="s">
        <v>333</v>
      </c>
      <c r="W13" s="5" t="s">
        <v>115</v>
      </c>
      <c r="X13" s="5" t="s">
        <v>115</v>
      </c>
      <c r="Y13" s="5" t="s">
        <v>115</v>
      </c>
      <c r="Z13" s="5" t="s">
        <v>115</v>
      </c>
      <c r="AA13" s="5" t="s">
        <v>115</v>
      </c>
      <c r="AB13" s="5" t="s">
        <v>115</v>
      </c>
      <c r="AC13" s="5" t="s">
        <v>115</v>
      </c>
      <c r="AD13" s="5" t="s">
        <v>115</v>
      </c>
      <c r="AE13" s="5" t="s">
        <v>115</v>
      </c>
      <c r="AF13" s="5" t="s">
        <v>115</v>
      </c>
      <c r="AG13" s="5" t="s">
        <v>115</v>
      </c>
      <c r="AH13">
        <v>0</v>
      </c>
      <c r="AI13">
        <v>3</v>
      </c>
      <c r="AJ13">
        <v>3</v>
      </c>
      <c r="AK13">
        <v>0</v>
      </c>
      <c r="AL13">
        <v>0</v>
      </c>
      <c r="AM13">
        <v>0</v>
      </c>
      <c r="AN13">
        <f t="shared" si="0"/>
        <v>3</v>
      </c>
    </row>
    <row r="14" spans="1:44" hidden="1" x14ac:dyDescent="0.2">
      <c r="A14" t="s">
        <v>4173</v>
      </c>
      <c r="B14" t="s">
        <v>4174</v>
      </c>
      <c r="C14">
        <v>5</v>
      </c>
      <c r="D14">
        <v>1</v>
      </c>
      <c r="E14" t="s">
        <v>2537</v>
      </c>
      <c r="F14" s="1">
        <v>43686</v>
      </c>
      <c r="G14" t="s">
        <v>4031</v>
      </c>
      <c r="H14" t="s">
        <v>4724</v>
      </c>
      <c r="I14" s="2">
        <v>4.1666666666666666E-3</v>
      </c>
      <c r="J14" s="176">
        <v>6.9444444444444444E-5</v>
      </c>
      <c r="K14" s="6">
        <v>6</v>
      </c>
      <c r="L14" t="s">
        <v>1278</v>
      </c>
      <c r="M14" t="s">
        <v>64</v>
      </c>
      <c r="N14" t="s">
        <v>111</v>
      </c>
      <c r="O14" t="s">
        <v>23</v>
      </c>
      <c r="P14">
        <v>1</v>
      </c>
      <c r="Q14">
        <v>0</v>
      </c>
      <c r="R14">
        <v>0</v>
      </c>
      <c r="S14" t="s">
        <v>112</v>
      </c>
      <c r="T14" t="s">
        <v>2466</v>
      </c>
      <c r="U14" t="s">
        <v>4175</v>
      </c>
      <c r="V14" t="s">
        <v>115</v>
      </c>
      <c r="W14" t="s">
        <v>115</v>
      </c>
      <c r="X14" t="s">
        <v>115</v>
      </c>
      <c r="Y14" t="s">
        <v>115</v>
      </c>
      <c r="Z14" t="s">
        <v>115</v>
      </c>
      <c r="AA14" t="s">
        <v>115</v>
      </c>
      <c r="AB14" t="s">
        <v>115</v>
      </c>
      <c r="AC14" t="s">
        <v>115</v>
      </c>
      <c r="AD14" t="s">
        <v>115</v>
      </c>
      <c r="AE14" t="s">
        <v>115</v>
      </c>
      <c r="AF14" t="s">
        <v>115</v>
      </c>
      <c r="AG14" t="s">
        <v>115</v>
      </c>
      <c r="AH14">
        <v>0</v>
      </c>
      <c r="AI14">
        <v>0</v>
      </c>
      <c r="AJ14">
        <v>0</v>
      </c>
      <c r="AK14">
        <v>0</v>
      </c>
      <c r="AL14">
        <v>0</v>
      </c>
      <c r="AM14">
        <v>0</v>
      </c>
      <c r="AN14">
        <f t="shared" si="0"/>
        <v>0</v>
      </c>
      <c r="AP14" t="s">
        <v>4176</v>
      </c>
    </row>
    <row r="15" spans="1:44" hidden="1" x14ac:dyDescent="0.2">
      <c r="A15" t="s">
        <v>4171</v>
      </c>
      <c r="B15" t="s">
        <v>4172</v>
      </c>
      <c r="C15">
        <v>4</v>
      </c>
      <c r="D15">
        <v>1</v>
      </c>
      <c r="E15" t="s">
        <v>2537</v>
      </c>
      <c r="F15" s="1">
        <v>43686</v>
      </c>
      <c r="G15" t="s">
        <v>4031</v>
      </c>
      <c r="H15" t="s">
        <v>4724</v>
      </c>
      <c r="I15" s="2">
        <v>1.8055555555555557E-2</v>
      </c>
      <c r="J15" s="176">
        <v>3.0092592592592595E-4</v>
      </c>
      <c r="K15" s="6">
        <v>26</v>
      </c>
      <c r="L15" t="s">
        <v>1278</v>
      </c>
      <c r="M15" t="s">
        <v>64</v>
      </c>
      <c r="N15" t="s">
        <v>111</v>
      </c>
      <c r="O15" t="s">
        <v>23</v>
      </c>
      <c r="P15">
        <v>2</v>
      </c>
      <c r="Q15">
        <v>0</v>
      </c>
      <c r="R15">
        <v>0</v>
      </c>
      <c r="S15" t="s">
        <v>1618</v>
      </c>
      <c r="T15" t="s">
        <v>176</v>
      </c>
      <c r="U15" t="s">
        <v>1619</v>
      </c>
      <c r="V15" t="s">
        <v>115</v>
      </c>
      <c r="W15" t="s">
        <v>115</v>
      </c>
      <c r="X15" t="s">
        <v>115</v>
      </c>
      <c r="Y15" t="s">
        <v>115</v>
      </c>
      <c r="Z15" t="s">
        <v>115</v>
      </c>
      <c r="AA15" t="s">
        <v>115</v>
      </c>
      <c r="AB15" t="s">
        <v>115</v>
      </c>
      <c r="AC15" t="s">
        <v>115</v>
      </c>
      <c r="AD15" t="s">
        <v>115</v>
      </c>
      <c r="AE15" t="s">
        <v>115</v>
      </c>
      <c r="AF15" t="s">
        <v>115</v>
      </c>
      <c r="AG15" t="s">
        <v>115</v>
      </c>
      <c r="AH15">
        <v>0</v>
      </c>
      <c r="AI15">
        <v>0</v>
      </c>
      <c r="AJ15">
        <v>0</v>
      </c>
      <c r="AK15">
        <v>0</v>
      </c>
      <c r="AL15">
        <v>0</v>
      </c>
      <c r="AM15">
        <v>17</v>
      </c>
      <c r="AN15">
        <f t="shared" si="0"/>
        <v>17</v>
      </c>
    </row>
    <row r="16" spans="1:44" hidden="1" x14ac:dyDescent="0.2">
      <c r="A16" t="s">
        <v>4233</v>
      </c>
      <c r="B16" t="s">
        <v>4234</v>
      </c>
      <c r="C16">
        <v>2</v>
      </c>
      <c r="D16">
        <v>1</v>
      </c>
      <c r="E16" t="s">
        <v>138</v>
      </c>
      <c r="F16" s="1">
        <v>43687</v>
      </c>
      <c r="G16" t="s">
        <v>4031</v>
      </c>
      <c r="H16" t="s">
        <v>4724</v>
      </c>
      <c r="I16" s="2">
        <v>3.2638888888888891E-2</v>
      </c>
      <c r="J16" s="176">
        <v>5.4398148148148144E-4</v>
      </c>
      <c r="K16" s="6">
        <v>47</v>
      </c>
      <c r="L16" t="s">
        <v>398</v>
      </c>
      <c r="M16" t="s">
        <v>4232</v>
      </c>
      <c r="N16" t="s">
        <v>4235</v>
      </c>
      <c r="O16" t="s">
        <v>23</v>
      </c>
      <c r="P16">
        <v>0</v>
      </c>
      <c r="Q16">
        <v>0</v>
      </c>
      <c r="R16">
        <v>1</v>
      </c>
      <c r="S16" t="s">
        <v>176</v>
      </c>
      <c r="T16" t="s">
        <v>176</v>
      </c>
      <c r="U16" t="s">
        <v>176</v>
      </c>
      <c r="V16" t="s">
        <v>4236</v>
      </c>
      <c r="W16" t="s">
        <v>23</v>
      </c>
      <c r="X16" t="s">
        <v>3997</v>
      </c>
      <c r="Y16" t="s">
        <v>2179</v>
      </c>
      <c r="AA16">
        <v>335</v>
      </c>
      <c r="AB16" t="s">
        <v>176</v>
      </c>
      <c r="AC16" s="19">
        <v>63.723979999999997</v>
      </c>
      <c r="AD16" s="19">
        <v>148.95451</v>
      </c>
      <c r="AE16" t="s">
        <v>115</v>
      </c>
      <c r="AF16" t="s">
        <v>115</v>
      </c>
      <c r="AG16" t="s">
        <v>115</v>
      </c>
      <c r="AH16">
        <v>11</v>
      </c>
      <c r="AI16">
        <v>0</v>
      </c>
      <c r="AJ16">
        <v>11</v>
      </c>
      <c r="AK16">
        <v>0</v>
      </c>
      <c r="AL16">
        <v>0</v>
      </c>
      <c r="AM16">
        <v>0</v>
      </c>
      <c r="AN16">
        <f t="shared" si="0"/>
        <v>11</v>
      </c>
    </row>
    <row r="17" spans="1:42" hidden="1" x14ac:dyDescent="0.2">
      <c r="A17" t="s">
        <v>4237</v>
      </c>
      <c r="B17" t="s">
        <v>4238</v>
      </c>
      <c r="C17">
        <v>3</v>
      </c>
      <c r="D17">
        <v>1</v>
      </c>
      <c r="E17" t="s">
        <v>138</v>
      </c>
      <c r="F17" s="1">
        <v>43687</v>
      </c>
      <c r="G17" t="s">
        <v>4031</v>
      </c>
      <c r="H17" t="s">
        <v>4724</v>
      </c>
      <c r="I17" s="2">
        <v>9.7222222222222224E-3</v>
      </c>
      <c r="J17" s="176">
        <v>1.6203703703703703E-4</v>
      </c>
      <c r="K17" s="6">
        <v>14</v>
      </c>
      <c r="L17" t="s">
        <v>398</v>
      </c>
      <c r="M17" t="s">
        <v>4232</v>
      </c>
      <c r="N17" t="s">
        <v>111</v>
      </c>
      <c r="O17" t="s">
        <v>23</v>
      </c>
      <c r="P17">
        <v>0</v>
      </c>
      <c r="Q17">
        <v>0</v>
      </c>
      <c r="R17">
        <v>1</v>
      </c>
      <c r="S17" t="s">
        <v>176</v>
      </c>
      <c r="T17" t="s">
        <v>176</v>
      </c>
      <c r="U17" t="s">
        <v>176</v>
      </c>
      <c r="V17" t="s">
        <v>4236</v>
      </c>
      <c r="W17" t="s">
        <v>23</v>
      </c>
      <c r="X17" t="s">
        <v>3997</v>
      </c>
      <c r="Y17" t="s">
        <v>2179</v>
      </c>
      <c r="AA17">
        <v>24</v>
      </c>
      <c r="AB17" t="s">
        <v>176</v>
      </c>
      <c r="AC17" s="19">
        <v>63.724029999999999</v>
      </c>
      <c r="AD17" s="19">
        <v>148.95576</v>
      </c>
      <c r="AE17" t="s">
        <v>115</v>
      </c>
      <c r="AF17" t="s">
        <v>115</v>
      </c>
      <c r="AG17" t="s">
        <v>115</v>
      </c>
      <c r="AH17">
        <v>0</v>
      </c>
      <c r="AI17">
        <v>0</v>
      </c>
      <c r="AJ17">
        <v>0</v>
      </c>
      <c r="AK17">
        <v>0</v>
      </c>
      <c r="AL17">
        <v>0</v>
      </c>
      <c r="AM17">
        <v>0</v>
      </c>
      <c r="AN17">
        <f t="shared" si="0"/>
        <v>0</v>
      </c>
    </row>
    <row r="18" spans="1:42" hidden="1" x14ac:dyDescent="0.2">
      <c r="A18" t="s">
        <v>4219</v>
      </c>
      <c r="B18" t="s">
        <v>4220</v>
      </c>
      <c r="C18">
        <v>2</v>
      </c>
      <c r="D18">
        <v>1</v>
      </c>
      <c r="E18" t="s">
        <v>140</v>
      </c>
      <c r="F18" s="1">
        <v>43687</v>
      </c>
      <c r="G18" t="s">
        <v>4031</v>
      </c>
      <c r="H18" t="s">
        <v>4724</v>
      </c>
      <c r="I18" s="2">
        <v>3.2638888888888891E-2</v>
      </c>
      <c r="J18" s="176">
        <v>5.4398148148148144E-4</v>
      </c>
      <c r="K18" s="6">
        <v>47</v>
      </c>
      <c r="L18" t="s">
        <v>398</v>
      </c>
      <c r="M18" t="s">
        <v>149</v>
      </c>
      <c r="N18" t="s">
        <v>111</v>
      </c>
      <c r="O18" t="s">
        <v>23</v>
      </c>
      <c r="P18">
        <v>1</v>
      </c>
      <c r="Q18">
        <v>0</v>
      </c>
      <c r="R18">
        <v>1</v>
      </c>
      <c r="S18" t="s">
        <v>176</v>
      </c>
      <c r="T18" t="s">
        <v>176</v>
      </c>
      <c r="U18" t="s">
        <v>176</v>
      </c>
      <c r="V18" t="s">
        <v>2300</v>
      </c>
      <c r="W18" t="s">
        <v>23</v>
      </c>
      <c r="X18" t="s">
        <v>3997</v>
      </c>
      <c r="Y18" t="s">
        <v>4006</v>
      </c>
      <c r="AA18">
        <v>352</v>
      </c>
      <c r="AB18" t="s">
        <v>176</v>
      </c>
      <c r="AC18" s="19">
        <v>63.724060000000001</v>
      </c>
      <c r="AD18" s="19">
        <v>148.94916000000001</v>
      </c>
      <c r="AE18" t="s">
        <v>115</v>
      </c>
      <c r="AF18" t="s">
        <v>115</v>
      </c>
      <c r="AG18" t="s">
        <v>115</v>
      </c>
      <c r="AH18">
        <v>0</v>
      </c>
      <c r="AI18">
        <v>0</v>
      </c>
      <c r="AJ18">
        <v>0</v>
      </c>
      <c r="AK18">
        <v>0</v>
      </c>
      <c r="AL18">
        <v>0</v>
      </c>
      <c r="AM18">
        <v>0</v>
      </c>
      <c r="AN18">
        <f t="shared" si="0"/>
        <v>0</v>
      </c>
    </row>
    <row r="19" spans="1:42" hidden="1" x14ac:dyDescent="0.2">
      <c r="A19" t="s">
        <v>4227</v>
      </c>
      <c r="B19" t="s">
        <v>4228</v>
      </c>
      <c r="C19">
        <v>5</v>
      </c>
      <c r="D19">
        <v>1</v>
      </c>
      <c r="E19" t="s">
        <v>140</v>
      </c>
      <c r="F19" s="1">
        <v>43687</v>
      </c>
      <c r="G19" t="s">
        <v>4031</v>
      </c>
      <c r="H19" t="s">
        <v>4724</v>
      </c>
      <c r="I19" s="2">
        <v>3.8194444444444441E-2</v>
      </c>
      <c r="J19" s="176">
        <v>6.3657407407407402E-4</v>
      </c>
      <c r="K19" s="6">
        <v>55</v>
      </c>
      <c r="L19" t="s">
        <v>398</v>
      </c>
      <c r="M19" t="s">
        <v>4226</v>
      </c>
      <c r="N19" t="s">
        <v>102</v>
      </c>
      <c r="O19" t="s">
        <v>23</v>
      </c>
      <c r="P19">
        <v>1</v>
      </c>
      <c r="Q19">
        <v>0</v>
      </c>
      <c r="R19">
        <v>1</v>
      </c>
      <c r="S19" t="s">
        <v>176</v>
      </c>
      <c r="T19" t="s">
        <v>176</v>
      </c>
      <c r="U19" t="s">
        <v>176</v>
      </c>
      <c r="V19" t="s">
        <v>939</v>
      </c>
      <c r="W19" t="s">
        <v>23</v>
      </c>
      <c r="X19" t="s">
        <v>3999</v>
      </c>
      <c r="Y19" t="s">
        <v>4022</v>
      </c>
      <c r="AA19">
        <v>250</v>
      </c>
      <c r="AB19" t="s">
        <v>176</v>
      </c>
      <c r="AC19" s="19">
        <v>63.724339999999998</v>
      </c>
      <c r="AD19" s="19">
        <v>148.94852</v>
      </c>
      <c r="AE19" t="s">
        <v>115</v>
      </c>
      <c r="AF19" t="s">
        <v>115</v>
      </c>
      <c r="AG19" t="s">
        <v>115</v>
      </c>
      <c r="AH19">
        <v>0</v>
      </c>
      <c r="AI19">
        <v>0</v>
      </c>
      <c r="AJ19">
        <v>0</v>
      </c>
      <c r="AK19">
        <v>0</v>
      </c>
      <c r="AL19">
        <v>0</v>
      </c>
      <c r="AM19">
        <v>0</v>
      </c>
      <c r="AN19">
        <f t="shared" si="0"/>
        <v>0</v>
      </c>
      <c r="AP19" t="s">
        <v>4229</v>
      </c>
    </row>
    <row r="20" spans="1:42" hidden="1" x14ac:dyDescent="0.2">
      <c r="A20" t="s">
        <v>4195</v>
      </c>
      <c r="B20" t="s">
        <v>4196</v>
      </c>
      <c r="C20">
        <v>3</v>
      </c>
      <c r="D20">
        <v>1</v>
      </c>
      <c r="E20" t="s">
        <v>4191</v>
      </c>
      <c r="F20" s="1">
        <v>43687</v>
      </c>
      <c r="G20" t="s">
        <v>4031</v>
      </c>
      <c r="H20" t="s">
        <v>4724</v>
      </c>
      <c r="I20" s="2">
        <v>8.3333333333333332E-3</v>
      </c>
      <c r="J20" s="176">
        <v>1.3888888888888889E-4</v>
      </c>
      <c r="K20" s="6">
        <v>12</v>
      </c>
      <c r="L20" t="s">
        <v>398</v>
      </c>
      <c r="M20" t="s">
        <v>241</v>
      </c>
      <c r="N20" t="s">
        <v>111</v>
      </c>
      <c r="O20" t="s">
        <v>23</v>
      </c>
      <c r="P20">
        <v>0</v>
      </c>
      <c r="Q20">
        <v>0</v>
      </c>
      <c r="R20">
        <v>1</v>
      </c>
      <c r="S20" t="s">
        <v>176</v>
      </c>
      <c r="T20" t="s">
        <v>176</v>
      </c>
      <c r="U20" t="s">
        <v>176</v>
      </c>
      <c r="V20" t="s">
        <v>709</v>
      </c>
      <c r="W20" t="s">
        <v>23</v>
      </c>
      <c r="X20" t="s">
        <v>4004</v>
      </c>
      <c r="Y20" t="s">
        <v>4022</v>
      </c>
      <c r="AA20">
        <v>302</v>
      </c>
      <c r="AB20" t="s">
        <v>176</v>
      </c>
      <c r="AC20" s="19">
        <v>63.739220000000003</v>
      </c>
      <c r="AD20" s="19">
        <v>148.90398999999999</v>
      </c>
      <c r="AE20" t="s">
        <v>115</v>
      </c>
      <c r="AF20" t="s">
        <v>115</v>
      </c>
      <c r="AG20" t="s">
        <v>115</v>
      </c>
      <c r="AH20">
        <v>0</v>
      </c>
      <c r="AI20">
        <v>0</v>
      </c>
      <c r="AJ20">
        <v>0</v>
      </c>
      <c r="AK20">
        <v>0</v>
      </c>
      <c r="AL20">
        <v>0</v>
      </c>
      <c r="AM20">
        <v>0</v>
      </c>
      <c r="AN20">
        <f t="shared" si="0"/>
        <v>0</v>
      </c>
    </row>
    <row r="21" spans="1:42" hidden="1" x14ac:dyDescent="0.2">
      <c r="A21" t="s">
        <v>4207</v>
      </c>
      <c r="B21" t="s">
        <v>4208</v>
      </c>
      <c r="C21">
        <v>8</v>
      </c>
      <c r="D21">
        <v>1</v>
      </c>
      <c r="E21" t="s">
        <v>4191</v>
      </c>
      <c r="F21" s="1">
        <v>43687</v>
      </c>
      <c r="G21" t="s">
        <v>4031</v>
      </c>
      <c r="H21" t="s">
        <v>4724</v>
      </c>
      <c r="I21" s="2">
        <v>1.5972222222222224E-2</v>
      </c>
      <c r="J21" s="176">
        <v>2.6620370370370372E-4</v>
      </c>
      <c r="K21" s="6">
        <v>23</v>
      </c>
      <c r="L21" t="s">
        <v>398</v>
      </c>
      <c r="M21" t="s">
        <v>241</v>
      </c>
      <c r="N21" t="s">
        <v>111</v>
      </c>
      <c r="O21" t="s">
        <v>23</v>
      </c>
      <c r="P21">
        <v>1</v>
      </c>
      <c r="Q21">
        <v>0</v>
      </c>
      <c r="R21">
        <v>1</v>
      </c>
      <c r="S21" t="s">
        <v>176</v>
      </c>
      <c r="T21" t="s">
        <v>176</v>
      </c>
      <c r="U21" t="s">
        <v>4192</v>
      </c>
      <c r="V21" t="s">
        <v>2301</v>
      </c>
      <c r="W21" t="s">
        <v>23</v>
      </c>
      <c r="X21" t="s">
        <v>3999</v>
      </c>
      <c r="Y21" t="s">
        <v>4006</v>
      </c>
      <c r="AA21">
        <v>30</v>
      </c>
      <c r="AB21">
        <v>10</v>
      </c>
      <c r="AC21" s="19">
        <v>63.739519999999999</v>
      </c>
      <c r="AD21" s="19">
        <v>148.89788999999999</v>
      </c>
      <c r="AE21" t="s">
        <v>115</v>
      </c>
      <c r="AF21" t="s">
        <v>115</v>
      </c>
      <c r="AG21" t="s">
        <v>115</v>
      </c>
      <c r="AH21">
        <v>12</v>
      </c>
      <c r="AI21">
        <v>0</v>
      </c>
      <c r="AJ21">
        <v>12</v>
      </c>
      <c r="AK21">
        <v>0</v>
      </c>
      <c r="AL21">
        <v>0</v>
      </c>
      <c r="AM21">
        <v>0</v>
      </c>
      <c r="AN21">
        <f t="shared" si="0"/>
        <v>12</v>
      </c>
    </row>
    <row r="22" spans="1:42" hidden="1" x14ac:dyDescent="0.2">
      <c r="A22" t="s">
        <v>4209</v>
      </c>
      <c r="B22" t="s">
        <v>4210</v>
      </c>
      <c r="C22">
        <v>9</v>
      </c>
      <c r="D22">
        <v>1</v>
      </c>
      <c r="E22" t="s">
        <v>4191</v>
      </c>
      <c r="F22" s="1">
        <v>43687</v>
      </c>
      <c r="G22" t="s">
        <v>4031</v>
      </c>
      <c r="H22" t="s">
        <v>4724</v>
      </c>
      <c r="I22" s="2">
        <v>3.5416666666666666E-2</v>
      </c>
      <c r="J22" s="176">
        <v>5.9027777777777778E-4</v>
      </c>
      <c r="K22" s="6">
        <v>51</v>
      </c>
      <c r="L22" t="s">
        <v>398</v>
      </c>
      <c r="M22" t="s">
        <v>241</v>
      </c>
      <c r="N22" t="s">
        <v>111</v>
      </c>
      <c r="O22" t="s">
        <v>23</v>
      </c>
      <c r="P22">
        <v>0</v>
      </c>
      <c r="Q22">
        <v>0</v>
      </c>
      <c r="R22">
        <v>1</v>
      </c>
      <c r="S22" t="s">
        <v>176</v>
      </c>
      <c r="T22" t="s">
        <v>176</v>
      </c>
      <c r="U22" t="s">
        <v>115</v>
      </c>
      <c r="V22" t="s">
        <v>4168</v>
      </c>
      <c r="W22" t="s">
        <v>23</v>
      </c>
      <c r="X22" t="s">
        <v>3997</v>
      </c>
      <c r="Y22" t="s">
        <v>4022</v>
      </c>
      <c r="AA22">
        <v>123</v>
      </c>
      <c r="AB22">
        <v>10</v>
      </c>
      <c r="AC22" s="19">
        <v>63.739519999999999</v>
      </c>
      <c r="AD22" s="19">
        <v>148.89788999999999</v>
      </c>
      <c r="AE22" t="s">
        <v>115</v>
      </c>
      <c r="AF22" t="s">
        <v>115</v>
      </c>
      <c r="AG22" t="s">
        <v>115</v>
      </c>
      <c r="AH22">
        <v>0</v>
      </c>
      <c r="AI22">
        <v>0</v>
      </c>
      <c r="AJ22">
        <v>0</v>
      </c>
      <c r="AK22">
        <v>0</v>
      </c>
      <c r="AL22">
        <v>0</v>
      </c>
      <c r="AM22">
        <v>0</v>
      </c>
      <c r="AN22">
        <f t="shared" si="0"/>
        <v>0</v>
      </c>
    </row>
    <row r="23" spans="1:42" hidden="1" x14ac:dyDescent="0.2">
      <c r="A23" t="s">
        <v>4209</v>
      </c>
      <c r="B23" t="s">
        <v>4210</v>
      </c>
      <c r="C23">
        <v>9</v>
      </c>
      <c r="D23">
        <v>2</v>
      </c>
      <c r="E23" t="s">
        <v>4191</v>
      </c>
      <c r="F23" s="1">
        <v>43687</v>
      </c>
      <c r="G23" t="s">
        <v>4031</v>
      </c>
      <c r="H23" t="s">
        <v>4724</v>
      </c>
      <c r="I23" s="2">
        <v>3.5416666666666666E-2</v>
      </c>
      <c r="J23" s="176">
        <v>5.9027777777777778E-4</v>
      </c>
      <c r="K23" s="6">
        <v>51</v>
      </c>
      <c r="L23" t="s">
        <v>398</v>
      </c>
      <c r="M23" t="s">
        <v>241</v>
      </c>
      <c r="N23" t="s">
        <v>111</v>
      </c>
      <c r="O23" t="s">
        <v>23</v>
      </c>
      <c r="P23">
        <v>0</v>
      </c>
      <c r="Q23">
        <v>0</v>
      </c>
      <c r="R23">
        <v>1</v>
      </c>
      <c r="S23" t="s">
        <v>176</v>
      </c>
      <c r="T23" t="s">
        <v>176</v>
      </c>
      <c r="U23" t="s">
        <v>115</v>
      </c>
      <c r="V23" t="s">
        <v>4211</v>
      </c>
      <c r="W23" t="s">
        <v>23</v>
      </c>
      <c r="X23" t="s">
        <v>3999</v>
      </c>
      <c r="Y23" t="s">
        <v>4022</v>
      </c>
      <c r="AA23">
        <v>30</v>
      </c>
      <c r="AB23">
        <v>10</v>
      </c>
      <c r="AC23" s="19">
        <v>63.739519999999999</v>
      </c>
      <c r="AD23" s="19">
        <v>148.89788999999999</v>
      </c>
      <c r="AE23" t="s">
        <v>115</v>
      </c>
      <c r="AF23" t="s">
        <v>115</v>
      </c>
      <c r="AG23" t="s">
        <v>115</v>
      </c>
      <c r="AH23">
        <v>0</v>
      </c>
      <c r="AI23">
        <v>0</v>
      </c>
      <c r="AJ23">
        <v>0</v>
      </c>
      <c r="AK23">
        <v>0</v>
      </c>
      <c r="AL23">
        <v>0</v>
      </c>
      <c r="AM23">
        <v>0</v>
      </c>
      <c r="AN23">
        <f t="shared" si="0"/>
        <v>0</v>
      </c>
    </row>
    <row r="24" spans="1:42" hidden="1" x14ac:dyDescent="0.2">
      <c r="A24" t="s">
        <v>4209</v>
      </c>
      <c r="B24" t="s">
        <v>4210</v>
      </c>
      <c r="C24">
        <v>9</v>
      </c>
      <c r="D24">
        <v>3</v>
      </c>
      <c r="E24" t="s">
        <v>4191</v>
      </c>
      <c r="F24" s="1">
        <v>43687</v>
      </c>
      <c r="G24" t="s">
        <v>4031</v>
      </c>
      <c r="H24" t="s">
        <v>4724</v>
      </c>
      <c r="I24" s="2">
        <v>3.5416666666666666E-2</v>
      </c>
      <c r="J24" s="176">
        <v>5.9027777777777778E-4</v>
      </c>
      <c r="K24" s="6">
        <v>51</v>
      </c>
      <c r="L24" t="s">
        <v>398</v>
      </c>
      <c r="M24" t="s">
        <v>241</v>
      </c>
      <c r="N24" t="s">
        <v>111</v>
      </c>
      <c r="O24" t="s">
        <v>23</v>
      </c>
      <c r="P24">
        <v>0</v>
      </c>
      <c r="Q24">
        <v>0</v>
      </c>
      <c r="R24">
        <v>1</v>
      </c>
      <c r="S24" t="s">
        <v>176</v>
      </c>
      <c r="T24" t="s">
        <v>176</v>
      </c>
      <c r="U24" t="s">
        <v>115</v>
      </c>
      <c r="V24" t="s">
        <v>4211</v>
      </c>
      <c r="W24" t="s">
        <v>23</v>
      </c>
      <c r="X24" t="s">
        <v>3999</v>
      </c>
      <c r="Y24" t="s">
        <v>4022</v>
      </c>
      <c r="AA24">
        <v>223</v>
      </c>
      <c r="AB24">
        <v>12</v>
      </c>
      <c r="AC24" s="19">
        <v>63.739730000000002</v>
      </c>
      <c r="AD24" s="19">
        <v>148.89786000000001</v>
      </c>
      <c r="AE24" t="s">
        <v>115</v>
      </c>
      <c r="AF24" t="s">
        <v>115</v>
      </c>
      <c r="AG24" t="s">
        <v>115</v>
      </c>
      <c r="AH24">
        <v>0</v>
      </c>
      <c r="AI24">
        <v>0</v>
      </c>
      <c r="AJ24">
        <v>0</v>
      </c>
      <c r="AK24">
        <v>0</v>
      </c>
      <c r="AL24">
        <v>0</v>
      </c>
      <c r="AM24">
        <v>0</v>
      </c>
      <c r="AN24">
        <f t="shared" si="0"/>
        <v>0</v>
      </c>
    </row>
    <row r="25" spans="1:42" hidden="1" x14ac:dyDescent="0.2">
      <c r="A25" t="s">
        <v>4215</v>
      </c>
      <c r="B25" t="s">
        <v>4216</v>
      </c>
      <c r="C25">
        <v>11</v>
      </c>
      <c r="D25">
        <v>2</v>
      </c>
      <c r="E25" t="s">
        <v>4191</v>
      </c>
      <c r="F25" s="1">
        <v>43687</v>
      </c>
      <c r="G25" t="s">
        <v>4031</v>
      </c>
      <c r="H25" t="s">
        <v>4724</v>
      </c>
      <c r="I25" s="2">
        <v>4.2361111111111106E-2</v>
      </c>
      <c r="J25" s="176">
        <v>7.0601851851851847E-4</v>
      </c>
      <c r="K25" s="6">
        <v>61</v>
      </c>
      <c r="L25" t="s">
        <v>398</v>
      </c>
      <c r="M25" t="s">
        <v>241</v>
      </c>
      <c r="N25" t="s">
        <v>102</v>
      </c>
      <c r="O25" t="s">
        <v>23</v>
      </c>
      <c r="P25">
        <v>1</v>
      </c>
      <c r="Q25">
        <v>0</v>
      </c>
      <c r="R25">
        <v>1</v>
      </c>
      <c r="S25" t="s">
        <v>176</v>
      </c>
      <c r="T25" t="s">
        <v>176</v>
      </c>
      <c r="U25" t="s">
        <v>4159</v>
      </c>
      <c r="V25" t="s">
        <v>709</v>
      </c>
      <c r="W25" t="s">
        <v>23</v>
      </c>
      <c r="X25" t="s">
        <v>4004</v>
      </c>
      <c r="Y25" t="s">
        <v>4022</v>
      </c>
      <c r="AA25">
        <v>123</v>
      </c>
      <c r="AB25">
        <v>0</v>
      </c>
      <c r="AC25" s="19">
        <v>63.740020000000001</v>
      </c>
      <c r="AD25" s="19">
        <v>148.89968999999999</v>
      </c>
      <c r="AE25" t="s">
        <v>115</v>
      </c>
      <c r="AF25" t="s">
        <v>115</v>
      </c>
      <c r="AG25" t="s">
        <v>115</v>
      </c>
      <c r="AH25">
        <v>4</v>
      </c>
      <c r="AI25">
        <v>0</v>
      </c>
      <c r="AJ25">
        <v>0</v>
      </c>
      <c r="AK25">
        <v>4</v>
      </c>
      <c r="AL25">
        <v>0</v>
      </c>
      <c r="AM25">
        <v>0</v>
      </c>
      <c r="AN25">
        <f t="shared" si="0"/>
        <v>4</v>
      </c>
    </row>
    <row r="26" spans="1:42" hidden="1" x14ac:dyDescent="0.2">
      <c r="A26" t="s">
        <v>4215</v>
      </c>
      <c r="B26" t="s">
        <v>4216</v>
      </c>
      <c r="C26">
        <v>11</v>
      </c>
      <c r="D26">
        <v>1</v>
      </c>
      <c r="E26" t="s">
        <v>4191</v>
      </c>
      <c r="F26" s="1">
        <v>43687</v>
      </c>
      <c r="G26" t="s">
        <v>4031</v>
      </c>
      <c r="H26" t="s">
        <v>4724</v>
      </c>
      <c r="I26" s="2">
        <v>4.2361111111111106E-2</v>
      </c>
      <c r="J26" s="176">
        <v>7.0601851851851847E-4</v>
      </c>
      <c r="K26" s="6">
        <v>61</v>
      </c>
      <c r="L26" t="s">
        <v>398</v>
      </c>
      <c r="M26" t="s">
        <v>241</v>
      </c>
      <c r="N26" t="s">
        <v>102</v>
      </c>
      <c r="O26" t="s">
        <v>23</v>
      </c>
      <c r="P26">
        <v>0</v>
      </c>
      <c r="Q26">
        <v>0</v>
      </c>
      <c r="R26">
        <v>1</v>
      </c>
      <c r="S26" t="s">
        <v>176</v>
      </c>
      <c r="T26" t="s">
        <v>176</v>
      </c>
      <c r="U26" t="s">
        <v>176</v>
      </c>
      <c r="V26" t="s">
        <v>709</v>
      </c>
      <c r="W26" t="s">
        <v>23</v>
      </c>
      <c r="X26" t="s">
        <v>4004</v>
      </c>
      <c r="Y26" t="s">
        <v>4022</v>
      </c>
      <c r="AA26">
        <v>72</v>
      </c>
      <c r="AB26" t="s">
        <v>176</v>
      </c>
      <c r="AC26" s="19">
        <v>63.740099999999998</v>
      </c>
      <c r="AD26" s="19">
        <v>148.89954</v>
      </c>
      <c r="AE26" t="s">
        <v>115</v>
      </c>
      <c r="AF26" t="s">
        <v>115</v>
      </c>
      <c r="AG26" t="s">
        <v>115</v>
      </c>
      <c r="AH26">
        <v>0</v>
      </c>
      <c r="AI26">
        <v>0</v>
      </c>
      <c r="AJ26">
        <v>0</v>
      </c>
      <c r="AK26">
        <v>0</v>
      </c>
      <c r="AL26">
        <v>0</v>
      </c>
      <c r="AM26">
        <v>0</v>
      </c>
      <c r="AN26">
        <f t="shared" si="0"/>
        <v>0</v>
      </c>
    </row>
    <row r="27" spans="1:42" hidden="1" x14ac:dyDescent="0.2">
      <c r="A27" t="s">
        <v>4219</v>
      </c>
      <c r="B27" t="s">
        <v>4220</v>
      </c>
      <c r="C27">
        <v>2</v>
      </c>
      <c r="D27">
        <v>2</v>
      </c>
      <c r="E27" t="s">
        <v>140</v>
      </c>
      <c r="F27" s="1">
        <v>43687</v>
      </c>
      <c r="G27" t="s">
        <v>4031</v>
      </c>
      <c r="H27" t="s">
        <v>4724</v>
      </c>
      <c r="I27" s="2">
        <v>3.2638888888888891E-2</v>
      </c>
      <c r="J27" s="176">
        <v>5.4398148148148144E-4</v>
      </c>
      <c r="K27" s="6">
        <v>47</v>
      </c>
      <c r="L27" t="s">
        <v>398</v>
      </c>
      <c r="M27" t="s">
        <v>149</v>
      </c>
      <c r="N27" t="s">
        <v>568</v>
      </c>
      <c r="O27" t="s">
        <v>23</v>
      </c>
      <c r="P27">
        <v>1</v>
      </c>
      <c r="Q27">
        <v>0</v>
      </c>
      <c r="R27">
        <v>1</v>
      </c>
      <c r="S27" t="s">
        <v>176</v>
      </c>
      <c r="T27" t="s">
        <v>176</v>
      </c>
      <c r="U27" t="s">
        <v>1035</v>
      </c>
      <c r="V27" t="s">
        <v>2300</v>
      </c>
      <c r="W27" t="s">
        <v>23</v>
      </c>
      <c r="X27" t="s">
        <v>3997</v>
      </c>
      <c r="Y27" t="s">
        <v>4006</v>
      </c>
      <c r="AA27" t="s">
        <v>4221</v>
      </c>
      <c r="AB27" t="s">
        <v>4221</v>
      </c>
      <c r="AC27" t="s">
        <v>4221</v>
      </c>
      <c r="AD27" t="s">
        <v>4221</v>
      </c>
      <c r="AE27" t="s">
        <v>115</v>
      </c>
      <c r="AF27" t="s">
        <v>115</v>
      </c>
      <c r="AG27" t="s">
        <v>115</v>
      </c>
      <c r="AH27">
        <v>0</v>
      </c>
      <c r="AI27">
        <v>16</v>
      </c>
      <c r="AJ27">
        <v>0</v>
      </c>
      <c r="AK27">
        <v>16</v>
      </c>
      <c r="AL27">
        <v>0</v>
      </c>
      <c r="AM27">
        <v>0</v>
      </c>
      <c r="AN27">
        <f t="shared" si="0"/>
        <v>16</v>
      </c>
    </row>
    <row r="28" spans="1:42" hidden="1" x14ac:dyDescent="0.2">
      <c r="A28" t="s">
        <v>4189</v>
      </c>
      <c r="B28" t="s">
        <v>4190</v>
      </c>
      <c r="C28">
        <v>1</v>
      </c>
      <c r="D28">
        <v>1</v>
      </c>
      <c r="E28" t="s">
        <v>4191</v>
      </c>
      <c r="F28" s="1">
        <v>43687</v>
      </c>
      <c r="G28" t="s">
        <v>4031</v>
      </c>
      <c r="H28" t="s">
        <v>4724</v>
      </c>
      <c r="I28" s="2">
        <v>2.2916666666666669E-2</v>
      </c>
      <c r="J28" s="176">
        <v>3.8194444444444446E-4</v>
      </c>
      <c r="K28" s="6">
        <v>33</v>
      </c>
      <c r="L28" t="s">
        <v>398</v>
      </c>
      <c r="M28" t="s">
        <v>241</v>
      </c>
      <c r="N28" t="s">
        <v>102</v>
      </c>
      <c r="O28" t="s">
        <v>23</v>
      </c>
      <c r="P28">
        <v>1</v>
      </c>
      <c r="Q28" t="s">
        <v>176</v>
      </c>
      <c r="R28">
        <v>0</v>
      </c>
      <c r="S28" t="s">
        <v>176</v>
      </c>
      <c r="T28" t="s">
        <v>176</v>
      </c>
      <c r="U28" t="s">
        <v>4192</v>
      </c>
      <c r="V28" t="s">
        <v>115</v>
      </c>
      <c r="W28" t="s">
        <v>115</v>
      </c>
      <c r="X28" t="s">
        <v>115</v>
      </c>
      <c r="Y28" t="s">
        <v>115</v>
      </c>
      <c r="Z28" t="s">
        <v>115</v>
      </c>
      <c r="AA28" t="s">
        <v>115</v>
      </c>
      <c r="AB28" t="s">
        <v>115</v>
      </c>
      <c r="AC28" t="s">
        <v>115</v>
      </c>
      <c r="AD28" t="s">
        <v>115</v>
      </c>
      <c r="AE28" t="s">
        <v>115</v>
      </c>
      <c r="AF28" t="s">
        <v>115</v>
      </c>
      <c r="AG28" t="s">
        <v>115</v>
      </c>
      <c r="AH28">
        <v>17</v>
      </c>
      <c r="AI28">
        <v>0</v>
      </c>
      <c r="AJ28">
        <v>17</v>
      </c>
      <c r="AK28">
        <v>0</v>
      </c>
      <c r="AL28">
        <v>0</v>
      </c>
      <c r="AM28">
        <v>0</v>
      </c>
      <c r="AN28">
        <f t="shared" si="0"/>
        <v>17</v>
      </c>
    </row>
    <row r="29" spans="1:42" hidden="1" x14ac:dyDescent="0.2">
      <c r="A29" t="s">
        <v>4217</v>
      </c>
      <c r="B29" t="s">
        <v>4218</v>
      </c>
      <c r="C29">
        <v>1</v>
      </c>
      <c r="D29">
        <v>1</v>
      </c>
      <c r="E29" t="s">
        <v>140</v>
      </c>
      <c r="F29" s="1">
        <v>43687</v>
      </c>
      <c r="G29" t="s">
        <v>4031</v>
      </c>
      <c r="H29" t="s">
        <v>4724</v>
      </c>
      <c r="I29" s="2">
        <v>2.2916666666666669E-2</v>
      </c>
      <c r="J29" s="176">
        <v>3.8194444444444446E-4</v>
      </c>
      <c r="K29" s="6">
        <v>33</v>
      </c>
      <c r="L29" t="s">
        <v>398</v>
      </c>
      <c r="M29" t="s">
        <v>149</v>
      </c>
      <c r="N29" t="s">
        <v>102</v>
      </c>
      <c r="O29" t="s">
        <v>23</v>
      </c>
      <c r="P29">
        <v>1</v>
      </c>
      <c r="Q29" t="s">
        <v>176</v>
      </c>
      <c r="R29">
        <v>0</v>
      </c>
      <c r="S29" t="s">
        <v>176</v>
      </c>
      <c r="T29" t="s">
        <v>176</v>
      </c>
      <c r="U29" t="s">
        <v>709</v>
      </c>
      <c r="V29" t="s">
        <v>115</v>
      </c>
      <c r="W29" t="s">
        <v>115</v>
      </c>
      <c r="X29" t="s">
        <v>115</v>
      </c>
      <c r="Y29" t="s">
        <v>115</v>
      </c>
      <c r="Z29" t="s">
        <v>115</v>
      </c>
      <c r="AA29" t="s">
        <v>115</v>
      </c>
      <c r="AB29" t="s">
        <v>115</v>
      </c>
      <c r="AC29" t="s">
        <v>115</v>
      </c>
      <c r="AD29" t="s">
        <v>115</v>
      </c>
      <c r="AE29" t="s">
        <v>115</v>
      </c>
      <c r="AF29" t="s">
        <v>115</v>
      </c>
      <c r="AG29" t="s">
        <v>115</v>
      </c>
      <c r="AH29">
        <v>3</v>
      </c>
      <c r="AI29">
        <v>0</v>
      </c>
      <c r="AJ29">
        <v>3</v>
      </c>
      <c r="AK29">
        <v>0</v>
      </c>
      <c r="AL29">
        <v>0</v>
      </c>
      <c r="AM29">
        <v>0</v>
      </c>
      <c r="AN29">
        <f t="shared" si="0"/>
        <v>3</v>
      </c>
    </row>
    <row r="30" spans="1:42" hidden="1" x14ac:dyDescent="0.2">
      <c r="A30" t="s">
        <v>4230</v>
      </c>
      <c r="B30" t="s">
        <v>4231</v>
      </c>
      <c r="C30">
        <v>1</v>
      </c>
      <c r="D30">
        <v>1</v>
      </c>
      <c r="E30" t="s">
        <v>138</v>
      </c>
      <c r="F30" s="1">
        <v>43687</v>
      </c>
      <c r="G30" t="s">
        <v>4031</v>
      </c>
      <c r="H30" t="s">
        <v>4724</v>
      </c>
      <c r="I30" s="2">
        <v>3.472222222222222E-3</v>
      </c>
      <c r="J30" s="176">
        <v>5.7870370370370366E-5</v>
      </c>
      <c r="K30" s="6">
        <v>5</v>
      </c>
      <c r="L30" t="s">
        <v>398</v>
      </c>
      <c r="M30" t="s">
        <v>4232</v>
      </c>
      <c r="N30" t="s">
        <v>102</v>
      </c>
      <c r="O30" t="s">
        <v>23</v>
      </c>
      <c r="P30">
        <v>1</v>
      </c>
      <c r="Q30" t="s">
        <v>176</v>
      </c>
      <c r="R30">
        <v>0</v>
      </c>
      <c r="S30" t="s">
        <v>176</v>
      </c>
      <c r="T30" t="s">
        <v>176</v>
      </c>
      <c r="U30" t="s">
        <v>4159</v>
      </c>
      <c r="V30" t="s">
        <v>115</v>
      </c>
      <c r="W30" t="s">
        <v>115</v>
      </c>
      <c r="X30" t="s">
        <v>115</v>
      </c>
      <c r="Y30" t="s">
        <v>115</v>
      </c>
      <c r="Z30" t="s">
        <v>115</v>
      </c>
      <c r="AA30" t="s">
        <v>115</v>
      </c>
      <c r="AB30" t="s">
        <v>115</v>
      </c>
      <c r="AC30" t="s">
        <v>115</v>
      </c>
      <c r="AD30" t="s">
        <v>115</v>
      </c>
      <c r="AE30" t="s">
        <v>115</v>
      </c>
      <c r="AF30" t="s">
        <v>115</v>
      </c>
      <c r="AG30" t="s">
        <v>115</v>
      </c>
      <c r="AH30">
        <v>5</v>
      </c>
      <c r="AI30">
        <v>0</v>
      </c>
      <c r="AJ30">
        <v>0</v>
      </c>
      <c r="AK30">
        <v>5</v>
      </c>
      <c r="AL30">
        <v>0</v>
      </c>
      <c r="AM30">
        <v>0</v>
      </c>
      <c r="AN30">
        <f t="shared" si="0"/>
        <v>5</v>
      </c>
    </row>
    <row r="31" spans="1:42" hidden="1" x14ac:dyDescent="0.2">
      <c r="A31" t="s">
        <v>4239</v>
      </c>
      <c r="B31" t="s">
        <v>4240</v>
      </c>
      <c r="C31">
        <v>4</v>
      </c>
      <c r="D31">
        <v>1</v>
      </c>
      <c r="E31" t="s">
        <v>138</v>
      </c>
      <c r="F31" s="1">
        <v>43687</v>
      </c>
      <c r="G31" t="s">
        <v>4031</v>
      </c>
      <c r="H31" t="s">
        <v>4724</v>
      </c>
      <c r="I31" s="2">
        <v>1.1805555555555555E-2</v>
      </c>
      <c r="J31" s="176">
        <v>1.9675925925925926E-4</v>
      </c>
      <c r="K31" s="6">
        <v>17</v>
      </c>
      <c r="L31" t="s">
        <v>398</v>
      </c>
      <c r="M31" t="s">
        <v>4232</v>
      </c>
      <c r="N31" t="s">
        <v>102</v>
      </c>
      <c r="O31" t="s">
        <v>23</v>
      </c>
      <c r="P31">
        <v>1</v>
      </c>
      <c r="Q31" t="s">
        <v>176</v>
      </c>
      <c r="R31">
        <v>0</v>
      </c>
      <c r="S31" t="s">
        <v>176</v>
      </c>
      <c r="T31" t="s">
        <v>176</v>
      </c>
      <c r="U31" t="s">
        <v>4192</v>
      </c>
      <c r="V31" t="s">
        <v>115</v>
      </c>
      <c r="W31" t="s">
        <v>115</v>
      </c>
      <c r="X31" t="s">
        <v>115</v>
      </c>
      <c r="Y31" t="s">
        <v>115</v>
      </c>
      <c r="Z31" t="s">
        <v>115</v>
      </c>
      <c r="AA31" t="s">
        <v>115</v>
      </c>
      <c r="AB31" t="s">
        <v>115</v>
      </c>
      <c r="AC31" t="s">
        <v>115</v>
      </c>
      <c r="AD31" t="s">
        <v>115</v>
      </c>
      <c r="AE31" t="s">
        <v>115</v>
      </c>
      <c r="AF31" t="s">
        <v>115</v>
      </c>
      <c r="AG31" t="s">
        <v>115</v>
      </c>
      <c r="AH31">
        <v>16</v>
      </c>
      <c r="AI31">
        <v>0</v>
      </c>
      <c r="AJ31">
        <v>16</v>
      </c>
      <c r="AK31">
        <v>0</v>
      </c>
      <c r="AL31">
        <v>0</v>
      </c>
      <c r="AM31">
        <v>0</v>
      </c>
      <c r="AN31">
        <f t="shared" si="0"/>
        <v>16</v>
      </c>
    </row>
    <row r="32" spans="1:42" hidden="1" x14ac:dyDescent="0.2">
      <c r="A32" t="s">
        <v>4193</v>
      </c>
      <c r="B32" t="s">
        <v>4194</v>
      </c>
      <c r="C32">
        <v>2</v>
      </c>
      <c r="D32">
        <v>1</v>
      </c>
      <c r="E32" t="s">
        <v>4191</v>
      </c>
      <c r="F32" s="1">
        <v>43687</v>
      </c>
      <c r="G32" t="s">
        <v>4031</v>
      </c>
      <c r="H32" t="s">
        <v>4724</v>
      </c>
      <c r="I32" s="2">
        <v>4.8611111111111112E-3</v>
      </c>
      <c r="J32" s="176">
        <v>8.1018518518518516E-5</v>
      </c>
      <c r="K32" s="6">
        <v>7</v>
      </c>
      <c r="L32" t="s">
        <v>398</v>
      </c>
      <c r="M32" t="s">
        <v>241</v>
      </c>
      <c r="N32" t="s">
        <v>102</v>
      </c>
      <c r="O32" t="s">
        <v>115</v>
      </c>
      <c r="P32" t="s">
        <v>176</v>
      </c>
      <c r="Q32">
        <v>0</v>
      </c>
      <c r="R32">
        <v>0</v>
      </c>
      <c r="S32" t="s">
        <v>115</v>
      </c>
      <c r="T32" t="s">
        <v>115</v>
      </c>
      <c r="U32" t="s">
        <v>115</v>
      </c>
      <c r="V32" t="s">
        <v>115</v>
      </c>
      <c r="W32" t="s">
        <v>115</v>
      </c>
      <c r="X32" t="s">
        <v>115</v>
      </c>
      <c r="Y32" t="s">
        <v>115</v>
      </c>
      <c r="Z32" t="s">
        <v>115</v>
      </c>
      <c r="AA32" t="s">
        <v>115</v>
      </c>
      <c r="AB32" t="s">
        <v>115</v>
      </c>
      <c r="AC32" t="s">
        <v>115</v>
      </c>
      <c r="AD32" t="s">
        <v>115</v>
      </c>
      <c r="AE32" t="s">
        <v>115</v>
      </c>
      <c r="AF32" t="s">
        <v>115</v>
      </c>
      <c r="AG32" t="s">
        <v>115</v>
      </c>
      <c r="AH32">
        <v>0</v>
      </c>
      <c r="AI32">
        <v>0</v>
      </c>
      <c r="AJ32">
        <v>0</v>
      </c>
      <c r="AK32">
        <v>0</v>
      </c>
      <c r="AL32">
        <v>6</v>
      </c>
      <c r="AM32">
        <v>0</v>
      </c>
      <c r="AN32">
        <f t="shared" si="0"/>
        <v>6</v>
      </c>
    </row>
    <row r="33" spans="1:42" hidden="1" x14ac:dyDescent="0.2">
      <c r="A33" t="s">
        <v>4197</v>
      </c>
      <c r="B33" t="s">
        <v>4198</v>
      </c>
      <c r="C33">
        <v>4</v>
      </c>
      <c r="D33">
        <v>1</v>
      </c>
      <c r="E33" t="s">
        <v>4191</v>
      </c>
      <c r="F33" s="1">
        <v>43687</v>
      </c>
      <c r="G33" t="s">
        <v>4031</v>
      </c>
      <c r="H33" t="s">
        <v>4724</v>
      </c>
      <c r="I33" s="2">
        <v>1.0416666666666666E-2</v>
      </c>
      <c r="J33" s="176">
        <v>1.7361111111111112E-4</v>
      </c>
      <c r="K33" s="6">
        <v>15</v>
      </c>
      <c r="L33" t="s">
        <v>398</v>
      </c>
      <c r="M33" t="s">
        <v>241</v>
      </c>
      <c r="N33" t="s">
        <v>102</v>
      </c>
      <c r="O33" t="s">
        <v>23</v>
      </c>
      <c r="P33">
        <v>0</v>
      </c>
      <c r="Q33">
        <v>0</v>
      </c>
      <c r="R33">
        <v>0</v>
      </c>
      <c r="S33" t="s">
        <v>115</v>
      </c>
      <c r="T33" t="s">
        <v>115</v>
      </c>
      <c r="U33" t="s">
        <v>115</v>
      </c>
      <c r="V33" t="s">
        <v>115</v>
      </c>
      <c r="W33" t="s">
        <v>115</v>
      </c>
      <c r="X33" t="s">
        <v>115</v>
      </c>
      <c r="Y33" t="s">
        <v>115</v>
      </c>
      <c r="Z33" t="s">
        <v>115</v>
      </c>
      <c r="AA33" t="s">
        <v>115</v>
      </c>
      <c r="AB33" t="s">
        <v>115</v>
      </c>
      <c r="AC33" t="s">
        <v>115</v>
      </c>
      <c r="AD33" t="s">
        <v>115</v>
      </c>
      <c r="AE33" t="s">
        <v>115</v>
      </c>
      <c r="AF33" t="s">
        <v>115</v>
      </c>
      <c r="AG33" t="s">
        <v>115</v>
      </c>
      <c r="AH33">
        <v>0</v>
      </c>
      <c r="AI33">
        <v>15</v>
      </c>
      <c r="AJ33">
        <v>0</v>
      </c>
      <c r="AK33">
        <v>15</v>
      </c>
      <c r="AL33">
        <v>0</v>
      </c>
      <c r="AM33">
        <v>0</v>
      </c>
      <c r="AN33">
        <f t="shared" si="0"/>
        <v>15</v>
      </c>
    </row>
    <row r="34" spans="1:42" hidden="1" x14ac:dyDescent="0.2">
      <c r="A34" t="s">
        <v>4199</v>
      </c>
      <c r="B34" t="s">
        <v>4200</v>
      </c>
      <c r="C34">
        <v>5</v>
      </c>
      <c r="D34">
        <v>1</v>
      </c>
      <c r="E34" t="s">
        <v>4191</v>
      </c>
      <c r="F34" s="1">
        <v>43687</v>
      </c>
      <c r="G34" t="s">
        <v>4031</v>
      </c>
      <c r="H34" t="s">
        <v>4724</v>
      </c>
      <c r="I34" s="2">
        <v>1.7361111111111112E-2</v>
      </c>
      <c r="J34" s="176">
        <v>2.8935185185185189E-4</v>
      </c>
      <c r="K34" s="6">
        <v>25</v>
      </c>
      <c r="L34" t="s">
        <v>398</v>
      </c>
      <c r="M34" t="s">
        <v>241</v>
      </c>
      <c r="N34" t="s">
        <v>102</v>
      </c>
      <c r="O34" t="s">
        <v>23</v>
      </c>
      <c r="P34" t="s">
        <v>176</v>
      </c>
      <c r="Q34">
        <v>0</v>
      </c>
      <c r="R34">
        <v>0</v>
      </c>
      <c r="S34" t="s">
        <v>115</v>
      </c>
      <c r="T34" t="s">
        <v>115</v>
      </c>
      <c r="U34" t="s">
        <v>115</v>
      </c>
      <c r="V34" t="s">
        <v>115</v>
      </c>
      <c r="W34" t="s">
        <v>115</v>
      </c>
      <c r="X34" t="s">
        <v>115</v>
      </c>
      <c r="Y34" t="s">
        <v>115</v>
      </c>
      <c r="Z34" t="s">
        <v>115</v>
      </c>
      <c r="AA34" t="s">
        <v>115</v>
      </c>
      <c r="AB34" t="s">
        <v>115</v>
      </c>
      <c r="AC34" t="s">
        <v>115</v>
      </c>
      <c r="AD34" t="s">
        <v>115</v>
      </c>
      <c r="AE34" t="s">
        <v>115</v>
      </c>
      <c r="AF34" t="s">
        <v>115</v>
      </c>
      <c r="AG34" t="s">
        <v>115</v>
      </c>
      <c r="AH34">
        <v>0</v>
      </c>
      <c r="AI34">
        <v>8</v>
      </c>
      <c r="AJ34">
        <v>0</v>
      </c>
      <c r="AK34">
        <v>8</v>
      </c>
      <c r="AL34">
        <v>6</v>
      </c>
      <c r="AM34">
        <v>0</v>
      </c>
      <c r="AN34">
        <f t="shared" ref="AN34:AN65" si="1">SUM(AH34+AI34+AL34+AM34)</f>
        <v>14</v>
      </c>
    </row>
    <row r="35" spans="1:42" hidden="1" x14ac:dyDescent="0.2">
      <c r="A35" t="s">
        <v>4201</v>
      </c>
      <c r="B35" t="s">
        <v>4202</v>
      </c>
      <c r="C35">
        <v>6</v>
      </c>
      <c r="D35">
        <v>1</v>
      </c>
      <c r="E35" t="s">
        <v>4191</v>
      </c>
      <c r="F35" s="1">
        <v>43687</v>
      </c>
      <c r="G35" t="s">
        <v>4031</v>
      </c>
      <c r="H35" t="s">
        <v>4724</v>
      </c>
      <c r="I35" s="2">
        <v>6.9444444444444441E-3</v>
      </c>
      <c r="J35" s="176">
        <v>1.1574074074074073E-4</v>
      </c>
      <c r="K35" s="6">
        <v>10</v>
      </c>
      <c r="L35" t="s">
        <v>398</v>
      </c>
      <c r="M35" t="s">
        <v>241</v>
      </c>
      <c r="N35" t="s">
        <v>102</v>
      </c>
      <c r="O35" t="s">
        <v>115</v>
      </c>
      <c r="P35" t="s">
        <v>176</v>
      </c>
      <c r="Q35">
        <v>0</v>
      </c>
      <c r="R35">
        <v>0</v>
      </c>
      <c r="S35" t="s">
        <v>115</v>
      </c>
      <c r="T35" t="s">
        <v>115</v>
      </c>
      <c r="U35" t="s">
        <v>115</v>
      </c>
      <c r="V35" t="s">
        <v>115</v>
      </c>
      <c r="W35" t="s">
        <v>115</v>
      </c>
      <c r="X35" t="s">
        <v>115</v>
      </c>
      <c r="Y35" t="s">
        <v>115</v>
      </c>
      <c r="Z35" t="s">
        <v>115</v>
      </c>
      <c r="AA35" t="s">
        <v>115</v>
      </c>
      <c r="AB35" t="s">
        <v>115</v>
      </c>
      <c r="AC35" t="s">
        <v>115</v>
      </c>
      <c r="AD35" t="s">
        <v>115</v>
      </c>
      <c r="AE35" t="s">
        <v>115</v>
      </c>
      <c r="AF35" t="s">
        <v>115</v>
      </c>
      <c r="AG35" t="s">
        <v>115</v>
      </c>
      <c r="AH35">
        <v>0</v>
      </c>
      <c r="AI35">
        <v>0</v>
      </c>
      <c r="AJ35">
        <v>0</v>
      </c>
      <c r="AK35">
        <v>0</v>
      </c>
      <c r="AL35">
        <v>6</v>
      </c>
      <c r="AM35">
        <v>0</v>
      </c>
      <c r="AN35">
        <f t="shared" si="1"/>
        <v>6</v>
      </c>
      <c r="AP35" t="s">
        <v>4203</v>
      </c>
    </row>
    <row r="36" spans="1:42" hidden="1" x14ac:dyDescent="0.2">
      <c r="A36" t="s">
        <v>4222</v>
      </c>
      <c r="B36" t="s">
        <v>4223</v>
      </c>
      <c r="C36">
        <v>3</v>
      </c>
      <c r="D36">
        <v>1</v>
      </c>
      <c r="E36" t="s">
        <v>140</v>
      </c>
      <c r="F36" s="1">
        <v>43687</v>
      </c>
      <c r="G36" t="s">
        <v>4031</v>
      </c>
      <c r="H36" t="s">
        <v>4724</v>
      </c>
      <c r="I36" s="2">
        <v>1.5972222222222224E-2</v>
      </c>
      <c r="J36" s="176">
        <v>2.6620370370370372E-4</v>
      </c>
      <c r="K36" s="6">
        <v>23</v>
      </c>
      <c r="L36" t="s">
        <v>398</v>
      </c>
      <c r="M36" t="s">
        <v>4226</v>
      </c>
      <c r="N36" t="s">
        <v>102</v>
      </c>
      <c r="O36" t="s">
        <v>23</v>
      </c>
      <c r="P36" t="s">
        <v>176</v>
      </c>
      <c r="Q36" t="s">
        <v>176</v>
      </c>
      <c r="R36" t="s">
        <v>176</v>
      </c>
      <c r="S36" t="s">
        <v>115</v>
      </c>
      <c r="T36" t="s">
        <v>115</v>
      </c>
      <c r="U36" t="s">
        <v>115</v>
      </c>
      <c r="V36" t="s">
        <v>115</v>
      </c>
      <c r="W36" t="s">
        <v>115</v>
      </c>
      <c r="X36" t="s">
        <v>115</v>
      </c>
      <c r="Y36" t="s">
        <v>115</v>
      </c>
      <c r="Z36" t="s">
        <v>115</v>
      </c>
      <c r="AA36" t="s">
        <v>115</v>
      </c>
      <c r="AB36" t="s">
        <v>115</v>
      </c>
      <c r="AC36" t="s">
        <v>115</v>
      </c>
      <c r="AD36" t="s">
        <v>115</v>
      </c>
      <c r="AE36" t="s">
        <v>115</v>
      </c>
      <c r="AF36" t="s">
        <v>115</v>
      </c>
      <c r="AG36" t="s">
        <v>115</v>
      </c>
      <c r="AH36">
        <v>23</v>
      </c>
      <c r="AI36">
        <v>0</v>
      </c>
      <c r="AJ36">
        <v>23</v>
      </c>
      <c r="AK36">
        <v>0</v>
      </c>
      <c r="AL36">
        <v>0</v>
      </c>
      <c r="AM36">
        <v>0</v>
      </c>
      <c r="AN36">
        <f t="shared" si="1"/>
        <v>23</v>
      </c>
    </row>
    <row r="37" spans="1:42" hidden="1" x14ac:dyDescent="0.2">
      <c r="A37" t="s">
        <v>4224</v>
      </c>
      <c r="B37" t="s">
        <v>4225</v>
      </c>
      <c r="C37">
        <v>4</v>
      </c>
      <c r="D37">
        <v>1</v>
      </c>
      <c r="E37" t="s">
        <v>140</v>
      </c>
      <c r="F37" s="1">
        <v>43687</v>
      </c>
      <c r="G37" t="s">
        <v>4031</v>
      </c>
      <c r="H37" t="s">
        <v>4724</v>
      </c>
      <c r="I37" s="2">
        <v>1.5277777777777777E-2</v>
      </c>
      <c r="J37" s="176">
        <v>2.5462962962962961E-4</v>
      </c>
      <c r="K37" s="6">
        <v>22</v>
      </c>
      <c r="L37" t="s">
        <v>398</v>
      </c>
      <c r="M37" t="s">
        <v>4226</v>
      </c>
      <c r="N37" t="s">
        <v>102</v>
      </c>
      <c r="O37" t="s">
        <v>23</v>
      </c>
      <c r="P37" t="s">
        <v>176</v>
      </c>
      <c r="Q37" t="s">
        <v>176</v>
      </c>
      <c r="R37" t="s">
        <v>176</v>
      </c>
      <c r="S37" t="s">
        <v>115</v>
      </c>
      <c r="T37" t="s">
        <v>115</v>
      </c>
      <c r="U37" t="s">
        <v>115</v>
      </c>
      <c r="V37" t="s">
        <v>115</v>
      </c>
      <c r="W37" t="s">
        <v>115</v>
      </c>
      <c r="X37" t="s">
        <v>115</v>
      </c>
      <c r="Y37" t="s">
        <v>115</v>
      </c>
      <c r="Z37" t="s">
        <v>115</v>
      </c>
      <c r="AA37" t="s">
        <v>115</v>
      </c>
      <c r="AB37" t="s">
        <v>115</v>
      </c>
      <c r="AC37" t="s">
        <v>115</v>
      </c>
      <c r="AD37" t="s">
        <v>115</v>
      </c>
      <c r="AE37" t="s">
        <v>115</v>
      </c>
      <c r="AF37" t="s">
        <v>115</v>
      </c>
      <c r="AG37" t="s">
        <v>115</v>
      </c>
      <c r="AH37">
        <v>0</v>
      </c>
      <c r="AI37">
        <v>10</v>
      </c>
      <c r="AJ37">
        <v>0</v>
      </c>
      <c r="AK37">
        <v>10</v>
      </c>
      <c r="AL37">
        <v>0</v>
      </c>
      <c r="AM37">
        <v>0</v>
      </c>
      <c r="AN37">
        <f t="shared" si="1"/>
        <v>10</v>
      </c>
    </row>
    <row r="38" spans="1:42" hidden="1" x14ac:dyDescent="0.2">
      <c r="A38" t="s">
        <v>4212</v>
      </c>
      <c r="B38" t="s">
        <v>4213</v>
      </c>
      <c r="C38">
        <v>10</v>
      </c>
      <c r="D38">
        <v>1</v>
      </c>
      <c r="E38" t="s">
        <v>4191</v>
      </c>
      <c r="F38" s="1">
        <v>43687</v>
      </c>
      <c r="G38" t="s">
        <v>4031</v>
      </c>
      <c r="H38" t="s">
        <v>4724</v>
      </c>
      <c r="I38" s="2">
        <v>4.8611111111111112E-3</v>
      </c>
      <c r="J38" s="176">
        <v>8.1018518518518516E-5</v>
      </c>
      <c r="K38" s="6">
        <v>7</v>
      </c>
      <c r="L38" t="s">
        <v>398</v>
      </c>
      <c r="M38" t="s">
        <v>241</v>
      </c>
      <c r="N38" t="s">
        <v>102</v>
      </c>
      <c r="O38" t="s">
        <v>115</v>
      </c>
      <c r="P38">
        <v>1</v>
      </c>
      <c r="Q38">
        <v>0</v>
      </c>
      <c r="R38">
        <v>0</v>
      </c>
      <c r="S38" t="s">
        <v>112</v>
      </c>
      <c r="T38" t="s">
        <v>4214</v>
      </c>
      <c r="U38" t="s">
        <v>122</v>
      </c>
      <c r="V38" t="s">
        <v>115</v>
      </c>
      <c r="W38" t="s">
        <v>115</v>
      </c>
      <c r="X38" t="s">
        <v>115</v>
      </c>
      <c r="Y38" t="s">
        <v>115</v>
      </c>
      <c r="Z38" t="s">
        <v>115</v>
      </c>
      <c r="AA38" t="s">
        <v>115</v>
      </c>
      <c r="AB38" t="s">
        <v>115</v>
      </c>
      <c r="AC38" t="s">
        <v>115</v>
      </c>
      <c r="AD38" t="s">
        <v>115</v>
      </c>
      <c r="AE38" t="s">
        <v>115</v>
      </c>
      <c r="AF38" t="s">
        <v>115</v>
      </c>
      <c r="AG38" t="s">
        <v>115</v>
      </c>
      <c r="AH38">
        <v>0</v>
      </c>
      <c r="AI38">
        <v>0</v>
      </c>
      <c r="AJ38">
        <v>0</v>
      </c>
      <c r="AK38">
        <v>0</v>
      </c>
      <c r="AL38">
        <v>7</v>
      </c>
      <c r="AM38">
        <v>0</v>
      </c>
      <c r="AN38">
        <f t="shared" si="1"/>
        <v>7</v>
      </c>
    </row>
    <row r="39" spans="1:42" hidden="1" x14ac:dyDescent="0.2">
      <c r="A39" t="s">
        <v>4204</v>
      </c>
      <c r="B39" t="s">
        <v>4205</v>
      </c>
      <c r="C39">
        <v>7</v>
      </c>
      <c r="D39">
        <v>1</v>
      </c>
      <c r="E39" t="s">
        <v>4191</v>
      </c>
      <c r="F39" s="1">
        <v>43687</v>
      </c>
      <c r="G39" t="s">
        <v>4031</v>
      </c>
      <c r="H39" t="s">
        <v>4724</v>
      </c>
      <c r="I39" s="2">
        <v>1.3194444444444444E-2</v>
      </c>
      <c r="J39" s="176">
        <v>2.199074074074074E-4</v>
      </c>
      <c r="K39" s="6">
        <v>19</v>
      </c>
      <c r="L39" t="s">
        <v>398</v>
      </c>
      <c r="M39" t="s">
        <v>241</v>
      </c>
      <c r="N39" t="s">
        <v>111</v>
      </c>
      <c r="O39" t="s">
        <v>23</v>
      </c>
      <c r="P39">
        <v>1</v>
      </c>
      <c r="Q39">
        <v>0</v>
      </c>
      <c r="R39">
        <v>1</v>
      </c>
      <c r="S39" t="s">
        <v>461</v>
      </c>
      <c r="T39" t="s">
        <v>461</v>
      </c>
      <c r="U39" t="s">
        <v>4175</v>
      </c>
      <c r="V39" t="s">
        <v>4168</v>
      </c>
      <c r="W39" t="s">
        <v>23</v>
      </c>
      <c r="X39" t="s">
        <v>3997</v>
      </c>
      <c r="Y39" t="s">
        <v>4022</v>
      </c>
      <c r="AA39">
        <v>47</v>
      </c>
      <c r="AB39">
        <v>35</v>
      </c>
      <c r="AC39" s="19">
        <v>63.73856</v>
      </c>
      <c r="AD39" s="19">
        <v>148.89789999999999</v>
      </c>
      <c r="AE39" t="s">
        <v>115</v>
      </c>
      <c r="AF39" t="s">
        <v>115</v>
      </c>
      <c r="AG39" t="s">
        <v>115</v>
      </c>
      <c r="AI39">
        <v>0</v>
      </c>
      <c r="AJ39">
        <v>0</v>
      </c>
      <c r="AK39">
        <v>0</v>
      </c>
      <c r="AL39">
        <v>0</v>
      </c>
      <c r="AM39">
        <v>0</v>
      </c>
      <c r="AN39">
        <f t="shared" si="1"/>
        <v>0</v>
      </c>
      <c r="AP39" t="s">
        <v>4206</v>
      </c>
    </row>
    <row r="40" spans="1:42" hidden="1" x14ac:dyDescent="0.2">
      <c r="A40" t="s">
        <v>4273</v>
      </c>
      <c r="B40" t="s">
        <v>4275</v>
      </c>
      <c r="C40">
        <v>9</v>
      </c>
      <c r="D40">
        <v>1</v>
      </c>
      <c r="E40" t="s">
        <v>213</v>
      </c>
      <c r="F40" s="1">
        <v>43688</v>
      </c>
      <c r="G40" t="s">
        <v>4031</v>
      </c>
      <c r="H40" t="s">
        <v>4724</v>
      </c>
      <c r="I40" s="2">
        <v>6.8749999999999992E-2</v>
      </c>
      <c r="J40" s="176">
        <v>1.1458333333333333E-3</v>
      </c>
      <c r="K40" s="6">
        <v>99</v>
      </c>
      <c r="L40" t="s">
        <v>640</v>
      </c>
      <c r="M40" t="s">
        <v>4258</v>
      </c>
      <c r="N40" t="s">
        <v>568</v>
      </c>
      <c r="O40" t="s">
        <v>23</v>
      </c>
      <c r="P40">
        <v>1</v>
      </c>
      <c r="Q40">
        <v>0</v>
      </c>
      <c r="R40">
        <v>1</v>
      </c>
      <c r="S40" t="s">
        <v>176</v>
      </c>
      <c r="T40" t="s">
        <v>176</v>
      </c>
      <c r="U40" t="s">
        <v>176</v>
      </c>
      <c r="V40" t="s">
        <v>4168</v>
      </c>
      <c r="W40" t="s">
        <v>23</v>
      </c>
      <c r="X40" t="s">
        <v>3997</v>
      </c>
      <c r="Y40" t="s">
        <v>4022</v>
      </c>
      <c r="AA40">
        <v>119</v>
      </c>
      <c r="AB40" t="s">
        <v>176</v>
      </c>
      <c r="AC40" s="19">
        <v>63.718780000000002</v>
      </c>
      <c r="AD40" s="19">
        <v>148.97704999999999</v>
      </c>
      <c r="AE40" t="s">
        <v>115</v>
      </c>
      <c r="AF40" t="s">
        <v>115</v>
      </c>
      <c r="AG40" t="s">
        <v>115</v>
      </c>
      <c r="AH40">
        <v>0</v>
      </c>
      <c r="AI40">
        <v>0</v>
      </c>
      <c r="AJ40">
        <v>0</v>
      </c>
      <c r="AK40">
        <v>0</v>
      </c>
      <c r="AL40">
        <v>0</v>
      </c>
      <c r="AM40">
        <v>0</v>
      </c>
      <c r="AN40">
        <f t="shared" si="1"/>
        <v>0</v>
      </c>
    </row>
    <row r="41" spans="1:42" hidden="1" x14ac:dyDescent="0.2">
      <c r="A41" t="s">
        <v>4273</v>
      </c>
      <c r="B41" t="s">
        <v>4275</v>
      </c>
      <c r="C41">
        <v>9</v>
      </c>
      <c r="D41">
        <v>2</v>
      </c>
      <c r="E41" t="s">
        <v>213</v>
      </c>
      <c r="F41" s="1">
        <v>43688</v>
      </c>
      <c r="G41" t="s">
        <v>4031</v>
      </c>
      <c r="H41" t="s">
        <v>4724</v>
      </c>
      <c r="I41" s="2">
        <v>6.8749999999999992E-2</v>
      </c>
      <c r="J41" s="176">
        <v>1.1458333333333333E-3</v>
      </c>
      <c r="K41" s="6">
        <v>99</v>
      </c>
      <c r="L41" t="s">
        <v>640</v>
      </c>
      <c r="M41" t="s">
        <v>4258</v>
      </c>
      <c r="N41" t="s">
        <v>111</v>
      </c>
      <c r="O41" t="s">
        <v>23</v>
      </c>
      <c r="P41">
        <v>0</v>
      </c>
      <c r="Q41">
        <v>0</v>
      </c>
      <c r="R41">
        <v>1</v>
      </c>
      <c r="S41" t="s">
        <v>176</v>
      </c>
      <c r="T41" t="s">
        <v>176</v>
      </c>
      <c r="U41" t="s">
        <v>176</v>
      </c>
      <c r="V41" t="s">
        <v>4168</v>
      </c>
      <c r="W41" t="s">
        <v>23</v>
      </c>
      <c r="X41" t="s">
        <v>3997</v>
      </c>
      <c r="Y41" t="s">
        <v>4022</v>
      </c>
      <c r="AA41">
        <v>6</v>
      </c>
      <c r="AB41" t="s">
        <v>176</v>
      </c>
      <c r="AC41" s="19">
        <v>63.718780000000002</v>
      </c>
      <c r="AD41" s="19">
        <v>148.97704999999999</v>
      </c>
      <c r="AE41" t="s">
        <v>115</v>
      </c>
      <c r="AF41" t="s">
        <v>115</v>
      </c>
      <c r="AG41" t="s">
        <v>115</v>
      </c>
      <c r="AH41">
        <v>0</v>
      </c>
      <c r="AI41">
        <v>0</v>
      </c>
      <c r="AJ41">
        <v>0</v>
      </c>
      <c r="AK41">
        <v>0</v>
      </c>
      <c r="AL41">
        <v>0</v>
      </c>
      <c r="AM41">
        <v>0</v>
      </c>
      <c r="AN41">
        <f t="shared" si="1"/>
        <v>0</v>
      </c>
    </row>
    <row r="42" spans="1:42" hidden="1" x14ac:dyDescent="0.2">
      <c r="A42" t="s">
        <v>4273</v>
      </c>
      <c r="B42" t="s">
        <v>4275</v>
      </c>
      <c r="C42">
        <v>9</v>
      </c>
      <c r="D42">
        <v>3</v>
      </c>
      <c r="E42" t="s">
        <v>213</v>
      </c>
      <c r="F42" s="1">
        <v>43688</v>
      </c>
      <c r="G42" t="s">
        <v>4031</v>
      </c>
      <c r="H42" t="s">
        <v>4724</v>
      </c>
      <c r="I42" s="2">
        <v>6.8749999999999992E-2</v>
      </c>
      <c r="J42" s="176">
        <v>1.1458333333333333E-3</v>
      </c>
      <c r="K42" s="6">
        <v>99</v>
      </c>
      <c r="L42" t="s">
        <v>640</v>
      </c>
      <c r="M42" t="s">
        <v>4258</v>
      </c>
      <c r="N42" t="s">
        <v>111</v>
      </c>
      <c r="O42" t="s">
        <v>23</v>
      </c>
      <c r="P42">
        <v>0</v>
      </c>
      <c r="Q42">
        <v>0</v>
      </c>
      <c r="R42">
        <v>1</v>
      </c>
      <c r="S42" t="s">
        <v>176</v>
      </c>
      <c r="T42" t="s">
        <v>176</v>
      </c>
      <c r="U42" t="s">
        <v>176</v>
      </c>
      <c r="V42" t="s">
        <v>4168</v>
      </c>
      <c r="W42" t="s">
        <v>23</v>
      </c>
      <c r="X42" t="s">
        <v>3997</v>
      </c>
      <c r="Y42" t="s">
        <v>4022</v>
      </c>
      <c r="AA42">
        <v>260</v>
      </c>
      <c r="AB42" t="s">
        <v>176</v>
      </c>
      <c r="AC42" s="19">
        <v>63.718780000000002</v>
      </c>
      <c r="AD42" s="19">
        <v>148.97704999999999</v>
      </c>
      <c r="AE42" t="s">
        <v>115</v>
      </c>
      <c r="AF42" t="s">
        <v>115</v>
      </c>
      <c r="AG42" t="s">
        <v>115</v>
      </c>
      <c r="AH42">
        <v>0</v>
      </c>
      <c r="AI42">
        <v>0</v>
      </c>
      <c r="AJ42">
        <v>0</v>
      </c>
      <c r="AK42">
        <v>0</v>
      </c>
      <c r="AL42">
        <v>0</v>
      </c>
      <c r="AM42">
        <v>0</v>
      </c>
      <c r="AN42">
        <f t="shared" si="1"/>
        <v>0</v>
      </c>
    </row>
    <row r="43" spans="1:42" hidden="1" x14ac:dyDescent="0.2">
      <c r="A43" t="s">
        <v>4281</v>
      </c>
      <c r="B43" t="s">
        <v>4282</v>
      </c>
      <c r="C43">
        <v>12</v>
      </c>
      <c r="D43">
        <v>2</v>
      </c>
      <c r="E43" t="s">
        <v>213</v>
      </c>
      <c r="F43" s="1">
        <v>43688</v>
      </c>
      <c r="G43" t="s">
        <v>4031</v>
      </c>
      <c r="H43" t="s">
        <v>4724</v>
      </c>
      <c r="I43" s="2">
        <v>2.5694444444444447E-2</v>
      </c>
      <c r="J43" s="176">
        <v>4.2824074074074075E-4</v>
      </c>
      <c r="K43" s="6">
        <v>37</v>
      </c>
      <c r="L43" t="s">
        <v>640</v>
      </c>
      <c r="M43" t="s">
        <v>4280</v>
      </c>
      <c r="N43" t="s">
        <v>102</v>
      </c>
      <c r="O43" t="s">
        <v>23</v>
      </c>
      <c r="P43">
        <v>1</v>
      </c>
      <c r="Q43" t="s">
        <v>176</v>
      </c>
      <c r="R43">
        <v>1</v>
      </c>
      <c r="S43" t="s">
        <v>176</v>
      </c>
      <c r="T43" t="s">
        <v>176</v>
      </c>
      <c r="U43" t="s">
        <v>4159</v>
      </c>
      <c r="V43" t="s">
        <v>709</v>
      </c>
      <c r="W43" t="s">
        <v>23</v>
      </c>
      <c r="X43" t="s">
        <v>4004</v>
      </c>
      <c r="Y43" t="s">
        <v>4022</v>
      </c>
      <c r="Z43" t="s">
        <v>115</v>
      </c>
      <c r="AA43">
        <v>80</v>
      </c>
      <c r="AB43">
        <v>10</v>
      </c>
      <c r="AC43" s="19">
        <v>63.718910000000001</v>
      </c>
      <c r="AD43" s="19">
        <v>148.97681</v>
      </c>
      <c r="AE43" t="s">
        <v>115</v>
      </c>
      <c r="AF43" t="s">
        <v>115</v>
      </c>
      <c r="AG43" t="s">
        <v>115</v>
      </c>
      <c r="AH43">
        <v>10</v>
      </c>
      <c r="AI43">
        <v>0</v>
      </c>
      <c r="AJ43">
        <v>0</v>
      </c>
      <c r="AK43">
        <v>10</v>
      </c>
      <c r="AL43">
        <v>0</v>
      </c>
      <c r="AM43">
        <v>0</v>
      </c>
      <c r="AN43">
        <f t="shared" si="1"/>
        <v>10</v>
      </c>
    </row>
    <row r="44" spans="1:42" hidden="1" x14ac:dyDescent="0.2">
      <c r="A44" t="s">
        <v>4270</v>
      </c>
      <c r="B44" t="s">
        <v>4271</v>
      </c>
      <c r="C44">
        <v>7</v>
      </c>
      <c r="D44">
        <v>1</v>
      </c>
      <c r="E44" t="s">
        <v>213</v>
      </c>
      <c r="F44" s="1">
        <v>43688</v>
      </c>
      <c r="G44" t="s">
        <v>4031</v>
      </c>
      <c r="H44" t="s">
        <v>4724</v>
      </c>
      <c r="I44" s="2">
        <v>2.2916666666666669E-2</v>
      </c>
      <c r="J44" s="176">
        <v>3.8194444444444446E-4</v>
      </c>
      <c r="K44" s="6">
        <v>33</v>
      </c>
      <c r="L44" t="s">
        <v>640</v>
      </c>
      <c r="M44" t="s">
        <v>4258</v>
      </c>
      <c r="N44" t="s">
        <v>102</v>
      </c>
      <c r="O44" t="s">
        <v>23</v>
      </c>
      <c r="P44">
        <v>0</v>
      </c>
      <c r="Q44">
        <v>0</v>
      </c>
      <c r="R44">
        <v>1</v>
      </c>
      <c r="S44" t="s">
        <v>176</v>
      </c>
      <c r="T44" t="s">
        <v>176</v>
      </c>
      <c r="U44" t="s">
        <v>176</v>
      </c>
      <c r="V44" t="s">
        <v>115</v>
      </c>
      <c r="W44" t="s">
        <v>23</v>
      </c>
      <c r="X44" t="s">
        <v>4004</v>
      </c>
      <c r="Y44" t="s">
        <v>4022</v>
      </c>
      <c r="AA44">
        <v>284</v>
      </c>
      <c r="AB44" t="s">
        <v>176</v>
      </c>
      <c r="AC44" s="19">
        <v>63.718960000000003</v>
      </c>
      <c r="AD44" s="19">
        <v>148.97684000000001</v>
      </c>
      <c r="AE44" t="s">
        <v>115</v>
      </c>
      <c r="AF44" t="s">
        <v>115</v>
      </c>
      <c r="AG44" t="s">
        <v>115</v>
      </c>
      <c r="AH44">
        <v>0</v>
      </c>
      <c r="AI44">
        <v>0</v>
      </c>
      <c r="AJ44">
        <v>0</v>
      </c>
      <c r="AK44">
        <v>0</v>
      </c>
      <c r="AL44">
        <v>0</v>
      </c>
      <c r="AM44">
        <v>0</v>
      </c>
      <c r="AN44">
        <f t="shared" si="1"/>
        <v>0</v>
      </c>
    </row>
    <row r="45" spans="1:42" hidden="1" x14ac:dyDescent="0.2">
      <c r="A45" t="s">
        <v>4245</v>
      </c>
      <c r="B45" t="s">
        <v>4246</v>
      </c>
      <c r="C45">
        <v>2</v>
      </c>
      <c r="D45">
        <v>1</v>
      </c>
      <c r="E45" t="s">
        <v>395</v>
      </c>
      <c r="F45" s="1">
        <v>43688</v>
      </c>
      <c r="G45" t="s">
        <v>4031</v>
      </c>
      <c r="H45" t="s">
        <v>4724</v>
      </c>
      <c r="I45" s="2">
        <v>2.013888888888889E-2</v>
      </c>
      <c r="J45" s="176">
        <v>3.3564814814814812E-4</v>
      </c>
      <c r="K45" s="6">
        <v>29</v>
      </c>
      <c r="L45" t="s">
        <v>640</v>
      </c>
      <c r="M45" t="s">
        <v>4243</v>
      </c>
      <c r="N45" t="s">
        <v>111</v>
      </c>
      <c r="O45" t="s">
        <v>23</v>
      </c>
      <c r="P45">
        <v>0</v>
      </c>
      <c r="Q45">
        <v>0</v>
      </c>
      <c r="R45">
        <v>1</v>
      </c>
      <c r="S45" t="s">
        <v>176</v>
      </c>
      <c r="T45" t="s">
        <v>176</v>
      </c>
      <c r="U45" t="s">
        <v>176</v>
      </c>
      <c r="V45" t="s">
        <v>709</v>
      </c>
      <c r="W45" t="s">
        <v>23</v>
      </c>
      <c r="X45" t="s">
        <v>4004</v>
      </c>
      <c r="Y45" t="s">
        <v>4022</v>
      </c>
      <c r="AA45">
        <v>288</v>
      </c>
      <c r="AB45" t="s">
        <v>176</v>
      </c>
      <c r="AC45" s="19">
        <v>63.721469999999997</v>
      </c>
      <c r="AD45" s="19">
        <v>148.98651000000001</v>
      </c>
      <c r="AE45" t="s">
        <v>115</v>
      </c>
      <c r="AF45" t="s">
        <v>115</v>
      </c>
      <c r="AG45" t="s">
        <v>115</v>
      </c>
      <c r="AH45">
        <v>0</v>
      </c>
      <c r="AI45">
        <v>0</v>
      </c>
      <c r="AJ45">
        <v>0</v>
      </c>
      <c r="AK45">
        <v>0</v>
      </c>
      <c r="AL45">
        <v>0</v>
      </c>
      <c r="AM45">
        <v>0</v>
      </c>
      <c r="AN45">
        <f t="shared" si="1"/>
        <v>0</v>
      </c>
    </row>
    <row r="46" spans="1:42" hidden="1" x14ac:dyDescent="0.2">
      <c r="A46" t="s">
        <v>4257</v>
      </c>
      <c r="B46" t="s">
        <v>4259</v>
      </c>
      <c r="C46">
        <v>1</v>
      </c>
      <c r="D46">
        <v>1</v>
      </c>
      <c r="E46" t="s">
        <v>213</v>
      </c>
      <c r="F46" s="1">
        <v>43688</v>
      </c>
      <c r="G46" t="s">
        <v>4031</v>
      </c>
      <c r="H46" t="s">
        <v>4724</v>
      </c>
      <c r="I46" s="2">
        <v>5.6250000000000001E-2</v>
      </c>
      <c r="J46" s="176">
        <v>9.3750000000000007E-4</v>
      </c>
      <c r="K46" s="6">
        <v>81</v>
      </c>
      <c r="L46" t="s">
        <v>640</v>
      </c>
      <c r="M46" t="s">
        <v>4258</v>
      </c>
      <c r="N46" t="s">
        <v>102</v>
      </c>
      <c r="O46" t="s">
        <v>115</v>
      </c>
      <c r="P46">
        <v>1</v>
      </c>
      <c r="Q46">
        <v>0</v>
      </c>
      <c r="R46">
        <v>0</v>
      </c>
      <c r="S46" t="s">
        <v>176</v>
      </c>
      <c r="T46" t="s">
        <v>176</v>
      </c>
      <c r="U46" t="s">
        <v>122</v>
      </c>
      <c r="V46" t="s">
        <v>115</v>
      </c>
      <c r="W46" t="s">
        <v>115</v>
      </c>
      <c r="X46" t="s">
        <v>115</v>
      </c>
      <c r="Y46" t="s">
        <v>115</v>
      </c>
      <c r="Z46" t="s">
        <v>115</v>
      </c>
      <c r="AA46" t="s">
        <v>115</v>
      </c>
      <c r="AB46" t="s">
        <v>115</v>
      </c>
      <c r="AC46" t="s">
        <v>115</v>
      </c>
      <c r="AD46" t="s">
        <v>115</v>
      </c>
      <c r="AE46" t="s">
        <v>115</v>
      </c>
      <c r="AF46" t="s">
        <v>115</v>
      </c>
      <c r="AG46" t="s">
        <v>115</v>
      </c>
      <c r="AH46">
        <v>0</v>
      </c>
      <c r="AI46">
        <v>0</v>
      </c>
      <c r="AJ46">
        <v>0</v>
      </c>
      <c r="AK46">
        <v>0</v>
      </c>
      <c r="AL46">
        <v>81</v>
      </c>
      <c r="AM46">
        <v>0</v>
      </c>
      <c r="AN46">
        <f t="shared" si="1"/>
        <v>81</v>
      </c>
    </row>
    <row r="47" spans="1:42" hidden="1" x14ac:dyDescent="0.2">
      <c r="A47" t="s">
        <v>4281</v>
      </c>
      <c r="B47" t="s">
        <v>4282</v>
      </c>
      <c r="C47">
        <v>12</v>
      </c>
      <c r="D47">
        <v>2</v>
      </c>
      <c r="E47" t="s">
        <v>213</v>
      </c>
      <c r="F47" s="1">
        <v>43688</v>
      </c>
      <c r="G47" t="s">
        <v>4031</v>
      </c>
      <c r="H47" t="s">
        <v>4724</v>
      </c>
      <c r="I47" s="2">
        <v>2.5694444444444447E-2</v>
      </c>
      <c r="J47" s="176">
        <v>4.2824074074074075E-4</v>
      </c>
      <c r="K47" s="6">
        <v>37</v>
      </c>
      <c r="L47" t="s">
        <v>640</v>
      </c>
      <c r="M47" t="s">
        <v>4280</v>
      </c>
      <c r="N47" t="s">
        <v>102</v>
      </c>
      <c r="O47" t="s">
        <v>23</v>
      </c>
      <c r="P47">
        <v>1</v>
      </c>
      <c r="Q47">
        <v>0</v>
      </c>
      <c r="R47" t="s">
        <v>176</v>
      </c>
      <c r="S47" t="s">
        <v>176</v>
      </c>
      <c r="T47" t="s">
        <v>176</v>
      </c>
      <c r="U47" t="s">
        <v>4159</v>
      </c>
      <c r="V47" t="s">
        <v>115</v>
      </c>
      <c r="W47" t="s">
        <v>115</v>
      </c>
      <c r="X47" t="s">
        <v>115</v>
      </c>
      <c r="Y47" t="s">
        <v>115</v>
      </c>
      <c r="Z47" t="s">
        <v>115</v>
      </c>
      <c r="AA47" t="s">
        <v>115</v>
      </c>
      <c r="AB47" t="s">
        <v>115</v>
      </c>
      <c r="AC47" t="s">
        <v>115</v>
      </c>
      <c r="AD47" t="s">
        <v>115</v>
      </c>
      <c r="AE47" t="s">
        <v>115</v>
      </c>
      <c r="AF47" t="s">
        <v>115</v>
      </c>
      <c r="AG47" t="s">
        <v>115</v>
      </c>
      <c r="AH47">
        <v>5</v>
      </c>
      <c r="AI47">
        <v>0</v>
      </c>
      <c r="AJ47">
        <v>0</v>
      </c>
      <c r="AK47">
        <v>5</v>
      </c>
      <c r="AL47">
        <v>0</v>
      </c>
      <c r="AM47">
        <v>0</v>
      </c>
      <c r="AN47">
        <f t="shared" si="1"/>
        <v>5</v>
      </c>
    </row>
    <row r="48" spans="1:42" hidden="1" x14ac:dyDescent="0.2">
      <c r="A48" t="s">
        <v>4284</v>
      </c>
      <c r="B48" t="s">
        <v>4285</v>
      </c>
      <c r="C48">
        <v>13</v>
      </c>
      <c r="D48">
        <v>1</v>
      </c>
      <c r="E48" t="s">
        <v>213</v>
      </c>
      <c r="F48" s="1">
        <v>43688</v>
      </c>
      <c r="G48" t="s">
        <v>4031</v>
      </c>
      <c r="H48" t="s">
        <v>4724</v>
      </c>
      <c r="I48" s="2">
        <v>1.8055555555555557E-2</v>
      </c>
      <c r="J48" s="176">
        <v>3.0092592592592595E-4</v>
      </c>
      <c r="K48" s="6">
        <v>26</v>
      </c>
      <c r="L48" t="s">
        <v>640</v>
      </c>
      <c r="M48" t="s">
        <v>4280</v>
      </c>
      <c r="N48" t="s">
        <v>102</v>
      </c>
      <c r="O48" t="s">
        <v>115</v>
      </c>
      <c r="P48">
        <v>1</v>
      </c>
      <c r="Q48">
        <v>0</v>
      </c>
      <c r="R48">
        <v>0</v>
      </c>
      <c r="S48" t="s">
        <v>176</v>
      </c>
      <c r="T48" t="s">
        <v>176</v>
      </c>
      <c r="U48" t="s">
        <v>122</v>
      </c>
      <c r="V48" t="s">
        <v>115</v>
      </c>
      <c r="W48" t="s">
        <v>115</v>
      </c>
      <c r="X48" t="s">
        <v>115</v>
      </c>
      <c r="Y48" t="s">
        <v>115</v>
      </c>
      <c r="Z48" t="s">
        <v>115</v>
      </c>
      <c r="AA48" t="s">
        <v>115</v>
      </c>
      <c r="AB48" t="s">
        <v>115</v>
      </c>
      <c r="AC48" t="s">
        <v>115</v>
      </c>
      <c r="AD48" t="s">
        <v>115</v>
      </c>
      <c r="AE48" t="s">
        <v>115</v>
      </c>
      <c r="AF48" t="s">
        <v>115</v>
      </c>
      <c r="AG48" t="s">
        <v>115</v>
      </c>
      <c r="AH48">
        <v>0</v>
      </c>
      <c r="AI48">
        <v>0</v>
      </c>
      <c r="AJ48">
        <v>0</v>
      </c>
      <c r="AK48">
        <v>0</v>
      </c>
      <c r="AL48">
        <v>1</v>
      </c>
      <c r="AM48">
        <v>0</v>
      </c>
      <c r="AN48">
        <f t="shared" si="1"/>
        <v>1</v>
      </c>
    </row>
    <row r="49" spans="1:42" hidden="1" x14ac:dyDescent="0.2">
      <c r="A49" t="s">
        <v>4260</v>
      </c>
      <c r="B49" t="s">
        <v>4261</v>
      </c>
      <c r="C49">
        <v>2</v>
      </c>
      <c r="D49">
        <v>1</v>
      </c>
      <c r="E49" t="s">
        <v>213</v>
      </c>
      <c r="F49" s="1">
        <v>43688</v>
      </c>
      <c r="G49" t="s">
        <v>4031</v>
      </c>
      <c r="H49" t="s">
        <v>4724</v>
      </c>
      <c r="I49" s="2">
        <v>2.0833333333333332E-2</v>
      </c>
      <c r="J49" s="176">
        <v>3.4722222222222224E-4</v>
      </c>
      <c r="K49" s="6">
        <v>30</v>
      </c>
      <c r="L49" t="s">
        <v>640</v>
      </c>
      <c r="M49" t="s">
        <v>4258</v>
      </c>
      <c r="N49" t="s">
        <v>102</v>
      </c>
      <c r="O49" t="s">
        <v>115</v>
      </c>
      <c r="P49" t="s">
        <v>176</v>
      </c>
      <c r="Q49">
        <v>0</v>
      </c>
      <c r="R49">
        <v>0</v>
      </c>
      <c r="S49" t="s">
        <v>115</v>
      </c>
      <c r="T49" t="s">
        <v>115</v>
      </c>
      <c r="U49" t="s">
        <v>115</v>
      </c>
      <c r="V49" t="s">
        <v>115</v>
      </c>
      <c r="W49" t="s">
        <v>115</v>
      </c>
      <c r="X49" t="s">
        <v>115</v>
      </c>
      <c r="Y49" t="s">
        <v>115</v>
      </c>
      <c r="Z49" t="s">
        <v>115</v>
      </c>
      <c r="AA49" t="s">
        <v>115</v>
      </c>
      <c r="AB49" t="s">
        <v>115</v>
      </c>
      <c r="AC49" t="s">
        <v>115</v>
      </c>
      <c r="AD49" t="s">
        <v>115</v>
      </c>
      <c r="AE49" t="s">
        <v>115</v>
      </c>
      <c r="AF49" t="s">
        <v>115</v>
      </c>
      <c r="AG49" t="s">
        <v>115</v>
      </c>
      <c r="AH49">
        <v>0</v>
      </c>
      <c r="AI49">
        <v>0</v>
      </c>
      <c r="AJ49">
        <v>0</v>
      </c>
      <c r="AK49">
        <v>0</v>
      </c>
      <c r="AL49">
        <v>30</v>
      </c>
      <c r="AM49">
        <v>0</v>
      </c>
      <c r="AN49">
        <f t="shared" si="1"/>
        <v>30</v>
      </c>
    </row>
    <row r="50" spans="1:42" hidden="1" x14ac:dyDescent="0.2">
      <c r="A50" t="s">
        <v>4262</v>
      </c>
      <c r="B50" t="s">
        <v>4263</v>
      </c>
      <c r="C50">
        <v>3</v>
      </c>
      <c r="D50">
        <v>1</v>
      </c>
      <c r="E50" t="s">
        <v>213</v>
      </c>
      <c r="F50" s="1">
        <v>43688</v>
      </c>
      <c r="G50" t="s">
        <v>4031</v>
      </c>
      <c r="H50" t="s">
        <v>4724</v>
      </c>
      <c r="I50" s="2">
        <v>9.7222222222222224E-3</v>
      </c>
      <c r="J50" s="176">
        <v>1.6203703703703703E-4</v>
      </c>
      <c r="K50" s="6">
        <v>14</v>
      </c>
      <c r="L50" t="s">
        <v>640</v>
      </c>
      <c r="M50" t="s">
        <v>4258</v>
      </c>
      <c r="N50" t="s">
        <v>102</v>
      </c>
      <c r="O50" t="s">
        <v>115</v>
      </c>
      <c r="P50" t="s">
        <v>176</v>
      </c>
      <c r="Q50">
        <v>0</v>
      </c>
      <c r="R50">
        <v>0</v>
      </c>
      <c r="S50" t="s">
        <v>115</v>
      </c>
      <c r="T50" t="s">
        <v>115</v>
      </c>
      <c r="U50" t="s">
        <v>115</v>
      </c>
      <c r="V50" t="s">
        <v>115</v>
      </c>
      <c r="W50" t="s">
        <v>115</v>
      </c>
      <c r="X50" t="s">
        <v>115</v>
      </c>
      <c r="Y50" t="s">
        <v>115</v>
      </c>
      <c r="Z50" t="s">
        <v>115</v>
      </c>
      <c r="AA50" t="s">
        <v>115</v>
      </c>
      <c r="AB50" t="s">
        <v>115</v>
      </c>
      <c r="AC50" t="s">
        <v>115</v>
      </c>
      <c r="AD50" t="s">
        <v>115</v>
      </c>
      <c r="AE50" t="s">
        <v>115</v>
      </c>
      <c r="AF50" t="s">
        <v>115</v>
      </c>
      <c r="AG50" t="s">
        <v>115</v>
      </c>
      <c r="AH50">
        <v>0</v>
      </c>
      <c r="AI50">
        <v>0</v>
      </c>
      <c r="AJ50">
        <v>0</v>
      </c>
      <c r="AK50">
        <v>0</v>
      </c>
      <c r="AL50">
        <v>12</v>
      </c>
      <c r="AM50">
        <v>0</v>
      </c>
      <c r="AN50">
        <f t="shared" si="1"/>
        <v>12</v>
      </c>
    </row>
    <row r="51" spans="1:42" hidden="1" x14ac:dyDescent="0.2">
      <c r="A51" t="s">
        <v>4264</v>
      </c>
      <c r="B51" t="s">
        <v>4265</v>
      </c>
      <c r="C51">
        <v>4</v>
      </c>
      <c r="D51">
        <v>1</v>
      </c>
      <c r="E51" t="s">
        <v>213</v>
      </c>
      <c r="F51" s="1">
        <v>43688</v>
      </c>
      <c r="G51" t="s">
        <v>4031</v>
      </c>
      <c r="H51" t="s">
        <v>4724</v>
      </c>
      <c r="I51" s="2">
        <v>1.6666666666666666E-2</v>
      </c>
      <c r="J51" s="176">
        <v>2.7777777777777778E-4</v>
      </c>
      <c r="K51" s="6">
        <v>24</v>
      </c>
      <c r="L51" t="s">
        <v>640</v>
      </c>
      <c r="M51" t="s">
        <v>4258</v>
      </c>
      <c r="N51" t="s">
        <v>102</v>
      </c>
      <c r="O51" t="s">
        <v>115</v>
      </c>
      <c r="P51" t="s">
        <v>176</v>
      </c>
      <c r="Q51">
        <v>0</v>
      </c>
      <c r="R51">
        <v>0</v>
      </c>
      <c r="S51" t="s">
        <v>115</v>
      </c>
      <c r="T51" t="s">
        <v>115</v>
      </c>
      <c r="U51" t="s">
        <v>115</v>
      </c>
      <c r="V51" t="s">
        <v>115</v>
      </c>
      <c r="W51" t="s">
        <v>115</v>
      </c>
      <c r="X51" t="s">
        <v>115</v>
      </c>
      <c r="Y51" t="s">
        <v>115</v>
      </c>
      <c r="Z51" t="s">
        <v>115</v>
      </c>
      <c r="AA51" t="s">
        <v>115</v>
      </c>
      <c r="AB51" t="s">
        <v>115</v>
      </c>
      <c r="AC51" t="s">
        <v>115</v>
      </c>
      <c r="AD51" t="s">
        <v>115</v>
      </c>
      <c r="AE51" t="s">
        <v>115</v>
      </c>
      <c r="AF51" t="s">
        <v>115</v>
      </c>
      <c r="AG51" t="s">
        <v>115</v>
      </c>
      <c r="AH51">
        <v>0</v>
      </c>
      <c r="AI51">
        <v>0</v>
      </c>
      <c r="AJ51">
        <v>0</v>
      </c>
      <c r="AK51">
        <v>0</v>
      </c>
      <c r="AL51">
        <v>22</v>
      </c>
      <c r="AM51">
        <v>0</v>
      </c>
      <c r="AN51">
        <f t="shared" si="1"/>
        <v>22</v>
      </c>
    </row>
    <row r="52" spans="1:42" hidden="1" x14ac:dyDescent="0.2">
      <c r="A52" t="s">
        <v>4272</v>
      </c>
      <c r="B52" t="s">
        <v>4274</v>
      </c>
      <c r="C52">
        <v>8</v>
      </c>
      <c r="D52">
        <v>1</v>
      </c>
      <c r="E52" t="s">
        <v>213</v>
      </c>
      <c r="F52" s="1">
        <v>43688</v>
      </c>
      <c r="G52" t="s">
        <v>4031</v>
      </c>
      <c r="H52" t="s">
        <v>4724</v>
      </c>
      <c r="I52" s="2">
        <v>1.7361111111111112E-2</v>
      </c>
      <c r="J52" s="176">
        <v>2.8935185185185189E-4</v>
      </c>
      <c r="K52" s="6">
        <v>25</v>
      </c>
      <c r="L52" t="s">
        <v>640</v>
      </c>
      <c r="M52" t="s">
        <v>4258</v>
      </c>
      <c r="N52" t="s">
        <v>102</v>
      </c>
      <c r="O52" t="s">
        <v>115</v>
      </c>
      <c r="P52" t="s">
        <v>176</v>
      </c>
      <c r="Q52">
        <v>0</v>
      </c>
      <c r="R52">
        <v>0</v>
      </c>
      <c r="S52" t="s">
        <v>115</v>
      </c>
      <c r="T52" t="s">
        <v>115</v>
      </c>
      <c r="U52" t="s">
        <v>115</v>
      </c>
      <c r="V52" t="s">
        <v>115</v>
      </c>
      <c r="W52" t="s">
        <v>115</v>
      </c>
      <c r="X52" t="s">
        <v>115</v>
      </c>
      <c r="Y52" t="s">
        <v>115</v>
      </c>
      <c r="Z52" t="s">
        <v>115</v>
      </c>
      <c r="AA52" t="s">
        <v>115</v>
      </c>
      <c r="AB52" t="s">
        <v>115</v>
      </c>
      <c r="AC52" t="s">
        <v>115</v>
      </c>
      <c r="AD52" t="s">
        <v>115</v>
      </c>
      <c r="AE52" t="s">
        <v>115</v>
      </c>
      <c r="AF52" t="s">
        <v>115</v>
      </c>
      <c r="AG52" t="s">
        <v>115</v>
      </c>
      <c r="AH52">
        <v>0</v>
      </c>
      <c r="AI52">
        <v>0</v>
      </c>
      <c r="AJ52">
        <v>0</v>
      </c>
      <c r="AK52">
        <v>0</v>
      </c>
      <c r="AL52">
        <v>5</v>
      </c>
      <c r="AM52">
        <v>0</v>
      </c>
      <c r="AN52">
        <f t="shared" si="1"/>
        <v>5</v>
      </c>
    </row>
    <row r="53" spans="1:42" hidden="1" x14ac:dyDescent="0.2">
      <c r="A53" t="s">
        <v>4276</v>
      </c>
      <c r="B53" t="s">
        <v>4277</v>
      </c>
      <c r="C53">
        <v>10</v>
      </c>
      <c r="D53">
        <v>1</v>
      </c>
      <c r="E53" t="s">
        <v>213</v>
      </c>
      <c r="F53" s="1">
        <v>43688</v>
      </c>
      <c r="G53" t="s">
        <v>4031</v>
      </c>
      <c r="H53" t="s">
        <v>4724</v>
      </c>
      <c r="I53" s="2">
        <v>6.25E-2</v>
      </c>
      <c r="J53" s="176">
        <v>1.0416666666666667E-3</v>
      </c>
      <c r="K53" s="6">
        <v>90</v>
      </c>
      <c r="L53" t="s">
        <v>640</v>
      </c>
      <c r="M53" t="s">
        <v>4258</v>
      </c>
      <c r="N53" t="s">
        <v>102</v>
      </c>
      <c r="O53" t="s">
        <v>115</v>
      </c>
      <c r="P53" t="s">
        <v>176</v>
      </c>
      <c r="Q53">
        <v>0</v>
      </c>
      <c r="R53">
        <v>0</v>
      </c>
      <c r="S53" t="s">
        <v>115</v>
      </c>
      <c r="T53" t="s">
        <v>115</v>
      </c>
      <c r="U53" t="s">
        <v>115</v>
      </c>
      <c r="V53" t="s">
        <v>115</v>
      </c>
      <c r="W53" t="s">
        <v>115</v>
      </c>
      <c r="X53" t="s">
        <v>115</v>
      </c>
      <c r="Y53" t="s">
        <v>115</v>
      </c>
      <c r="Z53" t="s">
        <v>115</v>
      </c>
      <c r="AA53" t="s">
        <v>115</v>
      </c>
      <c r="AB53" t="s">
        <v>115</v>
      </c>
      <c r="AC53" t="s">
        <v>115</v>
      </c>
      <c r="AD53" t="s">
        <v>115</v>
      </c>
      <c r="AE53" t="s">
        <v>115</v>
      </c>
      <c r="AF53" t="s">
        <v>115</v>
      </c>
      <c r="AG53" t="s">
        <v>115</v>
      </c>
      <c r="AH53">
        <v>0</v>
      </c>
      <c r="AI53">
        <v>0</v>
      </c>
      <c r="AJ53">
        <v>0</v>
      </c>
      <c r="AK53">
        <v>0</v>
      </c>
      <c r="AL53">
        <v>87</v>
      </c>
      <c r="AM53">
        <v>0</v>
      </c>
      <c r="AN53">
        <f t="shared" si="1"/>
        <v>87</v>
      </c>
    </row>
    <row r="54" spans="1:42" hidden="1" x14ac:dyDescent="0.2">
      <c r="A54" t="s">
        <v>4278</v>
      </c>
      <c r="B54" t="s">
        <v>4279</v>
      </c>
      <c r="C54">
        <v>11</v>
      </c>
      <c r="D54">
        <v>1</v>
      </c>
      <c r="E54" t="s">
        <v>213</v>
      </c>
      <c r="F54" s="1">
        <v>43688</v>
      </c>
      <c r="G54" t="s">
        <v>4031</v>
      </c>
      <c r="H54" t="s">
        <v>4724</v>
      </c>
      <c r="I54" s="2">
        <v>3.6111111111111115E-2</v>
      </c>
      <c r="J54" s="176">
        <v>6.018518518518519E-4</v>
      </c>
      <c r="K54" s="6">
        <v>52</v>
      </c>
      <c r="L54" t="s">
        <v>640</v>
      </c>
      <c r="M54" t="s">
        <v>4280</v>
      </c>
      <c r="N54" t="s">
        <v>102</v>
      </c>
      <c r="O54" t="s">
        <v>115</v>
      </c>
      <c r="P54" t="s">
        <v>176</v>
      </c>
      <c r="Q54">
        <v>0</v>
      </c>
      <c r="R54">
        <v>0</v>
      </c>
      <c r="S54" t="s">
        <v>115</v>
      </c>
      <c r="T54" t="s">
        <v>115</v>
      </c>
      <c r="U54" t="s">
        <v>115</v>
      </c>
      <c r="V54" t="s">
        <v>115</v>
      </c>
      <c r="W54" t="s">
        <v>115</v>
      </c>
      <c r="X54" t="s">
        <v>115</v>
      </c>
      <c r="Y54" t="s">
        <v>115</v>
      </c>
      <c r="Z54" t="s">
        <v>115</v>
      </c>
      <c r="AA54" t="s">
        <v>115</v>
      </c>
      <c r="AB54" t="s">
        <v>115</v>
      </c>
      <c r="AC54" t="s">
        <v>115</v>
      </c>
      <c r="AD54" t="s">
        <v>115</v>
      </c>
      <c r="AE54" t="s">
        <v>115</v>
      </c>
      <c r="AF54" t="s">
        <v>115</v>
      </c>
      <c r="AG54" t="s">
        <v>115</v>
      </c>
      <c r="AH54">
        <v>0</v>
      </c>
      <c r="AI54">
        <v>0</v>
      </c>
      <c r="AJ54">
        <v>0</v>
      </c>
      <c r="AK54">
        <v>0</v>
      </c>
      <c r="AL54">
        <v>12</v>
      </c>
      <c r="AM54">
        <v>0</v>
      </c>
      <c r="AN54">
        <f t="shared" si="1"/>
        <v>12</v>
      </c>
    </row>
    <row r="55" spans="1:42" hidden="1" x14ac:dyDescent="0.2">
      <c r="A55" t="s">
        <v>4251</v>
      </c>
      <c r="B55" t="s">
        <v>4252</v>
      </c>
      <c r="C55">
        <v>4</v>
      </c>
      <c r="D55">
        <v>1</v>
      </c>
      <c r="E55" t="s">
        <v>395</v>
      </c>
      <c r="F55" s="1">
        <v>43688</v>
      </c>
      <c r="G55" t="s">
        <v>4031</v>
      </c>
      <c r="H55" t="s">
        <v>4724</v>
      </c>
      <c r="I55" s="2">
        <v>5.347222222222222E-2</v>
      </c>
      <c r="J55" s="176">
        <v>8.9120370370370362E-4</v>
      </c>
      <c r="K55" s="6">
        <v>77</v>
      </c>
      <c r="L55" t="s">
        <v>640</v>
      </c>
      <c r="M55" t="s">
        <v>4250</v>
      </c>
      <c r="N55" t="s">
        <v>568</v>
      </c>
      <c r="O55" t="s">
        <v>23</v>
      </c>
      <c r="P55">
        <v>1</v>
      </c>
      <c r="Q55">
        <v>0</v>
      </c>
      <c r="R55">
        <v>1</v>
      </c>
      <c r="S55" t="s">
        <v>112</v>
      </c>
      <c r="T55" t="s">
        <v>4249</v>
      </c>
      <c r="U55" t="s">
        <v>122</v>
      </c>
      <c r="V55" t="s">
        <v>4168</v>
      </c>
      <c r="W55" t="s">
        <v>23</v>
      </c>
      <c r="X55" t="s">
        <v>3997</v>
      </c>
      <c r="Y55" t="s">
        <v>4022</v>
      </c>
      <c r="AA55">
        <v>287</v>
      </c>
      <c r="AB55">
        <v>5</v>
      </c>
      <c r="AC55" s="19">
        <v>63.721490000000003</v>
      </c>
      <c r="AD55" s="19">
        <v>148.98625000000001</v>
      </c>
      <c r="AE55" t="s">
        <v>115</v>
      </c>
      <c r="AF55" t="s">
        <v>115</v>
      </c>
      <c r="AG55" t="s">
        <v>115</v>
      </c>
      <c r="AH55">
        <v>0</v>
      </c>
      <c r="AI55">
        <v>0</v>
      </c>
      <c r="AJ55">
        <v>0</v>
      </c>
      <c r="AK55">
        <v>0</v>
      </c>
      <c r="AL55">
        <v>11</v>
      </c>
      <c r="AM55">
        <v>0</v>
      </c>
      <c r="AN55">
        <f t="shared" si="1"/>
        <v>11</v>
      </c>
    </row>
    <row r="56" spans="1:42" hidden="1" x14ac:dyDescent="0.2">
      <c r="A56" t="s">
        <v>4247</v>
      </c>
      <c r="B56" t="s">
        <v>4248</v>
      </c>
      <c r="C56">
        <v>3</v>
      </c>
      <c r="D56">
        <v>2</v>
      </c>
      <c r="E56" t="s">
        <v>395</v>
      </c>
      <c r="F56" s="1">
        <v>43688</v>
      </c>
      <c r="G56" t="s">
        <v>4031</v>
      </c>
      <c r="H56" t="s">
        <v>4724</v>
      </c>
      <c r="I56" s="2">
        <v>2.6388888888888889E-2</v>
      </c>
      <c r="J56" s="176">
        <v>4.3981481481481481E-4</v>
      </c>
      <c r="K56" s="6">
        <v>38</v>
      </c>
      <c r="L56" t="s">
        <v>640</v>
      </c>
      <c r="M56" t="s">
        <v>4250</v>
      </c>
      <c r="N56" t="s">
        <v>102</v>
      </c>
      <c r="O56" t="s">
        <v>23</v>
      </c>
      <c r="P56">
        <v>1</v>
      </c>
      <c r="Q56">
        <v>0</v>
      </c>
      <c r="R56">
        <v>1</v>
      </c>
      <c r="S56" t="s">
        <v>112</v>
      </c>
      <c r="T56" t="s">
        <v>4249</v>
      </c>
      <c r="U56" t="s">
        <v>122</v>
      </c>
      <c r="V56" t="s">
        <v>4168</v>
      </c>
      <c r="W56" t="s">
        <v>23</v>
      </c>
      <c r="X56" t="s">
        <v>3997</v>
      </c>
      <c r="Y56" t="s">
        <v>4022</v>
      </c>
      <c r="AA56">
        <v>340</v>
      </c>
      <c r="AB56">
        <v>0</v>
      </c>
      <c r="AC56" s="19">
        <v>63.721499999999999</v>
      </c>
      <c r="AD56" s="19">
        <v>148.98625000000001</v>
      </c>
      <c r="AE56" t="s">
        <v>115</v>
      </c>
      <c r="AF56" t="s">
        <v>115</v>
      </c>
      <c r="AG56" t="s">
        <v>115</v>
      </c>
      <c r="AH56">
        <v>0</v>
      </c>
      <c r="AI56">
        <v>0</v>
      </c>
      <c r="AJ56">
        <v>0</v>
      </c>
      <c r="AK56">
        <v>0</v>
      </c>
      <c r="AL56">
        <v>12</v>
      </c>
      <c r="AM56">
        <v>0</v>
      </c>
      <c r="AN56">
        <f t="shared" si="1"/>
        <v>12</v>
      </c>
    </row>
    <row r="57" spans="1:42" hidden="1" x14ac:dyDescent="0.2">
      <c r="A57" t="s">
        <v>4251</v>
      </c>
      <c r="B57" t="s">
        <v>4252</v>
      </c>
      <c r="C57">
        <v>4</v>
      </c>
      <c r="D57">
        <v>2</v>
      </c>
      <c r="E57" t="s">
        <v>395</v>
      </c>
      <c r="F57" s="1">
        <v>43688</v>
      </c>
      <c r="G57" t="s">
        <v>4031</v>
      </c>
      <c r="H57" t="s">
        <v>4724</v>
      </c>
      <c r="I57" s="2">
        <v>5.347222222222222E-2</v>
      </c>
      <c r="J57" s="176">
        <v>8.9120370370370362E-4</v>
      </c>
      <c r="K57" s="6">
        <v>77</v>
      </c>
      <c r="L57" t="s">
        <v>640</v>
      </c>
      <c r="M57" t="s">
        <v>4250</v>
      </c>
      <c r="N57" t="s">
        <v>568</v>
      </c>
      <c r="O57" t="s">
        <v>23</v>
      </c>
      <c r="P57">
        <v>1</v>
      </c>
      <c r="Q57">
        <v>0</v>
      </c>
      <c r="R57">
        <v>1</v>
      </c>
      <c r="S57" t="s">
        <v>112</v>
      </c>
      <c r="T57" t="s">
        <v>4249</v>
      </c>
      <c r="U57" t="s">
        <v>122</v>
      </c>
      <c r="V57" t="s">
        <v>4168</v>
      </c>
      <c r="W57" t="s">
        <v>23</v>
      </c>
      <c r="X57" t="s">
        <v>3997</v>
      </c>
      <c r="Y57" t="s">
        <v>4022</v>
      </c>
      <c r="AA57">
        <v>256</v>
      </c>
      <c r="AB57">
        <v>0</v>
      </c>
      <c r="AC57" s="19">
        <v>63.721499999999999</v>
      </c>
      <c r="AD57" s="19">
        <v>148.98625000000001</v>
      </c>
      <c r="AE57" t="s">
        <v>115</v>
      </c>
      <c r="AF57" t="s">
        <v>115</v>
      </c>
      <c r="AG57" t="s">
        <v>115</v>
      </c>
      <c r="AH57">
        <v>0</v>
      </c>
      <c r="AI57">
        <v>0</v>
      </c>
      <c r="AJ57">
        <v>0</v>
      </c>
      <c r="AK57">
        <v>0</v>
      </c>
      <c r="AL57">
        <v>10</v>
      </c>
      <c r="AM57">
        <v>0</v>
      </c>
      <c r="AN57">
        <f t="shared" si="1"/>
        <v>10</v>
      </c>
    </row>
    <row r="58" spans="1:42" hidden="1" x14ac:dyDescent="0.2">
      <c r="A58" t="s">
        <v>4247</v>
      </c>
      <c r="B58" t="s">
        <v>4248</v>
      </c>
      <c r="C58">
        <v>3</v>
      </c>
      <c r="D58">
        <v>1</v>
      </c>
      <c r="E58" t="s">
        <v>395</v>
      </c>
      <c r="F58" s="1">
        <v>43688</v>
      </c>
      <c r="G58" t="s">
        <v>4031</v>
      </c>
      <c r="H58" t="s">
        <v>4724</v>
      </c>
      <c r="I58" s="2">
        <v>2.6388888888888889E-2</v>
      </c>
      <c r="J58" s="176">
        <v>4.3981481481481481E-4</v>
      </c>
      <c r="K58" s="6">
        <v>38</v>
      </c>
      <c r="L58" t="s">
        <v>640</v>
      </c>
      <c r="M58" t="s">
        <v>4243</v>
      </c>
      <c r="N58" t="s">
        <v>102</v>
      </c>
      <c r="O58" t="s">
        <v>23</v>
      </c>
      <c r="P58">
        <v>1</v>
      </c>
      <c r="Q58">
        <v>0</v>
      </c>
      <c r="R58">
        <v>0</v>
      </c>
      <c r="S58" t="s">
        <v>112</v>
      </c>
      <c r="T58" t="s">
        <v>4249</v>
      </c>
      <c r="U58" t="s">
        <v>122</v>
      </c>
      <c r="V58" t="s">
        <v>115</v>
      </c>
      <c r="W58" t="s">
        <v>115</v>
      </c>
      <c r="X58" t="s">
        <v>115</v>
      </c>
      <c r="Y58" t="s">
        <v>115</v>
      </c>
      <c r="Z58" t="s">
        <v>115</v>
      </c>
      <c r="AA58" t="s">
        <v>115</v>
      </c>
      <c r="AB58" t="s">
        <v>115</v>
      </c>
      <c r="AC58" t="s">
        <v>115</v>
      </c>
      <c r="AD58" t="s">
        <v>115</v>
      </c>
      <c r="AE58" t="s">
        <v>115</v>
      </c>
      <c r="AF58" t="s">
        <v>115</v>
      </c>
      <c r="AG58" t="s">
        <v>115</v>
      </c>
      <c r="AH58">
        <v>0</v>
      </c>
      <c r="AI58">
        <v>0</v>
      </c>
      <c r="AJ58">
        <v>0</v>
      </c>
      <c r="AK58">
        <v>0</v>
      </c>
      <c r="AL58">
        <v>3</v>
      </c>
      <c r="AM58">
        <v>0</v>
      </c>
      <c r="AN58">
        <f t="shared" si="1"/>
        <v>3</v>
      </c>
    </row>
    <row r="59" spans="1:42" hidden="1" x14ac:dyDescent="0.2">
      <c r="A59" t="s">
        <v>4251</v>
      </c>
      <c r="B59" t="s">
        <v>4252</v>
      </c>
      <c r="C59">
        <v>4</v>
      </c>
      <c r="D59">
        <v>3</v>
      </c>
      <c r="E59" t="s">
        <v>395</v>
      </c>
      <c r="F59" s="1">
        <v>43688</v>
      </c>
      <c r="G59" t="s">
        <v>4031</v>
      </c>
      <c r="H59" t="s">
        <v>4724</v>
      </c>
      <c r="I59" s="2">
        <v>5.347222222222222E-2</v>
      </c>
      <c r="J59" s="176">
        <v>8.9120370370370362E-4</v>
      </c>
      <c r="K59" s="6">
        <v>77</v>
      </c>
      <c r="L59" t="s">
        <v>640</v>
      </c>
      <c r="M59" t="s">
        <v>4250</v>
      </c>
      <c r="N59" t="s">
        <v>568</v>
      </c>
      <c r="O59" t="s">
        <v>23</v>
      </c>
      <c r="P59">
        <v>1</v>
      </c>
      <c r="Q59">
        <v>0</v>
      </c>
      <c r="R59">
        <v>0</v>
      </c>
      <c r="S59" t="s">
        <v>112</v>
      </c>
      <c r="T59" t="s">
        <v>4249</v>
      </c>
      <c r="U59" t="s">
        <v>122</v>
      </c>
      <c r="V59" t="s">
        <v>115</v>
      </c>
      <c r="W59" t="s">
        <v>115</v>
      </c>
      <c r="X59" t="s">
        <v>115</v>
      </c>
      <c r="Y59" t="s">
        <v>115</v>
      </c>
      <c r="Z59" t="s">
        <v>115</v>
      </c>
      <c r="AA59" t="s">
        <v>115</v>
      </c>
      <c r="AB59" t="s">
        <v>115</v>
      </c>
      <c r="AC59" t="s">
        <v>115</v>
      </c>
      <c r="AD59" t="s">
        <v>115</v>
      </c>
      <c r="AE59" t="s">
        <v>115</v>
      </c>
      <c r="AF59" t="s">
        <v>115</v>
      </c>
      <c r="AG59" t="s">
        <v>115</v>
      </c>
      <c r="AH59">
        <v>0</v>
      </c>
      <c r="AI59">
        <v>0</v>
      </c>
      <c r="AJ59">
        <v>0</v>
      </c>
      <c r="AK59">
        <v>0</v>
      </c>
      <c r="AL59">
        <v>10</v>
      </c>
      <c r="AM59">
        <v>0</v>
      </c>
      <c r="AN59">
        <f t="shared" si="1"/>
        <v>10</v>
      </c>
    </row>
    <row r="60" spans="1:42" hidden="1" x14ac:dyDescent="0.2">
      <c r="A60" t="s">
        <v>4253</v>
      </c>
      <c r="B60" t="s">
        <v>4254</v>
      </c>
      <c r="C60">
        <v>5</v>
      </c>
      <c r="D60">
        <v>1</v>
      </c>
      <c r="E60" t="s">
        <v>395</v>
      </c>
      <c r="F60" s="1">
        <v>43688</v>
      </c>
      <c r="G60" t="s">
        <v>4031</v>
      </c>
      <c r="H60" t="s">
        <v>4724</v>
      </c>
      <c r="I60" s="2">
        <v>9.0277777777777787E-3</v>
      </c>
      <c r="J60" s="176">
        <v>1.5046296296296297E-4</v>
      </c>
      <c r="K60" s="6">
        <v>13</v>
      </c>
      <c r="L60" t="s">
        <v>640</v>
      </c>
      <c r="M60" t="s">
        <v>4250</v>
      </c>
      <c r="N60" t="s">
        <v>111</v>
      </c>
      <c r="O60" t="s">
        <v>23</v>
      </c>
      <c r="P60">
        <v>1</v>
      </c>
      <c r="Q60">
        <v>0</v>
      </c>
      <c r="R60">
        <v>1</v>
      </c>
      <c r="S60" t="s">
        <v>598</v>
      </c>
      <c r="T60" t="s">
        <v>4255</v>
      </c>
      <c r="U60" t="s">
        <v>122</v>
      </c>
      <c r="V60" t="s">
        <v>4168</v>
      </c>
      <c r="W60" t="s">
        <v>23</v>
      </c>
      <c r="X60" t="s">
        <v>3997</v>
      </c>
      <c r="Y60" t="s">
        <v>4022</v>
      </c>
      <c r="AA60">
        <v>142</v>
      </c>
      <c r="AB60">
        <v>3</v>
      </c>
      <c r="AC60" s="19">
        <v>63.721490000000003</v>
      </c>
      <c r="AD60" s="19">
        <v>148.98643000000001</v>
      </c>
      <c r="AE60" t="s">
        <v>115</v>
      </c>
      <c r="AF60" t="s">
        <v>115</v>
      </c>
      <c r="AG60" t="s">
        <v>115</v>
      </c>
      <c r="AH60">
        <v>0</v>
      </c>
      <c r="AI60">
        <v>0</v>
      </c>
      <c r="AJ60">
        <v>0</v>
      </c>
      <c r="AK60">
        <v>0</v>
      </c>
      <c r="AL60">
        <v>0</v>
      </c>
      <c r="AM60">
        <v>0</v>
      </c>
      <c r="AN60">
        <f t="shared" si="1"/>
        <v>0</v>
      </c>
      <c r="AP60" t="s">
        <v>4256</v>
      </c>
    </row>
    <row r="61" spans="1:42" hidden="1" x14ac:dyDescent="0.2">
      <c r="A61" t="s">
        <v>4273</v>
      </c>
      <c r="B61" t="s">
        <v>4275</v>
      </c>
      <c r="C61">
        <v>9</v>
      </c>
      <c r="D61">
        <v>4</v>
      </c>
      <c r="E61" t="s">
        <v>213</v>
      </c>
      <c r="F61" s="1">
        <v>43688</v>
      </c>
      <c r="G61" t="s">
        <v>4031</v>
      </c>
      <c r="H61" t="s">
        <v>4724</v>
      </c>
      <c r="I61" s="2">
        <v>6.8749999999999992E-2</v>
      </c>
      <c r="J61" s="176">
        <v>1.1458333333333333E-3</v>
      </c>
      <c r="K61" s="6">
        <v>99</v>
      </c>
      <c r="L61" t="s">
        <v>640</v>
      </c>
      <c r="M61" t="s">
        <v>4258</v>
      </c>
      <c r="N61" t="s">
        <v>568</v>
      </c>
      <c r="O61" t="s">
        <v>23</v>
      </c>
      <c r="P61">
        <v>1</v>
      </c>
      <c r="Q61">
        <v>0</v>
      </c>
      <c r="R61">
        <v>1</v>
      </c>
      <c r="S61" t="s">
        <v>1342</v>
      </c>
      <c r="T61" t="s">
        <v>4244</v>
      </c>
      <c r="U61" t="s">
        <v>122</v>
      </c>
      <c r="V61" t="s">
        <v>4168</v>
      </c>
      <c r="W61" t="s">
        <v>23</v>
      </c>
      <c r="X61" t="s">
        <v>3997</v>
      </c>
      <c r="Y61" t="s">
        <v>4022</v>
      </c>
      <c r="AA61">
        <v>343</v>
      </c>
      <c r="AB61">
        <v>11</v>
      </c>
      <c r="AC61" s="19">
        <v>63.718699999999998</v>
      </c>
      <c r="AD61" s="19">
        <v>148.97682</v>
      </c>
      <c r="AE61" t="s">
        <v>115</v>
      </c>
      <c r="AF61" t="s">
        <v>115</v>
      </c>
      <c r="AG61" t="s">
        <v>115</v>
      </c>
      <c r="AH61">
        <v>0</v>
      </c>
      <c r="AI61">
        <v>0</v>
      </c>
      <c r="AJ61">
        <v>0</v>
      </c>
      <c r="AK61">
        <v>0</v>
      </c>
      <c r="AL61">
        <v>24</v>
      </c>
      <c r="AM61">
        <v>0</v>
      </c>
      <c r="AN61">
        <f t="shared" si="1"/>
        <v>24</v>
      </c>
    </row>
    <row r="62" spans="1:42" hidden="1" x14ac:dyDescent="0.2">
      <c r="A62" t="s">
        <v>4268</v>
      </c>
      <c r="B62" t="s">
        <v>4269</v>
      </c>
      <c r="C62">
        <v>6</v>
      </c>
      <c r="D62">
        <v>1</v>
      </c>
      <c r="E62" t="s">
        <v>213</v>
      </c>
      <c r="F62" s="1">
        <v>43688</v>
      </c>
      <c r="G62" t="s">
        <v>4031</v>
      </c>
      <c r="H62" t="s">
        <v>4724</v>
      </c>
      <c r="I62" s="2">
        <v>3.3333333333333333E-2</v>
      </c>
      <c r="J62" s="176">
        <v>5.5555555555555556E-4</v>
      </c>
      <c r="K62" s="6">
        <v>48</v>
      </c>
      <c r="L62" t="s">
        <v>640</v>
      </c>
      <c r="M62" t="s">
        <v>4258</v>
      </c>
      <c r="N62" t="s">
        <v>568</v>
      </c>
      <c r="O62" t="s">
        <v>23</v>
      </c>
      <c r="P62">
        <v>1</v>
      </c>
      <c r="Q62">
        <v>0</v>
      </c>
      <c r="R62">
        <v>1</v>
      </c>
      <c r="S62" t="s">
        <v>1342</v>
      </c>
      <c r="T62" t="s">
        <v>4244</v>
      </c>
      <c r="U62" t="s">
        <v>122</v>
      </c>
      <c r="V62" t="s">
        <v>709</v>
      </c>
      <c r="W62" t="s">
        <v>23</v>
      </c>
      <c r="X62" t="s">
        <v>4004</v>
      </c>
      <c r="Y62" t="s">
        <v>4022</v>
      </c>
      <c r="AA62">
        <v>95</v>
      </c>
      <c r="AB62">
        <v>9</v>
      </c>
      <c r="AC62" s="19">
        <v>63.718960000000003</v>
      </c>
      <c r="AD62" s="19">
        <v>148.97684000000001</v>
      </c>
      <c r="AE62" t="s">
        <v>115</v>
      </c>
      <c r="AF62" t="s">
        <v>115</v>
      </c>
      <c r="AG62" t="s">
        <v>115</v>
      </c>
      <c r="AH62">
        <v>0</v>
      </c>
      <c r="AI62">
        <v>0</v>
      </c>
      <c r="AJ62">
        <v>0</v>
      </c>
      <c r="AK62">
        <v>0</v>
      </c>
      <c r="AL62">
        <v>27</v>
      </c>
      <c r="AM62">
        <v>0</v>
      </c>
      <c r="AN62">
        <f t="shared" si="1"/>
        <v>27</v>
      </c>
    </row>
    <row r="63" spans="1:42" hidden="1" x14ac:dyDescent="0.2">
      <c r="A63" t="s">
        <v>4241</v>
      </c>
      <c r="B63" t="s">
        <v>4242</v>
      </c>
      <c r="C63">
        <v>1</v>
      </c>
      <c r="D63">
        <v>1</v>
      </c>
      <c r="E63" t="s">
        <v>395</v>
      </c>
      <c r="F63" s="1">
        <v>43688</v>
      </c>
      <c r="G63" t="s">
        <v>4031</v>
      </c>
      <c r="H63" t="s">
        <v>4724</v>
      </c>
      <c r="I63" s="2">
        <v>4.4444444444444446E-2</v>
      </c>
      <c r="J63" s="176">
        <v>7.407407407407407E-4</v>
      </c>
      <c r="K63" s="6">
        <v>64</v>
      </c>
      <c r="L63" t="s">
        <v>640</v>
      </c>
      <c r="M63" t="s">
        <v>4243</v>
      </c>
      <c r="N63" t="s">
        <v>102</v>
      </c>
      <c r="O63" t="s">
        <v>115</v>
      </c>
      <c r="P63">
        <v>2</v>
      </c>
      <c r="Q63">
        <v>0</v>
      </c>
      <c r="R63">
        <v>0</v>
      </c>
      <c r="S63" t="s">
        <v>1342</v>
      </c>
      <c r="T63" t="s">
        <v>4244</v>
      </c>
      <c r="U63" t="s">
        <v>122</v>
      </c>
      <c r="V63" t="s">
        <v>115</v>
      </c>
      <c r="W63" t="s">
        <v>115</v>
      </c>
      <c r="X63" t="s">
        <v>115</v>
      </c>
      <c r="Y63" t="s">
        <v>115</v>
      </c>
      <c r="Z63" t="s">
        <v>115</v>
      </c>
      <c r="AA63" t="s">
        <v>115</v>
      </c>
      <c r="AB63" t="s">
        <v>115</v>
      </c>
      <c r="AC63" t="s">
        <v>115</v>
      </c>
      <c r="AD63" t="s">
        <v>115</v>
      </c>
      <c r="AE63" t="s">
        <v>115</v>
      </c>
      <c r="AF63" t="s">
        <v>115</v>
      </c>
      <c r="AG63" t="s">
        <v>115</v>
      </c>
      <c r="AH63">
        <v>0</v>
      </c>
      <c r="AI63">
        <v>0</v>
      </c>
      <c r="AJ63">
        <v>0</v>
      </c>
      <c r="AK63">
        <v>0</v>
      </c>
      <c r="AL63">
        <v>60</v>
      </c>
      <c r="AM63">
        <v>0</v>
      </c>
      <c r="AN63">
        <f t="shared" si="1"/>
        <v>60</v>
      </c>
    </row>
    <row r="64" spans="1:42" hidden="1" x14ac:dyDescent="0.2">
      <c r="A64" t="s">
        <v>4266</v>
      </c>
      <c r="B64" t="s">
        <v>4267</v>
      </c>
      <c r="C64">
        <v>5</v>
      </c>
      <c r="D64">
        <v>1</v>
      </c>
      <c r="E64" t="s">
        <v>213</v>
      </c>
      <c r="F64" s="1">
        <v>43688</v>
      </c>
      <c r="G64" t="s">
        <v>4031</v>
      </c>
      <c r="H64" t="s">
        <v>4724</v>
      </c>
      <c r="I64" s="2">
        <v>1.7361111111111112E-2</v>
      </c>
      <c r="J64" s="176">
        <v>2.8935185185185189E-4</v>
      </c>
      <c r="K64" s="6">
        <v>25</v>
      </c>
      <c r="L64" t="s">
        <v>640</v>
      </c>
      <c r="M64" t="s">
        <v>4258</v>
      </c>
      <c r="N64" t="s">
        <v>102</v>
      </c>
      <c r="O64" t="s">
        <v>115</v>
      </c>
      <c r="P64">
        <v>1</v>
      </c>
      <c r="Q64">
        <v>0</v>
      </c>
      <c r="R64">
        <v>0</v>
      </c>
      <c r="S64" t="s">
        <v>1342</v>
      </c>
      <c r="T64" t="s">
        <v>4244</v>
      </c>
      <c r="U64" t="s">
        <v>122</v>
      </c>
      <c r="V64" t="s">
        <v>115</v>
      </c>
      <c r="W64" t="s">
        <v>115</v>
      </c>
      <c r="X64" t="s">
        <v>115</v>
      </c>
      <c r="Y64" t="s">
        <v>115</v>
      </c>
      <c r="Z64" t="s">
        <v>115</v>
      </c>
      <c r="AA64" t="s">
        <v>115</v>
      </c>
      <c r="AB64" t="s">
        <v>115</v>
      </c>
      <c r="AC64" t="s">
        <v>115</v>
      </c>
      <c r="AD64" t="s">
        <v>115</v>
      </c>
      <c r="AE64" t="s">
        <v>115</v>
      </c>
      <c r="AF64" t="s">
        <v>115</v>
      </c>
      <c r="AG64" t="s">
        <v>115</v>
      </c>
      <c r="AH64">
        <v>0</v>
      </c>
      <c r="AI64">
        <v>0</v>
      </c>
      <c r="AJ64">
        <v>0</v>
      </c>
      <c r="AK64">
        <v>0</v>
      </c>
      <c r="AL64">
        <v>16</v>
      </c>
      <c r="AM64">
        <v>0</v>
      </c>
      <c r="AN64">
        <f t="shared" si="1"/>
        <v>16</v>
      </c>
    </row>
    <row r="65" spans="1:43" hidden="1" x14ac:dyDescent="0.2">
      <c r="A65" t="s">
        <v>4281</v>
      </c>
      <c r="B65" t="s">
        <v>4282</v>
      </c>
      <c r="C65">
        <v>12</v>
      </c>
      <c r="D65">
        <v>1</v>
      </c>
      <c r="E65" t="s">
        <v>213</v>
      </c>
      <c r="F65" s="1">
        <v>43688</v>
      </c>
      <c r="G65" t="s">
        <v>4031</v>
      </c>
      <c r="H65" t="s">
        <v>4724</v>
      </c>
      <c r="I65" s="2">
        <v>2.5694444444444447E-2</v>
      </c>
      <c r="J65" s="176">
        <v>4.2824074074074075E-4</v>
      </c>
      <c r="K65" s="6">
        <v>37</v>
      </c>
      <c r="L65" t="s">
        <v>640</v>
      </c>
      <c r="M65" t="s">
        <v>4280</v>
      </c>
      <c r="N65" t="s">
        <v>102</v>
      </c>
      <c r="O65" t="s">
        <v>23</v>
      </c>
      <c r="P65">
        <v>1</v>
      </c>
      <c r="Q65">
        <v>0</v>
      </c>
      <c r="R65">
        <v>0</v>
      </c>
      <c r="S65" t="s">
        <v>1342</v>
      </c>
      <c r="T65" t="s">
        <v>4244</v>
      </c>
      <c r="U65" t="s">
        <v>122</v>
      </c>
      <c r="V65" t="s">
        <v>115</v>
      </c>
      <c r="W65" t="s">
        <v>115</v>
      </c>
      <c r="X65" t="s">
        <v>115</v>
      </c>
      <c r="Y65" t="s">
        <v>115</v>
      </c>
      <c r="Z65" t="s">
        <v>115</v>
      </c>
      <c r="AA65" t="s">
        <v>115</v>
      </c>
      <c r="AB65" t="s">
        <v>115</v>
      </c>
      <c r="AC65" t="s">
        <v>115</v>
      </c>
      <c r="AD65" t="s">
        <v>115</v>
      </c>
      <c r="AE65" t="s">
        <v>115</v>
      </c>
      <c r="AF65" t="s">
        <v>115</v>
      </c>
      <c r="AG65" t="s">
        <v>115</v>
      </c>
      <c r="AH65">
        <v>0</v>
      </c>
      <c r="AI65">
        <v>0</v>
      </c>
      <c r="AJ65">
        <v>0</v>
      </c>
      <c r="AK65">
        <v>0</v>
      </c>
      <c r="AL65">
        <v>0</v>
      </c>
      <c r="AM65">
        <v>0</v>
      </c>
      <c r="AN65">
        <f t="shared" si="1"/>
        <v>0</v>
      </c>
      <c r="AP65" t="s">
        <v>4283</v>
      </c>
    </row>
    <row r="66" spans="1:43" hidden="1" x14ac:dyDescent="0.2">
      <c r="A66" t="s">
        <v>4293</v>
      </c>
      <c r="B66" t="s">
        <v>4294</v>
      </c>
      <c r="C66">
        <v>4</v>
      </c>
      <c r="D66">
        <v>1</v>
      </c>
      <c r="E66" t="s">
        <v>138</v>
      </c>
      <c r="F66" s="1">
        <v>43689</v>
      </c>
      <c r="G66" t="s">
        <v>4031</v>
      </c>
      <c r="H66" t="s">
        <v>4724</v>
      </c>
      <c r="I66" s="2">
        <v>9.0277777777777787E-3</v>
      </c>
      <c r="J66" s="176">
        <v>1.5046296296296297E-4</v>
      </c>
      <c r="K66" s="6">
        <v>13</v>
      </c>
      <c r="L66" t="s">
        <v>640</v>
      </c>
      <c r="M66" t="s">
        <v>4288</v>
      </c>
      <c r="N66" t="s">
        <v>102</v>
      </c>
      <c r="O66" t="s">
        <v>23</v>
      </c>
      <c r="P66">
        <v>0</v>
      </c>
      <c r="Q66">
        <v>0</v>
      </c>
      <c r="R66">
        <v>1</v>
      </c>
      <c r="S66" t="s">
        <v>176</v>
      </c>
      <c r="T66" t="s">
        <v>176</v>
      </c>
      <c r="U66" t="s">
        <v>176</v>
      </c>
      <c r="V66" t="s">
        <v>4295</v>
      </c>
      <c r="W66" t="s">
        <v>23</v>
      </c>
      <c r="X66" t="s">
        <v>4004</v>
      </c>
      <c r="Y66" t="s">
        <v>4022</v>
      </c>
      <c r="Z66" t="s">
        <v>4296</v>
      </c>
      <c r="AA66" t="s">
        <v>4296</v>
      </c>
      <c r="AB66" t="s">
        <v>176</v>
      </c>
      <c r="AC66" s="5" t="s">
        <v>4296</v>
      </c>
      <c r="AD66" s="5" t="s">
        <v>4296</v>
      </c>
      <c r="AE66" t="s">
        <v>115</v>
      </c>
      <c r="AF66" t="s">
        <v>115</v>
      </c>
      <c r="AG66" t="s">
        <v>115</v>
      </c>
      <c r="AH66">
        <v>0</v>
      </c>
      <c r="AI66">
        <v>0</v>
      </c>
      <c r="AJ66">
        <v>0</v>
      </c>
      <c r="AK66">
        <v>0</v>
      </c>
      <c r="AL66">
        <v>0</v>
      </c>
      <c r="AM66">
        <v>0</v>
      </c>
      <c r="AN66">
        <f t="shared" ref="AN66:AN97" si="2">SUM(AH66+AI66+AL66+AM66)</f>
        <v>0</v>
      </c>
    </row>
    <row r="67" spans="1:43" hidden="1" x14ac:dyDescent="0.2">
      <c r="A67" t="s">
        <v>4289</v>
      </c>
      <c r="B67" t="s">
        <v>4290</v>
      </c>
      <c r="C67">
        <v>2</v>
      </c>
      <c r="D67">
        <v>1</v>
      </c>
      <c r="E67" t="s">
        <v>138</v>
      </c>
      <c r="F67" s="1">
        <v>43689</v>
      </c>
      <c r="G67" t="s">
        <v>4031</v>
      </c>
      <c r="H67" t="s">
        <v>4724</v>
      </c>
      <c r="I67" s="2">
        <v>4.1666666666666664E-2</v>
      </c>
      <c r="J67" s="176">
        <v>6.9444444444444447E-4</v>
      </c>
      <c r="K67" s="6">
        <v>60</v>
      </c>
      <c r="L67" t="s">
        <v>640</v>
      </c>
      <c r="M67" t="s">
        <v>4288</v>
      </c>
      <c r="N67" t="s">
        <v>102</v>
      </c>
      <c r="O67" t="s">
        <v>23</v>
      </c>
      <c r="P67">
        <v>1</v>
      </c>
      <c r="Q67" t="s">
        <v>176</v>
      </c>
      <c r="R67" t="s">
        <v>176</v>
      </c>
      <c r="S67" t="s">
        <v>176</v>
      </c>
      <c r="T67" t="s">
        <v>176</v>
      </c>
      <c r="U67" t="s">
        <v>4159</v>
      </c>
      <c r="V67" t="s">
        <v>115</v>
      </c>
      <c r="W67" t="s">
        <v>115</v>
      </c>
      <c r="X67" t="s">
        <v>115</v>
      </c>
      <c r="Y67" t="s">
        <v>115</v>
      </c>
      <c r="Z67" t="s">
        <v>115</v>
      </c>
      <c r="AA67" t="s">
        <v>115</v>
      </c>
      <c r="AB67" t="s">
        <v>115</v>
      </c>
      <c r="AC67" t="s">
        <v>115</v>
      </c>
      <c r="AD67" t="s">
        <v>115</v>
      </c>
      <c r="AE67" t="s">
        <v>115</v>
      </c>
      <c r="AF67" t="s">
        <v>115</v>
      </c>
      <c r="AG67" t="s">
        <v>115</v>
      </c>
      <c r="AH67">
        <v>30</v>
      </c>
      <c r="AI67">
        <v>0</v>
      </c>
      <c r="AJ67">
        <v>9</v>
      </c>
      <c r="AK67">
        <v>21</v>
      </c>
      <c r="AL67">
        <v>5</v>
      </c>
      <c r="AM67">
        <v>0</v>
      </c>
      <c r="AN67">
        <f t="shared" si="2"/>
        <v>35</v>
      </c>
    </row>
    <row r="68" spans="1:43" hidden="1" x14ac:dyDescent="0.2">
      <c r="A68" t="s">
        <v>4289</v>
      </c>
      <c r="B68" t="s">
        <v>4290</v>
      </c>
      <c r="C68">
        <v>2</v>
      </c>
      <c r="D68">
        <v>2</v>
      </c>
      <c r="E68" t="s">
        <v>138</v>
      </c>
      <c r="F68" s="1">
        <v>43689</v>
      </c>
      <c r="G68" t="s">
        <v>4031</v>
      </c>
      <c r="H68" t="s">
        <v>4724</v>
      </c>
      <c r="I68" s="2">
        <v>4.1666666666666664E-2</v>
      </c>
      <c r="J68" s="176">
        <v>6.9444444444444447E-4</v>
      </c>
      <c r="K68" s="6">
        <v>60</v>
      </c>
      <c r="L68" t="s">
        <v>640</v>
      </c>
      <c r="M68" t="s">
        <v>4288</v>
      </c>
      <c r="N68" t="s">
        <v>102</v>
      </c>
      <c r="O68" t="s">
        <v>23</v>
      </c>
      <c r="P68">
        <v>1</v>
      </c>
      <c r="Q68" t="s">
        <v>176</v>
      </c>
      <c r="R68" t="s">
        <v>176</v>
      </c>
      <c r="S68" t="s">
        <v>176</v>
      </c>
      <c r="T68" t="s">
        <v>176</v>
      </c>
      <c r="U68" t="s">
        <v>709</v>
      </c>
      <c r="V68" t="s">
        <v>115</v>
      </c>
      <c r="W68" t="s">
        <v>115</v>
      </c>
      <c r="X68" t="s">
        <v>115</v>
      </c>
      <c r="Y68" t="s">
        <v>115</v>
      </c>
      <c r="Z68" t="s">
        <v>115</v>
      </c>
      <c r="AA68" t="s">
        <v>115</v>
      </c>
      <c r="AB68" t="s">
        <v>115</v>
      </c>
      <c r="AC68" t="s">
        <v>115</v>
      </c>
      <c r="AD68" t="s">
        <v>115</v>
      </c>
      <c r="AE68" t="s">
        <v>115</v>
      </c>
      <c r="AF68" t="s">
        <v>115</v>
      </c>
      <c r="AG68" t="s">
        <v>115</v>
      </c>
      <c r="AH68">
        <v>0</v>
      </c>
      <c r="AI68">
        <v>0</v>
      </c>
      <c r="AJ68">
        <v>0</v>
      </c>
      <c r="AK68">
        <v>0</v>
      </c>
      <c r="AM68">
        <v>0</v>
      </c>
      <c r="AN68">
        <f t="shared" si="2"/>
        <v>0</v>
      </c>
    </row>
    <row r="69" spans="1:43" hidden="1" x14ac:dyDescent="0.2">
      <c r="A69" t="s">
        <v>4297</v>
      </c>
      <c r="B69" t="s">
        <v>4298</v>
      </c>
      <c r="C69">
        <v>5</v>
      </c>
      <c r="D69">
        <v>1</v>
      </c>
      <c r="E69" t="s">
        <v>138</v>
      </c>
      <c r="F69" s="1">
        <v>43689</v>
      </c>
      <c r="G69" t="s">
        <v>4031</v>
      </c>
      <c r="H69" t="s">
        <v>4724</v>
      </c>
      <c r="I69" s="2">
        <v>6.2499999999999995E-3</v>
      </c>
      <c r="J69" s="176">
        <v>1.0416666666666667E-4</v>
      </c>
      <c r="K69" s="6">
        <v>9</v>
      </c>
      <c r="L69" t="s">
        <v>640</v>
      </c>
      <c r="M69" t="s">
        <v>4288</v>
      </c>
      <c r="N69" t="s">
        <v>107</v>
      </c>
      <c r="O69" t="s">
        <v>115</v>
      </c>
      <c r="P69">
        <v>1</v>
      </c>
      <c r="Q69">
        <v>0</v>
      </c>
      <c r="R69">
        <v>0</v>
      </c>
      <c r="S69" t="s">
        <v>176</v>
      </c>
      <c r="T69" t="s">
        <v>4299</v>
      </c>
      <c r="U69" t="s">
        <v>122</v>
      </c>
      <c r="V69" t="s">
        <v>115</v>
      </c>
      <c r="W69" t="s">
        <v>115</v>
      </c>
      <c r="X69" t="s">
        <v>115</v>
      </c>
      <c r="Y69" t="s">
        <v>115</v>
      </c>
      <c r="Z69" t="s">
        <v>115</v>
      </c>
      <c r="AA69" t="s">
        <v>115</v>
      </c>
      <c r="AB69" t="s">
        <v>115</v>
      </c>
      <c r="AC69" t="s">
        <v>115</v>
      </c>
      <c r="AD69" t="s">
        <v>115</v>
      </c>
      <c r="AE69" t="s">
        <v>115</v>
      </c>
      <c r="AF69" t="s">
        <v>115</v>
      </c>
      <c r="AG69" t="s">
        <v>115</v>
      </c>
      <c r="AH69">
        <v>0</v>
      </c>
      <c r="AI69">
        <v>0</v>
      </c>
      <c r="AJ69">
        <v>0</v>
      </c>
      <c r="AK69">
        <v>0</v>
      </c>
      <c r="AL69">
        <v>0</v>
      </c>
      <c r="AM69">
        <v>0</v>
      </c>
      <c r="AN69">
        <f t="shared" si="2"/>
        <v>0</v>
      </c>
      <c r="AO69" t="s">
        <v>165</v>
      </c>
      <c r="AQ69">
        <v>2</v>
      </c>
    </row>
    <row r="70" spans="1:43" hidden="1" x14ac:dyDescent="0.2">
      <c r="A70" t="s">
        <v>4300</v>
      </c>
      <c r="B70" t="s">
        <v>4301</v>
      </c>
      <c r="C70">
        <v>6</v>
      </c>
      <c r="D70">
        <v>1</v>
      </c>
      <c r="E70" t="s">
        <v>138</v>
      </c>
      <c r="F70" s="1">
        <v>43689</v>
      </c>
      <c r="G70" t="s">
        <v>4031</v>
      </c>
      <c r="H70" t="s">
        <v>4724</v>
      </c>
      <c r="I70" s="2">
        <v>1.3888888888888888E-2</v>
      </c>
      <c r="J70" s="176">
        <v>2.3148148148148146E-4</v>
      </c>
      <c r="K70" s="6">
        <v>20</v>
      </c>
      <c r="L70" t="s">
        <v>640</v>
      </c>
      <c r="M70" t="s">
        <v>4232</v>
      </c>
      <c r="N70" t="s">
        <v>102</v>
      </c>
      <c r="O70" t="s">
        <v>23</v>
      </c>
      <c r="P70">
        <v>1</v>
      </c>
      <c r="Q70" t="s">
        <v>176</v>
      </c>
      <c r="R70" t="s">
        <v>176</v>
      </c>
      <c r="S70" t="s">
        <v>176</v>
      </c>
      <c r="T70" t="s">
        <v>176</v>
      </c>
      <c r="U70" t="s">
        <v>4302</v>
      </c>
      <c r="W70" t="s">
        <v>115</v>
      </c>
      <c r="X70" t="s">
        <v>115</v>
      </c>
      <c r="Y70" t="s">
        <v>115</v>
      </c>
      <c r="Z70" t="s">
        <v>115</v>
      </c>
      <c r="AA70" t="s">
        <v>115</v>
      </c>
      <c r="AB70" t="s">
        <v>115</v>
      </c>
      <c r="AC70" t="s">
        <v>115</v>
      </c>
      <c r="AD70" t="s">
        <v>115</v>
      </c>
      <c r="AE70" t="s">
        <v>115</v>
      </c>
      <c r="AF70" t="s">
        <v>115</v>
      </c>
      <c r="AG70" t="s">
        <v>115</v>
      </c>
      <c r="AH70">
        <v>0</v>
      </c>
      <c r="AI70">
        <v>0</v>
      </c>
      <c r="AJ70">
        <v>0</v>
      </c>
      <c r="AK70">
        <v>0</v>
      </c>
      <c r="AL70">
        <v>0</v>
      </c>
      <c r="AM70">
        <v>0</v>
      </c>
      <c r="AN70">
        <f t="shared" si="2"/>
        <v>0</v>
      </c>
      <c r="AP70" t="s">
        <v>2405</v>
      </c>
    </row>
    <row r="71" spans="1:43" hidden="1" x14ac:dyDescent="0.2">
      <c r="A71" t="s">
        <v>4305</v>
      </c>
      <c r="B71" t="s">
        <v>4306</v>
      </c>
      <c r="C71">
        <v>8</v>
      </c>
      <c r="D71">
        <v>1</v>
      </c>
      <c r="E71" t="s">
        <v>138</v>
      </c>
      <c r="F71" s="1">
        <v>43689</v>
      </c>
      <c r="G71" t="s">
        <v>4031</v>
      </c>
      <c r="H71" t="s">
        <v>4724</v>
      </c>
      <c r="I71" s="2">
        <v>2.1527777777777781E-2</v>
      </c>
      <c r="J71" s="176">
        <v>3.5879629629629635E-4</v>
      </c>
      <c r="K71" s="6">
        <v>31</v>
      </c>
      <c r="L71" t="s">
        <v>640</v>
      </c>
      <c r="M71" t="s">
        <v>4232</v>
      </c>
      <c r="N71" t="s">
        <v>102</v>
      </c>
      <c r="O71" t="s">
        <v>23</v>
      </c>
      <c r="P71">
        <v>1</v>
      </c>
      <c r="Q71">
        <v>0</v>
      </c>
      <c r="R71">
        <v>0</v>
      </c>
      <c r="S71" t="s">
        <v>176</v>
      </c>
      <c r="T71" t="s">
        <v>176</v>
      </c>
      <c r="U71" t="s">
        <v>4302</v>
      </c>
      <c r="V71" t="s">
        <v>115</v>
      </c>
      <c r="W71" t="s">
        <v>115</v>
      </c>
      <c r="X71" t="s">
        <v>115</v>
      </c>
      <c r="Y71" t="s">
        <v>115</v>
      </c>
      <c r="Z71" t="s">
        <v>115</v>
      </c>
      <c r="AA71" t="s">
        <v>115</v>
      </c>
      <c r="AB71" t="s">
        <v>115</v>
      </c>
      <c r="AC71" t="s">
        <v>115</v>
      </c>
      <c r="AD71" t="s">
        <v>115</v>
      </c>
      <c r="AE71" t="s">
        <v>115</v>
      </c>
      <c r="AF71" t="s">
        <v>115</v>
      </c>
      <c r="AG71" t="s">
        <v>115</v>
      </c>
      <c r="AH71">
        <v>12</v>
      </c>
      <c r="AI71">
        <v>0</v>
      </c>
      <c r="AJ71">
        <v>0</v>
      </c>
      <c r="AK71">
        <v>12</v>
      </c>
      <c r="AL71">
        <v>19</v>
      </c>
      <c r="AM71">
        <v>0</v>
      </c>
      <c r="AN71">
        <f t="shared" si="2"/>
        <v>31</v>
      </c>
    </row>
    <row r="72" spans="1:43" hidden="1" x14ac:dyDescent="0.2">
      <c r="A72" t="s">
        <v>4313</v>
      </c>
      <c r="B72" t="s">
        <v>4314</v>
      </c>
      <c r="C72">
        <v>12</v>
      </c>
      <c r="D72">
        <v>1</v>
      </c>
      <c r="E72" t="s">
        <v>138</v>
      </c>
      <c r="F72" s="1">
        <v>43689</v>
      </c>
      <c r="G72" t="s">
        <v>4031</v>
      </c>
      <c r="H72" t="s">
        <v>4724</v>
      </c>
      <c r="I72" s="2">
        <v>3.125E-2</v>
      </c>
      <c r="J72" s="176">
        <v>5.2083333333333333E-4</v>
      </c>
      <c r="K72" s="6">
        <v>45</v>
      </c>
      <c r="L72" t="s">
        <v>640</v>
      </c>
      <c r="M72" t="s">
        <v>4232</v>
      </c>
      <c r="N72" t="s">
        <v>102</v>
      </c>
      <c r="O72" t="s">
        <v>115</v>
      </c>
      <c r="P72">
        <v>1</v>
      </c>
      <c r="Q72">
        <v>0</v>
      </c>
      <c r="R72">
        <v>0</v>
      </c>
      <c r="S72" t="s">
        <v>176</v>
      </c>
      <c r="T72" t="s">
        <v>115</v>
      </c>
      <c r="U72" t="s">
        <v>115</v>
      </c>
      <c r="V72" t="s">
        <v>115</v>
      </c>
      <c r="W72" t="s">
        <v>115</v>
      </c>
      <c r="X72" t="s">
        <v>115</v>
      </c>
      <c r="Y72" t="s">
        <v>115</v>
      </c>
      <c r="Z72" t="s">
        <v>115</v>
      </c>
      <c r="AA72" t="s">
        <v>115</v>
      </c>
      <c r="AB72" t="s">
        <v>115</v>
      </c>
      <c r="AC72" t="s">
        <v>115</v>
      </c>
      <c r="AD72" t="s">
        <v>115</v>
      </c>
      <c r="AE72" t="s">
        <v>115</v>
      </c>
      <c r="AF72" t="s">
        <v>115</v>
      </c>
      <c r="AG72" t="s">
        <v>115</v>
      </c>
      <c r="AH72">
        <v>0</v>
      </c>
      <c r="AI72">
        <v>0</v>
      </c>
      <c r="AJ72">
        <v>0</v>
      </c>
      <c r="AK72">
        <v>0</v>
      </c>
      <c r="AL72">
        <v>5</v>
      </c>
      <c r="AM72">
        <v>0</v>
      </c>
      <c r="AN72">
        <f t="shared" si="2"/>
        <v>5</v>
      </c>
    </row>
    <row r="73" spans="1:43" hidden="1" x14ac:dyDescent="0.2">
      <c r="A73" t="s">
        <v>4336</v>
      </c>
      <c r="B73" t="s">
        <v>4337</v>
      </c>
      <c r="C73">
        <v>22</v>
      </c>
      <c r="D73">
        <v>1</v>
      </c>
      <c r="E73" t="s">
        <v>138</v>
      </c>
      <c r="F73" s="1">
        <v>43689</v>
      </c>
      <c r="G73" t="s">
        <v>4031</v>
      </c>
      <c r="H73" t="s">
        <v>4724</v>
      </c>
      <c r="I73" s="2">
        <v>0.13402777777777777</v>
      </c>
      <c r="J73" s="176">
        <v>2.2337962962962967E-3</v>
      </c>
      <c r="K73" s="6">
        <v>193</v>
      </c>
      <c r="L73" t="s">
        <v>640</v>
      </c>
      <c r="M73" t="s">
        <v>4232</v>
      </c>
      <c r="N73" t="s">
        <v>102</v>
      </c>
      <c r="O73" t="s">
        <v>115</v>
      </c>
      <c r="P73">
        <v>1</v>
      </c>
      <c r="Q73">
        <v>0</v>
      </c>
      <c r="R73">
        <v>0</v>
      </c>
      <c r="S73" t="s">
        <v>3955</v>
      </c>
      <c r="T73" t="s">
        <v>1531</v>
      </c>
      <c r="U73" t="s">
        <v>176</v>
      </c>
      <c r="V73" t="s">
        <v>115</v>
      </c>
      <c r="W73" t="s">
        <v>115</v>
      </c>
      <c r="X73" t="s">
        <v>115</v>
      </c>
      <c r="Y73" t="s">
        <v>115</v>
      </c>
      <c r="Z73" t="s">
        <v>115</v>
      </c>
      <c r="AA73" t="s">
        <v>115</v>
      </c>
      <c r="AB73" t="s">
        <v>115</v>
      </c>
      <c r="AC73" t="s">
        <v>115</v>
      </c>
      <c r="AD73" t="s">
        <v>115</v>
      </c>
      <c r="AE73" t="s">
        <v>115</v>
      </c>
      <c r="AF73" t="s">
        <v>115</v>
      </c>
      <c r="AG73" t="s">
        <v>115</v>
      </c>
      <c r="AH73">
        <v>0</v>
      </c>
      <c r="AI73">
        <v>0</v>
      </c>
      <c r="AJ73">
        <v>0</v>
      </c>
      <c r="AK73">
        <v>0</v>
      </c>
      <c r="AL73">
        <v>0</v>
      </c>
      <c r="AM73">
        <v>0</v>
      </c>
      <c r="AN73">
        <f t="shared" si="2"/>
        <v>0</v>
      </c>
    </row>
    <row r="74" spans="1:43" hidden="1" x14ac:dyDescent="0.2">
      <c r="A74" t="s">
        <v>4286</v>
      </c>
      <c r="B74" t="s">
        <v>4287</v>
      </c>
      <c r="C74">
        <v>1</v>
      </c>
      <c r="D74">
        <v>1</v>
      </c>
      <c r="E74" t="s">
        <v>138</v>
      </c>
      <c r="F74" s="1">
        <v>43689</v>
      </c>
      <c r="G74" t="s">
        <v>4031</v>
      </c>
      <c r="H74" t="s">
        <v>4724</v>
      </c>
      <c r="I74" s="2">
        <v>1.3888888888888888E-2</v>
      </c>
      <c r="J74" s="176">
        <v>2.3148148148148146E-4</v>
      </c>
      <c r="K74" s="6">
        <v>20</v>
      </c>
      <c r="L74" t="s">
        <v>640</v>
      </c>
      <c r="M74" t="s">
        <v>4288</v>
      </c>
      <c r="N74" t="s">
        <v>102</v>
      </c>
      <c r="O74" t="s">
        <v>115</v>
      </c>
      <c r="P74" t="s">
        <v>176</v>
      </c>
      <c r="Q74">
        <v>0</v>
      </c>
      <c r="R74" t="s">
        <v>176</v>
      </c>
      <c r="S74" t="s">
        <v>115</v>
      </c>
      <c r="T74" t="s">
        <v>115</v>
      </c>
      <c r="U74" t="s">
        <v>115</v>
      </c>
      <c r="V74" t="s">
        <v>115</v>
      </c>
      <c r="W74" t="s">
        <v>115</v>
      </c>
      <c r="X74" t="s">
        <v>115</v>
      </c>
      <c r="Y74" t="s">
        <v>115</v>
      </c>
      <c r="Z74" t="s">
        <v>115</v>
      </c>
      <c r="AA74" t="s">
        <v>115</v>
      </c>
      <c r="AB74" t="s">
        <v>115</v>
      </c>
      <c r="AC74" t="s">
        <v>115</v>
      </c>
      <c r="AD74" t="s">
        <v>115</v>
      </c>
      <c r="AE74" t="s">
        <v>115</v>
      </c>
      <c r="AF74" t="s">
        <v>115</v>
      </c>
      <c r="AG74" t="s">
        <v>115</v>
      </c>
      <c r="AH74">
        <v>0</v>
      </c>
      <c r="AI74">
        <v>0</v>
      </c>
      <c r="AJ74">
        <v>0</v>
      </c>
      <c r="AK74">
        <v>0</v>
      </c>
      <c r="AL74">
        <v>8</v>
      </c>
      <c r="AM74">
        <v>0</v>
      </c>
      <c r="AN74">
        <f t="shared" si="2"/>
        <v>8</v>
      </c>
    </row>
    <row r="75" spans="1:43" hidden="1" x14ac:dyDescent="0.2">
      <c r="A75" t="s">
        <v>4291</v>
      </c>
      <c r="B75" t="s">
        <v>4292</v>
      </c>
      <c r="C75">
        <v>3</v>
      </c>
      <c r="D75">
        <v>1</v>
      </c>
      <c r="E75" t="s">
        <v>138</v>
      </c>
      <c r="F75" s="1">
        <v>43689</v>
      </c>
      <c r="G75" t="s">
        <v>4031</v>
      </c>
      <c r="H75" t="s">
        <v>4724</v>
      </c>
      <c r="I75" s="2">
        <v>1.5277777777777777E-2</v>
      </c>
      <c r="J75" s="176">
        <v>2.5462962962962961E-4</v>
      </c>
      <c r="K75" s="6">
        <v>22</v>
      </c>
      <c r="L75" t="s">
        <v>640</v>
      </c>
      <c r="M75" t="s">
        <v>4288</v>
      </c>
      <c r="N75" t="s">
        <v>102</v>
      </c>
      <c r="O75" t="s">
        <v>115</v>
      </c>
      <c r="P75">
        <v>0</v>
      </c>
      <c r="Q75">
        <v>0</v>
      </c>
      <c r="R75">
        <v>0</v>
      </c>
      <c r="S75" t="s">
        <v>115</v>
      </c>
      <c r="T75" t="s">
        <v>115</v>
      </c>
      <c r="U75" t="s">
        <v>115</v>
      </c>
      <c r="V75" t="s">
        <v>115</v>
      </c>
      <c r="W75" t="s">
        <v>115</v>
      </c>
      <c r="X75" t="s">
        <v>115</v>
      </c>
      <c r="Y75" t="s">
        <v>115</v>
      </c>
      <c r="Z75" t="s">
        <v>115</v>
      </c>
      <c r="AA75" t="s">
        <v>115</v>
      </c>
      <c r="AB75" t="s">
        <v>115</v>
      </c>
      <c r="AC75" t="s">
        <v>115</v>
      </c>
      <c r="AD75" t="s">
        <v>115</v>
      </c>
      <c r="AE75" t="s">
        <v>115</v>
      </c>
      <c r="AF75" t="s">
        <v>115</v>
      </c>
      <c r="AG75" t="s">
        <v>115</v>
      </c>
      <c r="AH75">
        <v>0</v>
      </c>
      <c r="AI75">
        <v>0</v>
      </c>
      <c r="AJ75">
        <v>0</v>
      </c>
      <c r="AK75">
        <v>0</v>
      </c>
      <c r="AL75">
        <v>22</v>
      </c>
      <c r="AM75">
        <v>0</v>
      </c>
      <c r="AN75">
        <f t="shared" si="2"/>
        <v>22</v>
      </c>
    </row>
    <row r="76" spans="1:43" hidden="1" x14ac:dyDescent="0.2">
      <c r="A76" t="s">
        <v>4303</v>
      </c>
      <c r="B76" t="s">
        <v>4304</v>
      </c>
      <c r="C76">
        <v>7</v>
      </c>
      <c r="D76">
        <v>1</v>
      </c>
      <c r="E76" t="s">
        <v>138</v>
      </c>
      <c r="F76" s="1">
        <v>43689</v>
      </c>
      <c r="G76" t="s">
        <v>4031</v>
      </c>
      <c r="H76" t="s">
        <v>4724</v>
      </c>
      <c r="I76" s="2">
        <v>1.0416666666666666E-2</v>
      </c>
      <c r="J76" s="176">
        <v>1.7361111111111112E-4</v>
      </c>
      <c r="K76" s="6">
        <v>15</v>
      </c>
      <c r="L76" t="s">
        <v>640</v>
      </c>
      <c r="M76" t="s">
        <v>4232</v>
      </c>
      <c r="N76" t="s">
        <v>102</v>
      </c>
      <c r="O76" t="s">
        <v>23</v>
      </c>
      <c r="P76">
        <v>0</v>
      </c>
      <c r="Q76">
        <v>0</v>
      </c>
      <c r="R76">
        <v>0</v>
      </c>
      <c r="S76" t="s">
        <v>115</v>
      </c>
      <c r="T76" t="s">
        <v>115</v>
      </c>
      <c r="U76" t="s">
        <v>115</v>
      </c>
      <c r="V76" t="s">
        <v>115</v>
      </c>
      <c r="W76" t="s">
        <v>115</v>
      </c>
      <c r="X76" t="s">
        <v>115</v>
      </c>
      <c r="Y76" t="s">
        <v>115</v>
      </c>
      <c r="Z76" t="s">
        <v>115</v>
      </c>
      <c r="AA76" t="s">
        <v>115</v>
      </c>
      <c r="AB76" t="s">
        <v>115</v>
      </c>
      <c r="AC76" t="s">
        <v>115</v>
      </c>
      <c r="AD76" t="s">
        <v>115</v>
      </c>
      <c r="AE76" t="s">
        <v>115</v>
      </c>
      <c r="AF76" t="s">
        <v>115</v>
      </c>
      <c r="AG76" t="s">
        <v>115</v>
      </c>
      <c r="AH76">
        <v>0</v>
      </c>
      <c r="AI76">
        <v>0</v>
      </c>
      <c r="AJ76">
        <v>0</v>
      </c>
      <c r="AK76">
        <v>0</v>
      </c>
      <c r="AL76">
        <v>15</v>
      </c>
      <c r="AM76">
        <v>0</v>
      </c>
      <c r="AN76">
        <f t="shared" si="2"/>
        <v>15</v>
      </c>
    </row>
    <row r="77" spans="1:43" hidden="1" x14ac:dyDescent="0.2">
      <c r="A77" t="s">
        <v>4308</v>
      </c>
      <c r="B77" t="s">
        <v>4307</v>
      </c>
      <c r="C77">
        <v>9</v>
      </c>
      <c r="D77">
        <v>1</v>
      </c>
      <c r="E77" t="s">
        <v>138</v>
      </c>
      <c r="F77" s="1">
        <v>43689</v>
      </c>
      <c r="G77" t="s">
        <v>4031</v>
      </c>
      <c r="H77" t="s">
        <v>4724</v>
      </c>
      <c r="I77" s="2">
        <v>4.8611111111111112E-3</v>
      </c>
      <c r="J77" s="176">
        <v>8.1018518518518516E-5</v>
      </c>
      <c r="K77" s="6">
        <v>7</v>
      </c>
      <c r="L77" t="s">
        <v>640</v>
      </c>
      <c r="M77" t="s">
        <v>4232</v>
      </c>
      <c r="N77" t="s">
        <v>102</v>
      </c>
      <c r="O77" t="s">
        <v>23</v>
      </c>
      <c r="P77">
        <v>0</v>
      </c>
      <c r="Q77">
        <v>0</v>
      </c>
      <c r="R77">
        <v>0</v>
      </c>
      <c r="S77" t="s">
        <v>115</v>
      </c>
      <c r="T77" t="s">
        <v>115</v>
      </c>
      <c r="U77" t="s">
        <v>115</v>
      </c>
      <c r="V77" t="s">
        <v>115</v>
      </c>
      <c r="W77" t="s">
        <v>115</v>
      </c>
      <c r="X77" t="s">
        <v>115</v>
      </c>
      <c r="Y77" t="s">
        <v>115</v>
      </c>
      <c r="Z77" t="s">
        <v>115</v>
      </c>
      <c r="AA77" t="s">
        <v>115</v>
      </c>
      <c r="AB77" t="s">
        <v>115</v>
      </c>
      <c r="AC77" t="s">
        <v>115</v>
      </c>
      <c r="AD77" t="s">
        <v>115</v>
      </c>
      <c r="AE77" t="s">
        <v>115</v>
      </c>
      <c r="AF77" t="s">
        <v>115</v>
      </c>
      <c r="AG77" t="s">
        <v>115</v>
      </c>
      <c r="AH77">
        <v>0</v>
      </c>
      <c r="AI77">
        <v>0</v>
      </c>
      <c r="AJ77">
        <v>0</v>
      </c>
      <c r="AK77">
        <v>0</v>
      </c>
      <c r="AL77">
        <v>2</v>
      </c>
      <c r="AM77">
        <v>0</v>
      </c>
      <c r="AN77">
        <f t="shared" si="2"/>
        <v>2</v>
      </c>
    </row>
    <row r="78" spans="1:43" hidden="1" x14ac:dyDescent="0.2">
      <c r="A78" t="s">
        <v>4309</v>
      </c>
      <c r="B78" t="s">
        <v>4310</v>
      </c>
      <c r="C78">
        <v>10</v>
      </c>
      <c r="D78">
        <v>1</v>
      </c>
      <c r="E78" t="s">
        <v>138</v>
      </c>
      <c r="F78" s="1">
        <v>43689</v>
      </c>
      <c r="G78" t="s">
        <v>4031</v>
      </c>
      <c r="H78" t="s">
        <v>4724</v>
      </c>
      <c r="I78" s="2">
        <v>2.0833333333333333E-3</v>
      </c>
      <c r="J78" s="176">
        <v>3.4722222222222222E-5</v>
      </c>
      <c r="K78" s="6">
        <v>3</v>
      </c>
      <c r="L78" t="s">
        <v>640</v>
      </c>
      <c r="M78" t="s">
        <v>4232</v>
      </c>
      <c r="N78" t="s">
        <v>102</v>
      </c>
      <c r="O78" t="s">
        <v>23</v>
      </c>
      <c r="P78">
        <v>0</v>
      </c>
      <c r="Q78">
        <v>0</v>
      </c>
      <c r="R78">
        <v>0</v>
      </c>
      <c r="S78" t="s">
        <v>115</v>
      </c>
      <c r="T78" t="s">
        <v>115</v>
      </c>
      <c r="U78" t="s">
        <v>115</v>
      </c>
      <c r="V78" t="s">
        <v>115</v>
      </c>
      <c r="W78" t="s">
        <v>115</v>
      </c>
      <c r="X78" t="s">
        <v>115</v>
      </c>
      <c r="Y78" t="s">
        <v>115</v>
      </c>
      <c r="Z78" t="s">
        <v>115</v>
      </c>
      <c r="AA78" t="s">
        <v>115</v>
      </c>
      <c r="AB78" t="s">
        <v>115</v>
      </c>
      <c r="AC78" t="s">
        <v>115</v>
      </c>
      <c r="AD78" t="s">
        <v>115</v>
      </c>
      <c r="AE78" t="s">
        <v>115</v>
      </c>
      <c r="AF78" t="s">
        <v>115</v>
      </c>
      <c r="AG78" t="s">
        <v>115</v>
      </c>
      <c r="AH78">
        <v>0</v>
      </c>
      <c r="AI78">
        <v>0</v>
      </c>
      <c r="AJ78">
        <v>0</v>
      </c>
      <c r="AK78">
        <v>0</v>
      </c>
      <c r="AL78">
        <v>2</v>
      </c>
      <c r="AM78">
        <v>0</v>
      </c>
      <c r="AN78">
        <f t="shared" si="2"/>
        <v>2</v>
      </c>
    </row>
    <row r="79" spans="1:43" hidden="1" x14ac:dyDescent="0.2">
      <c r="A79" t="s">
        <v>4311</v>
      </c>
      <c r="B79" t="s">
        <v>4312</v>
      </c>
      <c r="C79">
        <v>11</v>
      </c>
      <c r="D79">
        <v>1</v>
      </c>
      <c r="E79" t="s">
        <v>138</v>
      </c>
      <c r="F79" s="1">
        <v>43689</v>
      </c>
      <c r="G79" t="s">
        <v>4031</v>
      </c>
      <c r="H79" t="s">
        <v>4724</v>
      </c>
      <c r="I79" s="2">
        <v>1.2499999999999999E-2</v>
      </c>
      <c r="J79" s="176">
        <v>2.0833333333333335E-4</v>
      </c>
      <c r="K79" s="6">
        <v>18</v>
      </c>
      <c r="L79" t="s">
        <v>640</v>
      </c>
      <c r="M79" t="s">
        <v>4232</v>
      </c>
      <c r="N79" t="s">
        <v>102</v>
      </c>
      <c r="O79" t="s">
        <v>115</v>
      </c>
      <c r="P79">
        <v>0</v>
      </c>
      <c r="Q79">
        <v>0</v>
      </c>
      <c r="R79">
        <v>0</v>
      </c>
      <c r="S79" t="s">
        <v>115</v>
      </c>
      <c r="T79" t="s">
        <v>115</v>
      </c>
      <c r="U79" t="s">
        <v>115</v>
      </c>
      <c r="V79" t="s">
        <v>115</v>
      </c>
      <c r="W79" t="s">
        <v>115</v>
      </c>
      <c r="X79" t="s">
        <v>115</v>
      </c>
      <c r="Y79" t="s">
        <v>115</v>
      </c>
      <c r="Z79" t="s">
        <v>115</v>
      </c>
      <c r="AA79" t="s">
        <v>115</v>
      </c>
      <c r="AB79" t="s">
        <v>115</v>
      </c>
      <c r="AC79" t="s">
        <v>115</v>
      </c>
      <c r="AD79" t="s">
        <v>115</v>
      </c>
      <c r="AE79" t="s">
        <v>115</v>
      </c>
      <c r="AF79" t="s">
        <v>115</v>
      </c>
      <c r="AG79" t="s">
        <v>115</v>
      </c>
      <c r="AH79">
        <v>0</v>
      </c>
      <c r="AI79">
        <v>0</v>
      </c>
      <c r="AJ79">
        <v>0</v>
      </c>
      <c r="AK79">
        <v>0</v>
      </c>
      <c r="AL79">
        <v>12</v>
      </c>
      <c r="AM79">
        <v>0</v>
      </c>
      <c r="AN79">
        <f t="shared" si="2"/>
        <v>12</v>
      </c>
    </row>
    <row r="80" spans="1:43" hidden="1" x14ac:dyDescent="0.2">
      <c r="A80" t="s">
        <v>4315</v>
      </c>
      <c r="B80" t="s">
        <v>4316</v>
      </c>
      <c r="C80">
        <v>13</v>
      </c>
      <c r="D80">
        <v>1</v>
      </c>
      <c r="E80" t="s">
        <v>138</v>
      </c>
      <c r="F80" s="1">
        <v>43689</v>
      </c>
      <c r="G80" t="s">
        <v>4031</v>
      </c>
      <c r="H80" t="s">
        <v>4724</v>
      </c>
      <c r="I80" s="2">
        <v>8.3333333333333332E-3</v>
      </c>
      <c r="J80" s="176">
        <v>1.3888888888888889E-4</v>
      </c>
      <c r="K80" s="6">
        <v>12</v>
      </c>
      <c r="L80" t="s">
        <v>640</v>
      </c>
      <c r="M80" t="s">
        <v>4288</v>
      </c>
      <c r="N80" t="s">
        <v>102</v>
      </c>
      <c r="O80" t="s">
        <v>23</v>
      </c>
      <c r="P80">
        <v>0</v>
      </c>
      <c r="Q80">
        <v>0</v>
      </c>
      <c r="R80">
        <v>0</v>
      </c>
      <c r="S80" t="s">
        <v>115</v>
      </c>
      <c r="T80" t="s">
        <v>115</v>
      </c>
      <c r="U80" t="s">
        <v>115</v>
      </c>
      <c r="V80" t="s">
        <v>115</v>
      </c>
      <c r="W80" t="s">
        <v>115</v>
      </c>
      <c r="X80" t="s">
        <v>115</v>
      </c>
      <c r="Y80" t="s">
        <v>115</v>
      </c>
      <c r="Z80" t="s">
        <v>115</v>
      </c>
      <c r="AA80" t="s">
        <v>115</v>
      </c>
      <c r="AB80" t="s">
        <v>115</v>
      </c>
      <c r="AC80" t="s">
        <v>115</v>
      </c>
      <c r="AD80" t="s">
        <v>115</v>
      </c>
      <c r="AE80" t="s">
        <v>115</v>
      </c>
      <c r="AF80" t="s">
        <v>115</v>
      </c>
      <c r="AG80" t="s">
        <v>115</v>
      </c>
      <c r="AH80">
        <v>12</v>
      </c>
      <c r="AI80">
        <v>0</v>
      </c>
      <c r="AJ80">
        <v>12</v>
      </c>
      <c r="AK80">
        <v>0</v>
      </c>
      <c r="AL80">
        <v>0</v>
      </c>
      <c r="AM80">
        <v>0</v>
      </c>
      <c r="AN80">
        <f t="shared" si="2"/>
        <v>12</v>
      </c>
    </row>
    <row r="81" spans="1:42" hidden="1" x14ac:dyDescent="0.2">
      <c r="A81" t="s">
        <v>4320</v>
      </c>
      <c r="B81" t="s">
        <v>4321</v>
      </c>
      <c r="C81">
        <v>15</v>
      </c>
      <c r="D81">
        <v>1</v>
      </c>
      <c r="E81" t="s">
        <v>138</v>
      </c>
      <c r="F81" s="1">
        <v>43689</v>
      </c>
      <c r="G81" t="s">
        <v>4031</v>
      </c>
      <c r="H81" t="s">
        <v>4724</v>
      </c>
      <c r="I81" s="2">
        <v>9.0277777777777787E-3</v>
      </c>
      <c r="J81" s="176">
        <v>1.5046296296296297E-4</v>
      </c>
      <c r="K81" s="6">
        <v>13</v>
      </c>
      <c r="L81" t="s">
        <v>640</v>
      </c>
      <c r="M81" t="s">
        <v>241</v>
      </c>
      <c r="N81" t="s">
        <v>102</v>
      </c>
      <c r="O81" t="s">
        <v>115</v>
      </c>
      <c r="P81">
        <v>0</v>
      </c>
      <c r="Q81">
        <v>0</v>
      </c>
      <c r="R81">
        <v>0</v>
      </c>
      <c r="S81" t="s">
        <v>115</v>
      </c>
      <c r="T81" t="s">
        <v>115</v>
      </c>
      <c r="U81" t="s">
        <v>115</v>
      </c>
      <c r="V81" t="s">
        <v>115</v>
      </c>
      <c r="W81" t="s">
        <v>115</v>
      </c>
      <c r="X81" t="s">
        <v>115</v>
      </c>
      <c r="Y81" t="s">
        <v>115</v>
      </c>
      <c r="Z81" t="s">
        <v>115</v>
      </c>
      <c r="AA81" t="s">
        <v>115</v>
      </c>
      <c r="AB81" t="s">
        <v>115</v>
      </c>
      <c r="AC81" t="s">
        <v>115</v>
      </c>
      <c r="AD81" t="s">
        <v>115</v>
      </c>
      <c r="AE81" t="s">
        <v>115</v>
      </c>
      <c r="AF81" t="s">
        <v>115</v>
      </c>
      <c r="AG81" t="s">
        <v>115</v>
      </c>
      <c r="AH81">
        <v>0</v>
      </c>
      <c r="AI81">
        <v>0</v>
      </c>
      <c r="AJ81">
        <v>0</v>
      </c>
      <c r="AK81">
        <v>0</v>
      </c>
      <c r="AL81">
        <v>7</v>
      </c>
      <c r="AM81">
        <v>0</v>
      </c>
      <c r="AN81">
        <f t="shared" si="2"/>
        <v>7</v>
      </c>
    </row>
    <row r="82" spans="1:42" hidden="1" x14ac:dyDescent="0.2">
      <c r="A82" t="s">
        <v>4334</v>
      </c>
      <c r="B82" t="s">
        <v>4335</v>
      </c>
      <c r="C82">
        <v>21</v>
      </c>
      <c r="D82">
        <v>1</v>
      </c>
      <c r="E82" t="s">
        <v>138</v>
      </c>
      <c r="F82" s="1">
        <v>43689</v>
      </c>
      <c r="G82" t="s">
        <v>4031</v>
      </c>
      <c r="H82" t="s">
        <v>4724</v>
      </c>
      <c r="I82" s="2">
        <v>6.3194444444444442E-2</v>
      </c>
      <c r="J82" s="176">
        <v>1.0532407407407407E-3</v>
      </c>
      <c r="K82" s="6">
        <v>91</v>
      </c>
      <c r="L82" t="s">
        <v>640</v>
      </c>
      <c r="M82" t="s">
        <v>4232</v>
      </c>
      <c r="N82" t="s">
        <v>102</v>
      </c>
      <c r="O82" t="s">
        <v>115</v>
      </c>
      <c r="P82" t="s">
        <v>176</v>
      </c>
      <c r="Q82">
        <v>0</v>
      </c>
      <c r="R82">
        <v>0</v>
      </c>
      <c r="S82" t="s">
        <v>115</v>
      </c>
      <c r="T82" t="s">
        <v>115</v>
      </c>
      <c r="U82" t="s">
        <v>115</v>
      </c>
      <c r="V82" t="s">
        <v>115</v>
      </c>
      <c r="W82" t="s">
        <v>115</v>
      </c>
      <c r="X82" t="s">
        <v>115</v>
      </c>
      <c r="Y82" t="s">
        <v>115</v>
      </c>
      <c r="Z82" t="s">
        <v>115</v>
      </c>
      <c r="AA82" t="s">
        <v>115</v>
      </c>
      <c r="AB82" t="s">
        <v>115</v>
      </c>
      <c r="AC82" t="s">
        <v>115</v>
      </c>
      <c r="AD82" t="s">
        <v>115</v>
      </c>
      <c r="AE82" t="s">
        <v>115</v>
      </c>
      <c r="AF82" t="s">
        <v>115</v>
      </c>
      <c r="AG82" t="s">
        <v>115</v>
      </c>
      <c r="AH82">
        <v>0</v>
      </c>
      <c r="AI82">
        <v>0</v>
      </c>
      <c r="AJ82">
        <v>0</v>
      </c>
      <c r="AK82">
        <v>0</v>
      </c>
      <c r="AL82">
        <v>91</v>
      </c>
      <c r="AM82">
        <v>0</v>
      </c>
      <c r="AN82">
        <f t="shared" si="2"/>
        <v>91</v>
      </c>
    </row>
    <row r="83" spans="1:42" hidden="1" x14ac:dyDescent="0.2">
      <c r="A83" t="s">
        <v>4317</v>
      </c>
      <c r="B83" t="s">
        <v>4318</v>
      </c>
      <c r="C83">
        <v>14</v>
      </c>
      <c r="D83">
        <v>1</v>
      </c>
      <c r="E83" t="s">
        <v>138</v>
      </c>
      <c r="F83" s="1">
        <v>43689</v>
      </c>
      <c r="G83" t="s">
        <v>4031</v>
      </c>
      <c r="H83" t="s">
        <v>4724</v>
      </c>
      <c r="I83" s="2">
        <v>9.7222222222222224E-3</v>
      </c>
      <c r="J83" s="176">
        <v>1.6203703703703703E-4</v>
      </c>
      <c r="K83" s="6">
        <v>14</v>
      </c>
      <c r="L83" t="s">
        <v>640</v>
      </c>
      <c r="M83" t="s">
        <v>4288</v>
      </c>
      <c r="N83" t="s">
        <v>568</v>
      </c>
      <c r="O83" t="s">
        <v>23</v>
      </c>
      <c r="P83">
        <v>1</v>
      </c>
      <c r="Q83">
        <v>0</v>
      </c>
      <c r="R83">
        <v>1</v>
      </c>
      <c r="S83" t="s">
        <v>112</v>
      </c>
      <c r="T83" t="s">
        <v>4319</v>
      </c>
      <c r="U83" t="s">
        <v>122</v>
      </c>
      <c r="V83" t="s">
        <v>1035</v>
      </c>
      <c r="W83" t="s">
        <v>23</v>
      </c>
      <c r="X83" t="s">
        <v>3997</v>
      </c>
      <c r="Y83" t="s">
        <v>4006</v>
      </c>
      <c r="AA83">
        <v>54</v>
      </c>
      <c r="AB83">
        <v>2</v>
      </c>
      <c r="AC83" s="19">
        <v>63.724769999999999</v>
      </c>
      <c r="AD83" s="19">
        <v>148.95863</v>
      </c>
      <c r="AE83" t="s">
        <v>115</v>
      </c>
      <c r="AF83" t="s">
        <v>115</v>
      </c>
      <c r="AG83" t="s">
        <v>115</v>
      </c>
      <c r="AH83">
        <v>0</v>
      </c>
      <c r="AI83">
        <v>0</v>
      </c>
      <c r="AJ83">
        <v>0</v>
      </c>
      <c r="AK83">
        <v>0</v>
      </c>
      <c r="AL83">
        <v>1</v>
      </c>
      <c r="AM83">
        <v>0</v>
      </c>
      <c r="AN83">
        <f t="shared" si="2"/>
        <v>1</v>
      </c>
      <c r="AP83" t="s">
        <v>4322</v>
      </c>
    </row>
    <row r="84" spans="1:42" hidden="1" x14ac:dyDescent="0.2">
      <c r="A84" t="s">
        <v>4323</v>
      </c>
      <c r="B84" t="s">
        <v>4324</v>
      </c>
      <c r="C84">
        <v>16</v>
      </c>
      <c r="D84">
        <v>1</v>
      </c>
      <c r="E84" t="s">
        <v>138</v>
      </c>
      <c r="F84" s="1">
        <v>43689</v>
      </c>
      <c r="G84" t="s">
        <v>4031</v>
      </c>
      <c r="H84" t="s">
        <v>4724</v>
      </c>
      <c r="I84" s="2">
        <v>1.1111111111111112E-2</v>
      </c>
      <c r="J84" s="176">
        <v>1.8518518518518518E-4</v>
      </c>
      <c r="K84" s="6">
        <v>16</v>
      </c>
      <c r="L84" t="s">
        <v>640</v>
      </c>
      <c r="M84" t="s">
        <v>241</v>
      </c>
      <c r="N84" t="s">
        <v>102</v>
      </c>
      <c r="O84" t="s">
        <v>115</v>
      </c>
      <c r="P84">
        <v>1</v>
      </c>
      <c r="Q84">
        <v>0</v>
      </c>
      <c r="R84">
        <v>0</v>
      </c>
      <c r="S84" t="s">
        <v>112</v>
      </c>
      <c r="T84" t="s">
        <v>4214</v>
      </c>
      <c r="U84" t="s">
        <v>122</v>
      </c>
      <c r="V84" t="s">
        <v>115</v>
      </c>
      <c r="W84" t="s">
        <v>115</v>
      </c>
      <c r="X84" t="s">
        <v>115</v>
      </c>
      <c r="Y84" t="s">
        <v>115</v>
      </c>
      <c r="Z84" t="s">
        <v>115</v>
      </c>
      <c r="AA84" t="s">
        <v>115</v>
      </c>
      <c r="AB84" t="s">
        <v>115</v>
      </c>
      <c r="AC84" t="s">
        <v>115</v>
      </c>
      <c r="AD84" t="s">
        <v>115</v>
      </c>
      <c r="AE84" t="s">
        <v>115</v>
      </c>
      <c r="AF84" t="s">
        <v>115</v>
      </c>
      <c r="AG84" t="s">
        <v>115</v>
      </c>
      <c r="AH84">
        <v>0</v>
      </c>
      <c r="AI84">
        <v>0</v>
      </c>
      <c r="AJ84">
        <v>0</v>
      </c>
      <c r="AK84">
        <v>0</v>
      </c>
      <c r="AL84">
        <v>14</v>
      </c>
      <c r="AM84">
        <v>0</v>
      </c>
      <c r="AN84">
        <f t="shared" si="2"/>
        <v>14</v>
      </c>
    </row>
    <row r="85" spans="1:42" hidden="1" x14ac:dyDescent="0.2">
      <c r="A85" t="s">
        <v>4325</v>
      </c>
      <c r="B85" t="s">
        <v>4326</v>
      </c>
      <c r="C85">
        <v>17</v>
      </c>
      <c r="D85">
        <v>1</v>
      </c>
      <c r="E85" t="s">
        <v>138</v>
      </c>
      <c r="F85" s="1">
        <v>43689</v>
      </c>
      <c r="G85" t="s">
        <v>4031</v>
      </c>
      <c r="H85" t="s">
        <v>4724</v>
      </c>
      <c r="I85" s="2">
        <v>1.3194444444444444E-2</v>
      </c>
      <c r="J85" s="176">
        <v>2.199074074074074E-4</v>
      </c>
      <c r="K85" s="6">
        <v>19</v>
      </c>
      <c r="L85" t="s">
        <v>640</v>
      </c>
      <c r="M85" t="s">
        <v>241</v>
      </c>
      <c r="N85" t="s">
        <v>102</v>
      </c>
      <c r="O85" t="s">
        <v>115</v>
      </c>
      <c r="P85">
        <v>1</v>
      </c>
      <c r="Q85">
        <v>0</v>
      </c>
      <c r="R85">
        <v>0</v>
      </c>
      <c r="S85" t="s">
        <v>112</v>
      </c>
      <c r="T85" t="s">
        <v>4214</v>
      </c>
      <c r="U85" t="s">
        <v>122</v>
      </c>
      <c r="V85" t="s">
        <v>115</v>
      </c>
      <c r="W85" t="s">
        <v>115</v>
      </c>
      <c r="X85" t="s">
        <v>115</v>
      </c>
      <c r="Y85" t="s">
        <v>115</v>
      </c>
      <c r="Z85" t="s">
        <v>115</v>
      </c>
      <c r="AA85" t="s">
        <v>115</v>
      </c>
      <c r="AB85" t="s">
        <v>115</v>
      </c>
      <c r="AC85" t="s">
        <v>115</v>
      </c>
      <c r="AD85" t="s">
        <v>115</v>
      </c>
      <c r="AE85" t="s">
        <v>115</v>
      </c>
      <c r="AF85" t="s">
        <v>115</v>
      </c>
      <c r="AG85" t="s">
        <v>115</v>
      </c>
      <c r="AH85">
        <v>0</v>
      </c>
      <c r="AI85">
        <v>0</v>
      </c>
      <c r="AJ85">
        <v>0</v>
      </c>
      <c r="AK85">
        <v>0</v>
      </c>
      <c r="AL85">
        <v>19</v>
      </c>
      <c r="AM85">
        <v>0</v>
      </c>
      <c r="AN85">
        <f t="shared" si="2"/>
        <v>19</v>
      </c>
    </row>
    <row r="86" spans="1:42" hidden="1" x14ac:dyDescent="0.2">
      <c r="A86" t="s">
        <v>4327</v>
      </c>
      <c r="B86" t="s">
        <v>4328</v>
      </c>
      <c r="C86">
        <v>18</v>
      </c>
      <c r="D86">
        <v>1</v>
      </c>
      <c r="E86" t="s">
        <v>138</v>
      </c>
      <c r="F86" s="1">
        <v>43689</v>
      </c>
      <c r="G86" t="s">
        <v>4031</v>
      </c>
      <c r="H86" t="s">
        <v>4724</v>
      </c>
      <c r="I86" s="2">
        <v>1.5972222222222224E-2</v>
      </c>
      <c r="J86" s="176">
        <v>2.6620370370370372E-4</v>
      </c>
      <c r="K86" s="6">
        <v>23</v>
      </c>
      <c r="L86" t="s">
        <v>640</v>
      </c>
      <c r="M86" t="s">
        <v>241</v>
      </c>
      <c r="N86" t="s">
        <v>102</v>
      </c>
      <c r="O86" t="s">
        <v>115</v>
      </c>
      <c r="P86">
        <v>1</v>
      </c>
      <c r="Q86">
        <v>0</v>
      </c>
      <c r="R86">
        <v>0</v>
      </c>
      <c r="S86" t="s">
        <v>112</v>
      </c>
      <c r="T86" t="s">
        <v>4329</v>
      </c>
      <c r="U86" t="s">
        <v>122</v>
      </c>
      <c r="V86" t="s">
        <v>115</v>
      </c>
      <c r="W86" t="s">
        <v>115</v>
      </c>
      <c r="X86" t="s">
        <v>115</v>
      </c>
      <c r="Y86" t="s">
        <v>115</v>
      </c>
      <c r="Z86" t="s">
        <v>115</v>
      </c>
      <c r="AA86" t="s">
        <v>115</v>
      </c>
      <c r="AB86" t="s">
        <v>115</v>
      </c>
      <c r="AC86" t="s">
        <v>115</v>
      </c>
      <c r="AD86" t="s">
        <v>115</v>
      </c>
      <c r="AE86" t="s">
        <v>115</v>
      </c>
      <c r="AF86" t="s">
        <v>115</v>
      </c>
      <c r="AG86" t="s">
        <v>115</v>
      </c>
      <c r="AH86">
        <v>0</v>
      </c>
      <c r="AI86">
        <v>0</v>
      </c>
      <c r="AJ86">
        <v>0</v>
      </c>
      <c r="AK86">
        <v>0</v>
      </c>
      <c r="AL86">
        <v>12</v>
      </c>
      <c r="AM86">
        <v>0</v>
      </c>
      <c r="AN86">
        <f t="shared" si="2"/>
        <v>12</v>
      </c>
    </row>
    <row r="87" spans="1:42" hidden="1" x14ac:dyDescent="0.2">
      <c r="A87" t="s">
        <v>4330</v>
      </c>
      <c r="B87" t="s">
        <v>4331</v>
      </c>
      <c r="C87">
        <v>19</v>
      </c>
      <c r="D87">
        <v>1</v>
      </c>
      <c r="E87" t="s">
        <v>138</v>
      </c>
      <c r="F87" s="1">
        <v>43689</v>
      </c>
      <c r="G87" t="s">
        <v>4031</v>
      </c>
      <c r="H87" t="s">
        <v>4724</v>
      </c>
      <c r="I87" s="2">
        <v>1.1805555555555555E-2</v>
      </c>
      <c r="J87" s="176">
        <v>1.9675925925925926E-4</v>
      </c>
      <c r="K87" s="6">
        <v>17</v>
      </c>
      <c r="L87" t="s">
        <v>640</v>
      </c>
      <c r="M87" t="s">
        <v>241</v>
      </c>
      <c r="N87" t="s">
        <v>102</v>
      </c>
      <c r="O87" t="s">
        <v>115</v>
      </c>
      <c r="P87">
        <v>1</v>
      </c>
      <c r="Q87">
        <v>0</v>
      </c>
      <c r="R87">
        <v>0</v>
      </c>
      <c r="S87" t="s">
        <v>112</v>
      </c>
      <c r="T87" t="s">
        <v>4319</v>
      </c>
      <c r="U87" t="s">
        <v>122</v>
      </c>
      <c r="V87" t="s">
        <v>115</v>
      </c>
      <c r="W87" t="s">
        <v>115</v>
      </c>
      <c r="X87" t="s">
        <v>115</v>
      </c>
      <c r="Y87" t="s">
        <v>115</v>
      </c>
      <c r="Z87" t="s">
        <v>115</v>
      </c>
      <c r="AA87" t="s">
        <v>115</v>
      </c>
      <c r="AB87" t="s">
        <v>115</v>
      </c>
      <c r="AC87" t="s">
        <v>115</v>
      </c>
      <c r="AD87" t="s">
        <v>115</v>
      </c>
      <c r="AE87" t="s">
        <v>115</v>
      </c>
      <c r="AF87" t="s">
        <v>115</v>
      </c>
      <c r="AG87" t="s">
        <v>115</v>
      </c>
      <c r="AH87">
        <v>0</v>
      </c>
      <c r="AI87">
        <v>0</v>
      </c>
      <c r="AJ87">
        <v>0</v>
      </c>
      <c r="AK87">
        <v>0</v>
      </c>
      <c r="AL87">
        <v>12</v>
      </c>
      <c r="AM87">
        <v>0</v>
      </c>
      <c r="AN87">
        <f t="shared" si="2"/>
        <v>12</v>
      </c>
    </row>
    <row r="88" spans="1:42" hidden="1" x14ac:dyDescent="0.2">
      <c r="A88" t="s">
        <v>4332</v>
      </c>
      <c r="B88" t="s">
        <v>4333</v>
      </c>
      <c r="C88">
        <v>20</v>
      </c>
      <c r="D88">
        <v>1</v>
      </c>
      <c r="E88" t="s">
        <v>138</v>
      </c>
      <c r="F88" s="1">
        <v>43689</v>
      </c>
      <c r="G88" t="s">
        <v>4031</v>
      </c>
      <c r="H88" t="s">
        <v>4724</v>
      </c>
      <c r="I88" s="2">
        <v>2.0833333333333333E-3</v>
      </c>
      <c r="J88" s="176">
        <v>3.4722222222222222E-5</v>
      </c>
      <c r="K88" s="6">
        <v>3</v>
      </c>
      <c r="L88" t="s">
        <v>640</v>
      </c>
      <c r="M88" t="s">
        <v>4232</v>
      </c>
      <c r="N88" t="s">
        <v>102</v>
      </c>
      <c r="O88" t="s">
        <v>115</v>
      </c>
      <c r="P88">
        <v>1</v>
      </c>
      <c r="Q88">
        <v>0</v>
      </c>
      <c r="R88">
        <v>0</v>
      </c>
      <c r="S88" t="s">
        <v>112</v>
      </c>
      <c r="T88" t="s">
        <v>4319</v>
      </c>
      <c r="U88" t="s">
        <v>122</v>
      </c>
      <c r="V88" t="s">
        <v>115</v>
      </c>
      <c r="W88" t="s">
        <v>115</v>
      </c>
      <c r="X88" t="s">
        <v>115</v>
      </c>
      <c r="Y88" t="s">
        <v>115</v>
      </c>
      <c r="Z88" t="s">
        <v>115</v>
      </c>
      <c r="AA88" t="s">
        <v>115</v>
      </c>
      <c r="AB88" t="s">
        <v>115</v>
      </c>
      <c r="AC88" t="s">
        <v>115</v>
      </c>
      <c r="AD88" t="s">
        <v>115</v>
      </c>
      <c r="AE88" t="s">
        <v>115</v>
      </c>
      <c r="AF88" t="s">
        <v>115</v>
      </c>
      <c r="AG88" t="s">
        <v>115</v>
      </c>
      <c r="AH88">
        <v>0</v>
      </c>
      <c r="AI88">
        <v>0</v>
      </c>
      <c r="AJ88">
        <v>0</v>
      </c>
      <c r="AK88">
        <v>0</v>
      </c>
      <c r="AL88">
        <v>3</v>
      </c>
      <c r="AM88">
        <v>0</v>
      </c>
      <c r="AN88">
        <f t="shared" si="2"/>
        <v>3</v>
      </c>
    </row>
    <row r="89" spans="1:42" hidden="1" x14ac:dyDescent="0.2">
      <c r="A89" t="s">
        <v>4338</v>
      </c>
      <c r="B89" t="s">
        <v>4340</v>
      </c>
      <c r="C89">
        <v>1</v>
      </c>
      <c r="D89">
        <v>1</v>
      </c>
      <c r="E89" t="s">
        <v>2586</v>
      </c>
      <c r="F89" s="1">
        <v>43690</v>
      </c>
      <c r="G89" t="s">
        <v>4031</v>
      </c>
      <c r="H89" t="s">
        <v>4724</v>
      </c>
      <c r="I89" s="2">
        <v>1.1111111111111112E-2</v>
      </c>
      <c r="J89" s="176">
        <v>1.8518518518518518E-4</v>
      </c>
      <c r="K89" s="6">
        <v>16</v>
      </c>
      <c r="L89" t="s">
        <v>884</v>
      </c>
      <c r="M89" t="s">
        <v>4339</v>
      </c>
      <c r="N89" t="s">
        <v>102</v>
      </c>
      <c r="O89" t="s">
        <v>12</v>
      </c>
      <c r="P89">
        <v>0</v>
      </c>
      <c r="Q89">
        <v>0</v>
      </c>
      <c r="R89">
        <v>1</v>
      </c>
      <c r="S89" t="s">
        <v>176</v>
      </c>
      <c r="T89" t="s">
        <v>176</v>
      </c>
      <c r="U89" t="s">
        <v>122</v>
      </c>
      <c r="V89" t="s">
        <v>374</v>
      </c>
      <c r="W89" t="s">
        <v>12</v>
      </c>
      <c r="X89" t="s">
        <v>3997</v>
      </c>
      <c r="Y89" t="s">
        <v>4022</v>
      </c>
      <c r="AA89">
        <v>237</v>
      </c>
      <c r="AB89">
        <v>4</v>
      </c>
      <c r="AC89" s="19">
        <v>63.726990000000001</v>
      </c>
      <c r="AD89" s="19">
        <v>148.88686999999999</v>
      </c>
      <c r="AE89" t="s">
        <v>115</v>
      </c>
      <c r="AF89" t="s">
        <v>115</v>
      </c>
      <c r="AG89" t="s">
        <v>115</v>
      </c>
      <c r="AH89">
        <v>0</v>
      </c>
      <c r="AI89">
        <v>0</v>
      </c>
      <c r="AJ89">
        <v>0</v>
      </c>
      <c r="AK89">
        <v>0</v>
      </c>
      <c r="AL89">
        <v>0</v>
      </c>
      <c r="AM89">
        <v>0</v>
      </c>
      <c r="AN89">
        <f t="shared" si="2"/>
        <v>0</v>
      </c>
      <c r="AP89" t="s">
        <v>2405</v>
      </c>
    </row>
    <row r="90" spans="1:42" hidden="1" x14ac:dyDescent="0.2">
      <c r="A90" t="s">
        <v>4347</v>
      </c>
      <c r="B90" t="s">
        <v>4348</v>
      </c>
      <c r="C90">
        <v>5</v>
      </c>
      <c r="D90">
        <v>1</v>
      </c>
      <c r="E90" t="s">
        <v>2586</v>
      </c>
      <c r="F90" s="1">
        <v>43690</v>
      </c>
      <c r="G90" t="s">
        <v>4031</v>
      </c>
      <c r="H90" t="s">
        <v>4724</v>
      </c>
      <c r="I90" s="2">
        <v>2.4305555555555556E-2</v>
      </c>
      <c r="J90" s="176">
        <v>4.0509259259259258E-4</v>
      </c>
      <c r="K90" s="6">
        <v>35</v>
      </c>
      <c r="L90" t="s">
        <v>884</v>
      </c>
      <c r="M90" t="s">
        <v>4339</v>
      </c>
      <c r="N90" t="s">
        <v>102</v>
      </c>
      <c r="O90" t="s">
        <v>115</v>
      </c>
      <c r="P90">
        <v>1</v>
      </c>
      <c r="Q90">
        <v>0</v>
      </c>
      <c r="R90">
        <v>0</v>
      </c>
      <c r="S90" t="s">
        <v>176</v>
      </c>
      <c r="T90" t="s">
        <v>176</v>
      </c>
      <c r="U90" t="s">
        <v>263</v>
      </c>
      <c r="V90" t="s">
        <v>115</v>
      </c>
      <c r="W90" t="s">
        <v>115</v>
      </c>
      <c r="X90" t="s">
        <v>115</v>
      </c>
      <c r="Y90" t="s">
        <v>115</v>
      </c>
      <c r="Z90" t="s">
        <v>115</v>
      </c>
      <c r="AA90" t="s">
        <v>115</v>
      </c>
      <c r="AB90" t="s">
        <v>115</v>
      </c>
      <c r="AC90" t="s">
        <v>115</v>
      </c>
      <c r="AD90" t="s">
        <v>115</v>
      </c>
      <c r="AE90" t="s">
        <v>115</v>
      </c>
      <c r="AF90" t="s">
        <v>115</v>
      </c>
      <c r="AG90" t="s">
        <v>115</v>
      </c>
      <c r="AH90">
        <v>28</v>
      </c>
      <c r="AI90">
        <v>0</v>
      </c>
      <c r="AJ90">
        <v>28</v>
      </c>
      <c r="AK90">
        <v>0</v>
      </c>
      <c r="AL90">
        <v>2</v>
      </c>
      <c r="AM90">
        <v>0</v>
      </c>
      <c r="AN90">
        <f t="shared" si="2"/>
        <v>30</v>
      </c>
    </row>
    <row r="91" spans="1:42" hidden="1" x14ac:dyDescent="0.2">
      <c r="A91" t="s">
        <v>4349</v>
      </c>
      <c r="B91" t="s">
        <v>4350</v>
      </c>
      <c r="C91">
        <v>6</v>
      </c>
      <c r="D91">
        <v>2</v>
      </c>
      <c r="E91" t="s">
        <v>2586</v>
      </c>
      <c r="F91" s="1">
        <v>43690</v>
      </c>
      <c r="G91" t="s">
        <v>4031</v>
      </c>
      <c r="H91" t="s">
        <v>4724</v>
      </c>
      <c r="I91" s="2">
        <v>6.458333333333334E-2</v>
      </c>
      <c r="J91" s="176">
        <v>1.0763888888888889E-3</v>
      </c>
      <c r="K91" s="6">
        <v>93</v>
      </c>
      <c r="L91" t="s">
        <v>884</v>
      </c>
      <c r="M91" t="s">
        <v>4339</v>
      </c>
      <c r="N91" t="s">
        <v>102</v>
      </c>
      <c r="O91" t="s">
        <v>115</v>
      </c>
      <c r="P91">
        <v>1</v>
      </c>
      <c r="Q91">
        <v>0</v>
      </c>
      <c r="R91">
        <v>0</v>
      </c>
      <c r="S91" t="s">
        <v>176</v>
      </c>
      <c r="T91" t="s">
        <v>176</v>
      </c>
      <c r="U91" t="s">
        <v>4351</v>
      </c>
      <c r="V91" t="s">
        <v>115</v>
      </c>
      <c r="W91" t="s">
        <v>115</v>
      </c>
      <c r="X91" t="s">
        <v>115</v>
      </c>
      <c r="Y91" t="s">
        <v>115</v>
      </c>
      <c r="Z91" t="s">
        <v>115</v>
      </c>
      <c r="AA91" t="s">
        <v>115</v>
      </c>
      <c r="AB91" t="s">
        <v>115</v>
      </c>
      <c r="AC91" t="s">
        <v>115</v>
      </c>
      <c r="AD91" t="s">
        <v>115</v>
      </c>
      <c r="AE91" t="s">
        <v>115</v>
      </c>
      <c r="AF91" t="s">
        <v>115</v>
      </c>
      <c r="AG91" t="s">
        <v>115</v>
      </c>
      <c r="AH91">
        <v>13</v>
      </c>
      <c r="AI91">
        <v>0</v>
      </c>
      <c r="AJ91">
        <v>0</v>
      </c>
      <c r="AK91">
        <v>13</v>
      </c>
      <c r="AL91">
        <v>11</v>
      </c>
      <c r="AM91">
        <v>0</v>
      </c>
      <c r="AN91">
        <f t="shared" si="2"/>
        <v>24</v>
      </c>
    </row>
    <row r="92" spans="1:42" hidden="1" x14ac:dyDescent="0.2">
      <c r="A92" t="s">
        <v>4349</v>
      </c>
      <c r="B92" t="s">
        <v>4350</v>
      </c>
      <c r="C92">
        <v>6</v>
      </c>
      <c r="D92">
        <v>3</v>
      </c>
      <c r="E92" t="s">
        <v>2586</v>
      </c>
      <c r="F92" s="1">
        <v>43690</v>
      </c>
      <c r="G92" t="s">
        <v>4031</v>
      </c>
      <c r="H92" t="s">
        <v>4724</v>
      </c>
      <c r="I92" s="2">
        <v>6.458333333333334E-2</v>
      </c>
      <c r="J92" s="176">
        <v>1.0763888888888889E-3</v>
      </c>
      <c r="K92" s="6">
        <v>93</v>
      </c>
      <c r="L92" t="s">
        <v>884</v>
      </c>
      <c r="M92" t="s">
        <v>4339</v>
      </c>
      <c r="N92" t="s">
        <v>102</v>
      </c>
      <c r="O92" t="s">
        <v>115</v>
      </c>
      <c r="P92">
        <v>1</v>
      </c>
      <c r="Q92">
        <v>0</v>
      </c>
      <c r="R92">
        <v>0</v>
      </c>
      <c r="S92" t="s">
        <v>176</v>
      </c>
      <c r="T92" t="s">
        <v>176</v>
      </c>
      <c r="U92" t="s">
        <v>122</v>
      </c>
      <c r="V92" t="s">
        <v>115</v>
      </c>
      <c r="W92" t="s">
        <v>115</v>
      </c>
      <c r="X92" t="s">
        <v>115</v>
      </c>
      <c r="Y92" t="s">
        <v>115</v>
      </c>
      <c r="Z92" t="s">
        <v>115</v>
      </c>
      <c r="AA92" t="s">
        <v>115</v>
      </c>
      <c r="AB92" t="s">
        <v>115</v>
      </c>
      <c r="AC92" t="s">
        <v>115</v>
      </c>
      <c r="AD92" t="s">
        <v>115</v>
      </c>
      <c r="AE92" t="s">
        <v>115</v>
      </c>
      <c r="AF92" t="s">
        <v>115</v>
      </c>
      <c r="AG92" t="s">
        <v>115</v>
      </c>
      <c r="AH92">
        <v>0</v>
      </c>
      <c r="AI92">
        <v>0</v>
      </c>
      <c r="AJ92">
        <v>0</v>
      </c>
      <c r="AK92">
        <v>0</v>
      </c>
      <c r="AL92">
        <v>51</v>
      </c>
      <c r="AM92">
        <v>0</v>
      </c>
      <c r="AN92">
        <f t="shared" si="2"/>
        <v>51</v>
      </c>
    </row>
    <row r="93" spans="1:42" hidden="1" x14ac:dyDescent="0.2">
      <c r="A93" t="s">
        <v>4354</v>
      </c>
      <c r="B93" t="s">
        <v>4355</v>
      </c>
      <c r="C93">
        <v>8</v>
      </c>
      <c r="D93">
        <v>1</v>
      </c>
      <c r="E93" t="s">
        <v>2586</v>
      </c>
      <c r="F93" s="1">
        <v>43690</v>
      </c>
      <c r="G93" t="s">
        <v>4031</v>
      </c>
      <c r="H93" t="s">
        <v>4724</v>
      </c>
      <c r="I93" s="2">
        <v>9.7222222222222224E-3</v>
      </c>
      <c r="J93" s="176">
        <v>1.6203703703703703E-4</v>
      </c>
      <c r="K93" s="6">
        <v>14</v>
      </c>
      <c r="L93" t="s">
        <v>884</v>
      </c>
      <c r="M93" t="s">
        <v>4339</v>
      </c>
      <c r="N93" t="s">
        <v>102</v>
      </c>
      <c r="O93" t="s">
        <v>115</v>
      </c>
      <c r="P93">
        <v>1</v>
      </c>
      <c r="Q93">
        <v>0</v>
      </c>
      <c r="R93">
        <v>0</v>
      </c>
      <c r="S93" t="s">
        <v>176</v>
      </c>
      <c r="T93" t="s">
        <v>176</v>
      </c>
      <c r="U93" t="s">
        <v>122</v>
      </c>
      <c r="V93" t="s">
        <v>115</v>
      </c>
      <c r="W93" t="s">
        <v>115</v>
      </c>
      <c r="X93" t="s">
        <v>115</v>
      </c>
      <c r="Y93" t="s">
        <v>115</v>
      </c>
      <c r="Z93" t="s">
        <v>115</v>
      </c>
      <c r="AA93" t="s">
        <v>115</v>
      </c>
      <c r="AB93" t="s">
        <v>115</v>
      </c>
      <c r="AC93" t="s">
        <v>115</v>
      </c>
      <c r="AD93" t="s">
        <v>115</v>
      </c>
      <c r="AE93" t="s">
        <v>115</v>
      </c>
      <c r="AF93" t="s">
        <v>115</v>
      </c>
      <c r="AG93" t="s">
        <v>115</v>
      </c>
      <c r="AH93">
        <v>0</v>
      </c>
      <c r="AI93">
        <v>0</v>
      </c>
      <c r="AJ93">
        <v>0</v>
      </c>
      <c r="AK93">
        <v>0</v>
      </c>
      <c r="AL93">
        <v>12</v>
      </c>
      <c r="AM93">
        <v>0</v>
      </c>
      <c r="AN93">
        <f t="shared" si="2"/>
        <v>12</v>
      </c>
    </row>
    <row r="94" spans="1:42" hidden="1" x14ac:dyDescent="0.2">
      <c r="A94" t="s">
        <v>4341</v>
      </c>
      <c r="B94" t="s">
        <v>4342</v>
      </c>
      <c r="C94">
        <v>2</v>
      </c>
      <c r="D94">
        <v>1</v>
      </c>
      <c r="E94" t="s">
        <v>2586</v>
      </c>
      <c r="F94" s="1">
        <v>43690</v>
      </c>
      <c r="G94" t="s">
        <v>4031</v>
      </c>
      <c r="H94" t="s">
        <v>4724</v>
      </c>
      <c r="I94" s="2">
        <v>1.7361111111111112E-2</v>
      </c>
      <c r="J94" s="176">
        <v>2.8935185185185189E-4</v>
      </c>
      <c r="K94" s="6">
        <v>25</v>
      </c>
      <c r="L94" t="s">
        <v>884</v>
      </c>
      <c r="M94" t="s">
        <v>4339</v>
      </c>
      <c r="N94" t="s">
        <v>102</v>
      </c>
      <c r="O94" t="s">
        <v>23</v>
      </c>
      <c r="P94" t="s">
        <v>176</v>
      </c>
      <c r="Q94" t="s">
        <v>176</v>
      </c>
      <c r="R94" t="s">
        <v>176</v>
      </c>
      <c r="S94" t="s">
        <v>115</v>
      </c>
      <c r="T94" t="s">
        <v>115</v>
      </c>
      <c r="U94" t="s">
        <v>115</v>
      </c>
      <c r="V94" t="s">
        <v>115</v>
      </c>
      <c r="W94" t="s">
        <v>115</v>
      </c>
      <c r="X94" t="s">
        <v>115</v>
      </c>
      <c r="Y94" t="s">
        <v>115</v>
      </c>
      <c r="Z94" t="s">
        <v>115</v>
      </c>
      <c r="AA94" t="s">
        <v>115</v>
      </c>
      <c r="AB94" t="s">
        <v>115</v>
      </c>
      <c r="AC94" t="s">
        <v>115</v>
      </c>
      <c r="AD94" t="s">
        <v>115</v>
      </c>
      <c r="AE94" t="s">
        <v>115</v>
      </c>
      <c r="AF94" t="s">
        <v>115</v>
      </c>
      <c r="AG94" t="s">
        <v>115</v>
      </c>
      <c r="AH94">
        <v>0</v>
      </c>
      <c r="AI94">
        <v>0</v>
      </c>
      <c r="AJ94">
        <v>0</v>
      </c>
      <c r="AK94">
        <v>0</v>
      </c>
      <c r="AL94">
        <v>0</v>
      </c>
      <c r="AM94">
        <v>0</v>
      </c>
      <c r="AN94">
        <f t="shared" si="2"/>
        <v>0</v>
      </c>
    </row>
    <row r="95" spans="1:42" hidden="1" x14ac:dyDescent="0.2">
      <c r="A95" t="s">
        <v>4343</v>
      </c>
      <c r="B95" t="s">
        <v>4344</v>
      </c>
      <c r="C95">
        <v>3</v>
      </c>
      <c r="D95">
        <v>1</v>
      </c>
      <c r="E95" t="s">
        <v>2586</v>
      </c>
      <c r="F95" s="1">
        <v>43690</v>
      </c>
      <c r="G95" t="s">
        <v>4031</v>
      </c>
      <c r="H95" t="s">
        <v>4724</v>
      </c>
      <c r="I95" s="2">
        <v>1.7361111111111112E-2</v>
      </c>
      <c r="J95" s="176">
        <v>2.8935185185185189E-4</v>
      </c>
      <c r="K95" s="6">
        <v>25</v>
      </c>
      <c r="L95" t="s">
        <v>884</v>
      </c>
      <c r="M95" t="s">
        <v>4339</v>
      </c>
      <c r="N95" t="s">
        <v>102</v>
      </c>
      <c r="O95" t="s">
        <v>115</v>
      </c>
      <c r="P95">
        <v>0</v>
      </c>
      <c r="Q95">
        <v>0</v>
      </c>
      <c r="R95">
        <v>0</v>
      </c>
      <c r="S95" t="s">
        <v>115</v>
      </c>
      <c r="T95" t="s">
        <v>115</v>
      </c>
      <c r="U95" t="s">
        <v>115</v>
      </c>
      <c r="V95" t="s">
        <v>115</v>
      </c>
      <c r="W95" t="s">
        <v>115</v>
      </c>
      <c r="X95" t="s">
        <v>115</v>
      </c>
      <c r="Y95" t="s">
        <v>115</v>
      </c>
      <c r="Z95" t="s">
        <v>115</v>
      </c>
      <c r="AA95" t="s">
        <v>115</v>
      </c>
      <c r="AB95" t="s">
        <v>115</v>
      </c>
      <c r="AC95" t="s">
        <v>115</v>
      </c>
      <c r="AD95" t="s">
        <v>115</v>
      </c>
      <c r="AE95" t="s">
        <v>115</v>
      </c>
      <c r="AF95" t="s">
        <v>115</v>
      </c>
      <c r="AG95" t="s">
        <v>115</v>
      </c>
      <c r="AH95">
        <v>0</v>
      </c>
      <c r="AI95">
        <v>0</v>
      </c>
      <c r="AJ95">
        <v>0</v>
      </c>
      <c r="AK95">
        <v>0</v>
      </c>
      <c r="AL95">
        <v>25</v>
      </c>
      <c r="AM95">
        <v>0</v>
      </c>
      <c r="AN95">
        <f t="shared" si="2"/>
        <v>25</v>
      </c>
    </row>
    <row r="96" spans="1:42" hidden="1" x14ac:dyDescent="0.2">
      <c r="A96" t="s">
        <v>4345</v>
      </c>
      <c r="B96" t="s">
        <v>4346</v>
      </c>
      <c r="C96">
        <v>4</v>
      </c>
      <c r="D96">
        <v>1</v>
      </c>
      <c r="E96" t="s">
        <v>2586</v>
      </c>
      <c r="F96" s="1">
        <v>43690</v>
      </c>
      <c r="G96" t="s">
        <v>4031</v>
      </c>
      <c r="H96" t="s">
        <v>4724</v>
      </c>
      <c r="I96" s="2">
        <v>9.0277777777777787E-3</v>
      </c>
      <c r="J96" s="176">
        <v>1.5046296296296297E-4</v>
      </c>
      <c r="K96" s="6">
        <v>13</v>
      </c>
      <c r="L96" t="s">
        <v>884</v>
      </c>
      <c r="M96" t="s">
        <v>4339</v>
      </c>
      <c r="N96" t="s">
        <v>102</v>
      </c>
      <c r="O96" t="s">
        <v>115</v>
      </c>
      <c r="P96">
        <v>0</v>
      </c>
      <c r="Q96">
        <v>0</v>
      </c>
      <c r="R96">
        <v>0</v>
      </c>
      <c r="S96" t="s">
        <v>115</v>
      </c>
      <c r="T96" t="s">
        <v>115</v>
      </c>
      <c r="U96" t="s">
        <v>115</v>
      </c>
      <c r="V96" t="s">
        <v>115</v>
      </c>
      <c r="W96" t="s">
        <v>115</v>
      </c>
      <c r="X96" t="s">
        <v>115</v>
      </c>
      <c r="Y96" t="s">
        <v>115</v>
      </c>
      <c r="Z96" t="s">
        <v>115</v>
      </c>
      <c r="AA96" t="s">
        <v>115</v>
      </c>
      <c r="AB96" t="s">
        <v>115</v>
      </c>
      <c r="AC96" t="s">
        <v>115</v>
      </c>
      <c r="AD96" t="s">
        <v>115</v>
      </c>
      <c r="AE96" t="s">
        <v>115</v>
      </c>
      <c r="AF96" t="s">
        <v>115</v>
      </c>
      <c r="AG96" t="s">
        <v>115</v>
      </c>
      <c r="AH96">
        <v>0</v>
      </c>
      <c r="AI96">
        <v>0</v>
      </c>
      <c r="AJ96">
        <v>0</v>
      </c>
      <c r="AK96">
        <v>0</v>
      </c>
      <c r="AL96">
        <v>13</v>
      </c>
      <c r="AM96">
        <v>0</v>
      </c>
      <c r="AN96">
        <f t="shared" si="2"/>
        <v>13</v>
      </c>
    </row>
    <row r="97" spans="1:42" hidden="1" x14ac:dyDescent="0.2">
      <c r="A97" t="s">
        <v>4352</v>
      </c>
      <c r="B97" t="s">
        <v>4353</v>
      </c>
      <c r="C97">
        <v>7</v>
      </c>
      <c r="D97">
        <v>1</v>
      </c>
      <c r="E97" t="s">
        <v>2586</v>
      </c>
      <c r="F97" s="1">
        <v>43690</v>
      </c>
      <c r="G97" t="s">
        <v>4031</v>
      </c>
      <c r="H97" t="s">
        <v>4724</v>
      </c>
      <c r="I97" s="2">
        <v>8.3333333333333332E-3</v>
      </c>
      <c r="J97" s="176">
        <v>1.3888888888888889E-4</v>
      </c>
      <c r="K97" s="6">
        <v>12</v>
      </c>
      <c r="L97" t="s">
        <v>884</v>
      </c>
      <c r="M97" t="s">
        <v>4339</v>
      </c>
      <c r="N97" t="s">
        <v>102</v>
      </c>
      <c r="O97" t="s">
        <v>115</v>
      </c>
      <c r="P97" t="s">
        <v>176</v>
      </c>
      <c r="Q97">
        <v>0</v>
      </c>
      <c r="R97">
        <v>0</v>
      </c>
      <c r="S97" t="s">
        <v>115</v>
      </c>
      <c r="T97" t="s">
        <v>115</v>
      </c>
      <c r="U97" t="s">
        <v>115</v>
      </c>
      <c r="V97" t="s">
        <v>115</v>
      </c>
      <c r="W97" t="s">
        <v>115</v>
      </c>
      <c r="X97" t="s">
        <v>115</v>
      </c>
      <c r="Y97" t="s">
        <v>115</v>
      </c>
      <c r="Z97" t="s">
        <v>115</v>
      </c>
      <c r="AA97" t="s">
        <v>115</v>
      </c>
      <c r="AB97" t="s">
        <v>115</v>
      </c>
      <c r="AC97" t="s">
        <v>115</v>
      </c>
      <c r="AD97" t="s">
        <v>115</v>
      </c>
      <c r="AE97" t="s">
        <v>115</v>
      </c>
      <c r="AF97" t="s">
        <v>115</v>
      </c>
      <c r="AG97" t="s">
        <v>115</v>
      </c>
      <c r="AH97">
        <v>0</v>
      </c>
      <c r="AI97">
        <v>0</v>
      </c>
      <c r="AJ97">
        <v>0</v>
      </c>
      <c r="AK97">
        <v>0</v>
      </c>
      <c r="AL97">
        <v>12</v>
      </c>
      <c r="AM97">
        <v>0</v>
      </c>
      <c r="AN97">
        <f t="shared" si="2"/>
        <v>12</v>
      </c>
    </row>
    <row r="98" spans="1:42" hidden="1" x14ac:dyDescent="0.2">
      <c r="A98" t="s">
        <v>4349</v>
      </c>
      <c r="B98" t="s">
        <v>4350</v>
      </c>
      <c r="C98">
        <v>6</v>
      </c>
      <c r="D98">
        <v>1</v>
      </c>
      <c r="E98" t="s">
        <v>2586</v>
      </c>
      <c r="F98" s="1">
        <v>43690</v>
      </c>
      <c r="G98" t="s">
        <v>4031</v>
      </c>
      <c r="H98" t="s">
        <v>4724</v>
      </c>
      <c r="I98" s="2">
        <v>6.458333333333334E-2</v>
      </c>
      <c r="J98" s="176">
        <v>1.0763888888888889E-3</v>
      </c>
      <c r="K98" s="6">
        <v>93</v>
      </c>
      <c r="L98" t="s">
        <v>884</v>
      </c>
      <c r="M98" t="s">
        <v>4339</v>
      </c>
      <c r="N98" t="s">
        <v>102</v>
      </c>
      <c r="O98" t="s">
        <v>115</v>
      </c>
      <c r="P98">
        <v>1</v>
      </c>
      <c r="Q98">
        <v>0</v>
      </c>
      <c r="R98">
        <v>1</v>
      </c>
      <c r="S98" t="s">
        <v>112</v>
      </c>
      <c r="T98" t="s">
        <v>4214</v>
      </c>
      <c r="U98" t="s">
        <v>122</v>
      </c>
      <c r="V98" t="s">
        <v>4295</v>
      </c>
      <c r="W98" t="s">
        <v>23</v>
      </c>
      <c r="X98" t="s">
        <v>4004</v>
      </c>
      <c r="Y98" t="s">
        <v>3810</v>
      </c>
      <c r="AA98">
        <v>244</v>
      </c>
      <c r="AB98">
        <v>2</v>
      </c>
      <c r="AC98" s="19">
        <v>63.725720000000003</v>
      </c>
      <c r="AD98" s="19">
        <v>148.88728</v>
      </c>
      <c r="AE98" t="s">
        <v>115</v>
      </c>
      <c r="AF98" t="s">
        <v>115</v>
      </c>
      <c r="AG98" t="s">
        <v>115</v>
      </c>
      <c r="AH98">
        <v>0</v>
      </c>
      <c r="AI98">
        <v>0</v>
      </c>
      <c r="AJ98">
        <v>0</v>
      </c>
      <c r="AK98">
        <v>0</v>
      </c>
      <c r="AL98">
        <v>0</v>
      </c>
      <c r="AM98">
        <v>0</v>
      </c>
      <c r="AN98">
        <f t="shared" ref="AN98:AN111" si="3">SUM(AH98+AI98+AL98+AM98)</f>
        <v>0</v>
      </c>
    </row>
    <row r="99" spans="1:42" hidden="1" x14ac:dyDescent="0.2">
      <c r="A99" t="s">
        <v>4379</v>
      </c>
      <c r="B99" t="s">
        <v>4380</v>
      </c>
      <c r="C99">
        <v>11</v>
      </c>
      <c r="D99">
        <v>1</v>
      </c>
      <c r="E99" t="s">
        <v>213</v>
      </c>
      <c r="F99" s="49">
        <v>43692</v>
      </c>
      <c r="G99" t="s">
        <v>4031</v>
      </c>
      <c r="H99" t="s">
        <v>4724</v>
      </c>
      <c r="I99" s="2">
        <v>2.1527777777777781E-2</v>
      </c>
      <c r="J99" s="176">
        <v>3.5879629629629635E-4</v>
      </c>
      <c r="K99" s="6">
        <v>31</v>
      </c>
      <c r="L99" t="s">
        <v>4358</v>
      </c>
      <c r="M99" t="s">
        <v>4258</v>
      </c>
      <c r="N99" t="s">
        <v>111</v>
      </c>
      <c r="O99" t="s">
        <v>23</v>
      </c>
      <c r="P99">
        <v>0</v>
      </c>
      <c r="Q99">
        <v>0</v>
      </c>
      <c r="R99">
        <v>1</v>
      </c>
      <c r="S99" t="s">
        <v>176</v>
      </c>
      <c r="T99" t="s">
        <v>176</v>
      </c>
      <c r="U99" t="s">
        <v>122</v>
      </c>
      <c r="V99" t="s">
        <v>4168</v>
      </c>
      <c r="W99" t="s">
        <v>23</v>
      </c>
      <c r="X99" t="s">
        <v>3997</v>
      </c>
      <c r="Y99" t="s">
        <v>4022</v>
      </c>
      <c r="AA99">
        <v>321</v>
      </c>
      <c r="AB99">
        <v>7</v>
      </c>
      <c r="AC99" s="19">
        <v>63.717759999999998</v>
      </c>
      <c r="AD99" s="19">
        <v>148.97272000000001</v>
      </c>
      <c r="AE99" t="s">
        <v>115</v>
      </c>
      <c r="AF99" t="s">
        <v>115</v>
      </c>
      <c r="AG99" t="s">
        <v>115</v>
      </c>
      <c r="AH99">
        <v>0</v>
      </c>
      <c r="AI99">
        <v>0</v>
      </c>
      <c r="AJ99">
        <v>0</v>
      </c>
      <c r="AK99">
        <v>0</v>
      </c>
      <c r="AL99">
        <v>0</v>
      </c>
      <c r="AM99">
        <v>0</v>
      </c>
      <c r="AN99">
        <f t="shared" si="3"/>
        <v>0</v>
      </c>
    </row>
    <row r="100" spans="1:42" hidden="1" x14ac:dyDescent="0.2">
      <c r="A100" t="s">
        <v>4369</v>
      </c>
      <c r="B100" t="s">
        <v>4370</v>
      </c>
      <c r="C100">
        <v>7</v>
      </c>
      <c r="D100">
        <v>1</v>
      </c>
      <c r="E100" t="s">
        <v>213</v>
      </c>
      <c r="F100" s="1">
        <v>43692</v>
      </c>
      <c r="G100" t="s">
        <v>4031</v>
      </c>
      <c r="H100" t="s">
        <v>4724</v>
      </c>
      <c r="I100" s="2">
        <v>1.6666666666666666E-2</v>
      </c>
      <c r="J100" s="176">
        <v>2.7777777777777778E-4</v>
      </c>
      <c r="K100" s="6">
        <v>24</v>
      </c>
      <c r="L100" t="s">
        <v>4358</v>
      </c>
      <c r="M100" t="s">
        <v>176</v>
      </c>
      <c r="N100" t="s">
        <v>111</v>
      </c>
      <c r="O100" t="s">
        <v>23</v>
      </c>
      <c r="P100">
        <v>1</v>
      </c>
      <c r="Q100">
        <v>0</v>
      </c>
      <c r="R100">
        <v>1</v>
      </c>
      <c r="S100" t="s">
        <v>176</v>
      </c>
      <c r="T100" t="s">
        <v>176</v>
      </c>
      <c r="U100" t="s">
        <v>176</v>
      </c>
      <c r="V100" t="s">
        <v>4168</v>
      </c>
      <c r="W100" t="s">
        <v>23</v>
      </c>
      <c r="X100" t="s">
        <v>3997</v>
      </c>
      <c r="Y100" t="s">
        <v>4022</v>
      </c>
      <c r="AA100">
        <v>208</v>
      </c>
      <c r="AB100" t="s">
        <v>176</v>
      </c>
      <c r="AC100" s="19">
        <v>63.717779999999998</v>
      </c>
      <c r="AD100" s="19">
        <v>148.97417999999999</v>
      </c>
      <c r="AE100" t="s">
        <v>115</v>
      </c>
      <c r="AF100" t="s">
        <v>115</v>
      </c>
      <c r="AG100" t="s">
        <v>115</v>
      </c>
      <c r="AH100">
        <v>0</v>
      </c>
      <c r="AI100">
        <v>0</v>
      </c>
      <c r="AJ100">
        <v>0</v>
      </c>
      <c r="AK100">
        <v>0</v>
      </c>
      <c r="AL100">
        <v>0</v>
      </c>
      <c r="AM100">
        <v>0</v>
      </c>
      <c r="AN100">
        <f t="shared" si="3"/>
        <v>0</v>
      </c>
    </row>
    <row r="101" spans="1:42" hidden="1" x14ac:dyDescent="0.2">
      <c r="A101" t="s">
        <v>4369</v>
      </c>
      <c r="B101" t="s">
        <v>4370</v>
      </c>
      <c r="C101">
        <v>7</v>
      </c>
      <c r="D101">
        <v>2</v>
      </c>
      <c r="E101" t="s">
        <v>213</v>
      </c>
      <c r="F101" s="1">
        <v>43692</v>
      </c>
      <c r="G101" t="s">
        <v>4031</v>
      </c>
      <c r="H101" t="s">
        <v>4724</v>
      </c>
      <c r="I101" s="2">
        <v>1.6666666666666666E-2</v>
      </c>
      <c r="J101" s="176">
        <v>2.7777777777777778E-4</v>
      </c>
      <c r="K101" s="6">
        <v>24</v>
      </c>
      <c r="L101" t="s">
        <v>4358</v>
      </c>
      <c r="M101" t="s">
        <v>176</v>
      </c>
      <c r="N101" t="s">
        <v>111</v>
      </c>
      <c r="O101" t="s">
        <v>23</v>
      </c>
      <c r="P101">
        <v>1</v>
      </c>
      <c r="Q101">
        <v>0</v>
      </c>
      <c r="R101">
        <v>1</v>
      </c>
      <c r="S101" t="s">
        <v>176</v>
      </c>
      <c r="T101" t="s">
        <v>176</v>
      </c>
      <c r="U101" t="s">
        <v>176</v>
      </c>
      <c r="V101" t="s">
        <v>4168</v>
      </c>
      <c r="W101" t="s">
        <v>23</v>
      </c>
      <c r="X101" t="s">
        <v>3997</v>
      </c>
      <c r="Y101" t="s">
        <v>4022</v>
      </c>
      <c r="AA101">
        <v>22</v>
      </c>
      <c r="AB101" t="s">
        <v>176</v>
      </c>
      <c r="AC101" s="19">
        <v>63.717779999999998</v>
      </c>
      <c r="AD101" s="19">
        <v>148.97417999999999</v>
      </c>
      <c r="AE101" t="s">
        <v>115</v>
      </c>
      <c r="AF101" t="s">
        <v>115</v>
      </c>
      <c r="AG101" t="s">
        <v>115</v>
      </c>
      <c r="AH101">
        <v>0</v>
      </c>
      <c r="AI101">
        <v>0</v>
      </c>
      <c r="AJ101">
        <v>0</v>
      </c>
      <c r="AK101">
        <v>0</v>
      </c>
      <c r="AL101">
        <v>0</v>
      </c>
      <c r="AM101">
        <v>0</v>
      </c>
      <c r="AN101">
        <f t="shared" si="3"/>
        <v>0</v>
      </c>
    </row>
    <row r="102" spans="1:42" hidden="1" x14ac:dyDescent="0.2">
      <c r="A102" t="s">
        <v>4373</v>
      </c>
      <c r="B102" t="s">
        <v>4374</v>
      </c>
      <c r="C102">
        <v>9</v>
      </c>
      <c r="D102">
        <v>1</v>
      </c>
      <c r="E102" t="s">
        <v>213</v>
      </c>
      <c r="F102" s="1">
        <v>43692</v>
      </c>
      <c r="G102" t="s">
        <v>4031</v>
      </c>
      <c r="H102" t="s">
        <v>4724</v>
      </c>
      <c r="I102" s="2">
        <v>2.361111111111111E-2</v>
      </c>
      <c r="J102" s="176">
        <v>3.9351851851851852E-4</v>
      </c>
      <c r="K102" s="6">
        <v>34</v>
      </c>
      <c r="L102" t="s">
        <v>4358</v>
      </c>
      <c r="M102" t="s">
        <v>4163</v>
      </c>
      <c r="N102" t="s">
        <v>111</v>
      </c>
      <c r="O102" t="s">
        <v>23</v>
      </c>
      <c r="P102">
        <v>0</v>
      </c>
      <c r="Q102">
        <v>0</v>
      </c>
      <c r="R102">
        <v>1</v>
      </c>
      <c r="S102" t="s">
        <v>176</v>
      </c>
      <c r="T102" t="s">
        <v>176</v>
      </c>
      <c r="U102" t="s">
        <v>176</v>
      </c>
      <c r="V102" t="s">
        <v>4295</v>
      </c>
      <c r="W102" t="s">
        <v>23</v>
      </c>
      <c r="X102" t="s">
        <v>4004</v>
      </c>
      <c r="Y102" t="s">
        <v>4022</v>
      </c>
      <c r="AA102">
        <v>274</v>
      </c>
      <c r="AB102" t="s">
        <v>115</v>
      </c>
      <c r="AC102" s="19">
        <v>63.717779999999998</v>
      </c>
      <c r="AD102" s="19">
        <v>148.97417999999999</v>
      </c>
      <c r="AE102" t="s">
        <v>115</v>
      </c>
      <c r="AF102" t="s">
        <v>115</v>
      </c>
      <c r="AG102" t="s">
        <v>115</v>
      </c>
      <c r="AH102">
        <v>0</v>
      </c>
      <c r="AI102">
        <v>0</v>
      </c>
      <c r="AJ102">
        <v>0</v>
      </c>
      <c r="AK102">
        <v>0</v>
      </c>
      <c r="AL102">
        <v>0</v>
      </c>
      <c r="AM102">
        <v>0</v>
      </c>
      <c r="AN102">
        <f t="shared" si="3"/>
        <v>0</v>
      </c>
    </row>
    <row r="103" spans="1:42" hidden="1" x14ac:dyDescent="0.2">
      <c r="A103" t="s">
        <v>4383</v>
      </c>
      <c r="B103" t="s">
        <v>4384</v>
      </c>
      <c r="C103">
        <v>13</v>
      </c>
      <c r="D103">
        <v>1</v>
      </c>
      <c r="E103" t="s">
        <v>213</v>
      </c>
      <c r="F103" s="1">
        <v>43692</v>
      </c>
      <c r="G103" t="s">
        <v>4031</v>
      </c>
      <c r="H103" t="s">
        <v>4724</v>
      </c>
      <c r="I103" s="2">
        <v>6.3194444444444442E-2</v>
      </c>
      <c r="J103" s="176">
        <v>1.0532407407407407E-3</v>
      </c>
      <c r="K103" s="6">
        <v>91</v>
      </c>
      <c r="L103" t="s">
        <v>4358</v>
      </c>
      <c r="M103" t="s">
        <v>4258</v>
      </c>
      <c r="N103" t="s">
        <v>111</v>
      </c>
      <c r="O103" t="s">
        <v>23</v>
      </c>
      <c r="P103">
        <v>0</v>
      </c>
      <c r="Q103">
        <v>0</v>
      </c>
      <c r="R103">
        <v>1</v>
      </c>
      <c r="S103" t="s">
        <v>176</v>
      </c>
      <c r="T103" t="s">
        <v>176</v>
      </c>
      <c r="U103" t="s">
        <v>122</v>
      </c>
      <c r="V103" t="s">
        <v>4385</v>
      </c>
      <c r="W103" t="s">
        <v>23</v>
      </c>
      <c r="X103" t="s">
        <v>3997</v>
      </c>
      <c r="Y103" t="s">
        <v>3810</v>
      </c>
      <c r="AA103">
        <v>6</v>
      </c>
      <c r="AB103">
        <v>20</v>
      </c>
      <c r="AC103" s="19">
        <v>63.718119999999999</v>
      </c>
      <c r="AD103" s="19">
        <v>148.97382999999999</v>
      </c>
      <c r="AE103" t="s">
        <v>115</v>
      </c>
      <c r="AF103" t="s">
        <v>115</v>
      </c>
      <c r="AG103" t="s">
        <v>115</v>
      </c>
      <c r="AH103">
        <v>0</v>
      </c>
      <c r="AI103">
        <v>0</v>
      </c>
      <c r="AJ103">
        <v>0</v>
      </c>
      <c r="AK103">
        <v>0</v>
      </c>
      <c r="AL103">
        <v>0</v>
      </c>
      <c r="AM103">
        <v>0</v>
      </c>
      <c r="AN103">
        <f t="shared" si="3"/>
        <v>0</v>
      </c>
    </row>
    <row r="104" spans="1:42" hidden="1" x14ac:dyDescent="0.2">
      <c r="A104" t="s">
        <v>4383</v>
      </c>
      <c r="B104" t="s">
        <v>4384</v>
      </c>
      <c r="C104">
        <v>13</v>
      </c>
      <c r="D104">
        <v>1</v>
      </c>
      <c r="E104" t="s">
        <v>213</v>
      </c>
      <c r="F104" s="1">
        <v>43692</v>
      </c>
      <c r="G104" t="s">
        <v>4031</v>
      </c>
      <c r="H104" t="s">
        <v>4724</v>
      </c>
      <c r="I104" s="2">
        <v>6.3194444444444442E-2</v>
      </c>
      <c r="J104" s="176">
        <v>1.0532407407407407E-3</v>
      </c>
      <c r="K104" s="6">
        <v>91</v>
      </c>
      <c r="L104" t="s">
        <v>4358</v>
      </c>
      <c r="M104" t="s">
        <v>4258</v>
      </c>
      <c r="N104" t="s">
        <v>111</v>
      </c>
      <c r="O104" t="s">
        <v>23</v>
      </c>
      <c r="P104">
        <v>0</v>
      </c>
      <c r="Q104">
        <v>0</v>
      </c>
      <c r="R104">
        <v>1</v>
      </c>
      <c r="S104" t="s">
        <v>176</v>
      </c>
      <c r="T104" t="s">
        <v>176</v>
      </c>
      <c r="U104" t="s">
        <v>122</v>
      </c>
      <c r="V104" t="s">
        <v>4386</v>
      </c>
      <c r="W104" t="s">
        <v>23</v>
      </c>
      <c r="X104" t="s">
        <v>3997</v>
      </c>
      <c r="Y104" t="s">
        <v>3810</v>
      </c>
      <c r="AA104">
        <v>187</v>
      </c>
      <c r="AB104">
        <v>20</v>
      </c>
      <c r="AC104" s="19">
        <v>63.718119999999999</v>
      </c>
      <c r="AD104" s="19">
        <v>148.97382999999999</v>
      </c>
      <c r="AE104" t="s">
        <v>115</v>
      </c>
      <c r="AF104" t="s">
        <v>115</v>
      </c>
      <c r="AG104" t="s">
        <v>115</v>
      </c>
      <c r="AH104">
        <v>0</v>
      </c>
      <c r="AI104">
        <v>0</v>
      </c>
      <c r="AJ104">
        <v>0</v>
      </c>
      <c r="AK104">
        <v>0</v>
      </c>
      <c r="AL104">
        <v>0</v>
      </c>
      <c r="AM104">
        <v>0</v>
      </c>
      <c r="AN104">
        <f t="shared" si="3"/>
        <v>0</v>
      </c>
    </row>
    <row r="105" spans="1:42" hidden="1" x14ac:dyDescent="0.2">
      <c r="A105" t="s">
        <v>4383</v>
      </c>
      <c r="B105" t="s">
        <v>4384</v>
      </c>
      <c r="C105">
        <v>13</v>
      </c>
      <c r="D105">
        <v>1</v>
      </c>
      <c r="E105" t="s">
        <v>213</v>
      </c>
      <c r="F105" s="1">
        <v>43692</v>
      </c>
      <c r="G105" t="s">
        <v>4031</v>
      </c>
      <c r="H105" t="s">
        <v>4724</v>
      </c>
      <c r="I105" s="2">
        <v>6.3194444444444442E-2</v>
      </c>
      <c r="J105" s="176">
        <v>1.0532407407407407E-3</v>
      </c>
      <c r="K105" s="6">
        <v>91</v>
      </c>
      <c r="L105" t="s">
        <v>4358</v>
      </c>
      <c r="M105" t="s">
        <v>4258</v>
      </c>
      <c r="N105" t="s">
        <v>111</v>
      </c>
      <c r="O105" t="s">
        <v>23</v>
      </c>
      <c r="P105">
        <v>0</v>
      </c>
      <c r="Q105">
        <v>0</v>
      </c>
      <c r="R105">
        <v>1</v>
      </c>
      <c r="S105" t="s">
        <v>176</v>
      </c>
      <c r="T105" t="s">
        <v>176</v>
      </c>
      <c r="U105" t="s">
        <v>122</v>
      </c>
      <c r="V105" t="s">
        <v>4386</v>
      </c>
      <c r="W105" t="s">
        <v>23</v>
      </c>
      <c r="X105" t="s">
        <v>3997</v>
      </c>
      <c r="Y105" t="s">
        <v>3810</v>
      </c>
      <c r="AA105">
        <v>222</v>
      </c>
      <c r="AB105">
        <v>20</v>
      </c>
      <c r="AC105" s="19">
        <v>63.718119999999999</v>
      </c>
      <c r="AD105" s="19">
        <v>148.97382999999999</v>
      </c>
      <c r="AE105" t="s">
        <v>115</v>
      </c>
      <c r="AF105" t="s">
        <v>115</v>
      </c>
      <c r="AG105" t="s">
        <v>115</v>
      </c>
      <c r="AH105">
        <v>0</v>
      </c>
      <c r="AI105">
        <v>0</v>
      </c>
      <c r="AJ105">
        <v>0</v>
      </c>
      <c r="AK105">
        <v>0</v>
      </c>
      <c r="AL105">
        <v>0</v>
      </c>
      <c r="AM105">
        <v>0</v>
      </c>
      <c r="AN105">
        <f t="shared" si="3"/>
        <v>0</v>
      </c>
    </row>
    <row r="106" spans="1:42" hidden="1" x14ac:dyDescent="0.2">
      <c r="A106" t="s">
        <v>4362</v>
      </c>
      <c r="B106" t="s">
        <v>4361</v>
      </c>
      <c r="C106">
        <v>4</v>
      </c>
      <c r="D106">
        <v>1</v>
      </c>
      <c r="E106" t="s">
        <v>213</v>
      </c>
      <c r="F106" s="1">
        <v>43692</v>
      </c>
      <c r="G106" t="s">
        <v>4031</v>
      </c>
      <c r="H106" t="s">
        <v>4724</v>
      </c>
      <c r="I106" s="2">
        <v>8.3333333333333332E-3</v>
      </c>
      <c r="J106" s="176">
        <v>1.3888888888888889E-4</v>
      </c>
      <c r="K106" s="6">
        <v>12</v>
      </c>
      <c r="L106" t="s">
        <v>4358</v>
      </c>
      <c r="M106" t="s">
        <v>241</v>
      </c>
      <c r="N106" t="s">
        <v>111</v>
      </c>
      <c r="O106" t="s">
        <v>23</v>
      </c>
      <c r="P106">
        <v>1</v>
      </c>
      <c r="Q106">
        <v>0</v>
      </c>
      <c r="R106">
        <v>1</v>
      </c>
      <c r="S106" t="s">
        <v>176</v>
      </c>
      <c r="T106" t="s">
        <v>176</v>
      </c>
      <c r="U106" t="s">
        <v>122</v>
      </c>
      <c r="V106" t="s">
        <v>709</v>
      </c>
      <c r="W106" t="s">
        <v>23</v>
      </c>
      <c r="X106" t="s">
        <v>4004</v>
      </c>
      <c r="Y106" t="s">
        <v>4022</v>
      </c>
      <c r="AA106">
        <v>265</v>
      </c>
      <c r="AB106" t="s">
        <v>176</v>
      </c>
      <c r="AC106" s="19">
        <v>63.718510000000002</v>
      </c>
      <c r="AD106" s="19">
        <v>148.97434999999999</v>
      </c>
      <c r="AE106" t="s">
        <v>115</v>
      </c>
      <c r="AF106" t="s">
        <v>115</v>
      </c>
      <c r="AG106" t="s">
        <v>115</v>
      </c>
      <c r="AH106">
        <v>0</v>
      </c>
      <c r="AI106">
        <v>0</v>
      </c>
      <c r="AJ106">
        <v>0</v>
      </c>
      <c r="AK106">
        <v>0</v>
      </c>
      <c r="AL106">
        <v>0</v>
      </c>
      <c r="AM106">
        <v>0</v>
      </c>
      <c r="AN106">
        <f t="shared" si="3"/>
        <v>0</v>
      </c>
    </row>
    <row r="107" spans="1:42" hidden="1" x14ac:dyDescent="0.2">
      <c r="A107" t="s">
        <v>4363</v>
      </c>
      <c r="B107" t="s">
        <v>4364</v>
      </c>
      <c r="C107">
        <v>3</v>
      </c>
      <c r="D107">
        <v>1</v>
      </c>
      <c r="E107" t="s">
        <v>213</v>
      </c>
      <c r="F107" s="1">
        <v>43692</v>
      </c>
      <c r="G107" t="s">
        <v>4031</v>
      </c>
      <c r="H107" t="s">
        <v>4724</v>
      </c>
      <c r="I107" s="2">
        <v>3.8194444444444441E-2</v>
      </c>
      <c r="J107" s="176">
        <v>6.3657407407407402E-4</v>
      </c>
      <c r="K107" s="6">
        <v>55</v>
      </c>
      <c r="L107" t="s">
        <v>4358</v>
      </c>
      <c r="M107" t="s">
        <v>241</v>
      </c>
      <c r="N107" t="s">
        <v>111</v>
      </c>
      <c r="O107" t="s">
        <v>23</v>
      </c>
      <c r="P107">
        <v>1</v>
      </c>
      <c r="Q107">
        <v>0</v>
      </c>
      <c r="R107">
        <v>1</v>
      </c>
      <c r="S107" t="s">
        <v>176</v>
      </c>
      <c r="T107" t="s">
        <v>176</v>
      </c>
      <c r="U107" t="s">
        <v>176</v>
      </c>
      <c r="V107" t="s">
        <v>709</v>
      </c>
      <c r="W107" t="s">
        <v>23</v>
      </c>
      <c r="X107" t="s">
        <v>4004</v>
      </c>
      <c r="Y107" t="s">
        <v>4022</v>
      </c>
      <c r="AA107">
        <v>243</v>
      </c>
      <c r="AB107" t="s">
        <v>176</v>
      </c>
      <c r="AC107" s="19">
        <v>63.718699999999998</v>
      </c>
      <c r="AD107" s="19">
        <v>148.97443000000001</v>
      </c>
      <c r="AE107" t="s">
        <v>115</v>
      </c>
      <c r="AF107" t="s">
        <v>115</v>
      </c>
      <c r="AG107" t="s">
        <v>115</v>
      </c>
      <c r="AH107">
        <v>0</v>
      </c>
      <c r="AI107">
        <v>0</v>
      </c>
      <c r="AJ107">
        <v>0</v>
      </c>
      <c r="AK107">
        <v>0</v>
      </c>
      <c r="AL107">
        <v>0</v>
      </c>
      <c r="AM107">
        <v>0</v>
      </c>
      <c r="AN107">
        <f t="shared" si="3"/>
        <v>0</v>
      </c>
    </row>
    <row r="108" spans="1:42" hidden="1" x14ac:dyDescent="0.2">
      <c r="A108" t="s">
        <v>4356</v>
      </c>
      <c r="B108" t="s">
        <v>4357</v>
      </c>
      <c r="C108">
        <v>1</v>
      </c>
      <c r="D108">
        <v>1</v>
      </c>
      <c r="E108" t="s">
        <v>213</v>
      </c>
      <c r="F108" s="1">
        <v>43692</v>
      </c>
      <c r="G108" t="s">
        <v>4031</v>
      </c>
      <c r="H108" t="s">
        <v>4724</v>
      </c>
      <c r="I108" s="2">
        <v>2.7083333333333334E-2</v>
      </c>
      <c r="J108" s="176">
        <v>4.5138888888888892E-4</v>
      </c>
      <c r="K108" s="6">
        <v>39</v>
      </c>
      <c r="L108" t="s">
        <v>4358</v>
      </c>
      <c r="M108" t="s">
        <v>1742</v>
      </c>
      <c r="N108" t="s">
        <v>111</v>
      </c>
      <c r="O108" t="s">
        <v>23</v>
      </c>
      <c r="P108">
        <v>1</v>
      </c>
      <c r="R108">
        <v>1</v>
      </c>
      <c r="S108" t="s">
        <v>176</v>
      </c>
      <c r="T108" t="s">
        <v>176</v>
      </c>
      <c r="U108" t="s">
        <v>122</v>
      </c>
      <c r="V108" t="s">
        <v>709</v>
      </c>
      <c r="W108" t="s">
        <v>23</v>
      </c>
      <c r="X108" t="s">
        <v>4004</v>
      </c>
      <c r="Y108" t="s">
        <v>4022</v>
      </c>
      <c r="AA108">
        <v>288</v>
      </c>
      <c r="AB108" t="s">
        <v>176</v>
      </c>
      <c r="AC108" s="19">
        <v>63.73507</v>
      </c>
      <c r="AD108" s="19">
        <v>148.91918999999999</v>
      </c>
      <c r="AE108" t="s">
        <v>115</v>
      </c>
      <c r="AF108" t="s">
        <v>115</v>
      </c>
      <c r="AG108" t="s">
        <v>115</v>
      </c>
      <c r="AH108">
        <v>0</v>
      </c>
      <c r="AI108">
        <v>0</v>
      </c>
      <c r="AJ108">
        <v>0</v>
      </c>
      <c r="AK108">
        <v>0</v>
      </c>
      <c r="AL108">
        <v>0</v>
      </c>
      <c r="AM108">
        <v>0</v>
      </c>
      <c r="AN108">
        <f t="shared" si="3"/>
        <v>0</v>
      </c>
    </row>
    <row r="109" spans="1:42" hidden="1" x14ac:dyDescent="0.2">
      <c r="A109" t="s">
        <v>4371</v>
      </c>
      <c r="B109" t="s">
        <v>4372</v>
      </c>
      <c r="C109">
        <v>8</v>
      </c>
      <c r="D109">
        <v>1</v>
      </c>
      <c r="E109" t="s">
        <v>213</v>
      </c>
      <c r="F109" s="1">
        <v>43692</v>
      </c>
      <c r="G109" t="s">
        <v>4031</v>
      </c>
      <c r="H109" t="s">
        <v>4724</v>
      </c>
      <c r="I109" s="2">
        <v>3.2638888888888891E-2</v>
      </c>
      <c r="J109" s="176">
        <v>5.4398148148148144E-4</v>
      </c>
      <c r="K109" s="6">
        <v>47</v>
      </c>
      <c r="L109" t="s">
        <v>4358</v>
      </c>
      <c r="M109" t="s">
        <v>241</v>
      </c>
      <c r="N109" t="s">
        <v>176</v>
      </c>
      <c r="O109" t="s">
        <v>23</v>
      </c>
      <c r="P109">
        <v>1</v>
      </c>
      <c r="Q109">
        <v>0</v>
      </c>
      <c r="R109">
        <v>0</v>
      </c>
      <c r="S109" t="s">
        <v>176</v>
      </c>
      <c r="T109" t="s">
        <v>176</v>
      </c>
      <c r="U109" t="s">
        <v>176</v>
      </c>
      <c r="V109" t="s">
        <v>115</v>
      </c>
      <c r="W109" t="s">
        <v>115</v>
      </c>
      <c r="X109" t="s">
        <v>115</v>
      </c>
      <c r="Y109" t="s">
        <v>115</v>
      </c>
      <c r="Z109" t="s">
        <v>115</v>
      </c>
      <c r="AA109" t="s">
        <v>115</v>
      </c>
      <c r="AB109" t="s">
        <v>115</v>
      </c>
      <c r="AC109" t="s">
        <v>115</v>
      </c>
      <c r="AD109" t="s">
        <v>115</v>
      </c>
      <c r="AE109" t="s">
        <v>115</v>
      </c>
      <c r="AF109" t="s">
        <v>115</v>
      </c>
      <c r="AG109" t="s">
        <v>115</v>
      </c>
      <c r="AH109">
        <v>0</v>
      </c>
      <c r="AI109">
        <v>0</v>
      </c>
      <c r="AJ109">
        <v>0</v>
      </c>
      <c r="AK109">
        <v>0</v>
      </c>
      <c r="AL109">
        <v>0</v>
      </c>
      <c r="AM109">
        <v>0</v>
      </c>
      <c r="AN109">
        <f t="shared" si="3"/>
        <v>0</v>
      </c>
    </row>
    <row r="110" spans="1:42" hidden="1" x14ac:dyDescent="0.2">
      <c r="A110" t="s">
        <v>4381</v>
      </c>
      <c r="B110" t="s">
        <v>4382</v>
      </c>
      <c r="C110">
        <v>12</v>
      </c>
      <c r="D110">
        <v>1</v>
      </c>
      <c r="E110" t="s">
        <v>213</v>
      </c>
      <c r="F110" s="1">
        <v>43692</v>
      </c>
      <c r="G110" t="s">
        <v>4031</v>
      </c>
      <c r="H110" t="s">
        <v>4724</v>
      </c>
      <c r="I110" s="2">
        <v>3.1944444444444449E-2</v>
      </c>
      <c r="J110" s="176">
        <v>5.3240740740740744E-4</v>
      </c>
      <c r="K110" s="6">
        <v>46</v>
      </c>
      <c r="L110" t="s">
        <v>4358</v>
      </c>
      <c r="M110" t="s">
        <v>4258</v>
      </c>
      <c r="N110" t="s">
        <v>568</v>
      </c>
      <c r="O110" t="s">
        <v>23</v>
      </c>
      <c r="P110">
        <v>1</v>
      </c>
      <c r="Q110">
        <v>0</v>
      </c>
      <c r="R110">
        <v>0</v>
      </c>
      <c r="S110" t="s">
        <v>176</v>
      </c>
      <c r="T110" t="s">
        <v>176</v>
      </c>
      <c r="U110" t="s">
        <v>122</v>
      </c>
      <c r="V110" t="s">
        <v>115</v>
      </c>
      <c r="W110" t="s">
        <v>115</v>
      </c>
      <c r="X110" t="s">
        <v>115</v>
      </c>
      <c r="Y110" t="s">
        <v>115</v>
      </c>
      <c r="Z110" t="s">
        <v>115</v>
      </c>
      <c r="AA110" t="s">
        <v>115</v>
      </c>
      <c r="AB110" t="s">
        <v>115</v>
      </c>
      <c r="AC110" t="s">
        <v>115</v>
      </c>
      <c r="AD110" t="s">
        <v>115</v>
      </c>
      <c r="AE110" t="s">
        <v>115</v>
      </c>
      <c r="AF110" t="s">
        <v>115</v>
      </c>
      <c r="AG110" t="s">
        <v>115</v>
      </c>
      <c r="AH110">
        <v>0</v>
      </c>
      <c r="AI110">
        <v>0</v>
      </c>
      <c r="AJ110">
        <v>0</v>
      </c>
      <c r="AK110">
        <v>0</v>
      </c>
      <c r="AL110">
        <v>27</v>
      </c>
      <c r="AM110">
        <v>0</v>
      </c>
      <c r="AN110">
        <f t="shared" si="3"/>
        <v>27</v>
      </c>
    </row>
    <row r="111" spans="1:42" hidden="1" x14ac:dyDescent="0.2">
      <c r="A111" t="s">
        <v>4375</v>
      </c>
      <c r="B111" t="s">
        <v>4376</v>
      </c>
      <c r="C111">
        <v>10</v>
      </c>
      <c r="D111">
        <v>1</v>
      </c>
      <c r="E111" t="s">
        <v>213</v>
      </c>
      <c r="F111" s="1">
        <v>43692</v>
      </c>
      <c r="G111" t="s">
        <v>4031</v>
      </c>
      <c r="H111" t="s">
        <v>4724</v>
      </c>
      <c r="I111" s="2">
        <v>2.2916666666666669E-2</v>
      </c>
      <c r="J111" s="176">
        <v>3.8194444444444446E-4</v>
      </c>
      <c r="K111" s="6">
        <v>33</v>
      </c>
      <c r="L111" t="s">
        <v>4358</v>
      </c>
      <c r="M111" t="s">
        <v>4377</v>
      </c>
      <c r="N111" t="s">
        <v>111</v>
      </c>
      <c r="O111" t="s">
        <v>23</v>
      </c>
      <c r="P111">
        <v>0</v>
      </c>
      <c r="Q111">
        <v>0</v>
      </c>
      <c r="R111">
        <v>1</v>
      </c>
      <c r="S111" t="s">
        <v>176</v>
      </c>
      <c r="T111" t="s">
        <v>176</v>
      </c>
      <c r="U111" t="s">
        <v>176</v>
      </c>
      <c r="V111" t="s">
        <v>4168</v>
      </c>
      <c r="W111" t="s">
        <v>23</v>
      </c>
      <c r="X111" t="s">
        <v>3997</v>
      </c>
      <c r="Y111" t="s">
        <v>4022</v>
      </c>
      <c r="AA111" t="s">
        <v>176</v>
      </c>
      <c r="AB111" t="s">
        <v>176</v>
      </c>
      <c r="AC111" t="s">
        <v>176</v>
      </c>
      <c r="AD111" t="s">
        <v>176</v>
      </c>
      <c r="AE111" t="s">
        <v>115</v>
      </c>
      <c r="AF111" t="s">
        <v>115</v>
      </c>
      <c r="AG111" t="s">
        <v>115</v>
      </c>
      <c r="AH111">
        <v>0</v>
      </c>
      <c r="AI111">
        <v>0</v>
      </c>
      <c r="AJ111">
        <v>0</v>
      </c>
      <c r="AK111">
        <v>0</v>
      </c>
      <c r="AL111">
        <v>0</v>
      </c>
      <c r="AM111">
        <v>0</v>
      </c>
      <c r="AN111">
        <f t="shared" si="3"/>
        <v>0</v>
      </c>
      <c r="AP111" t="s">
        <v>4378</v>
      </c>
    </row>
    <row r="112" spans="1:42" hidden="1" x14ac:dyDescent="0.2">
      <c r="A112" t="s">
        <v>4367</v>
      </c>
      <c r="B112" t="s">
        <v>4368</v>
      </c>
      <c r="C112">
        <v>6</v>
      </c>
      <c r="D112">
        <v>1</v>
      </c>
      <c r="E112" t="s">
        <v>213</v>
      </c>
      <c r="F112" s="1">
        <v>43692</v>
      </c>
      <c r="G112" t="s">
        <v>4031</v>
      </c>
      <c r="H112" t="s">
        <v>4724</v>
      </c>
      <c r="I112" s="2">
        <v>1.1805555555555555E-2</v>
      </c>
      <c r="J112" s="176">
        <v>1.9675925925925926E-4</v>
      </c>
      <c r="K112" s="6">
        <v>17</v>
      </c>
      <c r="L112" t="s">
        <v>4358</v>
      </c>
      <c r="M112" t="s">
        <v>4163</v>
      </c>
      <c r="N112" t="s">
        <v>102</v>
      </c>
      <c r="O112" t="s">
        <v>23</v>
      </c>
      <c r="P112" t="s">
        <v>176</v>
      </c>
      <c r="Q112">
        <v>0</v>
      </c>
      <c r="R112">
        <v>0</v>
      </c>
      <c r="S112" t="s">
        <v>115</v>
      </c>
      <c r="T112" t="s">
        <v>115</v>
      </c>
      <c r="U112" t="s">
        <v>115</v>
      </c>
      <c r="V112" t="s">
        <v>115</v>
      </c>
      <c r="W112" t="s">
        <v>115</v>
      </c>
      <c r="X112" t="s">
        <v>115</v>
      </c>
      <c r="Y112" t="s">
        <v>115</v>
      </c>
      <c r="Z112" t="s">
        <v>115</v>
      </c>
      <c r="AA112" t="s">
        <v>115</v>
      </c>
      <c r="AB112" t="s">
        <v>115</v>
      </c>
      <c r="AC112" t="s">
        <v>115</v>
      </c>
      <c r="AD112" t="s">
        <v>115</v>
      </c>
      <c r="AE112" t="s">
        <v>115</v>
      </c>
      <c r="AF112" t="s">
        <v>115</v>
      </c>
      <c r="AG112" t="s">
        <v>115</v>
      </c>
      <c r="AH112">
        <v>0</v>
      </c>
      <c r="AI112">
        <v>10</v>
      </c>
      <c r="AJ112">
        <v>0</v>
      </c>
      <c r="AK112">
        <v>10</v>
      </c>
      <c r="AL112">
        <v>0</v>
      </c>
      <c r="AM112">
        <v>0</v>
      </c>
      <c r="AN112">
        <v>10</v>
      </c>
    </row>
    <row r="113" spans="1:40" hidden="1" x14ac:dyDescent="0.2">
      <c r="A113" t="s">
        <v>4365</v>
      </c>
      <c r="B113" t="s">
        <v>4366</v>
      </c>
      <c r="C113">
        <v>5</v>
      </c>
      <c r="D113">
        <v>1</v>
      </c>
      <c r="E113" t="s">
        <v>213</v>
      </c>
      <c r="F113" s="1">
        <v>43692</v>
      </c>
      <c r="G113" t="s">
        <v>4031</v>
      </c>
      <c r="H113" t="s">
        <v>4724</v>
      </c>
      <c r="I113" s="2">
        <v>2.7083333333333334E-2</v>
      </c>
      <c r="J113" s="176">
        <v>4.5138888888888892E-4</v>
      </c>
      <c r="K113" s="6">
        <v>39</v>
      </c>
      <c r="L113" t="s">
        <v>4358</v>
      </c>
      <c r="M113" t="s">
        <v>4163</v>
      </c>
      <c r="N113" t="s">
        <v>102</v>
      </c>
      <c r="O113" t="s">
        <v>23</v>
      </c>
      <c r="P113" t="s">
        <v>176</v>
      </c>
      <c r="Q113">
        <v>0</v>
      </c>
      <c r="R113">
        <v>0</v>
      </c>
      <c r="S113" t="s">
        <v>115</v>
      </c>
      <c r="T113" t="s">
        <v>176</v>
      </c>
      <c r="U113" t="s">
        <v>176</v>
      </c>
      <c r="V113" t="s">
        <v>176</v>
      </c>
      <c r="W113" t="s">
        <v>176</v>
      </c>
      <c r="X113" t="s">
        <v>176</v>
      </c>
      <c r="Y113" t="s">
        <v>176</v>
      </c>
      <c r="Z113" t="s">
        <v>176</v>
      </c>
      <c r="AA113" t="s">
        <v>176</v>
      </c>
      <c r="AB113" t="s">
        <v>176</v>
      </c>
      <c r="AC113" t="s">
        <v>176</v>
      </c>
      <c r="AD113" t="s">
        <v>176</v>
      </c>
      <c r="AE113" t="s">
        <v>176</v>
      </c>
      <c r="AF113" t="s">
        <v>176</v>
      </c>
      <c r="AG113" t="s">
        <v>176</v>
      </c>
      <c r="AH113">
        <v>18</v>
      </c>
      <c r="AI113">
        <v>0</v>
      </c>
      <c r="AJ113">
        <v>18</v>
      </c>
      <c r="AK113">
        <v>0</v>
      </c>
      <c r="AL113">
        <v>0</v>
      </c>
      <c r="AM113">
        <v>9</v>
      </c>
      <c r="AN113">
        <f t="shared" ref="AN113:AN144" si="4">SUM(AH113+AI113+AL113+AM113)</f>
        <v>27</v>
      </c>
    </row>
    <row r="114" spans="1:40" hidden="1" x14ac:dyDescent="0.2">
      <c r="A114" t="s">
        <v>4360</v>
      </c>
      <c r="B114" t="s">
        <v>4359</v>
      </c>
      <c r="C114">
        <v>2</v>
      </c>
      <c r="D114">
        <v>1</v>
      </c>
      <c r="E114" t="s">
        <v>213</v>
      </c>
      <c r="F114" s="1">
        <v>43692</v>
      </c>
      <c r="G114" t="s">
        <v>4031</v>
      </c>
      <c r="H114" t="s">
        <v>4724</v>
      </c>
      <c r="I114" s="2">
        <v>4.5138888888888888E-2</v>
      </c>
      <c r="J114" s="176">
        <v>7.5231481481481471E-4</v>
      </c>
      <c r="K114" s="6">
        <v>65</v>
      </c>
      <c r="L114" t="s">
        <v>4358</v>
      </c>
      <c r="M114" t="s">
        <v>1742</v>
      </c>
      <c r="N114" t="s">
        <v>102</v>
      </c>
      <c r="O114" t="s">
        <v>115</v>
      </c>
      <c r="P114">
        <v>1</v>
      </c>
      <c r="Q114">
        <v>0</v>
      </c>
      <c r="R114" t="s">
        <v>176</v>
      </c>
      <c r="S114" t="s">
        <v>1342</v>
      </c>
      <c r="T114" t="s">
        <v>4244</v>
      </c>
      <c r="U114" t="s">
        <v>122</v>
      </c>
      <c r="V114" t="s">
        <v>115</v>
      </c>
      <c r="W114" t="s">
        <v>115</v>
      </c>
      <c r="X114" t="s">
        <v>115</v>
      </c>
      <c r="Y114" t="s">
        <v>115</v>
      </c>
      <c r="Z114" t="s">
        <v>115</v>
      </c>
      <c r="AA114" t="s">
        <v>115</v>
      </c>
      <c r="AB114" t="s">
        <v>115</v>
      </c>
      <c r="AC114" t="s">
        <v>115</v>
      </c>
      <c r="AD114" t="s">
        <v>115</v>
      </c>
      <c r="AE114" t="s">
        <v>115</v>
      </c>
      <c r="AF114" t="s">
        <v>115</v>
      </c>
      <c r="AG114" t="s">
        <v>115</v>
      </c>
      <c r="AH114">
        <v>0</v>
      </c>
      <c r="AI114">
        <v>0</v>
      </c>
      <c r="AJ114">
        <v>0</v>
      </c>
      <c r="AK114">
        <v>0</v>
      </c>
      <c r="AL114">
        <v>22</v>
      </c>
      <c r="AM114">
        <v>0</v>
      </c>
      <c r="AN114">
        <f t="shared" si="4"/>
        <v>22</v>
      </c>
    </row>
    <row r="115" spans="1:40" hidden="1" x14ac:dyDescent="0.2">
      <c r="A115" t="s">
        <v>4387</v>
      </c>
      <c r="B115" t="s">
        <v>4388</v>
      </c>
      <c r="C115">
        <v>1</v>
      </c>
      <c r="D115">
        <v>1</v>
      </c>
      <c r="E115" t="s">
        <v>138</v>
      </c>
      <c r="F115" s="1">
        <v>43693</v>
      </c>
      <c r="G115" t="s">
        <v>4031</v>
      </c>
      <c r="H115" t="s">
        <v>4724</v>
      </c>
      <c r="I115" s="2">
        <v>1.6666666666666666E-2</v>
      </c>
      <c r="J115" s="176">
        <v>2.7777777777777778E-4</v>
      </c>
      <c r="K115" s="6">
        <v>24</v>
      </c>
      <c r="L115" t="s">
        <v>4358</v>
      </c>
      <c r="M115" t="s">
        <v>176</v>
      </c>
      <c r="N115" t="s">
        <v>111</v>
      </c>
      <c r="O115" t="s">
        <v>23</v>
      </c>
      <c r="P115">
        <v>1</v>
      </c>
      <c r="Q115">
        <v>0</v>
      </c>
      <c r="R115">
        <v>1</v>
      </c>
      <c r="S115" t="s">
        <v>176</v>
      </c>
      <c r="T115" t="s">
        <v>176</v>
      </c>
      <c r="U115" t="s">
        <v>176</v>
      </c>
      <c r="V115" t="s">
        <v>4386</v>
      </c>
      <c r="W115" t="s">
        <v>23</v>
      </c>
      <c r="X115" t="s">
        <v>3999</v>
      </c>
      <c r="Y115" t="s">
        <v>176</v>
      </c>
      <c r="AA115">
        <v>169</v>
      </c>
      <c r="AB115" t="s">
        <v>176</v>
      </c>
      <c r="AC115" s="19">
        <v>63.72495</v>
      </c>
      <c r="AD115" s="19">
        <v>148.95622</v>
      </c>
      <c r="AE115" t="s">
        <v>115</v>
      </c>
      <c r="AF115" t="s">
        <v>115</v>
      </c>
      <c r="AG115" t="s">
        <v>115</v>
      </c>
      <c r="AH115">
        <v>0</v>
      </c>
      <c r="AI115">
        <v>0</v>
      </c>
      <c r="AJ115">
        <v>0</v>
      </c>
      <c r="AK115">
        <v>0</v>
      </c>
      <c r="AL115">
        <v>0</v>
      </c>
      <c r="AM115">
        <v>0</v>
      </c>
      <c r="AN115">
        <f t="shared" si="4"/>
        <v>0</v>
      </c>
    </row>
    <row r="116" spans="1:40" hidden="1" x14ac:dyDescent="0.2">
      <c r="A116" t="s">
        <v>4389</v>
      </c>
      <c r="B116" t="s">
        <v>4390</v>
      </c>
      <c r="C116">
        <v>2</v>
      </c>
      <c r="D116">
        <v>1</v>
      </c>
      <c r="E116" t="s">
        <v>138</v>
      </c>
      <c r="F116" s="1">
        <v>43693</v>
      </c>
      <c r="G116" t="s">
        <v>4031</v>
      </c>
      <c r="H116" t="s">
        <v>4724</v>
      </c>
      <c r="I116" s="2">
        <v>6.25E-2</v>
      </c>
      <c r="J116" s="176">
        <v>1.0416666666666667E-3</v>
      </c>
      <c r="K116" s="6">
        <v>90</v>
      </c>
      <c r="L116" t="s">
        <v>4358</v>
      </c>
      <c r="M116" t="s">
        <v>4391</v>
      </c>
      <c r="N116" t="s">
        <v>102</v>
      </c>
      <c r="O116" t="s">
        <v>23</v>
      </c>
      <c r="P116">
        <v>2</v>
      </c>
      <c r="Q116">
        <v>0</v>
      </c>
      <c r="R116">
        <v>0</v>
      </c>
      <c r="S116" t="s">
        <v>176</v>
      </c>
      <c r="T116" t="s">
        <v>176</v>
      </c>
      <c r="U116" t="s">
        <v>333</v>
      </c>
      <c r="V116" t="s">
        <v>115</v>
      </c>
      <c r="W116" t="s">
        <v>115</v>
      </c>
      <c r="X116" t="s">
        <v>115</v>
      </c>
      <c r="Y116" t="s">
        <v>115</v>
      </c>
      <c r="Z116" t="s">
        <v>115</v>
      </c>
      <c r="AA116" t="s">
        <v>115</v>
      </c>
      <c r="AB116" t="s">
        <v>115</v>
      </c>
      <c r="AC116" t="s">
        <v>115</v>
      </c>
      <c r="AD116" t="s">
        <v>115</v>
      </c>
      <c r="AE116" t="s">
        <v>115</v>
      </c>
      <c r="AF116" t="s">
        <v>115</v>
      </c>
      <c r="AG116" t="s">
        <v>115</v>
      </c>
      <c r="AH116">
        <v>0</v>
      </c>
      <c r="AI116">
        <v>90</v>
      </c>
      <c r="AJ116">
        <v>78</v>
      </c>
      <c r="AK116">
        <v>12</v>
      </c>
      <c r="AL116">
        <v>0</v>
      </c>
      <c r="AM116">
        <v>0</v>
      </c>
      <c r="AN116">
        <f t="shared" si="4"/>
        <v>90</v>
      </c>
    </row>
    <row r="117" spans="1:40" hidden="1" x14ac:dyDescent="0.2">
      <c r="A117" t="s">
        <v>4394</v>
      </c>
      <c r="B117" t="s">
        <v>4395</v>
      </c>
      <c r="C117">
        <v>4</v>
      </c>
      <c r="D117">
        <v>1</v>
      </c>
      <c r="E117" t="s">
        <v>138</v>
      </c>
      <c r="F117" s="1">
        <v>43693</v>
      </c>
      <c r="G117" t="s">
        <v>4031</v>
      </c>
      <c r="H117" t="s">
        <v>4724</v>
      </c>
      <c r="I117" s="2">
        <v>2.6388888888888889E-2</v>
      </c>
      <c r="J117" s="176">
        <v>4.3981481481481481E-4</v>
      </c>
      <c r="K117" s="6">
        <v>38</v>
      </c>
      <c r="L117" t="s">
        <v>4358</v>
      </c>
      <c r="M117" t="s">
        <v>173</v>
      </c>
      <c r="N117" t="s">
        <v>102</v>
      </c>
      <c r="O117" t="s">
        <v>115</v>
      </c>
      <c r="P117">
        <v>1</v>
      </c>
      <c r="Q117">
        <v>0</v>
      </c>
      <c r="R117">
        <v>0</v>
      </c>
      <c r="S117" t="s">
        <v>176</v>
      </c>
      <c r="T117" t="s">
        <v>176</v>
      </c>
      <c r="U117" t="s">
        <v>263</v>
      </c>
      <c r="V117" t="s">
        <v>115</v>
      </c>
      <c r="W117" t="s">
        <v>115</v>
      </c>
      <c r="X117" t="s">
        <v>115</v>
      </c>
      <c r="Y117" t="s">
        <v>115</v>
      </c>
      <c r="Z117" t="s">
        <v>115</v>
      </c>
      <c r="AA117" t="s">
        <v>115</v>
      </c>
      <c r="AB117" t="s">
        <v>115</v>
      </c>
      <c r="AC117" t="s">
        <v>115</v>
      </c>
      <c r="AD117" t="s">
        <v>115</v>
      </c>
      <c r="AE117" t="s">
        <v>115</v>
      </c>
      <c r="AF117" t="s">
        <v>115</v>
      </c>
      <c r="AG117" t="s">
        <v>115</v>
      </c>
      <c r="AH117">
        <v>13</v>
      </c>
      <c r="AI117">
        <v>0</v>
      </c>
      <c r="AJ117">
        <v>13</v>
      </c>
      <c r="AK117">
        <v>0</v>
      </c>
      <c r="AL117">
        <v>25</v>
      </c>
      <c r="AM117">
        <v>0</v>
      </c>
      <c r="AN117">
        <f t="shared" si="4"/>
        <v>38</v>
      </c>
    </row>
    <row r="118" spans="1:40" hidden="1" x14ac:dyDescent="0.2">
      <c r="A118" t="s">
        <v>4392</v>
      </c>
      <c r="B118" t="s">
        <v>4393</v>
      </c>
      <c r="C118">
        <v>3</v>
      </c>
      <c r="D118">
        <v>1</v>
      </c>
      <c r="E118" t="s">
        <v>138</v>
      </c>
      <c r="F118" s="1">
        <v>43693</v>
      </c>
      <c r="G118" t="s">
        <v>4031</v>
      </c>
      <c r="H118" t="s">
        <v>4724</v>
      </c>
      <c r="I118" s="2">
        <v>1.8749999999999999E-2</v>
      </c>
      <c r="J118" s="176">
        <v>3.1250000000000001E-4</v>
      </c>
      <c r="K118" s="6">
        <v>27</v>
      </c>
      <c r="L118" t="s">
        <v>4358</v>
      </c>
      <c r="M118" t="s">
        <v>173</v>
      </c>
      <c r="N118" t="s">
        <v>102</v>
      </c>
      <c r="O118" t="s">
        <v>115</v>
      </c>
      <c r="P118" t="s">
        <v>176</v>
      </c>
      <c r="Q118">
        <v>0</v>
      </c>
      <c r="R118">
        <v>0</v>
      </c>
      <c r="S118" t="s">
        <v>115</v>
      </c>
      <c r="T118" t="s">
        <v>115</v>
      </c>
      <c r="U118" t="s">
        <v>115</v>
      </c>
      <c r="V118" t="s">
        <v>115</v>
      </c>
      <c r="W118" t="s">
        <v>115</v>
      </c>
      <c r="X118" t="s">
        <v>115</v>
      </c>
      <c r="Y118" t="s">
        <v>115</v>
      </c>
      <c r="Z118" t="s">
        <v>115</v>
      </c>
      <c r="AA118" t="s">
        <v>115</v>
      </c>
      <c r="AB118" t="s">
        <v>115</v>
      </c>
      <c r="AC118" t="s">
        <v>115</v>
      </c>
      <c r="AD118" t="s">
        <v>115</v>
      </c>
      <c r="AE118" t="s">
        <v>115</v>
      </c>
      <c r="AF118" t="s">
        <v>115</v>
      </c>
      <c r="AG118" t="s">
        <v>115</v>
      </c>
      <c r="AH118">
        <v>0</v>
      </c>
      <c r="AI118">
        <v>0</v>
      </c>
      <c r="AJ118">
        <v>0</v>
      </c>
      <c r="AK118">
        <v>0</v>
      </c>
      <c r="AL118">
        <v>27</v>
      </c>
      <c r="AM118">
        <v>0</v>
      </c>
      <c r="AN118">
        <f t="shared" si="4"/>
        <v>27</v>
      </c>
    </row>
    <row r="119" spans="1:40" hidden="1" x14ac:dyDescent="0.2">
      <c r="A119" t="s">
        <v>4394</v>
      </c>
      <c r="B119" t="s">
        <v>4395</v>
      </c>
      <c r="C119">
        <v>4</v>
      </c>
      <c r="D119">
        <v>1</v>
      </c>
      <c r="E119" t="s">
        <v>138</v>
      </c>
      <c r="F119" s="1">
        <v>43693</v>
      </c>
      <c r="G119" t="s">
        <v>4031</v>
      </c>
      <c r="H119" t="s">
        <v>4724</v>
      </c>
      <c r="I119" s="2">
        <v>2.6388888888888889E-2</v>
      </c>
      <c r="J119" s="176">
        <v>4.3981481481481481E-4</v>
      </c>
      <c r="K119" s="6">
        <v>38</v>
      </c>
      <c r="L119" t="s">
        <v>4358</v>
      </c>
      <c r="M119" t="s">
        <v>173</v>
      </c>
      <c r="N119" t="s">
        <v>102</v>
      </c>
      <c r="O119" t="s">
        <v>115</v>
      </c>
      <c r="P119">
        <v>1</v>
      </c>
      <c r="Q119">
        <v>0</v>
      </c>
      <c r="R119">
        <v>0</v>
      </c>
      <c r="S119" t="s">
        <v>1342</v>
      </c>
      <c r="T119" t="s">
        <v>4244</v>
      </c>
      <c r="U119" t="s">
        <v>122</v>
      </c>
      <c r="V119" t="s">
        <v>115</v>
      </c>
      <c r="W119" t="s">
        <v>115</v>
      </c>
      <c r="X119" t="s">
        <v>115</v>
      </c>
      <c r="Y119" t="s">
        <v>115</v>
      </c>
      <c r="Z119" t="s">
        <v>115</v>
      </c>
      <c r="AA119" t="s">
        <v>115</v>
      </c>
      <c r="AB119" t="s">
        <v>115</v>
      </c>
      <c r="AC119" t="s">
        <v>115</v>
      </c>
      <c r="AD119" t="s">
        <v>115</v>
      </c>
      <c r="AE119" t="s">
        <v>115</v>
      </c>
      <c r="AF119" t="s">
        <v>115</v>
      </c>
      <c r="AG119" t="s">
        <v>115</v>
      </c>
      <c r="AH119">
        <v>0</v>
      </c>
      <c r="AI119">
        <v>0</v>
      </c>
      <c r="AJ119">
        <v>0</v>
      </c>
      <c r="AK119">
        <v>0</v>
      </c>
      <c r="AL119">
        <v>25</v>
      </c>
      <c r="AM119">
        <v>0</v>
      </c>
      <c r="AN119">
        <f t="shared" si="4"/>
        <v>25</v>
      </c>
    </row>
    <row r="120" spans="1:40" hidden="1" x14ac:dyDescent="0.2">
      <c r="A120" t="s">
        <v>4410</v>
      </c>
      <c r="B120" t="s">
        <v>4409</v>
      </c>
      <c r="C120">
        <v>1</v>
      </c>
      <c r="D120">
        <v>1</v>
      </c>
      <c r="E120" t="s">
        <v>395</v>
      </c>
      <c r="F120" s="1">
        <v>43694</v>
      </c>
      <c r="G120" t="s">
        <v>4031</v>
      </c>
      <c r="H120" t="s">
        <v>4724</v>
      </c>
      <c r="I120" s="2">
        <v>4.3055555555555562E-2</v>
      </c>
      <c r="J120" s="176">
        <v>7.175925925925927E-4</v>
      </c>
      <c r="K120" s="6">
        <v>62</v>
      </c>
      <c r="L120" t="s">
        <v>398</v>
      </c>
      <c r="M120" t="s">
        <v>4411</v>
      </c>
      <c r="N120" t="s">
        <v>4412</v>
      </c>
      <c r="O120" t="s">
        <v>23</v>
      </c>
      <c r="P120">
        <v>1</v>
      </c>
      <c r="Q120">
        <v>0</v>
      </c>
      <c r="R120">
        <v>1</v>
      </c>
      <c r="S120" t="s">
        <v>176</v>
      </c>
      <c r="T120" t="s">
        <v>176</v>
      </c>
      <c r="U120" t="s">
        <v>176</v>
      </c>
      <c r="V120" t="s">
        <v>709</v>
      </c>
      <c r="W120" t="s">
        <v>23</v>
      </c>
      <c r="X120" t="s">
        <v>4004</v>
      </c>
      <c r="Y120" t="s">
        <v>4022</v>
      </c>
      <c r="AA120">
        <v>79</v>
      </c>
      <c r="AB120" t="s">
        <v>176</v>
      </c>
      <c r="AC120" s="19">
        <v>63.719410000000003</v>
      </c>
      <c r="AD120" s="19">
        <v>148.98576</v>
      </c>
      <c r="AE120" t="s">
        <v>115</v>
      </c>
      <c r="AF120" t="s">
        <v>115</v>
      </c>
      <c r="AG120" t="s">
        <v>115</v>
      </c>
      <c r="AH120">
        <v>0</v>
      </c>
      <c r="AI120">
        <v>0</v>
      </c>
      <c r="AJ120">
        <v>0</v>
      </c>
      <c r="AK120">
        <v>0</v>
      </c>
      <c r="AL120">
        <v>0</v>
      </c>
      <c r="AM120">
        <v>0</v>
      </c>
      <c r="AN120">
        <f t="shared" si="4"/>
        <v>0</v>
      </c>
    </row>
    <row r="121" spans="1:40" hidden="1" x14ac:dyDescent="0.2">
      <c r="A121" t="s">
        <v>4436</v>
      </c>
      <c r="B121" t="s">
        <v>4437</v>
      </c>
      <c r="C121">
        <v>2</v>
      </c>
      <c r="D121">
        <v>1</v>
      </c>
      <c r="E121" t="s">
        <v>2537</v>
      </c>
      <c r="F121" s="1">
        <v>43694</v>
      </c>
      <c r="G121" t="s">
        <v>4031</v>
      </c>
      <c r="H121" t="s">
        <v>4724</v>
      </c>
      <c r="I121" s="2">
        <v>2.8472222222222222E-2</v>
      </c>
      <c r="J121" s="176">
        <v>4.7453703703703704E-4</v>
      </c>
      <c r="K121" s="6">
        <v>41</v>
      </c>
      <c r="L121" t="s">
        <v>398</v>
      </c>
      <c r="M121" t="s">
        <v>241</v>
      </c>
      <c r="N121" t="s">
        <v>568</v>
      </c>
      <c r="O121" t="s">
        <v>23</v>
      </c>
      <c r="P121">
        <v>1</v>
      </c>
      <c r="Q121">
        <v>0</v>
      </c>
      <c r="R121">
        <v>1</v>
      </c>
      <c r="S121" t="s">
        <v>176</v>
      </c>
      <c r="T121" t="s">
        <v>176</v>
      </c>
      <c r="U121" t="s">
        <v>122</v>
      </c>
      <c r="V121" t="s">
        <v>4385</v>
      </c>
      <c r="W121" t="s">
        <v>23</v>
      </c>
      <c r="X121" t="s">
        <v>3997</v>
      </c>
      <c r="Y121" t="s">
        <v>4022</v>
      </c>
      <c r="Z121">
        <v>0</v>
      </c>
      <c r="AA121">
        <v>305</v>
      </c>
      <c r="AB121">
        <v>18</v>
      </c>
      <c r="AC121" s="19">
        <v>63.731560000000002</v>
      </c>
      <c r="AD121" s="19">
        <v>148.9014</v>
      </c>
      <c r="AE121" t="s">
        <v>115</v>
      </c>
      <c r="AF121" t="s">
        <v>115</v>
      </c>
      <c r="AG121" t="s">
        <v>115</v>
      </c>
      <c r="AH121">
        <v>0</v>
      </c>
      <c r="AI121">
        <v>0</v>
      </c>
      <c r="AJ121">
        <v>0</v>
      </c>
      <c r="AK121">
        <v>0</v>
      </c>
      <c r="AL121">
        <v>0</v>
      </c>
      <c r="AM121">
        <v>0</v>
      </c>
      <c r="AN121">
        <f t="shared" si="4"/>
        <v>0</v>
      </c>
    </row>
    <row r="122" spans="1:40" hidden="1" x14ac:dyDescent="0.2">
      <c r="A122" t="s">
        <v>4433</v>
      </c>
      <c r="B122" t="s">
        <v>4435</v>
      </c>
      <c r="C122">
        <v>1</v>
      </c>
      <c r="D122">
        <v>1</v>
      </c>
      <c r="E122" t="s">
        <v>2537</v>
      </c>
      <c r="F122" s="1">
        <v>43694</v>
      </c>
      <c r="G122" t="s">
        <v>4031</v>
      </c>
      <c r="H122" t="s">
        <v>4724</v>
      </c>
      <c r="I122" s="2">
        <v>3.1944444444444449E-2</v>
      </c>
      <c r="J122" s="176">
        <v>5.3240740740740744E-4</v>
      </c>
      <c r="K122" s="6">
        <v>46</v>
      </c>
      <c r="L122" t="s">
        <v>398</v>
      </c>
      <c r="M122" t="s">
        <v>241</v>
      </c>
      <c r="N122" t="s">
        <v>568</v>
      </c>
      <c r="O122" t="s">
        <v>23</v>
      </c>
      <c r="P122">
        <v>1</v>
      </c>
      <c r="Q122">
        <v>0</v>
      </c>
      <c r="R122">
        <v>1</v>
      </c>
      <c r="S122" t="s">
        <v>176</v>
      </c>
      <c r="T122" t="s">
        <v>176</v>
      </c>
      <c r="U122" t="s">
        <v>122</v>
      </c>
      <c r="V122" t="s">
        <v>939</v>
      </c>
      <c r="W122" t="s">
        <v>23</v>
      </c>
      <c r="X122" t="s">
        <v>3999</v>
      </c>
      <c r="Y122" t="s">
        <v>4434</v>
      </c>
      <c r="AA122">
        <v>358</v>
      </c>
      <c r="AB122">
        <v>1</v>
      </c>
      <c r="AC122" s="19">
        <v>63.7318</v>
      </c>
      <c r="AD122" s="19">
        <v>148.90196</v>
      </c>
      <c r="AE122" t="s">
        <v>115</v>
      </c>
      <c r="AF122" t="s">
        <v>115</v>
      </c>
      <c r="AG122" t="s">
        <v>115</v>
      </c>
      <c r="AH122">
        <v>0</v>
      </c>
      <c r="AI122">
        <v>0</v>
      </c>
      <c r="AJ122">
        <v>0</v>
      </c>
      <c r="AK122">
        <v>0</v>
      </c>
      <c r="AL122">
        <v>4</v>
      </c>
      <c r="AM122">
        <v>0</v>
      </c>
      <c r="AN122">
        <f t="shared" si="4"/>
        <v>4</v>
      </c>
    </row>
    <row r="123" spans="1:40" hidden="1" x14ac:dyDescent="0.2">
      <c r="A123" t="s">
        <v>4433</v>
      </c>
      <c r="B123" t="s">
        <v>4435</v>
      </c>
      <c r="C123">
        <v>1</v>
      </c>
      <c r="D123">
        <v>2</v>
      </c>
      <c r="E123" t="s">
        <v>2537</v>
      </c>
      <c r="F123" s="1">
        <v>43694</v>
      </c>
      <c r="G123" t="s">
        <v>4031</v>
      </c>
      <c r="H123" t="s">
        <v>4724</v>
      </c>
      <c r="I123" s="2">
        <v>3.1944444444444449E-2</v>
      </c>
      <c r="J123" s="176">
        <v>5.3240740740740744E-4</v>
      </c>
      <c r="K123" s="6">
        <v>46</v>
      </c>
      <c r="L123" t="s">
        <v>398</v>
      </c>
      <c r="M123" t="s">
        <v>241</v>
      </c>
      <c r="N123" t="s">
        <v>568</v>
      </c>
      <c r="O123" t="s">
        <v>23</v>
      </c>
      <c r="P123">
        <v>1</v>
      </c>
      <c r="Q123">
        <v>0</v>
      </c>
      <c r="R123">
        <v>1</v>
      </c>
      <c r="S123" t="s">
        <v>176</v>
      </c>
      <c r="T123" t="s">
        <v>176</v>
      </c>
      <c r="U123" t="s">
        <v>2300</v>
      </c>
      <c r="V123" t="s">
        <v>4236</v>
      </c>
      <c r="W123" t="s">
        <v>23</v>
      </c>
      <c r="X123" t="s">
        <v>3999</v>
      </c>
      <c r="Y123" t="s">
        <v>4434</v>
      </c>
      <c r="AA123">
        <v>47</v>
      </c>
      <c r="AB123">
        <v>0</v>
      </c>
      <c r="AC123" s="19">
        <v>63.7318</v>
      </c>
      <c r="AD123" s="19">
        <v>148.90195</v>
      </c>
      <c r="AE123" t="s">
        <v>115</v>
      </c>
      <c r="AF123" t="s">
        <v>115</v>
      </c>
      <c r="AG123" t="s">
        <v>115</v>
      </c>
      <c r="AH123">
        <v>0</v>
      </c>
      <c r="AI123">
        <v>0</v>
      </c>
      <c r="AJ123">
        <v>0</v>
      </c>
      <c r="AK123">
        <v>0</v>
      </c>
      <c r="AL123">
        <v>4</v>
      </c>
      <c r="AM123">
        <v>0</v>
      </c>
      <c r="AN123">
        <f t="shared" si="4"/>
        <v>4</v>
      </c>
    </row>
    <row r="124" spans="1:40" s="4" customFormat="1" hidden="1" x14ac:dyDescent="0.2">
      <c r="A124" s="4" t="s">
        <v>4407</v>
      </c>
      <c r="B124" s="4" t="s">
        <v>4408</v>
      </c>
      <c r="C124" s="4">
        <v>5</v>
      </c>
      <c r="D124" s="4">
        <v>1</v>
      </c>
      <c r="E124" s="4" t="s">
        <v>1716</v>
      </c>
      <c r="F124" s="13">
        <v>43694</v>
      </c>
      <c r="G124" s="4" t="s">
        <v>4031</v>
      </c>
      <c r="H124" t="s">
        <v>4724</v>
      </c>
      <c r="I124" s="14">
        <v>1.0416666666666666E-2</v>
      </c>
      <c r="J124" s="179">
        <v>1.7361111111111112E-4</v>
      </c>
      <c r="K124" s="15">
        <v>15</v>
      </c>
      <c r="L124" s="4" t="s">
        <v>398</v>
      </c>
      <c r="M124" s="4" t="s">
        <v>176</v>
      </c>
      <c r="N124" s="4" t="s">
        <v>102</v>
      </c>
      <c r="O124" s="4" t="s">
        <v>115</v>
      </c>
      <c r="P124" s="4">
        <v>1</v>
      </c>
      <c r="Q124" s="4">
        <v>0</v>
      </c>
      <c r="R124" s="4">
        <v>0</v>
      </c>
      <c r="S124" s="4" t="s">
        <v>176</v>
      </c>
      <c r="T124" s="4" t="s">
        <v>176</v>
      </c>
      <c r="U124" s="4" t="s">
        <v>122</v>
      </c>
      <c r="V124" s="4" t="s">
        <v>115</v>
      </c>
      <c r="W124" s="4" t="s">
        <v>115</v>
      </c>
      <c r="X124" s="4" t="s">
        <v>115</v>
      </c>
      <c r="Y124" s="4" t="s">
        <v>115</v>
      </c>
      <c r="Z124" s="4" t="s">
        <v>115</v>
      </c>
      <c r="AA124" s="4" t="s">
        <v>115</v>
      </c>
      <c r="AB124" s="4" t="s">
        <v>115</v>
      </c>
      <c r="AC124" s="4" t="s">
        <v>115</v>
      </c>
      <c r="AD124" s="4" t="s">
        <v>115</v>
      </c>
      <c r="AE124" s="4" t="s">
        <v>115</v>
      </c>
      <c r="AF124" s="4" t="s">
        <v>115</v>
      </c>
      <c r="AG124" s="4" t="s">
        <v>115</v>
      </c>
      <c r="AH124" s="4">
        <v>0</v>
      </c>
      <c r="AI124" s="4">
        <v>0</v>
      </c>
      <c r="AJ124" s="4">
        <v>0</v>
      </c>
      <c r="AK124" s="4">
        <v>0</v>
      </c>
      <c r="AL124" s="4">
        <v>7</v>
      </c>
      <c r="AM124" s="4">
        <v>0</v>
      </c>
      <c r="AN124" s="4">
        <f t="shared" si="4"/>
        <v>7</v>
      </c>
    </row>
    <row r="125" spans="1:40" hidden="1" x14ac:dyDescent="0.2">
      <c r="A125" t="s">
        <v>4438</v>
      </c>
      <c r="B125" t="s">
        <v>4439</v>
      </c>
      <c r="C125">
        <v>3</v>
      </c>
      <c r="D125">
        <v>1</v>
      </c>
      <c r="E125" t="s">
        <v>2537</v>
      </c>
      <c r="F125" s="1">
        <v>43694</v>
      </c>
      <c r="G125" t="s">
        <v>4031</v>
      </c>
      <c r="H125" t="s">
        <v>4724</v>
      </c>
      <c r="I125" s="2">
        <v>1.8055555555555557E-2</v>
      </c>
      <c r="J125" s="176">
        <v>3.0092592592592595E-4</v>
      </c>
      <c r="K125" s="6">
        <v>26</v>
      </c>
      <c r="L125" t="s">
        <v>398</v>
      </c>
      <c r="M125" t="s">
        <v>4440</v>
      </c>
      <c r="N125" t="s">
        <v>102</v>
      </c>
      <c r="O125" t="s">
        <v>23</v>
      </c>
      <c r="P125" t="s">
        <v>176</v>
      </c>
      <c r="Q125">
        <v>0</v>
      </c>
      <c r="R125">
        <v>0</v>
      </c>
      <c r="S125" t="s">
        <v>176</v>
      </c>
      <c r="T125" t="s">
        <v>176</v>
      </c>
      <c r="U125" t="s">
        <v>122</v>
      </c>
      <c r="V125" t="s">
        <v>115</v>
      </c>
      <c r="W125" t="s">
        <v>115</v>
      </c>
      <c r="X125" t="s">
        <v>115</v>
      </c>
      <c r="Y125" t="s">
        <v>115</v>
      </c>
      <c r="Z125" t="s">
        <v>115</v>
      </c>
      <c r="AA125" t="s">
        <v>115</v>
      </c>
      <c r="AB125" t="s">
        <v>115</v>
      </c>
      <c r="AC125" t="s">
        <v>115</v>
      </c>
      <c r="AD125" t="s">
        <v>115</v>
      </c>
      <c r="AE125" t="s">
        <v>115</v>
      </c>
      <c r="AF125" t="s">
        <v>115</v>
      </c>
      <c r="AG125" t="s">
        <v>115</v>
      </c>
      <c r="AH125">
        <v>0</v>
      </c>
      <c r="AI125">
        <v>0</v>
      </c>
      <c r="AJ125">
        <v>0</v>
      </c>
      <c r="AK125">
        <v>0</v>
      </c>
      <c r="AL125">
        <v>12</v>
      </c>
      <c r="AM125">
        <v>0</v>
      </c>
      <c r="AN125">
        <f t="shared" si="4"/>
        <v>12</v>
      </c>
    </row>
    <row r="126" spans="1:40" hidden="1" x14ac:dyDescent="0.2">
      <c r="A126" t="s">
        <v>4436</v>
      </c>
      <c r="B126" t="s">
        <v>4437</v>
      </c>
      <c r="C126">
        <v>2</v>
      </c>
      <c r="D126">
        <v>2</v>
      </c>
      <c r="E126" t="s">
        <v>2537</v>
      </c>
      <c r="F126" s="1">
        <v>43694</v>
      </c>
      <c r="G126" t="s">
        <v>4031</v>
      </c>
      <c r="H126" t="s">
        <v>4724</v>
      </c>
      <c r="I126" s="2">
        <v>2.8472222222222222E-2</v>
      </c>
      <c r="J126" s="176">
        <v>4.7453703703703704E-4</v>
      </c>
      <c r="K126" s="6">
        <v>41</v>
      </c>
      <c r="L126" t="s">
        <v>398</v>
      </c>
      <c r="M126" t="s">
        <v>241</v>
      </c>
      <c r="N126" t="s">
        <v>111</v>
      </c>
      <c r="O126" t="s">
        <v>23</v>
      </c>
      <c r="P126">
        <v>0</v>
      </c>
      <c r="Q126">
        <v>0</v>
      </c>
      <c r="R126">
        <v>1</v>
      </c>
      <c r="S126" t="s">
        <v>176</v>
      </c>
      <c r="T126" t="s">
        <v>176</v>
      </c>
      <c r="U126" t="s">
        <v>122</v>
      </c>
      <c r="V126" t="s">
        <v>4385</v>
      </c>
      <c r="W126" t="s">
        <v>23</v>
      </c>
      <c r="X126" t="s">
        <v>3997</v>
      </c>
      <c r="Y126" t="s">
        <v>4022</v>
      </c>
      <c r="Z126">
        <v>0</v>
      </c>
      <c r="AA126">
        <v>232</v>
      </c>
      <c r="AE126" t="s">
        <v>115</v>
      </c>
      <c r="AF126" t="s">
        <v>115</v>
      </c>
      <c r="AG126" t="s">
        <v>115</v>
      </c>
      <c r="AH126">
        <v>0</v>
      </c>
      <c r="AI126">
        <v>0</v>
      </c>
      <c r="AJ126">
        <v>0</v>
      </c>
      <c r="AK126">
        <v>0</v>
      </c>
      <c r="AL126">
        <v>0</v>
      </c>
      <c r="AM126">
        <v>0</v>
      </c>
      <c r="AN126">
        <f t="shared" si="4"/>
        <v>0</v>
      </c>
    </row>
    <row r="127" spans="1:40" hidden="1" x14ac:dyDescent="0.2">
      <c r="A127" t="s">
        <v>4400</v>
      </c>
      <c r="B127" t="s">
        <v>4404</v>
      </c>
      <c r="C127">
        <v>2</v>
      </c>
      <c r="D127">
        <v>1</v>
      </c>
      <c r="E127" t="s">
        <v>1716</v>
      </c>
      <c r="F127" s="1">
        <v>43694</v>
      </c>
      <c r="G127" t="s">
        <v>4031</v>
      </c>
      <c r="H127" t="s">
        <v>4724</v>
      </c>
      <c r="I127" s="2">
        <v>2.013888888888889E-2</v>
      </c>
      <c r="J127" s="176">
        <v>3.3564814814814812E-4</v>
      </c>
      <c r="K127" s="6">
        <v>29</v>
      </c>
      <c r="L127" t="s">
        <v>398</v>
      </c>
      <c r="M127" t="s">
        <v>4399</v>
      </c>
      <c r="N127" t="s">
        <v>102</v>
      </c>
      <c r="O127" t="s">
        <v>23</v>
      </c>
      <c r="P127" t="s">
        <v>176</v>
      </c>
      <c r="Q127">
        <v>0</v>
      </c>
      <c r="R127" t="s">
        <v>176</v>
      </c>
      <c r="S127" t="s">
        <v>115</v>
      </c>
      <c r="T127" t="s">
        <v>115</v>
      </c>
      <c r="U127" t="s">
        <v>115</v>
      </c>
      <c r="V127" t="s">
        <v>115</v>
      </c>
      <c r="W127" t="s">
        <v>115</v>
      </c>
      <c r="X127" t="s">
        <v>115</v>
      </c>
      <c r="Y127" t="s">
        <v>115</v>
      </c>
      <c r="Z127" t="s">
        <v>115</v>
      </c>
      <c r="AA127" t="s">
        <v>115</v>
      </c>
      <c r="AB127" t="s">
        <v>115</v>
      </c>
      <c r="AC127" t="s">
        <v>115</v>
      </c>
      <c r="AD127" t="s">
        <v>115</v>
      </c>
      <c r="AE127" t="s">
        <v>115</v>
      </c>
      <c r="AF127" t="s">
        <v>115</v>
      </c>
      <c r="AG127" t="s">
        <v>115</v>
      </c>
      <c r="AH127">
        <v>29</v>
      </c>
      <c r="AI127">
        <v>0</v>
      </c>
      <c r="AJ127">
        <v>29</v>
      </c>
      <c r="AK127">
        <v>0</v>
      </c>
      <c r="AL127">
        <v>0</v>
      </c>
      <c r="AM127">
        <v>0</v>
      </c>
      <c r="AN127">
        <f t="shared" si="4"/>
        <v>29</v>
      </c>
    </row>
    <row r="128" spans="1:40" hidden="1" x14ac:dyDescent="0.2">
      <c r="A128" t="s">
        <v>4402</v>
      </c>
      <c r="B128" t="s">
        <v>4403</v>
      </c>
      <c r="C128">
        <v>3</v>
      </c>
      <c r="D128">
        <v>1</v>
      </c>
      <c r="E128" t="s">
        <v>1716</v>
      </c>
      <c r="F128" s="1">
        <v>43694</v>
      </c>
      <c r="G128" t="s">
        <v>4031</v>
      </c>
      <c r="H128" t="s">
        <v>4724</v>
      </c>
      <c r="I128" s="2">
        <v>3.5416666666666666E-2</v>
      </c>
      <c r="J128" s="176">
        <v>5.9027777777777778E-4</v>
      </c>
      <c r="K128" s="6">
        <v>51</v>
      </c>
      <c r="L128" t="s">
        <v>398</v>
      </c>
      <c r="M128" t="s">
        <v>4399</v>
      </c>
      <c r="N128" t="s">
        <v>102</v>
      </c>
      <c r="O128" t="s">
        <v>23</v>
      </c>
      <c r="P128" t="s">
        <v>176</v>
      </c>
      <c r="Q128">
        <v>0</v>
      </c>
      <c r="R128" t="s">
        <v>176</v>
      </c>
      <c r="S128" t="s">
        <v>115</v>
      </c>
      <c r="T128" t="s">
        <v>115</v>
      </c>
      <c r="U128" t="s">
        <v>115</v>
      </c>
      <c r="V128" t="s">
        <v>115</v>
      </c>
      <c r="W128" t="s">
        <v>115</v>
      </c>
      <c r="X128" t="s">
        <v>115</v>
      </c>
      <c r="Y128" t="s">
        <v>115</v>
      </c>
      <c r="Z128" t="s">
        <v>115</v>
      </c>
      <c r="AA128" t="s">
        <v>115</v>
      </c>
      <c r="AB128" t="s">
        <v>115</v>
      </c>
      <c r="AC128" t="s">
        <v>115</v>
      </c>
      <c r="AD128" t="s">
        <v>115</v>
      </c>
      <c r="AE128" t="s">
        <v>115</v>
      </c>
      <c r="AF128" t="s">
        <v>115</v>
      </c>
      <c r="AG128" t="s">
        <v>115</v>
      </c>
      <c r="AH128">
        <v>0</v>
      </c>
      <c r="AI128">
        <v>37</v>
      </c>
      <c r="AJ128">
        <v>0</v>
      </c>
      <c r="AK128">
        <v>37</v>
      </c>
      <c r="AL128">
        <v>0</v>
      </c>
      <c r="AM128">
        <v>0</v>
      </c>
      <c r="AN128">
        <f t="shared" si="4"/>
        <v>37</v>
      </c>
    </row>
    <row r="129" spans="1:42" hidden="1" x14ac:dyDescent="0.2">
      <c r="A129" t="s">
        <v>4413</v>
      </c>
      <c r="B129" t="s">
        <v>4401</v>
      </c>
      <c r="C129">
        <v>2</v>
      </c>
      <c r="D129">
        <v>1</v>
      </c>
      <c r="E129" t="s">
        <v>395</v>
      </c>
      <c r="F129" s="1">
        <v>43694</v>
      </c>
      <c r="G129" t="s">
        <v>4031</v>
      </c>
      <c r="H129" t="s">
        <v>4724</v>
      </c>
      <c r="I129" s="2">
        <v>6.1111111111111116E-2</v>
      </c>
      <c r="J129" s="176">
        <v>1.0185185185185186E-3</v>
      </c>
      <c r="K129" s="6">
        <v>88</v>
      </c>
      <c r="L129" t="s">
        <v>398</v>
      </c>
      <c r="M129" t="s">
        <v>4411</v>
      </c>
      <c r="N129" t="s">
        <v>102</v>
      </c>
      <c r="O129" t="s">
        <v>23</v>
      </c>
      <c r="P129">
        <v>0</v>
      </c>
      <c r="Q129">
        <v>0</v>
      </c>
      <c r="R129">
        <v>0</v>
      </c>
      <c r="S129" t="s">
        <v>115</v>
      </c>
      <c r="T129" t="s">
        <v>115</v>
      </c>
      <c r="U129" t="s">
        <v>115</v>
      </c>
      <c r="V129" t="s">
        <v>115</v>
      </c>
      <c r="W129" t="s">
        <v>115</v>
      </c>
      <c r="X129" t="s">
        <v>115</v>
      </c>
      <c r="Y129" t="s">
        <v>115</v>
      </c>
      <c r="Z129" t="s">
        <v>115</v>
      </c>
      <c r="AA129" t="s">
        <v>115</v>
      </c>
      <c r="AB129" t="s">
        <v>115</v>
      </c>
      <c r="AC129" t="s">
        <v>115</v>
      </c>
      <c r="AD129" t="s">
        <v>115</v>
      </c>
      <c r="AE129" t="s">
        <v>115</v>
      </c>
      <c r="AF129" t="s">
        <v>115</v>
      </c>
      <c r="AG129" t="s">
        <v>115</v>
      </c>
      <c r="AH129">
        <v>0</v>
      </c>
      <c r="AI129">
        <v>79</v>
      </c>
      <c r="AJ129">
        <v>0</v>
      </c>
      <c r="AK129">
        <v>79</v>
      </c>
      <c r="AL129">
        <v>0</v>
      </c>
      <c r="AM129">
        <v>0</v>
      </c>
      <c r="AN129">
        <f t="shared" si="4"/>
        <v>79</v>
      </c>
    </row>
    <row r="130" spans="1:42" hidden="1" x14ac:dyDescent="0.2">
      <c r="A130" t="s">
        <v>4418</v>
      </c>
      <c r="B130" t="s">
        <v>4419</v>
      </c>
      <c r="C130">
        <v>5</v>
      </c>
      <c r="D130">
        <v>1</v>
      </c>
      <c r="E130" t="s">
        <v>395</v>
      </c>
      <c r="F130" s="1">
        <v>43694</v>
      </c>
      <c r="G130" t="s">
        <v>4031</v>
      </c>
      <c r="H130" t="s">
        <v>4724</v>
      </c>
      <c r="I130" s="2">
        <v>1.8749999999999999E-2</v>
      </c>
      <c r="J130" s="176">
        <v>3.1250000000000001E-4</v>
      </c>
      <c r="K130" s="6">
        <v>27</v>
      </c>
      <c r="L130" t="s">
        <v>398</v>
      </c>
      <c r="M130" t="s">
        <v>4250</v>
      </c>
      <c r="N130" t="s">
        <v>568</v>
      </c>
      <c r="O130" t="s">
        <v>23</v>
      </c>
      <c r="P130">
        <v>0</v>
      </c>
      <c r="Q130">
        <v>0</v>
      </c>
      <c r="R130">
        <v>1</v>
      </c>
      <c r="S130" t="s">
        <v>112</v>
      </c>
      <c r="T130" t="s">
        <v>4329</v>
      </c>
      <c r="U130" t="s">
        <v>122</v>
      </c>
      <c r="V130" t="s">
        <v>4385</v>
      </c>
      <c r="W130" t="s">
        <v>23</v>
      </c>
      <c r="X130" t="s">
        <v>3997</v>
      </c>
      <c r="Y130" t="s">
        <v>4420</v>
      </c>
      <c r="AA130">
        <v>28</v>
      </c>
      <c r="AB130">
        <v>2</v>
      </c>
      <c r="AC130" s="19">
        <v>63.721559999999997</v>
      </c>
      <c r="AD130" s="19">
        <v>148.98737</v>
      </c>
      <c r="AE130" t="s">
        <v>115</v>
      </c>
      <c r="AF130" t="s">
        <v>115</v>
      </c>
      <c r="AG130" t="s">
        <v>115</v>
      </c>
      <c r="AH130">
        <v>0</v>
      </c>
      <c r="AI130">
        <v>0</v>
      </c>
      <c r="AJ130">
        <v>0</v>
      </c>
      <c r="AK130">
        <v>0</v>
      </c>
      <c r="AL130">
        <v>6</v>
      </c>
      <c r="AM130">
        <v>0</v>
      </c>
      <c r="AN130">
        <f t="shared" si="4"/>
        <v>6</v>
      </c>
      <c r="AP130" t="s">
        <v>4421</v>
      </c>
    </row>
    <row r="131" spans="1:42" hidden="1" x14ac:dyDescent="0.2">
      <c r="A131" t="s">
        <v>4424</v>
      </c>
      <c r="B131" t="s">
        <v>4422</v>
      </c>
      <c r="C131">
        <v>6</v>
      </c>
      <c r="D131">
        <v>1</v>
      </c>
      <c r="E131" t="s">
        <v>395</v>
      </c>
      <c r="F131" s="1">
        <v>43694</v>
      </c>
      <c r="G131" t="s">
        <v>4031</v>
      </c>
      <c r="H131" t="s">
        <v>4724</v>
      </c>
      <c r="I131" s="2">
        <v>5.5555555555555558E-3</v>
      </c>
      <c r="J131" s="176">
        <v>9.2592592592592588E-5</v>
      </c>
      <c r="K131" s="6">
        <v>8</v>
      </c>
      <c r="L131" t="s">
        <v>398</v>
      </c>
      <c r="M131" t="s">
        <v>4250</v>
      </c>
      <c r="N131" t="s">
        <v>111</v>
      </c>
      <c r="O131" t="s">
        <v>23</v>
      </c>
      <c r="P131">
        <v>0</v>
      </c>
      <c r="Q131">
        <v>0</v>
      </c>
      <c r="R131">
        <v>1</v>
      </c>
      <c r="S131" t="s">
        <v>112</v>
      </c>
      <c r="T131" t="s">
        <v>4329</v>
      </c>
      <c r="U131" t="s">
        <v>115</v>
      </c>
      <c r="V131" t="s">
        <v>333</v>
      </c>
      <c r="W131" t="s">
        <v>23</v>
      </c>
      <c r="X131" t="s">
        <v>3999</v>
      </c>
      <c r="Y131" t="s">
        <v>4006</v>
      </c>
      <c r="AA131">
        <v>281</v>
      </c>
      <c r="AB131">
        <v>2</v>
      </c>
      <c r="AC131" s="19">
        <v>63.721559999999997</v>
      </c>
      <c r="AD131" s="19">
        <v>148.98737</v>
      </c>
      <c r="AE131" t="s">
        <v>115</v>
      </c>
      <c r="AF131" t="s">
        <v>115</v>
      </c>
      <c r="AG131" t="s">
        <v>115</v>
      </c>
      <c r="AH131">
        <v>0</v>
      </c>
      <c r="AI131">
        <v>0</v>
      </c>
      <c r="AJ131">
        <v>0</v>
      </c>
      <c r="AK131">
        <v>0</v>
      </c>
      <c r="AL131">
        <v>0</v>
      </c>
      <c r="AM131">
        <v>0</v>
      </c>
      <c r="AN131">
        <f t="shared" si="4"/>
        <v>0</v>
      </c>
    </row>
    <row r="132" spans="1:42" hidden="1" x14ac:dyDescent="0.2">
      <c r="B132" t="s">
        <v>4425</v>
      </c>
      <c r="E132" t="s">
        <v>395</v>
      </c>
      <c r="F132" s="1">
        <v>43694</v>
      </c>
      <c r="G132" t="s">
        <v>4031</v>
      </c>
      <c r="H132" t="s">
        <v>4724</v>
      </c>
      <c r="K132" s="6">
        <v>0</v>
      </c>
      <c r="M132" t="s">
        <v>4250</v>
      </c>
      <c r="N132" t="s">
        <v>111</v>
      </c>
      <c r="O132" t="s">
        <v>23</v>
      </c>
      <c r="P132">
        <v>0</v>
      </c>
      <c r="Q132">
        <v>0</v>
      </c>
      <c r="R132">
        <v>1</v>
      </c>
      <c r="S132" t="s">
        <v>112</v>
      </c>
      <c r="T132" t="s">
        <v>4329</v>
      </c>
      <c r="U132" t="s">
        <v>122</v>
      </c>
      <c r="V132" t="s">
        <v>4385</v>
      </c>
      <c r="W132" t="s">
        <v>23</v>
      </c>
      <c r="X132" t="s">
        <v>3997</v>
      </c>
      <c r="Y132" t="s">
        <v>4420</v>
      </c>
      <c r="AA132">
        <v>148</v>
      </c>
      <c r="AB132">
        <v>2</v>
      </c>
      <c r="AC132" s="19">
        <v>63.721739999999997</v>
      </c>
      <c r="AD132" s="19">
        <v>148.98727</v>
      </c>
      <c r="AE132" t="s">
        <v>115</v>
      </c>
      <c r="AF132" t="s">
        <v>115</v>
      </c>
      <c r="AG132" t="s">
        <v>115</v>
      </c>
      <c r="AH132">
        <v>0</v>
      </c>
      <c r="AI132">
        <v>0</v>
      </c>
      <c r="AJ132">
        <v>0</v>
      </c>
      <c r="AK132">
        <v>0</v>
      </c>
      <c r="AL132">
        <v>0</v>
      </c>
      <c r="AM132">
        <v>0</v>
      </c>
      <c r="AN132">
        <f t="shared" si="4"/>
        <v>0</v>
      </c>
      <c r="AP132" t="s">
        <v>4426</v>
      </c>
    </row>
    <row r="133" spans="1:42" hidden="1" x14ac:dyDescent="0.2">
      <c r="A133" t="s">
        <v>4416</v>
      </c>
      <c r="B133" t="s">
        <v>4417</v>
      </c>
      <c r="C133">
        <v>4</v>
      </c>
      <c r="D133">
        <v>1</v>
      </c>
      <c r="E133" t="s">
        <v>395</v>
      </c>
      <c r="F133" s="1">
        <v>43694</v>
      </c>
      <c r="G133" t="s">
        <v>4031</v>
      </c>
      <c r="H133" t="s">
        <v>4724</v>
      </c>
      <c r="I133" s="2">
        <v>1.0416666666666666E-2</v>
      </c>
      <c r="J133" s="176">
        <v>1.7361111111111112E-4</v>
      </c>
      <c r="K133" s="6">
        <v>15</v>
      </c>
      <c r="L133" t="s">
        <v>398</v>
      </c>
      <c r="M133" t="s">
        <v>4250</v>
      </c>
      <c r="N133" t="s">
        <v>102</v>
      </c>
      <c r="O133" t="s">
        <v>115</v>
      </c>
      <c r="P133">
        <v>1</v>
      </c>
      <c r="Q133">
        <v>0</v>
      </c>
      <c r="R133">
        <v>0</v>
      </c>
      <c r="S133" t="s">
        <v>112</v>
      </c>
      <c r="T133" t="s">
        <v>4329</v>
      </c>
      <c r="U133" t="s">
        <v>122</v>
      </c>
      <c r="V133" t="s">
        <v>115</v>
      </c>
      <c r="W133" t="s">
        <v>115</v>
      </c>
      <c r="X133" t="s">
        <v>115</v>
      </c>
      <c r="Y133" t="s">
        <v>115</v>
      </c>
      <c r="Z133" t="s">
        <v>115</v>
      </c>
      <c r="AA133" t="s">
        <v>115</v>
      </c>
      <c r="AB133" t="s">
        <v>115</v>
      </c>
      <c r="AC133" t="s">
        <v>115</v>
      </c>
      <c r="AD133" t="s">
        <v>115</v>
      </c>
      <c r="AE133" t="s">
        <v>115</v>
      </c>
      <c r="AF133" t="s">
        <v>115</v>
      </c>
      <c r="AG133" t="s">
        <v>115</v>
      </c>
      <c r="AH133">
        <v>0</v>
      </c>
      <c r="AI133">
        <v>0</v>
      </c>
      <c r="AJ133">
        <v>0</v>
      </c>
      <c r="AK133">
        <v>0</v>
      </c>
      <c r="AL133">
        <v>15</v>
      </c>
      <c r="AM133">
        <v>0</v>
      </c>
      <c r="AN133">
        <f t="shared" si="4"/>
        <v>15</v>
      </c>
    </row>
    <row r="134" spans="1:42" hidden="1" x14ac:dyDescent="0.2">
      <c r="A134" t="s">
        <v>4418</v>
      </c>
      <c r="B134" t="s">
        <v>4419</v>
      </c>
      <c r="C134">
        <v>5</v>
      </c>
      <c r="D134">
        <v>1</v>
      </c>
      <c r="E134" t="s">
        <v>395</v>
      </c>
      <c r="F134" s="1">
        <v>43694</v>
      </c>
      <c r="G134" t="s">
        <v>4031</v>
      </c>
      <c r="H134" t="s">
        <v>4724</v>
      </c>
      <c r="I134" s="2">
        <v>1.8749999999999999E-2</v>
      </c>
      <c r="J134" s="176">
        <v>3.1250000000000001E-4</v>
      </c>
      <c r="K134" s="6">
        <v>27</v>
      </c>
      <c r="L134" t="s">
        <v>398</v>
      </c>
      <c r="M134" t="s">
        <v>4250</v>
      </c>
      <c r="N134" t="s">
        <v>102</v>
      </c>
      <c r="O134" t="s">
        <v>23</v>
      </c>
      <c r="P134">
        <v>1</v>
      </c>
      <c r="Q134">
        <v>0</v>
      </c>
      <c r="R134">
        <v>0</v>
      </c>
      <c r="S134" t="s">
        <v>112</v>
      </c>
      <c r="T134" t="s">
        <v>4329</v>
      </c>
      <c r="U134" t="s">
        <v>122</v>
      </c>
      <c r="V134" t="s">
        <v>115</v>
      </c>
      <c r="W134" t="s">
        <v>115</v>
      </c>
      <c r="X134" t="s">
        <v>115</v>
      </c>
      <c r="Y134" t="s">
        <v>115</v>
      </c>
      <c r="Z134" t="s">
        <v>115</v>
      </c>
      <c r="AA134" t="s">
        <v>115</v>
      </c>
      <c r="AB134" t="s">
        <v>115</v>
      </c>
      <c r="AC134" t="s">
        <v>115</v>
      </c>
      <c r="AD134" t="s">
        <v>115</v>
      </c>
      <c r="AE134" t="s">
        <v>115</v>
      </c>
      <c r="AF134" t="s">
        <v>115</v>
      </c>
      <c r="AG134" t="s">
        <v>115</v>
      </c>
      <c r="AH134">
        <v>0</v>
      </c>
      <c r="AI134">
        <v>0</v>
      </c>
      <c r="AJ134">
        <v>0</v>
      </c>
      <c r="AK134">
        <v>0</v>
      </c>
      <c r="AL134">
        <v>13</v>
      </c>
      <c r="AM134">
        <v>0</v>
      </c>
      <c r="AN134">
        <f t="shared" si="4"/>
        <v>13</v>
      </c>
      <c r="AP134" t="s">
        <v>4423</v>
      </c>
    </row>
    <row r="135" spans="1:42" hidden="1" x14ac:dyDescent="0.2">
      <c r="A135" t="s">
        <v>4428</v>
      </c>
      <c r="B135" t="s">
        <v>4429</v>
      </c>
      <c r="C135">
        <v>7</v>
      </c>
      <c r="D135">
        <v>1</v>
      </c>
      <c r="E135" t="s">
        <v>395</v>
      </c>
      <c r="F135" s="1">
        <v>43694</v>
      </c>
      <c r="G135" t="s">
        <v>4031</v>
      </c>
      <c r="H135" t="s">
        <v>4724</v>
      </c>
      <c r="I135" s="2">
        <v>2.8472222222222222E-2</v>
      </c>
      <c r="J135" s="176">
        <v>4.7453703703703704E-4</v>
      </c>
      <c r="K135" s="6">
        <v>41</v>
      </c>
      <c r="L135" t="s">
        <v>398</v>
      </c>
      <c r="M135" t="s">
        <v>4250</v>
      </c>
      <c r="N135" t="s">
        <v>568</v>
      </c>
      <c r="O135" t="s">
        <v>1196</v>
      </c>
      <c r="P135">
        <v>1</v>
      </c>
      <c r="Q135">
        <v>0</v>
      </c>
      <c r="R135">
        <v>1</v>
      </c>
      <c r="S135" t="s">
        <v>112</v>
      </c>
      <c r="T135" t="s">
        <v>4319</v>
      </c>
      <c r="U135" t="s">
        <v>122</v>
      </c>
      <c r="V135" t="s">
        <v>4427</v>
      </c>
      <c r="W135" t="s">
        <v>1196</v>
      </c>
      <c r="X135" t="s">
        <v>3997</v>
      </c>
      <c r="Y135" t="s">
        <v>4420</v>
      </c>
      <c r="AA135">
        <v>156</v>
      </c>
      <c r="AB135">
        <v>4</v>
      </c>
      <c r="AE135" t="s">
        <v>115</v>
      </c>
      <c r="AF135" t="s">
        <v>115</v>
      </c>
      <c r="AG135" t="s">
        <v>115</v>
      </c>
      <c r="AH135">
        <v>0</v>
      </c>
      <c r="AI135">
        <v>0</v>
      </c>
      <c r="AJ135">
        <v>0</v>
      </c>
      <c r="AK135">
        <v>0</v>
      </c>
      <c r="AL135">
        <v>15</v>
      </c>
      <c r="AM135">
        <v>0</v>
      </c>
      <c r="AN135">
        <f t="shared" si="4"/>
        <v>15</v>
      </c>
    </row>
    <row r="136" spans="1:42" hidden="1" x14ac:dyDescent="0.2">
      <c r="A136" t="s">
        <v>4430</v>
      </c>
      <c r="B136" t="s">
        <v>4431</v>
      </c>
      <c r="C136">
        <v>8</v>
      </c>
      <c r="D136">
        <v>1</v>
      </c>
      <c r="E136" t="s">
        <v>395</v>
      </c>
      <c r="F136" s="1">
        <v>43694</v>
      </c>
      <c r="G136" t="s">
        <v>4031</v>
      </c>
      <c r="H136" t="s">
        <v>4724</v>
      </c>
      <c r="I136" s="2">
        <v>2.013888888888889E-2</v>
      </c>
      <c r="J136" s="176">
        <v>3.3564814814814812E-4</v>
      </c>
      <c r="K136" s="6">
        <v>29</v>
      </c>
      <c r="L136" t="s">
        <v>398</v>
      </c>
      <c r="M136" t="s">
        <v>4250</v>
      </c>
      <c r="N136" t="s">
        <v>102</v>
      </c>
      <c r="O136" t="s">
        <v>115</v>
      </c>
      <c r="P136">
        <v>1</v>
      </c>
      <c r="Q136">
        <v>0</v>
      </c>
      <c r="R136">
        <v>0</v>
      </c>
      <c r="S136" t="s">
        <v>598</v>
      </c>
      <c r="T136" t="s">
        <v>4432</v>
      </c>
      <c r="U136" t="s">
        <v>122</v>
      </c>
      <c r="V136" t="s">
        <v>115</v>
      </c>
      <c r="W136" t="s">
        <v>115</v>
      </c>
      <c r="X136" t="s">
        <v>115</v>
      </c>
      <c r="Y136" t="s">
        <v>115</v>
      </c>
      <c r="Z136" t="s">
        <v>115</v>
      </c>
      <c r="AA136" t="s">
        <v>115</v>
      </c>
      <c r="AB136" t="s">
        <v>115</v>
      </c>
      <c r="AC136" t="s">
        <v>115</v>
      </c>
      <c r="AD136" t="s">
        <v>115</v>
      </c>
      <c r="AE136" t="s">
        <v>115</v>
      </c>
      <c r="AF136" t="s">
        <v>115</v>
      </c>
      <c r="AG136" t="s">
        <v>115</v>
      </c>
      <c r="AH136">
        <v>0</v>
      </c>
      <c r="AI136">
        <v>0</v>
      </c>
      <c r="AJ136">
        <v>0</v>
      </c>
      <c r="AK136">
        <v>0</v>
      </c>
      <c r="AL136">
        <v>0</v>
      </c>
      <c r="AM136">
        <v>0</v>
      </c>
      <c r="AN136">
        <f t="shared" si="4"/>
        <v>0</v>
      </c>
    </row>
    <row r="137" spans="1:42" hidden="1" x14ac:dyDescent="0.2">
      <c r="A137" t="s">
        <v>4415</v>
      </c>
      <c r="B137" t="s">
        <v>4414</v>
      </c>
      <c r="C137">
        <v>3</v>
      </c>
      <c r="D137">
        <v>1</v>
      </c>
      <c r="E137" t="s">
        <v>395</v>
      </c>
      <c r="F137" s="1">
        <v>43694</v>
      </c>
      <c r="G137" t="s">
        <v>4031</v>
      </c>
      <c r="H137" t="s">
        <v>4724</v>
      </c>
      <c r="I137" s="2">
        <v>5.7638888888888885E-2</v>
      </c>
      <c r="J137" s="176">
        <v>9.6064814814814808E-4</v>
      </c>
      <c r="K137" s="6">
        <v>83</v>
      </c>
      <c r="L137" t="s">
        <v>398</v>
      </c>
      <c r="M137" t="s">
        <v>176</v>
      </c>
      <c r="N137" t="s">
        <v>102</v>
      </c>
      <c r="O137" t="s">
        <v>115</v>
      </c>
      <c r="P137">
        <v>1</v>
      </c>
      <c r="Q137">
        <v>0</v>
      </c>
      <c r="R137">
        <v>0</v>
      </c>
      <c r="S137" t="s">
        <v>1342</v>
      </c>
      <c r="T137" t="s">
        <v>4244</v>
      </c>
      <c r="U137" t="s">
        <v>115</v>
      </c>
      <c r="V137" t="s">
        <v>115</v>
      </c>
      <c r="W137" t="s">
        <v>115</v>
      </c>
      <c r="X137" t="s">
        <v>115</v>
      </c>
      <c r="Y137" t="s">
        <v>115</v>
      </c>
      <c r="Z137" t="s">
        <v>115</v>
      </c>
      <c r="AA137" t="s">
        <v>115</v>
      </c>
      <c r="AB137" t="s">
        <v>115</v>
      </c>
      <c r="AC137" t="s">
        <v>115</v>
      </c>
      <c r="AD137" t="s">
        <v>115</v>
      </c>
      <c r="AE137" t="s">
        <v>115</v>
      </c>
      <c r="AF137" t="s">
        <v>115</v>
      </c>
      <c r="AG137" t="s">
        <v>115</v>
      </c>
      <c r="AH137">
        <v>0</v>
      </c>
      <c r="AI137">
        <v>0</v>
      </c>
      <c r="AJ137">
        <v>0</v>
      </c>
      <c r="AK137">
        <v>0</v>
      </c>
      <c r="AL137">
        <v>56</v>
      </c>
      <c r="AM137">
        <v>0</v>
      </c>
      <c r="AN137">
        <f t="shared" si="4"/>
        <v>56</v>
      </c>
    </row>
    <row r="138" spans="1:42" hidden="1" x14ac:dyDescent="0.2">
      <c r="A138" t="s">
        <v>4405</v>
      </c>
      <c r="B138" t="s">
        <v>4406</v>
      </c>
      <c r="C138">
        <v>4</v>
      </c>
      <c r="D138">
        <v>1</v>
      </c>
      <c r="E138" t="s">
        <v>1716</v>
      </c>
      <c r="F138" s="1">
        <v>43694</v>
      </c>
      <c r="G138" t="s">
        <v>4031</v>
      </c>
      <c r="H138" t="s">
        <v>4724</v>
      </c>
      <c r="I138" s="2">
        <v>3.888888888888889E-2</v>
      </c>
      <c r="J138" s="176">
        <v>6.4814814814814813E-4</v>
      </c>
      <c r="K138" s="6">
        <v>56</v>
      </c>
      <c r="L138" t="s">
        <v>398</v>
      </c>
      <c r="M138" t="s">
        <v>4399</v>
      </c>
      <c r="N138" t="s">
        <v>568</v>
      </c>
      <c r="O138" t="s">
        <v>23</v>
      </c>
      <c r="P138">
        <v>1</v>
      </c>
      <c r="Q138">
        <v>0</v>
      </c>
      <c r="R138">
        <v>1</v>
      </c>
      <c r="S138" t="s">
        <v>461</v>
      </c>
      <c r="T138" t="s">
        <v>4398</v>
      </c>
      <c r="U138" t="s">
        <v>122</v>
      </c>
      <c r="V138" t="s">
        <v>2300</v>
      </c>
      <c r="W138" t="s">
        <v>23</v>
      </c>
      <c r="X138" t="s">
        <v>3997</v>
      </c>
      <c r="Y138" t="s">
        <v>4006</v>
      </c>
      <c r="AA138">
        <v>147</v>
      </c>
      <c r="AB138">
        <v>17</v>
      </c>
      <c r="AC138" s="19">
        <v>63.719070000000002</v>
      </c>
      <c r="AD138" s="19">
        <v>148.98415</v>
      </c>
      <c r="AE138" t="s">
        <v>115</v>
      </c>
      <c r="AF138" t="s">
        <v>115</v>
      </c>
      <c r="AG138" t="s">
        <v>115</v>
      </c>
      <c r="AH138">
        <v>0</v>
      </c>
      <c r="AI138">
        <v>0</v>
      </c>
      <c r="AJ138">
        <v>0</v>
      </c>
      <c r="AK138">
        <v>0</v>
      </c>
      <c r="AL138">
        <v>0</v>
      </c>
      <c r="AM138">
        <v>9</v>
      </c>
      <c r="AN138">
        <f t="shared" si="4"/>
        <v>9</v>
      </c>
    </row>
    <row r="139" spans="1:42" hidden="1" x14ac:dyDescent="0.2">
      <c r="A139" t="s">
        <v>4396</v>
      </c>
      <c r="B139" t="s">
        <v>4397</v>
      </c>
      <c r="C139">
        <v>1</v>
      </c>
      <c r="D139">
        <v>1</v>
      </c>
      <c r="E139" t="s">
        <v>1716</v>
      </c>
      <c r="F139" s="1">
        <v>43694</v>
      </c>
      <c r="G139" t="s">
        <v>4031</v>
      </c>
      <c r="H139" t="s">
        <v>4724</v>
      </c>
      <c r="I139" s="2">
        <v>1.8055555555555557E-2</v>
      </c>
      <c r="J139" s="176">
        <v>3.0092592592592595E-4</v>
      </c>
      <c r="K139" s="6">
        <v>26</v>
      </c>
      <c r="L139" t="s">
        <v>398</v>
      </c>
      <c r="M139" t="s">
        <v>4399</v>
      </c>
      <c r="N139" t="s">
        <v>102</v>
      </c>
      <c r="O139" t="s">
        <v>115</v>
      </c>
      <c r="P139">
        <v>1</v>
      </c>
      <c r="Q139">
        <v>0</v>
      </c>
      <c r="R139">
        <v>0</v>
      </c>
      <c r="S139" t="s">
        <v>461</v>
      </c>
      <c r="T139" t="s">
        <v>4398</v>
      </c>
      <c r="U139" t="s">
        <v>122</v>
      </c>
      <c r="V139" t="s">
        <v>115</v>
      </c>
      <c r="W139" t="s">
        <v>115</v>
      </c>
      <c r="X139" t="s">
        <v>115</v>
      </c>
      <c r="Y139" t="s">
        <v>115</v>
      </c>
      <c r="Z139" t="s">
        <v>115</v>
      </c>
      <c r="AA139" t="s">
        <v>115</v>
      </c>
      <c r="AB139" t="s">
        <v>115</v>
      </c>
      <c r="AC139" t="s">
        <v>115</v>
      </c>
      <c r="AD139" t="s">
        <v>115</v>
      </c>
      <c r="AE139" t="s">
        <v>115</v>
      </c>
      <c r="AF139" t="s">
        <v>115</v>
      </c>
      <c r="AG139" t="s">
        <v>115</v>
      </c>
      <c r="AH139">
        <v>0</v>
      </c>
      <c r="AI139">
        <v>0</v>
      </c>
      <c r="AJ139">
        <v>0</v>
      </c>
      <c r="AK139">
        <v>0</v>
      </c>
      <c r="AL139">
        <v>0</v>
      </c>
      <c r="AM139">
        <v>0</v>
      </c>
      <c r="AN139">
        <f t="shared" si="4"/>
        <v>0</v>
      </c>
    </row>
    <row r="140" spans="1:42" hidden="1" x14ac:dyDescent="0.2">
      <c r="A140" t="s">
        <v>4448</v>
      </c>
      <c r="B140" t="s">
        <v>4450</v>
      </c>
      <c r="C140">
        <v>5</v>
      </c>
      <c r="D140">
        <v>1</v>
      </c>
      <c r="E140" t="s">
        <v>213</v>
      </c>
      <c r="F140" s="1">
        <v>43697</v>
      </c>
      <c r="G140" t="s">
        <v>4031</v>
      </c>
      <c r="H140" t="s">
        <v>4724</v>
      </c>
      <c r="I140" s="2">
        <v>6.9444444444444434E-2</v>
      </c>
      <c r="J140" s="176">
        <v>1.1574074074074073E-3</v>
      </c>
      <c r="K140" s="6">
        <v>100</v>
      </c>
      <c r="L140" t="s">
        <v>640</v>
      </c>
      <c r="M140" t="s">
        <v>4280</v>
      </c>
      <c r="N140" t="s">
        <v>568</v>
      </c>
      <c r="O140" t="s">
        <v>23</v>
      </c>
      <c r="P140">
        <v>1</v>
      </c>
      <c r="Q140">
        <v>0</v>
      </c>
      <c r="R140">
        <v>1</v>
      </c>
      <c r="S140" t="s">
        <v>176</v>
      </c>
      <c r="T140" t="s">
        <v>176</v>
      </c>
      <c r="U140" t="s">
        <v>122</v>
      </c>
      <c r="V140" t="s">
        <v>4168</v>
      </c>
      <c r="W140" t="s">
        <v>23</v>
      </c>
      <c r="X140" t="s">
        <v>3997</v>
      </c>
      <c r="Y140" t="s">
        <v>4022</v>
      </c>
      <c r="AA140">
        <v>311</v>
      </c>
      <c r="AB140">
        <v>3</v>
      </c>
      <c r="AC140" s="19">
        <v>63.719830000000002</v>
      </c>
      <c r="AD140" s="19">
        <v>148.97626</v>
      </c>
      <c r="AE140" t="s">
        <v>115</v>
      </c>
      <c r="AF140" t="s">
        <v>115</v>
      </c>
      <c r="AG140" t="s">
        <v>115</v>
      </c>
      <c r="AH140">
        <v>0</v>
      </c>
      <c r="AI140">
        <v>0</v>
      </c>
      <c r="AJ140">
        <v>0</v>
      </c>
      <c r="AK140">
        <v>0</v>
      </c>
      <c r="AL140">
        <v>10</v>
      </c>
      <c r="AM140">
        <v>0</v>
      </c>
      <c r="AN140">
        <f t="shared" si="4"/>
        <v>10</v>
      </c>
    </row>
    <row r="141" spans="1:42" hidden="1" x14ac:dyDescent="0.2">
      <c r="A141" t="s">
        <v>4448</v>
      </c>
      <c r="B141" t="s">
        <v>4450</v>
      </c>
      <c r="C141">
        <v>5</v>
      </c>
      <c r="D141">
        <v>2</v>
      </c>
      <c r="E141" t="s">
        <v>213</v>
      </c>
      <c r="F141" s="1">
        <v>43697</v>
      </c>
      <c r="G141" t="s">
        <v>4031</v>
      </c>
      <c r="H141" t="s">
        <v>4724</v>
      </c>
      <c r="I141" s="2">
        <v>6.9444444444444434E-2</v>
      </c>
      <c r="J141" s="176">
        <v>1.1574074074074073E-3</v>
      </c>
      <c r="K141" s="6">
        <v>100</v>
      </c>
      <c r="L141" t="s">
        <v>640</v>
      </c>
      <c r="M141" t="s">
        <v>4280</v>
      </c>
      <c r="N141" t="s">
        <v>568</v>
      </c>
      <c r="O141" t="s">
        <v>23</v>
      </c>
      <c r="P141">
        <v>0</v>
      </c>
      <c r="Q141">
        <v>0</v>
      </c>
      <c r="R141">
        <v>1</v>
      </c>
      <c r="S141" t="s">
        <v>176</v>
      </c>
      <c r="T141" t="s">
        <v>176</v>
      </c>
      <c r="U141" t="s">
        <v>122</v>
      </c>
      <c r="V141" t="s">
        <v>4168</v>
      </c>
      <c r="W141" t="s">
        <v>23</v>
      </c>
      <c r="X141" t="s">
        <v>3997</v>
      </c>
      <c r="Y141" t="s">
        <v>4022</v>
      </c>
      <c r="AA141">
        <v>311</v>
      </c>
      <c r="AB141">
        <v>3</v>
      </c>
      <c r="AC141" s="19">
        <v>63.719830000000002</v>
      </c>
      <c r="AD141" s="19">
        <v>148.97626</v>
      </c>
      <c r="AE141" t="s">
        <v>115</v>
      </c>
      <c r="AF141" t="s">
        <v>115</v>
      </c>
      <c r="AG141" t="s">
        <v>115</v>
      </c>
      <c r="AH141">
        <v>0</v>
      </c>
      <c r="AI141">
        <v>0</v>
      </c>
      <c r="AJ141">
        <v>0</v>
      </c>
      <c r="AK141">
        <v>0</v>
      </c>
      <c r="AL141">
        <v>64</v>
      </c>
      <c r="AM141">
        <v>0</v>
      </c>
      <c r="AN141">
        <f t="shared" si="4"/>
        <v>64</v>
      </c>
    </row>
    <row r="142" spans="1:42" hidden="1" x14ac:dyDescent="0.2">
      <c r="A142" t="s">
        <v>4468</v>
      </c>
      <c r="B142" t="s">
        <v>4470</v>
      </c>
      <c r="C142">
        <v>13</v>
      </c>
      <c r="D142">
        <v>1</v>
      </c>
      <c r="E142" t="s">
        <v>213</v>
      </c>
      <c r="F142" s="1">
        <v>43697</v>
      </c>
      <c r="G142" t="s">
        <v>4031</v>
      </c>
      <c r="H142" t="s">
        <v>4724</v>
      </c>
      <c r="I142" s="2">
        <v>6.5972222222222224E-2</v>
      </c>
      <c r="J142" s="176">
        <v>1.0995370370370371E-3</v>
      </c>
      <c r="K142" s="6">
        <v>95</v>
      </c>
      <c r="L142" t="s">
        <v>640</v>
      </c>
      <c r="M142" t="s">
        <v>4280</v>
      </c>
      <c r="N142" t="s">
        <v>111</v>
      </c>
      <c r="O142" t="s">
        <v>23</v>
      </c>
      <c r="P142">
        <v>1</v>
      </c>
      <c r="Q142">
        <v>0</v>
      </c>
      <c r="R142">
        <v>1</v>
      </c>
      <c r="S142" t="s">
        <v>176</v>
      </c>
      <c r="T142" t="s">
        <v>176</v>
      </c>
      <c r="U142" t="s">
        <v>122</v>
      </c>
      <c r="V142" t="s">
        <v>4386</v>
      </c>
      <c r="W142" t="s">
        <v>23</v>
      </c>
      <c r="X142" t="s">
        <v>3999</v>
      </c>
      <c r="Y142" t="s">
        <v>176</v>
      </c>
      <c r="AA142">
        <v>323</v>
      </c>
      <c r="AB142">
        <v>8</v>
      </c>
      <c r="AC142" s="19">
        <v>63.719900000000003</v>
      </c>
      <c r="AD142" s="19">
        <v>148.97828999999999</v>
      </c>
      <c r="AE142" t="s">
        <v>115</v>
      </c>
      <c r="AF142" t="s">
        <v>115</v>
      </c>
      <c r="AG142" t="s">
        <v>115</v>
      </c>
      <c r="AH142">
        <v>0</v>
      </c>
      <c r="AI142">
        <v>0</v>
      </c>
      <c r="AJ142">
        <v>0</v>
      </c>
      <c r="AK142">
        <v>0</v>
      </c>
      <c r="AL142">
        <v>0</v>
      </c>
      <c r="AM142">
        <v>0</v>
      </c>
      <c r="AN142">
        <f t="shared" si="4"/>
        <v>0</v>
      </c>
      <c r="AP142" t="s">
        <v>4467</v>
      </c>
    </row>
    <row r="143" spans="1:42" hidden="1" x14ac:dyDescent="0.2">
      <c r="A143" t="s">
        <v>4490</v>
      </c>
      <c r="B143" t="s">
        <v>4491</v>
      </c>
      <c r="C143">
        <v>22</v>
      </c>
      <c r="D143">
        <v>1</v>
      </c>
      <c r="E143" t="s">
        <v>213</v>
      </c>
      <c r="F143" s="1">
        <v>43697</v>
      </c>
      <c r="G143" t="s">
        <v>4031</v>
      </c>
      <c r="H143" t="s">
        <v>4724</v>
      </c>
      <c r="I143" s="2">
        <v>2.5694444444444447E-2</v>
      </c>
      <c r="J143" s="176">
        <v>4.2824074074074075E-4</v>
      </c>
      <c r="K143" s="6">
        <v>37</v>
      </c>
      <c r="L143" t="s">
        <v>640</v>
      </c>
      <c r="M143" t="s">
        <v>4487</v>
      </c>
      <c r="N143" t="s">
        <v>102</v>
      </c>
      <c r="O143" t="s">
        <v>23</v>
      </c>
      <c r="P143">
        <v>1</v>
      </c>
      <c r="Q143">
        <v>0</v>
      </c>
      <c r="R143">
        <v>1</v>
      </c>
      <c r="S143" t="s">
        <v>176</v>
      </c>
      <c r="T143" t="s">
        <v>176</v>
      </c>
      <c r="U143" t="s">
        <v>122</v>
      </c>
      <c r="V143" t="s">
        <v>4168</v>
      </c>
      <c r="W143" t="s">
        <v>23</v>
      </c>
      <c r="X143" t="s">
        <v>3997</v>
      </c>
      <c r="Y143" t="s">
        <v>176</v>
      </c>
      <c r="AA143">
        <v>167</v>
      </c>
      <c r="AB143">
        <v>4</v>
      </c>
      <c r="AC143" s="19">
        <v>63.719920000000002</v>
      </c>
      <c r="AD143" s="19">
        <v>148.97591</v>
      </c>
      <c r="AE143" t="s">
        <v>115</v>
      </c>
      <c r="AF143" t="s">
        <v>115</v>
      </c>
      <c r="AG143" t="s">
        <v>115</v>
      </c>
      <c r="AH143">
        <v>0</v>
      </c>
      <c r="AI143">
        <v>0</v>
      </c>
      <c r="AJ143">
        <v>0</v>
      </c>
      <c r="AK143">
        <v>0</v>
      </c>
      <c r="AL143">
        <v>19</v>
      </c>
      <c r="AM143">
        <v>0</v>
      </c>
      <c r="AN143">
        <f t="shared" si="4"/>
        <v>19</v>
      </c>
    </row>
    <row r="144" spans="1:42" hidden="1" x14ac:dyDescent="0.2">
      <c r="A144" t="s">
        <v>4455</v>
      </c>
      <c r="B144" t="s">
        <v>4461</v>
      </c>
      <c r="C144">
        <v>9</v>
      </c>
      <c r="D144">
        <v>2</v>
      </c>
      <c r="E144" t="s">
        <v>213</v>
      </c>
      <c r="F144" s="1">
        <v>43697</v>
      </c>
      <c r="G144" t="s">
        <v>4031</v>
      </c>
      <c r="H144" t="s">
        <v>4724</v>
      </c>
      <c r="I144" s="2">
        <v>7.4305555555555555E-2</v>
      </c>
      <c r="J144" s="176">
        <v>1.2384259259259258E-3</v>
      </c>
      <c r="K144" s="6">
        <v>107</v>
      </c>
      <c r="L144" t="s">
        <v>640</v>
      </c>
      <c r="M144" t="s">
        <v>4280</v>
      </c>
      <c r="N144" t="s">
        <v>568</v>
      </c>
      <c r="O144" t="s">
        <v>23</v>
      </c>
      <c r="P144">
        <v>1</v>
      </c>
      <c r="Q144">
        <v>0</v>
      </c>
      <c r="R144">
        <v>1</v>
      </c>
      <c r="S144" t="s">
        <v>176</v>
      </c>
      <c r="T144" t="s">
        <v>176</v>
      </c>
      <c r="U144" t="s">
        <v>122</v>
      </c>
      <c r="V144" t="s">
        <v>4168</v>
      </c>
      <c r="W144" t="s">
        <v>23</v>
      </c>
      <c r="X144" t="s">
        <v>3997</v>
      </c>
      <c r="Y144" t="s">
        <v>4420</v>
      </c>
      <c r="AA144">
        <v>15</v>
      </c>
      <c r="AB144">
        <v>4</v>
      </c>
      <c r="AC144" s="19">
        <v>63.71998</v>
      </c>
      <c r="AD144" s="19">
        <v>148.97801000000001</v>
      </c>
      <c r="AE144" t="s">
        <v>115</v>
      </c>
      <c r="AF144" t="s">
        <v>115</v>
      </c>
      <c r="AG144" t="s">
        <v>115</v>
      </c>
      <c r="AH144">
        <v>0</v>
      </c>
      <c r="AI144">
        <v>0</v>
      </c>
      <c r="AJ144">
        <v>0</v>
      </c>
      <c r="AK144">
        <v>0</v>
      </c>
      <c r="AL144">
        <v>28</v>
      </c>
      <c r="AM144">
        <v>0</v>
      </c>
      <c r="AN144">
        <f t="shared" si="4"/>
        <v>28</v>
      </c>
    </row>
    <row r="145" spans="1:42" hidden="1" x14ac:dyDescent="0.2">
      <c r="A145" t="s">
        <v>4451</v>
      </c>
      <c r="B145" t="s">
        <v>4454</v>
      </c>
      <c r="C145">
        <v>7</v>
      </c>
      <c r="D145">
        <v>1</v>
      </c>
      <c r="E145" t="s">
        <v>213</v>
      </c>
      <c r="F145" s="1">
        <v>43697</v>
      </c>
      <c r="G145" t="s">
        <v>4031</v>
      </c>
      <c r="H145" t="s">
        <v>4724</v>
      </c>
      <c r="I145" s="2">
        <v>6.9444444444444441E-3</v>
      </c>
      <c r="J145" s="176">
        <v>1.1574074074074073E-4</v>
      </c>
      <c r="K145" s="6">
        <v>10</v>
      </c>
      <c r="L145" t="s">
        <v>640</v>
      </c>
      <c r="M145" t="s">
        <v>4280</v>
      </c>
      <c r="N145" t="s">
        <v>568</v>
      </c>
      <c r="O145" t="s">
        <v>23</v>
      </c>
      <c r="P145">
        <v>1</v>
      </c>
      <c r="Q145">
        <v>0</v>
      </c>
      <c r="R145">
        <v>1</v>
      </c>
      <c r="S145" t="s">
        <v>176</v>
      </c>
      <c r="T145" t="s">
        <v>176</v>
      </c>
      <c r="U145" t="s">
        <v>122</v>
      </c>
      <c r="V145" t="s">
        <v>176</v>
      </c>
      <c r="W145" t="s">
        <v>23</v>
      </c>
      <c r="X145" t="s">
        <v>176</v>
      </c>
      <c r="Y145" t="s">
        <v>176</v>
      </c>
      <c r="Z145" t="s">
        <v>115</v>
      </c>
      <c r="AA145">
        <v>308</v>
      </c>
      <c r="AB145">
        <v>5</v>
      </c>
      <c r="AC145" s="19">
        <v>63.720039999999997</v>
      </c>
      <c r="AD145" s="19">
        <v>148.97745</v>
      </c>
      <c r="AE145" t="s">
        <v>115</v>
      </c>
      <c r="AF145" t="s">
        <v>115</v>
      </c>
      <c r="AG145" t="s">
        <v>115</v>
      </c>
      <c r="AH145">
        <v>0</v>
      </c>
      <c r="AI145">
        <v>0</v>
      </c>
      <c r="AJ145">
        <v>0</v>
      </c>
      <c r="AK145">
        <v>0</v>
      </c>
      <c r="AL145">
        <v>2</v>
      </c>
      <c r="AN145">
        <f t="shared" ref="AN145:AN176" si="5">SUM(AH145+AI145+AL145+AM145)</f>
        <v>2</v>
      </c>
    </row>
    <row r="146" spans="1:42" hidden="1" x14ac:dyDescent="0.2">
      <c r="A146" t="s">
        <v>4455</v>
      </c>
      <c r="B146" t="s">
        <v>4461</v>
      </c>
      <c r="C146">
        <v>9</v>
      </c>
      <c r="D146">
        <v>1</v>
      </c>
      <c r="E146" t="s">
        <v>213</v>
      </c>
      <c r="F146" s="1">
        <v>43697</v>
      </c>
      <c r="G146" t="s">
        <v>4031</v>
      </c>
      <c r="H146" t="s">
        <v>4724</v>
      </c>
      <c r="I146" s="2">
        <v>7.4305555555555555E-2</v>
      </c>
      <c r="J146" s="176">
        <v>1.2384259259259258E-3</v>
      </c>
      <c r="K146" s="6">
        <v>107</v>
      </c>
      <c r="L146" t="s">
        <v>640</v>
      </c>
      <c r="M146" t="s">
        <v>4280</v>
      </c>
      <c r="N146" t="s">
        <v>4235</v>
      </c>
      <c r="O146" t="s">
        <v>23</v>
      </c>
      <c r="P146">
        <v>1</v>
      </c>
      <c r="Q146">
        <v>0</v>
      </c>
      <c r="R146">
        <v>1</v>
      </c>
      <c r="S146" t="s">
        <v>24</v>
      </c>
      <c r="T146" t="s">
        <v>176</v>
      </c>
      <c r="U146" t="s">
        <v>122</v>
      </c>
      <c r="V146" t="s">
        <v>333</v>
      </c>
      <c r="W146" t="s">
        <v>23</v>
      </c>
      <c r="X146" t="s">
        <v>3999</v>
      </c>
      <c r="Y146" t="s">
        <v>4006</v>
      </c>
      <c r="AA146">
        <v>119</v>
      </c>
      <c r="AB146">
        <v>3</v>
      </c>
      <c r="AC146" s="19">
        <v>63.720059999999997</v>
      </c>
      <c r="AD146" s="19">
        <v>148.97708</v>
      </c>
      <c r="AE146" t="s">
        <v>115</v>
      </c>
      <c r="AF146" t="s">
        <v>115</v>
      </c>
      <c r="AG146" t="s">
        <v>115</v>
      </c>
      <c r="AH146">
        <v>0</v>
      </c>
      <c r="AI146">
        <v>0</v>
      </c>
      <c r="AJ146">
        <v>0</v>
      </c>
      <c r="AK146">
        <v>0</v>
      </c>
      <c r="AL146">
        <v>0</v>
      </c>
      <c r="AM146">
        <v>0</v>
      </c>
      <c r="AN146">
        <f t="shared" si="5"/>
        <v>0</v>
      </c>
      <c r="AP146" t="s">
        <v>4457</v>
      </c>
    </row>
    <row r="147" spans="1:42" hidden="1" x14ac:dyDescent="0.2">
      <c r="A147" t="s">
        <v>4443</v>
      </c>
      <c r="B147" t="s">
        <v>4444</v>
      </c>
      <c r="C147">
        <v>2</v>
      </c>
      <c r="D147">
        <v>1</v>
      </c>
      <c r="E147" t="s">
        <v>213</v>
      </c>
      <c r="F147" s="1">
        <v>43697</v>
      </c>
      <c r="G147" t="s">
        <v>4031</v>
      </c>
      <c r="H147" t="s">
        <v>4724</v>
      </c>
      <c r="I147" s="2">
        <v>6.2499999999999995E-3</v>
      </c>
      <c r="J147" s="176">
        <v>1.0416666666666667E-4</v>
      </c>
      <c r="K147" s="6">
        <v>9</v>
      </c>
      <c r="L147" t="s">
        <v>640</v>
      </c>
      <c r="M147" t="s">
        <v>1742</v>
      </c>
      <c r="N147" t="s">
        <v>107</v>
      </c>
      <c r="O147" t="s">
        <v>115</v>
      </c>
      <c r="P147">
        <v>1</v>
      </c>
      <c r="Q147">
        <v>0</v>
      </c>
      <c r="R147">
        <v>0</v>
      </c>
      <c r="S147" t="s">
        <v>176</v>
      </c>
      <c r="T147" t="s">
        <v>176</v>
      </c>
      <c r="U147" t="s">
        <v>122</v>
      </c>
      <c r="V147" t="s">
        <v>115</v>
      </c>
      <c r="W147" t="s">
        <v>115</v>
      </c>
      <c r="X147" t="s">
        <v>115</v>
      </c>
      <c r="Y147" t="s">
        <v>115</v>
      </c>
      <c r="Z147" t="s">
        <v>115</v>
      </c>
      <c r="AA147" t="s">
        <v>115</v>
      </c>
      <c r="AB147" t="s">
        <v>115</v>
      </c>
      <c r="AC147" t="s">
        <v>115</v>
      </c>
      <c r="AD147" t="s">
        <v>115</v>
      </c>
      <c r="AE147" t="s">
        <v>115</v>
      </c>
      <c r="AF147" t="s">
        <v>115</v>
      </c>
      <c r="AG147" t="s">
        <v>115</v>
      </c>
      <c r="AH147">
        <v>0</v>
      </c>
      <c r="AI147">
        <v>0</v>
      </c>
      <c r="AJ147">
        <v>0</v>
      </c>
      <c r="AK147">
        <v>0</v>
      </c>
      <c r="AL147">
        <v>0</v>
      </c>
      <c r="AM147">
        <v>0</v>
      </c>
      <c r="AN147">
        <f t="shared" si="5"/>
        <v>0</v>
      </c>
      <c r="AP147" t="s">
        <v>4445</v>
      </c>
    </row>
    <row r="148" spans="1:42" hidden="1" x14ac:dyDescent="0.2">
      <c r="A148" t="s">
        <v>4483</v>
      </c>
      <c r="B148" t="s">
        <v>4447</v>
      </c>
      <c r="C148">
        <v>3</v>
      </c>
      <c r="D148">
        <v>1</v>
      </c>
      <c r="E148" t="s">
        <v>213</v>
      </c>
      <c r="F148" s="1">
        <v>43697</v>
      </c>
      <c r="G148" t="s">
        <v>4031</v>
      </c>
      <c r="H148" t="s">
        <v>4724</v>
      </c>
      <c r="I148" s="2">
        <v>3.8194444444444441E-2</v>
      </c>
      <c r="J148" s="176">
        <v>6.3657407407407402E-4</v>
      </c>
      <c r="K148" s="6">
        <v>55</v>
      </c>
      <c r="L148" t="s">
        <v>640</v>
      </c>
      <c r="M148" t="s">
        <v>1742</v>
      </c>
      <c r="N148" t="s">
        <v>102</v>
      </c>
      <c r="O148" t="s">
        <v>23</v>
      </c>
      <c r="P148">
        <v>1</v>
      </c>
      <c r="Q148">
        <v>0</v>
      </c>
      <c r="R148">
        <v>0</v>
      </c>
      <c r="S148" t="s">
        <v>176</v>
      </c>
      <c r="T148" t="s">
        <v>176</v>
      </c>
      <c r="U148" t="s">
        <v>709</v>
      </c>
      <c r="V148" t="s">
        <v>115</v>
      </c>
      <c r="W148" t="s">
        <v>115</v>
      </c>
      <c r="X148" t="s">
        <v>115</v>
      </c>
      <c r="Y148" t="s">
        <v>115</v>
      </c>
      <c r="Z148" t="s">
        <v>115</v>
      </c>
      <c r="AA148" t="s">
        <v>115</v>
      </c>
      <c r="AB148" t="s">
        <v>115</v>
      </c>
      <c r="AC148" t="s">
        <v>115</v>
      </c>
      <c r="AD148" t="s">
        <v>115</v>
      </c>
      <c r="AE148" t="s">
        <v>115</v>
      </c>
      <c r="AF148" t="s">
        <v>115</v>
      </c>
      <c r="AG148" t="s">
        <v>115</v>
      </c>
      <c r="AH148">
        <v>13</v>
      </c>
      <c r="AI148">
        <v>0</v>
      </c>
      <c r="AJ148">
        <v>13</v>
      </c>
      <c r="AK148">
        <v>0</v>
      </c>
      <c r="AL148">
        <v>0</v>
      </c>
      <c r="AM148">
        <v>0</v>
      </c>
      <c r="AN148">
        <f t="shared" si="5"/>
        <v>13</v>
      </c>
    </row>
    <row r="149" spans="1:42" hidden="1" x14ac:dyDescent="0.2">
      <c r="A149" t="s">
        <v>4483</v>
      </c>
      <c r="B149" t="s">
        <v>4447</v>
      </c>
      <c r="C149">
        <v>3</v>
      </c>
      <c r="D149">
        <v>2</v>
      </c>
      <c r="E149" t="s">
        <v>213</v>
      </c>
      <c r="F149" s="1">
        <v>43697</v>
      </c>
      <c r="G149" t="s">
        <v>4031</v>
      </c>
      <c r="H149" t="s">
        <v>4724</v>
      </c>
      <c r="I149" s="2">
        <v>3.8194444444444441E-2</v>
      </c>
      <c r="J149" s="176">
        <v>6.3657407407407402E-4</v>
      </c>
      <c r="K149" s="6">
        <v>55</v>
      </c>
      <c r="L149" t="s">
        <v>640</v>
      </c>
      <c r="M149" t="s">
        <v>1742</v>
      </c>
      <c r="N149" t="s">
        <v>102</v>
      </c>
      <c r="O149" t="s">
        <v>23</v>
      </c>
      <c r="P149">
        <v>1</v>
      </c>
      <c r="Q149">
        <v>0</v>
      </c>
      <c r="R149">
        <v>0</v>
      </c>
      <c r="S149" t="s">
        <v>176</v>
      </c>
      <c r="T149" t="s">
        <v>176</v>
      </c>
      <c r="U149" t="s">
        <v>122</v>
      </c>
      <c r="V149" t="s">
        <v>115</v>
      </c>
      <c r="W149" t="s">
        <v>115</v>
      </c>
      <c r="X149" t="s">
        <v>115</v>
      </c>
      <c r="Y149" t="s">
        <v>115</v>
      </c>
      <c r="Z149" t="s">
        <v>115</v>
      </c>
      <c r="AA149" t="s">
        <v>115</v>
      </c>
      <c r="AB149" t="s">
        <v>115</v>
      </c>
      <c r="AC149" t="s">
        <v>115</v>
      </c>
      <c r="AD149" t="s">
        <v>115</v>
      </c>
      <c r="AE149" t="s">
        <v>115</v>
      </c>
      <c r="AF149" t="s">
        <v>115</v>
      </c>
      <c r="AG149" t="s">
        <v>115</v>
      </c>
      <c r="AH149">
        <v>0</v>
      </c>
      <c r="AI149">
        <v>0</v>
      </c>
      <c r="AJ149">
        <v>0</v>
      </c>
      <c r="AK149">
        <v>0</v>
      </c>
      <c r="AL149">
        <v>7</v>
      </c>
      <c r="AM149">
        <v>0</v>
      </c>
      <c r="AN149">
        <f t="shared" si="5"/>
        <v>7</v>
      </c>
    </row>
    <row r="150" spans="1:42" hidden="1" x14ac:dyDescent="0.2">
      <c r="A150" t="s">
        <v>4488</v>
      </c>
      <c r="B150" t="s">
        <v>4489</v>
      </c>
      <c r="C150">
        <v>21</v>
      </c>
      <c r="D150">
        <v>1</v>
      </c>
      <c r="E150" t="s">
        <v>213</v>
      </c>
      <c r="F150" s="1">
        <v>43697</v>
      </c>
      <c r="G150" t="s">
        <v>4031</v>
      </c>
      <c r="H150" t="s">
        <v>4724</v>
      </c>
      <c r="I150" s="2">
        <v>5.9027777777777783E-2</v>
      </c>
      <c r="J150" s="176">
        <v>9.8379629629629642E-4</v>
      </c>
      <c r="K150" s="6">
        <v>85</v>
      </c>
      <c r="L150" t="s">
        <v>640</v>
      </c>
      <c r="M150" t="s">
        <v>4487</v>
      </c>
      <c r="N150" t="s">
        <v>102</v>
      </c>
      <c r="O150" t="s">
        <v>115</v>
      </c>
      <c r="P150">
        <v>1</v>
      </c>
      <c r="Q150">
        <v>0</v>
      </c>
      <c r="R150">
        <v>0</v>
      </c>
      <c r="S150" t="s">
        <v>176</v>
      </c>
      <c r="T150" t="s">
        <v>176</v>
      </c>
      <c r="U150" t="s">
        <v>122</v>
      </c>
      <c r="V150" t="s">
        <v>115</v>
      </c>
      <c r="W150" t="s">
        <v>115</v>
      </c>
      <c r="X150" t="s">
        <v>115</v>
      </c>
      <c r="Y150" t="s">
        <v>115</v>
      </c>
      <c r="Z150" t="s">
        <v>115</v>
      </c>
      <c r="AA150" t="s">
        <v>115</v>
      </c>
      <c r="AB150" t="s">
        <v>115</v>
      </c>
      <c r="AC150" t="s">
        <v>115</v>
      </c>
      <c r="AD150" t="s">
        <v>115</v>
      </c>
      <c r="AE150" t="s">
        <v>115</v>
      </c>
      <c r="AF150" t="s">
        <v>115</v>
      </c>
      <c r="AG150" t="s">
        <v>115</v>
      </c>
      <c r="AH150">
        <v>0</v>
      </c>
      <c r="AI150">
        <v>0</v>
      </c>
      <c r="AJ150">
        <v>0</v>
      </c>
      <c r="AK150">
        <v>0</v>
      </c>
      <c r="AL150">
        <v>60</v>
      </c>
      <c r="AM150">
        <v>0</v>
      </c>
      <c r="AN150">
        <f t="shared" si="5"/>
        <v>60</v>
      </c>
      <c r="AP150" t="s">
        <v>4496</v>
      </c>
    </row>
    <row r="151" spans="1:42" hidden="1" x14ac:dyDescent="0.2">
      <c r="A151" t="s">
        <v>4455</v>
      </c>
      <c r="B151" t="s">
        <v>4461</v>
      </c>
      <c r="C151">
        <v>9</v>
      </c>
      <c r="D151">
        <v>2</v>
      </c>
      <c r="E151" t="s">
        <v>213</v>
      </c>
      <c r="F151" s="1">
        <v>43697</v>
      </c>
      <c r="G151" t="s">
        <v>4031</v>
      </c>
      <c r="H151" t="s">
        <v>4724</v>
      </c>
      <c r="I151" s="2">
        <v>7.4305555555555555E-2</v>
      </c>
      <c r="J151" s="176">
        <v>1.2384259259259258E-3</v>
      </c>
      <c r="K151" s="6">
        <v>107</v>
      </c>
      <c r="L151" t="s">
        <v>640</v>
      </c>
      <c r="M151" t="s">
        <v>4280</v>
      </c>
      <c r="N151" t="s">
        <v>568</v>
      </c>
      <c r="O151" t="s">
        <v>23</v>
      </c>
      <c r="P151">
        <v>1</v>
      </c>
      <c r="Q151">
        <v>0</v>
      </c>
      <c r="R151">
        <v>1</v>
      </c>
      <c r="S151" t="s">
        <v>176</v>
      </c>
      <c r="T151" t="s">
        <v>176</v>
      </c>
      <c r="U151" t="s">
        <v>122</v>
      </c>
      <c r="V151" t="s">
        <v>709</v>
      </c>
      <c r="W151" t="s">
        <v>23</v>
      </c>
      <c r="X151" t="s">
        <v>4004</v>
      </c>
      <c r="Y151" t="s">
        <v>4022</v>
      </c>
      <c r="AA151" t="s">
        <v>176</v>
      </c>
      <c r="AB151" t="s">
        <v>176</v>
      </c>
      <c r="AC151" t="s">
        <v>176</v>
      </c>
      <c r="AD151" t="s">
        <v>176</v>
      </c>
      <c r="AE151" t="s">
        <v>115</v>
      </c>
      <c r="AF151" t="s">
        <v>115</v>
      </c>
      <c r="AG151" t="s">
        <v>115</v>
      </c>
      <c r="AH151">
        <v>0</v>
      </c>
      <c r="AI151">
        <v>0</v>
      </c>
      <c r="AJ151">
        <v>0</v>
      </c>
      <c r="AK151">
        <v>0</v>
      </c>
      <c r="AL151">
        <v>23</v>
      </c>
      <c r="AM151">
        <v>0</v>
      </c>
      <c r="AN151">
        <f t="shared" si="5"/>
        <v>23</v>
      </c>
      <c r="AP151" t="s">
        <v>4459</v>
      </c>
    </row>
    <row r="152" spans="1:42" hidden="1" x14ac:dyDescent="0.2">
      <c r="A152" t="s">
        <v>4473</v>
      </c>
      <c r="B152" t="s">
        <v>4477</v>
      </c>
      <c r="C152">
        <v>16</v>
      </c>
      <c r="D152">
        <v>1</v>
      </c>
      <c r="E152" t="s">
        <v>213</v>
      </c>
      <c r="F152" s="1">
        <v>43697</v>
      </c>
      <c r="G152" t="s">
        <v>4031</v>
      </c>
      <c r="H152" t="s">
        <v>4724</v>
      </c>
      <c r="I152" s="2">
        <v>2.2916666666666669E-2</v>
      </c>
      <c r="J152" s="176">
        <v>3.8194444444444446E-4</v>
      </c>
      <c r="K152" s="6">
        <v>33</v>
      </c>
      <c r="M152" t="s">
        <v>4163</v>
      </c>
      <c r="N152" t="s">
        <v>568</v>
      </c>
      <c r="O152" t="s">
        <v>23</v>
      </c>
      <c r="P152">
        <v>1</v>
      </c>
      <c r="Q152">
        <v>0</v>
      </c>
      <c r="R152">
        <v>1</v>
      </c>
      <c r="S152" t="s">
        <v>176</v>
      </c>
      <c r="T152" t="s">
        <v>176</v>
      </c>
      <c r="U152" t="s">
        <v>122</v>
      </c>
      <c r="V152" t="s">
        <v>176</v>
      </c>
      <c r="W152" t="s">
        <v>176</v>
      </c>
      <c r="X152" t="s">
        <v>176</v>
      </c>
      <c r="Y152" t="s">
        <v>176</v>
      </c>
      <c r="Z152" t="s">
        <v>176</v>
      </c>
      <c r="AA152" t="s">
        <v>176</v>
      </c>
      <c r="AB152" t="s">
        <v>176</v>
      </c>
      <c r="AC152" t="s">
        <v>176</v>
      </c>
      <c r="AD152" t="s">
        <v>176</v>
      </c>
      <c r="AE152" t="s">
        <v>115</v>
      </c>
      <c r="AF152" t="s">
        <v>115</v>
      </c>
      <c r="AG152" t="s">
        <v>115</v>
      </c>
      <c r="AH152">
        <v>0</v>
      </c>
      <c r="AI152">
        <v>0</v>
      </c>
      <c r="AJ152">
        <v>0</v>
      </c>
      <c r="AK152">
        <v>0</v>
      </c>
      <c r="AL152">
        <v>14</v>
      </c>
      <c r="AM152">
        <v>0</v>
      </c>
      <c r="AN152">
        <f t="shared" si="5"/>
        <v>14</v>
      </c>
      <c r="AP152" t="s">
        <v>4475</v>
      </c>
    </row>
    <row r="153" spans="1:42" hidden="1" x14ac:dyDescent="0.2">
      <c r="A153" t="s">
        <v>4441</v>
      </c>
      <c r="B153" t="s">
        <v>4442</v>
      </c>
      <c r="C153">
        <v>1</v>
      </c>
      <c r="D153">
        <v>1</v>
      </c>
      <c r="E153" t="s">
        <v>213</v>
      </c>
      <c r="F153" s="1">
        <v>43697</v>
      </c>
      <c r="G153" t="s">
        <v>4031</v>
      </c>
      <c r="H153" t="s">
        <v>4724</v>
      </c>
      <c r="I153" s="2">
        <v>1.3194444444444444E-2</v>
      </c>
      <c r="J153" s="176">
        <v>2.199074074074074E-4</v>
      </c>
      <c r="K153" s="6">
        <v>19</v>
      </c>
      <c r="L153" t="s">
        <v>640</v>
      </c>
      <c r="M153" t="s">
        <v>1742</v>
      </c>
      <c r="N153" t="s">
        <v>102</v>
      </c>
      <c r="O153" t="s">
        <v>115</v>
      </c>
      <c r="P153">
        <v>0</v>
      </c>
      <c r="Q153">
        <v>0</v>
      </c>
      <c r="R153">
        <v>0</v>
      </c>
      <c r="S153" t="s">
        <v>115</v>
      </c>
      <c r="T153" t="s">
        <v>115</v>
      </c>
      <c r="U153" t="s">
        <v>115</v>
      </c>
      <c r="V153" t="s">
        <v>115</v>
      </c>
      <c r="W153" t="s">
        <v>115</v>
      </c>
      <c r="X153" t="s">
        <v>115</v>
      </c>
      <c r="Y153" t="s">
        <v>115</v>
      </c>
      <c r="Z153" t="s">
        <v>115</v>
      </c>
      <c r="AA153" t="s">
        <v>115</v>
      </c>
      <c r="AB153" t="s">
        <v>115</v>
      </c>
      <c r="AC153" t="s">
        <v>115</v>
      </c>
      <c r="AD153" t="s">
        <v>115</v>
      </c>
      <c r="AE153" t="s">
        <v>115</v>
      </c>
      <c r="AF153" t="s">
        <v>115</v>
      </c>
      <c r="AG153" t="s">
        <v>115</v>
      </c>
      <c r="AH153">
        <v>0</v>
      </c>
      <c r="AI153">
        <v>0</v>
      </c>
      <c r="AJ153">
        <v>0</v>
      </c>
      <c r="AK153">
        <v>0</v>
      </c>
      <c r="AL153">
        <v>19</v>
      </c>
      <c r="AM153">
        <v>0</v>
      </c>
      <c r="AN153">
        <f t="shared" si="5"/>
        <v>19</v>
      </c>
    </row>
    <row r="154" spans="1:42" hidden="1" x14ac:dyDescent="0.2">
      <c r="A154" t="s">
        <v>4449</v>
      </c>
      <c r="B154" t="s">
        <v>4452</v>
      </c>
      <c r="C154">
        <v>6</v>
      </c>
      <c r="D154">
        <v>1</v>
      </c>
      <c r="E154" t="s">
        <v>213</v>
      </c>
      <c r="F154" s="1">
        <v>43697</v>
      </c>
      <c r="G154" t="s">
        <v>4031</v>
      </c>
      <c r="H154" t="s">
        <v>4724</v>
      </c>
      <c r="I154" s="2">
        <v>3.1944444444444449E-2</v>
      </c>
      <c r="J154" s="176">
        <v>5.3240740740740744E-4</v>
      </c>
      <c r="K154" s="6">
        <v>46</v>
      </c>
      <c r="L154" t="s">
        <v>640</v>
      </c>
      <c r="M154" t="s">
        <v>4280</v>
      </c>
      <c r="N154" t="s">
        <v>102</v>
      </c>
      <c r="O154" t="s">
        <v>115</v>
      </c>
      <c r="P154" t="s">
        <v>176</v>
      </c>
      <c r="Q154">
        <v>0</v>
      </c>
      <c r="R154">
        <v>0</v>
      </c>
      <c r="S154" t="s">
        <v>115</v>
      </c>
      <c r="T154" t="s">
        <v>115</v>
      </c>
      <c r="U154" t="s">
        <v>115</v>
      </c>
      <c r="V154" t="s">
        <v>115</v>
      </c>
      <c r="W154" t="s">
        <v>115</v>
      </c>
      <c r="X154" t="s">
        <v>115</v>
      </c>
      <c r="Y154" t="s">
        <v>115</v>
      </c>
      <c r="Z154" t="s">
        <v>115</v>
      </c>
      <c r="AA154" t="s">
        <v>115</v>
      </c>
      <c r="AB154" t="s">
        <v>115</v>
      </c>
      <c r="AC154" t="s">
        <v>115</v>
      </c>
      <c r="AD154" t="s">
        <v>115</v>
      </c>
      <c r="AE154" t="s">
        <v>115</v>
      </c>
      <c r="AF154" t="s">
        <v>115</v>
      </c>
      <c r="AG154" t="s">
        <v>115</v>
      </c>
      <c r="AH154">
        <v>0</v>
      </c>
      <c r="AI154">
        <v>0</v>
      </c>
      <c r="AJ154">
        <v>0</v>
      </c>
      <c r="AK154">
        <v>0</v>
      </c>
      <c r="AL154">
        <v>30</v>
      </c>
      <c r="AM154">
        <v>0</v>
      </c>
      <c r="AN154">
        <f t="shared" si="5"/>
        <v>30</v>
      </c>
    </row>
    <row r="155" spans="1:42" hidden="1" x14ac:dyDescent="0.2">
      <c r="A155" t="s">
        <v>4453</v>
      </c>
      <c r="B155" t="s">
        <v>4456</v>
      </c>
      <c r="C155">
        <v>8</v>
      </c>
      <c r="D155">
        <v>1</v>
      </c>
      <c r="E155" t="s">
        <v>213</v>
      </c>
      <c r="F155" s="1">
        <v>43697</v>
      </c>
      <c r="G155" t="s">
        <v>4031</v>
      </c>
      <c r="H155" t="s">
        <v>4724</v>
      </c>
      <c r="I155" s="2">
        <v>9.7222222222222224E-3</v>
      </c>
      <c r="J155" s="176">
        <v>1.6203703703703703E-4</v>
      </c>
      <c r="K155" s="6">
        <v>14</v>
      </c>
      <c r="L155" t="s">
        <v>640</v>
      </c>
      <c r="M155" t="s">
        <v>4280</v>
      </c>
      <c r="N155" t="s">
        <v>102</v>
      </c>
      <c r="O155" t="s">
        <v>115</v>
      </c>
      <c r="P155" t="s">
        <v>176</v>
      </c>
      <c r="Q155">
        <v>0</v>
      </c>
      <c r="R155">
        <v>0</v>
      </c>
      <c r="S155" t="s">
        <v>115</v>
      </c>
      <c r="T155" t="s">
        <v>115</v>
      </c>
      <c r="U155" t="s">
        <v>115</v>
      </c>
      <c r="V155" t="s">
        <v>115</v>
      </c>
      <c r="W155" t="s">
        <v>115</v>
      </c>
      <c r="X155" t="s">
        <v>115</v>
      </c>
      <c r="Y155" t="s">
        <v>115</v>
      </c>
      <c r="Z155" t="s">
        <v>115</v>
      </c>
      <c r="AA155" t="s">
        <v>115</v>
      </c>
      <c r="AB155" t="s">
        <v>115</v>
      </c>
      <c r="AC155" t="s">
        <v>115</v>
      </c>
      <c r="AD155" t="s">
        <v>115</v>
      </c>
      <c r="AE155" t="s">
        <v>115</v>
      </c>
      <c r="AF155" t="s">
        <v>115</v>
      </c>
      <c r="AG155" t="s">
        <v>115</v>
      </c>
      <c r="AH155">
        <v>0</v>
      </c>
      <c r="AI155">
        <v>0</v>
      </c>
      <c r="AJ155">
        <v>0</v>
      </c>
      <c r="AK155">
        <v>0</v>
      </c>
      <c r="AL155">
        <v>10</v>
      </c>
      <c r="AM155">
        <v>0</v>
      </c>
      <c r="AN155">
        <f t="shared" si="5"/>
        <v>10</v>
      </c>
    </row>
    <row r="156" spans="1:42" hidden="1" x14ac:dyDescent="0.2">
      <c r="A156" t="s">
        <v>4460</v>
      </c>
      <c r="B156" t="s">
        <v>4462</v>
      </c>
      <c r="C156">
        <v>10</v>
      </c>
      <c r="D156">
        <v>1</v>
      </c>
      <c r="E156" t="s">
        <v>213</v>
      </c>
      <c r="F156" s="1">
        <v>43697</v>
      </c>
      <c r="G156" t="s">
        <v>4031</v>
      </c>
      <c r="H156" t="s">
        <v>4724</v>
      </c>
      <c r="I156" s="2">
        <v>3.4027777777777775E-2</v>
      </c>
      <c r="J156" s="176">
        <v>5.6712962962962956E-4</v>
      </c>
      <c r="K156" s="6">
        <v>49</v>
      </c>
      <c r="L156" t="s">
        <v>640</v>
      </c>
      <c r="M156" t="s">
        <v>4280</v>
      </c>
      <c r="N156" t="s">
        <v>102</v>
      </c>
      <c r="O156" t="s">
        <v>115</v>
      </c>
      <c r="P156">
        <v>0</v>
      </c>
      <c r="Q156">
        <v>0</v>
      </c>
      <c r="R156">
        <v>0</v>
      </c>
      <c r="S156" t="s">
        <v>115</v>
      </c>
      <c r="T156" t="s">
        <v>115</v>
      </c>
      <c r="U156" t="s">
        <v>115</v>
      </c>
      <c r="V156" t="s">
        <v>115</v>
      </c>
      <c r="W156" t="s">
        <v>115</v>
      </c>
      <c r="X156" t="s">
        <v>115</v>
      </c>
      <c r="Y156" t="s">
        <v>115</v>
      </c>
      <c r="Z156" t="s">
        <v>115</v>
      </c>
      <c r="AA156" t="s">
        <v>115</v>
      </c>
      <c r="AB156" t="s">
        <v>115</v>
      </c>
      <c r="AC156" t="s">
        <v>115</v>
      </c>
      <c r="AD156" t="s">
        <v>115</v>
      </c>
      <c r="AE156" t="s">
        <v>115</v>
      </c>
      <c r="AF156" t="s">
        <v>115</v>
      </c>
      <c r="AG156" t="s">
        <v>115</v>
      </c>
      <c r="AH156">
        <v>0</v>
      </c>
      <c r="AI156">
        <v>0</v>
      </c>
      <c r="AJ156">
        <v>0</v>
      </c>
      <c r="AK156">
        <v>0</v>
      </c>
      <c r="AL156">
        <v>34</v>
      </c>
      <c r="AM156">
        <v>0</v>
      </c>
      <c r="AN156">
        <f t="shared" si="5"/>
        <v>34</v>
      </c>
    </row>
    <row r="157" spans="1:42" hidden="1" x14ac:dyDescent="0.2">
      <c r="A157" t="s">
        <v>4464</v>
      </c>
      <c r="B157" t="s">
        <v>4466</v>
      </c>
      <c r="C157">
        <v>12</v>
      </c>
      <c r="D157">
        <v>1</v>
      </c>
      <c r="E157" t="s">
        <v>213</v>
      </c>
      <c r="F157" s="1">
        <v>43697</v>
      </c>
      <c r="G157" t="s">
        <v>4031</v>
      </c>
      <c r="H157" t="s">
        <v>4724</v>
      </c>
      <c r="I157" s="2">
        <v>2.7777777777777779E-3</v>
      </c>
      <c r="J157" s="176">
        <v>4.6296296296296294E-5</v>
      </c>
      <c r="K157" s="6">
        <v>4</v>
      </c>
      <c r="L157" t="s">
        <v>640</v>
      </c>
      <c r="M157" t="s">
        <v>4280</v>
      </c>
      <c r="N157" t="s">
        <v>102</v>
      </c>
      <c r="O157" t="s">
        <v>115</v>
      </c>
      <c r="P157">
        <v>0</v>
      </c>
      <c r="Q157">
        <v>0</v>
      </c>
      <c r="R157">
        <v>0</v>
      </c>
      <c r="S157" t="s">
        <v>115</v>
      </c>
      <c r="T157" t="s">
        <v>115</v>
      </c>
      <c r="U157" t="s">
        <v>115</v>
      </c>
      <c r="V157" t="s">
        <v>115</v>
      </c>
      <c r="W157" t="s">
        <v>115</v>
      </c>
      <c r="X157" t="s">
        <v>115</v>
      </c>
      <c r="Y157" t="s">
        <v>115</v>
      </c>
      <c r="Z157" t="s">
        <v>115</v>
      </c>
      <c r="AA157" t="s">
        <v>115</v>
      </c>
      <c r="AB157" t="s">
        <v>115</v>
      </c>
      <c r="AC157" t="s">
        <v>115</v>
      </c>
      <c r="AD157" t="s">
        <v>115</v>
      </c>
      <c r="AE157" t="s">
        <v>115</v>
      </c>
      <c r="AF157" t="s">
        <v>115</v>
      </c>
      <c r="AG157" t="s">
        <v>115</v>
      </c>
      <c r="AH157">
        <v>0</v>
      </c>
      <c r="AI157">
        <v>0</v>
      </c>
      <c r="AJ157">
        <v>0</v>
      </c>
      <c r="AK157">
        <v>0</v>
      </c>
      <c r="AL157">
        <v>4</v>
      </c>
      <c r="AM157">
        <v>0</v>
      </c>
      <c r="AN157">
        <f t="shared" si="5"/>
        <v>4</v>
      </c>
    </row>
    <row r="158" spans="1:42" hidden="1" x14ac:dyDescent="0.2">
      <c r="A158" t="s">
        <v>4468</v>
      </c>
      <c r="B158" t="s">
        <v>4470</v>
      </c>
      <c r="C158">
        <v>13</v>
      </c>
      <c r="D158">
        <v>1</v>
      </c>
      <c r="E158" t="s">
        <v>213</v>
      </c>
      <c r="F158" s="1">
        <v>43697</v>
      </c>
      <c r="G158" t="s">
        <v>4031</v>
      </c>
      <c r="H158" t="s">
        <v>4724</v>
      </c>
      <c r="I158" s="2">
        <v>6.5972222222222224E-2</v>
      </c>
      <c r="J158" s="176">
        <v>1.0995370370370371E-3</v>
      </c>
      <c r="K158" s="6">
        <v>95</v>
      </c>
      <c r="L158" t="s">
        <v>640</v>
      </c>
      <c r="M158" t="s">
        <v>4280</v>
      </c>
      <c r="N158" t="s">
        <v>102</v>
      </c>
      <c r="O158" t="s">
        <v>23</v>
      </c>
      <c r="P158" t="s">
        <v>176</v>
      </c>
      <c r="Q158">
        <v>0</v>
      </c>
      <c r="R158">
        <v>0</v>
      </c>
      <c r="S158" t="s">
        <v>115</v>
      </c>
      <c r="T158" t="s">
        <v>115</v>
      </c>
      <c r="U158" t="s">
        <v>115</v>
      </c>
      <c r="V158" t="s">
        <v>115</v>
      </c>
      <c r="W158" t="s">
        <v>115</v>
      </c>
      <c r="X158" t="s">
        <v>115</v>
      </c>
      <c r="Y158" t="s">
        <v>115</v>
      </c>
      <c r="Z158" t="s">
        <v>115</v>
      </c>
      <c r="AA158" t="s">
        <v>115</v>
      </c>
      <c r="AB158" t="s">
        <v>115</v>
      </c>
      <c r="AC158" t="s">
        <v>115</v>
      </c>
      <c r="AD158" t="s">
        <v>115</v>
      </c>
      <c r="AE158" t="s">
        <v>115</v>
      </c>
      <c r="AF158" t="s">
        <v>115</v>
      </c>
      <c r="AG158" t="s">
        <v>115</v>
      </c>
      <c r="AH158">
        <v>0</v>
      </c>
      <c r="AI158">
        <v>0</v>
      </c>
      <c r="AJ158">
        <v>0</v>
      </c>
      <c r="AK158">
        <v>0</v>
      </c>
      <c r="AL158">
        <v>62</v>
      </c>
      <c r="AM158">
        <v>0</v>
      </c>
      <c r="AN158">
        <f t="shared" si="5"/>
        <v>62</v>
      </c>
    </row>
    <row r="159" spans="1:42" hidden="1" x14ac:dyDescent="0.2">
      <c r="A159" t="s">
        <v>4471</v>
      </c>
      <c r="B159" t="s">
        <v>4474</v>
      </c>
      <c r="C159">
        <v>15</v>
      </c>
      <c r="D159">
        <v>1</v>
      </c>
      <c r="E159" t="s">
        <v>213</v>
      </c>
      <c r="F159" s="1">
        <v>43697</v>
      </c>
      <c r="G159" t="s">
        <v>4031</v>
      </c>
      <c r="H159" t="s">
        <v>4724</v>
      </c>
      <c r="I159" s="2">
        <v>6.2499999999999995E-3</v>
      </c>
      <c r="J159" s="176">
        <v>1.0416666666666667E-4</v>
      </c>
      <c r="K159" s="6">
        <v>9</v>
      </c>
      <c r="L159" t="s">
        <v>640</v>
      </c>
      <c r="M159" t="s">
        <v>4163</v>
      </c>
      <c r="N159" t="s">
        <v>102</v>
      </c>
      <c r="O159" t="s">
        <v>115</v>
      </c>
      <c r="P159">
        <v>0</v>
      </c>
      <c r="Q159">
        <v>0</v>
      </c>
      <c r="R159">
        <v>0</v>
      </c>
      <c r="S159" t="s">
        <v>115</v>
      </c>
      <c r="T159" t="s">
        <v>115</v>
      </c>
      <c r="U159" t="s">
        <v>115</v>
      </c>
      <c r="V159" t="s">
        <v>115</v>
      </c>
      <c r="W159" t="s">
        <v>115</v>
      </c>
      <c r="X159" t="s">
        <v>115</v>
      </c>
      <c r="Y159" t="s">
        <v>115</v>
      </c>
      <c r="Z159" t="s">
        <v>115</v>
      </c>
      <c r="AA159" t="s">
        <v>115</v>
      </c>
      <c r="AB159" t="s">
        <v>115</v>
      </c>
      <c r="AC159" t="s">
        <v>115</v>
      </c>
      <c r="AD159" t="s">
        <v>115</v>
      </c>
      <c r="AE159" t="s">
        <v>115</v>
      </c>
      <c r="AF159" t="s">
        <v>115</v>
      </c>
      <c r="AG159" t="s">
        <v>115</v>
      </c>
      <c r="AH159">
        <v>0</v>
      </c>
      <c r="AI159">
        <v>0</v>
      </c>
      <c r="AJ159">
        <v>0</v>
      </c>
      <c r="AK159">
        <v>0</v>
      </c>
      <c r="AL159">
        <v>9</v>
      </c>
      <c r="AM159">
        <v>0</v>
      </c>
      <c r="AN159">
        <f t="shared" si="5"/>
        <v>9</v>
      </c>
    </row>
    <row r="160" spans="1:42" hidden="1" x14ac:dyDescent="0.2">
      <c r="A160" t="s">
        <v>4479</v>
      </c>
      <c r="B160" t="s">
        <v>4482</v>
      </c>
      <c r="C160">
        <v>18</v>
      </c>
      <c r="D160">
        <v>1</v>
      </c>
      <c r="E160" t="s">
        <v>213</v>
      </c>
      <c r="F160" s="1">
        <v>43697</v>
      </c>
      <c r="G160" t="s">
        <v>4031</v>
      </c>
      <c r="H160" t="s">
        <v>4724</v>
      </c>
      <c r="I160" s="2">
        <v>6.2499999999999995E-3</v>
      </c>
      <c r="J160" s="176">
        <v>1.0416666666666667E-4</v>
      </c>
      <c r="K160" s="6">
        <v>9</v>
      </c>
      <c r="L160" t="s">
        <v>640</v>
      </c>
      <c r="M160" t="s">
        <v>4478</v>
      </c>
      <c r="N160" t="s">
        <v>102</v>
      </c>
      <c r="O160" t="s">
        <v>115</v>
      </c>
      <c r="P160">
        <v>0</v>
      </c>
      <c r="Q160">
        <v>0</v>
      </c>
      <c r="R160">
        <v>0</v>
      </c>
      <c r="S160" t="s">
        <v>115</v>
      </c>
      <c r="T160" t="s">
        <v>115</v>
      </c>
      <c r="U160" t="s">
        <v>115</v>
      </c>
      <c r="V160" t="s">
        <v>115</v>
      </c>
      <c r="W160" t="s">
        <v>115</v>
      </c>
      <c r="X160" t="s">
        <v>115</v>
      </c>
      <c r="Y160" t="s">
        <v>115</v>
      </c>
      <c r="Z160" t="s">
        <v>115</v>
      </c>
      <c r="AA160" t="s">
        <v>115</v>
      </c>
      <c r="AB160" t="s">
        <v>115</v>
      </c>
      <c r="AC160" t="s">
        <v>115</v>
      </c>
      <c r="AD160" t="s">
        <v>115</v>
      </c>
      <c r="AE160" t="s">
        <v>115</v>
      </c>
      <c r="AF160" t="s">
        <v>115</v>
      </c>
      <c r="AG160" t="s">
        <v>115</v>
      </c>
      <c r="AH160">
        <v>0</v>
      </c>
      <c r="AI160">
        <v>0</v>
      </c>
      <c r="AJ160">
        <v>0</v>
      </c>
      <c r="AK160">
        <v>0</v>
      </c>
      <c r="AL160">
        <v>9</v>
      </c>
      <c r="AM160">
        <v>0</v>
      </c>
      <c r="AN160">
        <f t="shared" si="5"/>
        <v>9</v>
      </c>
    </row>
    <row r="161" spans="1:42" hidden="1" x14ac:dyDescent="0.2">
      <c r="A161" t="s">
        <v>4476</v>
      </c>
      <c r="B161" t="s">
        <v>4480</v>
      </c>
      <c r="C161">
        <v>17</v>
      </c>
      <c r="D161">
        <v>2</v>
      </c>
      <c r="E161" t="s">
        <v>213</v>
      </c>
      <c r="F161" s="1">
        <v>43697</v>
      </c>
      <c r="G161" t="s">
        <v>4031</v>
      </c>
      <c r="H161" t="s">
        <v>4724</v>
      </c>
      <c r="I161" s="2">
        <v>3.6111111111111115E-2</v>
      </c>
      <c r="J161" s="176">
        <v>6.018518518518519E-4</v>
      </c>
      <c r="K161" s="6">
        <v>52</v>
      </c>
      <c r="L161" t="s">
        <v>640</v>
      </c>
      <c r="M161" t="s">
        <v>4478</v>
      </c>
      <c r="N161" t="s">
        <v>568</v>
      </c>
      <c r="O161" t="s">
        <v>23</v>
      </c>
      <c r="P161">
        <v>1</v>
      </c>
      <c r="Q161">
        <v>0</v>
      </c>
      <c r="R161">
        <v>1</v>
      </c>
      <c r="S161" t="s">
        <v>112</v>
      </c>
      <c r="T161" t="s">
        <v>4214</v>
      </c>
      <c r="U161" t="s">
        <v>122</v>
      </c>
      <c r="V161" t="s">
        <v>2301</v>
      </c>
      <c r="W161" t="s">
        <v>23</v>
      </c>
      <c r="X161" t="s">
        <v>3999</v>
      </c>
      <c r="Y161" t="s">
        <v>4006</v>
      </c>
      <c r="AA161">
        <v>41</v>
      </c>
      <c r="AB161">
        <v>11</v>
      </c>
      <c r="AC161" s="19">
        <v>63.719990000000003</v>
      </c>
      <c r="AD161" s="19">
        <v>148.97823</v>
      </c>
      <c r="AE161" t="s">
        <v>115</v>
      </c>
      <c r="AF161" t="s">
        <v>115</v>
      </c>
      <c r="AG161" t="s">
        <v>115</v>
      </c>
      <c r="AH161">
        <v>0</v>
      </c>
      <c r="AI161">
        <v>0</v>
      </c>
      <c r="AJ161">
        <v>0</v>
      </c>
      <c r="AK161">
        <v>0</v>
      </c>
      <c r="AL161">
        <v>8</v>
      </c>
      <c r="AM161">
        <v>0</v>
      </c>
      <c r="AN161">
        <f t="shared" si="5"/>
        <v>8</v>
      </c>
    </row>
    <row r="162" spans="1:42" hidden="1" x14ac:dyDescent="0.2">
      <c r="A162" t="s">
        <v>4476</v>
      </c>
      <c r="B162" t="s">
        <v>4480</v>
      </c>
      <c r="C162">
        <v>17</v>
      </c>
      <c r="D162">
        <v>1</v>
      </c>
      <c r="E162" t="s">
        <v>213</v>
      </c>
      <c r="F162" s="1">
        <v>43697</v>
      </c>
      <c r="G162" t="s">
        <v>4031</v>
      </c>
      <c r="H162" t="s">
        <v>4724</v>
      </c>
      <c r="I162" s="2">
        <v>3.6111111111111115E-2</v>
      </c>
      <c r="J162" s="176">
        <v>6.018518518518519E-4</v>
      </c>
      <c r="K162" s="6">
        <v>52</v>
      </c>
      <c r="L162" t="s">
        <v>640</v>
      </c>
      <c r="M162" t="s">
        <v>4478</v>
      </c>
      <c r="N162" t="s">
        <v>568</v>
      </c>
      <c r="O162" t="s">
        <v>23</v>
      </c>
      <c r="P162">
        <v>1</v>
      </c>
      <c r="Q162">
        <v>0</v>
      </c>
      <c r="R162">
        <v>1</v>
      </c>
      <c r="S162" t="s">
        <v>112</v>
      </c>
      <c r="T162" t="s">
        <v>4214</v>
      </c>
      <c r="U162" t="s">
        <v>122</v>
      </c>
      <c r="V162" t="s">
        <v>2300</v>
      </c>
      <c r="W162" t="s">
        <v>23</v>
      </c>
      <c r="X162" t="s">
        <v>3997</v>
      </c>
      <c r="Y162" t="s">
        <v>4006</v>
      </c>
      <c r="AA162">
        <v>45</v>
      </c>
      <c r="AB162">
        <v>8</v>
      </c>
      <c r="AC162" s="19">
        <v>63.72</v>
      </c>
      <c r="AD162" s="19">
        <v>148.97820999999999</v>
      </c>
      <c r="AE162" t="s">
        <v>115</v>
      </c>
      <c r="AF162" t="s">
        <v>115</v>
      </c>
      <c r="AG162" t="s">
        <v>115</v>
      </c>
      <c r="AH162">
        <v>0</v>
      </c>
      <c r="AI162">
        <v>0</v>
      </c>
      <c r="AJ162">
        <v>0</v>
      </c>
      <c r="AK162">
        <v>0</v>
      </c>
      <c r="AL162">
        <v>8</v>
      </c>
      <c r="AM162">
        <v>0</v>
      </c>
      <c r="AN162">
        <f t="shared" si="5"/>
        <v>8</v>
      </c>
    </row>
    <row r="163" spans="1:42" hidden="1" x14ac:dyDescent="0.2">
      <c r="A163" t="s">
        <v>4485</v>
      </c>
      <c r="B163" t="s">
        <v>4486</v>
      </c>
      <c r="C163">
        <v>20</v>
      </c>
      <c r="D163">
        <v>1</v>
      </c>
      <c r="E163" t="s">
        <v>213</v>
      </c>
      <c r="F163" s="1">
        <v>43697</v>
      </c>
      <c r="G163" t="s">
        <v>4031</v>
      </c>
      <c r="H163" t="s">
        <v>4724</v>
      </c>
      <c r="I163" s="2">
        <v>3.0555555555555555E-2</v>
      </c>
      <c r="J163" s="176">
        <v>5.0925925925925921E-4</v>
      </c>
      <c r="K163" s="6">
        <v>44</v>
      </c>
      <c r="L163" t="s">
        <v>640</v>
      </c>
      <c r="M163" t="s">
        <v>4487</v>
      </c>
      <c r="N163" t="s">
        <v>568</v>
      </c>
      <c r="O163" t="s">
        <v>23</v>
      </c>
      <c r="P163">
        <v>1</v>
      </c>
      <c r="Q163">
        <v>0</v>
      </c>
      <c r="R163">
        <v>1</v>
      </c>
      <c r="S163" t="s">
        <v>598</v>
      </c>
      <c r="T163" t="s">
        <v>4463</v>
      </c>
      <c r="U163" t="s">
        <v>122</v>
      </c>
      <c r="V163" t="s">
        <v>4385</v>
      </c>
      <c r="W163" t="s">
        <v>23</v>
      </c>
      <c r="X163" t="s">
        <v>3997</v>
      </c>
      <c r="Y163" t="s">
        <v>3810</v>
      </c>
      <c r="AA163">
        <v>235</v>
      </c>
      <c r="AB163">
        <v>1</v>
      </c>
      <c r="AC163" s="19">
        <v>63.719729999999998</v>
      </c>
      <c r="AD163" s="19">
        <v>148.97708</v>
      </c>
      <c r="AE163" t="s">
        <v>115</v>
      </c>
      <c r="AF163" t="s">
        <v>115</v>
      </c>
      <c r="AG163" t="s">
        <v>115</v>
      </c>
      <c r="AH163">
        <v>0</v>
      </c>
      <c r="AI163">
        <v>0</v>
      </c>
      <c r="AJ163">
        <v>0</v>
      </c>
      <c r="AK163">
        <v>0</v>
      </c>
      <c r="AL163">
        <v>35</v>
      </c>
      <c r="AM163">
        <v>0</v>
      </c>
      <c r="AN163">
        <f t="shared" si="5"/>
        <v>35</v>
      </c>
      <c r="AP163" t="s">
        <v>4495</v>
      </c>
    </row>
    <row r="164" spans="1:42" hidden="1" x14ac:dyDescent="0.2">
      <c r="A164" t="s">
        <v>4492</v>
      </c>
      <c r="B164" t="s">
        <v>4493</v>
      </c>
      <c r="C164">
        <v>23</v>
      </c>
      <c r="D164">
        <v>1</v>
      </c>
      <c r="E164" t="s">
        <v>213</v>
      </c>
      <c r="F164" s="1">
        <v>43697</v>
      </c>
      <c r="G164" t="s">
        <v>4031</v>
      </c>
      <c r="H164" t="s">
        <v>4724</v>
      </c>
      <c r="I164" s="2">
        <v>2.013888888888889E-2</v>
      </c>
      <c r="J164" s="176">
        <v>3.3564814814814812E-4</v>
      </c>
      <c r="K164" s="6">
        <v>29</v>
      </c>
      <c r="L164" t="s">
        <v>640</v>
      </c>
      <c r="M164" t="s">
        <v>4258</v>
      </c>
      <c r="N164" t="s">
        <v>568</v>
      </c>
      <c r="O164" t="s">
        <v>23</v>
      </c>
      <c r="P164">
        <v>1</v>
      </c>
      <c r="Q164">
        <v>0</v>
      </c>
      <c r="R164">
        <v>1</v>
      </c>
      <c r="S164" t="s">
        <v>598</v>
      </c>
      <c r="T164" t="s">
        <v>4463</v>
      </c>
      <c r="U164" t="s">
        <v>122</v>
      </c>
      <c r="V164" t="s">
        <v>4385</v>
      </c>
      <c r="W164" t="s">
        <v>23</v>
      </c>
      <c r="X164" t="s">
        <v>3997</v>
      </c>
      <c r="Y164" t="s">
        <v>3810</v>
      </c>
      <c r="AA164">
        <v>121</v>
      </c>
      <c r="AB164">
        <v>3</v>
      </c>
      <c r="AC164" s="19">
        <v>63.719799999999999</v>
      </c>
      <c r="AD164" s="19">
        <v>148.97701000000001</v>
      </c>
      <c r="AE164" t="s">
        <v>115</v>
      </c>
      <c r="AF164" t="s">
        <v>115</v>
      </c>
      <c r="AG164" t="s">
        <v>115</v>
      </c>
      <c r="AH164">
        <v>0</v>
      </c>
      <c r="AI164">
        <v>0</v>
      </c>
      <c r="AJ164">
        <v>0</v>
      </c>
      <c r="AK164">
        <v>0</v>
      </c>
      <c r="AL164">
        <v>0</v>
      </c>
      <c r="AM164">
        <v>0</v>
      </c>
      <c r="AN164">
        <f t="shared" si="5"/>
        <v>0</v>
      </c>
      <c r="AP164" t="s">
        <v>4494</v>
      </c>
    </row>
    <row r="165" spans="1:42" hidden="1" x14ac:dyDescent="0.2">
      <c r="A165" t="s">
        <v>4481</v>
      </c>
      <c r="B165" t="s">
        <v>4484</v>
      </c>
      <c r="C165">
        <v>19</v>
      </c>
      <c r="D165">
        <v>1</v>
      </c>
      <c r="E165" t="s">
        <v>213</v>
      </c>
      <c r="F165" s="1">
        <v>43697</v>
      </c>
      <c r="G165" t="s">
        <v>4031</v>
      </c>
      <c r="H165" t="s">
        <v>4724</v>
      </c>
      <c r="I165" s="2">
        <v>1.2499999999999999E-2</v>
      </c>
      <c r="J165" s="176">
        <v>2.0833333333333335E-4</v>
      </c>
      <c r="K165" s="6">
        <v>18</v>
      </c>
      <c r="L165" t="s">
        <v>640</v>
      </c>
      <c r="M165" t="s">
        <v>4478</v>
      </c>
      <c r="N165" t="s">
        <v>568</v>
      </c>
      <c r="O165" t="s">
        <v>23</v>
      </c>
      <c r="P165">
        <v>1</v>
      </c>
      <c r="Q165">
        <v>0</v>
      </c>
      <c r="R165">
        <v>1</v>
      </c>
      <c r="S165" t="s">
        <v>598</v>
      </c>
      <c r="T165" t="s">
        <v>4463</v>
      </c>
      <c r="U165" t="s">
        <v>122</v>
      </c>
      <c r="V165" t="s">
        <v>333</v>
      </c>
      <c r="W165" t="s">
        <v>23</v>
      </c>
      <c r="X165" t="s">
        <v>3999</v>
      </c>
      <c r="Y165" t="s">
        <v>4006</v>
      </c>
      <c r="AA165">
        <v>75</v>
      </c>
      <c r="AB165">
        <v>4</v>
      </c>
      <c r="AC165" s="19">
        <v>63.720140000000001</v>
      </c>
      <c r="AD165" s="19">
        <v>148.97776999999999</v>
      </c>
      <c r="AE165" t="s">
        <v>115</v>
      </c>
      <c r="AF165" t="s">
        <v>115</v>
      </c>
      <c r="AG165" t="s">
        <v>115</v>
      </c>
      <c r="AH165">
        <v>0</v>
      </c>
      <c r="AI165">
        <v>0</v>
      </c>
      <c r="AJ165">
        <v>0</v>
      </c>
      <c r="AK165">
        <v>0</v>
      </c>
      <c r="AL165">
        <v>2</v>
      </c>
      <c r="AM165">
        <v>0</v>
      </c>
      <c r="AN165">
        <f t="shared" si="5"/>
        <v>2</v>
      </c>
    </row>
    <row r="166" spans="1:42" hidden="1" x14ac:dyDescent="0.2">
      <c r="A166" t="s">
        <v>4446</v>
      </c>
      <c r="B166" t="s">
        <v>4447</v>
      </c>
      <c r="C166">
        <v>4</v>
      </c>
      <c r="D166">
        <v>1</v>
      </c>
      <c r="E166" t="s">
        <v>213</v>
      </c>
      <c r="F166" s="1">
        <v>43697</v>
      </c>
      <c r="G166" t="s">
        <v>4031</v>
      </c>
      <c r="H166" t="s">
        <v>4724</v>
      </c>
      <c r="I166" s="2">
        <v>3.3333333333333333E-2</v>
      </c>
      <c r="J166" s="176">
        <v>5.5555555555555556E-4</v>
      </c>
      <c r="K166" s="6">
        <v>48</v>
      </c>
      <c r="L166" t="s">
        <v>640</v>
      </c>
      <c r="M166" t="s">
        <v>1742</v>
      </c>
      <c r="N166" t="s">
        <v>568</v>
      </c>
      <c r="O166" t="s">
        <v>23</v>
      </c>
      <c r="P166">
        <v>1</v>
      </c>
      <c r="Q166">
        <v>0</v>
      </c>
      <c r="R166">
        <v>1</v>
      </c>
      <c r="S166" t="s">
        <v>598</v>
      </c>
      <c r="T166" t="s">
        <v>598</v>
      </c>
      <c r="U166" t="s">
        <v>122</v>
      </c>
      <c r="V166" t="s">
        <v>333</v>
      </c>
      <c r="W166" t="s">
        <v>23</v>
      </c>
      <c r="X166" t="s">
        <v>3999</v>
      </c>
      <c r="Y166" t="s">
        <v>4006</v>
      </c>
      <c r="AA166">
        <v>103</v>
      </c>
      <c r="AC166" s="19">
        <v>63.720759999999999</v>
      </c>
      <c r="AD166" s="19">
        <v>148.97354000000001</v>
      </c>
      <c r="AE166" t="s">
        <v>115</v>
      </c>
      <c r="AF166" t="s">
        <v>115</v>
      </c>
      <c r="AG166" t="s">
        <v>115</v>
      </c>
      <c r="AH166">
        <v>0</v>
      </c>
      <c r="AI166">
        <v>0</v>
      </c>
      <c r="AJ166">
        <v>0</v>
      </c>
      <c r="AK166">
        <v>0</v>
      </c>
      <c r="AL166">
        <v>33</v>
      </c>
      <c r="AM166">
        <v>0</v>
      </c>
      <c r="AN166">
        <f t="shared" si="5"/>
        <v>33</v>
      </c>
    </row>
    <row r="167" spans="1:42" hidden="1" x14ac:dyDescent="0.2">
      <c r="A167" t="s">
        <v>4455</v>
      </c>
      <c r="B167" t="s">
        <v>4461</v>
      </c>
      <c r="C167">
        <v>9</v>
      </c>
      <c r="D167">
        <v>2</v>
      </c>
      <c r="E167" t="s">
        <v>213</v>
      </c>
      <c r="F167" s="1">
        <v>43697</v>
      </c>
      <c r="G167" t="s">
        <v>4031</v>
      </c>
      <c r="H167" t="s">
        <v>4724</v>
      </c>
      <c r="I167" s="2">
        <v>7.4305555555555555E-2</v>
      </c>
      <c r="J167" s="176">
        <v>1.2384259259259258E-3</v>
      </c>
      <c r="K167" s="6">
        <v>107</v>
      </c>
      <c r="L167" t="s">
        <v>640</v>
      </c>
      <c r="M167" t="s">
        <v>4280</v>
      </c>
      <c r="N167" t="s">
        <v>4458</v>
      </c>
      <c r="O167" t="s">
        <v>23</v>
      </c>
      <c r="P167">
        <v>1</v>
      </c>
      <c r="Q167">
        <v>0</v>
      </c>
      <c r="R167">
        <v>0</v>
      </c>
      <c r="S167" t="s">
        <v>598</v>
      </c>
      <c r="T167" t="s">
        <v>598</v>
      </c>
      <c r="U167" t="s">
        <v>122</v>
      </c>
      <c r="V167" t="s">
        <v>115</v>
      </c>
      <c r="W167" t="s">
        <v>115</v>
      </c>
      <c r="X167" t="s">
        <v>115</v>
      </c>
      <c r="Y167" t="s">
        <v>115</v>
      </c>
      <c r="Z167" t="s">
        <v>115</v>
      </c>
      <c r="AA167" t="s">
        <v>115</v>
      </c>
      <c r="AB167" t="s">
        <v>115</v>
      </c>
      <c r="AC167" t="s">
        <v>115</v>
      </c>
      <c r="AD167" t="s">
        <v>115</v>
      </c>
      <c r="AE167" t="s">
        <v>115</v>
      </c>
      <c r="AF167" t="s">
        <v>115</v>
      </c>
      <c r="AG167" t="s">
        <v>115</v>
      </c>
      <c r="AH167">
        <v>0</v>
      </c>
      <c r="AI167">
        <v>0</v>
      </c>
      <c r="AJ167">
        <v>0</v>
      </c>
      <c r="AK167">
        <v>0</v>
      </c>
      <c r="AL167">
        <v>7</v>
      </c>
      <c r="AM167">
        <v>0</v>
      </c>
      <c r="AN167">
        <f t="shared" si="5"/>
        <v>7</v>
      </c>
    </row>
    <row r="168" spans="1:42" hidden="1" x14ac:dyDescent="0.2">
      <c r="A168" t="s">
        <v>4460</v>
      </c>
      <c r="B168" t="s">
        <v>4465</v>
      </c>
      <c r="C168">
        <v>11</v>
      </c>
      <c r="D168">
        <v>1</v>
      </c>
      <c r="E168" t="s">
        <v>213</v>
      </c>
      <c r="F168" s="1">
        <v>43697</v>
      </c>
      <c r="G168" t="s">
        <v>4031</v>
      </c>
      <c r="H168" t="s">
        <v>4724</v>
      </c>
      <c r="I168" s="2">
        <v>3.1944444444444449E-2</v>
      </c>
      <c r="J168" s="176">
        <v>5.3240740740740744E-4</v>
      </c>
      <c r="K168" s="6">
        <v>46</v>
      </c>
      <c r="L168" t="s">
        <v>640</v>
      </c>
      <c r="M168" t="s">
        <v>4280</v>
      </c>
      <c r="N168" t="s">
        <v>102</v>
      </c>
      <c r="O168" t="s">
        <v>115</v>
      </c>
      <c r="P168">
        <v>1</v>
      </c>
      <c r="Q168">
        <v>0</v>
      </c>
      <c r="R168">
        <v>0</v>
      </c>
      <c r="S168" t="s">
        <v>598</v>
      </c>
      <c r="T168" t="s">
        <v>4463</v>
      </c>
      <c r="U168" t="s">
        <v>122</v>
      </c>
      <c r="V168" t="s">
        <v>115</v>
      </c>
      <c r="W168" t="s">
        <v>115</v>
      </c>
      <c r="X168" t="s">
        <v>115</v>
      </c>
      <c r="Y168" t="s">
        <v>115</v>
      </c>
      <c r="Z168" t="s">
        <v>115</v>
      </c>
      <c r="AA168" t="s">
        <v>115</v>
      </c>
      <c r="AB168" t="s">
        <v>115</v>
      </c>
      <c r="AC168" t="s">
        <v>115</v>
      </c>
      <c r="AD168" t="s">
        <v>115</v>
      </c>
      <c r="AE168" t="s">
        <v>115</v>
      </c>
      <c r="AF168" t="s">
        <v>115</v>
      </c>
      <c r="AG168" t="s">
        <v>115</v>
      </c>
      <c r="AH168">
        <v>0</v>
      </c>
      <c r="AI168">
        <v>0</v>
      </c>
      <c r="AJ168">
        <v>0</v>
      </c>
      <c r="AK168">
        <v>0</v>
      </c>
      <c r="AL168">
        <v>14</v>
      </c>
      <c r="AM168">
        <v>0</v>
      </c>
      <c r="AN168">
        <f t="shared" si="5"/>
        <v>14</v>
      </c>
    </row>
    <row r="169" spans="1:42" hidden="1" x14ac:dyDescent="0.2">
      <c r="A169" t="s">
        <v>4469</v>
      </c>
      <c r="B169" t="s">
        <v>4472</v>
      </c>
      <c r="C169">
        <v>14</v>
      </c>
      <c r="D169">
        <v>1</v>
      </c>
      <c r="E169" t="s">
        <v>213</v>
      </c>
      <c r="F169" s="1">
        <v>43697</v>
      </c>
      <c r="G169" t="s">
        <v>4031</v>
      </c>
      <c r="H169" t="s">
        <v>4724</v>
      </c>
      <c r="I169" s="2">
        <v>1.9444444444444445E-2</v>
      </c>
      <c r="J169" s="176">
        <v>3.2407407407407406E-4</v>
      </c>
      <c r="K169" s="6">
        <v>28</v>
      </c>
      <c r="L169" t="s">
        <v>640</v>
      </c>
      <c r="M169" t="s">
        <v>4280</v>
      </c>
      <c r="N169" t="s">
        <v>102</v>
      </c>
      <c r="O169" t="s">
        <v>115</v>
      </c>
      <c r="P169">
        <v>1</v>
      </c>
      <c r="Q169">
        <v>0</v>
      </c>
      <c r="R169">
        <v>0</v>
      </c>
      <c r="S169" t="s">
        <v>598</v>
      </c>
      <c r="T169" t="s">
        <v>4463</v>
      </c>
      <c r="U169" t="s">
        <v>122</v>
      </c>
      <c r="V169" t="s">
        <v>115</v>
      </c>
      <c r="W169" t="s">
        <v>115</v>
      </c>
      <c r="X169" t="s">
        <v>115</v>
      </c>
      <c r="Y169" t="s">
        <v>115</v>
      </c>
      <c r="Z169" t="s">
        <v>115</v>
      </c>
      <c r="AA169" t="s">
        <v>115</v>
      </c>
      <c r="AB169" t="s">
        <v>115</v>
      </c>
      <c r="AC169" t="s">
        <v>115</v>
      </c>
      <c r="AD169" t="s">
        <v>115</v>
      </c>
      <c r="AE169" t="s">
        <v>115</v>
      </c>
      <c r="AF169" t="s">
        <v>115</v>
      </c>
      <c r="AG169" t="s">
        <v>115</v>
      </c>
      <c r="AH169">
        <v>0</v>
      </c>
      <c r="AI169">
        <v>0</v>
      </c>
      <c r="AJ169">
        <v>0</v>
      </c>
      <c r="AK169">
        <v>0</v>
      </c>
      <c r="AL169">
        <v>11</v>
      </c>
      <c r="AM169">
        <v>0</v>
      </c>
      <c r="AN169">
        <f t="shared" si="5"/>
        <v>11</v>
      </c>
    </row>
    <row r="170" spans="1:42" hidden="1" x14ac:dyDescent="0.2">
      <c r="A170" t="s">
        <v>4488</v>
      </c>
      <c r="B170" t="s">
        <v>4489</v>
      </c>
      <c r="C170">
        <v>21</v>
      </c>
      <c r="D170">
        <v>2</v>
      </c>
      <c r="E170" t="s">
        <v>213</v>
      </c>
      <c r="F170" s="1">
        <v>43697</v>
      </c>
      <c r="G170" t="s">
        <v>4031</v>
      </c>
      <c r="H170" t="s">
        <v>4724</v>
      </c>
      <c r="I170" s="2">
        <v>5.9027777777777783E-2</v>
      </c>
      <c r="J170" s="176">
        <v>9.8379629629629642E-4</v>
      </c>
      <c r="K170" s="6">
        <v>85</v>
      </c>
      <c r="L170" t="s">
        <v>640</v>
      </c>
      <c r="M170" t="s">
        <v>4487</v>
      </c>
      <c r="N170" t="s">
        <v>102</v>
      </c>
      <c r="O170" t="s">
        <v>115</v>
      </c>
      <c r="P170">
        <v>1</v>
      </c>
      <c r="Q170">
        <v>0</v>
      </c>
      <c r="R170">
        <v>1</v>
      </c>
      <c r="S170" t="s">
        <v>1342</v>
      </c>
      <c r="T170" t="s">
        <v>14</v>
      </c>
      <c r="U170" t="s">
        <v>122</v>
      </c>
      <c r="V170" t="s">
        <v>4385</v>
      </c>
      <c r="W170" t="s">
        <v>23</v>
      </c>
      <c r="X170" t="s">
        <v>3997</v>
      </c>
      <c r="Y170" t="s">
        <v>176</v>
      </c>
      <c r="Z170" t="s">
        <v>115</v>
      </c>
      <c r="AA170">
        <v>58</v>
      </c>
      <c r="AB170" t="s">
        <v>176</v>
      </c>
      <c r="AC170" s="19">
        <v>63.719900000000003</v>
      </c>
      <c r="AD170" s="19">
        <v>148.97597999999999</v>
      </c>
      <c r="AE170" t="s">
        <v>115</v>
      </c>
      <c r="AF170" t="s">
        <v>115</v>
      </c>
      <c r="AG170" t="s">
        <v>115</v>
      </c>
      <c r="AH170">
        <v>0</v>
      </c>
      <c r="AI170">
        <v>0</v>
      </c>
      <c r="AJ170">
        <v>0</v>
      </c>
      <c r="AK170">
        <v>0</v>
      </c>
      <c r="AL170">
        <v>14</v>
      </c>
      <c r="AM170">
        <v>0</v>
      </c>
      <c r="AN170">
        <f t="shared" si="5"/>
        <v>14</v>
      </c>
    </row>
    <row r="171" spans="1:42" hidden="1" x14ac:dyDescent="0.2">
      <c r="A171" t="s">
        <v>4516</v>
      </c>
      <c r="B171" t="s">
        <v>4517</v>
      </c>
      <c r="C171">
        <v>10</v>
      </c>
      <c r="D171">
        <v>1</v>
      </c>
      <c r="E171" t="s">
        <v>4191</v>
      </c>
      <c r="F171" s="1">
        <v>43698</v>
      </c>
      <c r="G171" t="s">
        <v>4031</v>
      </c>
      <c r="H171" t="s">
        <v>4724</v>
      </c>
      <c r="I171" s="2">
        <v>2.7777777777777776E-2</v>
      </c>
      <c r="J171" s="176">
        <v>4.6296296296296293E-4</v>
      </c>
      <c r="K171" s="6">
        <v>40</v>
      </c>
      <c r="L171" t="s">
        <v>398</v>
      </c>
      <c r="M171" t="s">
        <v>241</v>
      </c>
      <c r="N171" t="s">
        <v>111</v>
      </c>
      <c r="O171" t="s">
        <v>23</v>
      </c>
      <c r="P171">
        <v>0</v>
      </c>
      <c r="Q171">
        <v>0</v>
      </c>
      <c r="R171">
        <v>1</v>
      </c>
      <c r="S171" t="s">
        <v>176</v>
      </c>
      <c r="T171" t="s">
        <v>176</v>
      </c>
      <c r="U171" t="s">
        <v>176</v>
      </c>
      <c r="V171" t="s">
        <v>4385</v>
      </c>
      <c r="W171" t="s">
        <v>23</v>
      </c>
      <c r="X171" t="s">
        <v>3997</v>
      </c>
      <c r="Y171" t="s">
        <v>176</v>
      </c>
      <c r="AA171">
        <v>145</v>
      </c>
      <c r="AB171" t="s">
        <v>176</v>
      </c>
      <c r="AC171" s="19">
        <v>63.738219999999998</v>
      </c>
      <c r="AD171" s="19">
        <v>148.90351999999999</v>
      </c>
      <c r="AE171" t="s">
        <v>115</v>
      </c>
      <c r="AF171" t="s">
        <v>115</v>
      </c>
      <c r="AG171" t="s">
        <v>115</v>
      </c>
      <c r="AH171">
        <v>0</v>
      </c>
      <c r="AI171">
        <v>0</v>
      </c>
      <c r="AJ171">
        <v>0</v>
      </c>
      <c r="AK171">
        <v>0</v>
      </c>
      <c r="AL171">
        <v>0</v>
      </c>
      <c r="AM171">
        <v>0</v>
      </c>
      <c r="AN171">
        <f t="shared" si="5"/>
        <v>0</v>
      </c>
    </row>
    <row r="172" spans="1:42" hidden="1" x14ac:dyDescent="0.2">
      <c r="A172" t="s">
        <v>4503</v>
      </c>
      <c r="B172" t="s">
        <v>4504</v>
      </c>
      <c r="C172">
        <v>4</v>
      </c>
      <c r="D172">
        <v>1</v>
      </c>
      <c r="E172" t="s">
        <v>4191</v>
      </c>
      <c r="F172" s="1">
        <v>43698</v>
      </c>
      <c r="G172" t="s">
        <v>4031</v>
      </c>
      <c r="H172" t="s">
        <v>4724</v>
      </c>
      <c r="I172" s="2">
        <v>2.5694444444444447E-2</v>
      </c>
      <c r="J172" s="176">
        <v>4.2824074074074075E-4</v>
      </c>
      <c r="K172" s="6">
        <v>37</v>
      </c>
      <c r="L172" t="s">
        <v>884</v>
      </c>
      <c r="M172" t="s">
        <v>466</v>
      </c>
      <c r="N172" t="s">
        <v>568</v>
      </c>
      <c r="O172" t="s">
        <v>23</v>
      </c>
      <c r="P172">
        <v>1</v>
      </c>
      <c r="Q172">
        <v>0</v>
      </c>
      <c r="R172">
        <v>1</v>
      </c>
      <c r="S172" t="s">
        <v>176</v>
      </c>
      <c r="T172" t="s">
        <v>176</v>
      </c>
      <c r="U172" t="s">
        <v>122</v>
      </c>
      <c r="V172" t="s">
        <v>333</v>
      </c>
      <c r="W172" t="s">
        <v>23</v>
      </c>
      <c r="X172" t="s">
        <v>3999</v>
      </c>
      <c r="Y172" t="s">
        <v>4006</v>
      </c>
      <c r="AA172">
        <v>142</v>
      </c>
      <c r="AB172">
        <v>3</v>
      </c>
      <c r="AC172" s="19">
        <v>63.738419999999998</v>
      </c>
      <c r="AD172" s="19">
        <v>148.90115</v>
      </c>
      <c r="AE172" t="s">
        <v>115</v>
      </c>
      <c r="AF172" t="s">
        <v>115</v>
      </c>
      <c r="AG172" t="s">
        <v>115</v>
      </c>
      <c r="AH172">
        <v>0</v>
      </c>
      <c r="AI172">
        <v>0</v>
      </c>
      <c r="AJ172">
        <v>0</v>
      </c>
      <c r="AK172">
        <v>0</v>
      </c>
      <c r="AL172">
        <v>20</v>
      </c>
      <c r="AM172">
        <v>0</v>
      </c>
      <c r="AN172">
        <f t="shared" si="5"/>
        <v>20</v>
      </c>
    </row>
    <row r="173" spans="1:42" hidden="1" x14ac:dyDescent="0.2">
      <c r="A173" t="s">
        <v>4514</v>
      </c>
      <c r="B173" t="s">
        <v>4515</v>
      </c>
      <c r="C173">
        <v>9</v>
      </c>
      <c r="D173">
        <v>1</v>
      </c>
      <c r="E173" t="s">
        <v>4191</v>
      </c>
      <c r="F173" s="1">
        <v>43698</v>
      </c>
      <c r="G173" t="s">
        <v>4031</v>
      </c>
      <c r="H173" t="s">
        <v>4724</v>
      </c>
      <c r="I173" s="2">
        <v>2.2916666666666669E-2</v>
      </c>
      <c r="J173" s="176">
        <v>3.8194444444444446E-4</v>
      </c>
      <c r="K173" s="6">
        <v>33</v>
      </c>
      <c r="L173" t="s">
        <v>398</v>
      </c>
      <c r="M173" t="s">
        <v>4509</v>
      </c>
      <c r="N173" t="s">
        <v>4235</v>
      </c>
      <c r="O173" t="s">
        <v>23</v>
      </c>
      <c r="P173">
        <v>0</v>
      </c>
      <c r="Q173">
        <v>0</v>
      </c>
      <c r="R173">
        <v>1</v>
      </c>
      <c r="S173" t="s">
        <v>176</v>
      </c>
      <c r="T173" t="s">
        <v>176</v>
      </c>
      <c r="U173" t="s">
        <v>176</v>
      </c>
      <c r="V173" t="s">
        <v>4386</v>
      </c>
      <c r="W173" t="s">
        <v>23</v>
      </c>
      <c r="X173" t="s">
        <v>3999</v>
      </c>
      <c r="Y173" t="s">
        <v>176</v>
      </c>
      <c r="AA173">
        <v>212</v>
      </c>
      <c r="AB173" t="s">
        <v>176</v>
      </c>
      <c r="AC173" s="19">
        <v>63.73854</v>
      </c>
      <c r="AD173" s="19">
        <v>148.90338</v>
      </c>
      <c r="AE173" t="s">
        <v>115</v>
      </c>
      <c r="AF173" t="s">
        <v>115</v>
      </c>
      <c r="AG173" t="s">
        <v>115</v>
      </c>
      <c r="AH173">
        <v>0</v>
      </c>
      <c r="AI173">
        <v>0</v>
      </c>
      <c r="AJ173">
        <v>0</v>
      </c>
      <c r="AK173">
        <v>0</v>
      </c>
      <c r="AL173">
        <v>13</v>
      </c>
      <c r="AM173">
        <v>0</v>
      </c>
      <c r="AN173">
        <f t="shared" si="5"/>
        <v>13</v>
      </c>
    </row>
    <row r="174" spans="1:42" hidden="1" x14ac:dyDescent="0.2">
      <c r="A174" t="s">
        <v>4512</v>
      </c>
      <c r="B174" t="s">
        <v>4513</v>
      </c>
      <c r="C174">
        <v>8</v>
      </c>
      <c r="D174">
        <v>1</v>
      </c>
      <c r="E174" t="s">
        <v>4191</v>
      </c>
      <c r="F174" s="1">
        <v>43698</v>
      </c>
      <c r="G174" t="s">
        <v>4031</v>
      </c>
      <c r="H174" t="s">
        <v>4724</v>
      </c>
      <c r="I174" s="2">
        <v>5.4166666666666669E-2</v>
      </c>
      <c r="J174" s="176">
        <v>9.0277777777777784E-4</v>
      </c>
      <c r="K174" s="6">
        <v>78</v>
      </c>
      <c r="L174" t="s">
        <v>398</v>
      </c>
      <c r="M174" t="s">
        <v>4509</v>
      </c>
      <c r="N174" t="s">
        <v>568</v>
      </c>
      <c r="O174" t="s">
        <v>23</v>
      </c>
      <c r="P174">
        <v>1</v>
      </c>
      <c r="Q174">
        <v>0</v>
      </c>
      <c r="R174">
        <v>1</v>
      </c>
      <c r="S174" t="s">
        <v>176</v>
      </c>
      <c r="T174" t="s">
        <v>176</v>
      </c>
      <c r="U174" t="s">
        <v>122</v>
      </c>
      <c r="V174" t="s">
        <v>4385</v>
      </c>
      <c r="W174" t="s">
        <v>23</v>
      </c>
      <c r="X174" t="s">
        <v>3997</v>
      </c>
      <c r="Y174" t="s">
        <v>176</v>
      </c>
      <c r="AA174">
        <v>202</v>
      </c>
      <c r="AB174">
        <v>4</v>
      </c>
      <c r="AC174" s="19">
        <v>63.738610000000001</v>
      </c>
      <c r="AD174" s="19">
        <v>148.90358000000001</v>
      </c>
      <c r="AE174" t="s">
        <v>115</v>
      </c>
      <c r="AF174" t="s">
        <v>115</v>
      </c>
      <c r="AG174" t="s">
        <v>115</v>
      </c>
      <c r="AH174">
        <v>0</v>
      </c>
      <c r="AI174">
        <v>0</v>
      </c>
      <c r="AJ174">
        <v>0</v>
      </c>
      <c r="AK174">
        <v>0</v>
      </c>
      <c r="AL174">
        <v>70</v>
      </c>
      <c r="AM174">
        <v>0</v>
      </c>
      <c r="AN174">
        <f t="shared" si="5"/>
        <v>70</v>
      </c>
    </row>
    <row r="175" spans="1:42" hidden="1" x14ac:dyDescent="0.2">
      <c r="A175" t="s">
        <v>4518</v>
      </c>
      <c r="B175" t="s">
        <v>4519</v>
      </c>
      <c r="C175">
        <v>11</v>
      </c>
      <c r="D175">
        <v>1</v>
      </c>
      <c r="E175" t="s">
        <v>4191</v>
      </c>
      <c r="F175" s="1">
        <v>43698</v>
      </c>
      <c r="G175" t="s">
        <v>4031</v>
      </c>
      <c r="H175" t="s">
        <v>4724</v>
      </c>
      <c r="I175" s="2">
        <v>2.7777777777777776E-2</v>
      </c>
      <c r="J175" s="176">
        <v>4.6296296296296293E-4</v>
      </c>
      <c r="K175" s="6">
        <v>40</v>
      </c>
      <c r="L175" t="s">
        <v>398</v>
      </c>
      <c r="M175" t="s">
        <v>241</v>
      </c>
      <c r="N175" t="s">
        <v>4412</v>
      </c>
      <c r="O175" t="s">
        <v>23</v>
      </c>
      <c r="P175">
        <v>1</v>
      </c>
      <c r="Q175">
        <v>0</v>
      </c>
      <c r="R175">
        <v>1</v>
      </c>
      <c r="S175" t="s">
        <v>176</v>
      </c>
      <c r="T175" t="s">
        <v>176</v>
      </c>
      <c r="U175" t="s">
        <v>176</v>
      </c>
      <c r="V175" t="s">
        <v>1035</v>
      </c>
      <c r="W175" t="s">
        <v>23</v>
      </c>
      <c r="X175" t="s">
        <v>3997</v>
      </c>
      <c r="Y175" t="s">
        <v>4006</v>
      </c>
      <c r="AA175">
        <v>130</v>
      </c>
      <c r="AB175" t="s">
        <v>176</v>
      </c>
      <c r="AC175" s="19">
        <v>63.740549999999999</v>
      </c>
      <c r="AD175" s="19">
        <v>148.89922000000001</v>
      </c>
      <c r="AE175" t="s">
        <v>115</v>
      </c>
      <c r="AF175" t="s">
        <v>115</v>
      </c>
      <c r="AG175" t="s">
        <v>115</v>
      </c>
      <c r="AH175">
        <v>0</v>
      </c>
      <c r="AI175">
        <v>0</v>
      </c>
      <c r="AJ175">
        <v>0</v>
      </c>
      <c r="AK175">
        <v>0</v>
      </c>
      <c r="AL175">
        <v>0</v>
      </c>
      <c r="AM175">
        <v>0</v>
      </c>
      <c r="AN175">
        <f t="shared" si="5"/>
        <v>0</v>
      </c>
    </row>
    <row r="176" spans="1:42" hidden="1" x14ac:dyDescent="0.2">
      <c r="A176" t="s">
        <v>4497</v>
      </c>
      <c r="B176" t="s">
        <v>4498</v>
      </c>
      <c r="C176">
        <v>1</v>
      </c>
      <c r="D176">
        <v>1</v>
      </c>
      <c r="E176" t="s">
        <v>4191</v>
      </c>
      <c r="F176" s="1">
        <v>43698</v>
      </c>
      <c r="G176" t="s">
        <v>4031</v>
      </c>
      <c r="H176" t="s">
        <v>4724</v>
      </c>
      <c r="I176" s="2">
        <v>1.4583333333333332E-2</v>
      </c>
      <c r="J176" s="176">
        <v>2.4305555555555552E-4</v>
      </c>
      <c r="K176" s="6">
        <v>21</v>
      </c>
      <c r="L176" t="s">
        <v>884</v>
      </c>
      <c r="M176" t="s">
        <v>466</v>
      </c>
      <c r="N176" t="s">
        <v>102</v>
      </c>
      <c r="O176" t="s">
        <v>115</v>
      </c>
      <c r="P176" t="s">
        <v>176</v>
      </c>
      <c r="Q176">
        <v>0</v>
      </c>
      <c r="R176">
        <v>0</v>
      </c>
      <c r="S176" t="s">
        <v>115</v>
      </c>
      <c r="T176" t="s">
        <v>115</v>
      </c>
      <c r="U176" t="s">
        <v>115</v>
      </c>
      <c r="V176" t="s">
        <v>115</v>
      </c>
      <c r="W176" t="s">
        <v>115</v>
      </c>
      <c r="X176" t="s">
        <v>115</v>
      </c>
      <c r="Y176" t="s">
        <v>115</v>
      </c>
      <c r="Z176" t="s">
        <v>115</v>
      </c>
      <c r="AA176" t="s">
        <v>115</v>
      </c>
      <c r="AB176" t="s">
        <v>115</v>
      </c>
      <c r="AC176" t="s">
        <v>115</v>
      </c>
      <c r="AD176" t="s">
        <v>115</v>
      </c>
      <c r="AE176" t="s">
        <v>115</v>
      </c>
      <c r="AF176" t="s">
        <v>115</v>
      </c>
      <c r="AG176" t="s">
        <v>115</v>
      </c>
      <c r="AH176">
        <v>0</v>
      </c>
      <c r="AI176">
        <v>0</v>
      </c>
      <c r="AJ176">
        <v>0</v>
      </c>
      <c r="AK176">
        <v>0</v>
      </c>
      <c r="AL176">
        <v>21</v>
      </c>
      <c r="AM176">
        <v>0</v>
      </c>
      <c r="AN176">
        <f t="shared" si="5"/>
        <v>21</v>
      </c>
    </row>
    <row r="177" spans="1:42" hidden="1" x14ac:dyDescent="0.2">
      <c r="A177" t="s">
        <v>4499</v>
      </c>
      <c r="B177" t="s">
        <v>4500</v>
      </c>
      <c r="C177">
        <v>2</v>
      </c>
      <c r="D177">
        <v>1</v>
      </c>
      <c r="E177" t="s">
        <v>4191</v>
      </c>
      <c r="F177" s="1">
        <v>43698</v>
      </c>
      <c r="G177" t="s">
        <v>4031</v>
      </c>
      <c r="H177" t="s">
        <v>4724</v>
      </c>
      <c r="I177" s="2">
        <v>4.7222222222222221E-2</v>
      </c>
      <c r="J177" s="176">
        <v>7.8703703703703705E-4</v>
      </c>
      <c r="K177" s="6">
        <v>68</v>
      </c>
      <c r="L177" t="s">
        <v>884</v>
      </c>
      <c r="M177" t="s">
        <v>466</v>
      </c>
      <c r="N177" t="s">
        <v>102</v>
      </c>
      <c r="O177" t="s">
        <v>23</v>
      </c>
      <c r="P177">
        <v>0</v>
      </c>
      <c r="Q177">
        <v>0</v>
      </c>
      <c r="R177" t="s">
        <v>176</v>
      </c>
      <c r="S177" t="s">
        <v>115</v>
      </c>
      <c r="T177" t="s">
        <v>115</v>
      </c>
      <c r="U177" t="s">
        <v>115</v>
      </c>
      <c r="V177" t="s">
        <v>115</v>
      </c>
      <c r="W177" t="s">
        <v>115</v>
      </c>
      <c r="X177" t="s">
        <v>115</v>
      </c>
      <c r="Y177" t="s">
        <v>115</v>
      </c>
      <c r="Z177" t="s">
        <v>115</v>
      </c>
      <c r="AA177" t="s">
        <v>115</v>
      </c>
      <c r="AB177" t="s">
        <v>115</v>
      </c>
      <c r="AC177" t="s">
        <v>115</v>
      </c>
      <c r="AD177" t="s">
        <v>115</v>
      </c>
      <c r="AE177" t="s">
        <v>115</v>
      </c>
      <c r="AF177" t="s">
        <v>115</v>
      </c>
      <c r="AG177" t="s">
        <v>115</v>
      </c>
      <c r="AH177">
        <v>0</v>
      </c>
      <c r="AI177">
        <v>0</v>
      </c>
      <c r="AJ177">
        <v>0</v>
      </c>
      <c r="AK177">
        <v>0</v>
      </c>
      <c r="AL177">
        <v>68</v>
      </c>
      <c r="AM177">
        <v>0</v>
      </c>
      <c r="AN177">
        <f t="shared" ref="AN177:AN208" si="6">SUM(AH177+AI177+AL177+AM177)</f>
        <v>68</v>
      </c>
    </row>
    <row r="178" spans="1:42" hidden="1" x14ac:dyDescent="0.2">
      <c r="A178" t="s">
        <v>4501</v>
      </c>
      <c r="B178" t="s">
        <v>4502</v>
      </c>
      <c r="C178">
        <v>3</v>
      </c>
      <c r="D178">
        <v>2</v>
      </c>
      <c r="E178" t="s">
        <v>4191</v>
      </c>
      <c r="F178" s="1">
        <v>43698</v>
      </c>
      <c r="G178" t="s">
        <v>4031</v>
      </c>
      <c r="H178" t="s">
        <v>4724</v>
      </c>
      <c r="I178" s="2">
        <v>9.6527777777777768E-2</v>
      </c>
      <c r="J178" s="176">
        <v>1.6087962962962963E-3</v>
      </c>
      <c r="K178" s="6">
        <v>139</v>
      </c>
      <c r="L178" t="s">
        <v>884</v>
      </c>
      <c r="M178" t="s">
        <v>466</v>
      </c>
      <c r="N178" t="s">
        <v>102</v>
      </c>
      <c r="O178" t="s">
        <v>23</v>
      </c>
      <c r="P178" t="s">
        <v>176</v>
      </c>
      <c r="Q178">
        <v>0</v>
      </c>
      <c r="R178" t="s">
        <v>176</v>
      </c>
      <c r="S178" t="s">
        <v>115</v>
      </c>
      <c r="T178" t="s">
        <v>115</v>
      </c>
      <c r="U178" t="s">
        <v>115</v>
      </c>
      <c r="V178" t="s">
        <v>115</v>
      </c>
      <c r="W178" t="s">
        <v>115</v>
      </c>
      <c r="X178" t="s">
        <v>115</v>
      </c>
      <c r="Y178" t="s">
        <v>115</v>
      </c>
      <c r="Z178" t="s">
        <v>115</v>
      </c>
      <c r="AA178" t="s">
        <v>115</v>
      </c>
      <c r="AB178" t="s">
        <v>115</v>
      </c>
      <c r="AC178" t="s">
        <v>115</v>
      </c>
      <c r="AD178" t="s">
        <v>115</v>
      </c>
      <c r="AE178" t="s">
        <v>115</v>
      </c>
      <c r="AF178" t="s">
        <v>115</v>
      </c>
      <c r="AG178" t="s">
        <v>115</v>
      </c>
      <c r="AH178">
        <v>0</v>
      </c>
      <c r="AI178">
        <v>0</v>
      </c>
      <c r="AJ178">
        <v>0</v>
      </c>
      <c r="AK178">
        <v>0</v>
      </c>
      <c r="AL178">
        <v>36</v>
      </c>
      <c r="AM178">
        <v>0</v>
      </c>
      <c r="AN178">
        <f t="shared" si="6"/>
        <v>36</v>
      </c>
    </row>
    <row r="179" spans="1:42" hidden="1" x14ac:dyDescent="0.2">
      <c r="A179" t="s">
        <v>4503</v>
      </c>
      <c r="B179" t="s">
        <v>4504</v>
      </c>
      <c r="C179">
        <v>4</v>
      </c>
      <c r="D179">
        <v>2</v>
      </c>
      <c r="E179" t="s">
        <v>4191</v>
      </c>
      <c r="F179" s="1">
        <v>43698</v>
      </c>
      <c r="G179" t="s">
        <v>4031</v>
      </c>
      <c r="H179" t="s">
        <v>4724</v>
      </c>
      <c r="I179" s="2">
        <v>2.5694444444444447E-2</v>
      </c>
      <c r="J179" s="176">
        <v>4.2824074074074075E-4</v>
      </c>
      <c r="K179" s="6">
        <v>37</v>
      </c>
      <c r="L179" t="s">
        <v>884</v>
      </c>
      <c r="M179" t="s">
        <v>466</v>
      </c>
      <c r="N179" t="s">
        <v>102</v>
      </c>
      <c r="O179" t="s">
        <v>23</v>
      </c>
      <c r="P179" t="s">
        <v>176</v>
      </c>
      <c r="Q179">
        <v>0</v>
      </c>
      <c r="R179">
        <v>0</v>
      </c>
      <c r="S179" t="s">
        <v>115</v>
      </c>
      <c r="T179" t="s">
        <v>115</v>
      </c>
      <c r="U179" t="s">
        <v>115</v>
      </c>
      <c r="V179" t="s">
        <v>115</v>
      </c>
      <c r="W179" t="s">
        <v>115</v>
      </c>
      <c r="X179" t="s">
        <v>115</v>
      </c>
      <c r="Y179" t="s">
        <v>115</v>
      </c>
      <c r="Z179" t="s">
        <v>115</v>
      </c>
      <c r="AA179" t="s">
        <v>115</v>
      </c>
      <c r="AB179" t="s">
        <v>115</v>
      </c>
      <c r="AC179" t="s">
        <v>115</v>
      </c>
      <c r="AD179" t="s">
        <v>115</v>
      </c>
      <c r="AE179" t="s">
        <v>115</v>
      </c>
      <c r="AF179" t="s">
        <v>115</v>
      </c>
      <c r="AG179" t="s">
        <v>115</v>
      </c>
      <c r="AH179">
        <v>0</v>
      </c>
      <c r="AI179">
        <v>0</v>
      </c>
      <c r="AJ179">
        <v>0</v>
      </c>
      <c r="AK179">
        <v>0</v>
      </c>
      <c r="AL179">
        <v>12</v>
      </c>
      <c r="AM179">
        <v>0</v>
      </c>
      <c r="AN179">
        <f t="shared" si="6"/>
        <v>12</v>
      </c>
    </row>
    <row r="180" spans="1:42" hidden="1" x14ac:dyDescent="0.2">
      <c r="A180" t="s">
        <v>4505</v>
      </c>
      <c r="B180" t="s">
        <v>4506</v>
      </c>
      <c r="C180">
        <v>5</v>
      </c>
      <c r="D180">
        <v>1</v>
      </c>
      <c r="E180" t="s">
        <v>4191</v>
      </c>
      <c r="F180" s="1">
        <v>43698</v>
      </c>
      <c r="G180" t="s">
        <v>4031</v>
      </c>
      <c r="H180" t="s">
        <v>4724</v>
      </c>
      <c r="I180" s="2">
        <v>9.0277777777777787E-3</v>
      </c>
      <c r="J180" s="176">
        <v>1.5046296296296297E-4</v>
      </c>
      <c r="K180" s="6">
        <v>13</v>
      </c>
      <c r="L180" t="s">
        <v>884</v>
      </c>
      <c r="M180" t="s">
        <v>241</v>
      </c>
      <c r="N180" t="s">
        <v>102</v>
      </c>
      <c r="O180" t="s">
        <v>115</v>
      </c>
      <c r="P180">
        <v>0</v>
      </c>
      <c r="Q180">
        <v>0</v>
      </c>
      <c r="R180">
        <v>0</v>
      </c>
      <c r="S180" t="s">
        <v>115</v>
      </c>
      <c r="T180" t="s">
        <v>115</v>
      </c>
      <c r="U180" t="s">
        <v>115</v>
      </c>
      <c r="V180" t="s">
        <v>115</v>
      </c>
      <c r="W180" t="s">
        <v>115</v>
      </c>
      <c r="X180" t="s">
        <v>115</v>
      </c>
      <c r="Y180" t="s">
        <v>115</v>
      </c>
      <c r="Z180" t="s">
        <v>115</v>
      </c>
      <c r="AA180" t="s">
        <v>115</v>
      </c>
      <c r="AB180" t="s">
        <v>115</v>
      </c>
      <c r="AC180" t="s">
        <v>115</v>
      </c>
      <c r="AD180" t="s">
        <v>115</v>
      </c>
      <c r="AE180" t="s">
        <v>115</v>
      </c>
      <c r="AF180" t="s">
        <v>115</v>
      </c>
      <c r="AG180" t="s">
        <v>115</v>
      </c>
      <c r="AH180">
        <v>0</v>
      </c>
      <c r="AI180">
        <v>0</v>
      </c>
      <c r="AJ180">
        <v>0</v>
      </c>
      <c r="AK180">
        <v>0</v>
      </c>
      <c r="AL180">
        <v>13</v>
      </c>
      <c r="AM180">
        <v>0</v>
      </c>
      <c r="AN180">
        <f t="shared" si="6"/>
        <v>13</v>
      </c>
    </row>
    <row r="181" spans="1:42" hidden="1" x14ac:dyDescent="0.2">
      <c r="A181" t="s">
        <v>4507</v>
      </c>
      <c r="B181" t="s">
        <v>4508</v>
      </c>
      <c r="C181">
        <v>6</v>
      </c>
      <c r="D181">
        <v>1</v>
      </c>
      <c r="E181" t="s">
        <v>4191</v>
      </c>
      <c r="F181" s="1">
        <v>43698</v>
      </c>
      <c r="G181" t="s">
        <v>4031</v>
      </c>
      <c r="H181" t="s">
        <v>4724</v>
      </c>
      <c r="I181" s="2">
        <v>8.3333333333333332E-3</v>
      </c>
      <c r="J181" s="176">
        <v>1.3888888888888889E-4</v>
      </c>
      <c r="K181" s="6">
        <v>12</v>
      </c>
      <c r="L181" t="s">
        <v>398</v>
      </c>
      <c r="M181" t="s">
        <v>4509</v>
      </c>
      <c r="N181" t="s">
        <v>102</v>
      </c>
      <c r="O181" t="s">
        <v>115</v>
      </c>
      <c r="P181">
        <v>0</v>
      </c>
      <c r="Q181">
        <v>0</v>
      </c>
      <c r="R181">
        <v>0</v>
      </c>
      <c r="S181" t="s">
        <v>115</v>
      </c>
      <c r="T181" t="s">
        <v>115</v>
      </c>
      <c r="U181" t="s">
        <v>115</v>
      </c>
      <c r="V181" t="s">
        <v>115</v>
      </c>
      <c r="W181" t="s">
        <v>115</v>
      </c>
      <c r="X181" t="s">
        <v>115</v>
      </c>
      <c r="Y181" t="s">
        <v>115</v>
      </c>
      <c r="Z181" t="s">
        <v>115</v>
      </c>
      <c r="AA181" t="s">
        <v>115</v>
      </c>
      <c r="AB181" t="s">
        <v>115</v>
      </c>
      <c r="AC181" t="s">
        <v>115</v>
      </c>
      <c r="AD181" t="s">
        <v>115</v>
      </c>
      <c r="AE181" t="s">
        <v>115</v>
      </c>
      <c r="AF181" t="s">
        <v>115</v>
      </c>
      <c r="AG181" t="s">
        <v>115</v>
      </c>
      <c r="AH181">
        <v>0</v>
      </c>
      <c r="AI181">
        <v>0</v>
      </c>
      <c r="AJ181">
        <v>0</v>
      </c>
      <c r="AK181">
        <v>0</v>
      </c>
      <c r="AL181">
        <v>12</v>
      </c>
      <c r="AM181">
        <v>0</v>
      </c>
      <c r="AN181">
        <f t="shared" si="6"/>
        <v>12</v>
      </c>
    </row>
    <row r="182" spans="1:42" hidden="1" x14ac:dyDescent="0.2">
      <c r="A182" t="s">
        <v>4510</v>
      </c>
      <c r="B182" t="s">
        <v>4511</v>
      </c>
      <c r="C182">
        <v>7</v>
      </c>
      <c r="D182">
        <v>1</v>
      </c>
      <c r="E182" t="s">
        <v>4191</v>
      </c>
      <c r="F182" s="1">
        <v>43698</v>
      </c>
      <c r="G182" t="s">
        <v>4031</v>
      </c>
      <c r="H182" t="s">
        <v>4724</v>
      </c>
      <c r="I182" s="2">
        <v>3.6111111111111115E-2</v>
      </c>
      <c r="J182" s="176">
        <v>6.018518518518519E-4</v>
      </c>
      <c r="K182" s="6">
        <v>52</v>
      </c>
      <c r="L182" t="s">
        <v>398</v>
      </c>
      <c r="M182" t="s">
        <v>4509</v>
      </c>
      <c r="N182" t="s">
        <v>102</v>
      </c>
      <c r="O182" t="s">
        <v>115</v>
      </c>
      <c r="P182">
        <v>0</v>
      </c>
      <c r="Q182">
        <v>0</v>
      </c>
      <c r="R182">
        <v>0</v>
      </c>
      <c r="S182" t="s">
        <v>115</v>
      </c>
      <c r="T182" t="s">
        <v>115</v>
      </c>
      <c r="U182" t="s">
        <v>115</v>
      </c>
      <c r="V182" t="s">
        <v>115</v>
      </c>
      <c r="W182" t="s">
        <v>115</v>
      </c>
      <c r="X182" t="s">
        <v>115</v>
      </c>
      <c r="Y182" t="s">
        <v>115</v>
      </c>
      <c r="Z182" t="s">
        <v>115</v>
      </c>
      <c r="AA182" t="s">
        <v>115</v>
      </c>
      <c r="AB182" t="s">
        <v>115</v>
      </c>
      <c r="AC182" t="s">
        <v>115</v>
      </c>
      <c r="AD182" t="s">
        <v>115</v>
      </c>
      <c r="AE182" t="s">
        <v>115</v>
      </c>
      <c r="AF182" t="s">
        <v>115</v>
      </c>
      <c r="AG182" t="s">
        <v>115</v>
      </c>
      <c r="AH182">
        <v>0</v>
      </c>
      <c r="AI182">
        <v>0</v>
      </c>
      <c r="AJ182">
        <v>0</v>
      </c>
      <c r="AK182">
        <v>0</v>
      </c>
      <c r="AL182">
        <v>49</v>
      </c>
      <c r="AM182">
        <v>0</v>
      </c>
      <c r="AN182">
        <f t="shared" si="6"/>
        <v>49</v>
      </c>
    </row>
    <row r="183" spans="1:42" hidden="1" x14ac:dyDescent="0.2">
      <c r="A183" t="s">
        <v>4520</v>
      </c>
      <c r="B183" t="s">
        <v>4521</v>
      </c>
      <c r="C183">
        <v>12</v>
      </c>
      <c r="D183">
        <v>1</v>
      </c>
      <c r="E183" t="s">
        <v>4191</v>
      </c>
      <c r="F183" s="1">
        <v>43698</v>
      </c>
      <c r="G183" t="s">
        <v>4031</v>
      </c>
      <c r="H183" t="s">
        <v>4724</v>
      </c>
      <c r="I183" s="2">
        <v>2.2222222222222223E-2</v>
      </c>
      <c r="J183" s="176">
        <v>3.7037037037037035E-4</v>
      </c>
      <c r="K183" s="6">
        <v>32</v>
      </c>
      <c r="L183" t="s">
        <v>398</v>
      </c>
      <c r="M183" t="s">
        <v>241</v>
      </c>
      <c r="N183" t="s">
        <v>111</v>
      </c>
      <c r="O183" t="s">
        <v>23</v>
      </c>
      <c r="P183">
        <v>1</v>
      </c>
      <c r="Q183">
        <v>0</v>
      </c>
      <c r="R183">
        <v>1</v>
      </c>
      <c r="S183" t="s">
        <v>112</v>
      </c>
      <c r="T183" t="s">
        <v>4319</v>
      </c>
      <c r="U183" t="s">
        <v>122</v>
      </c>
      <c r="V183" t="s">
        <v>1035</v>
      </c>
      <c r="W183" t="s">
        <v>23</v>
      </c>
      <c r="X183" t="s">
        <v>3997</v>
      </c>
      <c r="Y183" t="s">
        <v>4006</v>
      </c>
      <c r="AA183">
        <v>226</v>
      </c>
      <c r="AB183">
        <v>3</v>
      </c>
      <c r="AC183" s="19">
        <v>63.740259999999999</v>
      </c>
      <c r="AD183" s="19">
        <v>148.89783</v>
      </c>
      <c r="AE183" t="s">
        <v>115</v>
      </c>
      <c r="AF183" t="s">
        <v>115</v>
      </c>
      <c r="AG183" t="s">
        <v>115</v>
      </c>
      <c r="AH183">
        <v>0</v>
      </c>
      <c r="AI183">
        <v>0</v>
      </c>
      <c r="AJ183">
        <v>0</v>
      </c>
      <c r="AK183">
        <v>0</v>
      </c>
      <c r="AL183">
        <v>0</v>
      </c>
      <c r="AM183">
        <v>0</v>
      </c>
      <c r="AN183">
        <f t="shared" si="6"/>
        <v>0</v>
      </c>
      <c r="AP183" t="s">
        <v>4522</v>
      </c>
    </row>
    <row r="184" spans="1:42" hidden="1" x14ac:dyDescent="0.2">
      <c r="A184" t="s">
        <v>4530</v>
      </c>
      <c r="B184" t="s">
        <v>4531</v>
      </c>
      <c r="C184">
        <v>16</v>
      </c>
      <c r="D184">
        <v>1</v>
      </c>
      <c r="E184" t="s">
        <v>4191</v>
      </c>
      <c r="F184" s="1">
        <v>43698</v>
      </c>
      <c r="G184" t="s">
        <v>4031</v>
      </c>
      <c r="H184" t="s">
        <v>4724</v>
      </c>
      <c r="I184" s="2">
        <v>2.2916666666666669E-2</v>
      </c>
      <c r="J184" s="176">
        <v>3.8194444444444446E-4</v>
      </c>
      <c r="K184" s="6">
        <v>33</v>
      </c>
      <c r="L184" t="s">
        <v>398</v>
      </c>
      <c r="M184" t="s">
        <v>241</v>
      </c>
      <c r="N184" t="s">
        <v>568</v>
      </c>
      <c r="O184" t="s">
        <v>23</v>
      </c>
      <c r="P184">
        <v>1</v>
      </c>
      <c r="Q184">
        <v>0</v>
      </c>
      <c r="R184">
        <v>1</v>
      </c>
      <c r="S184" t="s">
        <v>112</v>
      </c>
      <c r="T184" t="s">
        <v>4319</v>
      </c>
      <c r="U184" t="s">
        <v>122</v>
      </c>
      <c r="V184" t="s">
        <v>4385</v>
      </c>
      <c r="W184" t="s">
        <v>23</v>
      </c>
      <c r="X184" t="s">
        <v>3997</v>
      </c>
      <c r="Y184" t="s">
        <v>3810</v>
      </c>
      <c r="AA184">
        <v>232</v>
      </c>
      <c r="AB184">
        <v>9</v>
      </c>
      <c r="AC184" s="19">
        <v>63.740270000000002</v>
      </c>
      <c r="AD184" s="19">
        <v>148.89796000000001</v>
      </c>
      <c r="AE184" t="s">
        <v>115</v>
      </c>
      <c r="AF184" t="s">
        <v>115</v>
      </c>
      <c r="AG184" t="s">
        <v>115</v>
      </c>
      <c r="AH184">
        <v>0</v>
      </c>
      <c r="AI184">
        <v>0</v>
      </c>
      <c r="AJ184">
        <v>0</v>
      </c>
      <c r="AK184">
        <v>0</v>
      </c>
      <c r="AL184">
        <v>4</v>
      </c>
      <c r="AM184">
        <v>0</v>
      </c>
      <c r="AN184">
        <f t="shared" si="6"/>
        <v>4</v>
      </c>
    </row>
    <row r="185" spans="1:42" hidden="1" x14ac:dyDescent="0.2">
      <c r="A185" t="s">
        <v>4520</v>
      </c>
      <c r="B185" t="s">
        <v>4521</v>
      </c>
      <c r="C185">
        <v>12</v>
      </c>
      <c r="D185">
        <v>2</v>
      </c>
      <c r="E185" t="s">
        <v>4191</v>
      </c>
      <c r="F185" s="1">
        <v>43698</v>
      </c>
      <c r="G185" t="s">
        <v>4031</v>
      </c>
      <c r="H185" t="s">
        <v>4724</v>
      </c>
      <c r="I185" s="2">
        <v>2.2222222222222223E-2</v>
      </c>
      <c r="J185" s="176">
        <v>3.7037037037037035E-4</v>
      </c>
      <c r="K185" s="6">
        <v>32</v>
      </c>
      <c r="L185" t="s">
        <v>398</v>
      </c>
      <c r="M185" t="s">
        <v>241</v>
      </c>
      <c r="N185" t="s">
        <v>568</v>
      </c>
      <c r="O185" t="s">
        <v>23</v>
      </c>
      <c r="P185">
        <v>1</v>
      </c>
      <c r="Q185">
        <v>0</v>
      </c>
      <c r="R185">
        <v>1</v>
      </c>
      <c r="S185" t="s">
        <v>112</v>
      </c>
      <c r="T185" t="s">
        <v>4319</v>
      </c>
      <c r="U185" t="s">
        <v>122</v>
      </c>
      <c r="V185" t="s">
        <v>1035</v>
      </c>
      <c r="W185" t="s">
        <v>23</v>
      </c>
      <c r="X185" t="s">
        <v>3997</v>
      </c>
      <c r="Y185" t="s">
        <v>4006</v>
      </c>
      <c r="AA185">
        <v>192</v>
      </c>
      <c r="AB185">
        <v>4</v>
      </c>
      <c r="AC185" s="19">
        <v>63.740279999999998</v>
      </c>
      <c r="AD185" s="19">
        <v>148.89796000000001</v>
      </c>
      <c r="AE185" t="s">
        <v>115</v>
      </c>
      <c r="AF185" t="s">
        <v>115</v>
      </c>
      <c r="AG185" t="s">
        <v>115</v>
      </c>
      <c r="AH185">
        <v>0</v>
      </c>
      <c r="AI185">
        <v>0</v>
      </c>
      <c r="AJ185">
        <v>0</v>
      </c>
      <c r="AK185">
        <v>0</v>
      </c>
      <c r="AL185">
        <v>8</v>
      </c>
      <c r="AM185">
        <v>0</v>
      </c>
      <c r="AN185">
        <f t="shared" si="6"/>
        <v>8</v>
      </c>
      <c r="AP185" t="s">
        <v>4522</v>
      </c>
    </row>
    <row r="186" spans="1:42" hidden="1" x14ac:dyDescent="0.2">
      <c r="A186" t="s">
        <v>4527</v>
      </c>
      <c r="B186" t="s">
        <v>4528</v>
      </c>
      <c r="C186">
        <v>15</v>
      </c>
      <c r="D186">
        <v>2</v>
      </c>
      <c r="E186" t="s">
        <v>4191</v>
      </c>
      <c r="F186" s="1">
        <v>43698</v>
      </c>
      <c r="G186" t="s">
        <v>4031</v>
      </c>
      <c r="H186" t="s">
        <v>4724</v>
      </c>
      <c r="I186" s="2">
        <v>3.125E-2</v>
      </c>
      <c r="J186" s="176">
        <v>5.2083333333333333E-4</v>
      </c>
      <c r="K186" s="6">
        <v>45</v>
      </c>
      <c r="L186" t="s">
        <v>398</v>
      </c>
      <c r="M186" t="s">
        <v>241</v>
      </c>
      <c r="N186" t="s">
        <v>111</v>
      </c>
      <c r="O186" t="s">
        <v>23</v>
      </c>
      <c r="P186">
        <v>1</v>
      </c>
      <c r="Q186">
        <v>0</v>
      </c>
      <c r="R186">
        <v>1</v>
      </c>
      <c r="S186" t="s">
        <v>112</v>
      </c>
      <c r="T186" t="s">
        <v>4319</v>
      </c>
      <c r="U186" t="s">
        <v>122</v>
      </c>
      <c r="V186" t="s">
        <v>1035</v>
      </c>
      <c r="W186" t="s">
        <v>23</v>
      </c>
      <c r="X186" t="s">
        <v>3997</v>
      </c>
      <c r="Y186" t="s">
        <v>4006</v>
      </c>
      <c r="AA186">
        <v>250</v>
      </c>
      <c r="AB186">
        <v>4</v>
      </c>
      <c r="AC186" s="19">
        <v>63.740279999999998</v>
      </c>
      <c r="AD186" s="19">
        <v>148.89796000000001</v>
      </c>
      <c r="AE186" t="s">
        <v>115</v>
      </c>
      <c r="AF186" t="s">
        <v>115</v>
      </c>
      <c r="AG186" t="s">
        <v>115</v>
      </c>
      <c r="AH186">
        <v>0</v>
      </c>
      <c r="AI186">
        <v>0</v>
      </c>
      <c r="AJ186">
        <v>0</v>
      </c>
      <c r="AK186">
        <v>0</v>
      </c>
      <c r="AL186">
        <v>4</v>
      </c>
      <c r="AM186">
        <v>0</v>
      </c>
      <c r="AN186">
        <f t="shared" si="6"/>
        <v>4</v>
      </c>
      <c r="AP186" t="s">
        <v>4529</v>
      </c>
    </row>
    <row r="187" spans="1:42" hidden="1" x14ac:dyDescent="0.2">
      <c r="A187" t="s">
        <v>4523</v>
      </c>
      <c r="B187" t="s">
        <v>4524</v>
      </c>
      <c r="C187">
        <v>13</v>
      </c>
      <c r="D187">
        <v>1</v>
      </c>
      <c r="E187" t="s">
        <v>4191</v>
      </c>
      <c r="F187" s="1">
        <v>43698</v>
      </c>
      <c r="G187" t="s">
        <v>4031</v>
      </c>
      <c r="H187" t="s">
        <v>4724</v>
      </c>
      <c r="I187" s="2">
        <v>2.7083333333333334E-2</v>
      </c>
      <c r="J187" s="176">
        <v>4.5138888888888892E-4</v>
      </c>
      <c r="K187" s="6">
        <v>39</v>
      </c>
      <c r="L187" t="s">
        <v>398</v>
      </c>
      <c r="M187" t="s">
        <v>241</v>
      </c>
      <c r="N187" t="s">
        <v>568</v>
      </c>
      <c r="O187" t="s">
        <v>23</v>
      </c>
      <c r="P187">
        <v>1</v>
      </c>
      <c r="Q187">
        <v>0</v>
      </c>
      <c r="R187">
        <v>1</v>
      </c>
      <c r="S187" t="s">
        <v>112</v>
      </c>
      <c r="T187" t="s">
        <v>4319</v>
      </c>
      <c r="U187" t="s">
        <v>122</v>
      </c>
      <c r="V187" t="s">
        <v>1035</v>
      </c>
      <c r="W187" t="s">
        <v>23</v>
      </c>
      <c r="X187" t="s">
        <v>3997</v>
      </c>
      <c r="Y187" t="s">
        <v>4006</v>
      </c>
      <c r="AA187">
        <v>254</v>
      </c>
      <c r="AB187">
        <v>9</v>
      </c>
      <c r="AC187" s="19">
        <v>63.740310000000001</v>
      </c>
      <c r="AD187" s="19">
        <v>148.89779999999999</v>
      </c>
      <c r="AE187" t="s">
        <v>115</v>
      </c>
      <c r="AF187" t="s">
        <v>115</v>
      </c>
      <c r="AG187" t="s">
        <v>115</v>
      </c>
      <c r="AH187">
        <v>0</v>
      </c>
      <c r="AI187">
        <v>0</v>
      </c>
      <c r="AJ187">
        <v>0</v>
      </c>
      <c r="AK187">
        <v>0</v>
      </c>
      <c r="AL187">
        <v>9</v>
      </c>
      <c r="AM187">
        <v>0</v>
      </c>
      <c r="AN187">
        <f t="shared" si="6"/>
        <v>9</v>
      </c>
    </row>
    <row r="188" spans="1:42" hidden="1" x14ac:dyDescent="0.2">
      <c r="A188" t="s">
        <v>4525</v>
      </c>
      <c r="B188" t="s">
        <v>4526</v>
      </c>
      <c r="C188">
        <v>14</v>
      </c>
      <c r="D188">
        <v>2</v>
      </c>
      <c r="E188" t="s">
        <v>4191</v>
      </c>
      <c r="F188" s="1">
        <v>43698</v>
      </c>
      <c r="G188" t="s">
        <v>4031</v>
      </c>
      <c r="H188" t="s">
        <v>4724</v>
      </c>
      <c r="I188" s="2">
        <v>4.2361111111111106E-2</v>
      </c>
      <c r="J188" s="176">
        <v>7.0601851851851847E-4</v>
      </c>
      <c r="K188" s="6">
        <v>61</v>
      </c>
      <c r="L188" t="s">
        <v>398</v>
      </c>
      <c r="M188" t="s">
        <v>241</v>
      </c>
      <c r="N188" t="s">
        <v>568</v>
      </c>
      <c r="O188" t="s">
        <v>23</v>
      </c>
      <c r="P188">
        <v>1</v>
      </c>
      <c r="Q188">
        <v>0</v>
      </c>
      <c r="R188">
        <v>1</v>
      </c>
      <c r="S188" t="s">
        <v>112</v>
      </c>
      <c r="T188" t="s">
        <v>4319</v>
      </c>
      <c r="U188" t="s">
        <v>122</v>
      </c>
      <c r="V188" t="s">
        <v>1035</v>
      </c>
      <c r="W188" t="s">
        <v>23</v>
      </c>
      <c r="X188" t="s">
        <v>3997</v>
      </c>
      <c r="Y188" t="s">
        <v>4006</v>
      </c>
      <c r="AA188">
        <v>318</v>
      </c>
      <c r="AB188">
        <v>6</v>
      </c>
      <c r="AC188" s="19">
        <v>63.740319999999997</v>
      </c>
      <c r="AD188" s="19">
        <v>148.89780999999999</v>
      </c>
      <c r="AE188" t="s">
        <v>115</v>
      </c>
      <c r="AF188" t="s">
        <v>115</v>
      </c>
      <c r="AG188" t="s">
        <v>115</v>
      </c>
      <c r="AH188">
        <v>0</v>
      </c>
      <c r="AI188">
        <v>0</v>
      </c>
      <c r="AJ188">
        <v>0</v>
      </c>
      <c r="AK188">
        <v>0</v>
      </c>
      <c r="AL188">
        <v>4</v>
      </c>
      <c r="AM188">
        <v>0</v>
      </c>
      <c r="AN188">
        <f t="shared" si="6"/>
        <v>4</v>
      </c>
    </row>
    <row r="189" spans="1:42" hidden="1" x14ac:dyDescent="0.2">
      <c r="A189" t="s">
        <v>4527</v>
      </c>
      <c r="B189" t="s">
        <v>4528</v>
      </c>
      <c r="C189">
        <v>15</v>
      </c>
      <c r="D189">
        <v>1</v>
      </c>
      <c r="E189" t="s">
        <v>4191</v>
      </c>
      <c r="F189" s="1">
        <v>43698</v>
      </c>
      <c r="G189" t="s">
        <v>4031</v>
      </c>
      <c r="H189" t="s">
        <v>4724</v>
      </c>
      <c r="I189" s="2">
        <v>3.125E-2</v>
      </c>
      <c r="J189" s="176">
        <v>5.2083333333333333E-4</v>
      </c>
      <c r="K189" s="6">
        <v>45</v>
      </c>
      <c r="L189" t="s">
        <v>398</v>
      </c>
      <c r="M189" t="s">
        <v>241</v>
      </c>
      <c r="N189" t="s">
        <v>111</v>
      </c>
      <c r="O189" t="s">
        <v>23</v>
      </c>
      <c r="P189">
        <v>1</v>
      </c>
      <c r="Q189">
        <v>0</v>
      </c>
      <c r="R189">
        <v>1</v>
      </c>
      <c r="S189" t="s">
        <v>112</v>
      </c>
      <c r="T189" t="s">
        <v>4319</v>
      </c>
      <c r="U189" t="s">
        <v>122</v>
      </c>
      <c r="V189" t="s">
        <v>333</v>
      </c>
      <c r="W189" t="s">
        <v>23</v>
      </c>
      <c r="X189" t="s">
        <v>3999</v>
      </c>
      <c r="Y189" t="s">
        <v>4006</v>
      </c>
      <c r="AA189">
        <v>300</v>
      </c>
      <c r="AB189">
        <v>4</v>
      </c>
      <c r="AC189" s="19">
        <v>63.740340000000003</v>
      </c>
      <c r="AD189" s="19">
        <v>148.89777000000001</v>
      </c>
      <c r="AE189" t="s">
        <v>115</v>
      </c>
      <c r="AF189" t="s">
        <v>115</v>
      </c>
      <c r="AG189" t="s">
        <v>115</v>
      </c>
      <c r="AH189">
        <v>0</v>
      </c>
      <c r="AI189">
        <v>0</v>
      </c>
      <c r="AJ189">
        <v>0</v>
      </c>
      <c r="AK189">
        <v>0</v>
      </c>
      <c r="AL189">
        <v>0</v>
      </c>
      <c r="AM189">
        <v>0</v>
      </c>
      <c r="AN189">
        <f t="shared" si="6"/>
        <v>0</v>
      </c>
      <c r="AP189" t="s">
        <v>4529</v>
      </c>
    </row>
    <row r="190" spans="1:42" hidden="1" x14ac:dyDescent="0.2">
      <c r="A190" t="s">
        <v>4525</v>
      </c>
      <c r="B190" t="s">
        <v>4526</v>
      </c>
      <c r="C190">
        <v>14</v>
      </c>
      <c r="D190">
        <v>3</v>
      </c>
      <c r="E190" t="s">
        <v>4191</v>
      </c>
      <c r="F190" s="1">
        <v>43698</v>
      </c>
      <c r="G190" t="s">
        <v>4031</v>
      </c>
      <c r="H190" t="s">
        <v>4724</v>
      </c>
      <c r="I190" s="2">
        <v>4.2361111111111106E-2</v>
      </c>
      <c r="J190" s="176">
        <v>7.0601851851851847E-4</v>
      </c>
      <c r="K190" s="6">
        <v>61</v>
      </c>
      <c r="L190" t="s">
        <v>398</v>
      </c>
      <c r="M190" t="s">
        <v>241</v>
      </c>
      <c r="N190" t="s">
        <v>568</v>
      </c>
      <c r="O190" t="s">
        <v>23</v>
      </c>
      <c r="P190">
        <v>1</v>
      </c>
      <c r="Q190">
        <v>0</v>
      </c>
      <c r="R190">
        <v>1</v>
      </c>
      <c r="S190" t="s">
        <v>112</v>
      </c>
      <c r="T190" t="s">
        <v>4319</v>
      </c>
      <c r="U190" t="s">
        <v>122</v>
      </c>
      <c r="V190" t="s">
        <v>4386</v>
      </c>
      <c r="W190" t="s">
        <v>23</v>
      </c>
      <c r="X190" t="s">
        <v>3999</v>
      </c>
      <c r="Y190" t="s">
        <v>3810</v>
      </c>
      <c r="AA190">
        <v>254</v>
      </c>
      <c r="AB190">
        <v>10</v>
      </c>
      <c r="AC190" s="19">
        <v>63.740360000000003</v>
      </c>
      <c r="AD190" s="19">
        <v>148.89764</v>
      </c>
      <c r="AE190" t="s">
        <v>115</v>
      </c>
      <c r="AF190" t="s">
        <v>115</v>
      </c>
      <c r="AG190" t="s">
        <v>115</v>
      </c>
      <c r="AH190">
        <v>0</v>
      </c>
      <c r="AI190">
        <v>0</v>
      </c>
      <c r="AJ190">
        <v>0</v>
      </c>
      <c r="AK190">
        <v>0</v>
      </c>
      <c r="AL190">
        <v>4</v>
      </c>
      <c r="AM190">
        <v>0</v>
      </c>
      <c r="AN190">
        <f t="shared" si="6"/>
        <v>4</v>
      </c>
    </row>
    <row r="191" spans="1:42" hidden="1" x14ac:dyDescent="0.2">
      <c r="A191" t="s">
        <v>4525</v>
      </c>
      <c r="B191" t="s">
        <v>4526</v>
      </c>
      <c r="C191">
        <v>14</v>
      </c>
      <c r="D191">
        <v>1</v>
      </c>
      <c r="E191" t="s">
        <v>4191</v>
      </c>
      <c r="F191" s="1">
        <v>43698</v>
      </c>
      <c r="G191" t="s">
        <v>4031</v>
      </c>
      <c r="H191" t="s">
        <v>4724</v>
      </c>
      <c r="I191" s="2">
        <v>4.2361111111111106E-2</v>
      </c>
      <c r="J191" s="176">
        <v>7.0601851851851847E-4</v>
      </c>
      <c r="K191" s="6">
        <v>61</v>
      </c>
      <c r="L191" t="s">
        <v>398</v>
      </c>
      <c r="M191" t="s">
        <v>241</v>
      </c>
      <c r="N191" t="s">
        <v>568</v>
      </c>
      <c r="O191" t="s">
        <v>23</v>
      </c>
      <c r="P191">
        <v>1</v>
      </c>
      <c r="Q191">
        <v>0</v>
      </c>
      <c r="R191">
        <v>1</v>
      </c>
      <c r="S191" t="s">
        <v>112</v>
      </c>
      <c r="T191" t="s">
        <v>4319</v>
      </c>
      <c r="U191" t="s">
        <v>122</v>
      </c>
      <c r="V191" t="s">
        <v>1035</v>
      </c>
      <c r="W191" t="s">
        <v>23</v>
      </c>
      <c r="X191" t="s">
        <v>3997</v>
      </c>
      <c r="Y191" t="s">
        <v>4006</v>
      </c>
      <c r="AA191">
        <v>112</v>
      </c>
      <c r="AB191">
        <v>2</v>
      </c>
      <c r="AC191" s="19">
        <v>63.740389999999998</v>
      </c>
      <c r="AD191" s="19">
        <v>148.89777000000001</v>
      </c>
      <c r="AE191" t="s">
        <v>115</v>
      </c>
      <c r="AF191" t="s">
        <v>115</v>
      </c>
      <c r="AG191" t="s">
        <v>115</v>
      </c>
      <c r="AH191">
        <v>0</v>
      </c>
      <c r="AI191">
        <v>0</v>
      </c>
      <c r="AJ191">
        <v>0</v>
      </c>
      <c r="AK191">
        <v>0</v>
      </c>
      <c r="AL191">
        <v>7</v>
      </c>
      <c r="AM191">
        <v>0</v>
      </c>
      <c r="AN191">
        <f t="shared" si="6"/>
        <v>7</v>
      </c>
    </row>
    <row r="192" spans="1:42" hidden="1" x14ac:dyDescent="0.2">
      <c r="A192" t="s">
        <v>4523</v>
      </c>
      <c r="B192" t="s">
        <v>4524</v>
      </c>
      <c r="C192">
        <v>13</v>
      </c>
      <c r="D192">
        <v>2</v>
      </c>
      <c r="E192" t="s">
        <v>4191</v>
      </c>
      <c r="F192" s="1">
        <v>43698</v>
      </c>
      <c r="G192" t="s">
        <v>4031</v>
      </c>
      <c r="H192" t="s">
        <v>4724</v>
      </c>
      <c r="I192" s="2">
        <v>2.7083333333333334E-2</v>
      </c>
      <c r="J192" s="176">
        <v>4.5138888888888892E-4</v>
      </c>
      <c r="K192" s="6">
        <v>39</v>
      </c>
      <c r="L192" t="s">
        <v>398</v>
      </c>
      <c r="M192" t="s">
        <v>241</v>
      </c>
      <c r="N192" t="s">
        <v>568</v>
      </c>
      <c r="O192" t="s">
        <v>23</v>
      </c>
      <c r="P192">
        <v>1</v>
      </c>
      <c r="Q192">
        <v>0</v>
      </c>
      <c r="R192">
        <v>1</v>
      </c>
      <c r="S192" t="s">
        <v>112</v>
      </c>
      <c r="T192" t="s">
        <v>4319</v>
      </c>
      <c r="U192" t="s">
        <v>122</v>
      </c>
      <c r="V192" t="s">
        <v>333</v>
      </c>
      <c r="W192" t="s">
        <v>23</v>
      </c>
      <c r="X192" t="s">
        <v>3999</v>
      </c>
      <c r="Y192" t="s">
        <v>4006</v>
      </c>
      <c r="AA192">
        <v>221</v>
      </c>
      <c r="AB192">
        <v>8</v>
      </c>
      <c r="AC192" s="19">
        <v>63.740409999999997</v>
      </c>
      <c r="AD192" s="19">
        <v>148.89762999999999</v>
      </c>
      <c r="AE192" t="s">
        <v>115</v>
      </c>
      <c r="AF192" t="s">
        <v>115</v>
      </c>
      <c r="AG192" t="s">
        <v>115</v>
      </c>
      <c r="AH192">
        <v>0</v>
      </c>
      <c r="AI192">
        <v>0</v>
      </c>
      <c r="AJ192">
        <v>0</v>
      </c>
      <c r="AK192">
        <v>0</v>
      </c>
      <c r="AL192">
        <v>5</v>
      </c>
      <c r="AM192">
        <v>0</v>
      </c>
      <c r="AN192">
        <f t="shared" si="6"/>
        <v>5</v>
      </c>
    </row>
    <row r="193" spans="1:42" hidden="1" x14ac:dyDescent="0.2">
      <c r="A193" t="s">
        <v>4501</v>
      </c>
      <c r="B193" t="s">
        <v>4502</v>
      </c>
      <c r="C193">
        <v>3</v>
      </c>
      <c r="D193">
        <v>1</v>
      </c>
      <c r="E193" t="s">
        <v>4191</v>
      </c>
      <c r="F193" s="1">
        <v>43698</v>
      </c>
      <c r="G193" t="s">
        <v>4031</v>
      </c>
      <c r="H193" t="s">
        <v>4724</v>
      </c>
      <c r="I193" s="2">
        <v>9.6527777777777768E-2</v>
      </c>
      <c r="J193" s="176">
        <v>1.6087962962962963E-3</v>
      </c>
      <c r="K193" s="6">
        <v>139</v>
      </c>
      <c r="L193" t="s">
        <v>884</v>
      </c>
      <c r="M193" t="s">
        <v>466</v>
      </c>
      <c r="N193" t="s">
        <v>568</v>
      </c>
      <c r="O193" t="s">
        <v>23</v>
      </c>
      <c r="P193">
        <v>1</v>
      </c>
      <c r="Q193">
        <v>0</v>
      </c>
      <c r="R193">
        <v>1</v>
      </c>
      <c r="S193" t="s">
        <v>598</v>
      </c>
      <c r="T193" t="s">
        <v>4432</v>
      </c>
      <c r="U193" t="s">
        <v>122</v>
      </c>
      <c r="V193" t="s">
        <v>4386</v>
      </c>
      <c r="W193" t="s">
        <v>23</v>
      </c>
      <c r="X193" t="s">
        <v>3999</v>
      </c>
      <c r="Y193" t="s">
        <v>176</v>
      </c>
      <c r="AA193">
        <v>47</v>
      </c>
      <c r="AB193">
        <v>9</v>
      </c>
      <c r="AC193" s="19">
        <v>63.739420000000003</v>
      </c>
      <c r="AD193" s="19">
        <v>148.90110999999999</v>
      </c>
      <c r="AE193" t="s">
        <v>115</v>
      </c>
      <c r="AF193" t="s">
        <v>115</v>
      </c>
      <c r="AG193" t="s">
        <v>115</v>
      </c>
      <c r="AH193">
        <v>0</v>
      </c>
      <c r="AI193">
        <v>0</v>
      </c>
      <c r="AJ193">
        <v>0</v>
      </c>
      <c r="AK193">
        <v>0</v>
      </c>
      <c r="AL193">
        <v>32</v>
      </c>
      <c r="AM193">
        <v>0</v>
      </c>
      <c r="AN193">
        <f t="shared" si="6"/>
        <v>32</v>
      </c>
    </row>
    <row r="194" spans="1:42" hidden="1" x14ac:dyDescent="0.2">
      <c r="A194" t="s">
        <v>4546</v>
      </c>
      <c r="B194" t="s">
        <v>4547</v>
      </c>
      <c r="C194">
        <v>6</v>
      </c>
      <c r="D194">
        <v>1</v>
      </c>
      <c r="E194" t="s">
        <v>2586</v>
      </c>
      <c r="F194" s="1">
        <v>43699</v>
      </c>
      <c r="G194" t="s">
        <v>4031</v>
      </c>
      <c r="H194" t="s">
        <v>4724</v>
      </c>
      <c r="I194" s="2">
        <v>4.6527777777777779E-2</v>
      </c>
      <c r="J194" s="176">
        <v>7.7546296296296304E-4</v>
      </c>
      <c r="K194" s="6">
        <v>67</v>
      </c>
      <c r="L194" t="s">
        <v>398</v>
      </c>
      <c r="M194" t="s">
        <v>4339</v>
      </c>
      <c r="N194" t="s">
        <v>4412</v>
      </c>
      <c r="O194" t="s">
        <v>23</v>
      </c>
      <c r="P194">
        <v>1</v>
      </c>
      <c r="Q194">
        <v>0</v>
      </c>
      <c r="R194">
        <v>1</v>
      </c>
      <c r="S194" t="s">
        <v>176</v>
      </c>
      <c r="T194" t="s">
        <v>176</v>
      </c>
      <c r="U194" t="s">
        <v>333</v>
      </c>
      <c r="V194" t="s">
        <v>1035</v>
      </c>
      <c r="W194" t="s">
        <v>23</v>
      </c>
      <c r="X194" t="s">
        <v>3997</v>
      </c>
      <c r="Y194" t="s">
        <v>4006</v>
      </c>
      <c r="AA194">
        <v>263</v>
      </c>
      <c r="AB194">
        <v>0</v>
      </c>
      <c r="AC194" s="19">
        <v>63.723080000000003</v>
      </c>
      <c r="AD194" s="19">
        <v>148.88818000000001</v>
      </c>
      <c r="AE194" t="s">
        <v>115</v>
      </c>
      <c r="AF194" t="s">
        <v>115</v>
      </c>
      <c r="AG194" t="s">
        <v>115</v>
      </c>
      <c r="AH194">
        <v>0</v>
      </c>
      <c r="AI194">
        <v>0</v>
      </c>
      <c r="AJ194">
        <v>0</v>
      </c>
      <c r="AK194">
        <v>0</v>
      </c>
      <c r="AL194">
        <v>0</v>
      </c>
      <c r="AM194">
        <v>0</v>
      </c>
      <c r="AN194">
        <f t="shared" si="6"/>
        <v>0</v>
      </c>
    </row>
    <row r="195" spans="1:42" hidden="1" x14ac:dyDescent="0.2">
      <c r="A195" t="s">
        <v>4546</v>
      </c>
      <c r="B195" t="s">
        <v>4547</v>
      </c>
      <c r="C195">
        <v>6</v>
      </c>
      <c r="D195">
        <v>1</v>
      </c>
      <c r="E195" t="s">
        <v>2586</v>
      </c>
      <c r="F195" s="1">
        <v>43699</v>
      </c>
      <c r="G195" t="s">
        <v>4031</v>
      </c>
      <c r="H195" t="s">
        <v>4724</v>
      </c>
      <c r="I195" s="2">
        <v>4.6527777777777779E-2</v>
      </c>
      <c r="J195" s="176">
        <v>7.7546296296296304E-4</v>
      </c>
      <c r="K195" s="6">
        <v>67</v>
      </c>
      <c r="L195" t="s">
        <v>398</v>
      </c>
      <c r="M195" t="s">
        <v>4339</v>
      </c>
      <c r="N195" t="s">
        <v>4412</v>
      </c>
      <c r="O195" t="s">
        <v>23</v>
      </c>
      <c r="P195">
        <v>0</v>
      </c>
      <c r="Q195">
        <v>0</v>
      </c>
      <c r="R195">
        <v>1</v>
      </c>
      <c r="S195" t="s">
        <v>176</v>
      </c>
      <c r="T195" t="s">
        <v>176</v>
      </c>
      <c r="U195" t="s">
        <v>333</v>
      </c>
      <c r="V195" t="s">
        <v>1035</v>
      </c>
      <c r="W195" t="s">
        <v>23</v>
      </c>
      <c r="X195" t="s">
        <v>3997</v>
      </c>
      <c r="Y195" t="s">
        <v>4006</v>
      </c>
      <c r="AA195">
        <v>88</v>
      </c>
      <c r="AB195">
        <v>4</v>
      </c>
      <c r="AC195" s="19">
        <v>63.723080000000003</v>
      </c>
      <c r="AD195" s="19">
        <v>148.88820000000001</v>
      </c>
      <c r="AE195" t="s">
        <v>115</v>
      </c>
      <c r="AF195" t="s">
        <v>115</v>
      </c>
      <c r="AG195" t="s">
        <v>115</v>
      </c>
      <c r="AH195">
        <v>0</v>
      </c>
      <c r="AI195">
        <v>0</v>
      </c>
      <c r="AJ195">
        <v>0</v>
      </c>
      <c r="AK195">
        <v>0</v>
      </c>
      <c r="AL195">
        <v>0</v>
      </c>
      <c r="AM195">
        <v>0</v>
      </c>
      <c r="AN195">
        <f t="shared" si="6"/>
        <v>0</v>
      </c>
    </row>
    <row r="196" spans="1:42" hidden="1" x14ac:dyDescent="0.2">
      <c r="A196" t="s">
        <v>4571</v>
      </c>
      <c r="B196" t="s">
        <v>4572</v>
      </c>
      <c r="C196">
        <v>8</v>
      </c>
      <c r="D196">
        <v>1</v>
      </c>
      <c r="E196" t="s">
        <v>791</v>
      </c>
      <c r="F196" s="1">
        <v>43699</v>
      </c>
      <c r="G196" t="s">
        <v>4031</v>
      </c>
      <c r="H196" t="s">
        <v>4724</v>
      </c>
      <c r="I196" s="2">
        <v>2.2916666666666669E-2</v>
      </c>
      <c r="J196" s="176">
        <v>3.8194444444444446E-4</v>
      </c>
      <c r="K196" s="6">
        <v>33</v>
      </c>
      <c r="L196" t="s">
        <v>398</v>
      </c>
      <c r="M196" t="s">
        <v>241</v>
      </c>
      <c r="N196" t="s">
        <v>111</v>
      </c>
      <c r="O196" t="s">
        <v>23</v>
      </c>
      <c r="P196">
        <v>0</v>
      </c>
      <c r="Q196">
        <v>0</v>
      </c>
      <c r="R196">
        <v>1</v>
      </c>
      <c r="S196" t="s">
        <v>176</v>
      </c>
      <c r="T196" t="s">
        <v>176</v>
      </c>
      <c r="U196" t="s">
        <v>176</v>
      </c>
      <c r="V196" t="s">
        <v>1035</v>
      </c>
      <c r="W196" t="s">
        <v>23</v>
      </c>
      <c r="X196" t="s">
        <v>3997</v>
      </c>
      <c r="Y196" t="s">
        <v>4006</v>
      </c>
      <c r="AA196">
        <v>302</v>
      </c>
      <c r="AB196">
        <v>4</v>
      </c>
      <c r="AC196" s="19">
        <v>63.723129999999998</v>
      </c>
      <c r="AD196" s="19">
        <v>148.96812</v>
      </c>
      <c r="AE196" t="s">
        <v>115</v>
      </c>
      <c r="AF196" t="s">
        <v>115</v>
      </c>
      <c r="AG196" t="s">
        <v>115</v>
      </c>
      <c r="AH196">
        <v>0</v>
      </c>
      <c r="AI196">
        <v>0</v>
      </c>
      <c r="AJ196">
        <v>0</v>
      </c>
      <c r="AK196">
        <v>0</v>
      </c>
      <c r="AL196">
        <v>0</v>
      </c>
      <c r="AN196">
        <f t="shared" si="6"/>
        <v>0</v>
      </c>
    </row>
    <row r="197" spans="1:42" hidden="1" x14ac:dyDescent="0.2">
      <c r="A197" t="s">
        <v>4571</v>
      </c>
      <c r="B197" t="s">
        <v>4572</v>
      </c>
      <c r="C197">
        <v>8</v>
      </c>
      <c r="D197">
        <v>2</v>
      </c>
      <c r="E197" t="s">
        <v>791</v>
      </c>
      <c r="F197" s="1">
        <v>43699</v>
      </c>
      <c r="G197" t="s">
        <v>4031</v>
      </c>
      <c r="H197" t="s">
        <v>4724</v>
      </c>
      <c r="I197" s="2">
        <v>2.2916666666666669E-2</v>
      </c>
      <c r="J197" s="176">
        <v>3.8194444444444446E-4</v>
      </c>
      <c r="K197" s="6">
        <v>33</v>
      </c>
      <c r="L197" t="s">
        <v>398</v>
      </c>
      <c r="M197" t="s">
        <v>241</v>
      </c>
      <c r="N197" t="s">
        <v>111</v>
      </c>
      <c r="O197" t="s">
        <v>23</v>
      </c>
      <c r="P197">
        <v>0</v>
      </c>
      <c r="Q197">
        <v>0</v>
      </c>
      <c r="R197">
        <v>1</v>
      </c>
      <c r="S197" t="s">
        <v>176</v>
      </c>
      <c r="T197" t="s">
        <v>176</v>
      </c>
      <c r="U197" t="s">
        <v>176</v>
      </c>
      <c r="V197" t="s">
        <v>1035</v>
      </c>
      <c r="W197" t="s">
        <v>23</v>
      </c>
      <c r="X197" t="s">
        <v>3997</v>
      </c>
      <c r="Y197" t="s">
        <v>4006</v>
      </c>
      <c r="AA197">
        <v>58</v>
      </c>
      <c r="AB197">
        <v>4</v>
      </c>
      <c r="AC197" s="19">
        <v>63.723129999999998</v>
      </c>
      <c r="AD197" s="19">
        <v>148.96812</v>
      </c>
      <c r="AE197" t="s">
        <v>115</v>
      </c>
      <c r="AF197" t="s">
        <v>115</v>
      </c>
      <c r="AG197" t="s">
        <v>115</v>
      </c>
      <c r="AH197">
        <v>0</v>
      </c>
      <c r="AI197">
        <v>0</v>
      </c>
      <c r="AJ197">
        <v>0</v>
      </c>
      <c r="AK197">
        <v>0</v>
      </c>
      <c r="AL197">
        <v>0</v>
      </c>
      <c r="AN197">
        <f t="shared" si="6"/>
        <v>0</v>
      </c>
      <c r="AP197" t="s">
        <v>4573</v>
      </c>
    </row>
    <row r="198" spans="1:42" hidden="1" x14ac:dyDescent="0.2">
      <c r="A198" t="s">
        <v>4544</v>
      </c>
      <c r="B198" t="s">
        <v>4545</v>
      </c>
      <c r="C198">
        <v>5</v>
      </c>
      <c r="D198">
        <v>1</v>
      </c>
      <c r="E198" t="s">
        <v>2586</v>
      </c>
      <c r="F198" s="1">
        <v>43699</v>
      </c>
      <c r="G198" t="s">
        <v>4031</v>
      </c>
      <c r="H198" t="s">
        <v>4724</v>
      </c>
      <c r="I198" s="2">
        <v>1.3194444444444444E-2</v>
      </c>
      <c r="J198" s="176">
        <v>2.199074074074074E-4</v>
      </c>
      <c r="K198" s="6">
        <v>19</v>
      </c>
      <c r="L198" t="s">
        <v>398</v>
      </c>
      <c r="M198" t="s">
        <v>4339</v>
      </c>
      <c r="N198" t="s">
        <v>111</v>
      </c>
      <c r="O198" t="s">
        <v>23</v>
      </c>
      <c r="P198">
        <v>0</v>
      </c>
      <c r="Q198">
        <v>0</v>
      </c>
      <c r="R198">
        <v>1</v>
      </c>
      <c r="S198" t="s">
        <v>176</v>
      </c>
      <c r="T198" t="s">
        <v>176</v>
      </c>
      <c r="U198" t="s">
        <v>176</v>
      </c>
      <c r="V198" t="s">
        <v>333</v>
      </c>
      <c r="W198" t="s">
        <v>23</v>
      </c>
      <c r="X198" t="s">
        <v>3999</v>
      </c>
      <c r="Y198" t="s">
        <v>4006</v>
      </c>
      <c r="AA198">
        <v>47</v>
      </c>
      <c r="AB198" t="s">
        <v>176</v>
      </c>
      <c r="AC198" s="19">
        <v>63.725569999999998</v>
      </c>
      <c r="AD198" s="19">
        <v>148.88607999999999</v>
      </c>
      <c r="AE198" t="s">
        <v>115</v>
      </c>
      <c r="AF198" t="s">
        <v>115</v>
      </c>
      <c r="AG198" t="s">
        <v>115</v>
      </c>
      <c r="AH198">
        <v>0</v>
      </c>
      <c r="AI198">
        <v>0</v>
      </c>
      <c r="AJ198">
        <v>0</v>
      </c>
      <c r="AK198">
        <v>0</v>
      </c>
      <c r="AL198">
        <v>0</v>
      </c>
      <c r="AM198">
        <v>0</v>
      </c>
      <c r="AN198">
        <f t="shared" si="6"/>
        <v>0</v>
      </c>
    </row>
    <row r="199" spans="1:42" hidden="1" x14ac:dyDescent="0.2">
      <c r="A199" t="s">
        <v>4536</v>
      </c>
      <c r="B199" t="s">
        <v>4537</v>
      </c>
      <c r="C199">
        <v>2</v>
      </c>
      <c r="D199">
        <v>1</v>
      </c>
      <c r="E199" t="s">
        <v>2586</v>
      </c>
      <c r="F199" s="1">
        <v>43699</v>
      </c>
      <c r="G199" t="s">
        <v>4031</v>
      </c>
      <c r="H199" t="s">
        <v>4724</v>
      </c>
      <c r="I199" s="2">
        <v>4.1666666666666664E-2</v>
      </c>
      <c r="J199" s="176">
        <v>6.9444444444444447E-4</v>
      </c>
      <c r="K199" s="6">
        <v>60</v>
      </c>
      <c r="L199" t="s">
        <v>398</v>
      </c>
      <c r="M199" t="s">
        <v>176</v>
      </c>
      <c r="N199" t="s">
        <v>107</v>
      </c>
      <c r="O199" t="s">
        <v>23</v>
      </c>
      <c r="P199">
        <v>1</v>
      </c>
      <c r="Q199">
        <v>0</v>
      </c>
      <c r="R199">
        <v>0</v>
      </c>
      <c r="S199" t="s">
        <v>176</v>
      </c>
      <c r="T199" t="s">
        <v>176</v>
      </c>
      <c r="U199" t="s">
        <v>333</v>
      </c>
      <c r="V199" t="s">
        <v>115</v>
      </c>
      <c r="W199" t="s">
        <v>115</v>
      </c>
      <c r="X199" t="s">
        <v>115</v>
      </c>
      <c r="Y199" t="s">
        <v>115</v>
      </c>
      <c r="Z199" t="s">
        <v>115</v>
      </c>
      <c r="AA199" t="s">
        <v>115</v>
      </c>
      <c r="AB199" t="s">
        <v>115</v>
      </c>
      <c r="AC199" t="s">
        <v>115</v>
      </c>
      <c r="AD199" t="s">
        <v>115</v>
      </c>
      <c r="AE199" t="s">
        <v>115</v>
      </c>
      <c r="AF199" t="s">
        <v>115</v>
      </c>
      <c r="AG199" t="s">
        <v>115</v>
      </c>
      <c r="AH199">
        <v>0</v>
      </c>
      <c r="AI199">
        <v>0</v>
      </c>
      <c r="AJ199">
        <v>0</v>
      </c>
      <c r="AK199">
        <v>0</v>
      </c>
      <c r="AL199">
        <v>0</v>
      </c>
      <c r="AM199">
        <v>0</v>
      </c>
      <c r="AN199">
        <f t="shared" si="6"/>
        <v>0</v>
      </c>
      <c r="AP199" t="s">
        <v>4538</v>
      </c>
    </row>
    <row r="200" spans="1:42" hidden="1" x14ac:dyDescent="0.2">
      <c r="A200" t="s">
        <v>4539</v>
      </c>
      <c r="B200" t="s">
        <v>4540</v>
      </c>
      <c r="C200">
        <v>3</v>
      </c>
      <c r="D200">
        <v>1</v>
      </c>
      <c r="E200" t="s">
        <v>2586</v>
      </c>
      <c r="F200" s="1">
        <v>43699</v>
      </c>
      <c r="G200" t="s">
        <v>4031</v>
      </c>
      <c r="H200" t="s">
        <v>4724</v>
      </c>
      <c r="I200" s="2">
        <v>6.2499999999999995E-3</v>
      </c>
      <c r="J200" s="176">
        <v>1.0416666666666667E-4</v>
      </c>
      <c r="K200" s="6">
        <v>9</v>
      </c>
      <c r="L200" t="s">
        <v>398</v>
      </c>
      <c r="M200" t="s">
        <v>4339</v>
      </c>
      <c r="N200" t="s">
        <v>102</v>
      </c>
      <c r="O200" t="s">
        <v>115</v>
      </c>
      <c r="P200">
        <v>1</v>
      </c>
      <c r="Q200">
        <v>0</v>
      </c>
      <c r="R200">
        <v>0</v>
      </c>
      <c r="S200" t="s">
        <v>176</v>
      </c>
      <c r="T200" t="s">
        <v>176</v>
      </c>
      <c r="U200" t="s">
        <v>122</v>
      </c>
      <c r="V200" t="s">
        <v>115</v>
      </c>
      <c r="W200" t="s">
        <v>115</v>
      </c>
      <c r="X200" t="s">
        <v>115</v>
      </c>
      <c r="Y200" t="s">
        <v>115</v>
      </c>
      <c r="Z200" t="s">
        <v>115</v>
      </c>
      <c r="AA200" t="s">
        <v>115</v>
      </c>
      <c r="AB200" t="s">
        <v>115</v>
      </c>
      <c r="AC200" t="s">
        <v>115</v>
      </c>
      <c r="AD200" t="s">
        <v>115</v>
      </c>
      <c r="AE200" t="s">
        <v>115</v>
      </c>
      <c r="AF200" t="s">
        <v>115</v>
      </c>
      <c r="AG200" t="s">
        <v>115</v>
      </c>
      <c r="AH200">
        <v>0</v>
      </c>
      <c r="AI200">
        <v>0</v>
      </c>
      <c r="AJ200">
        <v>0</v>
      </c>
      <c r="AK200">
        <v>0</v>
      </c>
      <c r="AL200">
        <v>0</v>
      </c>
      <c r="AM200">
        <v>0</v>
      </c>
      <c r="AN200">
        <f t="shared" si="6"/>
        <v>0</v>
      </c>
      <c r="AP200" t="s">
        <v>4541</v>
      </c>
    </row>
    <row r="201" spans="1:42" hidden="1" x14ac:dyDescent="0.2">
      <c r="A201" t="s">
        <v>4548</v>
      </c>
      <c r="B201" t="s">
        <v>4549</v>
      </c>
      <c r="C201">
        <v>7</v>
      </c>
      <c r="D201">
        <v>1</v>
      </c>
      <c r="E201" t="s">
        <v>2586</v>
      </c>
      <c r="F201" s="1">
        <v>43699</v>
      </c>
      <c r="G201" t="s">
        <v>4031</v>
      </c>
      <c r="H201" t="s">
        <v>4724</v>
      </c>
      <c r="I201" s="2">
        <v>9.7222222222222224E-3</v>
      </c>
      <c r="J201" s="176">
        <v>1.6203703703703703E-4</v>
      </c>
      <c r="K201" s="6">
        <v>14</v>
      </c>
      <c r="L201" t="s">
        <v>398</v>
      </c>
      <c r="M201" t="s">
        <v>4339</v>
      </c>
      <c r="N201" t="s">
        <v>107</v>
      </c>
      <c r="O201" t="s">
        <v>115</v>
      </c>
      <c r="P201">
        <v>1</v>
      </c>
      <c r="Q201">
        <v>0</v>
      </c>
      <c r="R201">
        <v>0</v>
      </c>
      <c r="S201" t="s">
        <v>176</v>
      </c>
      <c r="T201" t="s">
        <v>176</v>
      </c>
      <c r="U201" t="s">
        <v>176</v>
      </c>
      <c r="V201" t="s">
        <v>115</v>
      </c>
      <c r="W201" t="s">
        <v>115</v>
      </c>
      <c r="X201" t="s">
        <v>115</v>
      </c>
      <c r="Y201" t="s">
        <v>115</v>
      </c>
      <c r="Z201" t="s">
        <v>115</v>
      </c>
      <c r="AA201" t="s">
        <v>115</v>
      </c>
      <c r="AB201" t="s">
        <v>115</v>
      </c>
      <c r="AC201" t="s">
        <v>115</v>
      </c>
      <c r="AD201" t="s">
        <v>115</v>
      </c>
      <c r="AE201" t="s">
        <v>115</v>
      </c>
      <c r="AF201" t="s">
        <v>115</v>
      </c>
      <c r="AG201" t="s">
        <v>115</v>
      </c>
      <c r="AH201">
        <v>0</v>
      </c>
      <c r="AI201">
        <v>0</v>
      </c>
      <c r="AJ201">
        <v>0</v>
      </c>
      <c r="AK201">
        <v>0</v>
      </c>
      <c r="AL201">
        <v>0</v>
      </c>
      <c r="AM201">
        <v>0</v>
      </c>
      <c r="AN201">
        <f t="shared" si="6"/>
        <v>0</v>
      </c>
      <c r="AP201" t="s">
        <v>4550</v>
      </c>
    </row>
    <row r="202" spans="1:42" hidden="1" x14ac:dyDescent="0.2">
      <c r="A202" t="s">
        <v>4553</v>
      </c>
      <c r="B202" t="s">
        <v>4554</v>
      </c>
      <c r="C202">
        <v>1</v>
      </c>
      <c r="D202">
        <v>1</v>
      </c>
      <c r="E202" t="s">
        <v>791</v>
      </c>
      <c r="F202" s="1">
        <v>43699</v>
      </c>
      <c r="G202" t="s">
        <v>4031</v>
      </c>
      <c r="H202" t="s">
        <v>4724</v>
      </c>
      <c r="I202" s="2">
        <v>1.9444444444444445E-2</v>
      </c>
      <c r="J202" s="176">
        <v>3.2407407407407406E-4</v>
      </c>
      <c r="K202" s="6">
        <v>28</v>
      </c>
      <c r="L202" t="s">
        <v>398</v>
      </c>
      <c r="M202" t="s">
        <v>927</v>
      </c>
      <c r="N202" t="s">
        <v>102</v>
      </c>
      <c r="O202" t="s">
        <v>115</v>
      </c>
      <c r="P202" t="s">
        <v>176</v>
      </c>
      <c r="Q202">
        <v>0</v>
      </c>
      <c r="R202">
        <v>0</v>
      </c>
      <c r="S202" t="s">
        <v>115</v>
      </c>
      <c r="T202" t="s">
        <v>115</v>
      </c>
      <c r="U202" t="s">
        <v>115</v>
      </c>
      <c r="V202" t="s">
        <v>115</v>
      </c>
      <c r="W202" t="s">
        <v>115</v>
      </c>
      <c r="X202" t="s">
        <v>115</v>
      </c>
      <c r="Y202" t="s">
        <v>115</v>
      </c>
      <c r="Z202" t="s">
        <v>115</v>
      </c>
      <c r="AA202" t="s">
        <v>115</v>
      </c>
      <c r="AB202" t="s">
        <v>115</v>
      </c>
      <c r="AC202" t="s">
        <v>115</v>
      </c>
      <c r="AD202" t="s">
        <v>115</v>
      </c>
      <c r="AE202" t="s">
        <v>115</v>
      </c>
      <c r="AF202" t="s">
        <v>115</v>
      </c>
      <c r="AG202" t="s">
        <v>115</v>
      </c>
      <c r="AH202">
        <v>0</v>
      </c>
      <c r="AI202">
        <v>0</v>
      </c>
      <c r="AJ202">
        <v>0</v>
      </c>
      <c r="AK202">
        <v>0</v>
      </c>
      <c r="AL202">
        <v>12</v>
      </c>
      <c r="AM202">
        <v>0</v>
      </c>
      <c r="AN202">
        <f t="shared" si="6"/>
        <v>12</v>
      </c>
    </row>
    <row r="203" spans="1:42" hidden="1" x14ac:dyDescent="0.2">
      <c r="A203" t="s">
        <v>4567</v>
      </c>
      <c r="B203" t="s">
        <v>4568</v>
      </c>
      <c r="C203">
        <v>6</v>
      </c>
      <c r="D203">
        <v>1</v>
      </c>
      <c r="E203" t="s">
        <v>791</v>
      </c>
      <c r="F203" s="1">
        <v>43699</v>
      </c>
      <c r="G203" t="s">
        <v>4031</v>
      </c>
      <c r="H203" t="s">
        <v>4724</v>
      </c>
      <c r="I203" s="2">
        <v>3.4722222222222224E-2</v>
      </c>
      <c r="J203" s="176">
        <v>5.7870370370370378E-4</v>
      </c>
      <c r="K203" s="6">
        <v>50</v>
      </c>
      <c r="L203" t="s">
        <v>398</v>
      </c>
      <c r="M203" t="s">
        <v>4280</v>
      </c>
      <c r="N203" t="s">
        <v>102</v>
      </c>
      <c r="O203" t="s">
        <v>115</v>
      </c>
      <c r="P203" t="s">
        <v>176</v>
      </c>
      <c r="Q203">
        <v>0</v>
      </c>
      <c r="R203">
        <v>0</v>
      </c>
      <c r="S203" t="s">
        <v>115</v>
      </c>
      <c r="T203" t="s">
        <v>115</v>
      </c>
      <c r="U203" t="s">
        <v>115</v>
      </c>
      <c r="V203" t="s">
        <v>115</v>
      </c>
      <c r="W203" t="s">
        <v>115</v>
      </c>
      <c r="X203" t="s">
        <v>115</v>
      </c>
      <c r="Y203" t="s">
        <v>115</v>
      </c>
      <c r="Z203" t="s">
        <v>115</v>
      </c>
      <c r="AA203" t="s">
        <v>115</v>
      </c>
      <c r="AB203" t="s">
        <v>115</v>
      </c>
      <c r="AC203" t="s">
        <v>115</v>
      </c>
      <c r="AD203" t="s">
        <v>115</v>
      </c>
      <c r="AE203" t="s">
        <v>115</v>
      </c>
      <c r="AF203" t="s">
        <v>115</v>
      </c>
      <c r="AG203" t="s">
        <v>115</v>
      </c>
      <c r="AH203">
        <v>0</v>
      </c>
      <c r="AI203">
        <v>0</v>
      </c>
      <c r="AJ203">
        <v>0</v>
      </c>
      <c r="AK203">
        <v>0</v>
      </c>
      <c r="AL203">
        <v>33</v>
      </c>
      <c r="AM203">
        <v>0</v>
      </c>
      <c r="AN203">
        <f t="shared" si="6"/>
        <v>33</v>
      </c>
    </row>
    <row r="204" spans="1:42" hidden="1" x14ac:dyDescent="0.2">
      <c r="A204" t="s">
        <v>4569</v>
      </c>
      <c r="B204" t="s">
        <v>4570</v>
      </c>
      <c r="C204">
        <v>7</v>
      </c>
      <c r="D204">
        <v>1</v>
      </c>
      <c r="E204" t="s">
        <v>791</v>
      </c>
      <c r="F204" s="1">
        <v>43699</v>
      </c>
      <c r="G204" t="s">
        <v>4031</v>
      </c>
      <c r="H204" t="s">
        <v>4724</v>
      </c>
      <c r="I204" s="2">
        <v>2.9861111111111113E-2</v>
      </c>
      <c r="J204" s="176">
        <v>4.9768518518518521E-4</v>
      </c>
      <c r="K204" s="6">
        <v>43</v>
      </c>
      <c r="L204" t="s">
        <v>398</v>
      </c>
      <c r="M204" t="s">
        <v>241</v>
      </c>
      <c r="N204" t="s">
        <v>102</v>
      </c>
      <c r="O204" t="s">
        <v>23</v>
      </c>
      <c r="P204" t="s">
        <v>176</v>
      </c>
      <c r="Q204">
        <v>0</v>
      </c>
      <c r="R204" t="s">
        <v>176</v>
      </c>
      <c r="S204" t="s">
        <v>115</v>
      </c>
      <c r="T204" t="s">
        <v>115</v>
      </c>
      <c r="U204" t="s">
        <v>115</v>
      </c>
      <c r="V204" t="s">
        <v>115</v>
      </c>
      <c r="W204" t="s">
        <v>115</v>
      </c>
      <c r="X204" t="s">
        <v>115</v>
      </c>
      <c r="Y204" t="s">
        <v>115</v>
      </c>
      <c r="Z204" t="s">
        <v>115</v>
      </c>
      <c r="AA204" t="s">
        <v>115</v>
      </c>
      <c r="AB204" t="s">
        <v>115</v>
      </c>
      <c r="AC204" t="s">
        <v>115</v>
      </c>
      <c r="AD204" t="s">
        <v>115</v>
      </c>
      <c r="AE204" t="s">
        <v>115</v>
      </c>
      <c r="AF204" t="s">
        <v>115</v>
      </c>
      <c r="AG204" t="s">
        <v>115</v>
      </c>
      <c r="AH204">
        <v>0</v>
      </c>
      <c r="AI204">
        <v>10</v>
      </c>
      <c r="AJ204">
        <v>0</v>
      </c>
      <c r="AK204">
        <v>10</v>
      </c>
      <c r="AL204">
        <v>0</v>
      </c>
      <c r="AM204">
        <v>0</v>
      </c>
      <c r="AN204">
        <f t="shared" si="6"/>
        <v>10</v>
      </c>
    </row>
    <row r="205" spans="1:42" hidden="1" x14ac:dyDescent="0.2">
      <c r="A205" t="s">
        <v>4555</v>
      </c>
      <c r="B205" t="s">
        <v>4556</v>
      </c>
      <c r="C205">
        <v>2</v>
      </c>
      <c r="D205">
        <v>1</v>
      </c>
      <c r="E205" t="s">
        <v>791</v>
      </c>
      <c r="F205" s="1">
        <v>43699</v>
      </c>
      <c r="G205" t="s">
        <v>4031</v>
      </c>
      <c r="H205" t="s">
        <v>4724</v>
      </c>
      <c r="I205" s="2">
        <v>1.7361111111111112E-2</v>
      </c>
      <c r="J205" s="176">
        <v>2.8935185185185189E-4</v>
      </c>
      <c r="K205" s="6">
        <v>25</v>
      </c>
      <c r="L205" t="s">
        <v>398</v>
      </c>
      <c r="M205" t="s">
        <v>924</v>
      </c>
      <c r="N205" t="s">
        <v>568</v>
      </c>
      <c r="O205" t="s">
        <v>23</v>
      </c>
      <c r="P205">
        <v>1</v>
      </c>
      <c r="Q205">
        <v>0</v>
      </c>
      <c r="R205">
        <v>1</v>
      </c>
      <c r="S205" t="s">
        <v>112</v>
      </c>
      <c r="T205" t="s">
        <v>4557</v>
      </c>
      <c r="U205" t="s">
        <v>122</v>
      </c>
      <c r="V205" t="s">
        <v>1035</v>
      </c>
      <c r="W205" t="s">
        <v>23</v>
      </c>
      <c r="X205" t="s">
        <v>3997</v>
      </c>
      <c r="Y205" t="s">
        <v>4006</v>
      </c>
      <c r="AA205">
        <v>96</v>
      </c>
      <c r="AB205">
        <v>2</v>
      </c>
      <c r="AC205" s="19">
        <v>63.72128</v>
      </c>
      <c r="AD205" s="19">
        <v>148.96617000000001</v>
      </c>
      <c r="AE205" t="s">
        <v>115</v>
      </c>
      <c r="AF205" t="s">
        <v>115</v>
      </c>
      <c r="AG205" t="s">
        <v>115</v>
      </c>
      <c r="AH205">
        <v>0</v>
      </c>
      <c r="AI205">
        <v>0</v>
      </c>
      <c r="AJ205">
        <v>0</v>
      </c>
      <c r="AK205">
        <v>0</v>
      </c>
      <c r="AL205">
        <v>0</v>
      </c>
      <c r="AM205">
        <v>0</v>
      </c>
      <c r="AN205">
        <f t="shared" si="6"/>
        <v>0</v>
      </c>
      <c r="AP205" t="s">
        <v>4558</v>
      </c>
    </row>
    <row r="206" spans="1:42" hidden="1" x14ac:dyDescent="0.2">
      <c r="A206" t="s">
        <v>4559</v>
      </c>
      <c r="B206" t="s">
        <v>4560</v>
      </c>
      <c r="C206">
        <v>3</v>
      </c>
      <c r="D206">
        <v>1</v>
      </c>
      <c r="E206" t="s">
        <v>791</v>
      </c>
      <c r="F206" s="1">
        <v>43699</v>
      </c>
      <c r="G206" t="s">
        <v>4031</v>
      </c>
      <c r="H206" t="s">
        <v>4724</v>
      </c>
      <c r="I206" s="2">
        <v>4.6527777777777779E-2</v>
      </c>
      <c r="J206" s="176">
        <v>7.7546296296296304E-4</v>
      </c>
      <c r="K206" s="6">
        <v>67</v>
      </c>
      <c r="L206" t="s">
        <v>398</v>
      </c>
      <c r="M206" t="s">
        <v>4280</v>
      </c>
      <c r="N206" t="s">
        <v>102</v>
      </c>
      <c r="O206" t="s">
        <v>23</v>
      </c>
      <c r="P206">
        <v>1</v>
      </c>
      <c r="Q206">
        <v>0</v>
      </c>
      <c r="R206">
        <v>1</v>
      </c>
      <c r="S206" t="s">
        <v>112</v>
      </c>
      <c r="T206" t="s">
        <v>4557</v>
      </c>
      <c r="U206" t="s">
        <v>122</v>
      </c>
      <c r="V206" t="s">
        <v>4385</v>
      </c>
      <c r="W206" t="s">
        <v>23</v>
      </c>
      <c r="X206" t="s">
        <v>3997</v>
      </c>
      <c r="Y206" t="s">
        <v>3810</v>
      </c>
      <c r="AA206">
        <v>260</v>
      </c>
      <c r="AB206">
        <v>8</v>
      </c>
      <c r="AC206" s="19">
        <v>63.72137</v>
      </c>
      <c r="AD206" s="19">
        <v>148.96625</v>
      </c>
      <c r="AE206" t="s">
        <v>115</v>
      </c>
      <c r="AF206" t="s">
        <v>115</v>
      </c>
      <c r="AG206" t="s">
        <v>115</v>
      </c>
      <c r="AH206">
        <v>0</v>
      </c>
      <c r="AI206">
        <v>0</v>
      </c>
      <c r="AJ206">
        <v>0</v>
      </c>
      <c r="AK206">
        <v>0</v>
      </c>
      <c r="AL206">
        <v>19</v>
      </c>
      <c r="AM206">
        <v>0</v>
      </c>
      <c r="AN206">
        <f t="shared" si="6"/>
        <v>19</v>
      </c>
    </row>
    <row r="207" spans="1:42" hidden="1" x14ac:dyDescent="0.2">
      <c r="A207" t="s">
        <v>4551</v>
      </c>
      <c r="B207" t="s">
        <v>4552</v>
      </c>
      <c r="C207">
        <v>8</v>
      </c>
      <c r="D207">
        <v>1</v>
      </c>
      <c r="E207" t="s">
        <v>2586</v>
      </c>
      <c r="F207" s="1">
        <v>43699</v>
      </c>
      <c r="G207" t="s">
        <v>4031</v>
      </c>
      <c r="H207" t="s">
        <v>4724</v>
      </c>
      <c r="I207" s="2">
        <v>2.6388888888888889E-2</v>
      </c>
      <c r="J207" s="176">
        <v>4.3981481481481481E-4</v>
      </c>
      <c r="K207" s="6">
        <v>38</v>
      </c>
      <c r="L207" t="s">
        <v>398</v>
      </c>
      <c r="M207" t="s">
        <v>176</v>
      </c>
      <c r="N207" t="s">
        <v>111</v>
      </c>
      <c r="O207" t="s">
        <v>23</v>
      </c>
      <c r="P207">
        <v>0</v>
      </c>
      <c r="Q207">
        <v>0</v>
      </c>
      <c r="R207">
        <v>1</v>
      </c>
      <c r="S207" t="s">
        <v>112</v>
      </c>
      <c r="T207" t="s">
        <v>4214</v>
      </c>
      <c r="U207" t="s">
        <v>176</v>
      </c>
      <c r="V207" t="s">
        <v>333</v>
      </c>
      <c r="W207" t="s">
        <v>23</v>
      </c>
      <c r="X207" t="s">
        <v>3999</v>
      </c>
      <c r="Y207" t="s">
        <v>4006</v>
      </c>
      <c r="AA207">
        <v>96</v>
      </c>
      <c r="AB207" t="s">
        <v>176</v>
      </c>
      <c r="AC207" s="19">
        <v>63.722659999999998</v>
      </c>
      <c r="AD207" s="19">
        <v>148.88942</v>
      </c>
      <c r="AE207" t="s">
        <v>115</v>
      </c>
      <c r="AF207" t="s">
        <v>115</v>
      </c>
      <c r="AG207" t="s">
        <v>115</v>
      </c>
      <c r="AH207">
        <v>0</v>
      </c>
      <c r="AI207">
        <v>0</v>
      </c>
      <c r="AJ207">
        <v>0</v>
      </c>
      <c r="AK207">
        <v>0</v>
      </c>
      <c r="AL207">
        <v>0</v>
      </c>
      <c r="AM207">
        <v>0</v>
      </c>
      <c r="AN207">
        <f t="shared" si="6"/>
        <v>0</v>
      </c>
    </row>
    <row r="208" spans="1:42" hidden="1" x14ac:dyDescent="0.2">
      <c r="A208" t="s">
        <v>4551</v>
      </c>
      <c r="B208" t="s">
        <v>4552</v>
      </c>
      <c r="C208">
        <v>8</v>
      </c>
      <c r="D208">
        <v>2</v>
      </c>
      <c r="E208" t="s">
        <v>2586</v>
      </c>
      <c r="F208" s="1">
        <v>43699</v>
      </c>
      <c r="G208" t="s">
        <v>4031</v>
      </c>
      <c r="H208" t="s">
        <v>4724</v>
      </c>
      <c r="I208" s="2">
        <v>2.6388888888888889E-2</v>
      </c>
      <c r="J208" s="176">
        <v>4.3981481481481481E-4</v>
      </c>
      <c r="K208" s="6">
        <v>38</v>
      </c>
      <c r="L208" t="s">
        <v>398</v>
      </c>
      <c r="M208" t="s">
        <v>176</v>
      </c>
      <c r="N208" t="s">
        <v>111</v>
      </c>
      <c r="O208" t="s">
        <v>23</v>
      </c>
      <c r="P208">
        <v>1</v>
      </c>
      <c r="Q208">
        <v>0</v>
      </c>
      <c r="R208">
        <v>1</v>
      </c>
      <c r="S208" t="s">
        <v>112</v>
      </c>
      <c r="T208" t="s">
        <v>4214</v>
      </c>
      <c r="U208" t="s">
        <v>122</v>
      </c>
      <c r="V208" t="s">
        <v>333</v>
      </c>
      <c r="W208" t="s">
        <v>23</v>
      </c>
      <c r="X208" t="s">
        <v>3999</v>
      </c>
      <c r="Y208" t="s">
        <v>4006</v>
      </c>
      <c r="AA208">
        <v>240</v>
      </c>
      <c r="AB208">
        <v>6</v>
      </c>
      <c r="AC208" s="19">
        <v>63.722819999999999</v>
      </c>
      <c r="AD208" s="19">
        <v>148.88938999999999</v>
      </c>
      <c r="AE208" t="s">
        <v>115</v>
      </c>
      <c r="AF208" t="s">
        <v>115</v>
      </c>
      <c r="AG208" t="s">
        <v>115</v>
      </c>
      <c r="AH208">
        <v>0</v>
      </c>
      <c r="AI208">
        <v>0</v>
      </c>
      <c r="AJ208">
        <v>0</v>
      </c>
      <c r="AK208">
        <v>0</v>
      </c>
      <c r="AL208">
        <v>6</v>
      </c>
      <c r="AM208">
        <v>0</v>
      </c>
      <c r="AN208">
        <f t="shared" si="6"/>
        <v>6</v>
      </c>
    </row>
    <row r="209" spans="1:42" hidden="1" x14ac:dyDescent="0.2">
      <c r="A209" t="s">
        <v>4576</v>
      </c>
      <c r="B209" t="s">
        <v>4577</v>
      </c>
      <c r="C209">
        <v>10</v>
      </c>
      <c r="D209">
        <v>1</v>
      </c>
      <c r="E209" t="s">
        <v>791</v>
      </c>
      <c r="F209" s="1">
        <v>43699</v>
      </c>
      <c r="G209" t="s">
        <v>4031</v>
      </c>
      <c r="H209" t="s">
        <v>4724</v>
      </c>
      <c r="I209" s="2">
        <v>3.125E-2</v>
      </c>
      <c r="J209" s="176">
        <v>5.2083333333333333E-4</v>
      </c>
      <c r="K209" s="6">
        <v>45</v>
      </c>
      <c r="L209" t="s">
        <v>398</v>
      </c>
      <c r="M209" t="s">
        <v>241</v>
      </c>
      <c r="N209" t="s">
        <v>568</v>
      </c>
      <c r="O209" t="s">
        <v>23</v>
      </c>
      <c r="P209">
        <v>1</v>
      </c>
      <c r="Q209">
        <v>0</v>
      </c>
      <c r="R209">
        <v>1</v>
      </c>
      <c r="S209" t="s">
        <v>112</v>
      </c>
      <c r="T209" t="s">
        <v>4319</v>
      </c>
      <c r="U209" t="s">
        <v>4578</v>
      </c>
      <c r="V209" t="s">
        <v>1035</v>
      </c>
      <c r="W209" t="s">
        <v>23</v>
      </c>
      <c r="X209" t="s">
        <v>3997</v>
      </c>
      <c r="Y209" t="s">
        <v>4006</v>
      </c>
      <c r="AA209">
        <v>339</v>
      </c>
      <c r="AB209">
        <v>13</v>
      </c>
      <c r="AC209" s="19">
        <v>63.723280000000003</v>
      </c>
      <c r="AD209" s="19">
        <v>148.96852000000001</v>
      </c>
      <c r="AE209" t="s">
        <v>115</v>
      </c>
      <c r="AF209" t="s">
        <v>115</v>
      </c>
      <c r="AG209" t="s">
        <v>115</v>
      </c>
      <c r="AH209">
        <v>0</v>
      </c>
      <c r="AI209">
        <v>0</v>
      </c>
      <c r="AJ209">
        <v>0</v>
      </c>
      <c r="AK209">
        <v>0</v>
      </c>
      <c r="AL209">
        <v>5</v>
      </c>
      <c r="AM209">
        <v>0</v>
      </c>
      <c r="AN209">
        <f t="shared" ref="AN209:AN240" si="7">SUM(AH209+AI209+AL209+AM209)</f>
        <v>5</v>
      </c>
      <c r="AP209" t="s">
        <v>4579</v>
      </c>
    </row>
    <row r="210" spans="1:42" hidden="1" x14ac:dyDescent="0.2">
      <c r="A210" t="s">
        <v>4574</v>
      </c>
      <c r="B210" t="s">
        <v>4575</v>
      </c>
      <c r="C210">
        <v>9</v>
      </c>
      <c r="D210">
        <v>1</v>
      </c>
      <c r="E210" t="s">
        <v>791</v>
      </c>
      <c r="F210" s="1">
        <v>43699</v>
      </c>
      <c r="G210" t="s">
        <v>4031</v>
      </c>
      <c r="H210" t="s">
        <v>4724</v>
      </c>
      <c r="I210" s="2">
        <v>2.1527777777777781E-2</v>
      </c>
      <c r="J210" s="176">
        <v>3.5879629629629635E-4</v>
      </c>
      <c r="K210" s="6">
        <v>31</v>
      </c>
      <c r="L210" t="s">
        <v>398</v>
      </c>
      <c r="M210" t="s">
        <v>241</v>
      </c>
      <c r="N210" t="s">
        <v>568</v>
      </c>
      <c r="O210" t="s">
        <v>23</v>
      </c>
      <c r="P210">
        <v>1</v>
      </c>
      <c r="Q210">
        <v>0</v>
      </c>
      <c r="R210">
        <v>1</v>
      </c>
      <c r="S210" t="s">
        <v>112</v>
      </c>
      <c r="T210" t="s">
        <v>4319</v>
      </c>
      <c r="U210" t="s">
        <v>122</v>
      </c>
      <c r="V210" t="s">
        <v>333</v>
      </c>
      <c r="W210" t="s">
        <v>23</v>
      </c>
      <c r="X210" t="s">
        <v>3999</v>
      </c>
      <c r="Y210" t="s">
        <v>4006</v>
      </c>
      <c r="AA210">
        <v>57</v>
      </c>
      <c r="AB210">
        <v>8</v>
      </c>
      <c r="AC210" s="19">
        <v>63.723329999999997</v>
      </c>
      <c r="AD210" s="19">
        <v>148.96884</v>
      </c>
      <c r="AE210" t="s">
        <v>115</v>
      </c>
      <c r="AF210" t="s">
        <v>115</v>
      </c>
      <c r="AG210" t="s">
        <v>115</v>
      </c>
      <c r="AH210">
        <v>0</v>
      </c>
      <c r="AI210">
        <v>0</v>
      </c>
      <c r="AJ210">
        <v>0</v>
      </c>
      <c r="AK210">
        <v>0</v>
      </c>
      <c r="AL210">
        <v>13</v>
      </c>
      <c r="AM210">
        <v>0</v>
      </c>
      <c r="AN210">
        <f t="shared" si="7"/>
        <v>13</v>
      </c>
    </row>
    <row r="211" spans="1:42" hidden="1" x14ac:dyDescent="0.2">
      <c r="A211" t="s">
        <v>4532</v>
      </c>
      <c r="B211" t="s">
        <v>4533</v>
      </c>
      <c r="C211">
        <v>1</v>
      </c>
      <c r="D211">
        <v>1</v>
      </c>
      <c r="E211" t="s">
        <v>2586</v>
      </c>
      <c r="F211" s="1">
        <v>43699</v>
      </c>
      <c r="G211" t="s">
        <v>4031</v>
      </c>
      <c r="H211" t="s">
        <v>4724</v>
      </c>
      <c r="I211" s="2">
        <v>3.0555555555555555E-2</v>
      </c>
      <c r="J211" s="176">
        <v>5.0925925925925921E-4</v>
      </c>
      <c r="K211" s="6">
        <v>44</v>
      </c>
      <c r="L211" t="s">
        <v>398</v>
      </c>
      <c r="M211" t="s">
        <v>4339</v>
      </c>
      <c r="N211" t="s">
        <v>4534</v>
      </c>
      <c r="O211" t="s">
        <v>23</v>
      </c>
      <c r="P211">
        <v>1</v>
      </c>
      <c r="Q211">
        <v>0</v>
      </c>
      <c r="R211">
        <v>1</v>
      </c>
      <c r="S211" t="s">
        <v>112</v>
      </c>
      <c r="T211" t="s">
        <v>4214</v>
      </c>
      <c r="U211" t="s">
        <v>176</v>
      </c>
      <c r="V211" t="s">
        <v>4386</v>
      </c>
      <c r="W211" t="s">
        <v>23</v>
      </c>
      <c r="X211" t="s">
        <v>3999</v>
      </c>
      <c r="Y211" t="s">
        <v>176</v>
      </c>
      <c r="AA211">
        <v>249</v>
      </c>
      <c r="AB211" t="s">
        <v>176</v>
      </c>
      <c r="AC211" s="19">
        <v>63.724719999999998</v>
      </c>
      <c r="AD211" s="19">
        <v>148.88774000000001</v>
      </c>
      <c r="AE211" t="s">
        <v>115</v>
      </c>
      <c r="AF211" t="s">
        <v>115</v>
      </c>
      <c r="AG211" t="s">
        <v>115</v>
      </c>
      <c r="AH211">
        <v>0</v>
      </c>
      <c r="AI211">
        <v>0</v>
      </c>
      <c r="AJ211">
        <v>0</v>
      </c>
      <c r="AK211">
        <v>0</v>
      </c>
      <c r="AL211">
        <v>0</v>
      </c>
      <c r="AM211">
        <v>0</v>
      </c>
      <c r="AN211">
        <f t="shared" si="7"/>
        <v>0</v>
      </c>
      <c r="AP211" t="s">
        <v>4535</v>
      </c>
    </row>
    <row r="212" spans="1:42" hidden="1" x14ac:dyDescent="0.2">
      <c r="A212" t="s">
        <v>4542</v>
      </c>
      <c r="B212" t="s">
        <v>4543</v>
      </c>
      <c r="C212">
        <v>4</v>
      </c>
      <c r="D212">
        <v>1</v>
      </c>
      <c r="E212" t="s">
        <v>2586</v>
      </c>
      <c r="F212" s="1">
        <v>43699</v>
      </c>
      <c r="G212" t="s">
        <v>4031</v>
      </c>
      <c r="H212" t="s">
        <v>4724</v>
      </c>
      <c r="I212" s="2">
        <v>2.6388888888888889E-2</v>
      </c>
      <c r="J212" s="176">
        <v>4.3981481481481481E-4</v>
      </c>
      <c r="K212" s="6">
        <v>38</v>
      </c>
      <c r="L212" t="s">
        <v>398</v>
      </c>
      <c r="M212" t="s">
        <v>4339</v>
      </c>
      <c r="N212" t="s">
        <v>102</v>
      </c>
      <c r="O212" t="s">
        <v>115</v>
      </c>
      <c r="P212">
        <v>1</v>
      </c>
      <c r="Q212">
        <v>0</v>
      </c>
      <c r="R212">
        <v>0</v>
      </c>
      <c r="S212" t="s">
        <v>112</v>
      </c>
      <c r="T212" t="s">
        <v>4319</v>
      </c>
      <c r="U212" t="s">
        <v>122</v>
      </c>
      <c r="V212" t="s">
        <v>115</v>
      </c>
      <c r="W212" t="s">
        <v>115</v>
      </c>
      <c r="X212" t="s">
        <v>115</v>
      </c>
      <c r="Y212" t="s">
        <v>115</v>
      </c>
      <c r="Z212" t="s">
        <v>115</v>
      </c>
      <c r="AA212" t="s">
        <v>115</v>
      </c>
      <c r="AB212" t="s">
        <v>115</v>
      </c>
      <c r="AC212" t="s">
        <v>115</v>
      </c>
      <c r="AD212" t="s">
        <v>115</v>
      </c>
      <c r="AE212" t="s">
        <v>115</v>
      </c>
      <c r="AF212" t="s">
        <v>115</v>
      </c>
      <c r="AG212" t="s">
        <v>115</v>
      </c>
      <c r="AH212">
        <v>0</v>
      </c>
      <c r="AI212">
        <v>0</v>
      </c>
      <c r="AJ212">
        <v>0</v>
      </c>
      <c r="AK212">
        <v>0</v>
      </c>
      <c r="AL212">
        <v>30</v>
      </c>
      <c r="AM212">
        <v>0</v>
      </c>
      <c r="AN212">
        <f t="shared" si="7"/>
        <v>30</v>
      </c>
    </row>
    <row r="213" spans="1:42" hidden="1" x14ac:dyDescent="0.2">
      <c r="A213" t="s">
        <v>4555</v>
      </c>
      <c r="B213" t="s">
        <v>4556</v>
      </c>
      <c r="C213">
        <v>2</v>
      </c>
      <c r="D213">
        <v>1</v>
      </c>
      <c r="E213" t="s">
        <v>791</v>
      </c>
      <c r="F213" s="1">
        <v>43699</v>
      </c>
      <c r="G213" t="s">
        <v>4031</v>
      </c>
      <c r="H213" t="s">
        <v>4724</v>
      </c>
      <c r="I213" s="2">
        <v>1.7361111111111112E-2</v>
      </c>
      <c r="J213" s="176">
        <v>2.8935185185185189E-4</v>
      </c>
      <c r="K213" s="6">
        <v>25</v>
      </c>
      <c r="L213" t="s">
        <v>398</v>
      </c>
      <c r="M213" t="s">
        <v>924</v>
      </c>
      <c r="N213" t="s">
        <v>568</v>
      </c>
      <c r="O213" t="s">
        <v>23</v>
      </c>
      <c r="P213">
        <v>0</v>
      </c>
      <c r="Q213">
        <v>0</v>
      </c>
      <c r="R213">
        <v>0</v>
      </c>
      <c r="S213" t="s">
        <v>112</v>
      </c>
      <c r="T213" t="s">
        <v>4557</v>
      </c>
      <c r="U213" t="s">
        <v>122</v>
      </c>
      <c r="V213" t="s">
        <v>115</v>
      </c>
      <c r="W213" t="s">
        <v>115</v>
      </c>
      <c r="X213" t="s">
        <v>115</v>
      </c>
      <c r="Y213" t="s">
        <v>115</v>
      </c>
      <c r="Z213" t="s">
        <v>115</v>
      </c>
      <c r="AA213" t="s">
        <v>115</v>
      </c>
      <c r="AB213" t="s">
        <v>115</v>
      </c>
      <c r="AC213" t="s">
        <v>115</v>
      </c>
      <c r="AD213" t="s">
        <v>115</v>
      </c>
      <c r="AE213" t="s">
        <v>115</v>
      </c>
      <c r="AF213" t="s">
        <v>115</v>
      </c>
      <c r="AG213" t="s">
        <v>115</v>
      </c>
      <c r="AH213">
        <v>0</v>
      </c>
      <c r="AI213">
        <v>0</v>
      </c>
      <c r="AJ213">
        <v>0</v>
      </c>
      <c r="AK213">
        <v>0</v>
      </c>
      <c r="AL213">
        <v>4</v>
      </c>
      <c r="AM213">
        <v>0</v>
      </c>
      <c r="AN213">
        <f t="shared" si="7"/>
        <v>4</v>
      </c>
      <c r="AP213" t="s">
        <v>4561</v>
      </c>
    </row>
    <row r="214" spans="1:42" hidden="1" x14ac:dyDescent="0.2">
      <c r="A214" t="s">
        <v>4565</v>
      </c>
      <c r="B214" t="s">
        <v>4566</v>
      </c>
      <c r="C214">
        <v>5</v>
      </c>
      <c r="D214">
        <v>1</v>
      </c>
      <c r="E214" t="s">
        <v>791</v>
      </c>
      <c r="F214" s="1">
        <v>43699</v>
      </c>
      <c r="G214" t="s">
        <v>4031</v>
      </c>
      <c r="H214" t="s">
        <v>4724</v>
      </c>
      <c r="I214" s="2">
        <v>1.6666666666666666E-2</v>
      </c>
      <c r="J214" s="176">
        <v>2.7777777777777778E-4</v>
      </c>
      <c r="K214" s="6">
        <v>24</v>
      </c>
      <c r="L214" t="s">
        <v>398</v>
      </c>
      <c r="M214" t="s">
        <v>4280</v>
      </c>
      <c r="N214" t="s">
        <v>111</v>
      </c>
      <c r="O214" t="s">
        <v>23</v>
      </c>
      <c r="P214">
        <v>0</v>
      </c>
      <c r="Q214">
        <v>0</v>
      </c>
      <c r="R214">
        <v>1</v>
      </c>
      <c r="S214" t="s">
        <v>1618</v>
      </c>
      <c r="T214" t="s">
        <v>4564</v>
      </c>
      <c r="U214" t="s">
        <v>122</v>
      </c>
      <c r="V214" t="s">
        <v>709</v>
      </c>
      <c r="W214" t="s">
        <v>23</v>
      </c>
      <c r="X214" t="s">
        <v>4004</v>
      </c>
      <c r="Y214" t="s">
        <v>4022</v>
      </c>
      <c r="AA214">
        <v>337</v>
      </c>
      <c r="AB214">
        <v>10</v>
      </c>
      <c r="AC214" s="19">
        <v>63.721580000000003</v>
      </c>
      <c r="AD214" s="19">
        <v>148.96747999999999</v>
      </c>
      <c r="AE214" t="s">
        <v>115</v>
      </c>
      <c r="AF214" t="s">
        <v>115</v>
      </c>
      <c r="AG214" t="s">
        <v>115</v>
      </c>
      <c r="AH214">
        <v>0</v>
      </c>
      <c r="AI214">
        <v>0</v>
      </c>
      <c r="AJ214">
        <v>0</v>
      </c>
      <c r="AK214">
        <v>0</v>
      </c>
      <c r="AL214">
        <v>0</v>
      </c>
      <c r="AM214">
        <v>0</v>
      </c>
      <c r="AN214">
        <f t="shared" si="7"/>
        <v>0</v>
      </c>
    </row>
    <row r="215" spans="1:42" hidden="1" x14ac:dyDescent="0.2">
      <c r="A215" t="s">
        <v>4562</v>
      </c>
      <c r="B215" t="s">
        <v>4563</v>
      </c>
      <c r="C215">
        <v>4</v>
      </c>
      <c r="D215">
        <v>1</v>
      </c>
      <c r="E215" t="s">
        <v>791</v>
      </c>
      <c r="F215" s="1">
        <v>43699</v>
      </c>
      <c r="G215" t="s">
        <v>4031</v>
      </c>
      <c r="H215" t="s">
        <v>4724</v>
      </c>
      <c r="I215" s="2">
        <v>2.0833333333333332E-2</v>
      </c>
      <c r="J215" s="176">
        <v>2.3148148148148146E-4</v>
      </c>
      <c r="K215" s="6">
        <v>20</v>
      </c>
      <c r="L215" t="s">
        <v>398</v>
      </c>
      <c r="M215" t="s">
        <v>4280</v>
      </c>
      <c r="N215" t="s">
        <v>102</v>
      </c>
      <c r="O215" t="s">
        <v>115</v>
      </c>
      <c r="P215">
        <v>1</v>
      </c>
      <c r="Q215">
        <v>0</v>
      </c>
      <c r="R215">
        <v>0</v>
      </c>
      <c r="S215" t="s">
        <v>1618</v>
      </c>
      <c r="T215" t="s">
        <v>4564</v>
      </c>
      <c r="U215" t="s">
        <v>122</v>
      </c>
      <c r="V215" t="s">
        <v>115</v>
      </c>
      <c r="W215" t="s">
        <v>115</v>
      </c>
      <c r="X215" t="s">
        <v>115</v>
      </c>
      <c r="Y215" t="s">
        <v>115</v>
      </c>
      <c r="Z215" t="s">
        <v>115</v>
      </c>
      <c r="AA215" t="s">
        <v>115</v>
      </c>
      <c r="AB215" t="s">
        <v>115</v>
      </c>
      <c r="AC215" t="s">
        <v>115</v>
      </c>
      <c r="AD215" t="s">
        <v>115</v>
      </c>
      <c r="AE215" t="s">
        <v>115</v>
      </c>
      <c r="AF215" t="s">
        <v>115</v>
      </c>
      <c r="AG215" t="s">
        <v>115</v>
      </c>
      <c r="AH215">
        <v>0</v>
      </c>
      <c r="AI215">
        <v>0</v>
      </c>
      <c r="AJ215">
        <v>0</v>
      </c>
      <c r="AK215">
        <v>0</v>
      </c>
      <c r="AL215">
        <v>20</v>
      </c>
      <c r="AM215">
        <v>0</v>
      </c>
      <c r="AN215">
        <f t="shared" si="7"/>
        <v>20</v>
      </c>
    </row>
    <row r="216" spans="1:42" x14ac:dyDescent="0.2">
      <c r="A216" t="s">
        <v>4588</v>
      </c>
      <c r="B216" t="s">
        <v>4589</v>
      </c>
      <c r="C216">
        <v>4</v>
      </c>
      <c r="D216">
        <v>1</v>
      </c>
      <c r="E216" t="s">
        <v>2537</v>
      </c>
      <c r="F216" s="1">
        <v>43700</v>
      </c>
      <c r="G216" t="s">
        <v>4031</v>
      </c>
      <c r="H216" t="s">
        <v>4724</v>
      </c>
      <c r="I216" s="2">
        <v>2.2222222222222223E-2</v>
      </c>
      <c r="J216" s="176">
        <v>3.7037037037037035E-4</v>
      </c>
      <c r="K216" s="6">
        <v>32</v>
      </c>
      <c r="L216" t="s">
        <v>398</v>
      </c>
      <c r="M216" t="s">
        <v>241</v>
      </c>
      <c r="N216" t="s">
        <v>568</v>
      </c>
      <c r="O216" t="s">
        <v>23</v>
      </c>
      <c r="P216">
        <v>1</v>
      </c>
      <c r="Q216">
        <v>1</v>
      </c>
      <c r="R216">
        <v>1</v>
      </c>
      <c r="S216" t="s">
        <v>176</v>
      </c>
      <c r="T216" t="s">
        <v>176</v>
      </c>
      <c r="U216" t="s">
        <v>263</v>
      </c>
      <c r="V216" t="s">
        <v>1035</v>
      </c>
      <c r="W216" t="s">
        <v>23</v>
      </c>
      <c r="X216" t="s">
        <v>3997</v>
      </c>
      <c r="Y216" t="s">
        <v>4006</v>
      </c>
      <c r="AA216">
        <v>49</v>
      </c>
      <c r="AB216">
        <v>1</v>
      </c>
      <c r="AC216" s="19">
        <v>63.731850000000001</v>
      </c>
      <c r="AD216" s="19">
        <v>148.89995999999999</v>
      </c>
      <c r="AE216" t="s">
        <v>115</v>
      </c>
      <c r="AF216" t="s">
        <v>115</v>
      </c>
      <c r="AG216" t="s">
        <v>115</v>
      </c>
      <c r="AH216">
        <v>4</v>
      </c>
      <c r="AI216">
        <v>0</v>
      </c>
      <c r="AJ216">
        <v>4</v>
      </c>
      <c r="AK216">
        <v>0</v>
      </c>
      <c r="AL216">
        <v>0</v>
      </c>
      <c r="AM216">
        <v>0</v>
      </c>
      <c r="AN216">
        <f t="shared" si="7"/>
        <v>4</v>
      </c>
    </row>
    <row r="217" spans="1:42" hidden="1" x14ac:dyDescent="0.2">
      <c r="A217" t="s">
        <v>4585</v>
      </c>
      <c r="B217" t="s">
        <v>4582</v>
      </c>
      <c r="C217">
        <v>2</v>
      </c>
      <c r="D217">
        <v>1</v>
      </c>
      <c r="E217" t="s">
        <v>2537</v>
      </c>
      <c r="F217" s="1">
        <v>43700</v>
      </c>
      <c r="G217" t="s">
        <v>4031</v>
      </c>
      <c r="H217" t="s">
        <v>4724</v>
      </c>
      <c r="I217" s="2">
        <v>6.2499999999999995E-3</v>
      </c>
      <c r="J217" s="176">
        <v>1.0416666666666667E-4</v>
      </c>
      <c r="K217" s="6">
        <v>9</v>
      </c>
      <c r="L217" t="s">
        <v>398</v>
      </c>
      <c r="M217" t="s">
        <v>4583</v>
      </c>
      <c r="N217" t="s">
        <v>111</v>
      </c>
      <c r="O217" t="s">
        <v>23</v>
      </c>
      <c r="P217">
        <v>0</v>
      </c>
      <c r="Q217">
        <v>0</v>
      </c>
      <c r="R217">
        <v>1</v>
      </c>
      <c r="S217" t="s">
        <v>176</v>
      </c>
      <c r="T217" t="s">
        <v>176</v>
      </c>
      <c r="U217" t="s">
        <v>176</v>
      </c>
      <c r="V217" t="s">
        <v>4584</v>
      </c>
      <c r="W217" t="s">
        <v>12</v>
      </c>
      <c r="X217" t="s">
        <v>3997</v>
      </c>
      <c r="Y217" t="s">
        <v>4022</v>
      </c>
      <c r="AA217">
        <v>125</v>
      </c>
      <c r="AB217" t="s">
        <v>176</v>
      </c>
      <c r="AC217" s="19">
        <v>63.732019999999999</v>
      </c>
      <c r="AD217" s="19">
        <v>148.90084999999999</v>
      </c>
      <c r="AE217" t="s">
        <v>115</v>
      </c>
      <c r="AF217" t="s">
        <v>115</v>
      </c>
      <c r="AG217" t="s">
        <v>115</v>
      </c>
      <c r="AH217">
        <v>0</v>
      </c>
      <c r="AI217">
        <v>0</v>
      </c>
      <c r="AJ217">
        <v>0</v>
      </c>
      <c r="AK217">
        <v>0</v>
      </c>
      <c r="AL217">
        <v>0</v>
      </c>
      <c r="AM217">
        <v>0</v>
      </c>
      <c r="AN217">
        <f t="shared" si="7"/>
        <v>0</v>
      </c>
    </row>
    <row r="218" spans="1:42" hidden="1" x14ac:dyDescent="0.2">
      <c r="A218" t="s">
        <v>4580</v>
      </c>
      <c r="B218" t="s">
        <v>4581</v>
      </c>
      <c r="C218">
        <v>1</v>
      </c>
      <c r="D218">
        <v>1</v>
      </c>
      <c r="E218" t="s">
        <v>2537</v>
      </c>
      <c r="F218" s="1">
        <v>43700</v>
      </c>
      <c r="G218" t="s">
        <v>4031</v>
      </c>
      <c r="H218" t="s">
        <v>4724</v>
      </c>
      <c r="I218" s="2">
        <v>2.9861111111111113E-2</v>
      </c>
      <c r="J218" s="176">
        <v>4.9768518518518521E-4</v>
      </c>
      <c r="K218" s="6">
        <v>43</v>
      </c>
      <c r="L218" t="s">
        <v>398</v>
      </c>
      <c r="M218" t="s">
        <v>176</v>
      </c>
      <c r="N218" t="s">
        <v>111</v>
      </c>
      <c r="O218" t="s">
        <v>23</v>
      </c>
      <c r="P218">
        <v>0</v>
      </c>
      <c r="Q218">
        <v>0</v>
      </c>
      <c r="R218">
        <v>1</v>
      </c>
      <c r="S218" t="s">
        <v>176</v>
      </c>
      <c r="T218" t="s">
        <v>176</v>
      </c>
      <c r="U218" t="s">
        <v>176</v>
      </c>
      <c r="V218" t="s">
        <v>939</v>
      </c>
      <c r="W218" t="s">
        <v>23</v>
      </c>
      <c r="X218" t="s">
        <v>3999</v>
      </c>
      <c r="Y218" t="s">
        <v>4022</v>
      </c>
      <c r="AA218">
        <v>194</v>
      </c>
      <c r="AB218" t="s">
        <v>176</v>
      </c>
      <c r="AC218" s="19">
        <v>63.732770000000002</v>
      </c>
      <c r="AD218" s="19">
        <v>148.89841000000001</v>
      </c>
      <c r="AE218" t="s">
        <v>115</v>
      </c>
      <c r="AF218" t="s">
        <v>115</v>
      </c>
      <c r="AG218" t="s">
        <v>115</v>
      </c>
      <c r="AH218">
        <v>0</v>
      </c>
      <c r="AI218">
        <v>0</v>
      </c>
      <c r="AJ218">
        <v>0</v>
      </c>
      <c r="AK218">
        <v>0</v>
      </c>
      <c r="AL218">
        <v>0</v>
      </c>
      <c r="AM218">
        <v>0</v>
      </c>
      <c r="AN218">
        <f t="shared" si="7"/>
        <v>0</v>
      </c>
    </row>
    <row r="219" spans="1:42" hidden="1" x14ac:dyDescent="0.2">
      <c r="A219" t="s">
        <v>4593</v>
      </c>
      <c r="B219" t="s">
        <v>4594</v>
      </c>
      <c r="C219">
        <v>6</v>
      </c>
      <c r="D219">
        <v>1</v>
      </c>
      <c r="E219" t="s">
        <v>2537</v>
      </c>
      <c r="F219" s="1">
        <v>43700</v>
      </c>
      <c r="G219" t="s">
        <v>4031</v>
      </c>
      <c r="H219" t="s">
        <v>4724</v>
      </c>
      <c r="I219" s="2">
        <v>1.3194444444444444E-2</v>
      </c>
      <c r="J219" s="176">
        <v>2.199074074074074E-4</v>
      </c>
      <c r="K219" s="6">
        <v>19</v>
      </c>
      <c r="L219" t="s">
        <v>398</v>
      </c>
      <c r="M219" t="s">
        <v>241</v>
      </c>
      <c r="N219" t="s">
        <v>102</v>
      </c>
      <c r="O219" t="s">
        <v>23</v>
      </c>
      <c r="P219">
        <v>1</v>
      </c>
      <c r="Q219" t="s">
        <v>176</v>
      </c>
      <c r="R219">
        <v>0</v>
      </c>
      <c r="S219" t="s">
        <v>176</v>
      </c>
      <c r="T219" t="s">
        <v>176</v>
      </c>
      <c r="U219" t="s">
        <v>1035</v>
      </c>
      <c r="V219" t="s">
        <v>115</v>
      </c>
      <c r="W219" t="s">
        <v>115</v>
      </c>
      <c r="X219" t="s">
        <v>115</v>
      </c>
      <c r="Y219" t="s">
        <v>115</v>
      </c>
      <c r="Z219" t="s">
        <v>115</v>
      </c>
      <c r="AA219" t="s">
        <v>115</v>
      </c>
      <c r="AB219" t="s">
        <v>115</v>
      </c>
      <c r="AC219" t="s">
        <v>115</v>
      </c>
      <c r="AD219" t="s">
        <v>115</v>
      </c>
      <c r="AE219" t="s">
        <v>115</v>
      </c>
      <c r="AF219" t="s">
        <v>115</v>
      </c>
      <c r="AG219" t="s">
        <v>115</v>
      </c>
      <c r="AH219">
        <v>0</v>
      </c>
      <c r="AI219">
        <v>4</v>
      </c>
      <c r="AJ219">
        <v>0</v>
      </c>
      <c r="AK219">
        <v>4</v>
      </c>
      <c r="AL219">
        <v>0</v>
      </c>
      <c r="AM219">
        <v>0</v>
      </c>
      <c r="AN219">
        <f t="shared" si="7"/>
        <v>4</v>
      </c>
    </row>
    <row r="220" spans="1:42" hidden="1" x14ac:dyDescent="0.2">
      <c r="A220" t="s">
        <v>4590</v>
      </c>
      <c r="B220" t="s">
        <v>4591</v>
      </c>
      <c r="C220">
        <v>5</v>
      </c>
      <c r="D220">
        <v>1</v>
      </c>
      <c r="E220" t="s">
        <v>2537</v>
      </c>
      <c r="F220" s="1">
        <v>43700</v>
      </c>
      <c r="G220" t="s">
        <v>4031</v>
      </c>
      <c r="H220" t="s">
        <v>4724</v>
      </c>
      <c r="I220" s="2">
        <v>1.1111111111111112E-2</v>
      </c>
      <c r="J220" s="176">
        <v>1.8518518518518518E-4</v>
      </c>
      <c r="K220" s="6">
        <v>16</v>
      </c>
      <c r="L220" t="s">
        <v>398</v>
      </c>
      <c r="M220" t="s">
        <v>241</v>
      </c>
      <c r="N220" t="s">
        <v>102</v>
      </c>
      <c r="O220" t="s">
        <v>115</v>
      </c>
      <c r="P220">
        <v>1</v>
      </c>
      <c r="Q220">
        <v>0</v>
      </c>
      <c r="R220">
        <v>0</v>
      </c>
      <c r="S220" t="s">
        <v>3955</v>
      </c>
      <c r="T220" t="s">
        <v>4592</v>
      </c>
      <c r="U220" t="s">
        <v>122</v>
      </c>
      <c r="V220" t="s">
        <v>115</v>
      </c>
      <c r="W220" t="s">
        <v>115</v>
      </c>
      <c r="X220" t="s">
        <v>115</v>
      </c>
      <c r="Y220" t="s">
        <v>115</v>
      </c>
      <c r="Z220" t="s">
        <v>115</v>
      </c>
      <c r="AA220" t="s">
        <v>115</v>
      </c>
      <c r="AB220" t="s">
        <v>115</v>
      </c>
      <c r="AC220" t="s">
        <v>115</v>
      </c>
      <c r="AD220" t="s">
        <v>115</v>
      </c>
      <c r="AE220" t="s">
        <v>115</v>
      </c>
      <c r="AF220" t="s">
        <v>115</v>
      </c>
      <c r="AG220" t="s">
        <v>115</v>
      </c>
      <c r="AH220">
        <v>0</v>
      </c>
      <c r="AI220">
        <v>0</v>
      </c>
      <c r="AJ220">
        <v>0</v>
      </c>
      <c r="AK220">
        <v>0</v>
      </c>
      <c r="AL220">
        <v>16</v>
      </c>
      <c r="AM220">
        <v>0</v>
      </c>
      <c r="AN220">
        <f t="shared" si="7"/>
        <v>16</v>
      </c>
    </row>
    <row r="221" spans="1:42" hidden="1" x14ac:dyDescent="0.2">
      <c r="A221" t="s">
        <v>4586</v>
      </c>
      <c r="B221" t="s">
        <v>4587</v>
      </c>
      <c r="C221">
        <v>3</v>
      </c>
      <c r="D221">
        <v>1</v>
      </c>
      <c r="E221" t="s">
        <v>2537</v>
      </c>
      <c r="F221" s="1">
        <v>43700</v>
      </c>
      <c r="G221" t="s">
        <v>4031</v>
      </c>
      <c r="H221" t="s">
        <v>4724</v>
      </c>
      <c r="I221" s="2">
        <v>9.7222222222222224E-3</v>
      </c>
      <c r="J221" s="176">
        <v>1.6203703703703703E-4</v>
      </c>
      <c r="K221" s="6">
        <v>14</v>
      </c>
      <c r="L221" t="s">
        <v>398</v>
      </c>
      <c r="M221" t="s">
        <v>4583</v>
      </c>
      <c r="N221" t="s">
        <v>102</v>
      </c>
      <c r="O221" t="s">
        <v>23</v>
      </c>
      <c r="P221">
        <v>0</v>
      </c>
      <c r="Q221">
        <v>0</v>
      </c>
      <c r="R221">
        <v>0</v>
      </c>
      <c r="S221" t="s">
        <v>115</v>
      </c>
      <c r="T221" t="s">
        <v>115</v>
      </c>
      <c r="U221" t="s">
        <v>115</v>
      </c>
      <c r="V221" t="s">
        <v>115</v>
      </c>
      <c r="W221" t="s">
        <v>115</v>
      </c>
      <c r="X221" t="s">
        <v>115</v>
      </c>
      <c r="Y221" t="s">
        <v>115</v>
      </c>
      <c r="Z221" t="s">
        <v>115</v>
      </c>
      <c r="AA221" t="s">
        <v>115</v>
      </c>
      <c r="AB221" t="s">
        <v>115</v>
      </c>
      <c r="AC221" t="s">
        <v>115</v>
      </c>
      <c r="AD221" t="s">
        <v>115</v>
      </c>
      <c r="AE221" t="s">
        <v>115</v>
      </c>
      <c r="AF221" t="s">
        <v>115</v>
      </c>
      <c r="AG221" t="s">
        <v>115</v>
      </c>
      <c r="AH221">
        <v>0</v>
      </c>
      <c r="AI221">
        <v>0</v>
      </c>
      <c r="AJ221">
        <v>0</v>
      </c>
      <c r="AK221">
        <v>0</v>
      </c>
      <c r="AL221">
        <v>0</v>
      </c>
      <c r="AM221">
        <v>14</v>
      </c>
      <c r="AN221">
        <f t="shared" si="7"/>
        <v>14</v>
      </c>
    </row>
    <row r="222" spans="1:42" hidden="1" x14ac:dyDescent="0.2">
      <c r="A222" t="s">
        <v>4600</v>
      </c>
      <c r="B222" t="s">
        <v>4601</v>
      </c>
      <c r="C222">
        <v>1</v>
      </c>
      <c r="D222">
        <v>1</v>
      </c>
      <c r="E222" t="s">
        <v>138</v>
      </c>
      <c r="F222" s="1">
        <v>43701</v>
      </c>
      <c r="G222" t="s">
        <v>4031</v>
      </c>
      <c r="H222" t="s">
        <v>4724</v>
      </c>
      <c r="I222" s="2">
        <v>2.2222222222222223E-2</v>
      </c>
      <c r="J222" s="176">
        <v>3.7037037037037035E-4</v>
      </c>
      <c r="K222" s="6">
        <v>32</v>
      </c>
      <c r="L222" t="s">
        <v>101</v>
      </c>
      <c r="M222" t="s">
        <v>4232</v>
      </c>
      <c r="N222" t="s">
        <v>568</v>
      </c>
      <c r="O222" t="s">
        <v>23</v>
      </c>
      <c r="P222">
        <v>1</v>
      </c>
      <c r="Q222">
        <v>0</v>
      </c>
      <c r="R222">
        <v>1</v>
      </c>
      <c r="S222" t="s">
        <v>176</v>
      </c>
      <c r="T222" t="s">
        <v>176</v>
      </c>
      <c r="U222" t="s">
        <v>122</v>
      </c>
      <c r="V222" t="s">
        <v>4386</v>
      </c>
      <c r="W222" t="s">
        <v>23</v>
      </c>
      <c r="X222" t="s">
        <v>3999</v>
      </c>
      <c r="Y222" t="s">
        <v>4022</v>
      </c>
      <c r="AA222">
        <v>61</v>
      </c>
      <c r="AB222" t="s">
        <v>176</v>
      </c>
      <c r="AC222" s="19">
        <v>63.722810000000003</v>
      </c>
      <c r="AD222" s="19">
        <v>148.95544000000001</v>
      </c>
      <c r="AE222" t="s">
        <v>115</v>
      </c>
      <c r="AF222" t="s">
        <v>115</v>
      </c>
      <c r="AG222" t="s">
        <v>115</v>
      </c>
      <c r="AH222">
        <v>0</v>
      </c>
      <c r="AI222">
        <v>0</v>
      </c>
      <c r="AJ222">
        <v>0</v>
      </c>
      <c r="AK222">
        <v>0</v>
      </c>
      <c r="AL222">
        <v>10</v>
      </c>
      <c r="AM222">
        <v>0</v>
      </c>
      <c r="AN222">
        <f t="shared" si="7"/>
        <v>10</v>
      </c>
    </row>
    <row r="223" spans="1:42" hidden="1" x14ac:dyDescent="0.2">
      <c r="A223" t="s">
        <v>4602</v>
      </c>
      <c r="B223" t="s">
        <v>4603</v>
      </c>
      <c r="C223">
        <v>2</v>
      </c>
      <c r="D223">
        <v>1</v>
      </c>
      <c r="E223" t="s">
        <v>138</v>
      </c>
      <c r="F223" s="1">
        <v>43701</v>
      </c>
      <c r="G223" t="s">
        <v>4031</v>
      </c>
      <c r="H223" t="s">
        <v>4724</v>
      </c>
      <c r="I223" s="2">
        <v>4.5138888888888888E-2</v>
      </c>
      <c r="J223" s="176">
        <v>7.5231481481481471E-4</v>
      </c>
      <c r="K223" s="6">
        <v>65</v>
      </c>
      <c r="L223" t="s">
        <v>101</v>
      </c>
      <c r="M223" t="s">
        <v>4232</v>
      </c>
      <c r="N223" t="s">
        <v>111</v>
      </c>
      <c r="O223" t="s">
        <v>23</v>
      </c>
      <c r="P223">
        <v>1</v>
      </c>
      <c r="Q223">
        <v>0</v>
      </c>
      <c r="R223">
        <v>1</v>
      </c>
      <c r="S223" t="s">
        <v>176</v>
      </c>
      <c r="T223" t="s">
        <v>176</v>
      </c>
      <c r="U223" t="s">
        <v>1922</v>
      </c>
      <c r="V223" t="s">
        <v>176</v>
      </c>
      <c r="W223" t="s">
        <v>23</v>
      </c>
      <c r="X223" t="s">
        <v>176</v>
      </c>
      <c r="Y223" t="s">
        <v>176</v>
      </c>
      <c r="AA223">
        <v>27</v>
      </c>
      <c r="AB223" t="s">
        <v>176</v>
      </c>
      <c r="AC223" s="19">
        <v>63.722839999999998</v>
      </c>
      <c r="AD223" s="19">
        <v>148.95546999999999</v>
      </c>
      <c r="AE223" t="s">
        <v>115</v>
      </c>
      <c r="AF223" t="s">
        <v>115</v>
      </c>
      <c r="AG223" t="s">
        <v>115</v>
      </c>
      <c r="AH223">
        <v>0</v>
      </c>
      <c r="AI223">
        <v>0</v>
      </c>
      <c r="AJ223">
        <v>0</v>
      </c>
      <c r="AK223">
        <v>0</v>
      </c>
      <c r="AL223">
        <v>0</v>
      </c>
      <c r="AM223">
        <v>0</v>
      </c>
      <c r="AN223">
        <f t="shared" si="7"/>
        <v>0</v>
      </c>
      <c r="AP223" t="s">
        <v>2152</v>
      </c>
    </row>
    <row r="224" spans="1:42" hidden="1" x14ac:dyDescent="0.2">
      <c r="A224" t="s">
        <v>4597</v>
      </c>
      <c r="B224" t="s">
        <v>5103</v>
      </c>
      <c r="C224">
        <v>2</v>
      </c>
      <c r="D224">
        <v>1</v>
      </c>
      <c r="E224" t="s">
        <v>395</v>
      </c>
      <c r="F224" s="1">
        <v>43701</v>
      </c>
      <c r="G224" t="s">
        <v>4031</v>
      </c>
      <c r="H224" t="s">
        <v>4724</v>
      </c>
      <c r="I224" s="2">
        <v>3.4722222222222224E-2</v>
      </c>
      <c r="J224" s="176">
        <v>5.7870370370370378E-4</v>
      </c>
      <c r="K224" s="6">
        <v>50</v>
      </c>
      <c r="L224" t="s">
        <v>398</v>
      </c>
      <c r="M224" t="s">
        <v>4598</v>
      </c>
      <c r="N224" t="s">
        <v>568</v>
      </c>
      <c r="O224" t="s">
        <v>23</v>
      </c>
      <c r="P224">
        <v>1</v>
      </c>
      <c r="Q224" t="s">
        <v>176</v>
      </c>
      <c r="R224">
        <v>1</v>
      </c>
      <c r="S224" t="s">
        <v>176</v>
      </c>
      <c r="T224" t="s">
        <v>176</v>
      </c>
      <c r="U224" t="s">
        <v>4302</v>
      </c>
      <c r="V224" t="s">
        <v>4236</v>
      </c>
      <c r="W224" t="s">
        <v>23</v>
      </c>
      <c r="X224" t="s">
        <v>3997</v>
      </c>
      <c r="Y224" t="s">
        <v>2179</v>
      </c>
      <c r="AA224">
        <v>54</v>
      </c>
      <c r="AB224">
        <v>1</v>
      </c>
      <c r="AC224" s="19">
        <v>63.725929999999998</v>
      </c>
      <c r="AD224" s="19">
        <v>148.98235</v>
      </c>
      <c r="AE224" t="s">
        <v>115</v>
      </c>
      <c r="AF224" t="s">
        <v>115</v>
      </c>
      <c r="AG224" t="s">
        <v>115</v>
      </c>
      <c r="AH224">
        <v>11</v>
      </c>
      <c r="AI224">
        <v>0</v>
      </c>
      <c r="AJ224">
        <v>0</v>
      </c>
      <c r="AK224">
        <v>11</v>
      </c>
      <c r="AL224">
        <v>0</v>
      </c>
      <c r="AM224">
        <v>0</v>
      </c>
      <c r="AN224">
        <f t="shared" si="7"/>
        <v>11</v>
      </c>
    </row>
    <row r="225" spans="1:43" hidden="1" x14ac:dyDescent="0.2">
      <c r="A225" t="s">
        <v>4595</v>
      </c>
      <c r="B225" t="s">
        <v>4596</v>
      </c>
      <c r="C225">
        <v>1</v>
      </c>
      <c r="D225">
        <v>1</v>
      </c>
      <c r="E225" t="s">
        <v>395</v>
      </c>
      <c r="F225" s="1">
        <v>43701</v>
      </c>
      <c r="G225" t="s">
        <v>4031</v>
      </c>
      <c r="H225" t="s">
        <v>4724</v>
      </c>
      <c r="I225" s="2">
        <v>1.8055555555555557E-2</v>
      </c>
      <c r="J225" s="176">
        <v>3.0092592592592595E-4</v>
      </c>
      <c r="K225" s="6">
        <v>26</v>
      </c>
      <c r="L225" t="s">
        <v>398</v>
      </c>
      <c r="M225" t="s">
        <v>176</v>
      </c>
      <c r="N225" t="s">
        <v>102</v>
      </c>
      <c r="O225" t="s">
        <v>23</v>
      </c>
      <c r="P225">
        <v>1</v>
      </c>
      <c r="Q225">
        <v>0</v>
      </c>
      <c r="R225">
        <v>0</v>
      </c>
      <c r="S225" t="s">
        <v>176</v>
      </c>
      <c r="T225" t="s">
        <v>176</v>
      </c>
      <c r="U225" t="s">
        <v>1035</v>
      </c>
      <c r="V225" t="s">
        <v>115</v>
      </c>
      <c r="W225" t="s">
        <v>115</v>
      </c>
      <c r="X225" t="s">
        <v>115</v>
      </c>
      <c r="Y225" t="s">
        <v>115</v>
      </c>
      <c r="Z225" t="s">
        <v>115</v>
      </c>
      <c r="AA225" t="s">
        <v>115</v>
      </c>
      <c r="AB225" t="s">
        <v>115</v>
      </c>
      <c r="AC225" t="s">
        <v>115</v>
      </c>
      <c r="AD225" t="s">
        <v>115</v>
      </c>
      <c r="AE225" t="s">
        <v>115</v>
      </c>
      <c r="AF225" t="s">
        <v>115</v>
      </c>
      <c r="AG225" t="s">
        <v>115</v>
      </c>
      <c r="AH225">
        <v>0</v>
      </c>
      <c r="AI225">
        <v>14</v>
      </c>
      <c r="AJ225">
        <v>0</v>
      </c>
      <c r="AK225">
        <v>14</v>
      </c>
      <c r="AL225">
        <v>0</v>
      </c>
      <c r="AM225">
        <v>0</v>
      </c>
      <c r="AN225">
        <f t="shared" si="7"/>
        <v>14</v>
      </c>
    </row>
    <row r="226" spans="1:43" hidden="1" x14ac:dyDescent="0.2">
      <c r="A226" t="s">
        <v>4602</v>
      </c>
      <c r="B226" t="s">
        <v>4603</v>
      </c>
      <c r="C226">
        <v>2</v>
      </c>
      <c r="D226">
        <v>2</v>
      </c>
      <c r="E226" t="s">
        <v>138</v>
      </c>
      <c r="F226" s="1">
        <v>43701</v>
      </c>
      <c r="G226" t="s">
        <v>4031</v>
      </c>
      <c r="H226" t="s">
        <v>4724</v>
      </c>
      <c r="I226" s="2">
        <v>4.5138888888888888E-2</v>
      </c>
      <c r="J226" s="176">
        <v>7.5231481481481471E-4</v>
      </c>
      <c r="K226" s="6">
        <v>65</v>
      </c>
      <c r="L226" t="s">
        <v>101</v>
      </c>
      <c r="M226" t="s">
        <v>4232</v>
      </c>
      <c r="N226" t="s">
        <v>568</v>
      </c>
      <c r="O226" t="s">
        <v>23</v>
      </c>
      <c r="P226">
        <v>1</v>
      </c>
      <c r="Q226">
        <v>0</v>
      </c>
      <c r="R226">
        <v>1</v>
      </c>
      <c r="S226" t="s">
        <v>598</v>
      </c>
      <c r="T226" t="s">
        <v>598</v>
      </c>
      <c r="U226" t="s">
        <v>122</v>
      </c>
      <c r="V226" t="s">
        <v>4604</v>
      </c>
      <c r="W226" t="s">
        <v>23</v>
      </c>
      <c r="X226" t="s">
        <v>3999</v>
      </c>
      <c r="Y226" t="s">
        <v>2179</v>
      </c>
      <c r="AA226">
        <v>343</v>
      </c>
      <c r="AB226">
        <v>3</v>
      </c>
      <c r="AC226" s="19">
        <v>63.722969999999997</v>
      </c>
      <c r="AD226" s="19">
        <v>148.95541</v>
      </c>
      <c r="AE226" t="s">
        <v>115</v>
      </c>
      <c r="AF226" t="s">
        <v>115</v>
      </c>
      <c r="AG226" t="s">
        <v>115</v>
      </c>
      <c r="AH226">
        <v>0</v>
      </c>
      <c r="AI226">
        <v>0</v>
      </c>
      <c r="AJ226">
        <v>0</v>
      </c>
      <c r="AK226">
        <v>0</v>
      </c>
      <c r="AL226">
        <v>13</v>
      </c>
      <c r="AM226">
        <v>0</v>
      </c>
      <c r="AN226">
        <f t="shared" si="7"/>
        <v>13</v>
      </c>
    </row>
    <row r="227" spans="1:43" hidden="1" x14ac:dyDescent="0.2">
      <c r="A227" t="s">
        <v>4602</v>
      </c>
      <c r="B227" t="s">
        <v>4603</v>
      </c>
      <c r="C227">
        <v>2</v>
      </c>
      <c r="D227">
        <v>3</v>
      </c>
      <c r="E227" t="s">
        <v>138</v>
      </c>
      <c r="F227" s="1">
        <v>43701</v>
      </c>
      <c r="G227" t="s">
        <v>4031</v>
      </c>
      <c r="H227" t="s">
        <v>4724</v>
      </c>
      <c r="I227" s="2">
        <v>4.5138888888888888E-2</v>
      </c>
      <c r="J227" s="176">
        <v>7.5231481481481471E-4</v>
      </c>
      <c r="K227" s="6">
        <v>65</v>
      </c>
      <c r="L227" t="s">
        <v>101</v>
      </c>
      <c r="M227" t="s">
        <v>4232</v>
      </c>
      <c r="N227" t="s">
        <v>568</v>
      </c>
      <c r="O227" t="s">
        <v>23</v>
      </c>
      <c r="P227">
        <v>1</v>
      </c>
      <c r="Q227">
        <v>0</v>
      </c>
      <c r="R227">
        <v>1</v>
      </c>
      <c r="S227" t="s">
        <v>598</v>
      </c>
      <c r="T227" t="s">
        <v>598</v>
      </c>
      <c r="U227" t="s">
        <v>122</v>
      </c>
      <c r="V227" t="s">
        <v>4385</v>
      </c>
      <c r="W227" t="s">
        <v>23</v>
      </c>
      <c r="X227" t="s">
        <v>3997</v>
      </c>
      <c r="Y227" t="s">
        <v>176</v>
      </c>
      <c r="AA227">
        <v>306</v>
      </c>
      <c r="AB227">
        <v>5</v>
      </c>
      <c r="AC227" s="19">
        <v>63.722999999999999</v>
      </c>
      <c r="AD227" s="19">
        <v>148.95535000000001</v>
      </c>
      <c r="AE227" t="s">
        <v>115</v>
      </c>
      <c r="AF227" t="s">
        <v>115</v>
      </c>
      <c r="AG227" t="s">
        <v>115</v>
      </c>
      <c r="AH227">
        <v>0</v>
      </c>
      <c r="AI227">
        <v>0</v>
      </c>
      <c r="AJ227">
        <v>0</v>
      </c>
      <c r="AK227">
        <v>0</v>
      </c>
      <c r="AL227">
        <v>9</v>
      </c>
      <c r="AM227">
        <v>0</v>
      </c>
      <c r="AN227">
        <f t="shared" si="7"/>
        <v>9</v>
      </c>
      <c r="AP227" t="s">
        <v>4495</v>
      </c>
    </row>
    <row r="228" spans="1:43" hidden="1" x14ac:dyDescent="0.2">
      <c r="A228" t="s">
        <v>4605</v>
      </c>
      <c r="B228" t="s">
        <v>4606</v>
      </c>
      <c r="C228">
        <v>1</v>
      </c>
      <c r="D228">
        <v>1</v>
      </c>
      <c r="E228" t="s">
        <v>140</v>
      </c>
      <c r="F228" s="1">
        <v>43703</v>
      </c>
      <c r="G228" t="s">
        <v>4031</v>
      </c>
      <c r="H228" t="s">
        <v>4724</v>
      </c>
      <c r="I228" s="2">
        <v>4.5138888888888888E-2</v>
      </c>
      <c r="J228" s="176">
        <v>7.5231481481481471E-4</v>
      </c>
      <c r="K228" s="6">
        <v>65</v>
      </c>
      <c r="L228" t="s">
        <v>397</v>
      </c>
      <c r="M228" t="s">
        <v>670</v>
      </c>
      <c r="N228" t="s">
        <v>102</v>
      </c>
      <c r="O228" t="s">
        <v>23</v>
      </c>
      <c r="P228">
        <v>1</v>
      </c>
      <c r="Q228">
        <v>0</v>
      </c>
      <c r="R228">
        <v>0</v>
      </c>
      <c r="S228" t="s">
        <v>176</v>
      </c>
      <c r="T228" t="s">
        <v>176</v>
      </c>
      <c r="U228" t="s">
        <v>263</v>
      </c>
      <c r="V228" t="s">
        <v>115</v>
      </c>
      <c r="W228" t="s">
        <v>115</v>
      </c>
      <c r="X228" t="s">
        <v>115</v>
      </c>
      <c r="Y228" t="s">
        <v>115</v>
      </c>
      <c r="Z228" t="s">
        <v>115</v>
      </c>
      <c r="AA228" t="s">
        <v>115</v>
      </c>
      <c r="AB228" t="s">
        <v>115</v>
      </c>
      <c r="AC228" t="s">
        <v>115</v>
      </c>
      <c r="AD228" t="s">
        <v>115</v>
      </c>
      <c r="AE228" t="s">
        <v>115</v>
      </c>
      <c r="AF228" t="s">
        <v>115</v>
      </c>
      <c r="AG228" t="s">
        <v>115</v>
      </c>
      <c r="AH228">
        <v>16</v>
      </c>
      <c r="AI228">
        <v>0</v>
      </c>
      <c r="AJ228">
        <v>16</v>
      </c>
      <c r="AK228">
        <v>0</v>
      </c>
      <c r="AL228">
        <f>18+33</f>
        <v>51</v>
      </c>
      <c r="AM228">
        <v>0</v>
      </c>
      <c r="AN228">
        <f t="shared" si="7"/>
        <v>67</v>
      </c>
    </row>
    <row r="229" spans="1:43" hidden="1" x14ac:dyDescent="0.2">
      <c r="A229" t="s">
        <v>4607</v>
      </c>
      <c r="B229" t="s">
        <v>4608</v>
      </c>
      <c r="C229">
        <v>2</v>
      </c>
      <c r="D229">
        <v>1</v>
      </c>
      <c r="E229" t="s">
        <v>140</v>
      </c>
      <c r="F229" s="1">
        <v>43703</v>
      </c>
      <c r="G229" t="s">
        <v>4031</v>
      </c>
      <c r="H229" t="s">
        <v>4724</v>
      </c>
      <c r="I229" s="2">
        <v>1.3888888888888888E-2</v>
      </c>
      <c r="J229" s="176">
        <v>2.3148148148148146E-4</v>
      </c>
      <c r="K229" s="6">
        <v>20</v>
      </c>
      <c r="L229" t="s">
        <v>397</v>
      </c>
      <c r="M229" t="s">
        <v>670</v>
      </c>
      <c r="N229" t="s">
        <v>102</v>
      </c>
      <c r="O229" t="s">
        <v>115</v>
      </c>
      <c r="P229">
        <v>1</v>
      </c>
      <c r="Q229">
        <v>0</v>
      </c>
      <c r="R229">
        <v>0</v>
      </c>
      <c r="S229" t="s">
        <v>176</v>
      </c>
      <c r="T229" t="s">
        <v>176</v>
      </c>
      <c r="U229" t="s">
        <v>122</v>
      </c>
      <c r="V229" t="s">
        <v>115</v>
      </c>
      <c r="W229" t="s">
        <v>115</v>
      </c>
      <c r="X229" t="s">
        <v>115</v>
      </c>
      <c r="Y229" t="s">
        <v>115</v>
      </c>
      <c r="Z229" t="s">
        <v>115</v>
      </c>
      <c r="AA229" t="s">
        <v>115</v>
      </c>
      <c r="AB229" t="s">
        <v>115</v>
      </c>
      <c r="AC229" t="s">
        <v>115</v>
      </c>
      <c r="AD229" t="s">
        <v>115</v>
      </c>
      <c r="AE229" t="s">
        <v>115</v>
      </c>
      <c r="AF229" t="s">
        <v>115</v>
      </c>
      <c r="AG229" t="s">
        <v>115</v>
      </c>
      <c r="AH229">
        <v>0</v>
      </c>
      <c r="AI229">
        <v>0</v>
      </c>
      <c r="AJ229">
        <v>0</v>
      </c>
      <c r="AK229">
        <v>0</v>
      </c>
      <c r="AL229">
        <v>20</v>
      </c>
      <c r="AM229">
        <v>0</v>
      </c>
      <c r="AN229">
        <f t="shared" si="7"/>
        <v>20</v>
      </c>
    </row>
    <row r="230" spans="1:43" hidden="1" x14ac:dyDescent="0.2">
      <c r="A230" t="s">
        <v>4609</v>
      </c>
      <c r="B230" t="s">
        <v>4610</v>
      </c>
      <c r="C230">
        <v>3</v>
      </c>
      <c r="D230">
        <v>1</v>
      </c>
      <c r="E230" t="s">
        <v>140</v>
      </c>
      <c r="F230" s="1">
        <v>43703</v>
      </c>
      <c r="G230" t="s">
        <v>4031</v>
      </c>
      <c r="H230" t="s">
        <v>4724</v>
      </c>
      <c r="I230" s="2">
        <v>5.6250000000000001E-2</v>
      </c>
      <c r="J230" s="176">
        <v>9.3750000000000007E-4</v>
      </c>
      <c r="K230" s="6">
        <v>81</v>
      </c>
      <c r="L230" t="s">
        <v>397</v>
      </c>
      <c r="M230" t="s">
        <v>670</v>
      </c>
      <c r="N230" t="s">
        <v>102</v>
      </c>
      <c r="O230" t="s">
        <v>115</v>
      </c>
      <c r="P230">
        <v>1</v>
      </c>
      <c r="Q230">
        <v>0</v>
      </c>
      <c r="R230">
        <v>0</v>
      </c>
      <c r="S230" t="s">
        <v>176</v>
      </c>
      <c r="T230" t="s">
        <v>176</v>
      </c>
      <c r="U230" t="s">
        <v>122</v>
      </c>
      <c r="V230" t="s">
        <v>115</v>
      </c>
      <c r="W230" t="s">
        <v>115</v>
      </c>
      <c r="X230" t="s">
        <v>115</v>
      </c>
      <c r="Y230" t="s">
        <v>115</v>
      </c>
      <c r="Z230" t="s">
        <v>115</v>
      </c>
      <c r="AA230" t="s">
        <v>115</v>
      </c>
      <c r="AB230" t="s">
        <v>115</v>
      </c>
      <c r="AC230" t="s">
        <v>115</v>
      </c>
      <c r="AD230" t="s">
        <v>115</v>
      </c>
      <c r="AE230" t="s">
        <v>115</v>
      </c>
      <c r="AF230" t="s">
        <v>115</v>
      </c>
      <c r="AG230" t="s">
        <v>115</v>
      </c>
      <c r="AH230">
        <v>0</v>
      </c>
      <c r="AI230">
        <v>0</v>
      </c>
      <c r="AJ230">
        <v>0</v>
      </c>
      <c r="AK230">
        <v>0</v>
      </c>
      <c r="AL230">
        <v>77</v>
      </c>
      <c r="AM230">
        <v>0</v>
      </c>
      <c r="AN230">
        <f t="shared" si="7"/>
        <v>77</v>
      </c>
    </row>
    <row r="231" spans="1:43" hidden="1" x14ac:dyDescent="0.2">
      <c r="A231" t="s">
        <v>4611</v>
      </c>
      <c r="B231" t="s">
        <v>4612</v>
      </c>
      <c r="C231">
        <v>1</v>
      </c>
      <c r="D231">
        <v>1</v>
      </c>
      <c r="E231" t="s">
        <v>2586</v>
      </c>
      <c r="F231" s="1">
        <v>43704</v>
      </c>
      <c r="G231" t="s">
        <v>4031</v>
      </c>
      <c r="H231" t="s">
        <v>4724</v>
      </c>
      <c r="I231" s="2">
        <v>3.0555555555555555E-2</v>
      </c>
      <c r="J231" s="176">
        <v>5.0925925925925921E-4</v>
      </c>
      <c r="K231" s="6">
        <v>44</v>
      </c>
      <c r="L231" t="s">
        <v>398</v>
      </c>
      <c r="M231" t="s">
        <v>4339</v>
      </c>
      <c r="N231" t="s">
        <v>4412</v>
      </c>
      <c r="O231" t="s">
        <v>23</v>
      </c>
      <c r="P231">
        <v>1</v>
      </c>
      <c r="Q231">
        <v>0</v>
      </c>
      <c r="R231">
        <v>1</v>
      </c>
      <c r="S231" t="s">
        <v>176</v>
      </c>
      <c r="T231" t="s">
        <v>176</v>
      </c>
      <c r="U231" t="s">
        <v>176</v>
      </c>
      <c r="V231" t="s">
        <v>4386</v>
      </c>
      <c r="W231" t="s">
        <v>23</v>
      </c>
      <c r="X231" t="s">
        <v>3999</v>
      </c>
      <c r="Y231" t="s">
        <v>4022</v>
      </c>
      <c r="AA231">
        <v>19</v>
      </c>
      <c r="AB231" t="s">
        <v>176</v>
      </c>
      <c r="AC231" s="19">
        <v>63.723489999999998</v>
      </c>
      <c r="AD231" s="19">
        <v>148.88754</v>
      </c>
      <c r="AE231" t="s">
        <v>115</v>
      </c>
      <c r="AF231" t="s">
        <v>115</v>
      </c>
      <c r="AG231" t="s">
        <v>115</v>
      </c>
      <c r="AH231">
        <v>0</v>
      </c>
      <c r="AI231">
        <v>0</v>
      </c>
      <c r="AJ231">
        <v>0</v>
      </c>
      <c r="AK231">
        <v>0</v>
      </c>
      <c r="AL231">
        <v>0</v>
      </c>
      <c r="AM231">
        <v>0</v>
      </c>
      <c r="AN231">
        <f t="shared" si="7"/>
        <v>0</v>
      </c>
      <c r="AP231" t="s">
        <v>4558</v>
      </c>
    </row>
    <row r="232" spans="1:43" hidden="1" x14ac:dyDescent="0.2">
      <c r="A232" t="s">
        <v>4613</v>
      </c>
      <c r="B232" t="s">
        <v>4614</v>
      </c>
      <c r="C232">
        <v>2</v>
      </c>
      <c r="D232">
        <v>1</v>
      </c>
      <c r="E232" t="s">
        <v>2586</v>
      </c>
      <c r="F232" s="1">
        <v>43704</v>
      </c>
      <c r="G232" t="s">
        <v>4031</v>
      </c>
      <c r="H232" t="s">
        <v>4724</v>
      </c>
      <c r="I232" s="2">
        <v>1.7361111111111112E-2</v>
      </c>
      <c r="J232" s="176">
        <v>2.8935185185185189E-4</v>
      </c>
      <c r="K232" s="6">
        <v>25</v>
      </c>
      <c r="L232" t="s">
        <v>398</v>
      </c>
      <c r="M232" t="s">
        <v>4339</v>
      </c>
      <c r="N232" t="s">
        <v>111</v>
      </c>
      <c r="O232" t="s">
        <v>23</v>
      </c>
      <c r="P232">
        <v>0</v>
      </c>
      <c r="Q232">
        <v>0</v>
      </c>
      <c r="R232">
        <v>1</v>
      </c>
      <c r="S232" t="s">
        <v>176</v>
      </c>
      <c r="T232" t="s">
        <v>176</v>
      </c>
      <c r="U232" t="s">
        <v>176</v>
      </c>
      <c r="V232" t="s">
        <v>263</v>
      </c>
      <c r="W232" t="s">
        <v>23</v>
      </c>
      <c r="X232" t="s">
        <v>4004</v>
      </c>
      <c r="Y232" t="s">
        <v>176</v>
      </c>
      <c r="AA232">
        <v>157</v>
      </c>
      <c r="AC232" s="19">
        <v>63.723489999999998</v>
      </c>
      <c r="AD232" s="19">
        <v>148.88754</v>
      </c>
      <c r="AE232" t="s">
        <v>115</v>
      </c>
      <c r="AF232" t="s">
        <v>115</v>
      </c>
      <c r="AG232" t="s">
        <v>115</v>
      </c>
      <c r="AH232">
        <v>0</v>
      </c>
      <c r="AI232">
        <v>0</v>
      </c>
      <c r="AJ232">
        <v>0</v>
      </c>
      <c r="AK232">
        <v>0</v>
      </c>
      <c r="AL232">
        <v>0</v>
      </c>
      <c r="AM232">
        <v>0</v>
      </c>
      <c r="AN232">
        <f t="shared" si="7"/>
        <v>0</v>
      </c>
    </row>
    <row r="233" spans="1:43" hidden="1" x14ac:dyDescent="0.2">
      <c r="A233" t="s">
        <v>4613</v>
      </c>
      <c r="B233" t="s">
        <v>4614</v>
      </c>
      <c r="C233">
        <v>2</v>
      </c>
      <c r="D233">
        <v>2</v>
      </c>
      <c r="E233" t="s">
        <v>2586</v>
      </c>
      <c r="F233" s="1">
        <v>43704</v>
      </c>
      <c r="G233" t="s">
        <v>4031</v>
      </c>
      <c r="H233" t="s">
        <v>4724</v>
      </c>
      <c r="I233" s="2">
        <v>1.7361111111111112E-2</v>
      </c>
      <c r="J233" s="176">
        <v>2.8935185185185189E-4</v>
      </c>
      <c r="K233" s="6">
        <v>25</v>
      </c>
      <c r="L233" t="s">
        <v>398</v>
      </c>
      <c r="M233" t="s">
        <v>4339</v>
      </c>
      <c r="N233" t="s">
        <v>111</v>
      </c>
      <c r="O233" t="s">
        <v>23</v>
      </c>
      <c r="P233">
        <v>0</v>
      </c>
      <c r="Q233">
        <v>0</v>
      </c>
      <c r="R233">
        <v>1</v>
      </c>
      <c r="S233" t="s">
        <v>176</v>
      </c>
      <c r="T233" t="s">
        <v>176</v>
      </c>
      <c r="U233" t="s">
        <v>176</v>
      </c>
      <c r="V233" t="s">
        <v>263</v>
      </c>
      <c r="W233" t="s">
        <v>23</v>
      </c>
      <c r="X233" t="s">
        <v>4004</v>
      </c>
      <c r="Y233" t="s">
        <v>176</v>
      </c>
      <c r="AA233">
        <v>309</v>
      </c>
      <c r="AC233" s="19">
        <v>63.723489999999998</v>
      </c>
      <c r="AD233" s="19">
        <v>148.88757000000001</v>
      </c>
      <c r="AE233" t="s">
        <v>115</v>
      </c>
      <c r="AF233" t="s">
        <v>115</v>
      </c>
      <c r="AG233" t="s">
        <v>115</v>
      </c>
      <c r="AH233">
        <v>0</v>
      </c>
      <c r="AI233">
        <v>0</v>
      </c>
      <c r="AJ233">
        <v>0</v>
      </c>
      <c r="AK233">
        <v>0</v>
      </c>
      <c r="AL233">
        <v>0</v>
      </c>
      <c r="AM233">
        <v>0</v>
      </c>
      <c r="AN233">
        <f t="shared" si="7"/>
        <v>0</v>
      </c>
      <c r="AP233" t="s">
        <v>4620</v>
      </c>
    </row>
    <row r="234" spans="1:43" hidden="1" x14ac:dyDescent="0.2">
      <c r="A234" t="s">
        <v>4617</v>
      </c>
      <c r="B234" t="s">
        <v>4618</v>
      </c>
      <c r="C234">
        <v>4</v>
      </c>
      <c r="D234">
        <v>1</v>
      </c>
      <c r="E234" t="s">
        <v>2586</v>
      </c>
      <c r="F234" s="1">
        <v>43704</v>
      </c>
      <c r="G234" t="s">
        <v>4031</v>
      </c>
      <c r="H234" t="s">
        <v>4724</v>
      </c>
      <c r="I234" s="2">
        <v>1.8749999999999999E-2</v>
      </c>
      <c r="J234" s="176">
        <v>3.1250000000000001E-4</v>
      </c>
      <c r="K234" s="6">
        <v>27</v>
      </c>
      <c r="L234" t="s">
        <v>398</v>
      </c>
      <c r="M234" t="s">
        <v>4339</v>
      </c>
      <c r="N234" t="s">
        <v>111</v>
      </c>
      <c r="O234" t="s">
        <v>23</v>
      </c>
      <c r="P234">
        <v>0</v>
      </c>
      <c r="Q234">
        <v>0</v>
      </c>
      <c r="R234">
        <v>1</v>
      </c>
      <c r="S234" t="s">
        <v>176</v>
      </c>
      <c r="T234" t="s">
        <v>176</v>
      </c>
      <c r="U234" t="s">
        <v>176</v>
      </c>
      <c r="V234" t="s">
        <v>263</v>
      </c>
      <c r="W234" t="s">
        <v>23</v>
      </c>
      <c r="X234" t="s">
        <v>4004</v>
      </c>
      <c r="Y234" t="s">
        <v>176</v>
      </c>
      <c r="AA234">
        <v>70</v>
      </c>
      <c r="AB234" t="s">
        <v>176</v>
      </c>
      <c r="AC234" s="19">
        <v>63.723500000000001</v>
      </c>
      <c r="AD234" s="19">
        <v>148.88756000000001</v>
      </c>
      <c r="AE234" t="s">
        <v>115</v>
      </c>
      <c r="AF234" t="s">
        <v>115</v>
      </c>
      <c r="AG234" t="s">
        <v>115</v>
      </c>
      <c r="AH234">
        <v>0</v>
      </c>
      <c r="AI234">
        <v>0</v>
      </c>
      <c r="AJ234">
        <v>0</v>
      </c>
      <c r="AK234">
        <v>0</v>
      </c>
      <c r="AL234">
        <v>0</v>
      </c>
      <c r="AM234">
        <v>0</v>
      </c>
      <c r="AN234">
        <f t="shared" si="7"/>
        <v>0</v>
      </c>
      <c r="AP234" t="s">
        <v>4619</v>
      </c>
    </row>
    <row r="235" spans="1:43" hidden="1" x14ac:dyDescent="0.2">
      <c r="A235" t="s">
        <v>4627</v>
      </c>
      <c r="B235" t="s">
        <v>4628</v>
      </c>
      <c r="C235">
        <v>7</v>
      </c>
      <c r="D235">
        <v>1</v>
      </c>
      <c r="E235" t="s">
        <v>2586</v>
      </c>
      <c r="F235" s="1">
        <v>43704</v>
      </c>
      <c r="G235" t="s">
        <v>4031</v>
      </c>
      <c r="H235" t="s">
        <v>4724</v>
      </c>
      <c r="I235" s="2">
        <v>1.8055555555555557E-2</v>
      </c>
      <c r="J235" s="176">
        <v>3.0092592592592595E-4</v>
      </c>
      <c r="K235" s="6">
        <v>26</v>
      </c>
      <c r="L235" t="s">
        <v>398</v>
      </c>
      <c r="M235" t="s">
        <v>4339</v>
      </c>
      <c r="N235" t="s">
        <v>111</v>
      </c>
      <c r="O235" t="s">
        <v>23</v>
      </c>
      <c r="P235">
        <v>0</v>
      </c>
      <c r="Q235">
        <v>0</v>
      </c>
      <c r="R235">
        <v>1</v>
      </c>
      <c r="S235" t="s">
        <v>176</v>
      </c>
      <c r="T235" t="s">
        <v>176</v>
      </c>
      <c r="U235" t="s">
        <v>176</v>
      </c>
      <c r="V235" t="s">
        <v>1035</v>
      </c>
      <c r="W235" t="s">
        <v>23</v>
      </c>
      <c r="X235" t="s">
        <v>3997</v>
      </c>
      <c r="Y235" t="s">
        <v>4006</v>
      </c>
      <c r="AA235">
        <v>156</v>
      </c>
      <c r="AB235" t="s">
        <v>176</v>
      </c>
      <c r="AC235" s="19">
        <v>63.724739999999997</v>
      </c>
      <c r="AD235" s="19">
        <v>148.89146</v>
      </c>
      <c r="AE235" t="s">
        <v>115</v>
      </c>
      <c r="AF235" t="s">
        <v>115</v>
      </c>
      <c r="AG235" t="s">
        <v>115</v>
      </c>
      <c r="AH235">
        <v>0</v>
      </c>
      <c r="AI235">
        <v>0</v>
      </c>
      <c r="AJ235">
        <v>0</v>
      </c>
      <c r="AK235">
        <v>0</v>
      </c>
      <c r="AL235">
        <v>0</v>
      </c>
      <c r="AM235">
        <v>0</v>
      </c>
      <c r="AN235">
        <f t="shared" si="7"/>
        <v>0</v>
      </c>
    </row>
    <row r="236" spans="1:43" hidden="1" x14ac:dyDescent="0.2">
      <c r="A236" t="s">
        <v>4627</v>
      </c>
      <c r="B236" t="s">
        <v>4628</v>
      </c>
      <c r="C236">
        <v>7</v>
      </c>
      <c r="D236">
        <v>2</v>
      </c>
      <c r="E236" t="s">
        <v>2586</v>
      </c>
      <c r="F236" s="1">
        <v>43704</v>
      </c>
      <c r="G236" t="s">
        <v>4031</v>
      </c>
      <c r="H236" t="s">
        <v>4724</v>
      </c>
      <c r="I236" s="2">
        <v>1.8055555555555557E-2</v>
      </c>
      <c r="J236" s="176">
        <v>3.0092592592592595E-4</v>
      </c>
      <c r="K236" s="6">
        <v>26</v>
      </c>
      <c r="L236" t="s">
        <v>398</v>
      </c>
      <c r="M236" t="s">
        <v>4339</v>
      </c>
      <c r="N236" t="s">
        <v>102</v>
      </c>
      <c r="O236" t="s">
        <v>23</v>
      </c>
      <c r="P236">
        <v>1</v>
      </c>
      <c r="Q236" t="s">
        <v>176</v>
      </c>
      <c r="R236">
        <v>0</v>
      </c>
      <c r="S236" t="s">
        <v>176</v>
      </c>
      <c r="T236" t="s">
        <v>176</v>
      </c>
      <c r="U236" t="s">
        <v>1035</v>
      </c>
      <c r="V236" t="s">
        <v>1035</v>
      </c>
      <c r="W236" t="s">
        <v>115</v>
      </c>
      <c r="X236" t="s">
        <v>115</v>
      </c>
      <c r="Y236" t="s">
        <v>115</v>
      </c>
      <c r="Z236" t="s">
        <v>115</v>
      </c>
      <c r="AA236" t="s">
        <v>115</v>
      </c>
      <c r="AB236" t="s">
        <v>115</v>
      </c>
      <c r="AC236" t="s">
        <v>115</v>
      </c>
      <c r="AD236" t="s">
        <v>115</v>
      </c>
      <c r="AE236" t="s">
        <v>115</v>
      </c>
      <c r="AF236" t="s">
        <v>115</v>
      </c>
      <c r="AG236" t="s">
        <v>115</v>
      </c>
      <c r="AH236">
        <v>0</v>
      </c>
      <c r="AI236">
        <v>15</v>
      </c>
      <c r="AJ236">
        <v>0</v>
      </c>
      <c r="AK236">
        <v>15</v>
      </c>
      <c r="AL236">
        <v>0</v>
      </c>
      <c r="AM236">
        <v>0</v>
      </c>
      <c r="AN236">
        <f t="shared" si="7"/>
        <v>15</v>
      </c>
    </row>
    <row r="237" spans="1:43" hidden="1" x14ac:dyDescent="0.2">
      <c r="A237" t="s">
        <v>4633</v>
      </c>
      <c r="B237" t="s">
        <v>4634</v>
      </c>
      <c r="C237">
        <v>10</v>
      </c>
      <c r="D237">
        <v>1</v>
      </c>
      <c r="E237" t="s">
        <v>2586</v>
      </c>
      <c r="F237" s="1">
        <v>43704</v>
      </c>
      <c r="G237" t="s">
        <v>4031</v>
      </c>
      <c r="H237" t="s">
        <v>4724</v>
      </c>
      <c r="I237" s="2">
        <v>4.3750000000000004E-2</v>
      </c>
      <c r="J237" s="176">
        <v>7.291666666666667E-4</v>
      </c>
      <c r="K237" s="6">
        <v>63</v>
      </c>
      <c r="L237" t="s">
        <v>398</v>
      </c>
      <c r="M237" t="s">
        <v>4339</v>
      </c>
      <c r="N237" t="s">
        <v>4458</v>
      </c>
      <c r="O237" t="s">
        <v>115</v>
      </c>
      <c r="P237">
        <v>1</v>
      </c>
      <c r="Q237" t="s">
        <v>176</v>
      </c>
      <c r="R237">
        <v>0</v>
      </c>
      <c r="S237" t="s">
        <v>176</v>
      </c>
      <c r="T237" t="s">
        <v>176</v>
      </c>
      <c r="U237" t="s">
        <v>4192</v>
      </c>
      <c r="V237" t="s">
        <v>115</v>
      </c>
      <c r="W237" t="s">
        <v>115</v>
      </c>
      <c r="X237" t="s">
        <v>115</v>
      </c>
      <c r="Y237" t="s">
        <v>115</v>
      </c>
      <c r="Z237" t="s">
        <v>115</v>
      </c>
      <c r="AA237" t="s">
        <v>115</v>
      </c>
      <c r="AB237" t="s">
        <v>115</v>
      </c>
      <c r="AC237" t="s">
        <v>115</v>
      </c>
      <c r="AD237" t="s">
        <v>115</v>
      </c>
      <c r="AE237" t="s">
        <v>115</v>
      </c>
      <c r="AF237" t="s">
        <v>115</v>
      </c>
      <c r="AG237" t="s">
        <v>115</v>
      </c>
      <c r="AH237">
        <v>51</v>
      </c>
      <c r="AI237">
        <v>0</v>
      </c>
      <c r="AJ237">
        <v>51</v>
      </c>
      <c r="AK237">
        <v>0</v>
      </c>
      <c r="AL237">
        <v>0</v>
      </c>
      <c r="AM237">
        <v>0</v>
      </c>
      <c r="AN237">
        <f t="shared" si="7"/>
        <v>51</v>
      </c>
      <c r="AO237" t="s">
        <v>165</v>
      </c>
      <c r="AQ237">
        <v>2</v>
      </c>
    </row>
    <row r="238" spans="1:43" hidden="1" x14ac:dyDescent="0.2">
      <c r="A238" t="s">
        <v>4615</v>
      </c>
      <c r="B238" t="s">
        <v>4616</v>
      </c>
      <c r="C238">
        <v>3</v>
      </c>
      <c r="D238">
        <v>1</v>
      </c>
      <c r="E238" t="s">
        <v>2586</v>
      </c>
      <c r="F238" s="1">
        <v>43704</v>
      </c>
      <c r="G238" t="s">
        <v>4031</v>
      </c>
      <c r="H238" t="s">
        <v>4724</v>
      </c>
      <c r="I238" s="2">
        <v>7.6388888888888886E-3</v>
      </c>
      <c r="J238" s="176">
        <v>1.273148148148148E-4</v>
      </c>
      <c r="K238" s="6">
        <v>11</v>
      </c>
      <c r="L238" t="s">
        <v>398</v>
      </c>
      <c r="M238" t="s">
        <v>4339</v>
      </c>
      <c r="N238" t="s">
        <v>107</v>
      </c>
      <c r="O238" t="s">
        <v>115</v>
      </c>
      <c r="P238">
        <v>0</v>
      </c>
      <c r="Q238">
        <v>0</v>
      </c>
      <c r="R238">
        <v>0</v>
      </c>
      <c r="S238" t="s">
        <v>115</v>
      </c>
      <c r="T238" t="s">
        <v>115</v>
      </c>
      <c r="U238" t="s">
        <v>115</v>
      </c>
      <c r="V238" t="s">
        <v>115</v>
      </c>
      <c r="W238" t="s">
        <v>115</v>
      </c>
      <c r="X238" t="s">
        <v>115</v>
      </c>
      <c r="Y238" t="s">
        <v>115</v>
      </c>
      <c r="Z238" t="s">
        <v>115</v>
      </c>
      <c r="AA238" t="s">
        <v>115</v>
      </c>
      <c r="AB238" t="s">
        <v>115</v>
      </c>
      <c r="AC238" t="s">
        <v>115</v>
      </c>
      <c r="AD238" t="s">
        <v>115</v>
      </c>
      <c r="AE238" t="s">
        <v>115</v>
      </c>
      <c r="AF238" t="s">
        <v>115</v>
      </c>
      <c r="AG238" t="s">
        <v>115</v>
      </c>
      <c r="AH238">
        <v>0</v>
      </c>
      <c r="AI238">
        <v>0</v>
      </c>
      <c r="AJ238">
        <v>0</v>
      </c>
      <c r="AK238">
        <v>0</v>
      </c>
      <c r="AL238">
        <v>0</v>
      </c>
      <c r="AM238">
        <v>0</v>
      </c>
      <c r="AN238">
        <f t="shared" si="7"/>
        <v>0</v>
      </c>
      <c r="AP238" t="s">
        <v>4620</v>
      </c>
    </row>
    <row r="239" spans="1:43" hidden="1" x14ac:dyDescent="0.2">
      <c r="A239" t="s">
        <v>4629</v>
      </c>
      <c r="B239" t="s">
        <v>4630</v>
      </c>
      <c r="C239">
        <v>8</v>
      </c>
      <c r="D239">
        <v>1</v>
      </c>
      <c r="E239" t="s">
        <v>2586</v>
      </c>
      <c r="F239" s="1">
        <v>43704</v>
      </c>
      <c r="G239" t="s">
        <v>4031</v>
      </c>
      <c r="H239" t="s">
        <v>4724</v>
      </c>
      <c r="I239" s="2">
        <v>1.1805555555555555E-2</v>
      </c>
      <c r="J239" s="176">
        <v>1.9675925925925926E-4</v>
      </c>
      <c r="K239" s="6">
        <v>17</v>
      </c>
      <c r="L239" t="s">
        <v>398</v>
      </c>
      <c r="M239" t="s">
        <v>241</v>
      </c>
      <c r="N239" t="s">
        <v>102</v>
      </c>
      <c r="O239" t="s">
        <v>23</v>
      </c>
      <c r="P239" t="s">
        <v>176</v>
      </c>
      <c r="Q239" t="s">
        <v>176</v>
      </c>
      <c r="R239" t="s">
        <v>176</v>
      </c>
      <c r="S239" t="s">
        <v>115</v>
      </c>
      <c r="T239" t="s">
        <v>115</v>
      </c>
      <c r="U239" t="s">
        <v>115</v>
      </c>
      <c r="V239" t="s">
        <v>115</v>
      </c>
      <c r="W239" t="s">
        <v>115</v>
      </c>
      <c r="X239" t="s">
        <v>115</v>
      </c>
      <c r="Y239" t="s">
        <v>115</v>
      </c>
      <c r="Z239" t="s">
        <v>115</v>
      </c>
      <c r="AA239" t="s">
        <v>115</v>
      </c>
      <c r="AB239" t="s">
        <v>115</v>
      </c>
      <c r="AC239" t="s">
        <v>115</v>
      </c>
      <c r="AD239" t="s">
        <v>115</v>
      </c>
      <c r="AE239" t="s">
        <v>115</v>
      </c>
      <c r="AF239" t="s">
        <v>115</v>
      </c>
      <c r="AG239" t="s">
        <v>115</v>
      </c>
      <c r="AH239">
        <v>0</v>
      </c>
      <c r="AI239">
        <v>17</v>
      </c>
      <c r="AJ239">
        <v>0</v>
      </c>
      <c r="AK239">
        <v>17</v>
      </c>
      <c r="AL239">
        <v>0</v>
      </c>
      <c r="AM239">
        <v>0</v>
      </c>
      <c r="AN239">
        <f t="shared" si="7"/>
        <v>17</v>
      </c>
    </row>
    <row r="240" spans="1:43" hidden="1" x14ac:dyDescent="0.2">
      <c r="A240" t="s">
        <v>4631</v>
      </c>
      <c r="B240" t="s">
        <v>4632</v>
      </c>
      <c r="C240">
        <v>9</v>
      </c>
      <c r="D240">
        <v>1</v>
      </c>
      <c r="E240" t="s">
        <v>2586</v>
      </c>
      <c r="F240" s="1">
        <v>43704</v>
      </c>
      <c r="G240" t="s">
        <v>4031</v>
      </c>
      <c r="H240" t="s">
        <v>4724</v>
      </c>
      <c r="I240" s="2">
        <v>3.2638888888888891E-2</v>
      </c>
      <c r="J240" s="176">
        <v>5.4398148148148144E-4</v>
      </c>
      <c r="K240" s="6">
        <v>47</v>
      </c>
      <c r="L240" t="s">
        <v>398</v>
      </c>
      <c r="M240" t="s">
        <v>4339</v>
      </c>
      <c r="N240" t="s">
        <v>568</v>
      </c>
      <c r="O240" t="s">
        <v>23</v>
      </c>
      <c r="P240">
        <v>1</v>
      </c>
      <c r="Q240">
        <v>0</v>
      </c>
      <c r="R240">
        <v>1</v>
      </c>
      <c r="S240" t="s">
        <v>112</v>
      </c>
      <c r="T240" t="s">
        <v>4214</v>
      </c>
      <c r="U240" t="s">
        <v>122</v>
      </c>
      <c r="V240" t="s">
        <v>4385</v>
      </c>
      <c r="W240" t="s">
        <v>23</v>
      </c>
      <c r="X240" t="s">
        <v>3997</v>
      </c>
      <c r="Y240" t="s">
        <v>3810</v>
      </c>
      <c r="AA240">
        <v>341</v>
      </c>
      <c r="AB240">
        <v>4</v>
      </c>
      <c r="AC240" s="19">
        <v>63.723219999999998</v>
      </c>
      <c r="AD240" s="19">
        <v>148.88901999999999</v>
      </c>
      <c r="AE240" t="s">
        <v>115</v>
      </c>
      <c r="AF240" t="s">
        <v>115</v>
      </c>
      <c r="AG240" t="s">
        <v>115</v>
      </c>
      <c r="AH240">
        <v>0</v>
      </c>
      <c r="AI240">
        <v>0</v>
      </c>
      <c r="AJ240">
        <v>0</v>
      </c>
      <c r="AK240">
        <v>0</v>
      </c>
      <c r="AL240">
        <v>5</v>
      </c>
      <c r="AM240">
        <v>0</v>
      </c>
      <c r="AN240">
        <f t="shared" si="7"/>
        <v>5</v>
      </c>
    </row>
    <row r="241" spans="1:42" hidden="1" x14ac:dyDescent="0.2">
      <c r="A241" t="s">
        <v>4631</v>
      </c>
      <c r="B241" t="s">
        <v>4632</v>
      </c>
      <c r="C241">
        <v>9</v>
      </c>
      <c r="D241">
        <v>1</v>
      </c>
      <c r="E241" t="s">
        <v>2586</v>
      </c>
      <c r="F241" s="1">
        <v>43704</v>
      </c>
      <c r="G241" t="s">
        <v>4031</v>
      </c>
      <c r="H241" t="s">
        <v>4724</v>
      </c>
      <c r="I241" s="2">
        <v>3.2638888888888891E-2</v>
      </c>
      <c r="J241" s="176">
        <v>5.4398148148148144E-4</v>
      </c>
      <c r="K241" s="6">
        <v>47</v>
      </c>
      <c r="L241" t="s">
        <v>398</v>
      </c>
      <c r="M241" t="s">
        <v>4339</v>
      </c>
      <c r="N241" t="s">
        <v>568</v>
      </c>
      <c r="O241" t="s">
        <v>23</v>
      </c>
      <c r="P241">
        <v>1</v>
      </c>
      <c r="Q241">
        <v>0</v>
      </c>
      <c r="R241">
        <v>1</v>
      </c>
      <c r="S241" t="s">
        <v>112</v>
      </c>
      <c r="T241" t="s">
        <v>4319</v>
      </c>
      <c r="U241" t="s">
        <v>122</v>
      </c>
      <c r="V241" t="s">
        <v>4385</v>
      </c>
      <c r="W241" t="s">
        <v>23</v>
      </c>
      <c r="X241" t="s">
        <v>3997</v>
      </c>
      <c r="Y241" t="s">
        <v>3810</v>
      </c>
      <c r="AA241">
        <v>194</v>
      </c>
      <c r="AB241">
        <v>2</v>
      </c>
      <c r="AC241" s="19">
        <v>63.723239999999997</v>
      </c>
      <c r="AD241" s="19">
        <v>148.88898</v>
      </c>
      <c r="AE241" t="s">
        <v>115</v>
      </c>
      <c r="AF241" t="s">
        <v>115</v>
      </c>
      <c r="AG241" t="s">
        <v>115</v>
      </c>
      <c r="AH241">
        <v>0</v>
      </c>
      <c r="AI241">
        <v>0</v>
      </c>
      <c r="AJ241">
        <v>0</v>
      </c>
      <c r="AK241">
        <v>0</v>
      </c>
      <c r="AL241">
        <v>20</v>
      </c>
      <c r="AM241">
        <v>0</v>
      </c>
      <c r="AN241">
        <f t="shared" ref="AN241:AN272" si="8">SUM(AH241+AI241+AL241+AM241)</f>
        <v>20</v>
      </c>
    </row>
    <row r="242" spans="1:42" hidden="1" x14ac:dyDescent="0.2">
      <c r="A242" t="s">
        <v>4624</v>
      </c>
      <c r="B242" t="s">
        <v>4625</v>
      </c>
      <c r="C242">
        <v>6</v>
      </c>
      <c r="D242">
        <v>2</v>
      </c>
      <c r="E242" t="s">
        <v>2586</v>
      </c>
      <c r="F242" s="1">
        <v>43704</v>
      </c>
      <c r="G242" t="s">
        <v>4031</v>
      </c>
      <c r="H242" t="s">
        <v>4724</v>
      </c>
      <c r="I242" s="2">
        <v>4.9305555555555554E-2</v>
      </c>
      <c r="J242" s="176">
        <v>8.2175925925925917E-4</v>
      </c>
      <c r="K242" s="6">
        <v>71</v>
      </c>
      <c r="L242" t="s">
        <v>398</v>
      </c>
      <c r="M242" t="s">
        <v>176</v>
      </c>
      <c r="N242" t="s">
        <v>102</v>
      </c>
      <c r="O242" t="s">
        <v>23</v>
      </c>
      <c r="P242">
        <v>1</v>
      </c>
      <c r="Q242">
        <v>0</v>
      </c>
      <c r="R242">
        <v>1</v>
      </c>
      <c r="S242" t="s">
        <v>1342</v>
      </c>
      <c r="T242" t="s">
        <v>4626</v>
      </c>
      <c r="U242" t="s">
        <v>122</v>
      </c>
      <c r="V242" t="s">
        <v>939</v>
      </c>
      <c r="W242" t="s">
        <v>23</v>
      </c>
      <c r="X242" t="s">
        <v>3999</v>
      </c>
      <c r="Y242" t="s">
        <v>4022</v>
      </c>
      <c r="AA242">
        <v>164</v>
      </c>
      <c r="AB242">
        <v>2</v>
      </c>
      <c r="AC242" s="19">
        <v>63.72401</v>
      </c>
      <c r="AD242" s="19">
        <v>148.88971000000001</v>
      </c>
      <c r="AE242" t="s">
        <v>115</v>
      </c>
      <c r="AF242" t="s">
        <v>115</v>
      </c>
      <c r="AG242" t="s">
        <v>115</v>
      </c>
      <c r="AH242">
        <v>0</v>
      </c>
      <c r="AI242">
        <v>0</v>
      </c>
      <c r="AJ242">
        <v>0</v>
      </c>
      <c r="AK242">
        <v>0</v>
      </c>
      <c r="AL242">
        <v>14</v>
      </c>
      <c r="AM242">
        <v>0</v>
      </c>
      <c r="AN242">
        <f t="shared" si="8"/>
        <v>14</v>
      </c>
    </row>
    <row r="243" spans="1:42" hidden="1" x14ac:dyDescent="0.2">
      <c r="A243" t="s">
        <v>4624</v>
      </c>
      <c r="B243" t="s">
        <v>4625</v>
      </c>
      <c r="C243">
        <v>6</v>
      </c>
      <c r="D243">
        <v>3</v>
      </c>
      <c r="E243" t="s">
        <v>2586</v>
      </c>
      <c r="F243" s="1">
        <v>43704</v>
      </c>
      <c r="G243" t="s">
        <v>4031</v>
      </c>
      <c r="H243" t="s">
        <v>4724</v>
      </c>
      <c r="I243" s="2">
        <v>4.9305555555555554E-2</v>
      </c>
      <c r="J243" s="176">
        <v>8.2175925925925917E-4</v>
      </c>
      <c r="K243" s="6">
        <v>71</v>
      </c>
      <c r="L243" t="s">
        <v>398</v>
      </c>
      <c r="M243" t="s">
        <v>176</v>
      </c>
      <c r="N243" t="s">
        <v>102</v>
      </c>
      <c r="O243" t="s">
        <v>23</v>
      </c>
      <c r="P243">
        <v>0</v>
      </c>
      <c r="Q243">
        <v>0</v>
      </c>
      <c r="R243">
        <v>1</v>
      </c>
      <c r="S243" t="s">
        <v>1342</v>
      </c>
      <c r="T243" t="s">
        <v>4626</v>
      </c>
      <c r="U243" t="s">
        <v>122</v>
      </c>
      <c r="V243" t="s">
        <v>939</v>
      </c>
      <c r="W243" t="s">
        <v>23</v>
      </c>
      <c r="X243" t="s">
        <v>3999</v>
      </c>
      <c r="Y243" t="s">
        <v>4022</v>
      </c>
      <c r="AA243">
        <v>202</v>
      </c>
      <c r="AB243">
        <v>2</v>
      </c>
      <c r="AC243" s="19">
        <v>63.72401</v>
      </c>
      <c r="AD243" s="19">
        <v>148.88971000000001</v>
      </c>
      <c r="AE243" t="s">
        <v>115</v>
      </c>
      <c r="AF243" t="s">
        <v>115</v>
      </c>
      <c r="AG243" t="s">
        <v>115</v>
      </c>
      <c r="AH243">
        <v>0</v>
      </c>
      <c r="AI243">
        <v>0</v>
      </c>
      <c r="AJ243">
        <v>0</v>
      </c>
      <c r="AK243">
        <v>0</v>
      </c>
      <c r="AL243">
        <v>0</v>
      </c>
      <c r="AM243">
        <v>0</v>
      </c>
      <c r="AN243">
        <f t="shared" si="8"/>
        <v>0</v>
      </c>
    </row>
    <row r="244" spans="1:42" hidden="1" x14ac:dyDescent="0.2">
      <c r="A244" t="s">
        <v>4624</v>
      </c>
      <c r="B244" t="s">
        <v>4625</v>
      </c>
      <c r="C244">
        <v>6</v>
      </c>
      <c r="D244">
        <v>4</v>
      </c>
      <c r="E244" t="s">
        <v>2586</v>
      </c>
      <c r="F244" s="1">
        <v>43704</v>
      </c>
      <c r="G244" t="s">
        <v>4031</v>
      </c>
      <c r="H244" t="s">
        <v>4724</v>
      </c>
      <c r="I244" s="2">
        <v>4.9305555555555554E-2</v>
      </c>
      <c r="J244" s="176">
        <v>8.2175925925925917E-4</v>
      </c>
      <c r="K244" s="6">
        <v>71</v>
      </c>
      <c r="L244" t="s">
        <v>398</v>
      </c>
      <c r="M244" t="s">
        <v>176</v>
      </c>
      <c r="N244" t="s">
        <v>102</v>
      </c>
      <c r="O244" t="s">
        <v>23</v>
      </c>
      <c r="P244">
        <v>0</v>
      </c>
      <c r="Q244">
        <v>0</v>
      </c>
      <c r="R244">
        <v>1</v>
      </c>
      <c r="S244" t="s">
        <v>1342</v>
      </c>
      <c r="T244" t="s">
        <v>4626</v>
      </c>
      <c r="U244" t="s">
        <v>122</v>
      </c>
      <c r="V244" t="s">
        <v>939</v>
      </c>
      <c r="W244" t="s">
        <v>23</v>
      </c>
      <c r="X244" t="s">
        <v>3999</v>
      </c>
      <c r="Y244" t="s">
        <v>4022</v>
      </c>
      <c r="AA244">
        <v>226</v>
      </c>
      <c r="AB244">
        <v>2</v>
      </c>
      <c r="AC244" s="19">
        <v>63.72401</v>
      </c>
      <c r="AD244" s="19">
        <v>148.88971000000001</v>
      </c>
      <c r="AE244" t="s">
        <v>115</v>
      </c>
      <c r="AF244" t="s">
        <v>115</v>
      </c>
      <c r="AG244" t="s">
        <v>115</v>
      </c>
      <c r="AH244">
        <v>0</v>
      </c>
      <c r="AI244">
        <v>0</v>
      </c>
      <c r="AJ244">
        <v>0</v>
      </c>
      <c r="AK244">
        <v>0</v>
      </c>
      <c r="AL244">
        <v>0</v>
      </c>
      <c r="AM244">
        <v>0</v>
      </c>
      <c r="AN244">
        <f t="shared" si="8"/>
        <v>0</v>
      </c>
    </row>
    <row r="245" spans="1:42" x14ac:dyDescent="0.2">
      <c r="A245" t="s">
        <v>4621</v>
      </c>
      <c r="B245" t="s">
        <v>4622</v>
      </c>
      <c r="C245">
        <v>5</v>
      </c>
      <c r="D245">
        <v>1</v>
      </c>
      <c r="E245" t="s">
        <v>2586</v>
      </c>
      <c r="F245" s="1">
        <v>43704</v>
      </c>
      <c r="G245" t="s">
        <v>4031</v>
      </c>
      <c r="H245" t="s">
        <v>4724</v>
      </c>
      <c r="I245" s="2">
        <v>1.1805555555555555E-2</v>
      </c>
      <c r="J245" s="176">
        <v>1.9675925925925926E-4</v>
      </c>
      <c r="K245" s="6">
        <v>17</v>
      </c>
      <c r="L245" t="s">
        <v>398</v>
      </c>
      <c r="M245" t="s">
        <v>4339</v>
      </c>
      <c r="N245" t="s">
        <v>111</v>
      </c>
      <c r="O245" t="s">
        <v>23</v>
      </c>
      <c r="P245">
        <v>1</v>
      </c>
      <c r="Q245">
        <v>1</v>
      </c>
      <c r="R245">
        <v>1</v>
      </c>
      <c r="S245" t="s">
        <v>461</v>
      </c>
      <c r="T245" t="s">
        <v>461</v>
      </c>
      <c r="U245" t="s">
        <v>1035</v>
      </c>
      <c r="V245" t="s">
        <v>4385</v>
      </c>
      <c r="W245" t="s">
        <v>23</v>
      </c>
      <c r="X245" t="s">
        <v>3997</v>
      </c>
      <c r="Y245" t="s">
        <v>176</v>
      </c>
      <c r="AA245">
        <v>165</v>
      </c>
      <c r="AB245">
        <v>1</v>
      </c>
      <c r="AC245" s="19">
        <v>63.723939999999999</v>
      </c>
      <c r="AD245" s="19">
        <v>148.88972000000001</v>
      </c>
      <c r="AE245" t="s">
        <v>115</v>
      </c>
      <c r="AF245" t="s">
        <v>115</v>
      </c>
      <c r="AG245" t="s">
        <v>115</v>
      </c>
      <c r="AH245">
        <v>0</v>
      </c>
      <c r="AI245">
        <v>0</v>
      </c>
      <c r="AJ245">
        <v>0</v>
      </c>
      <c r="AK245">
        <v>0</v>
      </c>
      <c r="AL245">
        <v>0</v>
      </c>
      <c r="AM245">
        <v>0</v>
      </c>
      <c r="AN245">
        <f t="shared" si="8"/>
        <v>0</v>
      </c>
      <c r="AP245" t="s">
        <v>4623</v>
      </c>
    </row>
    <row r="246" spans="1:42" hidden="1" x14ac:dyDescent="0.2">
      <c r="A246" t="s">
        <v>4624</v>
      </c>
      <c r="B246" t="s">
        <v>4625</v>
      </c>
      <c r="C246">
        <v>6</v>
      </c>
      <c r="D246">
        <v>1</v>
      </c>
      <c r="E246" t="s">
        <v>2586</v>
      </c>
      <c r="F246" s="1">
        <v>43704</v>
      </c>
      <c r="G246" t="s">
        <v>4031</v>
      </c>
      <c r="H246" t="s">
        <v>4724</v>
      </c>
      <c r="I246" s="2">
        <v>4.9305555555555554E-2</v>
      </c>
      <c r="J246" s="176">
        <v>8.2175925925925917E-4</v>
      </c>
      <c r="K246" s="6">
        <v>71</v>
      </c>
      <c r="L246" t="s">
        <v>398</v>
      </c>
      <c r="M246" t="s">
        <v>4339</v>
      </c>
      <c r="N246" t="s">
        <v>4412</v>
      </c>
      <c r="O246" t="s">
        <v>23</v>
      </c>
      <c r="P246">
        <v>0</v>
      </c>
      <c r="Q246">
        <v>0</v>
      </c>
      <c r="R246">
        <v>0</v>
      </c>
      <c r="S246" t="s">
        <v>461</v>
      </c>
      <c r="T246" t="s">
        <v>461</v>
      </c>
      <c r="U246" t="s">
        <v>1922</v>
      </c>
      <c r="V246" t="s">
        <v>115</v>
      </c>
      <c r="W246" t="s">
        <v>115</v>
      </c>
      <c r="X246" t="s">
        <v>115</v>
      </c>
      <c r="Y246" t="s">
        <v>115</v>
      </c>
      <c r="Z246" t="s">
        <v>115</v>
      </c>
      <c r="AA246" t="s">
        <v>115</v>
      </c>
      <c r="AB246" t="s">
        <v>115</v>
      </c>
      <c r="AC246" t="s">
        <v>115</v>
      </c>
      <c r="AD246" t="s">
        <v>115</v>
      </c>
      <c r="AE246" t="s">
        <v>115</v>
      </c>
      <c r="AF246" t="s">
        <v>115</v>
      </c>
      <c r="AG246" t="s">
        <v>115</v>
      </c>
      <c r="AH246">
        <v>0</v>
      </c>
      <c r="AI246">
        <v>0</v>
      </c>
      <c r="AJ246">
        <v>0</v>
      </c>
      <c r="AK246">
        <v>0</v>
      </c>
      <c r="AL246">
        <v>0</v>
      </c>
      <c r="AM246">
        <v>0</v>
      </c>
      <c r="AN246">
        <f t="shared" si="8"/>
        <v>0</v>
      </c>
    </row>
    <row r="247" spans="1:42" hidden="1" x14ac:dyDescent="0.2">
      <c r="A247" t="s">
        <v>4645</v>
      </c>
      <c r="B247" t="s">
        <v>4646</v>
      </c>
      <c r="C247">
        <v>5</v>
      </c>
      <c r="D247">
        <v>1</v>
      </c>
      <c r="E247" t="s">
        <v>395</v>
      </c>
      <c r="F247" s="1">
        <v>43705</v>
      </c>
      <c r="G247" t="s">
        <v>4031</v>
      </c>
      <c r="H247" t="s">
        <v>4724</v>
      </c>
      <c r="I247" s="2">
        <v>3.1944444444444449E-2</v>
      </c>
      <c r="J247" s="176">
        <v>5.3240740740740744E-4</v>
      </c>
      <c r="K247" s="6">
        <v>46</v>
      </c>
      <c r="L247" t="s">
        <v>398</v>
      </c>
      <c r="M247" t="s">
        <v>2498</v>
      </c>
      <c r="N247" t="s">
        <v>568</v>
      </c>
      <c r="O247" t="s">
        <v>23</v>
      </c>
      <c r="P247">
        <v>1</v>
      </c>
      <c r="Q247">
        <v>0</v>
      </c>
      <c r="R247">
        <v>1</v>
      </c>
      <c r="S247" t="s">
        <v>176</v>
      </c>
      <c r="T247" t="s">
        <v>176</v>
      </c>
      <c r="U247" t="s">
        <v>122</v>
      </c>
      <c r="V247" t="s">
        <v>4604</v>
      </c>
      <c r="W247" t="s">
        <v>23</v>
      </c>
      <c r="X247" t="s">
        <v>3999</v>
      </c>
      <c r="Y247" t="s">
        <v>2179</v>
      </c>
      <c r="AA247">
        <v>275</v>
      </c>
      <c r="AB247">
        <v>13</v>
      </c>
      <c r="AC247" s="19">
        <v>63.720410000000001</v>
      </c>
      <c r="AD247" s="19">
        <v>148.98446999999999</v>
      </c>
      <c r="AE247" t="s">
        <v>115</v>
      </c>
      <c r="AF247" t="s">
        <v>115</v>
      </c>
      <c r="AG247" t="s">
        <v>115</v>
      </c>
      <c r="AH247">
        <v>0</v>
      </c>
      <c r="AI247">
        <v>0</v>
      </c>
      <c r="AJ247">
        <v>0</v>
      </c>
      <c r="AK247">
        <v>0</v>
      </c>
      <c r="AL247">
        <v>8</v>
      </c>
      <c r="AM247">
        <v>0</v>
      </c>
      <c r="AN247">
        <f t="shared" si="8"/>
        <v>8</v>
      </c>
    </row>
    <row r="248" spans="1:42" hidden="1" x14ac:dyDescent="0.2">
      <c r="A248" t="s">
        <v>4666</v>
      </c>
      <c r="B248" t="s">
        <v>4667</v>
      </c>
      <c r="C248">
        <v>14</v>
      </c>
      <c r="D248">
        <v>1</v>
      </c>
      <c r="E248" t="s">
        <v>395</v>
      </c>
      <c r="F248" s="1">
        <v>43705</v>
      </c>
      <c r="G248" t="s">
        <v>4031</v>
      </c>
      <c r="H248" t="s">
        <v>4724</v>
      </c>
      <c r="I248" s="2">
        <v>4.6527777777777779E-2</v>
      </c>
      <c r="J248" s="176">
        <v>7.7546296296296304E-4</v>
      </c>
      <c r="K248" s="6">
        <v>67</v>
      </c>
      <c r="L248" t="s">
        <v>398</v>
      </c>
      <c r="M248" t="s">
        <v>4675</v>
      </c>
      <c r="N248" t="s">
        <v>568</v>
      </c>
      <c r="O248" t="s">
        <v>23</v>
      </c>
      <c r="P248">
        <v>1</v>
      </c>
      <c r="Q248">
        <v>0</v>
      </c>
      <c r="R248">
        <v>1</v>
      </c>
      <c r="S248" t="s">
        <v>176</v>
      </c>
      <c r="T248" t="s">
        <v>176</v>
      </c>
      <c r="U248" t="s">
        <v>122</v>
      </c>
      <c r="V248" t="s">
        <v>4604</v>
      </c>
      <c r="W248" t="s">
        <v>23</v>
      </c>
      <c r="X248" t="s">
        <v>3999</v>
      </c>
      <c r="Y248" t="s">
        <v>2179</v>
      </c>
      <c r="AA248">
        <v>343</v>
      </c>
      <c r="AB248">
        <v>2</v>
      </c>
      <c r="AC248" s="19">
        <v>63.720950000000002</v>
      </c>
      <c r="AD248" s="19">
        <v>148.98137</v>
      </c>
      <c r="AE248" t="s">
        <v>115</v>
      </c>
      <c r="AF248" t="s">
        <v>115</v>
      </c>
      <c r="AG248" t="s">
        <v>115</v>
      </c>
      <c r="AH248">
        <v>0</v>
      </c>
      <c r="AI248">
        <v>0</v>
      </c>
      <c r="AJ248">
        <v>0</v>
      </c>
      <c r="AK248">
        <v>0</v>
      </c>
      <c r="AL248">
        <v>45</v>
      </c>
      <c r="AM248">
        <v>0</v>
      </c>
      <c r="AN248">
        <f t="shared" si="8"/>
        <v>45</v>
      </c>
    </row>
    <row r="249" spans="1:42" hidden="1" x14ac:dyDescent="0.2">
      <c r="A249" t="s">
        <v>4670</v>
      </c>
      <c r="B249" t="s">
        <v>4671</v>
      </c>
      <c r="C249">
        <v>16</v>
      </c>
      <c r="D249">
        <v>1</v>
      </c>
      <c r="E249" t="s">
        <v>395</v>
      </c>
      <c r="F249" s="1">
        <v>43705</v>
      </c>
      <c r="G249" t="s">
        <v>4031</v>
      </c>
      <c r="H249" t="s">
        <v>4724</v>
      </c>
      <c r="I249" s="2">
        <v>5.6944444444444443E-2</v>
      </c>
      <c r="J249" s="176">
        <v>9.4907407407407408E-4</v>
      </c>
      <c r="K249" s="6">
        <v>82</v>
      </c>
      <c r="L249" t="s">
        <v>398</v>
      </c>
      <c r="M249" t="s">
        <v>4675</v>
      </c>
      <c r="N249" t="s">
        <v>568</v>
      </c>
      <c r="O249" t="s">
        <v>23</v>
      </c>
      <c r="P249">
        <v>1</v>
      </c>
      <c r="Q249">
        <v>0</v>
      </c>
      <c r="R249">
        <v>1</v>
      </c>
      <c r="S249" t="s">
        <v>176</v>
      </c>
      <c r="T249" t="s">
        <v>176</v>
      </c>
      <c r="U249" t="s">
        <v>122</v>
      </c>
      <c r="V249" t="s">
        <v>4385</v>
      </c>
      <c r="W249" t="s">
        <v>23</v>
      </c>
      <c r="X249" t="s">
        <v>3997</v>
      </c>
      <c r="Y249" t="s">
        <v>3810</v>
      </c>
      <c r="AA249">
        <v>135</v>
      </c>
      <c r="AB249">
        <v>5</v>
      </c>
      <c r="AC249" s="19">
        <v>63.721499999999999</v>
      </c>
      <c r="AD249" s="19">
        <v>148.98240999999999</v>
      </c>
      <c r="AE249" t="s">
        <v>115</v>
      </c>
      <c r="AF249" t="s">
        <v>115</v>
      </c>
      <c r="AG249" t="s">
        <v>115</v>
      </c>
      <c r="AH249">
        <v>0</v>
      </c>
      <c r="AI249">
        <v>0</v>
      </c>
      <c r="AJ249">
        <v>0</v>
      </c>
      <c r="AK249">
        <v>0</v>
      </c>
      <c r="AL249">
        <v>16</v>
      </c>
      <c r="AM249">
        <v>0</v>
      </c>
      <c r="AN249">
        <f t="shared" si="8"/>
        <v>16</v>
      </c>
    </row>
    <row r="250" spans="1:42" hidden="1" x14ac:dyDescent="0.2">
      <c r="A250" t="s">
        <v>4670</v>
      </c>
      <c r="B250" t="s">
        <v>4671</v>
      </c>
      <c r="C250">
        <v>16</v>
      </c>
      <c r="D250">
        <v>2</v>
      </c>
      <c r="E250" t="s">
        <v>395</v>
      </c>
      <c r="F250" s="1">
        <v>43705</v>
      </c>
      <c r="G250" t="s">
        <v>4031</v>
      </c>
      <c r="H250" t="s">
        <v>4724</v>
      </c>
      <c r="I250" s="2">
        <v>5.6944444444444443E-2</v>
      </c>
      <c r="J250" s="176">
        <v>9.4907407407407408E-4</v>
      </c>
      <c r="K250" s="6">
        <v>82</v>
      </c>
      <c r="L250" t="s">
        <v>398</v>
      </c>
      <c r="M250" t="s">
        <v>4243</v>
      </c>
      <c r="N250" t="s">
        <v>568</v>
      </c>
      <c r="O250" t="s">
        <v>23</v>
      </c>
      <c r="P250">
        <v>1</v>
      </c>
      <c r="Q250">
        <v>0</v>
      </c>
      <c r="R250">
        <v>1</v>
      </c>
      <c r="S250" t="s">
        <v>176</v>
      </c>
      <c r="T250" t="s">
        <v>176</v>
      </c>
      <c r="U250" t="s">
        <v>122</v>
      </c>
      <c r="V250" t="s">
        <v>4385</v>
      </c>
      <c r="W250" t="s">
        <v>23</v>
      </c>
      <c r="X250" t="s">
        <v>3997</v>
      </c>
      <c r="Y250" t="s">
        <v>3810</v>
      </c>
      <c r="AA250">
        <v>182</v>
      </c>
      <c r="AB250">
        <v>5</v>
      </c>
      <c r="AC250" s="19">
        <v>63.721499999999999</v>
      </c>
      <c r="AD250" s="19">
        <v>148.98240999999999</v>
      </c>
      <c r="AE250" t="s">
        <v>115</v>
      </c>
      <c r="AF250" t="s">
        <v>115</v>
      </c>
      <c r="AG250" t="s">
        <v>115</v>
      </c>
      <c r="AH250">
        <v>0</v>
      </c>
      <c r="AI250">
        <v>0</v>
      </c>
      <c r="AJ250">
        <v>0</v>
      </c>
      <c r="AK250">
        <v>0</v>
      </c>
      <c r="AL250">
        <v>0</v>
      </c>
      <c r="AM250">
        <v>0</v>
      </c>
      <c r="AN250">
        <f t="shared" si="8"/>
        <v>0</v>
      </c>
      <c r="AP250" t="s">
        <v>4672</v>
      </c>
    </row>
    <row r="251" spans="1:42" hidden="1" x14ac:dyDescent="0.2">
      <c r="A251" t="s">
        <v>4656</v>
      </c>
      <c r="B251" t="s">
        <v>4657</v>
      </c>
      <c r="C251">
        <v>9</v>
      </c>
      <c r="D251">
        <v>1</v>
      </c>
      <c r="E251" t="s">
        <v>395</v>
      </c>
      <c r="F251" s="1">
        <v>43705</v>
      </c>
      <c r="G251" t="s">
        <v>4031</v>
      </c>
      <c r="H251" t="s">
        <v>4724</v>
      </c>
      <c r="I251" s="2">
        <v>1.7361111111111112E-2</v>
      </c>
      <c r="J251" s="176">
        <v>2.8935185185185189E-4</v>
      </c>
      <c r="K251" s="6">
        <v>25</v>
      </c>
      <c r="L251" t="s">
        <v>398</v>
      </c>
      <c r="M251" t="s">
        <v>4675</v>
      </c>
      <c r="N251" t="s">
        <v>111</v>
      </c>
      <c r="O251" t="s">
        <v>23</v>
      </c>
      <c r="P251">
        <v>1</v>
      </c>
      <c r="Q251">
        <v>0</v>
      </c>
      <c r="R251">
        <v>1</v>
      </c>
      <c r="S251" t="s">
        <v>176</v>
      </c>
      <c r="T251" t="s">
        <v>176</v>
      </c>
      <c r="U251" t="s">
        <v>122</v>
      </c>
      <c r="V251" t="s">
        <v>4385</v>
      </c>
      <c r="W251" t="s">
        <v>23</v>
      </c>
      <c r="X251" t="s">
        <v>3997</v>
      </c>
      <c r="Y251" t="s">
        <v>176</v>
      </c>
      <c r="AA251">
        <v>259</v>
      </c>
      <c r="AB251">
        <v>7</v>
      </c>
      <c r="AC251" s="19">
        <v>63.721550000000001</v>
      </c>
      <c r="AD251" s="19">
        <v>148.98175000000001</v>
      </c>
      <c r="AE251" t="s">
        <v>115</v>
      </c>
      <c r="AF251" t="s">
        <v>115</v>
      </c>
      <c r="AG251" t="s">
        <v>115</v>
      </c>
      <c r="AH251">
        <v>0</v>
      </c>
      <c r="AI251">
        <v>0</v>
      </c>
      <c r="AJ251">
        <v>0</v>
      </c>
      <c r="AK251">
        <v>0</v>
      </c>
      <c r="AL251">
        <v>0</v>
      </c>
      <c r="AM251">
        <v>0</v>
      </c>
      <c r="AN251">
        <f t="shared" si="8"/>
        <v>0</v>
      </c>
      <c r="AP251" t="s">
        <v>4658</v>
      </c>
    </row>
    <row r="252" spans="1:42" hidden="1" x14ac:dyDescent="0.2">
      <c r="A252" t="s">
        <v>4635</v>
      </c>
      <c r="B252" t="s">
        <v>4638</v>
      </c>
      <c r="C252">
        <v>1</v>
      </c>
      <c r="D252">
        <v>1</v>
      </c>
      <c r="E252" t="s">
        <v>395</v>
      </c>
      <c r="F252" s="1">
        <v>43705</v>
      </c>
      <c r="G252" t="s">
        <v>4031</v>
      </c>
      <c r="H252" t="s">
        <v>4724</v>
      </c>
      <c r="I252" s="2">
        <v>3.4027777777777775E-2</v>
      </c>
      <c r="J252" s="176">
        <v>5.6712962962962956E-4</v>
      </c>
      <c r="K252" s="6">
        <v>49</v>
      </c>
      <c r="L252" t="s">
        <v>398</v>
      </c>
      <c r="M252" t="s">
        <v>4250</v>
      </c>
      <c r="N252" t="s">
        <v>102</v>
      </c>
      <c r="O252" t="s">
        <v>115</v>
      </c>
      <c r="P252">
        <v>1</v>
      </c>
      <c r="Q252">
        <v>0</v>
      </c>
      <c r="R252">
        <v>0</v>
      </c>
      <c r="S252" t="s">
        <v>176</v>
      </c>
      <c r="T252" t="s">
        <v>176</v>
      </c>
      <c r="U252" t="s">
        <v>122</v>
      </c>
      <c r="V252" t="s">
        <v>115</v>
      </c>
      <c r="W252" t="s">
        <v>115</v>
      </c>
      <c r="X252" t="s">
        <v>115</v>
      </c>
      <c r="Y252" t="s">
        <v>115</v>
      </c>
      <c r="Z252" t="s">
        <v>115</v>
      </c>
      <c r="AA252" t="s">
        <v>115</v>
      </c>
      <c r="AB252" t="s">
        <v>115</v>
      </c>
      <c r="AC252" t="s">
        <v>115</v>
      </c>
      <c r="AD252" t="s">
        <v>115</v>
      </c>
      <c r="AE252" t="s">
        <v>115</v>
      </c>
      <c r="AF252" t="s">
        <v>115</v>
      </c>
      <c r="AG252" t="s">
        <v>115</v>
      </c>
      <c r="AH252">
        <v>0</v>
      </c>
      <c r="AI252">
        <v>0</v>
      </c>
      <c r="AJ252">
        <v>0</v>
      </c>
      <c r="AK252">
        <v>0</v>
      </c>
      <c r="AL252">
        <v>42</v>
      </c>
      <c r="AM252">
        <v>0</v>
      </c>
      <c r="AN252">
        <f t="shared" si="8"/>
        <v>42</v>
      </c>
    </row>
    <row r="253" spans="1:42" hidden="1" x14ac:dyDescent="0.2">
      <c r="A253" t="s">
        <v>4649</v>
      </c>
      <c r="B253" t="s">
        <v>4650</v>
      </c>
      <c r="C253">
        <v>6</v>
      </c>
      <c r="D253">
        <v>1</v>
      </c>
      <c r="E253" t="s">
        <v>395</v>
      </c>
      <c r="F253" s="1">
        <v>43705</v>
      </c>
      <c r="G253" t="s">
        <v>4031</v>
      </c>
      <c r="H253" t="s">
        <v>4724</v>
      </c>
      <c r="I253" s="2">
        <v>6.8749999999999992E-2</v>
      </c>
      <c r="J253" s="176">
        <v>1.1458333333333333E-3</v>
      </c>
      <c r="K253" s="6">
        <v>99</v>
      </c>
      <c r="L253" t="s">
        <v>398</v>
      </c>
      <c r="M253" t="s">
        <v>4243</v>
      </c>
      <c r="N253" t="s">
        <v>102</v>
      </c>
      <c r="O253" t="s">
        <v>23</v>
      </c>
      <c r="P253">
        <v>1</v>
      </c>
      <c r="Q253">
        <v>0</v>
      </c>
      <c r="R253">
        <v>0</v>
      </c>
      <c r="S253" t="s">
        <v>176</v>
      </c>
      <c r="T253" t="s">
        <v>176</v>
      </c>
      <c r="U253" t="s">
        <v>333</v>
      </c>
      <c r="V253" t="s">
        <v>115</v>
      </c>
      <c r="W253" t="s">
        <v>115</v>
      </c>
      <c r="X253" t="s">
        <v>115</v>
      </c>
      <c r="Y253" t="s">
        <v>115</v>
      </c>
      <c r="Z253" t="s">
        <v>115</v>
      </c>
      <c r="AA253" t="s">
        <v>115</v>
      </c>
      <c r="AB253" t="s">
        <v>115</v>
      </c>
      <c r="AC253" t="s">
        <v>115</v>
      </c>
      <c r="AD253" t="s">
        <v>115</v>
      </c>
      <c r="AE253" t="s">
        <v>115</v>
      </c>
      <c r="AF253" t="s">
        <v>115</v>
      </c>
      <c r="AG253" t="s">
        <v>115</v>
      </c>
      <c r="AH253">
        <v>0</v>
      </c>
      <c r="AI253">
        <v>0</v>
      </c>
      <c r="AJ253">
        <v>0</v>
      </c>
      <c r="AK253">
        <v>0</v>
      </c>
      <c r="AL253">
        <v>63</v>
      </c>
      <c r="AM253">
        <v>0</v>
      </c>
      <c r="AN253">
        <f t="shared" si="8"/>
        <v>63</v>
      </c>
      <c r="AP253" t="s">
        <v>4651</v>
      </c>
    </row>
    <row r="254" spans="1:42" hidden="1" x14ac:dyDescent="0.2">
      <c r="A254" t="s">
        <v>4636</v>
      </c>
      <c r="B254" t="s">
        <v>4639</v>
      </c>
      <c r="C254">
        <v>2</v>
      </c>
      <c r="D254">
        <v>1</v>
      </c>
      <c r="E254" t="s">
        <v>395</v>
      </c>
      <c r="F254" s="1">
        <v>43705</v>
      </c>
      <c r="G254" t="s">
        <v>4031</v>
      </c>
      <c r="H254" t="s">
        <v>4724</v>
      </c>
      <c r="I254" s="2">
        <v>2.1527777777777781E-2</v>
      </c>
      <c r="J254" s="176">
        <v>3.5879629629629635E-4</v>
      </c>
      <c r="K254" s="6">
        <v>31</v>
      </c>
      <c r="L254" t="s">
        <v>398</v>
      </c>
      <c r="M254" t="s">
        <v>4250</v>
      </c>
      <c r="N254" t="s">
        <v>102</v>
      </c>
      <c r="O254" t="s">
        <v>115</v>
      </c>
      <c r="P254" t="s">
        <v>176</v>
      </c>
      <c r="Q254">
        <v>0</v>
      </c>
      <c r="R254">
        <v>0</v>
      </c>
      <c r="S254" s="5" t="s">
        <v>115</v>
      </c>
      <c r="T254" s="5" t="s">
        <v>115</v>
      </c>
      <c r="U254" s="5" t="s">
        <v>115</v>
      </c>
      <c r="V254" s="5" t="s">
        <v>115</v>
      </c>
      <c r="W254" s="5" t="s">
        <v>115</v>
      </c>
      <c r="X254" s="5" t="s">
        <v>115</v>
      </c>
      <c r="Y254" s="5" t="s">
        <v>115</v>
      </c>
      <c r="Z254" s="5" t="s">
        <v>115</v>
      </c>
      <c r="AA254" s="5" t="s">
        <v>115</v>
      </c>
      <c r="AB254" s="5" t="s">
        <v>115</v>
      </c>
      <c r="AC254" s="5" t="s">
        <v>115</v>
      </c>
      <c r="AD254" s="5" t="s">
        <v>115</v>
      </c>
      <c r="AE254" s="5" t="s">
        <v>115</v>
      </c>
      <c r="AF254" s="5" t="s">
        <v>115</v>
      </c>
      <c r="AG254" s="5" t="s">
        <v>115</v>
      </c>
      <c r="AH254">
        <v>0</v>
      </c>
      <c r="AI254">
        <v>0</v>
      </c>
      <c r="AJ254">
        <v>0</v>
      </c>
      <c r="AK254">
        <v>0</v>
      </c>
      <c r="AL254">
        <v>28</v>
      </c>
      <c r="AM254">
        <v>0</v>
      </c>
      <c r="AN254">
        <f t="shared" si="8"/>
        <v>28</v>
      </c>
    </row>
    <row r="255" spans="1:42" hidden="1" x14ac:dyDescent="0.2">
      <c r="A255" t="s">
        <v>4637</v>
      </c>
      <c r="B255" t="s">
        <v>4640</v>
      </c>
      <c r="C255">
        <v>3</v>
      </c>
      <c r="D255">
        <v>1</v>
      </c>
      <c r="E255" t="s">
        <v>395</v>
      </c>
      <c r="F255" s="1">
        <v>43705</v>
      </c>
      <c r="G255" t="s">
        <v>4031</v>
      </c>
      <c r="H255" t="s">
        <v>4724</v>
      </c>
      <c r="I255" s="2">
        <v>1.1805555555555555E-2</v>
      </c>
      <c r="J255" s="176">
        <v>1.9675925925925926E-4</v>
      </c>
      <c r="K255" s="6">
        <v>17</v>
      </c>
      <c r="L255" t="s">
        <v>398</v>
      </c>
      <c r="M255" t="s">
        <v>4243</v>
      </c>
      <c r="N255" t="s">
        <v>102</v>
      </c>
      <c r="O255" t="s">
        <v>115</v>
      </c>
      <c r="P255" t="s">
        <v>176</v>
      </c>
      <c r="Q255">
        <v>0</v>
      </c>
      <c r="R255">
        <v>0</v>
      </c>
      <c r="S255" t="s">
        <v>115</v>
      </c>
      <c r="T255" t="s">
        <v>115</v>
      </c>
      <c r="U255" t="s">
        <v>115</v>
      </c>
      <c r="V255" t="s">
        <v>115</v>
      </c>
      <c r="W255" t="s">
        <v>115</v>
      </c>
      <c r="X255" t="s">
        <v>115</v>
      </c>
      <c r="Y255" t="s">
        <v>115</v>
      </c>
      <c r="Z255" t="s">
        <v>115</v>
      </c>
      <c r="AA255" t="s">
        <v>115</v>
      </c>
      <c r="AB255" t="s">
        <v>115</v>
      </c>
      <c r="AC255" t="s">
        <v>115</v>
      </c>
      <c r="AD255" t="s">
        <v>115</v>
      </c>
      <c r="AE255" t="s">
        <v>115</v>
      </c>
      <c r="AF255" t="s">
        <v>115</v>
      </c>
      <c r="AG255" t="s">
        <v>115</v>
      </c>
      <c r="AH255">
        <v>0</v>
      </c>
      <c r="AI255">
        <v>0</v>
      </c>
      <c r="AJ255">
        <v>0</v>
      </c>
      <c r="AK255">
        <v>0</v>
      </c>
      <c r="AL255">
        <v>17</v>
      </c>
      <c r="AM255">
        <v>0</v>
      </c>
      <c r="AN255">
        <f t="shared" si="8"/>
        <v>17</v>
      </c>
    </row>
    <row r="256" spans="1:42" hidden="1" x14ac:dyDescent="0.2">
      <c r="A256" t="s">
        <v>4652</v>
      </c>
      <c r="B256" t="s">
        <v>4653</v>
      </c>
      <c r="C256">
        <v>7</v>
      </c>
      <c r="D256">
        <v>1</v>
      </c>
      <c r="E256" t="s">
        <v>395</v>
      </c>
      <c r="F256" s="1">
        <v>43705</v>
      </c>
      <c r="G256" t="s">
        <v>4031</v>
      </c>
      <c r="H256" t="s">
        <v>4724</v>
      </c>
      <c r="I256" s="2">
        <v>9.7222222222222224E-3</v>
      </c>
      <c r="J256" s="176">
        <v>1.6203703703703703E-4</v>
      </c>
      <c r="K256" s="6">
        <v>14</v>
      </c>
      <c r="L256" t="s">
        <v>398</v>
      </c>
      <c r="M256" t="s">
        <v>4675</v>
      </c>
      <c r="N256" t="s">
        <v>102</v>
      </c>
      <c r="O256" t="s">
        <v>23</v>
      </c>
      <c r="P256">
        <v>0</v>
      </c>
      <c r="Q256">
        <v>0</v>
      </c>
      <c r="R256">
        <v>0</v>
      </c>
      <c r="S256" t="s">
        <v>115</v>
      </c>
      <c r="T256" t="s">
        <v>115</v>
      </c>
      <c r="U256" t="s">
        <v>115</v>
      </c>
      <c r="V256" t="s">
        <v>115</v>
      </c>
      <c r="W256" t="s">
        <v>115</v>
      </c>
      <c r="X256" t="s">
        <v>115</v>
      </c>
      <c r="Y256" t="s">
        <v>115</v>
      </c>
      <c r="Z256" t="s">
        <v>115</v>
      </c>
      <c r="AA256" t="s">
        <v>115</v>
      </c>
      <c r="AB256" t="s">
        <v>115</v>
      </c>
      <c r="AC256" t="s">
        <v>115</v>
      </c>
      <c r="AD256" t="s">
        <v>115</v>
      </c>
      <c r="AE256" t="s">
        <v>115</v>
      </c>
      <c r="AF256" t="s">
        <v>115</v>
      </c>
      <c r="AG256" t="s">
        <v>115</v>
      </c>
      <c r="AH256">
        <v>0</v>
      </c>
      <c r="AI256">
        <v>0</v>
      </c>
      <c r="AJ256">
        <v>0</v>
      </c>
      <c r="AK256">
        <v>0</v>
      </c>
      <c r="AL256">
        <v>14</v>
      </c>
      <c r="AM256">
        <v>0</v>
      </c>
      <c r="AN256">
        <f t="shared" si="8"/>
        <v>14</v>
      </c>
    </row>
    <row r="257" spans="1:42" hidden="1" x14ac:dyDescent="0.2">
      <c r="A257" t="s">
        <v>4654</v>
      </c>
      <c r="B257" t="s">
        <v>4655</v>
      </c>
      <c r="C257">
        <v>8</v>
      </c>
      <c r="D257">
        <v>1</v>
      </c>
      <c r="E257" t="s">
        <v>395</v>
      </c>
      <c r="F257" s="1">
        <v>43705</v>
      </c>
      <c r="G257" t="s">
        <v>4031</v>
      </c>
      <c r="H257" t="s">
        <v>4724</v>
      </c>
      <c r="I257" s="2">
        <v>4.8611111111111112E-3</v>
      </c>
      <c r="J257" s="176">
        <v>8.1018518518518516E-5</v>
      </c>
      <c r="K257" s="6">
        <v>7</v>
      </c>
      <c r="L257" t="s">
        <v>398</v>
      </c>
      <c r="M257" t="s">
        <v>4675</v>
      </c>
      <c r="N257" t="s">
        <v>102</v>
      </c>
      <c r="O257" t="s">
        <v>23</v>
      </c>
      <c r="P257">
        <v>0</v>
      </c>
      <c r="Q257">
        <v>0</v>
      </c>
      <c r="R257">
        <v>0</v>
      </c>
      <c r="S257" t="s">
        <v>115</v>
      </c>
      <c r="T257" t="s">
        <v>115</v>
      </c>
      <c r="U257" t="s">
        <v>115</v>
      </c>
      <c r="V257" t="s">
        <v>115</v>
      </c>
      <c r="W257" t="s">
        <v>115</v>
      </c>
      <c r="X257" t="s">
        <v>115</v>
      </c>
      <c r="Y257" t="s">
        <v>115</v>
      </c>
      <c r="Z257" t="s">
        <v>115</v>
      </c>
      <c r="AA257" t="s">
        <v>115</v>
      </c>
      <c r="AB257" t="s">
        <v>115</v>
      </c>
      <c r="AC257" t="s">
        <v>115</v>
      </c>
      <c r="AD257" t="s">
        <v>115</v>
      </c>
      <c r="AE257" t="s">
        <v>115</v>
      </c>
      <c r="AF257" t="s">
        <v>115</v>
      </c>
      <c r="AG257" t="s">
        <v>115</v>
      </c>
      <c r="AH257">
        <v>0</v>
      </c>
      <c r="AI257">
        <v>0</v>
      </c>
      <c r="AJ257">
        <v>0</v>
      </c>
      <c r="AK257">
        <v>0</v>
      </c>
      <c r="AL257">
        <v>7</v>
      </c>
      <c r="AM257">
        <v>0</v>
      </c>
      <c r="AN257">
        <f t="shared" si="8"/>
        <v>7</v>
      </c>
    </row>
    <row r="258" spans="1:42" hidden="1" x14ac:dyDescent="0.2">
      <c r="A258" t="s">
        <v>4523</v>
      </c>
      <c r="B258" t="s">
        <v>4660</v>
      </c>
      <c r="C258">
        <v>10</v>
      </c>
      <c r="D258">
        <v>1</v>
      </c>
      <c r="E258" t="s">
        <v>395</v>
      </c>
      <c r="F258" s="1">
        <v>43705</v>
      </c>
      <c r="G258" t="s">
        <v>4031</v>
      </c>
      <c r="H258" t="s">
        <v>4724</v>
      </c>
      <c r="I258" s="2">
        <v>1.0416666666666666E-2</v>
      </c>
      <c r="J258" s="176">
        <v>1.7361111111111112E-4</v>
      </c>
      <c r="K258" s="6">
        <v>15</v>
      </c>
      <c r="L258" t="s">
        <v>398</v>
      </c>
      <c r="M258" t="s">
        <v>4675</v>
      </c>
      <c r="N258" t="s">
        <v>102</v>
      </c>
      <c r="O258" t="s">
        <v>115</v>
      </c>
      <c r="P258" t="s">
        <v>176</v>
      </c>
      <c r="Q258">
        <v>0</v>
      </c>
      <c r="R258">
        <v>0</v>
      </c>
      <c r="S258" t="s">
        <v>115</v>
      </c>
      <c r="T258" t="s">
        <v>115</v>
      </c>
      <c r="U258" t="s">
        <v>115</v>
      </c>
      <c r="V258" t="s">
        <v>115</v>
      </c>
      <c r="W258" t="s">
        <v>115</v>
      </c>
      <c r="X258" t="s">
        <v>115</v>
      </c>
      <c r="Y258" t="s">
        <v>115</v>
      </c>
      <c r="Z258" t="s">
        <v>115</v>
      </c>
      <c r="AA258" t="s">
        <v>115</v>
      </c>
      <c r="AB258" t="s">
        <v>115</v>
      </c>
      <c r="AC258" t="s">
        <v>115</v>
      </c>
      <c r="AD258" t="s">
        <v>115</v>
      </c>
      <c r="AE258" t="s">
        <v>115</v>
      </c>
      <c r="AF258" t="s">
        <v>115</v>
      </c>
      <c r="AG258" t="s">
        <v>115</v>
      </c>
      <c r="AH258">
        <v>0</v>
      </c>
      <c r="AI258">
        <v>0</v>
      </c>
      <c r="AJ258">
        <v>0</v>
      </c>
      <c r="AK258">
        <v>0</v>
      </c>
      <c r="AL258">
        <v>15</v>
      </c>
      <c r="AM258">
        <v>0</v>
      </c>
      <c r="AN258">
        <f t="shared" si="8"/>
        <v>15</v>
      </c>
    </row>
    <row r="259" spans="1:42" hidden="1" x14ac:dyDescent="0.2">
      <c r="A259" t="s">
        <v>4659</v>
      </c>
      <c r="B259" t="s">
        <v>4662</v>
      </c>
      <c r="C259">
        <v>11</v>
      </c>
      <c r="D259">
        <v>1</v>
      </c>
      <c r="E259" t="s">
        <v>395</v>
      </c>
      <c r="F259" s="1">
        <v>43705</v>
      </c>
      <c r="G259" t="s">
        <v>4031</v>
      </c>
      <c r="H259" t="s">
        <v>4724</v>
      </c>
      <c r="I259" s="2">
        <v>3.888888888888889E-2</v>
      </c>
      <c r="J259" s="176">
        <v>6.4814814814814813E-4</v>
      </c>
      <c r="K259" s="6">
        <v>56</v>
      </c>
      <c r="L259" t="s">
        <v>398</v>
      </c>
      <c r="M259" t="s">
        <v>4675</v>
      </c>
      <c r="N259" t="s">
        <v>102</v>
      </c>
      <c r="O259" t="s">
        <v>115</v>
      </c>
      <c r="P259" t="s">
        <v>176</v>
      </c>
      <c r="Q259">
        <v>0</v>
      </c>
      <c r="R259">
        <v>0</v>
      </c>
      <c r="S259" t="s">
        <v>115</v>
      </c>
      <c r="T259" t="s">
        <v>115</v>
      </c>
      <c r="U259" t="s">
        <v>115</v>
      </c>
      <c r="V259" t="s">
        <v>115</v>
      </c>
      <c r="W259" t="s">
        <v>115</v>
      </c>
      <c r="X259" t="s">
        <v>115</v>
      </c>
      <c r="Y259" t="s">
        <v>115</v>
      </c>
      <c r="Z259" t="s">
        <v>115</v>
      </c>
      <c r="AA259" t="s">
        <v>115</v>
      </c>
      <c r="AB259" t="s">
        <v>115</v>
      </c>
      <c r="AC259" t="s">
        <v>115</v>
      </c>
      <c r="AD259" t="s">
        <v>115</v>
      </c>
      <c r="AE259" t="s">
        <v>115</v>
      </c>
      <c r="AF259" t="s">
        <v>115</v>
      </c>
      <c r="AG259" t="s">
        <v>115</v>
      </c>
      <c r="AH259">
        <v>0</v>
      </c>
      <c r="AI259">
        <v>0</v>
      </c>
      <c r="AJ259">
        <v>0</v>
      </c>
      <c r="AK259">
        <v>0</v>
      </c>
      <c r="AL259">
        <v>56</v>
      </c>
      <c r="AM259">
        <v>0</v>
      </c>
      <c r="AN259">
        <f t="shared" si="8"/>
        <v>56</v>
      </c>
    </row>
    <row r="260" spans="1:42" hidden="1" x14ac:dyDescent="0.2">
      <c r="A260" t="s">
        <v>4661</v>
      </c>
      <c r="B260" t="s">
        <v>4663</v>
      </c>
      <c r="C260">
        <v>12</v>
      </c>
      <c r="D260">
        <v>1</v>
      </c>
      <c r="E260" t="s">
        <v>395</v>
      </c>
      <c r="F260" s="1">
        <v>43705</v>
      </c>
      <c r="G260" t="s">
        <v>4031</v>
      </c>
      <c r="H260" t="s">
        <v>4724</v>
      </c>
      <c r="I260" s="2">
        <v>6.2499999999999995E-3</v>
      </c>
      <c r="J260" s="176">
        <v>1.0416666666666667E-4</v>
      </c>
      <c r="K260" s="6">
        <v>9</v>
      </c>
      <c r="L260" t="s">
        <v>398</v>
      </c>
      <c r="M260" t="s">
        <v>4675</v>
      </c>
      <c r="N260" t="s">
        <v>102</v>
      </c>
      <c r="O260" t="s">
        <v>115</v>
      </c>
      <c r="P260">
        <v>0</v>
      </c>
      <c r="Q260">
        <v>0</v>
      </c>
      <c r="R260">
        <v>0</v>
      </c>
      <c r="S260" t="s">
        <v>115</v>
      </c>
      <c r="T260" t="s">
        <v>115</v>
      </c>
      <c r="U260" t="s">
        <v>115</v>
      </c>
      <c r="V260" t="s">
        <v>115</v>
      </c>
      <c r="W260" t="s">
        <v>115</v>
      </c>
      <c r="X260" t="s">
        <v>115</v>
      </c>
      <c r="Y260" t="s">
        <v>115</v>
      </c>
      <c r="Z260" t="s">
        <v>115</v>
      </c>
      <c r="AA260" t="s">
        <v>115</v>
      </c>
      <c r="AB260" t="s">
        <v>115</v>
      </c>
      <c r="AC260" t="s">
        <v>115</v>
      </c>
      <c r="AD260" t="s">
        <v>115</v>
      </c>
      <c r="AE260" t="s">
        <v>115</v>
      </c>
      <c r="AF260" t="s">
        <v>115</v>
      </c>
      <c r="AG260" t="s">
        <v>115</v>
      </c>
      <c r="AH260">
        <v>0</v>
      </c>
      <c r="AI260">
        <v>0</v>
      </c>
      <c r="AJ260">
        <v>0</v>
      </c>
      <c r="AK260">
        <v>0</v>
      </c>
      <c r="AL260">
        <v>9</v>
      </c>
      <c r="AM260">
        <v>0</v>
      </c>
      <c r="AN260">
        <f t="shared" si="8"/>
        <v>9</v>
      </c>
    </row>
    <row r="261" spans="1:42" hidden="1" x14ac:dyDescent="0.2">
      <c r="A261" t="s">
        <v>4668</v>
      </c>
      <c r="B261" t="s">
        <v>4669</v>
      </c>
      <c r="C261">
        <v>15</v>
      </c>
      <c r="D261">
        <v>1</v>
      </c>
      <c r="E261" t="s">
        <v>395</v>
      </c>
      <c r="F261" s="1">
        <v>43705</v>
      </c>
      <c r="G261" t="s">
        <v>4031</v>
      </c>
      <c r="H261" t="s">
        <v>4724</v>
      </c>
      <c r="I261" s="2">
        <v>2.1527777777777781E-2</v>
      </c>
      <c r="J261" s="176">
        <v>3.5879629629629635E-4</v>
      </c>
      <c r="K261" s="6">
        <v>31</v>
      </c>
      <c r="L261" t="s">
        <v>398</v>
      </c>
      <c r="M261" t="s">
        <v>4675</v>
      </c>
      <c r="N261" t="s">
        <v>102</v>
      </c>
      <c r="O261" t="s">
        <v>115</v>
      </c>
      <c r="P261" t="s">
        <v>176</v>
      </c>
      <c r="Q261">
        <v>0</v>
      </c>
      <c r="R261">
        <v>0</v>
      </c>
      <c r="S261" t="s">
        <v>115</v>
      </c>
      <c r="T261" t="s">
        <v>115</v>
      </c>
      <c r="U261" t="s">
        <v>115</v>
      </c>
      <c r="V261" t="s">
        <v>115</v>
      </c>
      <c r="W261" t="s">
        <v>115</v>
      </c>
      <c r="X261" t="s">
        <v>115</v>
      </c>
      <c r="Y261" t="s">
        <v>115</v>
      </c>
      <c r="Z261" t="s">
        <v>115</v>
      </c>
      <c r="AA261" t="s">
        <v>115</v>
      </c>
      <c r="AB261" t="s">
        <v>115</v>
      </c>
      <c r="AC261" t="s">
        <v>115</v>
      </c>
      <c r="AD261" t="s">
        <v>115</v>
      </c>
      <c r="AE261" t="s">
        <v>115</v>
      </c>
      <c r="AF261" t="s">
        <v>115</v>
      </c>
      <c r="AG261" t="s">
        <v>115</v>
      </c>
      <c r="AH261">
        <v>0</v>
      </c>
      <c r="AI261">
        <v>0</v>
      </c>
      <c r="AJ261">
        <v>0</v>
      </c>
      <c r="AK261">
        <v>0</v>
      </c>
      <c r="AL261">
        <v>31</v>
      </c>
      <c r="AM261">
        <v>0</v>
      </c>
      <c r="AN261">
        <f t="shared" si="8"/>
        <v>31</v>
      </c>
    </row>
    <row r="262" spans="1:42" hidden="1" x14ac:dyDescent="0.2">
      <c r="A262" t="s">
        <v>4670</v>
      </c>
      <c r="B262" t="s">
        <v>4671</v>
      </c>
      <c r="C262">
        <v>16</v>
      </c>
      <c r="D262">
        <v>3</v>
      </c>
      <c r="E262" t="s">
        <v>395</v>
      </c>
      <c r="F262" s="1">
        <v>43705</v>
      </c>
      <c r="G262" t="s">
        <v>4031</v>
      </c>
      <c r="H262" t="s">
        <v>4724</v>
      </c>
      <c r="I262" s="2">
        <v>5.6944444444444443E-2</v>
      </c>
      <c r="J262" s="176">
        <v>9.4907407407407408E-4</v>
      </c>
      <c r="K262" s="6">
        <v>82</v>
      </c>
      <c r="L262" t="s">
        <v>398</v>
      </c>
      <c r="M262" t="s">
        <v>4243</v>
      </c>
      <c r="N262" t="s">
        <v>568</v>
      </c>
      <c r="O262" t="s">
        <v>23</v>
      </c>
      <c r="P262" t="s">
        <v>176</v>
      </c>
      <c r="Q262">
        <v>0</v>
      </c>
      <c r="R262">
        <v>0</v>
      </c>
      <c r="S262" t="s">
        <v>115</v>
      </c>
      <c r="T262" t="s">
        <v>115</v>
      </c>
      <c r="U262" t="s">
        <v>115</v>
      </c>
      <c r="V262" t="s">
        <v>115</v>
      </c>
      <c r="W262" t="s">
        <v>115</v>
      </c>
      <c r="X262" t="s">
        <v>115</v>
      </c>
      <c r="Y262" t="s">
        <v>115</v>
      </c>
      <c r="Z262" t="s">
        <v>115</v>
      </c>
      <c r="AA262" t="s">
        <v>115</v>
      </c>
      <c r="AB262" t="s">
        <v>115</v>
      </c>
      <c r="AC262" t="s">
        <v>115</v>
      </c>
      <c r="AD262" t="s">
        <v>115</v>
      </c>
      <c r="AE262" t="s">
        <v>115</v>
      </c>
      <c r="AF262" t="s">
        <v>115</v>
      </c>
      <c r="AG262" t="s">
        <v>115</v>
      </c>
      <c r="AH262">
        <v>0</v>
      </c>
      <c r="AI262">
        <v>0</v>
      </c>
      <c r="AJ262">
        <v>0</v>
      </c>
      <c r="AK262">
        <v>0</v>
      </c>
      <c r="AL262">
        <v>26</v>
      </c>
      <c r="AM262">
        <v>0</v>
      </c>
      <c r="AN262">
        <f t="shared" si="8"/>
        <v>26</v>
      </c>
      <c r="AP262" t="s">
        <v>4672</v>
      </c>
    </row>
    <row r="263" spans="1:42" hidden="1" x14ac:dyDescent="0.2">
      <c r="A263" t="s">
        <v>4677</v>
      </c>
      <c r="B263" t="s">
        <v>4678</v>
      </c>
      <c r="C263">
        <v>18</v>
      </c>
      <c r="D263">
        <v>1</v>
      </c>
      <c r="E263" t="s">
        <v>395</v>
      </c>
      <c r="F263" s="1">
        <v>43705</v>
      </c>
      <c r="G263" t="s">
        <v>4031</v>
      </c>
      <c r="H263" t="s">
        <v>4724</v>
      </c>
      <c r="I263" s="2">
        <v>2.1527777777777781E-2</v>
      </c>
      <c r="J263" s="176">
        <v>3.5879629629629635E-4</v>
      </c>
      <c r="K263" s="6">
        <v>31</v>
      </c>
      <c r="L263" t="s">
        <v>398</v>
      </c>
      <c r="M263" t="s">
        <v>4675</v>
      </c>
      <c r="N263" t="s">
        <v>102</v>
      </c>
      <c r="O263" t="s">
        <v>115</v>
      </c>
      <c r="P263" t="s">
        <v>176</v>
      </c>
      <c r="Q263">
        <v>0</v>
      </c>
      <c r="R263">
        <v>0</v>
      </c>
      <c r="S263" t="s">
        <v>115</v>
      </c>
      <c r="T263" t="s">
        <v>115</v>
      </c>
      <c r="U263" t="s">
        <v>115</v>
      </c>
      <c r="V263" t="s">
        <v>115</v>
      </c>
      <c r="W263" t="s">
        <v>115</v>
      </c>
      <c r="X263" t="s">
        <v>115</v>
      </c>
      <c r="Y263" t="s">
        <v>115</v>
      </c>
      <c r="Z263" t="s">
        <v>115</v>
      </c>
      <c r="AA263" t="s">
        <v>115</v>
      </c>
      <c r="AB263" t="s">
        <v>115</v>
      </c>
      <c r="AC263" t="s">
        <v>115</v>
      </c>
      <c r="AD263" t="s">
        <v>115</v>
      </c>
      <c r="AE263" t="s">
        <v>115</v>
      </c>
      <c r="AF263" t="s">
        <v>115</v>
      </c>
      <c r="AG263" t="s">
        <v>115</v>
      </c>
      <c r="AH263">
        <v>0</v>
      </c>
      <c r="AI263">
        <v>0</v>
      </c>
      <c r="AJ263">
        <v>0</v>
      </c>
      <c r="AK263">
        <v>0</v>
      </c>
      <c r="AL263">
        <v>31</v>
      </c>
      <c r="AM263">
        <v>0</v>
      </c>
      <c r="AN263">
        <f t="shared" si="8"/>
        <v>31</v>
      </c>
    </row>
    <row r="264" spans="1:42" hidden="1" x14ac:dyDescent="0.2">
      <c r="A264" t="s">
        <v>4679</v>
      </c>
      <c r="B264" t="s">
        <v>4680</v>
      </c>
      <c r="C264">
        <v>19</v>
      </c>
      <c r="D264">
        <v>1</v>
      </c>
      <c r="E264" t="s">
        <v>395</v>
      </c>
      <c r="F264" s="1">
        <v>43705</v>
      </c>
      <c r="G264" t="s">
        <v>4031</v>
      </c>
      <c r="H264" t="s">
        <v>4724</v>
      </c>
      <c r="I264" s="2">
        <v>9.0277777777777787E-3</v>
      </c>
      <c r="J264" s="176">
        <v>1.5046296296296297E-4</v>
      </c>
      <c r="K264" s="6">
        <v>13</v>
      </c>
      <c r="L264" t="s">
        <v>398</v>
      </c>
      <c r="M264" t="s">
        <v>4675</v>
      </c>
      <c r="N264" t="s">
        <v>102</v>
      </c>
      <c r="O264" t="s">
        <v>115</v>
      </c>
      <c r="P264">
        <v>0</v>
      </c>
      <c r="Q264">
        <v>0</v>
      </c>
      <c r="R264">
        <v>0</v>
      </c>
      <c r="S264" t="s">
        <v>115</v>
      </c>
      <c r="T264" t="s">
        <v>115</v>
      </c>
      <c r="U264" t="s">
        <v>115</v>
      </c>
      <c r="V264" t="s">
        <v>115</v>
      </c>
      <c r="W264" t="s">
        <v>115</v>
      </c>
      <c r="X264" t="s">
        <v>115</v>
      </c>
      <c r="Y264" t="s">
        <v>115</v>
      </c>
      <c r="Z264" t="s">
        <v>115</v>
      </c>
      <c r="AA264" t="s">
        <v>115</v>
      </c>
      <c r="AB264" t="s">
        <v>115</v>
      </c>
      <c r="AC264" t="s">
        <v>115</v>
      </c>
      <c r="AD264" t="s">
        <v>115</v>
      </c>
      <c r="AE264" t="s">
        <v>115</v>
      </c>
      <c r="AF264" t="s">
        <v>115</v>
      </c>
      <c r="AG264" t="s">
        <v>115</v>
      </c>
      <c r="AH264">
        <v>0</v>
      </c>
      <c r="AI264">
        <v>0</v>
      </c>
      <c r="AJ264">
        <v>0</v>
      </c>
      <c r="AK264">
        <v>0</v>
      </c>
      <c r="AL264">
        <v>10</v>
      </c>
      <c r="AM264">
        <v>0</v>
      </c>
      <c r="AN264">
        <f t="shared" si="8"/>
        <v>10</v>
      </c>
    </row>
    <row r="265" spans="1:42" hidden="1" x14ac:dyDescent="0.2">
      <c r="A265" t="s">
        <v>4641</v>
      </c>
      <c r="B265" t="s">
        <v>4642</v>
      </c>
      <c r="C265">
        <v>4</v>
      </c>
      <c r="D265">
        <v>1</v>
      </c>
      <c r="E265" t="s">
        <v>395</v>
      </c>
      <c r="F265" s="1">
        <v>43705</v>
      </c>
      <c r="G265" t="s">
        <v>4031</v>
      </c>
      <c r="H265" t="s">
        <v>4724</v>
      </c>
      <c r="I265" s="2">
        <v>1.8055555555555557E-2</v>
      </c>
      <c r="J265" s="176">
        <v>3.0092592592592595E-4</v>
      </c>
      <c r="K265" s="6">
        <v>26</v>
      </c>
      <c r="L265" t="s">
        <v>398</v>
      </c>
      <c r="M265" t="s">
        <v>4250</v>
      </c>
      <c r="N265" t="s">
        <v>111</v>
      </c>
      <c r="O265" t="s">
        <v>115</v>
      </c>
      <c r="P265">
        <v>1</v>
      </c>
      <c r="Q265">
        <v>0</v>
      </c>
      <c r="R265">
        <v>1</v>
      </c>
      <c r="S265" t="s">
        <v>598</v>
      </c>
      <c r="T265" t="s">
        <v>4643</v>
      </c>
      <c r="U265" t="s">
        <v>122</v>
      </c>
      <c r="V265" t="s">
        <v>4604</v>
      </c>
      <c r="W265" t="s">
        <v>23</v>
      </c>
      <c r="X265" t="s">
        <v>3999</v>
      </c>
      <c r="Y265" t="s">
        <v>2179</v>
      </c>
      <c r="AA265">
        <v>291</v>
      </c>
      <c r="AB265" t="s">
        <v>176</v>
      </c>
      <c r="AC265" s="19">
        <v>63.720359999999999</v>
      </c>
      <c r="AD265" s="19">
        <v>148.98394999999999</v>
      </c>
      <c r="AE265" t="s">
        <v>115</v>
      </c>
      <c r="AF265" t="s">
        <v>115</v>
      </c>
      <c r="AG265" t="s">
        <v>115</v>
      </c>
      <c r="AH265">
        <v>0</v>
      </c>
      <c r="AI265">
        <v>0</v>
      </c>
      <c r="AJ265">
        <v>0</v>
      </c>
      <c r="AK265">
        <v>0</v>
      </c>
      <c r="AL265">
        <v>0</v>
      </c>
      <c r="AM265">
        <v>0</v>
      </c>
      <c r="AN265">
        <f t="shared" si="8"/>
        <v>0</v>
      </c>
      <c r="AP265" t="s">
        <v>4644</v>
      </c>
    </row>
    <row r="266" spans="1:42" hidden="1" x14ac:dyDescent="0.2">
      <c r="A266" t="s">
        <v>4645</v>
      </c>
      <c r="B266" t="s">
        <v>4646</v>
      </c>
      <c r="C266">
        <v>5</v>
      </c>
      <c r="D266">
        <v>2</v>
      </c>
      <c r="E266" t="s">
        <v>395</v>
      </c>
      <c r="F266" s="1">
        <v>43705</v>
      </c>
      <c r="G266" t="s">
        <v>4031</v>
      </c>
      <c r="H266" t="s">
        <v>4724</v>
      </c>
      <c r="I266" s="2">
        <v>3.1944444444444449E-2</v>
      </c>
      <c r="J266" s="176">
        <v>5.3240740740740744E-4</v>
      </c>
      <c r="K266" s="6">
        <v>46</v>
      </c>
      <c r="L266" t="s">
        <v>398</v>
      </c>
      <c r="M266" t="s">
        <v>4250</v>
      </c>
      <c r="N266" t="s">
        <v>568</v>
      </c>
      <c r="O266" t="s">
        <v>23</v>
      </c>
      <c r="P266">
        <v>1</v>
      </c>
      <c r="Q266">
        <v>0</v>
      </c>
      <c r="R266">
        <v>1</v>
      </c>
      <c r="S266" t="s">
        <v>598</v>
      </c>
      <c r="T266" t="s">
        <v>4643</v>
      </c>
      <c r="U266" t="s">
        <v>122</v>
      </c>
      <c r="V266" t="s">
        <v>4604</v>
      </c>
      <c r="W266" t="s">
        <v>23</v>
      </c>
      <c r="X266" t="s">
        <v>3999</v>
      </c>
      <c r="Y266" t="s">
        <v>2179</v>
      </c>
      <c r="AA266">
        <v>249</v>
      </c>
      <c r="AB266">
        <v>1</v>
      </c>
      <c r="AC266" s="19">
        <v>63.720410000000001</v>
      </c>
      <c r="AD266" s="19">
        <v>148.98446999999999</v>
      </c>
      <c r="AE266" t="s">
        <v>115</v>
      </c>
      <c r="AF266" t="s">
        <v>115</v>
      </c>
      <c r="AG266" t="s">
        <v>115</v>
      </c>
      <c r="AH266">
        <v>0</v>
      </c>
      <c r="AI266">
        <v>0</v>
      </c>
      <c r="AJ266">
        <v>0</v>
      </c>
      <c r="AK266">
        <v>0</v>
      </c>
      <c r="AL266">
        <v>8</v>
      </c>
      <c r="AM266">
        <v>0</v>
      </c>
      <c r="AN266">
        <f t="shared" si="8"/>
        <v>8</v>
      </c>
      <c r="AP266" t="s">
        <v>4647</v>
      </c>
    </row>
    <row r="267" spans="1:42" hidden="1" x14ac:dyDescent="0.2">
      <c r="A267" t="s">
        <v>4645</v>
      </c>
      <c r="B267" t="s">
        <v>4646</v>
      </c>
      <c r="C267">
        <v>5</v>
      </c>
      <c r="D267">
        <v>3</v>
      </c>
      <c r="E267" t="s">
        <v>395</v>
      </c>
      <c r="F267" s="1">
        <v>43705</v>
      </c>
      <c r="G267" t="s">
        <v>4031</v>
      </c>
      <c r="H267" t="s">
        <v>4724</v>
      </c>
      <c r="I267" s="2">
        <v>3.1944444444444449E-2</v>
      </c>
      <c r="J267" s="176">
        <v>5.3240740740740744E-4</v>
      </c>
      <c r="K267" s="6">
        <v>46</v>
      </c>
      <c r="L267" t="s">
        <v>398</v>
      </c>
      <c r="M267" t="s">
        <v>176</v>
      </c>
      <c r="N267" t="s">
        <v>568</v>
      </c>
      <c r="O267" t="s">
        <v>23</v>
      </c>
      <c r="P267">
        <v>0</v>
      </c>
      <c r="Q267">
        <v>0</v>
      </c>
      <c r="R267">
        <v>1</v>
      </c>
      <c r="S267" t="s">
        <v>598</v>
      </c>
      <c r="T267" t="s">
        <v>4643</v>
      </c>
      <c r="U267" t="s">
        <v>176</v>
      </c>
      <c r="V267" t="s">
        <v>4604</v>
      </c>
      <c r="W267" t="s">
        <v>23</v>
      </c>
      <c r="X267" t="s">
        <v>3999</v>
      </c>
      <c r="Y267" t="s">
        <v>2179</v>
      </c>
      <c r="AA267">
        <v>307</v>
      </c>
      <c r="AB267" t="s">
        <v>176</v>
      </c>
      <c r="AC267" s="19">
        <v>63.720410000000001</v>
      </c>
      <c r="AD267" s="19">
        <v>148.98446999999999</v>
      </c>
      <c r="AE267" t="s">
        <v>115</v>
      </c>
      <c r="AF267" t="s">
        <v>115</v>
      </c>
      <c r="AG267" t="s">
        <v>115</v>
      </c>
      <c r="AH267">
        <v>0</v>
      </c>
      <c r="AI267">
        <v>0</v>
      </c>
      <c r="AJ267">
        <v>0</v>
      </c>
      <c r="AK267">
        <v>0</v>
      </c>
      <c r="AL267">
        <v>0</v>
      </c>
      <c r="AM267">
        <v>0</v>
      </c>
      <c r="AN267">
        <f t="shared" si="8"/>
        <v>0</v>
      </c>
      <c r="AP267" t="s">
        <v>4648</v>
      </c>
    </row>
    <row r="268" spans="1:42" hidden="1" x14ac:dyDescent="0.2">
      <c r="A268" t="s">
        <v>4681</v>
      </c>
      <c r="B268" t="s">
        <v>4682</v>
      </c>
      <c r="C268">
        <v>1</v>
      </c>
      <c r="D268">
        <v>1</v>
      </c>
      <c r="E268" t="s">
        <v>213</v>
      </c>
      <c r="F268" s="1">
        <v>43705</v>
      </c>
      <c r="G268" t="s">
        <v>4031</v>
      </c>
      <c r="H268" t="s">
        <v>4724</v>
      </c>
      <c r="I268" s="2">
        <v>2.0833333333333333E-3</v>
      </c>
      <c r="J268" s="176">
        <v>3.4722222222222222E-5</v>
      </c>
      <c r="K268" s="6">
        <v>3</v>
      </c>
      <c r="L268" t="s">
        <v>397</v>
      </c>
      <c r="M268" t="s">
        <v>4683</v>
      </c>
      <c r="N268" t="s">
        <v>111</v>
      </c>
      <c r="O268" t="s">
        <v>23</v>
      </c>
      <c r="P268">
        <v>1</v>
      </c>
      <c r="Q268">
        <v>0</v>
      </c>
      <c r="R268">
        <v>1</v>
      </c>
      <c r="S268" t="s">
        <v>598</v>
      </c>
      <c r="T268" t="s">
        <v>4643</v>
      </c>
      <c r="U268" t="s">
        <v>122</v>
      </c>
      <c r="V268" t="s">
        <v>4386</v>
      </c>
      <c r="W268" t="s">
        <v>23</v>
      </c>
      <c r="X268" t="s">
        <v>3999</v>
      </c>
      <c r="Y268" t="s">
        <v>3810</v>
      </c>
      <c r="AA268">
        <v>162</v>
      </c>
      <c r="AB268">
        <v>3</v>
      </c>
      <c r="AC268" s="19">
        <v>63.720649999999999</v>
      </c>
      <c r="AD268" s="19">
        <v>148.96965</v>
      </c>
      <c r="AE268" t="s">
        <v>115</v>
      </c>
      <c r="AF268" t="s">
        <v>115</v>
      </c>
      <c r="AG268" t="s">
        <v>115</v>
      </c>
      <c r="AH268">
        <v>0</v>
      </c>
      <c r="AI268">
        <v>0</v>
      </c>
      <c r="AJ268">
        <v>0</v>
      </c>
      <c r="AK268">
        <v>0</v>
      </c>
      <c r="AL268">
        <v>0</v>
      </c>
      <c r="AM268">
        <v>0</v>
      </c>
      <c r="AN268">
        <f t="shared" si="8"/>
        <v>0</v>
      </c>
      <c r="AP268" t="s">
        <v>4684</v>
      </c>
    </row>
    <row r="269" spans="1:42" hidden="1" x14ac:dyDescent="0.2">
      <c r="A269" t="s">
        <v>4664</v>
      </c>
      <c r="B269" t="s">
        <v>4665</v>
      </c>
      <c r="C269">
        <v>13</v>
      </c>
      <c r="D269">
        <v>1</v>
      </c>
      <c r="E269" t="s">
        <v>395</v>
      </c>
      <c r="F269" s="1">
        <v>43705</v>
      </c>
      <c r="G269" t="s">
        <v>4031</v>
      </c>
      <c r="H269" t="s">
        <v>4724</v>
      </c>
      <c r="I269" s="2">
        <v>1.8749999999999999E-2</v>
      </c>
      <c r="J269" s="176">
        <v>3.1250000000000001E-4</v>
      </c>
      <c r="K269" s="6">
        <v>27</v>
      </c>
      <c r="L269" t="s">
        <v>398</v>
      </c>
      <c r="M269" t="s">
        <v>4675</v>
      </c>
      <c r="N269" t="s">
        <v>568</v>
      </c>
      <c r="O269" t="s">
        <v>23</v>
      </c>
      <c r="P269">
        <v>1</v>
      </c>
      <c r="Q269">
        <v>0</v>
      </c>
      <c r="R269">
        <v>1</v>
      </c>
      <c r="S269" t="s">
        <v>598</v>
      </c>
      <c r="T269" t="s">
        <v>4432</v>
      </c>
      <c r="U269" t="s">
        <v>122</v>
      </c>
      <c r="V269" t="s">
        <v>1035</v>
      </c>
      <c r="W269" t="s">
        <v>23</v>
      </c>
      <c r="X269" t="s">
        <v>3997</v>
      </c>
      <c r="Y269" t="s">
        <v>4006</v>
      </c>
      <c r="AA269">
        <v>133</v>
      </c>
      <c r="AB269">
        <v>4</v>
      </c>
      <c r="AC269" s="19">
        <v>63.721130000000002</v>
      </c>
      <c r="AD269" s="19">
        <v>148.98087000000001</v>
      </c>
      <c r="AE269" t="s">
        <v>115</v>
      </c>
      <c r="AF269" t="s">
        <v>115</v>
      </c>
      <c r="AG269" t="s">
        <v>115</v>
      </c>
      <c r="AH269">
        <v>0</v>
      </c>
      <c r="AI269">
        <v>0</v>
      </c>
      <c r="AJ269">
        <v>0</v>
      </c>
      <c r="AK269">
        <v>0</v>
      </c>
      <c r="AL269">
        <v>13</v>
      </c>
      <c r="AM269">
        <v>0</v>
      </c>
      <c r="AN269">
        <f t="shared" si="8"/>
        <v>13</v>
      </c>
    </row>
    <row r="270" spans="1:42" hidden="1" x14ac:dyDescent="0.2">
      <c r="A270" t="s">
        <v>4673</v>
      </c>
      <c r="B270" t="s">
        <v>4674</v>
      </c>
      <c r="C270">
        <v>17</v>
      </c>
      <c r="D270">
        <v>1</v>
      </c>
      <c r="E270" t="s">
        <v>395</v>
      </c>
      <c r="F270" s="1">
        <v>43705</v>
      </c>
      <c r="G270" t="s">
        <v>4031</v>
      </c>
      <c r="H270" t="s">
        <v>4724</v>
      </c>
      <c r="I270" s="2">
        <v>1.1805555555555555E-2</v>
      </c>
      <c r="J270" s="176">
        <v>1.9675925925925926E-4</v>
      </c>
      <c r="K270" s="6">
        <v>17</v>
      </c>
      <c r="L270" t="s">
        <v>398</v>
      </c>
      <c r="M270" t="s">
        <v>4675</v>
      </c>
      <c r="N270" t="s">
        <v>4412</v>
      </c>
      <c r="O270" t="s">
        <v>23</v>
      </c>
      <c r="P270">
        <v>1</v>
      </c>
      <c r="Q270">
        <v>0</v>
      </c>
      <c r="R270">
        <v>1</v>
      </c>
      <c r="S270" t="s">
        <v>598</v>
      </c>
      <c r="T270" t="s">
        <v>4432</v>
      </c>
      <c r="U270" t="s">
        <v>122</v>
      </c>
      <c r="V270" t="s">
        <v>4385</v>
      </c>
      <c r="W270" t="s">
        <v>23</v>
      </c>
      <c r="X270" t="s">
        <v>3997</v>
      </c>
      <c r="Y270" t="s">
        <v>176</v>
      </c>
      <c r="AA270">
        <v>290</v>
      </c>
      <c r="AB270">
        <v>11</v>
      </c>
      <c r="AC270" s="19">
        <v>63.721820000000001</v>
      </c>
      <c r="AD270" s="19">
        <v>148.98206999999999</v>
      </c>
      <c r="AE270" t="s">
        <v>115</v>
      </c>
      <c r="AF270" t="s">
        <v>115</v>
      </c>
      <c r="AG270" t="s">
        <v>115</v>
      </c>
      <c r="AH270">
        <v>0</v>
      </c>
      <c r="AI270">
        <v>0</v>
      </c>
      <c r="AJ270">
        <v>0</v>
      </c>
      <c r="AK270">
        <v>0</v>
      </c>
      <c r="AL270">
        <v>0</v>
      </c>
      <c r="AM270">
        <v>0</v>
      </c>
      <c r="AN270">
        <f t="shared" si="8"/>
        <v>0</v>
      </c>
      <c r="AP270" t="s">
        <v>4676</v>
      </c>
    </row>
    <row r="271" spans="1:42" hidden="1" x14ac:dyDescent="0.2">
      <c r="AN271">
        <f t="shared" si="8"/>
        <v>0</v>
      </c>
    </row>
    <row r="272" spans="1:42" hidden="1" x14ac:dyDescent="0.2">
      <c r="AN272">
        <f t="shared" si="8"/>
        <v>0</v>
      </c>
    </row>
    <row r="273" spans="40:40" hidden="1" x14ac:dyDescent="0.2">
      <c r="AN273">
        <f t="shared" ref="AN273:AN285" si="9">SUM(AH273+AI273+AL273+AM273)</f>
        <v>0</v>
      </c>
    </row>
    <row r="274" spans="40:40" hidden="1" x14ac:dyDescent="0.2">
      <c r="AN274">
        <f t="shared" si="9"/>
        <v>0</v>
      </c>
    </row>
    <row r="275" spans="40:40" hidden="1" x14ac:dyDescent="0.2">
      <c r="AN275">
        <f t="shared" si="9"/>
        <v>0</v>
      </c>
    </row>
    <row r="276" spans="40:40" hidden="1" x14ac:dyDescent="0.2">
      <c r="AN276">
        <f t="shared" si="9"/>
        <v>0</v>
      </c>
    </row>
    <row r="277" spans="40:40" hidden="1" x14ac:dyDescent="0.2">
      <c r="AN277">
        <f t="shared" si="9"/>
        <v>0</v>
      </c>
    </row>
    <row r="278" spans="40:40" hidden="1" x14ac:dyDescent="0.2">
      <c r="AN278">
        <f t="shared" si="9"/>
        <v>0</v>
      </c>
    </row>
    <row r="279" spans="40:40" hidden="1" x14ac:dyDescent="0.2">
      <c r="AN279">
        <f t="shared" si="9"/>
        <v>0</v>
      </c>
    </row>
    <row r="280" spans="40:40" hidden="1" x14ac:dyDescent="0.2">
      <c r="AN280">
        <f t="shared" si="9"/>
        <v>0</v>
      </c>
    </row>
    <row r="281" spans="40:40" hidden="1" x14ac:dyDescent="0.2">
      <c r="AN281">
        <f t="shared" si="9"/>
        <v>0</v>
      </c>
    </row>
    <row r="282" spans="40:40" hidden="1" x14ac:dyDescent="0.2">
      <c r="AN282">
        <f t="shared" si="9"/>
        <v>0</v>
      </c>
    </row>
    <row r="283" spans="40:40" hidden="1" x14ac:dyDescent="0.2">
      <c r="AN283">
        <f t="shared" si="9"/>
        <v>0</v>
      </c>
    </row>
    <row r="284" spans="40:40" hidden="1" x14ac:dyDescent="0.2">
      <c r="AN284">
        <f t="shared" si="9"/>
        <v>0</v>
      </c>
    </row>
    <row r="285" spans="40:40" hidden="1" x14ac:dyDescent="0.2">
      <c r="AN285">
        <f t="shared" si="9"/>
        <v>0</v>
      </c>
    </row>
  </sheetData>
  <autoFilter ref="A1:AR285" xr:uid="{643CF92F-E67C-C442-A501-6C730A15EA1D}">
    <filterColumn colId="3">
      <filters>
        <filter val="1"/>
      </filters>
    </filterColumn>
    <filterColumn colId="16">
      <filters>
        <filter val="1"/>
      </filters>
    </filterColumn>
  </autoFilter>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8B48A-6CB1-B745-9F53-9A326D7BEA25}">
  <dimension ref="A1:AV1539"/>
  <sheetViews>
    <sheetView zoomScale="115" workbookViewId="0">
      <pane ySplit="1" topLeftCell="A2" activePane="bottomLeft" state="frozen"/>
      <selection pane="bottomLeft" sqref="A1:XFD1048576"/>
    </sheetView>
  </sheetViews>
  <sheetFormatPr baseColWidth="10" defaultRowHeight="16" x14ac:dyDescent="0.2"/>
  <cols>
    <col min="1" max="1" width="10.83203125" style="123"/>
    <col min="2" max="2" width="14.6640625" style="123" customWidth="1"/>
    <col min="3" max="8" width="10.83203125" style="123"/>
    <col min="9" max="9" width="10.83203125" style="171"/>
    <col min="10" max="10" width="10.83203125" style="173"/>
    <col min="11" max="11" width="10.83203125" style="129"/>
    <col min="12" max="21" width="10.83203125" style="123"/>
    <col min="22" max="22" width="36.5" style="123" customWidth="1"/>
    <col min="23" max="30" width="10.83203125" style="123"/>
    <col min="31" max="31" width="12.1640625" style="123" customWidth="1"/>
    <col min="32" max="41" width="10.83203125" style="123"/>
    <col min="42" max="42" width="11" style="123" customWidth="1"/>
    <col min="43" max="16384" width="10.83203125" style="123"/>
  </cols>
  <sheetData>
    <row r="1" spans="1:44" x14ac:dyDescent="0.2">
      <c r="A1" s="123" t="s">
        <v>25</v>
      </c>
      <c r="B1" s="123" t="s">
        <v>0</v>
      </c>
      <c r="C1" s="123" t="s">
        <v>2033</v>
      </c>
      <c r="D1" s="123" t="s">
        <v>2034</v>
      </c>
      <c r="E1" s="123" t="s">
        <v>1</v>
      </c>
      <c r="F1" s="123" t="s">
        <v>2</v>
      </c>
      <c r="G1" s="123" t="s">
        <v>4025</v>
      </c>
      <c r="H1" s="123" t="s">
        <v>5058</v>
      </c>
      <c r="I1" s="171" t="s">
        <v>4</v>
      </c>
      <c r="J1" s="173" t="s">
        <v>5095</v>
      </c>
      <c r="L1" s="123" t="s">
        <v>3</v>
      </c>
      <c r="M1" s="123" t="s">
        <v>9</v>
      </c>
      <c r="N1" s="123" t="s">
        <v>106</v>
      </c>
      <c r="O1" s="123" t="s">
        <v>5</v>
      </c>
      <c r="P1" s="123" t="s">
        <v>6</v>
      </c>
      <c r="Q1" s="123" t="s">
        <v>7</v>
      </c>
      <c r="R1" s="123" t="s">
        <v>98</v>
      </c>
      <c r="S1" s="123" t="s">
        <v>4029</v>
      </c>
      <c r="T1" s="123" t="s">
        <v>551</v>
      </c>
      <c r="U1" s="123" t="s">
        <v>113</v>
      </c>
      <c r="V1" s="123" t="s">
        <v>114</v>
      </c>
      <c r="W1" s="123" t="s">
        <v>3995</v>
      </c>
      <c r="X1" s="123" t="s">
        <v>3996</v>
      </c>
      <c r="Y1" s="123" t="s">
        <v>4000</v>
      </c>
      <c r="Z1" s="123" t="s">
        <v>2335</v>
      </c>
      <c r="AA1" s="123" t="s">
        <v>2378</v>
      </c>
      <c r="AB1" s="123" t="s">
        <v>912</v>
      </c>
      <c r="AC1" s="124" t="s">
        <v>2038</v>
      </c>
      <c r="AD1" s="124" t="s">
        <v>2039</v>
      </c>
      <c r="AE1" s="124" t="s">
        <v>2607</v>
      </c>
      <c r="AF1" s="124" t="s">
        <v>2608</v>
      </c>
      <c r="AG1" s="124" t="s">
        <v>3222</v>
      </c>
      <c r="AH1" s="123" t="s">
        <v>19</v>
      </c>
      <c r="AI1" s="123" t="s">
        <v>20</v>
      </c>
      <c r="AJ1" s="123" t="s">
        <v>18</v>
      </c>
      <c r="AK1" s="123" t="s">
        <v>21</v>
      </c>
      <c r="AL1" s="123" t="s">
        <v>122</v>
      </c>
      <c r="AM1" s="123" t="s">
        <v>4769</v>
      </c>
      <c r="AN1" s="123" t="s">
        <v>8</v>
      </c>
      <c r="AO1" s="123" t="s">
        <v>15</v>
      </c>
      <c r="AP1" s="123" t="s">
        <v>17</v>
      </c>
      <c r="AQ1" s="123" t="s">
        <v>56</v>
      </c>
      <c r="AR1" s="123" t="s">
        <v>57</v>
      </c>
    </row>
    <row r="2" spans="1:44" x14ac:dyDescent="0.2">
      <c r="A2" s="123" t="s">
        <v>2852</v>
      </c>
      <c r="B2" s="123" t="s">
        <v>2853</v>
      </c>
      <c r="C2" s="123">
        <v>1</v>
      </c>
      <c r="D2" s="123">
        <v>1</v>
      </c>
      <c r="E2" s="123" t="s">
        <v>834</v>
      </c>
      <c r="F2" s="125">
        <v>43557</v>
      </c>
      <c r="G2" s="125" t="s">
        <v>4027</v>
      </c>
      <c r="H2" s="125" t="s">
        <v>4752</v>
      </c>
      <c r="I2" s="171">
        <v>5.347222222222222E-2</v>
      </c>
      <c r="J2" s="173">
        <v>8.9120370370370362E-4</v>
      </c>
      <c r="K2" s="129">
        <v>77</v>
      </c>
      <c r="M2" s="123" t="s">
        <v>466</v>
      </c>
      <c r="N2" s="123" t="s">
        <v>1626</v>
      </c>
      <c r="O2" s="123" t="s">
        <v>115</v>
      </c>
      <c r="P2" s="123">
        <v>1</v>
      </c>
      <c r="Q2" s="123">
        <v>0</v>
      </c>
      <c r="R2" s="123">
        <v>0</v>
      </c>
      <c r="S2" s="123" t="s">
        <v>598</v>
      </c>
      <c r="T2" s="127" t="s">
        <v>2801</v>
      </c>
      <c r="U2" s="127" t="s">
        <v>122</v>
      </c>
      <c r="V2" s="127" t="s">
        <v>115</v>
      </c>
      <c r="W2" s="127"/>
      <c r="X2" s="127"/>
      <c r="Y2" s="127"/>
      <c r="Z2" s="127" t="s">
        <v>115</v>
      </c>
      <c r="AA2" s="127" t="s">
        <v>115</v>
      </c>
      <c r="AB2" s="127" t="s">
        <v>115</v>
      </c>
      <c r="AC2" s="127" t="s">
        <v>115</v>
      </c>
      <c r="AD2" s="127" t="s">
        <v>115</v>
      </c>
      <c r="AE2" s="127" t="s">
        <v>115</v>
      </c>
      <c r="AF2" s="127" t="s">
        <v>115</v>
      </c>
      <c r="AG2" s="127"/>
      <c r="AH2" s="123">
        <v>0</v>
      </c>
      <c r="AI2" s="123">
        <v>0</v>
      </c>
      <c r="AJ2" s="123">
        <v>0</v>
      </c>
      <c r="AK2" s="123">
        <v>0</v>
      </c>
      <c r="AL2" s="123">
        <v>4</v>
      </c>
      <c r="AN2" s="123">
        <f t="shared" ref="AN2:AN65" si="0">SUM(AH2+AI2+AL2)</f>
        <v>4</v>
      </c>
    </row>
    <row r="3" spans="1:44" x14ac:dyDescent="0.2">
      <c r="A3" s="123" t="s">
        <v>2854</v>
      </c>
      <c r="B3" s="123" t="s">
        <v>2855</v>
      </c>
      <c r="C3" s="123">
        <v>2</v>
      </c>
      <c r="D3" s="123">
        <v>1</v>
      </c>
      <c r="E3" s="123" t="s">
        <v>834</v>
      </c>
      <c r="F3" s="125">
        <v>43557</v>
      </c>
      <c r="G3" s="125" t="s">
        <v>4027</v>
      </c>
      <c r="H3" s="125" t="s">
        <v>4752</v>
      </c>
      <c r="I3" s="171">
        <v>2.7083333333333334E-2</v>
      </c>
      <c r="J3" s="173">
        <v>4.5138888888888892E-4</v>
      </c>
      <c r="K3" s="129">
        <v>39</v>
      </c>
      <c r="M3" s="123" t="s">
        <v>466</v>
      </c>
      <c r="N3" s="123" t="s">
        <v>107</v>
      </c>
      <c r="O3" s="123" t="s">
        <v>115</v>
      </c>
      <c r="P3" s="123">
        <v>0</v>
      </c>
      <c r="Q3" s="123">
        <v>0</v>
      </c>
      <c r="R3" s="123">
        <v>0</v>
      </c>
      <c r="S3" s="123" t="s">
        <v>598</v>
      </c>
      <c r="T3" s="127" t="s">
        <v>2801</v>
      </c>
      <c r="U3" s="127" t="s">
        <v>115</v>
      </c>
      <c r="V3" s="127" t="s">
        <v>115</v>
      </c>
      <c r="W3" s="127"/>
      <c r="X3" s="127"/>
      <c r="Y3" s="127"/>
      <c r="Z3" s="127" t="s">
        <v>115</v>
      </c>
      <c r="AA3" s="127" t="s">
        <v>115</v>
      </c>
      <c r="AB3" s="127" t="s">
        <v>115</v>
      </c>
      <c r="AC3" s="127" t="s">
        <v>115</v>
      </c>
      <c r="AD3" s="127" t="s">
        <v>115</v>
      </c>
      <c r="AE3" s="127" t="s">
        <v>115</v>
      </c>
      <c r="AF3" s="127" t="s">
        <v>115</v>
      </c>
      <c r="AG3" s="127"/>
      <c r="AH3" s="123">
        <v>0</v>
      </c>
      <c r="AI3" s="123">
        <v>0</v>
      </c>
      <c r="AJ3" s="123">
        <v>0</v>
      </c>
      <c r="AK3" s="123">
        <v>0</v>
      </c>
      <c r="AL3" s="123">
        <v>0</v>
      </c>
      <c r="AN3" s="123">
        <f t="shared" si="0"/>
        <v>0</v>
      </c>
    </row>
    <row r="4" spans="1:44" x14ac:dyDescent="0.2">
      <c r="A4" s="123" t="s">
        <v>2938</v>
      </c>
      <c r="B4" s="123" t="s">
        <v>2939</v>
      </c>
      <c r="C4" s="123">
        <v>5</v>
      </c>
      <c r="D4" s="123">
        <v>1</v>
      </c>
      <c r="E4" s="123" t="s">
        <v>834</v>
      </c>
      <c r="F4" s="125">
        <v>43560</v>
      </c>
      <c r="G4" s="125" t="s">
        <v>4027</v>
      </c>
      <c r="H4" s="125" t="s">
        <v>4752</v>
      </c>
      <c r="I4" s="171">
        <v>9.930555555555555E-2</v>
      </c>
      <c r="J4" s="173">
        <v>1.6550925925925926E-3</v>
      </c>
      <c r="K4" s="129">
        <v>143</v>
      </c>
      <c r="M4" s="123" t="s">
        <v>466</v>
      </c>
      <c r="N4" s="123" t="s">
        <v>102</v>
      </c>
      <c r="O4" s="123" t="s">
        <v>23</v>
      </c>
      <c r="P4" s="123">
        <v>1</v>
      </c>
      <c r="Q4" s="123">
        <v>0</v>
      </c>
      <c r="R4" s="123">
        <v>0</v>
      </c>
      <c r="S4" s="123" t="s">
        <v>176</v>
      </c>
      <c r="T4" s="127" t="s">
        <v>24</v>
      </c>
      <c r="U4" s="127" t="s">
        <v>487</v>
      </c>
      <c r="V4" s="127" t="s">
        <v>115</v>
      </c>
      <c r="W4" s="127"/>
      <c r="X4" s="127"/>
      <c r="Y4" s="127"/>
      <c r="Z4" s="127" t="s">
        <v>115</v>
      </c>
      <c r="AA4" s="127" t="s">
        <v>115</v>
      </c>
      <c r="AB4" s="127" t="s">
        <v>115</v>
      </c>
      <c r="AC4" s="127" t="s">
        <v>115</v>
      </c>
      <c r="AD4" s="127" t="s">
        <v>115</v>
      </c>
      <c r="AE4" s="127" t="s">
        <v>115</v>
      </c>
      <c r="AF4" s="127" t="s">
        <v>115</v>
      </c>
      <c r="AG4" s="127"/>
      <c r="AH4" s="123">
        <v>6</v>
      </c>
      <c r="AI4" s="123">
        <v>0</v>
      </c>
      <c r="AJ4" s="123">
        <v>0</v>
      </c>
      <c r="AK4" s="123">
        <v>6</v>
      </c>
      <c r="AL4" s="123">
        <v>0</v>
      </c>
      <c r="AN4" s="123">
        <f t="shared" si="0"/>
        <v>6</v>
      </c>
    </row>
    <row r="5" spans="1:44" x14ac:dyDescent="0.2">
      <c r="A5" s="123" t="s">
        <v>2988</v>
      </c>
      <c r="B5" s="123" t="s">
        <v>2989</v>
      </c>
      <c r="C5" s="123">
        <v>29</v>
      </c>
      <c r="D5" s="123">
        <v>1</v>
      </c>
      <c r="E5" s="123" t="s">
        <v>834</v>
      </c>
      <c r="F5" s="125">
        <v>43560</v>
      </c>
      <c r="G5" s="125" t="s">
        <v>4027</v>
      </c>
      <c r="H5" s="125" t="s">
        <v>4752</v>
      </c>
      <c r="I5" s="171">
        <v>2.4999999999999998E-2</v>
      </c>
      <c r="J5" s="173">
        <v>4.1666666666666669E-4</v>
      </c>
      <c r="K5" s="129">
        <v>36</v>
      </c>
      <c r="M5" s="123" t="s">
        <v>466</v>
      </c>
      <c r="N5" s="123" t="s">
        <v>102</v>
      </c>
      <c r="O5" s="123" t="s">
        <v>115</v>
      </c>
      <c r="P5" s="123">
        <v>1</v>
      </c>
      <c r="Q5" s="123">
        <v>0</v>
      </c>
      <c r="R5" s="123">
        <v>0</v>
      </c>
      <c r="S5" s="123" t="s">
        <v>176</v>
      </c>
      <c r="T5" s="127" t="s">
        <v>24</v>
      </c>
      <c r="U5" s="127" t="s">
        <v>122</v>
      </c>
      <c r="V5" s="127" t="s">
        <v>115</v>
      </c>
      <c r="W5" s="127"/>
      <c r="X5" s="127"/>
      <c r="Y5" s="127"/>
      <c r="Z5" s="127" t="s">
        <v>115</v>
      </c>
      <c r="AA5" s="127" t="s">
        <v>115</v>
      </c>
      <c r="AB5" s="127" t="s">
        <v>115</v>
      </c>
      <c r="AC5" s="127" t="s">
        <v>115</v>
      </c>
      <c r="AD5" s="127" t="s">
        <v>115</v>
      </c>
      <c r="AE5" s="127" t="s">
        <v>115</v>
      </c>
      <c r="AF5" s="127" t="s">
        <v>115</v>
      </c>
      <c r="AG5" s="127"/>
      <c r="AH5" s="123">
        <v>0</v>
      </c>
      <c r="AI5" s="123">
        <v>0</v>
      </c>
      <c r="AJ5" s="123">
        <v>0</v>
      </c>
      <c r="AK5" s="123">
        <v>0</v>
      </c>
      <c r="AL5" s="123">
        <v>36</v>
      </c>
      <c r="AN5" s="123">
        <f t="shared" si="0"/>
        <v>36</v>
      </c>
      <c r="AO5" s="123" t="s">
        <v>188</v>
      </c>
    </row>
    <row r="6" spans="1:44" x14ac:dyDescent="0.2">
      <c r="A6" s="123" t="s">
        <v>2990</v>
      </c>
      <c r="B6" s="123" t="s">
        <v>2991</v>
      </c>
      <c r="C6" s="123">
        <v>30</v>
      </c>
      <c r="D6" s="123">
        <v>1</v>
      </c>
      <c r="E6" s="123" t="s">
        <v>834</v>
      </c>
      <c r="F6" s="125">
        <v>43560</v>
      </c>
      <c r="G6" s="125" t="s">
        <v>4027</v>
      </c>
      <c r="H6" s="125" t="s">
        <v>4752</v>
      </c>
      <c r="I6" s="171">
        <v>3.3333333333333333E-2</v>
      </c>
      <c r="J6" s="173">
        <v>5.5555555555555556E-4</v>
      </c>
      <c r="K6" s="129">
        <v>48</v>
      </c>
      <c r="M6" s="123" t="s">
        <v>466</v>
      </c>
      <c r="N6" s="123" t="s">
        <v>102</v>
      </c>
      <c r="O6" s="123" t="s">
        <v>115</v>
      </c>
      <c r="P6" s="123">
        <v>1</v>
      </c>
      <c r="Q6" s="123">
        <v>0</v>
      </c>
      <c r="R6" s="123">
        <v>0</v>
      </c>
      <c r="S6" s="123" t="s">
        <v>176</v>
      </c>
      <c r="T6" s="127" t="s">
        <v>24</v>
      </c>
      <c r="U6" s="127" t="s">
        <v>122</v>
      </c>
      <c r="V6" s="127" t="s">
        <v>115</v>
      </c>
      <c r="W6" s="127"/>
      <c r="X6" s="127"/>
      <c r="Y6" s="127"/>
      <c r="Z6" s="127" t="s">
        <v>115</v>
      </c>
      <c r="AA6" s="127" t="s">
        <v>115</v>
      </c>
      <c r="AB6" s="127" t="s">
        <v>115</v>
      </c>
      <c r="AC6" s="127" t="s">
        <v>115</v>
      </c>
      <c r="AD6" s="127" t="s">
        <v>115</v>
      </c>
      <c r="AE6" s="127" t="s">
        <v>115</v>
      </c>
      <c r="AF6" s="127" t="s">
        <v>115</v>
      </c>
      <c r="AG6" s="127"/>
      <c r="AH6" s="123">
        <v>0</v>
      </c>
      <c r="AI6" s="123">
        <v>0</v>
      </c>
      <c r="AJ6" s="123">
        <v>0</v>
      </c>
      <c r="AK6" s="123">
        <v>0</v>
      </c>
      <c r="AL6" s="123">
        <v>48</v>
      </c>
      <c r="AN6" s="123">
        <f t="shared" si="0"/>
        <v>48</v>
      </c>
    </row>
    <row r="7" spans="1:44" x14ac:dyDescent="0.2">
      <c r="A7" s="123" t="s">
        <v>2994</v>
      </c>
      <c r="B7" s="123" t="s">
        <v>2995</v>
      </c>
      <c r="C7" s="123">
        <v>32</v>
      </c>
      <c r="D7" s="123">
        <v>1</v>
      </c>
      <c r="E7" s="123" t="s">
        <v>834</v>
      </c>
      <c r="F7" s="125">
        <v>43560</v>
      </c>
      <c r="G7" s="125" t="s">
        <v>4027</v>
      </c>
      <c r="H7" s="125" t="s">
        <v>4752</v>
      </c>
      <c r="I7" s="171">
        <v>7.7083333333333337E-2</v>
      </c>
      <c r="J7" s="173">
        <v>1.2847222222222223E-3</v>
      </c>
      <c r="K7" s="129">
        <v>111</v>
      </c>
      <c r="M7" s="123" t="s">
        <v>466</v>
      </c>
      <c r="N7" s="123" t="s">
        <v>102</v>
      </c>
      <c r="O7" s="123" t="s">
        <v>115</v>
      </c>
      <c r="P7" s="123">
        <v>1</v>
      </c>
      <c r="Q7" s="123">
        <v>0</v>
      </c>
      <c r="R7" s="123">
        <v>0</v>
      </c>
      <c r="S7" s="123" t="s">
        <v>176</v>
      </c>
      <c r="T7" s="127" t="s">
        <v>24</v>
      </c>
      <c r="U7" s="127" t="s">
        <v>122</v>
      </c>
      <c r="V7" s="127" t="s">
        <v>115</v>
      </c>
      <c r="W7" s="127"/>
      <c r="X7" s="127"/>
      <c r="Y7" s="127"/>
      <c r="Z7" s="127" t="s">
        <v>115</v>
      </c>
      <c r="AA7" s="127" t="s">
        <v>115</v>
      </c>
      <c r="AB7" s="127" t="s">
        <v>115</v>
      </c>
      <c r="AC7" s="127" t="s">
        <v>115</v>
      </c>
      <c r="AD7" s="127" t="s">
        <v>115</v>
      </c>
      <c r="AE7" s="127" t="s">
        <v>115</v>
      </c>
      <c r="AF7" s="127" t="s">
        <v>115</v>
      </c>
      <c r="AG7" s="127"/>
      <c r="AH7" s="123">
        <v>0</v>
      </c>
      <c r="AI7" s="123">
        <v>0</v>
      </c>
      <c r="AJ7" s="123">
        <v>0</v>
      </c>
      <c r="AK7" s="123">
        <v>0</v>
      </c>
      <c r="AL7" s="123">
        <v>111</v>
      </c>
      <c r="AN7" s="123">
        <f t="shared" si="0"/>
        <v>111</v>
      </c>
      <c r="AO7" s="123" t="s">
        <v>188</v>
      </c>
    </row>
    <row r="8" spans="1:44" x14ac:dyDescent="0.2">
      <c r="A8" s="123" t="s">
        <v>2952</v>
      </c>
      <c r="B8" s="123" t="s">
        <v>2953</v>
      </c>
      <c r="C8" s="123">
        <v>12</v>
      </c>
      <c r="D8" s="123">
        <v>1</v>
      </c>
      <c r="E8" s="123" t="s">
        <v>834</v>
      </c>
      <c r="F8" s="125">
        <v>43560</v>
      </c>
      <c r="G8" s="125" t="s">
        <v>4027</v>
      </c>
      <c r="H8" s="125" t="s">
        <v>4752</v>
      </c>
      <c r="I8" s="171">
        <v>4.2361111111111106E-2</v>
      </c>
      <c r="J8" s="173">
        <v>7.0601851851851847E-4</v>
      </c>
      <c r="K8" s="129">
        <v>61</v>
      </c>
      <c r="M8" s="123" t="s">
        <v>466</v>
      </c>
      <c r="N8" s="123" t="s">
        <v>102</v>
      </c>
      <c r="O8" s="123" t="s">
        <v>23</v>
      </c>
      <c r="P8" s="123">
        <v>1</v>
      </c>
      <c r="Q8" s="123">
        <v>1</v>
      </c>
      <c r="R8" s="123">
        <v>0</v>
      </c>
      <c r="S8" s="123" t="s">
        <v>176</v>
      </c>
      <c r="T8" s="127" t="s">
        <v>24</v>
      </c>
      <c r="U8" s="127" t="s">
        <v>709</v>
      </c>
      <c r="V8" s="127" t="s">
        <v>115</v>
      </c>
      <c r="W8" s="127"/>
      <c r="X8" s="127"/>
      <c r="Y8" s="127"/>
      <c r="Z8" s="127" t="s">
        <v>115</v>
      </c>
      <c r="AA8" s="127" t="s">
        <v>115</v>
      </c>
      <c r="AB8" s="127" t="s">
        <v>115</v>
      </c>
      <c r="AC8" s="127" t="s">
        <v>115</v>
      </c>
      <c r="AD8" s="127" t="s">
        <v>115</v>
      </c>
      <c r="AE8" s="123">
        <v>63.738799999999998</v>
      </c>
      <c r="AF8" s="123">
        <v>148.89569</v>
      </c>
      <c r="AH8" s="123">
        <v>0</v>
      </c>
      <c r="AI8" s="123">
        <v>0</v>
      </c>
      <c r="AJ8" s="123">
        <v>0</v>
      </c>
      <c r="AK8" s="123">
        <v>0</v>
      </c>
      <c r="AL8" s="123">
        <v>30</v>
      </c>
      <c r="AN8" s="123">
        <f t="shared" si="0"/>
        <v>30</v>
      </c>
      <c r="AO8" s="123" t="s">
        <v>188</v>
      </c>
      <c r="AP8" s="123" t="s">
        <v>2954</v>
      </c>
    </row>
    <row r="9" spans="1:44" x14ac:dyDescent="0.2">
      <c r="A9" s="123" t="s">
        <v>2984</v>
      </c>
      <c r="B9" s="123" t="s">
        <v>2985</v>
      </c>
      <c r="C9" s="123">
        <v>27</v>
      </c>
      <c r="D9" s="123">
        <v>1</v>
      </c>
      <c r="E9" s="123" t="s">
        <v>834</v>
      </c>
      <c r="F9" s="125">
        <v>43560</v>
      </c>
      <c r="G9" s="125" t="s">
        <v>4027</v>
      </c>
      <c r="H9" s="125" t="s">
        <v>4752</v>
      </c>
      <c r="I9" s="171">
        <v>6.805555555555555E-2</v>
      </c>
      <c r="J9" s="173">
        <v>1.1342592592592591E-3</v>
      </c>
      <c r="K9" s="129">
        <v>98</v>
      </c>
      <c r="M9" s="123" t="s">
        <v>466</v>
      </c>
      <c r="N9" s="123" t="s">
        <v>102</v>
      </c>
      <c r="O9" s="123" t="s">
        <v>23</v>
      </c>
      <c r="P9" s="123">
        <v>1</v>
      </c>
      <c r="Q9" s="123" t="s">
        <v>24</v>
      </c>
      <c r="R9" s="123">
        <v>0</v>
      </c>
      <c r="S9" s="123" t="s">
        <v>176</v>
      </c>
      <c r="T9" s="127" t="s">
        <v>24</v>
      </c>
      <c r="U9" s="127" t="s">
        <v>709</v>
      </c>
      <c r="AH9" s="123">
        <v>11</v>
      </c>
      <c r="AI9" s="123">
        <v>0</v>
      </c>
      <c r="AJ9" s="123">
        <v>11</v>
      </c>
      <c r="AK9" s="123">
        <v>0</v>
      </c>
      <c r="AN9" s="123">
        <f t="shared" si="0"/>
        <v>11</v>
      </c>
    </row>
    <row r="10" spans="1:44" x14ac:dyDescent="0.2">
      <c r="A10" s="123" t="s">
        <v>2938</v>
      </c>
      <c r="B10" s="123" t="s">
        <v>2939</v>
      </c>
      <c r="C10" s="123">
        <v>5</v>
      </c>
      <c r="D10" s="123">
        <v>3</v>
      </c>
      <c r="E10" s="123" t="s">
        <v>834</v>
      </c>
      <c r="F10" s="125">
        <v>43560</v>
      </c>
      <c r="G10" s="125" t="s">
        <v>4027</v>
      </c>
      <c r="H10" s="125" t="s">
        <v>4752</v>
      </c>
      <c r="I10" s="171">
        <v>9.930555555555555E-2</v>
      </c>
      <c r="J10" s="173">
        <v>1.6550925925925926E-3</v>
      </c>
      <c r="K10" s="129">
        <v>143</v>
      </c>
      <c r="M10" s="123" t="s">
        <v>466</v>
      </c>
      <c r="N10" s="123" t="s">
        <v>111</v>
      </c>
      <c r="O10" s="123" t="s">
        <v>23</v>
      </c>
      <c r="P10" s="123">
        <v>0</v>
      </c>
      <c r="Q10" s="123">
        <v>0</v>
      </c>
      <c r="R10" s="123">
        <v>1</v>
      </c>
      <c r="S10" s="123" t="s">
        <v>598</v>
      </c>
      <c r="T10" s="127" t="s">
        <v>2801</v>
      </c>
      <c r="U10" s="127" t="s">
        <v>115</v>
      </c>
      <c r="V10" s="127" t="s">
        <v>2088</v>
      </c>
      <c r="W10" s="127" t="s">
        <v>23</v>
      </c>
      <c r="X10" s="127" t="s">
        <v>3997</v>
      </c>
      <c r="Y10" s="127" t="s">
        <v>4021</v>
      </c>
      <c r="Z10" s="123">
        <v>66</v>
      </c>
      <c r="AA10" s="127" t="s">
        <v>2457</v>
      </c>
      <c r="AB10" s="123">
        <v>3</v>
      </c>
      <c r="AC10" s="123">
        <v>63.738750000000003</v>
      </c>
      <c r="AD10" s="123">
        <v>148.89812000000001</v>
      </c>
      <c r="AE10" s="127" t="s">
        <v>115</v>
      </c>
      <c r="AF10" s="127" t="s">
        <v>115</v>
      </c>
      <c r="AG10" s="127"/>
      <c r="AH10" s="123">
        <v>0</v>
      </c>
      <c r="AI10" s="123">
        <v>0</v>
      </c>
      <c r="AJ10" s="123">
        <v>0</v>
      </c>
      <c r="AK10" s="123">
        <v>0</v>
      </c>
      <c r="AL10" s="123">
        <v>0</v>
      </c>
      <c r="AN10" s="123">
        <f t="shared" si="0"/>
        <v>0</v>
      </c>
    </row>
    <row r="11" spans="1:44" x14ac:dyDescent="0.2">
      <c r="A11" s="123" t="s">
        <v>2935</v>
      </c>
      <c r="B11" s="123" t="s">
        <v>2936</v>
      </c>
      <c r="C11" s="123">
        <v>4</v>
      </c>
      <c r="D11" s="123">
        <v>1</v>
      </c>
      <c r="E11" s="123" t="s">
        <v>834</v>
      </c>
      <c r="F11" s="125">
        <v>43560</v>
      </c>
      <c r="G11" s="125" t="s">
        <v>4027</v>
      </c>
      <c r="H11" s="125" t="s">
        <v>4752</v>
      </c>
      <c r="I11" s="171">
        <v>2.2916666666666669E-2</v>
      </c>
      <c r="J11" s="173">
        <v>3.8194444444444446E-4</v>
      </c>
      <c r="K11" s="129">
        <v>33</v>
      </c>
      <c r="M11" s="123" t="s">
        <v>466</v>
      </c>
      <c r="N11" s="123" t="s">
        <v>111</v>
      </c>
      <c r="O11" s="123" t="s">
        <v>23</v>
      </c>
      <c r="P11" s="123">
        <v>0</v>
      </c>
      <c r="Q11" s="123">
        <v>0</v>
      </c>
      <c r="R11" s="123">
        <v>1</v>
      </c>
      <c r="S11" s="123" t="s">
        <v>598</v>
      </c>
      <c r="T11" s="127" t="s">
        <v>2801</v>
      </c>
      <c r="U11" s="127" t="s">
        <v>115</v>
      </c>
      <c r="V11" s="127" t="s">
        <v>2088</v>
      </c>
      <c r="W11" s="127" t="s">
        <v>23</v>
      </c>
      <c r="X11" s="127" t="s">
        <v>3997</v>
      </c>
      <c r="Y11" s="127" t="s">
        <v>4021</v>
      </c>
      <c r="Z11" s="127" t="s">
        <v>2551</v>
      </c>
      <c r="AA11" s="123">
        <v>340</v>
      </c>
      <c r="AB11" s="123">
        <v>10</v>
      </c>
      <c r="AC11" s="123">
        <v>63.738860000000003</v>
      </c>
      <c r="AD11" s="123">
        <v>148.89845</v>
      </c>
      <c r="AE11" s="127" t="s">
        <v>115</v>
      </c>
      <c r="AF11" s="127" t="s">
        <v>115</v>
      </c>
      <c r="AG11" s="127"/>
      <c r="AH11" s="123">
        <v>0</v>
      </c>
      <c r="AI11" s="123">
        <v>0</v>
      </c>
      <c r="AJ11" s="123">
        <v>0</v>
      </c>
      <c r="AK11" s="123">
        <v>0</v>
      </c>
      <c r="AL11" s="123">
        <v>0</v>
      </c>
      <c r="AN11" s="123">
        <f t="shared" si="0"/>
        <v>0</v>
      </c>
      <c r="AP11" s="123" t="s">
        <v>2937</v>
      </c>
    </row>
    <row r="12" spans="1:44" x14ac:dyDescent="0.2">
      <c r="A12" s="123" t="s">
        <v>2962</v>
      </c>
      <c r="B12" s="123" t="s">
        <v>2963</v>
      </c>
      <c r="C12" s="123">
        <v>16</v>
      </c>
      <c r="D12" s="123">
        <v>1</v>
      </c>
      <c r="E12" s="123" t="s">
        <v>834</v>
      </c>
      <c r="F12" s="125">
        <v>43560</v>
      </c>
      <c r="G12" s="125" t="s">
        <v>4027</v>
      </c>
      <c r="H12" s="125" t="s">
        <v>4752</v>
      </c>
      <c r="I12" s="171">
        <v>8.7500000000000008E-2</v>
      </c>
      <c r="J12" s="173">
        <v>1.4583333333333334E-3</v>
      </c>
      <c r="K12" s="129">
        <v>126</v>
      </c>
      <c r="M12" s="123" t="s">
        <v>466</v>
      </c>
      <c r="N12" s="123" t="s">
        <v>111</v>
      </c>
      <c r="O12" s="123" t="s">
        <v>23</v>
      </c>
      <c r="P12" s="123">
        <v>0</v>
      </c>
      <c r="Q12" s="123">
        <v>0</v>
      </c>
      <c r="R12" s="123">
        <v>1</v>
      </c>
      <c r="S12" s="123" t="s">
        <v>598</v>
      </c>
      <c r="T12" s="127" t="s">
        <v>2801</v>
      </c>
      <c r="U12" s="127" t="s">
        <v>115</v>
      </c>
      <c r="V12" s="127" t="s">
        <v>2088</v>
      </c>
      <c r="W12" s="127" t="s">
        <v>23</v>
      </c>
      <c r="X12" s="127" t="s">
        <v>3997</v>
      </c>
      <c r="Y12" s="127" t="s">
        <v>4021</v>
      </c>
      <c r="AA12" s="123">
        <v>60</v>
      </c>
      <c r="AB12" s="123">
        <v>15</v>
      </c>
      <c r="AC12" s="123">
        <v>63.738950000000003</v>
      </c>
      <c r="AD12" s="123">
        <v>148.89493999999999</v>
      </c>
      <c r="AE12" s="127" t="s">
        <v>115</v>
      </c>
      <c r="AF12" s="127" t="s">
        <v>115</v>
      </c>
      <c r="AG12" s="127"/>
      <c r="AH12" s="123">
        <v>0</v>
      </c>
      <c r="AI12" s="123">
        <v>0</v>
      </c>
      <c r="AJ12" s="123">
        <v>0</v>
      </c>
      <c r="AK12" s="123">
        <v>0</v>
      </c>
      <c r="AL12" s="123">
        <v>81</v>
      </c>
      <c r="AN12" s="123">
        <f t="shared" si="0"/>
        <v>81</v>
      </c>
      <c r="AO12" s="123" t="s">
        <v>188</v>
      </c>
    </row>
    <row r="13" spans="1:44" x14ac:dyDescent="0.2">
      <c r="A13" s="123" t="s">
        <v>2972</v>
      </c>
      <c r="B13" s="123" t="s">
        <v>2973</v>
      </c>
      <c r="C13" s="123">
        <v>21</v>
      </c>
      <c r="D13" s="123">
        <v>1</v>
      </c>
      <c r="E13" s="123" t="s">
        <v>834</v>
      </c>
      <c r="F13" s="125">
        <v>43560</v>
      </c>
      <c r="G13" s="125" t="s">
        <v>4027</v>
      </c>
      <c r="H13" s="125" t="s">
        <v>4752</v>
      </c>
      <c r="I13" s="171">
        <v>4.8611111111111112E-3</v>
      </c>
      <c r="J13" s="173">
        <v>8.1018518518518516E-5</v>
      </c>
      <c r="K13" s="129">
        <v>7</v>
      </c>
      <c r="M13" s="123" t="s">
        <v>466</v>
      </c>
      <c r="N13" s="123" t="s">
        <v>111</v>
      </c>
      <c r="O13" s="123" t="s">
        <v>23</v>
      </c>
      <c r="P13" s="123">
        <v>0</v>
      </c>
      <c r="Q13" s="123">
        <v>0</v>
      </c>
      <c r="R13" s="123">
        <v>1</v>
      </c>
      <c r="S13" s="123" t="s">
        <v>598</v>
      </c>
      <c r="T13" s="127" t="s">
        <v>2801</v>
      </c>
      <c r="U13" s="127" t="s">
        <v>115</v>
      </c>
      <c r="V13" s="127" t="s">
        <v>1035</v>
      </c>
      <c r="W13" s="127" t="s">
        <v>23</v>
      </c>
      <c r="X13" s="127" t="s">
        <v>3997</v>
      </c>
      <c r="Y13" s="127" t="s">
        <v>4006</v>
      </c>
      <c r="AA13" s="123">
        <v>160</v>
      </c>
      <c r="AC13" s="123">
        <v>63.739040000000003</v>
      </c>
      <c r="AD13" s="123">
        <v>148.89462</v>
      </c>
      <c r="AE13" s="127" t="s">
        <v>115</v>
      </c>
      <c r="AF13" s="127" t="s">
        <v>115</v>
      </c>
      <c r="AG13" s="127"/>
      <c r="AH13" s="123">
        <v>0</v>
      </c>
      <c r="AI13" s="123">
        <v>0</v>
      </c>
      <c r="AJ13" s="123">
        <v>0</v>
      </c>
      <c r="AK13" s="123">
        <v>0</v>
      </c>
      <c r="AL13" s="123">
        <v>0</v>
      </c>
      <c r="AN13" s="123">
        <f t="shared" si="0"/>
        <v>0</v>
      </c>
    </row>
    <row r="14" spans="1:44" x14ac:dyDescent="0.2">
      <c r="A14" s="123" t="s">
        <v>2955</v>
      </c>
      <c r="B14" s="123" t="s">
        <v>2956</v>
      </c>
      <c r="C14" s="123">
        <v>13</v>
      </c>
      <c r="D14" s="123">
        <v>1</v>
      </c>
      <c r="E14" s="123" t="s">
        <v>834</v>
      </c>
      <c r="F14" s="125">
        <v>43560</v>
      </c>
      <c r="G14" s="125" t="s">
        <v>4027</v>
      </c>
      <c r="H14" s="125" t="s">
        <v>4752</v>
      </c>
      <c r="I14" s="171">
        <v>7.6388888888888886E-3</v>
      </c>
      <c r="J14" s="173">
        <v>1.273148148148148E-4</v>
      </c>
      <c r="K14" s="129">
        <v>11</v>
      </c>
      <c r="M14" s="123" t="s">
        <v>466</v>
      </c>
      <c r="N14" s="123" t="s">
        <v>102</v>
      </c>
      <c r="O14" s="123" t="s">
        <v>115</v>
      </c>
      <c r="P14" s="123">
        <v>1</v>
      </c>
      <c r="Q14" s="123">
        <v>0</v>
      </c>
      <c r="R14" s="123">
        <v>0</v>
      </c>
      <c r="S14" s="123" t="s">
        <v>598</v>
      </c>
      <c r="T14" s="127" t="s">
        <v>2801</v>
      </c>
      <c r="U14" s="127" t="s">
        <v>122</v>
      </c>
      <c r="V14" s="127" t="s">
        <v>115</v>
      </c>
      <c r="W14" s="127"/>
      <c r="X14" s="127"/>
      <c r="Y14" s="127"/>
      <c r="Z14" s="127" t="s">
        <v>115</v>
      </c>
      <c r="AA14" s="127" t="s">
        <v>115</v>
      </c>
      <c r="AB14" s="127" t="s">
        <v>115</v>
      </c>
      <c r="AC14" s="127" t="s">
        <v>115</v>
      </c>
      <c r="AD14" s="127" t="s">
        <v>115</v>
      </c>
      <c r="AE14" s="127" t="s">
        <v>115</v>
      </c>
      <c r="AF14" s="127" t="s">
        <v>115</v>
      </c>
      <c r="AG14" s="127"/>
      <c r="AH14" s="123">
        <v>0</v>
      </c>
      <c r="AI14" s="123">
        <v>0</v>
      </c>
      <c r="AJ14" s="123">
        <v>0</v>
      </c>
      <c r="AK14" s="123">
        <v>0</v>
      </c>
      <c r="AL14" s="123">
        <v>5</v>
      </c>
      <c r="AN14" s="123">
        <f t="shared" si="0"/>
        <v>5</v>
      </c>
      <c r="AO14" s="123" t="s">
        <v>188</v>
      </c>
    </row>
    <row r="15" spans="1:44" x14ac:dyDescent="0.2">
      <c r="A15" s="123" t="s">
        <v>2966</v>
      </c>
      <c r="B15" s="123" t="s">
        <v>2967</v>
      </c>
      <c r="C15" s="123">
        <v>18</v>
      </c>
      <c r="D15" s="123">
        <v>1</v>
      </c>
      <c r="E15" s="123" t="s">
        <v>834</v>
      </c>
      <c r="F15" s="125">
        <v>43560</v>
      </c>
      <c r="G15" s="125" t="s">
        <v>4027</v>
      </c>
      <c r="H15" s="125" t="s">
        <v>4752</v>
      </c>
      <c r="I15" s="171">
        <v>1.1805555555555555E-2</v>
      </c>
      <c r="J15" s="173">
        <v>1.9675925925925926E-4</v>
      </c>
      <c r="K15" s="129">
        <v>17</v>
      </c>
      <c r="M15" s="123" t="s">
        <v>466</v>
      </c>
      <c r="N15" s="123" t="s">
        <v>102</v>
      </c>
      <c r="O15" s="123" t="s">
        <v>115</v>
      </c>
      <c r="P15" s="123">
        <v>1</v>
      </c>
      <c r="Q15" s="123">
        <v>0</v>
      </c>
      <c r="R15" s="123">
        <v>0</v>
      </c>
      <c r="S15" s="123" t="s">
        <v>598</v>
      </c>
      <c r="T15" s="127" t="s">
        <v>2802</v>
      </c>
      <c r="U15" s="127" t="s">
        <v>122</v>
      </c>
      <c r="V15" s="127" t="s">
        <v>115</v>
      </c>
      <c r="W15" s="127"/>
      <c r="X15" s="127"/>
      <c r="Y15" s="127"/>
      <c r="Z15" s="127" t="s">
        <v>115</v>
      </c>
      <c r="AA15" s="127" t="s">
        <v>115</v>
      </c>
      <c r="AB15" s="127" t="s">
        <v>115</v>
      </c>
      <c r="AC15" s="127" t="s">
        <v>115</v>
      </c>
      <c r="AD15" s="127" t="s">
        <v>115</v>
      </c>
      <c r="AE15" s="127" t="s">
        <v>115</v>
      </c>
      <c r="AF15" s="127" t="s">
        <v>115</v>
      </c>
      <c r="AG15" s="127"/>
      <c r="AH15" s="123">
        <v>0</v>
      </c>
      <c r="AI15" s="123">
        <v>0</v>
      </c>
      <c r="AJ15" s="123">
        <v>0</v>
      </c>
      <c r="AK15" s="123">
        <v>0</v>
      </c>
      <c r="AL15" s="123">
        <v>17</v>
      </c>
      <c r="AN15" s="123">
        <f t="shared" si="0"/>
        <v>17</v>
      </c>
      <c r="AO15" s="123" t="s">
        <v>188</v>
      </c>
    </row>
    <row r="16" spans="1:44" x14ac:dyDescent="0.2">
      <c r="A16" s="123" t="s">
        <v>2930</v>
      </c>
      <c r="B16" s="123" t="s">
        <v>2931</v>
      </c>
      <c r="C16" s="123">
        <v>2</v>
      </c>
      <c r="D16" s="123">
        <v>1</v>
      </c>
      <c r="E16" s="123" t="s">
        <v>834</v>
      </c>
      <c r="F16" s="125">
        <v>43560</v>
      </c>
      <c r="G16" s="125" t="s">
        <v>4027</v>
      </c>
      <c r="H16" s="125" t="s">
        <v>4752</v>
      </c>
      <c r="I16" s="171">
        <v>1.2499999999999999E-2</v>
      </c>
      <c r="J16" s="173">
        <v>2.0833333333333335E-4</v>
      </c>
      <c r="K16" s="129">
        <v>18</v>
      </c>
      <c r="M16" s="123" t="s">
        <v>466</v>
      </c>
      <c r="N16" s="123" t="s">
        <v>102</v>
      </c>
      <c r="O16" s="123" t="s">
        <v>115</v>
      </c>
      <c r="P16" s="123">
        <v>1</v>
      </c>
      <c r="Q16" s="123">
        <v>0</v>
      </c>
      <c r="R16" s="123">
        <v>0</v>
      </c>
      <c r="S16" s="123" t="s">
        <v>598</v>
      </c>
      <c r="T16" s="127" t="s">
        <v>2801</v>
      </c>
      <c r="U16" s="127" t="s">
        <v>122</v>
      </c>
      <c r="V16" s="127" t="s">
        <v>115</v>
      </c>
      <c r="W16" s="127"/>
      <c r="X16" s="127"/>
      <c r="Y16" s="127"/>
      <c r="Z16" s="127" t="s">
        <v>115</v>
      </c>
      <c r="AA16" s="127" t="s">
        <v>115</v>
      </c>
      <c r="AB16" s="127" t="s">
        <v>115</v>
      </c>
      <c r="AC16" s="127" t="s">
        <v>115</v>
      </c>
      <c r="AD16" s="127" t="s">
        <v>115</v>
      </c>
      <c r="AE16" s="127" t="s">
        <v>115</v>
      </c>
      <c r="AF16" s="127" t="s">
        <v>115</v>
      </c>
      <c r="AG16" s="127"/>
      <c r="AH16" s="123">
        <v>0</v>
      </c>
      <c r="AI16" s="123">
        <v>0</v>
      </c>
      <c r="AJ16" s="123">
        <v>0</v>
      </c>
      <c r="AK16" s="123">
        <v>0</v>
      </c>
      <c r="AL16" s="123">
        <v>0</v>
      </c>
      <c r="AN16" s="123">
        <f t="shared" si="0"/>
        <v>0</v>
      </c>
      <c r="AP16" s="123" t="s">
        <v>2480</v>
      </c>
    </row>
    <row r="17" spans="1:42" x14ac:dyDescent="0.2">
      <c r="A17" s="123" t="s">
        <v>2996</v>
      </c>
      <c r="B17" s="123" t="s">
        <v>2997</v>
      </c>
      <c r="C17" s="123">
        <v>33</v>
      </c>
      <c r="D17" s="123">
        <v>1</v>
      </c>
      <c r="E17" s="123" t="s">
        <v>834</v>
      </c>
      <c r="F17" s="125">
        <v>43560</v>
      </c>
      <c r="G17" s="125" t="s">
        <v>4027</v>
      </c>
      <c r="H17" s="125" t="s">
        <v>4752</v>
      </c>
      <c r="I17" s="171">
        <v>1.0416666666666666E-2</v>
      </c>
      <c r="J17" s="173">
        <v>1.7361111111111112E-4</v>
      </c>
      <c r="K17" s="129">
        <v>15</v>
      </c>
      <c r="M17" s="123" t="s">
        <v>466</v>
      </c>
      <c r="N17" s="123" t="s">
        <v>102</v>
      </c>
      <c r="O17" s="123" t="s">
        <v>115</v>
      </c>
      <c r="P17" s="123">
        <v>1</v>
      </c>
      <c r="Q17" s="123">
        <v>0</v>
      </c>
      <c r="R17" s="123">
        <v>0</v>
      </c>
      <c r="S17" s="123" t="s">
        <v>598</v>
      </c>
      <c r="T17" s="127" t="s">
        <v>2801</v>
      </c>
      <c r="U17" s="127" t="s">
        <v>122</v>
      </c>
      <c r="V17" s="127" t="s">
        <v>115</v>
      </c>
      <c r="W17" s="127"/>
      <c r="X17" s="127"/>
      <c r="Y17" s="127"/>
      <c r="Z17" s="127" t="s">
        <v>115</v>
      </c>
      <c r="AA17" s="127" t="s">
        <v>115</v>
      </c>
      <c r="AB17" s="127" t="s">
        <v>115</v>
      </c>
      <c r="AC17" s="127" t="s">
        <v>115</v>
      </c>
      <c r="AD17" s="127" t="s">
        <v>115</v>
      </c>
      <c r="AE17" s="127" t="s">
        <v>115</v>
      </c>
      <c r="AF17" s="127" t="s">
        <v>115</v>
      </c>
      <c r="AG17" s="127"/>
      <c r="AH17" s="123">
        <v>0</v>
      </c>
      <c r="AI17" s="123">
        <v>0</v>
      </c>
      <c r="AJ17" s="123">
        <v>0</v>
      </c>
      <c r="AK17" s="123">
        <v>0</v>
      </c>
      <c r="AL17" s="123">
        <v>15</v>
      </c>
      <c r="AN17" s="123">
        <f t="shared" si="0"/>
        <v>15</v>
      </c>
      <c r="AO17" s="123" t="s">
        <v>188</v>
      </c>
    </row>
    <row r="18" spans="1:42" x14ac:dyDescent="0.2">
      <c r="A18" s="123" t="s">
        <v>2938</v>
      </c>
      <c r="B18" s="123" t="s">
        <v>2939</v>
      </c>
      <c r="C18" s="123">
        <v>5</v>
      </c>
      <c r="D18" s="123">
        <v>3</v>
      </c>
      <c r="E18" s="123" t="s">
        <v>834</v>
      </c>
      <c r="F18" s="125">
        <v>43560</v>
      </c>
      <c r="G18" s="125" t="s">
        <v>4027</v>
      </c>
      <c r="H18" s="125" t="s">
        <v>4752</v>
      </c>
      <c r="I18" s="171">
        <v>9.930555555555555E-2</v>
      </c>
      <c r="J18" s="173">
        <v>1.6550925925925926E-3</v>
      </c>
      <c r="K18" s="129">
        <v>143</v>
      </c>
      <c r="M18" s="123" t="s">
        <v>466</v>
      </c>
      <c r="N18" s="123" t="s">
        <v>102</v>
      </c>
      <c r="O18" s="123" t="s">
        <v>115</v>
      </c>
      <c r="P18" s="123">
        <v>1</v>
      </c>
      <c r="Q18" s="123">
        <v>0</v>
      </c>
      <c r="R18" s="123">
        <v>0</v>
      </c>
      <c r="S18" s="123" t="s">
        <v>598</v>
      </c>
      <c r="T18" s="127" t="s">
        <v>2801</v>
      </c>
      <c r="U18" s="127" t="s">
        <v>122</v>
      </c>
      <c r="V18" s="127" t="s">
        <v>115</v>
      </c>
      <c r="W18" s="127"/>
      <c r="X18" s="127"/>
      <c r="Y18" s="127"/>
      <c r="Z18" s="127" t="s">
        <v>115</v>
      </c>
      <c r="AA18" s="127" t="s">
        <v>115</v>
      </c>
      <c r="AB18" s="127" t="s">
        <v>115</v>
      </c>
      <c r="AC18" s="127" t="s">
        <v>115</v>
      </c>
      <c r="AD18" s="127" t="s">
        <v>115</v>
      </c>
      <c r="AE18" s="127" t="s">
        <v>115</v>
      </c>
      <c r="AF18" s="127" t="s">
        <v>115</v>
      </c>
      <c r="AG18" s="127"/>
      <c r="AH18" s="123">
        <v>0</v>
      </c>
      <c r="AI18" s="123">
        <v>0</v>
      </c>
      <c r="AJ18" s="123">
        <v>0</v>
      </c>
      <c r="AK18" s="123">
        <v>0</v>
      </c>
      <c r="AL18" s="123">
        <v>6</v>
      </c>
      <c r="AN18" s="123">
        <f t="shared" si="0"/>
        <v>6</v>
      </c>
      <c r="AO18" s="123" t="s">
        <v>188</v>
      </c>
      <c r="AP18" s="123" t="s">
        <v>2940</v>
      </c>
    </row>
    <row r="19" spans="1:42" x14ac:dyDescent="0.2">
      <c r="A19" s="123" t="s">
        <v>2938</v>
      </c>
      <c r="B19" s="123" t="s">
        <v>2939</v>
      </c>
      <c r="C19" s="123">
        <v>5</v>
      </c>
      <c r="D19" s="123">
        <v>2</v>
      </c>
      <c r="E19" s="123" t="s">
        <v>834</v>
      </c>
      <c r="F19" s="125">
        <v>43560</v>
      </c>
      <c r="G19" s="125" t="s">
        <v>4027</v>
      </c>
      <c r="H19" s="125" t="s">
        <v>4752</v>
      </c>
      <c r="I19" s="171">
        <v>9.930555555555555E-2</v>
      </c>
      <c r="J19" s="173">
        <v>1.6550925925925926E-3</v>
      </c>
      <c r="K19" s="129">
        <v>143</v>
      </c>
      <c r="M19" s="123" t="s">
        <v>466</v>
      </c>
      <c r="N19" s="123" t="s">
        <v>102</v>
      </c>
      <c r="O19" s="123" t="s">
        <v>23</v>
      </c>
      <c r="P19" s="123">
        <v>1</v>
      </c>
      <c r="Q19" s="123">
        <v>1</v>
      </c>
      <c r="R19" s="123">
        <v>0</v>
      </c>
      <c r="S19" s="123" t="s">
        <v>14</v>
      </c>
      <c r="T19" s="127" t="s">
        <v>14</v>
      </c>
      <c r="U19" s="127" t="s">
        <v>709</v>
      </c>
      <c r="Z19" s="127" t="s">
        <v>115</v>
      </c>
      <c r="AA19" s="127" t="s">
        <v>115</v>
      </c>
      <c r="AB19" s="127" t="s">
        <v>115</v>
      </c>
      <c r="AC19" s="127" t="s">
        <v>115</v>
      </c>
      <c r="AD19" s="127" t="s">
        <v>115</v>
      </c>
      <c r="AE19" s="123">
        <v>63.738619999999997</v>
      </c>
      <c r="AF19" s="123">
        <v>148.89836</v>
      </c>
      <c r="AH19" s="123">
        <v>23</v>
      </c>
      <c r="AI19" s="123">
        <v>0</v>
      </c>
      <c r="AJ19" s="123">
        <v>23</v>
      </c>
      <c r="AK19" s="123">
        <v>0</v>
      </c>
      <c r="AL19" s="123">
        <v>0</v>
      </c>
      <c r="AN19" s="123">
        <f t="shared" si="0"/>
        <v>23</v>
      </c>
    </row>
    <row r="20" spans="1:42" x14ac:dyDescent="0.2">
      <c r="A20" s="123" t="s">
        <v>2957</v>
      </c>
      <c r="B20" s="123" t="s">
        <v>2958</v>
      </c>
      <c r="C20" s="123">
        <v>14</v>
      </c>
      <c r="D20" s="123">
        <v>1</v>
      </c>
      <c r="E20" s="123" t="s">
        <v>834</v>
      </c>
      <c r="F20" s="125">
        <v>43560</v>
      </c>
      <c r="G20" s="125" t="s">
        <v>4027</v>
      </c>
      <c r="H20" s="125" t="s">
        <v>4752</v>
      </c>
      <c r="I20" s="171">
        <v>1.7361111111111112E-2</v>
      </c>
      <c r="J20" s="173">
        <v>2.8935185185185189E-4</v>
      </c>
      <c r="K20" s="129">
        <v>25</v>
      </c>
      <c r="M20" s="123" t="s">
        <v>466</v>
      </c>
      <c r="N20" s="123" t="s">
        <v>107</v>
      </c>
      <c r="O20" s="123" t="s">
        <v>115</v>
      </c>
      <c r="P20" s="123">
        <v>0</v>
      </c>
      <c r="Q20" s="123">
        <v>0</v>
      </c>
      <c r="R20" s="123">
        <v>0</v>
      </c>
      <c r="S20" s="123" t="s">
        <v>598</v>
      </c>
      <c r="T20" s="127" t="s">
        <v>2801</v>
      </c>
      <c r="U20" s="127" t="s">
        <v>115</v>
      </c>
      <c r="V20" s="127" t="s">
        <v>115</v>
      </c>
      <c r="W20" s="127"/>
      <c r="X20" s="127"/>
      <c r="Y20" s="127"/>
      <c r="Z20" s="127" t="s">
        <v>115</v>
      </c>
      <c r="AA20" s="127" t="s">
        <v>115</v>
      </c>
      <c r="AB20" s="127" t="s">
        <v>115</v>
      </c>
      <c r="AC20" s="127" t="s">
        <v>115</v>
      </c>
      <c r="AD20" s="127" t="s">
        <v>115</v>
      </c>
      <c r="AE20" s="127" t="s">
        <v>115</v>
      </c>
      <c r="AF20" s="127" t="s">
        <v>115</v>
      </c>
      <c r="AG20" s="127"/>
      <c r="AH20" s="123">
        <v>0</v>
      </c>
      <c r="AI20" s="123">
        <v>0</v>
      </c>
      <c r="AJ20" s="123">
        <v>0</v>
      </c>
      <c r="AK20" s="123">
        <v>0</v>
      </c>
      <c r="AL20" s="123">
        <v>0</v>
      </c>
      <c r="AN20" s="123">
        <f t="shared" si="0"/>
        <v>0</v>
      </c>
      <c r="AP20" s="123" t="s">
        <v>2959</v>
      </c>
    </row>
    <row r="21" spans="1:42" x14ac:dyDescent="0.2">
      <c r="A21" s="123" t="s">
        <v>2964</v>
      </c>
      <c r="B21" s="123" t="s">
        <v>2965</v>
      </c>
      <c r="C21" s="123">
        <v>17</v>
      </c>
      <c r="D21" s="123">
        <v>1</v>
      </c>
      <c r="E21" s="123" t="s">
        <v>834</v>
      </c>
      <c r="F21" s="125">
        <v>43560</v>
      </c>
      <c r="G21" s="125" t="s">
        <v>4027</v>
      </c>
      <c r="H21" s="125" t="s">
        <v>4752</v>
      </c>
      <c r="I21" s="171">
        <v>4.4444444444444446E-2</v>
      </c>
      <c r="J21" s="173">
        <v>7.407407407407407E-4</v>
      </c>
      <c r="K21" s="129">
        <v>64</v>
      </c>
      <c r="M21" s="123" t="s">
        <v>466</v>
      </c>
      <c r="N21" s="123" t="s">
        <v>102</v>
      </c>
      <c r="O21" s="123" t="s">
        <v>115</v>
      </c>
      <c r="P21" s="123">
        <v>0</v>
      </c>
      <c r="Q21" s="123">
        <v>0</v>
      </c>
      <c r="R21" s="123">
        <v>0</v>
      </c>
      <c r="T21" s="127" t="s">
        <v>115</v>
      </c>
      <c r="U21" s="127" t="s">
        <v>115</v>
      </c>
      <c r="V21" s="127" t="s">
        <v>115</v>
      </c>
      <c r="W21" s="127"/>
      <c r="X21" s="127"/>
      <c r="Y21" s="127"/>
      <c r="Z21" s="127" t="s">
        <v>115</v>
      </c>
      <c r="AA21" s="127" t="s">
        <v>115</v>
      </c>
      <c r="AB21" s="127" t="s">
        <v>115</v>
      </c>
      <c r="AC21" s="127" t="s">
        <v>115</v>
      </c>
      <c r="AD21" s="127" t="s">
        <v>115</v>
      </c>
      <c r="AE21" s="127" t="s">
        <v>115</v>
      </c>
      <c r="AF21" s="127" t="s">
        <v>115</v>
      </c>
      <c r="AG21" s="127"/>
      <c r="AH21" s="123">
        <v>0</v>
      </c>
      <c r="AI21" s="123">
        <v>0</v>
      </c>
      <c r="AJ21" s="123">
        <v>0</v>
      </c>
      <c r="AK21" s="123">
        <v>0</v>
      </c>
      <c r="AL21" s="123">
        <v>64</v>
      </c>
      <c r="AN21" s="123">
        <f t="shared" si="0"/>
        <v>64</v>
      </c>
      <c r="AO21" s="123" t="s">
        <v>188</v>
      </c>
    </row>
    <row r="22" spans="1:42" x14ac:dyDescent="0.2">
      <c r="A22" s="123" t="s">
        <v>2968</v>
      </c>
      <c r="B22" s="123" t="s">
        <v>2969</v>
      </c>
      <c r="C22" s="123">
        <v>19</v>
      </c>
      <c r="D22" s="123">
        <v>1</v>
      </c>
      <c r="E22" s="123" t="s">
        <v>834</v>
      </c>
      <c r="F22" s="125">
        <v>43560</v>
      </c>
      <c r="G22" s="125" t="s">
        <v>4027</v>
      </c>
      <c r="H22" s="125" t="s">
        <v>4752</v>
      </c>
      <c r="I22" s="171">
        <v>1.3194444444444444E-2</v>
      </c>
      <c r="J22" s="173">
        <v>2.199074074074074E-4</v>
      </c>
      <c r="K22" s="129">
        <v>19</v>
      </c>
      <c r="M22" s="123" t="s">
        <v>466</v>
      </c>
      <c r="N22" s="123" t="s">
        <v>107</v>
      </c>
      <c r="O22" s="123" t="s">
        <v>115</v>
      </c>
      <c r="P22" s="123">
        <v>0</v>
      </c>
      <c r="Q22" s="123">
        <v>0</v>
      </c>
      <c r="R22" s="123">
        <v>0</v>
      </c>
      <c r="S22" s="123" t="s">
        <v>598</v>
      </c>
      <c r="T22" s="127" t="s">
        <v>2801</v>
      </c>
      <c r="U22" s="127" t="s">
        <v>115</v>
      </c>
      <c r="V22" s="127" t="s">
        <v>115</v>
      </c>
      <c r="W22" s="127"/>
      <c r="X22" s="127"/>
      <c r="Y22" s="127"/>
      <c r="Z22" s="127" t="s">
        <v>115</v>
      </c>
      <c r="AA22" s="127" t="s">
        <v>115</v>
      </c>
      <c r="AB22" s="127" t="s">
        <v>115</v>
      </c>
      <c r="AC22" s="127" t="s">
        <v>115</v>
      </c>
      <c r="AD22" s="127" t="s">
        <v>115</v>
      </c>
      <c r="AE22" s="127" t="s">
        <v>115</v>
      </c>
      <c r="AF22" s="127" t="s">
        <v>115</v>
      </c>
      <c r="AG22" s="127"/>
      <c r="AH22" s="123">
        <v>0</v>
      </c>
      <c r="AI22" s="123">
        <v>0</v>
      </c>
      <c r="AJ22" s="123">
        <v>0</v>
      </c>
      <c r="AK22" s="123">
        <v>0</v>
      </c>
      <c r="AL22" s="123">
        <v>19</v>
      </c>
      <c r="AN22" s="123">
        <f t="shared" si="0"/>
        <v>19</v>
      </c>
    </row>
    <row r="23" spans="1:42" x14ac:dyDescent="0.2">
      <c r="A23" s="123" t="s">
        <v>2970</v>
      </c>
      <c r="B23" s="123" t="s">
        <v>2971</v>
      </c>
      <c r="C23" s="123">
        <v>20</v>
      </c>
      <c r="D23" s="123">
        <v>1</v>
      </c>
      <c r="E23" s="123" t="s">
        <v>834</v>
      </c>
      <c r="F23" s="125">
        <v>43560</v>
      </c>
      <c r="G23" s="125" t="s">
        <v>4027</v>
      </c>
      <c r="H23" s="125" t="s">
        <v>4752</v>
      </c>
      <c r="I23" s="171">
        <v>2.7083333333333334E-2</v>
      </c>
      <c r="J23" s="173">
        <v>4.5138888888888892E-4</v>
      </c>
      <c r="K23" s="129">
        <v>39</v>
      </c>
      <c r="M23" s="123" t="s">
        <v>466</v>
      </c>
      <c r="N23" s="123" t="s">
        <v>107</v>
      </c>
      <c r="O23" s="123" t="s">
        <v>115</v>
      </c>
      <c r="P23" s="123">
        <v>0</v>
      </c>
      <c r="Q23" s="123">
        <v>0</v>
      </c>
      <c r="R23" s="123">
        <v>0</v>
      </c>
      <c r="S23" s="123" t="s">
        <v>598</v>
      </c>
      <c r="T23" s="127" t="s">
        <v>2801</v>
      </c>
      <c r="U23" s="127" t="s">
        <v>115</v>
      </c>
      <c r="V23" s="127" t="s">
        <v>115</v>
      </c>
      <c r="W23" s="127"/>
      <c r="X23" s="127"/>
      <c r="Y23" s="127"/>
      <c r="Z23" s="127" t="s">
        <v>115</v>
      </c>
      <c r="AA23" s="127" t="s">
        <v>115</v>
      </c>
      <c r="AB23" s="127" t="s">
        <v>115</v>
      </c>
      <c r="AC23" s="127" t="s">
        <v>115</v>
      </c>
      <c r="AD23" s="127" t="s">
        <v>115</v>
      </c>
      <c r="AE23" s="127" t="s">
        <v>115</v>
      </c>
      <c r="AF23" s="127" t="s">
        <v>115</v>
      </c>
      <c r="AG23" s="127"/>
      <c r="AH23" s="123">
        <v>0</v>
      </c>
      <c r="AI23" s="123">
        <v>0</v>
      </c>
      <c r="AJ23" s="123">
        <v>0</v>
      </c>
      <c r="AK23" s="123">
        <v>0</v>
      </c>
      <c r="AL23" s="123">
        <v>19</v>
      </c>
      <c r="AN23" s="123">
        <f t="shared" si="0"/>
        <v>19</v>
      </c>
    </row>
    <row r="24" spans="1:42" x14ac:dyDescent="0.2">
      <c r="A24" s="123" t="s">
        <v>2974</v>
      </c>
      <c r="B24" s="123" t="s">
        <v>2975</v>
      </c>
      <c r="C24" s="123">
        <v>22</v>
      </c>
      <c r="D24" s="123">
        <v>1</v>
      </c>
      <c r="E24" s="123" t="s">
        <v>834</v>
      </c>
      <c r="F24" s="125">
        <v>43560</v>
      </c>
      <c r="G24" s="125" t="s">
        <v>4027</v>
      </c>
      <c r="H24" s="125" t="s">
        <v>4752</v>
      </c>
      <c r="I24" s="171">
        <v>4.2361111111111106E-2</v>
      </c>
      <c r="J24" s="173">
        <v>7.0601851851851847E-4</v>
      </c>
      <c r="K24" s="129">
        <v>61</v>
      </c>
      <c r="M24" s="123" t="s">
        <v>466</v>
      </c>
      <c r="N24" s="123" t="s">
        <v>102</v>
      </c>
      <c r="O24" s="123" t="s">
        <v>115</v>
      </c>
      <c r="P24" s="123">
        <v>0</v>
      </c>
      <c r="Q24" s="123">
        <v>0</v>
      </c>
      <c r="R24" s="123">
        <v>0</v>
      </c>
      <c r="T24" s="127" t="s">
        <v>115</v>
      </c>
      <c r="U24" s="127" t="s">
        <v>115</v>
      </c>
      <c r="V24" s="127" t="s">
        <v>115</v>
      </c>
      <c r="W24" s="127"/>
      <c r="X24" s="127"/>
      <c r="Y24" s="127"/>
      <c r="Z24" s="127" t="s">
        <v>115</v>
      </c>
      <c r="AA24" s="127" t="s">
        <v>115</v>
      </c>
      <c r="AB24" s="127" t="s">
        <v>115</v>
      </c>
      <c r="AC24" s="127" t="s">
        <v>115</v>
      </c>
      <c r="AD24" s="127" t="s">
        <v>115</v>
      </c>
      <c r="AE24" s="127" t="s">
        <v>115</v>
      </c>
      <c r="AF24" s="127" t="s">
        <v>115</v>
      </c>
      <c r="AG24" s="127"/>
      <c r="AH24" s="123">
        <v>0</v>
      </c>
      <c r="AI24" s="123">
        <v>0</v>
      </c>
      <c r="AJ24" s="123">
        <v>0</v>
      </c>
      <c r="AK24" s="123">
        <v>0</v>
      </c>
      <c r="AL24" s="123">
        <v>0</v>
      </c>
      <c r="AN24" s="123">
        <f t="shared" si="0"/>
        <v>0</v>
      </c>
      <c r="AO24" s="123" t="s">
        <v>188</v>
      </c>
    </row>
    <row r="25" spans="1:42" x14ac:dyDescent="0.2">
      <c r="A25" s="123" t="s">
        <v>2978</v>
      </c>
      <c r="B25" s="123" t="s">
        <v>2979</v>
      </c>
      <c r="C25" s="123">
        <v>24</v>
      </c>
      <c r="D25" s="123">
        <v>1</v>
      </c>
      <c r="E25" s="123" t="s">
        <v>834</v>
      </c>
      <c r="F25" s="125">
        <v>43560</v>
      </c>
      <c r="G25" s="125" t="s">
        <v>4027</v>
      </c>
      <c r="H25" s="125" t="s">
        <v>4752</v>
      </c>
      <c r="I25" s="171">
        <v>2.361111111111111E-2</v>
      </c>
      <c r="J25" s="173">
        <v>3.9351851851851852E-4</v>
      </c>
      <c r="K25" s="129">
        <v>34</v>
      </c>
      <c r="M25" s="123" t="s">
        <v>466</v>
      </c>
      <c r="N25" s="123" t="s">
        <v>102</v>
      </c>
      <c r="O25" s="123" t="s">
        <v>115</v>
      </c>
      <c r="P25" s="123">
        <v>0</v>
      </c>
      <c r="Q25" s="123">
        <v>0</v>
      </c>
      <c r="R25" s="123">
        <v>0</v>
      </c>
      <c r="T25" s="127" t="s">
        <v>115</v>
      </c>
      <c r="U25" s="127" t="s">
        <v>115</v>
      </c>
      <c r="V25" s="127" t="s">
        <v>115</v>
      </c>
      <c r="W25" s="127"/>
      <c r="X25" s="127"/>
      <c r="Y25" s="127"/>
      <c r="Z25" s="127" t="s">
        <v>115</v>
      </c>
      <c r="AA25" s="127" t="s">
        <v>115</v>
      </c>
      <c r="AB25" s="127" t="s">
        <v>115</v>
      </c>
      <c r="AC25" s="127" t="s">
        <v>115</v>
      </c>
      <c r="AD25" s="127" t="s">
        <v>115</v>
      </c>
      <c r="AE25" s="127" t="s">
        <v>115</v>
      </c>
      <c r="AF25" s="127" t="s">
        <v>115</v>
      </c>
      <c r="AG25" s="127"/>
      <c r="AH25" s="123">
        <v>0</v>
      </c>
      <c r="AI25" s="123">
        <v>0</v>
      </c>
      <c r="AJ25" s="123">
        <v>0</v>
      </c>
      <c r="AK25" s="123">
        <v>0</v>
      </c>
      <c r="AL25" s="123">
        <v>34</v>
      </c>
      <c r="AN25" s="123">
        <f t="shared" si="0"/>
        <v>34</v>
      </c>
      <c r="AO25" s="123" t="s">
        <v>188</v>
      </c>
    </row>
    <row r="26" spans="1:42" x14ac:dyDescent="0.2">
      <c r="A26" s="123" t="s">
        <v>2980</v>
      </c>
      <c r="B26" s="123" t="s">
        <v>2981</v>
      </c>
      <c r="C26" s="123">
        <v>25</v>
      </c>
      <c r="D26" s="123">
        <v>1</v>
      </c>
      <c r="E26" s="123" t="s">
        <v>834</v>
      </c>
      <c r="F26" s="125">
        <v>43560</v>
      </c>
      <c r="G26" s="125" t="s">
        <v>4027</v>
      </c>
      <c r="H26" s="125" t="s">
        <v>4752</v>
      </c>
      <c r="I26" s="171">
        <v>2.8472222222222222E-2</v>
      </c>
      <c r="J26" s="173">
        <v>4.7453703703703704E-4</v>
      </c>
      <c r="K26" s="129">
        <v>41</v>
      </c>
      <c r="M26" s="123" t="s">
        <v>466</v>
      </c>
      <c r="N26" s="123" t="s">
        <v>102</v>
      </c>
      <c r="O26" s="123" t="s">
        <v>115</v>
      </c>
      <c r="P26" s="123">
        <v>0</v>
      </c>
      <c r="Q26" s="123">
        <v>0</v>
      </c>
      <c r="R26" s="123">
        <v>0</v>
      </c>
      <c r="T26" s="127" t="s">
        <v>115</v>
      </c>
      <c r="U26" s="127" t="s">
        <v>115</v>
      </c>
      <c r="V26" s="127" t="s">
        <v>115</v>
      </c>
      <c r="W26" s="127"/>
      <c r="X26" s="127"/>
      <c r="Y26" s="127"/>
      <c r="Z26" s="127" t="s">
        <v>115</v>
      </c>
      <c r="AA26" s="127" t="s">
        <v>115</v>
      </c>
      <c r="AB26" s="127" t="s">
        <v>115</v>
      </c>
      <c r="AC26" s="127" t="s">
        <v>115</v>
      </c>
      <c r="AD26" s="127" t="s">
        <v>115</v>
      </c>
      <c r="AE26" s="127" t="s">
        <v>115</v>
      </c>
      <c r="AF26" s="127" t="s">
        <v>115</v>
      </c>
      <c r="AG26" s="127"/>
      <c r="AH26" s="123">
        <v>0</v>
      </c>
      <c r="AI26" s="123">
        <v>0</v>
      </c>
      <c r="AJ26" s="123">
        <v>0</v>
      </c>
      <c r="AK26" s="123">
        <v>0</v>
      </c>
      <c r="AL26" s="123">
        <v>41</v>
      </c>
      <c r="AN26" s="123">
        <f t="shared" si="0"/>
        <v>41</v>
      </c>
      <c r="AO26" s="123" t="s">
        <v>188</v>
      </c>
    </row>
    <row r="27" spans="1:42" x14ac:dyDescent="0.2">
      <c r="A27" s="123" t="s">
        <v>2982</v>
      </c>
      <c r="B27" s="123" t="s">
        <v>2983</v>
      </c>
      <c r="C27" s="123">
        <v>26</v>
      </c>
      <c r="D27" s="123">
        <v>1</v>
      </c>
      <c r="E27" s="123" t="s">
        <v>834</v>
      </c>
      <c r="F27" s="125">
        <v>43560</v>
      </c>
      <c r="G27" s="125" t="s">
        <v>4027</v>
      </c>
      <c r="H27" s="125" t="s">
        <v>4752</v>
      </c>
      <c r="I27" s="171">
        <v>2.8472222222222222E-2</v>
      </c>
      <c r="J27" s="173">
        <v>4.7453703703703704E-4</v>
      </c>
      <c r="K27" s="129">
        <v>41</v>
      </c>
      <c r="M27" s="123" t="s">
        <v>466</v>
      </c>
      <c r="N27" s="123" t="s">
        <v>102</v>
      </c>
      <c r="O27" s="123" t="s">
        <v>115</v>
      </c>
      <c r="P27" s="123">
        <v>0</v>
      </c>
      <c r="Q27" s="123">
        <v>0</v>
      </c>
      <c r="R27" s="123">
        <v>0</v>
      </c>
      <c r="T27" s="127" t="s">
        <v>115</v>
      </c>
      <c r="U27" s="127" t="s">
        <v>115</v>
      </c>
      <c r="V27" s="127" t="s">
        <v>115</v>
      </c>
      <c r="W27" s="127"/>
      <c r="X27" s="127"/>
      <c r="Y27" s="127"/>
      <c r="Z27" s="127" t="s">
        <v>115</v>
      </c>
      <c r="AA27" s="127" t="s">
        <v>115</v>
      </c>
      <c r="AB27" s="127" t="s">
        <v>115</v>
      </c>
      <c r="AC27" s="127" t="s">
        <v>115</v>
      </c>
      <c r="AD27" s="127" t="s">
        <v>115</v>
      </c>
      <c r="AE27" s="127" t="s">
        <v>115</v>
      </c>
      <c r="AF27" s="127" t="s">
        <v>115</v>
      </c>
      <c r="AG27" s="127"/>
      <c r="AH27" s="123">
        <v>0</v>
      </c>
      <c r="AI27" s="123">
        <v>0</v>
      </c>
      <c r="AJ27" s="123">
        <v>0</v>
      </c>
      <c r="AK27" s="123">
        <v>0</v>
      </c>
      <c r="AL27" s="123">
        <v>41</v>
      </c>
      <c r="AN27" s="123">
        <f t="shared" si="0"/>
        <v>41</v>
      </c>
      <c r="AO27" s="123" t="s">
        <v>188</v>
      </c>
    </row>
    <row r="28" spans="1:42" x14ac:dyDescent="0.2">
      <c r="A28" s="123" t="s">
        <v>2986</v>
      </c>
      <c r="B28" s="123" t="s">
        <v>2987</v>
      </c>
      <c r="C28" s="123">
        <v>28</v>
      </c>
      <c r="D28" s="123">
        <v>1</v>
      </c>
      <c r="E28" s="123" t="s">
        <v>834</v>
      </c>
      <c r="F28" s="125">
        <v>43560</v>
      </c>
      <c r="G28" s="125" t="s">
        <v>4027</v>
      </c>
      <c r="H28" s="125" t="s">
        <v>4752</v>
      </c>
      <c r="I28" s="171">
        <v>3.9583333333333331E-2</v>
      </c>
      <c r="J28" s="173">
        <v>6.5972222222222213E-4</v>
      </c>
      <c r="K28" s="129">
        <v>57</v>
      </c>
      <c r="M28" s="123" t="s">
        <v>466</v>
      </c>
      <c r="N28" s="123" t="s">
        <v>102</v>
      </c>
      <c r="O28" s="123" t="s">
        <v>115</v>
      </c>
      <c r="P28" s="123">
        <v>0</v>
      </c>
      <c r="Q28" s="123">
        <v>0</v>
      </c>
      <c r="R28" s="123">
        <v>0</v>
      </c>
      <c r="T28" s="127" t="s">
        <v>115</v>
      </c>
      <c r="U28" s="127" t="s">
        <v>115</v>
      </c>
      <c r="V28" s="127" t="s">
        <v>115</v>
      </c>
      <c r="W28" s="127"/>
      <c r="X28" s="127"/>
      <c r="Y28" s="127"/>
      <c r="Z28" s="127" t="s">
        <v>115</v>
      </c>
      <c r="AA28" s="127" t="s">
        <v>115</v>
      </c>
      <c r="AB28" s="127" t="s">
        <v>115</v>
      </c>
      <c r="AC28" s="127" t="s">
        <v>115</v>
      </c>
      <c r="AD28" s="127" t="s">
        <v>115</v>
      </c>
      <c r="AE28" s="127" t="s">
        <v>115</v>
      </c>
      <c r="AF28" s="127" t="s">
        <v>115</v>
      </c>
      <c r="AG28" s="127"/>
      <c r="AH28" s="123">
        <v>0</v>
      </c>
      <c r="AI28" s="123">
        <v>0</v>
      </c>
      <c r="AJ28" s="123">
        <v>0</v>
      </c>
      <c r="AK28" s="123">
        <v>0</v>
      </c>
      <c r="AL28" s="123">
        <v>57</v>
      </c>
      <c r="AN28" s="123">
        <f t="shared" si="0"/>
        <v>57</v>
      </c>
    </row>
    <row r="29" spans="1:42" x14ac:dyDescent="0.2">
      <c r="A29" s="123" t="s">
        <v>2932</v>
      </c>
      <c r="B29" s="123" t="s">
        <v>2933</v>
      </c>
      <c r="C29" s="123">
        <v>3</v>
      </c>
      <c r="D29" s="123">
        <v>1</v>
      </c>
      <c r="E29" s="123" t="s">
        <v>834</v>
      </c>
      <c r="F29" s="125">
        <v>43560</v>
      </c>
      <c r="G29" s="125" t="s">
        <v>4027</v>
      </c>
      <c r="H29" s="125" t="s">
        <v>4752</v>
      </c>
      <c r="I29" s="171">
        <v>2.2222222222222223E-2</v>
      </c>
      <c r="J29" s="173">
        <v>3.7037037037037035E-4</v>
      </c>
      <c r="K29" s="129">
        <v>32</v>
      </c>
      <c r="M29" s="123" t="s">
        <v>466</v>
      </c>
      <c r="N29" s="123" t="s">
        <v>107</v>
      </c>
      <c r="O29" s="123" t="s">
        <v>115</v>
      </c>
      <c r="P29" s="123">
        <v>0</v>
      </c>
      <c r="Q29" s="123">
        <v>0</v>
      </c>
      <c r="R29" s="123">
        <v>0</v>
      </c>
      <c r="S29" s="123" t="s">
        <v>598</v>
      </c>
      <c r="T29" s="127" t="s">
        <v>2801</v>
      </c>
      <c r="U29" s="127" t="s">
        <v>115</v>
      </c>
      <c r="V29" s="127" t="s">
        <v>115</v>
      </c>
      <c r="W29" s="127"/>
      <c r="X29" s="127"/>
      <c r="Y29" s="127"/>
      <c r="Z29" s="127" t="s">
        <v>115</v>
      </c>
      <c r="AA29" s="127" t="s">
        <v>115</v>
      </c>
      <c r="AB29" s="127" t="s">
        <v>115</v>
      </c>
      <c r="AC29" s="127" t="s">
        <v>115</v>
      </c>
      <c r="AD29" s="127" t="s">
        <v>115</v>
      </c>
      <c r="AE29" s="127" t="s">
        <v>115</v>
      </c>
      <c r="AF29" s="127" t="s">
        <v>115</v>
      </c>
      <c r="AG29" s="127"/>
      <c r="AH29" s="123">
        <v>0</v>
      </c>
      <c r="AI29" s="123">
        <v>0</v>
      </c>
      <c r="AJ29" s="123">
        <v>0</v>
      </c>
      <c r="AK29" s="123">
        <v>0</v>
      </c>
      <c r="AL29" s="123">
        <v>0</v>
      </c>
      <c r="AN29" s="123">
        <f t="shared" si="0"/>
        <v>0</v>
      </c>
      <c r="AP29" s="123" t="s">
        <v>2934</v>
      </c>
    </row>
    <row r="30" spans="1:42" x14ac:dyDescent="0.2">
      <c r="A30" s="123" t="s">
        <v>2992</v>
      </c>
      <c r="B30" s="123" t="s">
        <v>2993</v>
      </c>
      <c r="C30" s="123">
        <v>31</v>
      </c>
      <c r="D30" s="123">
        <v>1</v>
      </c>
      <c r="E30" s="123" t="s">
        <v>834</v>
      </c>
      <c r="F30" s="125">
        <v>43560</v>
      </c>
      <c r="G30" s="125" t="s">
        <v>4027</v>
      </c>
      <c r="H30" s="125" t="s">
        <v>4752</v>
      </c>
      <c r="I30" s="171">
        <v>3.2638888888888891E-2</v>
      </c>
      <c r="J30" s="173">
        <v>5.4398148148148144E-4</v>
      </c>
      <c r="K30" s="129">
        <v>47</v>
      </c>
      <c r="M30" s="123" t="s">
        <v>466</v>
      </c>
      <c r="N30" s="123" t="s">
        <v>102</v>
      </c>
      <c r="O30" s="123" t="s">
        <v>115</v>
      </c>
      <c r="P30" s="123">
        <v>0</v>
      </c>
      <c r="Q30" s="123">
        <v>0</v>
      </c>
      <c r="R30" s="123">
        <v>0</v>
      </c>
      <c r="T30" s="127" t="s">
        <v>115</v>
      </c>
      <c r="U30" s="127" t="s">
        <v>115</v>
      </c>
      <c r="V30" s="127" t="s">
        <v>115</v>
      </c>
      <c r="W30" s="127"/>
      <c r="X30" s="127"/>
      <c r="Y30" s="127"/>
      <c r="Z30" s="127" t="s">
        <v>115</v>
      </c>
      <c r="AA30" s="127" t="s">
        <v>115</v>
      </c>
      <c r="AB30" s="127" t="s">
        <v>115</v>
      </c>
      <c r="AC30" s="127" t="s">
        <v>115</v>
      </c>
      <c r="AD30" s="127" t="s">
        <v>115</v>
      </c>
      <c r="AE30" s="127" t="s">
        <v>115</v>
      </c>
      <c r="AF30" s="127" t="s">
        <v>115</v>
      </c>
      <c r="AG30" s="127"/>
      <c r="AH30" s="123">
        <v>0</v>
      </c>
      <c r="AI30" s="123">
        <v>0</v>
      </c>
      <c r="AJ30" s="123">
        <v>0</v>
      </c>
      <c r="AK30" s="123">
        <v>0</v>
      </c>
      <c r="AL30" s="123">
        <v>47</v>
      </c>
      <c r="AN30" s="123">
        <f t="shared" si="0"/>
        <v>47</v>
      </c>
    </row>
    <row r="31" spans="1:42" x14ac:dyDescent="0.2">
      <c r="A31" s="123" t="s">
        <v>2998</v>
      </c>
      <c r="B31" s="123" t="s">
        <v>2999</v>
      </c>
      <c r="C31" s="123">
        <v>34</v>
      </c>
      <c r="D31" s="123">
        <v>1</v>
      </c>
      <c r="E31" s="123" t="s">
        <v>834</v>
      </c>
      <c r="F31" s="125">
        <v>43560</v>
      </c>
      <c r="G31" s="125" t="s">
        <v>4027</v>
      </c>
      <c r="H31" s="125" t="s">
        <v>4752</v>
      </c>
      <c r="I31" s="171">
        <v>1.1805555555555555E-2</v>
      </c>
      <c r="J31" s="173">
        <v>1.9675925925925926E-4</v>
      </c>
      <c r="K31" s="129">
        <v>17</v>
      </c>
      <c r="M31" s="123" t="s">
        <v>466</v>
      </c>
      <c r="N31" s="123" t="s">
        <v>107</v>
      </c>
      <c r="O31" s="123" t="s">
        <v>115</v>
      </c>
      <c r="P31" s="123">
        <v>0</v>
      </c>
      <c r="Q31" s="123">
        <v>0</v>
      </c>
      <c r="R31" s="123">
        <v>0</v>
      </c>
      <c r="S31" s="123" t="s">
        <v>598</v>
      </c>
      <c r="T31" s="127" t="s">
        <v>2801</v>
      </c>
      <c r="U31" s="127" t="s">
        <v>115</v>
      </c>
      <c r="V31" s="127" t="s">
        <v>115</v>
      </c>
      <c r="W31" s="127"/>
      <c r="X31" s="127"/>
      <c r="Y31" s="127"/>
      <c r="Z31" s="127" t="s">
        <v>115</v>
      </c>
      <c r="AA31" s="127" t="s">
        <v>115</v>
      </c>
      <c r="AB31" s="127" t="s">
        <v>115</v>
      </c>
      <c r="AC31" s="127" t="s">
        <v>115</v>
      </c>
      <c r="AD31" s="127" t="s">
        <v>115</v>
      </c>
      <c r="AE31" s="127" t="s">
        <v>115</v>
      </c>
      <c r="AF31" s="127" t="s">
        <v>115</v>
      </c>
      <c r="AG31" s="127"/>
      <c r="AH31" s="123">
        <v>0</v>
      </c>
      <c r="AI31" s="123">
        <v>0</v>
      </c>
      <c r="AJ31" s="123">
        <v>0</v>
      </c>
      <c r="AK31" s="123">
        <v>0</v>
      </c>
      <c r="AL31" s="123">
        <v>0</v>
      </c>
      <c r="AN31" s="123">
        <f t="shared" si="0"/>
        <v>0</v>
      </c>
      <c r="AP31" s="123" t="s">
        <v>2752</v>
      </c>
    </row>
    <row r="32" spans="1:42" x14ac:dyDescent="0.2">
      <c r="A32" s="123" t="s">
        <v>2943</v>
      </c>
      <c r="B32" s="123" t="s">
        <v>2944</v>
      </c>
      <c r="C32" s="123">
        <v>7</v>
      </c>
      <c r="D32" s="123">
        <v>1</v>
      </c>
      <c r="E32" s="123" t="s">
        <v>834</v>
      </c>
      <c r="F32" s="125">
        <v>43560</v>
      </c>
      <c r="G32" s="125" t="s">
        <v>4027</v>
      </c>
      <c r="H32" s="125" t="s">
        <v>4752</v>
      </c>
      <c r="I32" s="171">
        <v>2.7777777777777776E-2</v>
      </c>
      <c r="J32" s="173">
        <v>4.6296296296296293E-4</v>
      </c>
      <c r="K32" s="129">
        <v>40</v>
      </c>
      <c r="M32" s="123" t="s">
        <v>466</v>
      </c>
      <c r="N32" s="123" t="s">
        <v>102</v>
      </c>
      <c r="O32" s="123" t="s">
        <v>23</v>
      </c>
      <c r="P32" s="123">
        <v>0</v>
      </c>
      <c r="Q32" s="123">
        <v>0</v>
      </c>
      <c r="R32" s="123">
        <v>0</v>
      </c>
      <c r="T32" s="127" t="s">
        <v>115</v>
      </c>
      <c r="U32" s="127" t="s">
        <v>115</v>
      </c>
      <c r="V32" s="127" t="s">
        <v>115</v>
      </c>
      <c r="W32" s="127"/>
      <c r="X32" s="127"/>
      <c r="Y32" s="127"/>
      <c r="Z32" s="127" t="s">
        <v>115</v>
      </c>
      <c r="AA32" s="127" t="s">
        <v>115</v>
      </c>
      <c r="AB32" s="127" t="s">
        <v>115</v>
      </c>
      <c r="AC32" s="127" t="s">
        <v>115</v>
      </c>
      <c r="AD32" s="127" t="s">
        <v>115</v>
      </c>
      <c r="AE32" s="127" t="s">
        <v>115</v>
      </c>
      <c r="AF32" s="127" t="s">
        <v>115</v>
      </c>
      <c r="AG32" s="127"/>
      <c r="AH32" s="123">
        <v>0</v>
      </c>
      <c r="AI32" s="123">
        <v>0</v>
      </c>
      <c r="AJ32" s="123">
        <v>0</v>
      </c>
      <c r="AK32" s="123">
        <v>0</v>
      </c>
      <c r="AL32" s="123">
        <v>40</v>
      </c>
      <c r="AN32" s="123">
        <f t="shared" si="0"/>
        <v>40</v>
      </c>
      <c r="AO32" s="123" t="s">
        <v>188</v>
      </c>
    </row>
    <row r="33" spans="1:42" x14ac:dyDescent="0.2">
      <c r="A33" s="123" t="s">
        <v>2905</v>
      </c>
      <c r="B33" s="123" t="s">
        <v>2945</v>
      </c>
      <c r="C33" s="123">
        <v>8</v>
      </c>
      <c r="D33" s="123">
        <v>1</v>
      </c>
      <c r="E33" s="123" t="s">
        <v>834</v>
      </c>
      <c r="F33" s="125">
        <v>43560</v>
      </c>
      <c r="G33" s="125" t="s">
        <v>4027</v>
      </c>
      <c r="H33" s="125" t="s">
        <v>4752</v>
      </c>
      <c r="I33" s="171">
        <v>4.8611111111111112E-2</v>
      </c>
      <c r="J33" s="173">
        <v>8.1018518518518516E-4</v>
      </c>
      <c r="K33" s="129">
        <v>70</v>
      </c>
      <c r="M33" s="123" t="s">
        <v>466</v>
      </c>
      <c r="N33" s="123" t="s">
        <v>102</v>
      </c>
      <c r="O33" s="123" t="s">
        <v>115</v>
      </c>
      <c r="P33" s="123">
        <v>0</v>
      </c>
      <c r="Q33" s="123">
        <v>0</v>
      </c>
      <c r="R33" s="123">
        <v>0</v>
      </c>
      <c r="T33" s="127" t="s">
        <v>115</v>
      </c>
      <c r="U33" s="127" t="s">
        <v>115</v>
      </c>
      <c r="V33" s="127" t="s">
        <v>115</v>
      </c>
      <c r="W33" s="127"/>
      <c r="X33" s="127"/>
      <c r="Y33" s="127"/>
      <c r="Z33" s="127" t="s">
        <v>115</v>
      </c>
      <c r="AA33" s="127" t="s">
        <v>115</v>
      </c>
      <c r="AB33" s="127" t="s">
        <v>115</v>
      </c>
      <c r="AC33" s="127" t="s">
        <v>115</v>
      </c>
      <c r="AD33" s="127" t="s">
        <v>115</v>
      </c>
      <c r="AE33" s="127" t="s">
        <v>115</v>
      </c>
      <c r="AF33" s="127" t="s">
        <v>115</v>
      </c>
      <c r="AG33" s="127"/>
      <c r="AH33" s="123">
        <v>0</v>
      </c>
      <c r="AI33" s="123">
        <v>0</v>
      </c>
      <c r="AJ33" s="123">
        <v>0</v>
      </c>
      <c r="AK33" s="123">
        <v>0</v>
      </c>
      <c r="AL33" s="123">
        <v>70</v>
      </c>
      <c r="AN33" s="123">
        <f t="shared" si="0"/>
        <v>70</v>
      </c>
      <c r="AO33" s="123" t="s">
        <v>188</v>
      </c>
    </row>
    <row r="34" spans="1:42" x14ac:dyDescent="0.2">
      <c r="A34" s="123" t="s">
        <v>2960</v>
      </c>
      <c r="B34" s="123" t="s">
        <v>2961</v>
      </c>
      <c r="C34" s="123">
        <v>15</v>
      </c>
      <c r="D34" s="123">
        <v>1</v>
      </c>
      <c r="E34" s="123" t="s">
        <v>834</v>
      </c>
      <c r="F34" s="125">
        <v>43560</v>
      </c>
      <c r="G34" s="125" t="s">
        <v>4027</v>
      </c>
      <c r="H34" s="125" t="s">
        <v>4752</v>
      </c>
      <c r="I34" s="171">
        <v>3.125E-2</v>
      </c>
      <c r="J34" s="173">
        <v>5.2083333333333333E-4</v>
      </c>
      <c r="K34" s="129">
        <v>45</v>
      </c>
      <c r="M34" s="123" t="s">
        <v>466</v>
      </c>
      <c r="N34" s="123" t="s">
        <v>107</v>
      </c>
      <c r="O34" s="123" t="s">
        <v>115</v>
      </c>
      <c r="P34" s="123">
        <v>0</v>
      </c>
      <c r="Q34" s="123">
        <v>0</v>
      </c>
      <c r="R34" s="123">
        <v>0</v>
      </c>
      <c r="S34" s="123" t="s">
        <v>598</v>
      </c>
      <c r="T34" s="127" t="s">
        <v>2801</v>
      </c>
      <c r="V34" s="127" t="s">
        <v>115</v>
      </c>
      <c r="W34" s="127"/>
      <c r="X34" s="127"/>
      <c r="Y34" s="127"/>
      <c r="Z34" s="127" t="s">
        <v>115</v>
      </c>
      <c r="AA34" s="127" t="s">
        <v>115</v>
      </c>
      <c r="AB34" s="127" t="s">
        <v>115</v>
      </c>
      <c r="AC34" s="127" t="s">
        <v>115</v>
      </c>
      <c r="AD34" s="127" t="s">
        <v>115</v>
      </c>
      <c r="AE34" s="127" t="s">
        <v>115</v>
      </c>
      <c r="AF34" s="127" t="s">
        <v>115</v>
      </c>
      <c r="AG34" s="127"/>
      <c r="AH34" s="123">
        <v>0</v>
      </c>
      <c r="AI34" s="123">
        <v>0</v>
      </c>
      <c r="AJ34" s="123">
        <v>0</v>
      </c>
      <c r="AK34" s="123">
        <v>0</v>
      </c>
      <c r="AL34" s="123">
        <v>0</v>
      </c>
      <c r="AN34" s="123">
        <f t="shared" si="0"/>
        <v>0</v>
      </c>
      <c r="AP34" s="123" t="s">
        <v>2959</v>
      </c>
    </row>
    <row r="35" spans="1:42" x14ac:dyDescent="0.2">
      <c r="A35" s="123" t="s">
        <v>3047</v>
      </c>
      <c r="B35" s="123" t="s">
        <v>3048</v>
      </c>
      <c r="C35" s="123">
        <v>1</v>
      </c>
      <c r="D35" s="123">
        <v>1</v>
      </c>
      <c r="E35" s="123" t="s">
        <v>834</v>
      </c>
      <c r="F35" s="125">
        <v>43565</v>
      </c>
      <c r="G35" s="125" t="s">
        <v>4027</v>
      </c>
      <c r="H35" s="125" t="s">
        <v>4752</v>
      </c>
      <c r="I35" s="171">
        <v>7.6388888888888886E-3</v>
      </c>
      <c r="J35" s="173">
        <v>1.273148148148148E-4</v>
      </c>
      <c r="K35" s="129">
        <v>11</v>
      </c>
      <c r="M35" s="123" t="s">
        <v>466</v>
      </c>
      <c r="N35" s="123" t="s">
        <v>102</v>
      </c>
      <c r="O35" s="123" t="s">
        <v>23</v>
      </c>
      <c r="P35" s="123">
        <v>1</v>
      </c>
      <c r="Q35" s="123">
        <v>1</v>
      </c>
      <c r="R35" s="123">
        <v>0</v>
      </c>
      <c r="S35" s="123" t="s">
        <v>1618</v>
      </c>
      <c r="T35" s="127" t="s">
        <v>2132</v>
      </c>
      <c r="U35" s="127" t="s">
        <v>115</v>
      </c>
      <c r="V35" s="127" t="s">
        <v>115</v>
      </c>
      <c r="W35" s="127"/>
      <c r="X35" s="127"/>
      <c r="Y35" s="127"/>
      <c r="Z35" s="127" t="s">
        <v>115</v>
      </c>
      <c r="AA35" s="127" t="s">
        <v>115</v>
      </c>
      <c r="AB35" s="127" t="s">
        <v>115</v>
      </c>
      <c r="AC35" s="127" t="s">
        <v>115</v>
      </c>
      <c r="AD35" s="127" t="s">
        <v>115</v>
      </c>
      <c r="AE35" s="123">
        <v>63.739699999999999</v>
      </c>
      <c r="AF35" s="123">
        <v>148.90033</v>
      </c>
      <c r="AH35" s="123">
        <v>0</v>
      </c>
      <c r="AI35" s="123">
        <v>3</v>
      </c>
      <c r="AJ35" s="123">
        <v>3</v>
      </c>
      <c r="AK35" s="123">
        <v>0</v>
      </c>
      <c r="AL35" s="123">
        <v>0</v>
      </c>
      <c r="AN35" s="123">
        <f t="shared" si="0"/>
        <v>3</v>
      </c>
      <c r="AP35" s="123" t="s">
        <v>3049</v>
      </c>
    </row>
    <row r="36" spans="1:42" x14ac:dyDescent="0.2">
      <c r="A36" s="123" t="s">
        <v>3152</v>
      </c>
      <c r="B36" s="123" t="s">
        <v>3155</v>
      </c>
      <c r="C36" s="123">
        <v>4</v>
      </c>
      <c r="D36" s="123">
        <v>1</v>
      </c>
      <c r="E36" s="123" t="s">
        <v>834</v>
      </c>
      <c r="F36" s="125">
        <v>43571</v>
      </c>
      <c r="G36" s="125" t="s">
        <v>4027</v>
      </c>
      <c r="H36" s="125" t="s">
        <v>4752</v>
      </c>
      <c r="I36" s="171">
        <v>4.8611111111111112E-3</v>
      </c>
      <c r="J36" s="173">
        <v>8.1018518518518516E-5</v>
      </c>
      <c r="K36" s="129">
        <v>7</v>
      </c>
      <c r="L36" s="123" t="s">
        <v>1278</v>
      </c>
      <c r="M36" s="123" t="s">
        <v>466</v>
      </c>
      <c r="N36" s="123" t="s">
        <v>111</v>
      </c>
      <c r="O36" s="123" t="s">
        <v>23</v>
      </c>
      <c r="P36" s="123">
        <v>0</v>
      </c>
      <c r="Q36" s="123">
        <v>0</v>
      </c>
      <c r="R36" s="123">
        <v>1</v>
      </c>
      <c r="S36" s="123" t="s">
        <v>461</v>
      </c>
      <c r="T36" s="127" t="s">
        <v>2605</v>
      </c>
      <c r="U36" s="127" t="s">
        <v>122</v>
      </c>
      <c r="V36" s="127" t="s">
        <v>1035</v>
      </c>
      <c r="W36" s="127" t="s">
        <v>23</v>
      </c>
      <c r="X36" s="127" t="s">
        <v>3997</v>
      </c>
      <c r="Y36" s="127" t="s">
        <v>4006</v>
      </c>
      <c r="Z36" s="127" t="s">
        <v>2457</v>
      </c>
      <c r="AA36" s="123">
        <v>60</v>
      </c>
      <c r="AB36" s="123">
        <v>10</v>
      </c>
      <c r="AC36" s="123">
        <v>63.740470000000002</v>
      </c>
      <c r="AD36" s="123">
        <v>148.90053</v>
      </c>
      <c r="AE36" s="127" t="s">
        <v>115</v>
      </c>
      <c r="AF36" s="127" t="s">
        <v>115</v>
      </c>
      <c r="AG36" s="127"/>
      <c r="AH36" s="123">
        <v>0</v>
      </c>
      <c r="AI36" s="123">
        <v>0</v>
      </c>
      <c r="AJ36" s="123">
        <v>0</v>
      </c>
      <c r="AK36" s="123">
        <v>0</v>
      </c>
      <c r="AL36" s="123">
        <v>0</v>
      </c>
      <c r="AN36" s="123">
        <f t="shared" si="0"/>
        <v>0</v>
      </c>
      <c r="AP36" s="123" t="s">
        <v>3156</v>
      </c>
    </row>
    <row r="37" spans="1:42" x14ac:dyDescent="0.2">
      <c r="A37" s="123" t="s">
        <v>3167</v>
      </c>
      <c r="B37" s="123" t="s">
        <v>3168</v>
      </c>
      <c r="C37" s="123">
        <v>9</v>
      </c>
      <c r="D37" s="123">
        <v>1</v>
      </c>
      <c r="E37" s="123" t="s">
        <v>834</v>
      </c>
      <c r="F37" s="125">
        <v>43571</v>
      </c>
      <c r="G37" s="125" t="s">
        <v>4027</v>
      </c>
      <c r="H37" s="125" t="s">
        <v>4752</v>
      </c>
      <c r="I37" s="171">
        <v>2.9166666666666664E-2</v>
      </c>
      <c r="J37" s="173">
        <v>4.8611111111111104E-4</v>
      </c>
      <c r="K37" s="129">
        <v>42</v>
      </c>
      <c r="L37" s="123" t="s">
        <v>1278</v>
      </c>
      <c r="M37" s="123" t="s">
        <v>466</v>
      </c>
      <c r="N37" s="123" t="s">
        <v>111</v>
      </c>
      <c r="O37" s="123" t="s">
        <v>23</v>
      </c>
      <c r="P37" s="123">
        <v>0</v>
      </c>
      <c r="Q37" s="123">
        <v>0</v>
      </c>
      <c r="R37" s="123">
        <v>1</v>
      </c>
      <c r="S37" s="123" t="s">
        <v>461</v>
      </c>
      <c r="T37" s="127" t="s">
        <v>2605</v>
      </c>
      <c r="U37" s="127" t="s">
        <v>115</v>
      </c>
      <c r="V37" s="127" t="s">
        <v>709</v>
      </c>
      <c r="W37" s="127" t="s">
        <v>23</v>
      </c>
      <c r="X37" s="127" t="s">
        <v>4004</v>
      </c>
      <c r="Y37" s="127" t="s">
        <v>4005</v>
      </c>
      <c r="Z37" s="127" t="s">
        <v>2457</v>
      </c>
      <c r="AA37" s="123">
        <v>30</v>
      </c>
      <c r="AB37" s="123">
        <v>12</v>
      </c>
      <c r="AC37" s="123">
        <v>63.740470000000002</v>
      </c>
      <c r="AD37" s="123">
        <v>148.90082000000001</v>
      </c>
      <c r="AE37" s="127" t="s">
        <v>115</v>
      </c>
      <c r="AF37" s="127" t="s">
        <v>115</v>
      </c>
      <c r="AG37" s="127"/>
      <c r="AH37" s="123">
        <v>0</v>
      </c>
      <c r="AI37" s="123">
        <v>0</v>
      </c>
      <c r="AJ37" s="123">
        <v>0</v>
      </c>
      <c r="AK37" s="123">
        <v>0</v>
      </c>
      <c r="AL37" s="123">
        <v>0</v>
      </c>
      <c r="AN37" s="123">
        <f t="shared" si="0"/>
        <v>0</v>
      </c>
    </row>
    <row r="38" spans="1:42" x14ac:dyDescent="0.2">
      <c r="A38" s="123" t="s">
        <v>3162</v>
      </c>
      <c r="B38" s="123" t="s">
        <v>3163</v>
      </c>
      <c r="C38" s="123">
        <v>7</v>
      </c>
      <c r="D38" s="123">
        <v>1</v>
      </c>
      <c r="E38" s="123" t="s">
        <v>834</v>
      </c>
      <c r="F38" s="125">
        <v>43571</v>
      </c>
      <c r="G38" s="125" t="s">
        <v>4027</v>
      </c>
      <c r="H38" s="125" t="s">
        <v>4752</v>
      </c>
      <c r="I38" s="171">
        <v>5.6944444444444443E-2</v>
      </c>
      <c r="J38" s="173">
        <v>9.4907407407407408E-4</v>
      </c>
      <c r="K38" s="129">
        <v>82</v>
      </c>
      <c r="L38" s="123" t="s">
        <v>1278</v>
      </c>
      <c r="M38" s="123" t="s">
        <v>466</v>
      </c>
      <c r="N38" s="123" t="s">
        <v>242</v>
      </c>
      <c r="O38" s="123" t="s">
        <v>23</v>
      </c>
      <c r="P38" s="123">
        <v>0</v>
      </c>
      <c r="Q38" s="123">
        <v>0</v>
      </c>
      <c r="R38" s="123">
        <v>1</v>
      </c>
      <c r="S38" s="123" t="s">
        <v>461</v>
      </c>
      <c r="T38" s="127" t="s">
        <v>2605</v>
      </c>
      <c r="U38" s="127" t="s">
        <v>115</v>
      </c>
      <c r="V38" s="127" t="s">
        <v>333</v>
      </c>
      <c r="W38" s="127" t="s">
        <v>23</v>
      </c>
      <c r="X38" s="127" t="s">
        <v>3999</v>
      </c>
      <c r="Y38" s="127" t="s">
        <v>4006</v>
      </c>
      <c r="Z38" s="127" t="s">
        <v>2850</v>
      </c>
      <c r="AA38" s="123">
        <v>157</v>
      </c>
      <c r="AB38" s="123">
        <v>26</v>
      </c>
      <c r="AC38" s="123">
        <v>63.740699999999997</v>
      </c>
      <c r="AD38" s="123">
        <v>148.90117000000001</v>
      </c>
      <c r="AE38" s="127" t="s">
        <v>115</v>
      </c>
      <c r="AF38" s="127" t="s">
        <v>115</v>
      </c>
      <c r="AG38" s="127"/>
      <c r="AH38" s="123">
        <v>0</v>
      </c>
      <c r="AI38" s="123">
        <v>0</v>
      </c>
      <c r="AJ38" s="123">
        <v>0</v>
      </c>
      <c r="AK38" s="123">
        <v>0</v>
      </c>
      <c r="AL38" s="123">
        <v>0</v>
      </c>
      <c r="AN38" s="123">
        <f t="shared" si="0"/>
        <v>0</v>
      </c>
      <c r="AP38" s="123" t="s">
        <v>3164</v>
      </c>
    </row>
    <row r="39" spans="1:42" x14ac:dyDescent="0.2">
      <c r="A39" s="123" t="s">
        <v>3147</v>
      </c>
      <c r="B39" s="123" t="s">
        <v>3148</v>
      </c>
      <c r="C39" s="123">
        <v>1</v>
      </c>
      <c r="D39" s="123">
        <v>1</v>
      </c>
      <c r="E39" s="123" t="s">
        <v>834</v>
      </c>
      <c r="F39" s="125">
        <v>43571</v>
      </c>
      <c r="G39" s="125" t="s">
        <v>4027</v>
      </c>
      <c r="H39" s="125" t="s">
        <v>4752</v>
      </c>
      <c r="I39" s="171">
        <v>3.2638888888888891E-2</v>
      </c>
      <c r="J39" s="173">
        <v>5.4398148148148144E-4</v>
      </c>
      <c r="K39" s="129">
        <v>47</v>
      </c>
      <c r="L39" s="123" t="s">
        <v>1278</v>
      </c>
      <c r="M39" s="123" t="s">
        <v>466</v>
      </c>
      <c r="N39" s="123" t="s">
        <v>102</v>
      </c>
      <c r="O39" s="123" t="s">
        <v>115</v>
      </c>
      <c r="P39" s="123">
        <v>1</v>
      </c>
      <c r="Q39" s="123">
        <v>0</v>
      </c>
      <c r="R39" s="123">
        <v>0</v>
      </c>
      <c r="S39" s="123" t="s">
        <v>461</v>
      </c>
      <c r="T39" s="127" t="s">
        <v>2605</v>
      </c>
      <c r="U39" s="127" t="s">
        <v>122</v>
      </c>
      <c r="V39" s="123" t="s">
        <v>115</v>
      </c>
      <c r="Z39" s="123" t="s">
        <v>115</v>
      </c>
      <c r="AA39" s="123" t="s">
        <v>115</v>
      </c>
      <c r="AB39" s="123" t="s">
        <v>115</v>
      </c>
      <c r="AC39" s="123" t="s">
        <v>115</v>
      </c>
      <c r="AD39" s="123" t="s">
        <v>115</v>
      </c>
      <c r="AE39" s="123" t="s">
        <v>115</v>
      </c>
      <c r="AF39" s="123" t="s">
        <v>115</v>
      </c>
      <c r="AH39" s="123">
        <v>0</v>
      </c>
      <c r="AI39" s="123">
        <v>0</v>
      </c>
      <c r="AJ39" s="123">
        <v>0</v>
      </c>
      <c r="AK39" s="123">
        <v>0</v>
      </c>
      <c r="AL39" s="123">
        <v>5</v>
      </c>
      <c r="AN39" s="123">
        <f t="shared" si="0"/>
        <v>5</v>
      </c>
      <c r="AO39" s="123" t="s">
        <v>188</v>
      </c>
    </row>
    <row r="40" spans="1:42" x14ac:dyDescent="0.2">
      <c r="A40" s="123" t="s">
        <v>3157</v>
      </c>
      <c r="B40" s="123" t="s">
        <v>3158</v>
      </c>
      <c r="C40" s="123">
        <v>5</v>
      </c>
      <c r="D40" s="123">
        <v>1</v>
      </c>
      <c r="E40" s="123" t="s">
        <v>834</v>
      </c>
      <c r="F40" s="125">
        <v>43571</v>
      </c>
      <c r="G40" s="125" t="s">
        <v>4027</v>
      </c>
      <c r="H40" s="125" t="s">
        <v>4752</v>
      </c>
      <c r="I40" s="171">
        <v>2.2222222222222223E-2</v>
      </c>
      <c r="J40" s="173">
        <v>3.7037037037037035E-4</v>
      </c>
      <c r="K40" s="129">
        <v>32</v>
      </c>
      <c r="L40" s="123" t="s">
        <v>1278</v>
      </c>
      <c r="M40" s="123" t="s">
        <v>466</v>
      </c>
      <c r="N40" s="123" t="s">
        <v>102</v>
      </c>
      <c r="O40" s="123" t="s">
        <v>115</v>
      </c>
      <c r="P40" s="123">
        <v>1</v>
      </c>
      <c r="Q40" s="123">
        <v>0</v>
      </c>
      <c r="R40" s="123">
        <v>0</v>
      </c>
      <c r="S40" s="123" t="s">
        <v>461</v>
      </c>
      <c r="T40" s="127" t="s">
        <v>2605</v>
      </c>
      <c r="U40" s="127" t="s">
        <v>122</v>
      </c>
      <c r="V40" s="127" t="s">
        <v>115</v>
      </c>
      <c r="W40" s="127"/>
      <c r="X40" s="127"/>
      <c r="Y40" s="127"/>
      <c r="Z40" s="127" t="s">
        <v>115</v>
      </c>
      <c r="AA40" s="127" t="s">
        <v>115</v>
      </c>
      <c r="AB40" s="127" t="s">
        <v>115</v>
      </c>
      <c r="AC40" s="127" t="s">
        <v>115</v>
      </c>
      <c r="AD40" s="127" t="s">
        <v>115</v>
      </c>
      <c r="AE40" s="127" t="s">
        <v>115</v>
      </c>
      <c r="AF40" s="127" t="s">
        <v>115</v>
      </c>
      <c r="AG40" s="127"/>
      <c r="AH40" s="123">
        <v>0</v>
      </c>
      <c r="AI40" s="123">
        <v>0</v>
      </c>
      <c r="AJ40" s="123">
        <v>0</v>
      </c>
      <c r="AK40" s="123">
        <v>0</v>
      </c>
      <c r="AL40" s="123">
        <v>0</v>
      </c>
      <c r="AN40" s="123">
        <f t="shared" si="0"/>
        <v>0</v>
      </c>
      <c r="AP40" s="123" t="s">
        <v>3159</v>
      </c>
    </row>
    <row r="41" spans="1:42" x14ac:dyDescent="0.2">
      <c r="A41" s="123" t="s">
        <v>3165</v>
      </c>
      <c r="B41" s="123" t="s">
        <v>3166</v>
      </c>
      <c r="C41" s="123">
        <v>8</v>
      </c>
      <c r="D41" s="123">
        <v>1</v>
      </c>
      <c r="E41" s="123" t="s">
        <v>834</v>
      </c>
      <c r="F41" s="125">
        <v>43571</v>
      </c>
      <c r="G41" s="125" t="s">
        <v>4027</v>
      </c>
      <c r="H41" s="125" t="s">
        <v>4752</v>
      </c>
      <c r="I41" s="171">
        <v>2.7777777777777776E-2</v>
      </c>
      <c r="J41" s="173">
        <v>4.6296296296296293E-4</v>
      </c>
      <c r="K41" s="129">
        <v>40</v>
      </c>
      <c r="L41" s="123" t="s">
        <v>1278</v>
      </c>
      <c r="M41" s="123" t="s">
        <v>466</v>
      </c>
      <c r="N41" s="123" t="s">
        <v>102</v>
      </c>
      <c r="O41" s="123" t="s">
        <v>115</v>
      </c>
      <c r="P41" s="123">
        <v>1</v>
      </c>
      <c r="Q41" s="123">
        <v>0</v>
      </c>
      <c r="R41" s="123">
        <v>0</v>
      </c>
      <c r="S41" s="123" t="s">
        <v>461</v>
      </c>
      <c r="T41" s="127" t="s">
        <v>2605</v>
      </c>
      <c r="U41" s="127" t="s">
        <v>122</v>
      </c>
      <c r="V41" s="127" t="s">
        <v>115</v>
      </c>
      <c r="W41" s="127"/>
      <c r="X41" s="127"/>
      <c r="Y41" s="127"/>
      <c r="Z41" s="127" t="s">
        <v>115</v>
      </c>
      <c r="AA41" s="127" t="s">
        <v>115</v>
      </c>
      <c r="AB41" s="127" t="s">
        <v>115</v>
      </c>
      <c r="AC41" s="127" t="s">
        <v>115</v>
      </c>
      <c r="AD41" s="127" t="s">
        <v>115</v>
      </c>
      <c r="AE41" s="127" t="s">
        <v>115</v>
      </c>
      <c r="AF41" s="127" t="s">
        <v>115</v>
      </c>
      <c r="AG41" s="127"/>
      <c r="AH41" s="123">
        <v>0</v>
      </c>
      <c r="AI41" s="123">
        <v>0</v>
      </c>
      <c r="AJ41" s="123">
        <v>0</v>
      </c>
      <c r="AK41" s="123">
        <v>0</v>
      </c>
      <c r="AL41" s="123">
        <v>0</v>
      </c>
      <c r="AN41" s="123">
        <f t="shared" si="0"/>
        <v>0</v>
      </c>
    </row>
    <row r="42" spans="1:42" x14ac:dyDescent="0.2">
      <c r="A42" s="123" t="s">
        <v>3149</v>
      </c>
      <c r="B42" s="123" t="s">
        <v>3150</v>
      </c>
      <c r="C42" s="123">
        <v>2</v>
      </c>
      <c r="D42" s="123">
        <v>1</v>
      </c>
      <c r="E42" s="123" t="s">
        <v>834</v>
      </c>
      <c r="F42" s="125">
        <v>43571</v>
      </c>
      <c r="G42" s="125" t="s">
        <v>4027</v>
      </c>
      <c r="H42" s="125" t="s">
        <v>4752</v>
      </c>
      <c r="I42" s="171">
        <v>2.361111111111111E-2</v>
      </c>
      <c r="J42" s="173">
        <v>3.9351851851851852E-4</v>
      </c>
      <c r="K42" s="129">
        <v>34</v>
      </c>
      <c r="L42" s="123" t="s">
        <v>1278</v>
      </c>
      <c r="M42" s="123" t="s">
        <v>466</v>
      </c>
      <c r="N42" s="123" t="s">
        <v>107</v>
      </c>
      <c r="O42" s="123" t="s">
        <v>115</v>
      </c>
      <c r="P42" s="123">
        <v>0</v>
      </c>
      <c r="Q42" s="123">
        <v>0</v>
      </c>
      <c r="R42" s="123">
        <v>0</v>
      </c>
      <c r="S42" s="123" t="s">
        <v>461</v>
      </c>
      <c r="T42" s="127" t="s">
        <v>2605</v>
      </c>
      <c r="U42" s="127" t="s">
        <v>115</v>
      </c>
      <c r="V42" s="127" t="s">
        <v>115</v>
      </c>
      <c r="W42" s="127"/>
      <c r="X42" s="127"/>
      <c r="Y42" s="127"/>
      <c r="Z42" s="127" t="s">
        <v>115</v>
      </c>
      <c r="AA42" s="127" t="s">
        <v>115</v>
      </c>
      <c r="AB42" s="127" t="s">
        <v>115</v>
      </c>
      <c r="AC42" s="127" t="s">
        <v>115</v>
      </c>
      <c r="AD42" s="127" t="s">
        <v>115</v>
      </c>
      <c r="AE42" s="127" t="s">
        <v>115</v>
      </c>
      <c r="AF42" s="127" t="s">
        <v>115</v>
      </c>
      <c r="AG42" s="127"/>
      <c r="AH42" s="123">
        <v>0</v>
      </c>
      <c r="AI42" s="123">
        <v>0</v>
      </c>
      <c r="AJ42" s="123">
        <v>0</v>
      </c>
      <c r="AK42" s="123">
        <v>0</v>
      </c>
      <c r="AL42" s="123">
        <v>0</v>
      </c>
      <c r="AN42" s="123">
        <f t="shared" si="0"/>
        <v>0</v>
      </c>
      <c r="AP42" s="123" t="s">
        <v>3151</v>
      </c>
    </row>
    <row r="43" spans="1:42" x14ac:dyDescent="0.2">
      <c r="A43" s="123" t="s">
        <v>3153</v>
      </c>
      <c r="B43" s="123" t="s">
        <v>3154</v>
      </c>
      <c r="C43" s="123">
        <v>3</v>
      </c>
      <c r="D43" s="123">
        <v>1</v>
      </c>
      <c r="E43" s="123" t="s">
        <v>834</v>
      </c>
      <c r="F43" s="125">
        <v>43571</v>
      </c>
      <c r="G43" s="125" t="s">
        <v>4027</v>
      </c>
      <c r="H43" s="125" t="s">
        <v>4752</v>
      </c>
      <c r="I43" s="171">
        <v>1.1805555555555555E-2</v>
      </c>
      <c r="J43" s="173">
        <v>1.9675925925925926E-4</v>
      </c>
      <c r="K43" s="129">
        <v>17</v>
      </c>
      <c r="L43" s="123" t="s">
        <v>1278</v>
      </c>
      <c r="M43" s="123" t="s">
        <v>466</v>
      </c>
      <c r="N43" s="123" t="s">
        <v>107</v>
      </c>
      <c r="O43" s="123" t="s">
        <v>115</v>
      </c>
      <c r="P43" s="123">
        <v>0</v>
      </c>
      <c r="Q43" s="123">
        <v>0</v>
      </c>
      <c r="R43" s="123">
        <v>0</v>
      </c>
      <c r="S43" s="123" t="s">
        <v>461</v>
      </c>
      <c r="T43" s="127" t="s">
        <v>2605</v>
      </c>
      <c r="U43" s="127" t="s">
        <v>115</v>
      </c>
      <c r="V43" s="127" t="s">
        <v>115</v>
      </c>
      <c r="W43" s="127"/>
      <c r="X43" s="127"/>
      <c r="Y43" s="127"/>
      <c r="Z43" s="127" t="s">
        <v>115</v>
      </c>
      <c r="AA43" s="127" t="s">
        <v>115</v>
      </c>
      <c r="AB43" s="127" t="s">
        <v>115</v>
      </c>
      <c r="AC43" s="127" t="s">
        <v>115</v>
      </c>
      <c r="AD43" s="127" t="s">
        <v>115</v>
      </c>
      <c r="AE43" s="127" t="s">
        <v>115</v>
      </c>
      <c r="AF43" s="127" t="s">
        <v>115</v>
      </c>
      <c r="AG43" s="127"/>
      <c r="AH43" s="123">
        <v>0</v>
      </c>
      <c r="AI43" s="123">
        <v>0</v>
      </c>
      <c r="AJ43" s="123">
        <v>0</v>
      </c>
      <c r="AK43" s="123">
        <v>0</v>
      </c>
      <c r="AL43" s="123">
        <v>0</v>
      </c>
      <c r="AN43" s="123">
        <f t="shared" si="0"/>
        <v>0</v>
      </c>
      <c r="AP43" s="123" t="s">
        <v>3151</v>
      </c>
    </row>
    <row r="44" spans="1:42" x14ac:dyDescent="0.2">
      <c r="A44" s="123" t="s">
        <v>3160</v>
      </c>
      <c r="B44" s="123" t="s">
        <v>3161</v>
      </c>
      <c r="C44" s="123">
        <v>6</v>
      </c>
      <c r="D44" s="123">
        <v>1</v>
      </c>
      <c r="E44" s="123" t="s">
        <v>834</v>
      </c>
      <c r="F44" s="125">
        <v>43571</v>
      </c>
      <c r="G44" s="125" t="s">
        <v>4027</v>
      </c>
      <c r="H44" s="125" t="s">
        <v>4752</v>
      </c>
      <c r="I44" s="171">
        <v>3.6111111111111115E-2</v>
      </c>
      <c r="J44" s="173">
        <v>6.018518518518519E-4</v>
      </c>
      <c r="K44" s="129">
        <v>52</v>
      </c>
      <c r="L44" s="123" t="s">
        <v>1278</v>
      </c>
      <c r="M44" s="123" t="s">
        <v>466</v>
      </c>
      <c r="N44" s="123" t="s">
        <v>107</v>
      </c>
      <c r="O44" s="123" t="s">
        <v>115</v>
      </c>
      <c r="P44" s="123">
        <v>0</v>
      </c>
      <c r="Q44" s="123">
        <v>0</v>
      </c>
      <c r="R44" s="123">
        <v>0</v>
      </c>
      <c r="S44" s="123" t="s">
        <v>461</v>
      </c>
      <c r="T44" s="127" t="s">
        <v>2605</v>
      </c>
      <c r="U44" s="127" t="s">
        <v>115</v>
      </c>
      <c r="V44" s="127" t="s">
        <v>115</v>
      </c>
      <c r="W44" s="127"/>
      <c r="X44" s="127"/>
      <c r="Y44" s="127"/>
      <c r="Z44" s="127" t="s">
        <v>115</v>
      </c>
      <c r="AA44" s="127" t="s">
        <v>115</v>
      </c>
      <c r="AB44" s="127" t="s">
        <v>115</v>
      </c>
      <c r="AC44" s="127" t="s">
        <v>115</v>
      </c>
      <c r="AD44" s="127" t="s">
        <v>115</v>
      </c>
      <c r="AE44" s="127" t="s">
        <v>115</v>
      </c>
      <c r="AF44" s="127" t="s">
        <v>115</v>
      </c>
      <c r="AG44" s="127"/>
      <c r="AH44" s="123">
        <v>0</v>
      </c>
      <c r="AI44" s="123">
        <v>0</v>
      </c>
      <c r="AJ44" s="123">
        <v>0</v>
      </c>
      <c r="AK44" s="123">
        <v>0</v>
      </c>
      <c r="AL44" s="123">
        <v>0</v>
      </c>
      <c r="AN44" s="123">
        <f t="shared" si="0"/>
        <v>0</v>
      </c>
      <c r="AP44" s="123" t="s">
        <v>3151</v>
      </c>
    </row>
    <row r="45" spans="1:42" x14ac:dyDescent="0.2">
      <c r="A45" s="123" t="s">
        <v>3318</v>
      </c>
      <c r="B45" s="123" t="s">
        <v>3320</v>
      </c>
      <c r="C45" s="123">
        <v>12</v>
      </c>
      <c r="D45" s="123">
        <v>1</v>
      </c>
      <c r="E45" s="123" t="s">
        <v>834</v>
      </c>
      <c r="F45" s="125">
        <v>43577</v>
      </c>
      <c r="G45" s="125" t="s">
        <v>4027</v>
      </c>
      <c r="H45" s="125" t="s">
        <v>4752</v>
      </c>
      <c r="I45" s="171">
        <v>3.5416666666666666E-2</v>
      </c>
      <c r="J45" s="173">
        <v>5.9027777777777778E-4</v>
      </c>
      <c r="K45" s="129">
        <v>51</v>
      </c>
      <c r="L45" s="123" t="s">
        <v>101</v>
      </c>
      <c r="M45" s="123" t="s">
        <v>466</v>
      </c>
      <c r="N45" s="123" t="s">
        <v>102</v>
      </c>
      <c r="O45" s="123" t="s">
        <v>115</v>
      </c>
      <c r="P45" s="123">
        <v>1</v>
      </c>
      <c r="Q45" s="123">
        <v>0</v>
      </c>
      <c r="R45" s="123">
        <v>0</v>
      </c>
      <c r="S45" s="123" t="s">
        <v>176</v>
      </c>
      <c r="T45" s="127" t="s">
        <v>24</v>
      </c>
      <c r="U45" s="127" t="s">
        <v>122</v>
      </c>
      <c r="V45" s="127" t="s">
        <v>115</v>
      </c>
      <c r="W45" s="127"/>
      <c r="X45" s="127"/>
      <c r="Y45" s="127"/>
      <c r="Z45" s="127" t="s">
        <v>115</v>
      </c>
      <c r="AA45" s="127" t="s">
        <v>115</v>
      </c>
      <c r="AB45" s="127" t="s">
        <v>115</v>
      </c>
      <c r="AC45" s="127" t="s">
        <v>115</v>
      </c>
      <c r="AD45" s="127" t="s">
        <v>115</v>
      </c>
      <c r="AE45" s="127" t="s">
        <v>115</v>
      </c>
      <c r="AF45" s="127" t="s">
        <v>115</v>
      </c>
      <c r="AG45" s="127" t="s">
        <v>115</v>
      </c>
      <c r="AH45" s="123">
        <v>0</v>
      </c>
      <c r="AI45" s="123">
        <v>0</v>
      </c>
      <c r="AJ45" s="123">
        <v>0</v>
      </c>
      <c r="AK45" s="123">
        <v>0</v>
      </c>
      <c r="AL45" s="123">
        <v>51</v>
      </c>
      <c r="AN45" s="123">
        <f t="shared" si="0"/>
        <v>51</v>
      </c>
      <c r="AO45" s="123" t="s">
        <v>188</v>
      </c>
    </row>
    <row r="46" spans="1:42" x14ac:dyDescent="0.2">
      <c r="A46" s="123" t="s">
        <v>3331</v>
      </c>
      <c r="B46" s="123" t="s">
        <v>3332</v>
      </c>
      <c r="C46" s="123">
        <v>17</v>
      </c>
      <c r="D46" s="123">
        <v>1</v>
      </c>
      <c r="E46" s="123" t="s">
        <v>834</v>
      </c>
      <c r="F46" s="125">
        <v>43577</v>
      </c>
      <c r="G46" s="125" t="s">
        <v>4027</v>
      </c>
      <c r="H46" s="125" t="s">
        <v>4752</v>
      </c>
      <c r="I46" s="171">
        <v>2.4999999999999998E-2</v>
      </c>
      <c r="J46" s="173">
        <v>4.1666666666666669E-4</v>
      </c>
      <c r="K46" s="129">
        <v>36</v>
      </c>
      <c r="L46" s="123" t="s">
        <v>101</v>
      </c>
      <c r="M46" s="123" t="s">
        <v>466</v>
      </c>
      <c r="N46" s="123" t="s">
        <v>102</v>
      </c>
      <c r="O46" s="123" t="s">
        <v>115</v>
      </c>
      <c r="P46" s="123">
        <v>1</v>
      </c>
      <c r="Q46" s="123">
        <v>0</v>
      </c>
      <c r="R46" s="123">
        <v>0</v>
      </c>
      <c r="S46" s="123" t="s">
        <v>176</v>
      </c>
      <c r="T46" s="127" t="s">
        <v>24</v>
      </c>
      <c r="U46" s="127" t="s">
        <v>122</v>
      </c>
      <c r="V46" s="127" t="s">
        <v>115</v>
      </c>
      <c r="W46" s="127"/>
      <c r="X46" s="127"/>
      <c r="Y46" s="127"/>
      <c r="Z46" s="127" t="s">
        <v>115</v>
      </c>
      <c r="AA46" s="127" t="s">
        <v>115</v>
      </c>
      <c r="AB46" s="127" t="s">
        <v>115</v>
      </c>
      <c r="AC46" s="127" t="s">
        <v>115</v>
      </c>
      <c r="AD46" s="127" t="s">
        <v>115</v>
      </c>
      <c r="AE46" s="127" t="s">
        <v>115</v>
      </c>
      <c r="AF46" s="127" t="s">
        <v>115</v>
      </c>
      <c r="AG46" s="127" t="s">
        <v>115</v>
      </c>
      <c r="AH46" s="123">
        <v>0</v>
      </c>
      <c r="AI46" s="123">
        <v>0</v>
      </c>
      <c r="AJ46" s="123">
        <v>0</v>
      </c>
      <c r="AK46" s="123">
        <v>0</v>
      </c>
      <c r="AL46" s="123">
        <v>27</v>
      </c>
      <c r="AN46" s="123">
        <f t="shared" si="0"/>
        <v>27</v>
      </c>
      <c r="AO46" s="123" t="s">
        <v>188</v>
      </c>
    </row>
    <row r="47" spans="1:42" x14ac:dyDescent="0.2">
      <c r="A47" s="123" t="s">
        <v>3333</v>
      </c>
      <c r="B47" s="123" t="s">
        <v>3334</v>
      </c>
      <c r="C47" s="123">
        <v>18</v>
      </c>
      <c r="D47" s="123">
        <v>2</v>
      </c>
      <c r="E47" s="123" t="s">
        <v>834</v>
      </c>
      <c r="F47" s="125">
        <v>43577</v>
      </c>
      <c r="G47" s="125" t="s">
        <v>4027</v>
      </c>
      <c r="H47" s="125" t="s">
        <v>4752</v>
      </c>
      <c r="I47" s="171">
        <v>8.6805555555555566E-2</v>
      </c>
      <c r="J47" s="173">
        <v>1.4467592592592594E-3</v>
      </c>
      <c r="K47" s="129">
        <v>125</v>
      </c>
      <c r="L47" s="123" t="s">
        <v>101</v>
      </c>
      <c r="M47" s="123" t="s">
        <v>466</v>
      </c>
      <c r="N47" s="123" t="s">
        <v>102</v>
      </c>
      <c r="O47" s="123" t="s">
        <v>115</v>
      </c>
      <c r="P47" s="123">
        <v>1</v>
      </c>
      <c r="Q47" s="123">
        <v>0</v>
      </c>
      <c r="R47" s="123">
        <v>0</v>
      </c>
      <c r="S47" s="123" t="s">
        <v>176</v>
      </c>
      <c r="T47" s="127" t="s">
        <v>24</v>
      </c>
      <c r="U47" s="127" t="s">
        <v>122</v>
      </c>
      <c r="V47" s="127" t="s">
        <v>115</v>
      </c>
      <c r="W47" s="127"/>
      <c r="X47" s="127"/>
      <c r="Y47" s="127"/>
      <c r="Z47" s="127" t="s">
        <v>115</v>
      </c>
      <c r="AA47" s="127" t="s">
        <v>115</v>
      </c>
      <c r="AB47" s="127" t="s">
        <v>115</v>
      </c>
      <c r="AC47" s="127" t="s">
        <v>115</v>
      </c>
      <c r="AD47" s="127" t="s">
        <v>115</v>
      </c>
      <c r="AE47" s="127" t="s">
        <v>115</v>
      </c>
      <c r="AF47" s="127" t="s">
        <v>115</v>
      </c>
      <c r="AG47" s="127" t="s">
        <v>115</v>
      </c>
      <c r="AH47" s="123">
        <v>0</v>
      </c>
      <c r="AI47" s="123">
        <v>0</v>
      </c>
      <c r="AJ47" s="123">
        <v>0</v>
      </c>
      <c r="AK47" s="123">
        <v>0</v>
      </c>
      <c r="AL47" s="123">
        <v>125</v>
      </c>
      <c r="AN47" s="123">
        <f t="shared" si="0"/>
        <v>125</v>
      </c>
      <c r="AO47" s="123" t="s">
        <v>188</v>
      </c>
    </row>
    <row r="48" spans="1:42" x14ac:dyDescent="0.2">
      <c r="A48" s="123" t="s">
        <v>3335</v>
      </c>
      <c r="B48" s="123" t="s">
        <v>3336</v>
      </c>
      <c r="C48" s="123">
        <v>19</v>
      </c>
      <c r="D48" s="123">
        <v>1</v>
      </c>
      <c r="E48" s="123" t="s">
        <v>834</v>
      </c>
      <c r="F48" s="125">
        <v>43577</v>
      </c>
      <c r="G48" s="125" t="s">
        <v>4027</v>
      </c>
      <c r="H48" s="125" t="s">
        <v>4752</v>
      </c>
      <c r="I48" s="171">
        <v>6.0416666666666667E-2</v>
      </c>
      <c r="J48" s="173">
        <v>1.0069444444444444E-3</v>
      </c>
      <c r="K48" s="129">
        <v>87</v>
      </c>
      <c r="L48" s="123" t="s">
        <v>101</v>
      </c>
      <c r="M48" s="123" t="s">
        <v>466</v>
      </c>
      <c r="N48" s="123" t="s">
        <v>102</v>
      </c>
      <c r="O48" s="123" t="s">
        <v>115</v>
      </c>
      <c r="P48" s="123">
        <v>1</v>
      </c>
      <c r="Q48" s="123">
        <v>0</v>
      </c>
      <c r="R48" s="123">
        <v>0</v>
      </c>
      <c r="S48" s="123" t="s">
        <v>176</v>
      </c>
      <c r="T48" s="127" t="s">
        <v>24</v>
      </c>
      <c r="U48" s="127" t="s">
        <v>122</v>
      </c>
      <c r="V48" s="127" t="s">
        <v>115</v>
      </c>
      <c r="W48" s="127"/>
      <c r="X48" s="127"/>
      <c r="Y48" s="127"/>
      <c r="Z48" s="127" t="s">
        <v>115</v>
      </c>
      <c r="AA48" s="127" t="s">
        <v>115</v>
      </c>
      <c r="AB48" s="127" t="s">
        <v>115</v>
      </c>
      <c r="AC48" s="127" t="s">
        <v>115</v>
      </c>
      <c r="AD48" s="127" t="s">
        <v>115</v>
      </c>
      <c r="AE48" s="127" t="s">
        <v>115</v>
      </c>
      <c r="AF48" s="127" t="s">
        <v>115</v>
      </c>
      <c r="AG48" s="127" t="s">
        <v>115</v>
      </c>
      <c r="AH48" s="123">
        <v>0</v>
      </c>
      <c r="AI48" s="123">
        <v>0</v>
      </c>
      <c r="AJ48" s="123">
        <v>0</v>
      </c>
      <c r="AK48" s="123">
        <v>0</v>
      </c>
      <c r="AL48" s="123">
        <v>87</v>
      </c>
      <c r="AN48" s="123">
        <f t="shared" si="0"/>
        <v>87</v>
      </c>
      <c r="AO48" s="123" t="s">
        <v>188</v>
      </c>
    </row>
    <row r="49" spans="1:44" x14ac:dyDescent="0.2">
      <c r="A49" s="123" t="s">
        <v>3344</v>
      </c>
      <c r="B49" s="123" t="s">
        <v>3345</v>
      </c>
      <c r="C49" s="123">
        <v>23</v>
      </c>
      <c r="D49" s="123">
        <v>1</v>
      </c>
      <c r="E49" s="123" t="s">
        <v>834</v>
      </c>
      <c r="F49" s="125">
        <v>43577</v>
      </c>
      <c r="G49" s="125" t="s">
        <v>4027</v>
      </c>
      <c r="H49" s="125" t="s">
        <v>4752</v>
      </c>
      <c r="I49" s="171">
        <v>5.0694444444444452E-2</v>
      </c>
      <c r="J49" s="173">
        <v>8.449074074074075E-4</v>
      </c>
      <c r="K49" s="129">
        <v>73</v>
      </c>
      <c r="L49" s="123" t="s">
        <v>101</v>
      </c>
      <c r="M49" s="123" t="s">
        <v>466</v>
      </c>
      <c r="N49" s="123" t="s">
        <v>102</v>
      </c>
      <c r="O49" s="123" t="s">
        <v>115</v>
      </c>
      <c r="P49" s="123">
        <v>1</v>
      </c>
      <c r="Q49" s="123">
        <v>0</v>
      </c>
      <c r="R49" s="123">
        <v>0</v>
      </c>
      <c r="S49" s="123" t="s">
        <v>176</v>
      </c>
      <c r="T49" s="127" t="s">
        <v>24</v>
      </c>
      <c r="U49" s="127" t="s">
        <v>122</v>
      </c>
      <c r="V49" s="127" t="s">
        <v>115</v>
      </c>
      <c r="W49" s="127"/>
      <c r="X49" s="127"/>
      <c r="Y49" s="127"/>
      <c r="Z49" s="127" t="s">
        <v>115</v>
      </c>
      <c r="AA49" s="127" t="s">
        <v>115</v>
      </c>
      <c r="AB49" s="127" t="s">
        <v>115</v>
      </c>
      <c r="AC49" s="127" t="s">
        <v>115</v>
      </c>
      <c r="AD49" s="127" t="s">
        <v>115</v>
      </c>
      <c r="AE49" s="127" t="s">
        <v>115</v>
      </c>
      <c r="AF49" s="127" t="s">
        <v>115</v>
      </c>
      <c r="AG49" s="127" t="s">
        <v>115</v>
      </c>
      <c r="AH49" s="123">
        <v>0</v>
      </c>
      <c r="AI49" s="123">
        <v>0</v>
      </c>
      <c r="AJ49" s="123">
        <v>0</v>
      </c>
      <c r="AK49" s="123">
        <v>0</v>
      </c>
      <c r="AL49" s="123">
        <v>73</v>
      </c>
      <c r="AN49" s="123">
        <f t="shared" si="0"/>
        <v>73</v>
      </c>
      <c r="AO49" s="123" t="s">
        <v>188</v>
      </c>
      <c r="AP49" s="123" t="s">
        <v>2405</v>
      </c>
    </row>
    <row r="50" spans="1:44" x14ac:dyDescent="0.2">
      <c r="A50" s="123" t="s">
        <v>3352</v>
      </c>
      <c r="B50" s="123" t="s">
        <v>3353</v>
      </c>
      <c r="C50" s="123">
        <v>27</v>
      </c>
      <c r="D50" s="123">
        <v>1</v>
      </c>
      <c r="E50" s="123" t="s">
        <v>834</v>
      </c>
      <c r="F50" s="125">
        <v>43577</v>
      </c>
      <c r="G50" s="125" t="s">
        <v>4027</v>
      </c>
      <c r="H50" s="125" t="s">
        <v>4752</v>
      </c>
      <c r="I50" s="171">
        <v>4.6527777777777779E-2</v>
      </c>
      <c r="J50" s="173">
        <v>7.7546296296296304E-4</v>
      </c>
      <c r="K50" s="129">
        <v>67</v>
      </c>
      <c r="L50" s="123" t="s">
        <v>101</v>
      </c>
      <c r="M50" s="123" t="s">
        <v>466</v>
      </c>
      <c r="N50" s="123" t="s">
        <v>102</v>
      </c>
      <c r="O50" s="123" t="s">
        <v>115</v>
      </c>
      <c r="P50" s="123">
        <v>1</v>
      </c>
      <c r="Q50" s="123">
        <v>0</v>
      </c>
      <c r="R50" s="123">
        <v>0</v>
      </c>
      <c r="S50" s="123" t="s">
        <v>176</v>
      </c>
      <c r="T50" s="127" t="s">
        <v>24</v>
      </c>
      <c r="U50" s="127" t="s">
        <v>122</v>
      </c>
      <c r="V50" s="127" t="s">
        <v>115</v>
      </c>
      <c r="W50" s="127"/>
      <c r="X50" s="127"/>
      <c r="Y50" s="127"/>
      <c r="Z50" s="127" t="s">
        <v>115</v>
      </c>
      <c r="AA50" s="127" t="s">
        <v>115</v>
      </c>
      <c r="AB50" s="127" t="s">
        <v>115</v>
      </c>
      <c r="AC50" s="127" t="s">
        <v>115</v>
      </c>
      <c r="AD50" s="127" t="s">
        <v>115</v>
      </c>
      <c r="AE50" s="127" t="s">
        <v>115</v>
      </c>
      <c r="AF50" s="127" t="s">
        <v>115</v>
      </c>
      <c r="AG50" s="127" t="s">
        <v>115</v>
      </c>
      <c r="AH50" s="123">
        <v>0</v>
      </c>
      <c r="AI50" s="123">
        <v>0</v>
      </c>
      <c r="AJ50" s="123">
        <v>0</v>
      </c>
      <c r="AK50" s="123">
        <v>0</v>
      </c>
      <c r="AL50" s="123">
        <v>21</v>
      </c>
      <c r="AN50" s="123">
        <f t="shared" si="0"/>
        <v>21</v>
      </c>
      <c r="AO50" s="123" t="s">
        <v>188</v>
      </c>
    </row>
    <row r="51" spans="1:44" x14ac:dyDescent="0.2">
      <c r="A51" s="123" t="s">
        <v>3304</v>
      </c>
      <c r="B51" s="123" t="s">
        <v>3305</v>
      </c>
      <c r="C51" s="123">
        <v>5</v>
      </c>
      <c r="D51" s="123">
        <v>1</v>
      </c>
      <c r="E51" s="123" t="s">
        <v>834</v>
      </c>
      <c r="F51" s="125">
        <v>43577</v>
      </c>
      <c r="G51" s="125" t="s">
        <v>4027</v>
      </c>
      <c r="H51" s="125" t="s">
        <v>4752</v>
      </c>
      <c r="I51" s="171">
        <v>2.5694444444444447E-2</v>
      </c>
      <c r="J51" s="173">
        <v>4.2824074074074075E-4</v>
      </c>
      <c r="K51" s="129">
        <v>37</v>
      </c>
      <c r="L51" s="123" t="s">
        <v>101</v>
      </c>
      <c r="M51" s="123" t="s">
        <v>466</v>
      </c>
      <c r="N51" s="123" t="s">
        <v>102</v>
      </c>
      <c r="O51" s="123" t="s">
        <v>115</v>
      </c>
      <c r="P51" s="123">
        <v>1</v>
      </c>
      <c r="Q51" s="123">
        <v>0</v>
      </c>
      <c r="R51" s="123">
        <v>0</v>
      </c>
      <c r="S51" s="123" t="s">
        <v>176</v>
      </c>
      <c r="T51" s="127" t="s">
        <v>24</v>
      </c>
      <c r="U51" s="127" t="s">
        <v>122</v>
      </c>
      <c r="V51" s="127" t="s">
        <v>115</v>
      </c>
      <c r="W51" s="127"/>
      <c r="X51" s="127"/>
      <c r="Y51" s="127"/>
      <c r="Z51" s="127" t="s">
        <v>115</v>
      </c>
      <c r="AA51" s="127" t="s">
        <v>115</v>
      </c>
      <c r="AB51" s="127" t="s">
        <v>115</v>
      </c>
      <c r="AC51" s="127" t="s">
        <v>115</v>
      </c>
      <c r="AD51" s="127" t="s">
        <v>115</v>
      </c>
      <c r="AE51" s="127" t="s">
        <v>115</v>
      </c>
      <c r="AF51" s="127" t="s">
        <v>115</v>
      </c>
      <c r="AG51" s="127" t="s">
        <v>115</v>
      </c>
      <c r="AH51" s="123">
        <v>0</v>
      </c>
      <c r="AI51" s="123">
        <v>0</v>
      </c>
      <c r="AJ51" s="123">
        <v>0</v>
      </c>
      <c r="AK51" s="123">
        <v>0</v>
      </c>
      <c r="AL51" s="123">
        <v>37</v>
      </c>
      <c r="AN51" s="123">
        <f t="shared" si="0"/>
        <v>37</v>
      </c>
      <c r="AO51" s="123" t="s">
        <v>188</v>
      </c>
      <c r="AP51" s="123" t="s">
        <v>2405</v>
      </c>
    </row>
    <row r="52" spans="1:44" x14ac:dyDescent="0.2">
      <c r="A52" s="123" t="s">
        <v>3306</v>
      </c>
      <c r="B52" s="123" t="s">
        <v>3307</v>
      </c>
      <c r="C52" s="123">
        <v>6</v>
      </c>
      <c r="D52" s="123">
        <v>1</v>
      </c>
      <c r="E52" s="123" t="s">
        <v>834</v>
      </c>
      <c r="F52" s="125">
        <v>43577</v>
      </c>
      <c r="G52" s="125" t="s">
        <v>4027</v>
      </c>
      <c r="H52" s="125" t="s">
        <v>4752</v>
      </c>
      <c r="I52" s="171">
        <v>5.1388888888888894E-2</v>
      </c>
      <c r="J52" s="173">
        <v>8.564814814814815E-4</v>
      </c>
      <c r="K52" s="129">
        <v>74</v>
      </c>
      <c r="L52" s="123" t="s">
        <v>101</v>
      </c>
      <c r="M52" s="123" t="s">
        <v>466</v>
      </c>
      <c r="N52" s="123" t="s">
        <v>102</v>
      </c>
      <c r="O52" s="123" t="s">
        <v>115</v>
      </c>
      <c r="P52" s="123">
        <v>1</v>
      </c>
      <c r="Q52" s="123">
        <v>0</v>
      </c>
      <c r="R52" s="123">
        <v>0</v>
      </c>
      <c r="S52" s="123" t="s">
        <v>176</v>
      </c>
      <c r="T52" s="127" t="s">
        <v>24</v>
      </c>
      <c r="U52" s="127" t="s">
        <v>122</v>
      </c>
      <c r="V52" s="127" t="s">
        <v>115</v>
      </c>
      <c r="W52" s="127"/>
      <c r="X52" s="127"/>
      <c r="Y52" s="127"/>
      <c r="Z52" s="127" t="s">
        <v>115</v>
      </c>
      <c r="AA52" s="127" t="s">
        <v>115</v>
      </c>
      <c r="AB52" s="127" t="s">
        <v>115</v>
      </c>
      <c r="AC52" s="127" t="s">
        <v>115</v>
      </c>
      <c r="AD52" s="127" t="s">
        <v>115</v>
      </c>
      <c r="AE52" s="127" t="s">
        <v>115</v>
      </c>
      <c r="AF52" s="127" t="s">
        <v>115</v>
      </c>
      <c r="AG52" s="127" t="s">
        <v>115</v>
      </c>
      <c r="AH52" s="123">
        <v>0</v>
      </c>
      <c r="AI52" s="123">
        <v>0</v>
      </c>
      <c r="AJ52" s="123">
        <v>0</v>
      </c>
      <c r="AK52" s="123">
        <v>0</v>
      </c>
      <c r="AL52" s="123">
        <v>74</v>
      </c>
      <c r="AN52" s="123">
        <f t="shared" si="0"/>
        <v>74</v>
      </c>
      <c r="AO52" s="123" t="s">
        <v>188</v>
      </c>
    </row>
    <row r="53" spans="1:44" x14ac:dyDescent="0.2">
      <c r="A53" s="123" t="s">
        <v>3310</v>
      </c>
      <c r="B53" s="123" t="s">
        <v>3311</v>
      </c>
      <c r="C53" s="123">
        <v>8</v>
      </c>
      <c r="D53" s="123">
        <v>1</v>
      </c>
      <c r="E53" s="123" t="s">
        <v>834</v>
      </c>
      <c r="F53" s="125">
        <v>43577</v>
      </c>
      <c r="G53" s="125" t="s">
        <v>4027</v>
      </c>
      <c r="H53" s="125" t="s">
        <v>4752</v>
      </c>
      <c r="I53" s="171">
        <v>6.8749999999999992E-2</v>
      </c>
      <c r="J53" s="173">
        <v>1.1458333333333333E-3</v>
      </c>
      <c r="K53" s="129">
        <v>99</v>
      </c>
      <c r="L53" s="123" t="s">
        <v>101</v>
      </c>
      <c r="M53" s="123" t="s">
        <v>466</v>
      </c>
      <c r="N53" s="123" t="s">
        <v>102</v>
      </c>
      <c r="O53" s="123" t="s">
        <v>115</v>
      </c>
      <c r="P53" s="123">
        <v>1</v>
      </c>
      <c r="Q53" s="123">
        <v>0</v>
      </c>
      <c r="R53" s="123">
        <v>0</v>
      </c>
      <c r="S53" s="123" t="s">
        <v>176</v>
      </c>
      <c r="T53" s="127" t="s">
        <v>24</v>
      </c>
      <c r="U53" s="127" t="s">
        <v>122</v>
      </c>
      <c r="V53" s="127" t="s">
        <v>115</v>
      </c>
      <c r="W53" s="127"/>
      <c r="X53" s="127"/>
      <c r="Y53" s="127"/>
      <c r="Z53" s="127" t="s">
        <v>115</v>
      </c>
      <c r="AA53" s="127" t="s">
        <v>115</v>
      </c>
      <c r="AB53" s="127" t="s">
        <v>115</v>
      </c>
      <c r="AC53" s="127" t="s">
        <v>115</v>
      </c>
      <c r="AD53" s="127" t="s">
        <v>115</v>
      </c>
      <c r="AE53" s="127" t="s">
        <v>115</v>
      </c>
      <c r="AF53" s="127" t="s">
        <v>115</v>
      </c>
      <c r="AG53" s="127" t="s">
        <v>115</v>
      </c>
      <c r="AH53" s="123">
        <v>0</v>
      </c>
      <c r="AI53" s="123">
        <v>0</v>
      </c>
      <c r="AJ53" s="123">
        <v>0</v>
      </c>
      <c r="AK53" s="123">
        <v>0</v>
      </c>
      <c r="AL53" s="123">
        <v>99</v>
      </c>
      <c r="AN53" s="123">
        <f t="shared" si="0"/>
        <v>99</v>
      </c>
      <c r="AO53" s="123" t="s">
        <v>188</v>
      </c>
    </row>
    <row r="54" spans="1:44" x14ac:dyDescent="0.2">
      <c r="A54" s="123" t="s">
        <v>3312</v>
      </c>
      <c r="B54" s="123" t="s">
        <v>3313</v>
      </c>
      <c r="C54" s="123">
        <v>9</v>
      </c>
      <c r="D54" s="123">
        <v>1</v>
      </c>
      <c r="E54" s="123" t="s">
        <v>834</v>
      </c>
      <c r="F54" s="125">
        <v>43577</v>
      </c>
      <c r="G54" s="125" t="s">
        <v>4027</v>
      </c>
      <c r="H54" s="125" t="s">
        <v>4752</v>
      </c>
      <c r="I54" s="171">
        <v>3.0555555555555555E-2</v>
      </c>
      <c r="J54" s="173">
        <v>5.0925925925925921E-4</v>
      </c>
      <c r="K54" s="129">
        <v>44</v>
      </c>
      <c r="L54" s="123" t="s">
        <v>101</v>
      </c>
      <c r="M54" s="123" t="s">
        <v>466</v>
      </c>
      <c r="N54" s="123" t="s">
        <v>102</v>
      </c>
      <c r="O54" s="123" t="s">
        <v>115</v>
      </c>
      <c r="P54" s="123">
        <v>1</v>
      </c>
      <c r="Q54" s="123">
        <v>0</v>
      </c>
      <c r="R54" s="123">
        <v>0</v>
      </c>
      <c r="S54" s="123" t="s">
        <v>176</v>
      </c>
      <c r="T54" s="127" t="s">
        <v>24</v>
      </c>
      <c r="U54" s="127" t="s">
        <v>122</v>
      </c>
      <c r="V54" s="127" t="s">
        <v>115</v>
      </c>
      <c r="W54" s="127"/>
      <c r="X54" s="127"/>
      <c r="Y54" s="127"/>
      <c r="Z54" s="127" t="s">
        <v>115</v>
      </c>
      <c r="AA54" s="127" t="s">
        <v>115</v>
      </c>
      <c r="AB54" s="127" t="s">
        <v>115</v>
      </c>
      <c r="AC54" s="127" t="s">
        <v>115</v>
      </c>
      <c r="AD54" s="127" t="s">
        <v>115</v>
      </c>
      <c r="AE54" s="127" t="s">
        <v>115</v>
      </c>
      <c r="AF54" s="127" t="s">
        <v>115</v>
      </c>
      <c r="AG54" s="127" t="s">
        <v>115</v>
      </c>
      <c r="AH54" s="123">
        <v>0</v>
      </c>
      <c r="AI54" s="123">
        <v>0</v>
      </c>
      <c r="AJ54" s="123">
        <v>0</v>
      </c>
      <c r="AK54" s="123">
        <v>0</v>
      </c>
      <c r="AL54" s="123">
        <v>41</v>
      </c>
      <c r="AN54" s="123">
        <f t="shared" si="0"/>
        <v>41</v>
      </c>
      <c r="AO54" s="123" t="s">
        <v>188</v>
      </c>
      <c r="AP54" s="123" t="s">
        <v>2405</v>
      </c>
    </row>
    <row r="55" spans="1:44" x14ac:dyDescent="0.2">
      <c r="A55" s="123" t="s">
        <v>3321</v>
      </c>
      <c r="B55" s="123" t="s">
        <v>3322</v>
      </c>
      <c r="C55" s="123">
        <v>13</v>
      </c>
      <c r="D55" s="123">
        <v>1</v>
      </c>
      <c r="E55" s="123" t="s">
        <v>834</v>
      </c>
      <c r="F55" s="125">
        <v>43577</v>
      </c>
      <c r="G55" s="125" t="s">
        <v>4027</v>
      </c>
      <c r="H55" s="125" t="s">
        <v>4752</v>
      </c>
      <c r="I55" s="171">
        <v>1.3888888888888888E-2</v>
      </c>
      <c r="J55" s="173">
        <v>2.3148148148148146E-4</v>
      </c>
      <c r="K55" s="129">
        <v>20</v>
      </c>
      <c r="L55" s="123" t="s">
        <v>101</v>
      </c>
      <c r="M55" s="123" t="s">
        <v>466</v>
      </c>
      <c r="N55" s="123" t="s">
        <v>102</v>
      </c>
      <c r="O55" s="123" t="s">
        <v>3257</v>
      </c>
      <c r="P55" s="123">
        <v>1</v>
      </c>
      <c r="Q55" s="123">
        <v>1</v>
      </c>
      <c r="R55" s="123">
        <v>0</v>
      </c>
      <c r="S55" s="123" t="s">
        <v>176</v>
      </c>
      <c r="T55" s="127" t="s">
        <v>24</v>
      </c>
      <c r="U55" s="127" t="s">
        <v>3323</v>
      </c>
      <c r="V55" s="127" t="s">
        <v>115</v>
      </c>
      <c r="W55" s="127"/>
      <c r="X55" s="127"/>
      <c r="Y55" s="127"/>
      <c r="Z55" s="127" t="s">
        <v>115</v>
      </c>
      <c r="AA55" s="127" t="s">
        <v>115</v>
      </c>
      <c r="AB55" s="127" t="s">
        <v>3324</v>
      </c>
      <c r="AC55" s="127" t="s">
        <v>115</v>
      </c>
      <c r="AD55" s="127" t="s">
        <v>115</v>
      </c>
      <c r="AE55" s="123">
        <v>63.74042</v>
      </c>
      <c r="AF55" s="127">
        <v>148.89865</v>
      </c>
      <c r="AG55" s="127" t="s">
        <v>115</v>
      </c>
      <c r="AH55" s="123">
        <v>6</v>
      </c>
      <c r="AI55" s="123">
        <v>0</v>
      </c>
      <c r="AJ55" s="123">
        <v>0</v>
      </c>
      <c r="AK55" s="123">
        <v>6</v>
      </c>
      <c r="AL55" s="123">
        <v>0</v>
      </c>
      <c r="AN55" s="123">
        <f t="shared" si="0"/>
        <v>6</v>
      </c>
      <c r="AO55" s="123" t="s">
        <v>2374</v>
      </c>
      <c r="AQ55" s="123">
        <v>2</v>
      </c>
      <c r="AR55" s="123">
        <v>0</v>
      </c>
    </row>
    <row r="56" spans="1:44" x14ac:dyDescent="0.2">
      <c r="A56" s="123" t="s">
        <v>3339</v>
      </c>
      <c r="B56" s="123" t="s">
        <v>3340</v>
      </c>
      <c r="C56" s="123">
        <v>21</v>
      </c>
      <c r="D56" s="123">
        <v>1</v>
      </c>
      <c r="E56" s="123" t="s">
        <v>834</v>
      </c>
      <c r="F56" s="125">
        <v>43577</v>
      </c>
      <c r="G56" s="125" t="s">
        <v>4027</v>
      </c>
      <c r="H56" s="125" t="s">
        <v>4752</v>
      </c>
      <c r="I56" s="171">
        <v>4.7916666666666663E-2</v>
      </c>
      <c r="J56" s="173">
        <v>7.9861111111111105E-4</v>
      </c>
      <c r="K56" s="129">
        <v>69</v>
      </c>
      <c r="L56" s="123" t="s">
        <v>101</v>
      </c>
      <c r="M56" s="123" t="s">
        <v>466</v>
      </c>
      <c r="N56" s="123" t="s">
        <v>102</v>
      </c>
      <c r="O56" s="123" t="s">
        <v>115</v>
      </c>
      <c r="P56" s="123">
        <v>2</v>
      </c>
      <c r="Q56" s="123">
        <v>0</v>
      </c>
      <c r="R56" s="123">
        <v>0</v>
      </c>
      <c r="S56" s="123" t="s">
        <v>176</v>
      </c>
      <c r="T56" s="127" t="s">
        <v>24</v>
      </c>
      <c r="U56" s="127" t="s">
        <v>122</v>
      </c>
      <c r="V56" s="127" t="s">
        <v>115</v>
      </c>
      <c r="W56" s="127"/>
      <c r="X56" s="127"/>
      <c r="Y56" s="127"/>
      <c r="Z56" s="127" t="s">
        <v>115</v>
      </c>
      <c r="AA56" s="127" t="s">
        <v>115</v>
      </c>
      <c r="AB56" s="127" t="s">
        <v>115</v>
      </c>
      <c r="AC56" s="127" t="s">
        <v>115</v>
      </c>
      <c r="AD56" s="127" t="s">
        <v>115</v>
      </c>
      <c r="AE56" s="127" t="s">
        <v>115</v>
      </c>
      <c r="AF56" s="127" t="s">
        <v>115</v>
      </c>
      <c r="AG56" s="127" t="s">
        <v>115</v>
      </c>
      <c r="AH56" s="123">
        <v>0</v>
      </c>
      <c r="AI56" s="123">
        <v>0</v>
      </c>
      <c r="AJ56" s="123">
        <v>0</v>
      </c>
      <c r="AK56" s="123">
        <v>0</v>
      </c>
      <c r="AL56" s="123">
        <v>69</v>
      </c>
      <c r="AN56" s="123">
        <f t="shared" si="0"/>
        <v>69</v>
      </c>
      <c r="AO56" s="123" t="s">
        <v>188</v>
      </c>
      <c r="AP56" s="123" t="s">
        <v>3341</v>
      </c>
    </row>
    <row r="57" spans="1:44" x14ac:dyDescent="0.2">
      <c r="A57" s="123" t="s">
        <v>3350</v>
      </c>
      <c r="B57" s="123" t="s">
        <v>3351</v>
      </c>
      <c r="C57" s="123">
        <v>26</v>
      </c>
      <c r="D57" s="123">
        <v>1</v>
      </c>
      <c r="E57" s="123" t="s">
        <v>834</v>
      </c>
      <c r="F57" s="125">
        <v>43577</v>
      </c>
      <c r="G57" s="125" t="s">
        <v>4027</v>
      </c>
      <c r="H57" s="125" t="s">
        <v>4752</v>
      </c>
      <c r="I57" s="171">
        <v>4.9999999999999996E-2</v>
      </c>
      <c r="J57" s="173">
        <v>8.3333333333333339E-4</v>
      </c>
      <c r="K57" s="129">
        <v>72</v>
      </c>
      <c r="L57" s="123" t="s">
        <v>101</v>
      </c>
      <c r="M57" s="123" t="s">
        <v>466</v>
      </c>
      <c r="N57" s="123" t="s">
        <v>102</v>
      </c>
      <c r="O57" s="123" t="s">
        <v>115</v>
      </c>
      <c r="P57" s="123">
        <v>2</v>
      </c>
      <c r="Q57" s="123">
        <v>0</v>
      </c>
      <c r="R57" s="123">
        <v>0</v>
      </c>
      <c r="S57" s="123" t="s">
        <v>176</v>
      </c>
      <c r="T57" s="127" t="s">
        <v>24</v>
      </c>
      <c r="U57" s="127" t="s">
        <v>122</v>
      </c>
      <c r="V57" s="127" t="s">
        <v>115</v>
      </c>
      <c r="W57" s="127"/>
      <c r="X57" s="127"/>
      <c r="Y57" s="127"/>
      <c r="Z57" s="127" t="s">
        <v>115</v>
      </c>
      <c r="AA57" s="127" t="s">
        <v>115</v>
      </c>
      <c r="AB57" s="127" t="s">
        <v>115</v>
      </c>
      <c r="AC57" s="127" t="s">
        <v>115</v>
      </c>
      <c r="AD57" s="127" t="s">
        <v>115</v>
      </c>
      <c r="AE57" s="127" t="s">
        <v>115</v>
      </c>
      <c r="AF57" s="127" t="s">
        <v>115</v>
      </c>
      <c r="AG57" s="127" t="s">
        <v>115</v>
      </c>
      <c r="AH57" s="123">
        <v>0</v>
      </c>
      <c r="AI57" s="123">
        <v>0</v>
      </c>
      <c r="AJ57" s="123">
        <v>0</v>
      </c>
      <c r="AK57" s="123">
        <v>0</v>
      </c>
      <c r="AL57" s="123">
        <v>68</v>
      </c>
      <c r="AN57" s="123">
        <f t="shared" si="0"/>
        <v>68</v>
      </c>
      <c r="AO57" s="123" t="s">
        <v>188</v>
      </c>
    </row>
    <row r="58" spans="1:44" x14ac:dyDescent="0.2">
      <c r="A58" s="123" t="s">
        <v>3329</v>
      </c>
      <c r="B58" s="123" t="s">
        <v>3330</v>
      </c>
      <c r="C58" s="123">
        <v>16</v>
      </c>
      <c r="D58" s="123">
        <v>1</v>
      </c>
      <c r="E58" s="123" t="s">
        <v>834</v>
      </c>
      <c r="F58" s="125">
        <v>43577</v>
      </c>
      <c r="G58" s="125" t="s">
        <v>4027</v>
      </c>
      <c r="H58" s="125" t="s">
        <v>4752</v>
      </c>
      <c r="I58" s="171">
        <v>3.5416666666666666E-2</v>
      </c>
      <c r="J58" s="173">
        <v>5.9027777777777778E-4</v>
      </c>
      <c r="K58" s="129">
        <v>51</v>
      </c>
      <c r="L58" s="123" t="s">
        <v>101</v>
      </c>
      <c r="M58" s="123" t="s">
        <v>466</v>
      </c>
      <c r="N58" s="123" t="s">
        <v>102</v>
      </c>
      <c r="O58" s="123" t="s">
        <v>115</v>
      </c>
      <c r="P58" s="123">
        <v>2</v>
      </c>
      <c r="Q58" s="123">
        <v>0</v>
      </c>
      <c r="R58" s="123">
        <v>0</v>
      </c>
      <c r="S58" s="123" t="s">
        <v>176</v>
      </c>
      <c r="T58" s="127" t="s">
        <v>24</v>
      </c>
      <c r="U58" s="127" t="s">
        <v>115</v>
      </c>
      <c r="V58" s="127" t="s">
        <v>115</v>
      </c>
      <c r="W58" s="127"/>
      <c r="X58" s="127"/>
      <c r="Y58" s="127"/>
      <c r="Z58" s="127" t="s">
        <v>115</v>
      </c>
      <c r="AA58" s="127" t="s">
        <v>115</v>
      </c>
      <c r="AB58" s="127" t="s">
        <v>115</v>
      </c>
      <c r="AC58" s="127" t="s">
        <v>115</v>
      </c>
      <c r="AD58" s="127" t="s">
        <v>115</v>
      </c>
      <c r="AE58" s="127" t="s">
        <v>115</v>
      </c>
      <c r="AF58" s="127" t="s">
        <v>115</v>
      </c>
      <c r="AG58" s="127" t="s">
        <v>115</v>
      </c>
      <c r="AH58" s="123">
        <v>0</v>
      </c>
      <c r="AI58" s="123">
        <v>0</v>
      </c>
      <c r="AJ58" s="123">
        <v>0</v>
      </c>
      <c r="AK58" s="123">
        <v>0</v>
      </c>
      <c r="AL58" s="123">
        <v>51</v>
      </c>
      <c r="AN58" s="123">
        <f t="shared" si="0"/>
        <v>51</v>
      </c>
      <c r="AO58" s="123" t="s">
        <v>188</v>
      </c>
    </row>
    <row r="59" spans="1:44" x14ac:dyDescent="0.2">
      <c r="A59" s="123" t="s">
        <v>3348</v>
      </c>
      <c r="B59" s="123" t="s">
        <v>3349</v>
      </c>
      <c r="C59" s="123">
        <v>25</v>
      </c>
      <c r="D59" s="123">
        <v>1</v>
      </c>
      <c r="E59" s="123" t="s">
        <v>834</v>
      </c>
      <c r="F59" s="125">
        <v>43577</v>
      </c>
      <c r="G59" s="125" t="s">
        <v>4027</v>
      </c>
      <c r="H59" s="125" t="s">
        <v>4752</v>
      </c>
      <c r="I59" s="171">
        <v>0.10694444444444444</v>
      </c>
      <c r="J59" s="173">
        <v>1.7824074074074072E-3</v>
      </c>
      <c r="K59" s="129">
        <v>154</v>
      </c>
      <c r="L59" s="123" t="s">
        <v>101</v>
      </c>
      <c r="M59" s="123" t="s">
        <v>466</v>
      </c>
      <c r="N59" s="123" t="s">
        <v>102</v>
      </c>
      <c r="O59" s="123" t="s">
        <v>115</v>
      </c>
      <c r="P59" s="123">
        <v>3</v>
      </c>
      <c r="Q59" s="123">
        <v>0</v>
      </c>
      <c r="R59" s="123">
        <v>0</v>
      </c>
      <c r="S59" s="123" t="s">
        <v>176</v>
      </c>
      <c r="T59" s="127" t="s">
        <v>24</v>
      </c>
      <c r="U59" s="127" t="s">
        <v>122</v>
      </c>
      <c r="V59" s="127" t="s">
        <v>115</v>
      </c>
      <c r="W59" s="127"/>
      <c r="X59" s="127"/>
      <c r="Y59" s="127"/>
      <c r="Z59" s="127" t="s">
        <v>115</v>
      </c>
      <c r="AA59" s="127" t="s">
        <v>115</v>
      </c>
      <c r="AB59" s="127" t="s">
        <v>115</v>
      </c>
      <c r="AC59" s="127" t="s">
        <v>115</v>
      </c>
      <c r="AD59" s="127" t="s">
        <v>115</v>
      </c>
      <c r="AE59" s="127" t="s">
        <v>115</v>
      </c>
      <c r="AF59" s="127" t="s">
        <v>115</v>
      </c>
      <c r="AG59" s="127" t="s">
        <v>115</v>
      </c>
      <c r="AH59" s="123">
        <v>0</v>
      </c>
      <c r="AI59" s="123">
        <v>0</v>
      </c>
      <c r="AJ59" s="123">
        <v>0</v>
      </c>
      <c r="AK59" s="123">
        <v>0</v>
      </c>
      <c r="AL59" s="123">
        <v>154</v>
      </c>
      <c r="AN59" s="123">
        <f t="shared" si="0"/>
        <v>154</v>
      </c>
      <c r="AO59" s="123" t="s">
        <v>188</v>
      </c>
    </row>
    <row r="60" spans="1:44" x14ac:dyDescent="0.2">
      <c r="A60" s="123" t="s">
        <v>3319</v>
      </c>
      <c r="B60" s="123" t="s">
        <v>3316</v>
      </c>
      <c r="C60" s="123">
        <v>11</v>
      </c>
      <c r="D60" s="123">
        <v>1</v>
      </c>
      <c r="E60" s="123" t="s">
        <v>834</v>
      </c>
      <c r="F60" s="125">
        <v>43577</v>
      </c>
      <c r="G60" s="125" t="s">
        <v>4027</v>
      </c>
      <c r="H60" s="125" t="s">
        <v>4752</v>
      </c>
      <c r="I60" s="171">
        <v>9.6527777777777768E-2</v>
      </c>
      <c r="J60" s="173">
        <v>1.8402777777777777E-3</v>
      </c>
      <c r="K60" s="129">
        <v>159</v>
      </c>
      <c r="L60" s="123" t="s">
        <v>101</v>
      </c>
      <c r="M60" s="123" t="s">
        <v>466</v>
      </c>
      <c r="N60" s="123" t="s">
        <v>102</v>
      </c>
      <c r="O60" s="123" t="s">
        <v>115</v>
      </c>
      <c r="P60" s="123">
        <v>4</v>
      </c>
      <c r="Q60" s="123">
        <v>0</v>
      </c>
      <c r="R60" s="123">
        <v>0</v>
      </c>
      <c r="S60" s="123" t="s">
        <v>176</v>
      </c>
      <c r="T60" s="127" t="s">
        <v>24</v>
      </c>
      <c r="U60" s="127" t="s">
        <v>122</v>
      </c>
      <c r="V60" s="127" t="s">
        <v>115</v>
      </c>
      <c r="W60" s="127"/>
      <c r="X60" s="127"/>
      <c r="Y60" s="127"/>
      <c r="Z60" s="127" t="s">
        <v>115</v>
      </c>
      <c r="AA60" s="127" t="s">
        <v>115</v>
      </c>
      <c r="AB60" s="127" t="s">
        <v>115</v>
      </c>
      <c r="AC60" s="127" t="s">
        <v>115</v>
      </c>
      <c r="AD60" s="127" t="s">
        <v>115</v>
      </c>
      <c r="AE60" s="127" t="s">
        <v>115</v>
      </c>
      <c r="AF60" s="127" t="s">
        <v>115</v>
      </c>
      <c r="AG60" s="127" t="s">
        <v>115</v>
      </c>
      <c r="AH60" s="123">
        <v>0</v>
      </c>
      <c r="AI60" s="123">
        <v>0</v>
      </c>
      <c r="AJ60" s="123">
        <v>0</v>
      </c>
      <c r="AK60" s="123">
        <v>0</v>
      </c>
      <c r="AL60" s="123">
        <v>111</v>
      </c>
      <c r="AN60" s="123">
        <f t="shared" si="0"/>
        <v>111</v>
      </c>
      <c r="AO60" s="123" t="s">
        <v>188</v>
      </c>
    </row>
    <row r="61" spans="1:44" x14ac:dyDescent="0.2">
      <c r="A61" s="123" t="s">
        <v>3333</v>
      </c>
      <c r="B61" s="123" t="s">
        <v>3334</v>
      </c>
      <c r="C61" s="123">
        <v>18</v>
      </c>
      <c r="D61" s="123">
        <v>1</v>
      </c>
      <c r="E61" s="123" t="s">
        <v>834</v>
      </c>
      <c r="F61" s="125">
        <v>43577</v>
      </c>
      <c r="G61" s="125" t="s">
        <v>4027</v>
      </c>
      <c r="H61" s="125" t="s">
        <v>4752</v>
      </c>
      <c r="I61" s="171">
        <v>8.6805555555555566E-2</v>
      </c>
      <c r="J61" s="173">
        <v>1.4467592592592594E-3</v>
      </c>
      <c r="K61" s="129">
        <v>125</v>
      </c>
      <c r="L61" s="123" t="s">
        <v>101</v>
      </c>
      <c r="M61" s="123" t="s">
        <v>466</v>
      </c>
      <c r="N61" s="123" t="s">
        <v>102</v>
      </c>
      <c r="O61" s="123" t="s">
        <v>115</v>
      </c>
      <c r="P61" s="123">
        <v>1</v>
      </c>
      <c r="Q61" s="123">
        <v>0</v>
      </c>
      <c r="R61" s="123">
        <v>0</v>
      </c>
      <c r="S61" s="123" t="s">
        <v>598</v>
      </c>
      <c r="T61" s="127" t="s">
        <v>2437</v>
      </c>
      <c r="U61" s="127" t="s">
        <v>2063</v>
      </c>
      <c r="V61" s="127" t="s">
        <v>115</v>
      </c>
      <c r="W61" s="127"/>
      <c r="X61" s="127"/>
      <c r="Y61" s="127"/>
      <c r="Z61" s="127" t="s">
        <v>115</v>
      </c>
      <c r="AA61" s="127" t="s">
        <v>115</v>
      </c>
      <c r="AB61" s="127" t="s">
        <v>115</v>
      </c>
      <c r="AC61" s="127" t="s">
        <v>115</v>
      </c>
      <c r="AD61" s="127" t="s">
        <v>115</v>
      </c>
      <c r="AE61" s="127" t="s">
        <v>115</v>
      </c>
      <c r="AF61" s="127" t="s">
        <v>115</v>
      </c>
      <c r="AG61" s="127" t="s">
        <v>115</v>
      </c>
      <c r="AH61" s="123">
        <v>0</v>
      </c>
      <c r="AI61" s="123">
        <v>0</v>
      </c>
      <c r="AJ61" s="123">
        <v>0</v>
      </c>
      <c r="AK61" s="123">
        <v>0</v>
      </c>
      <c r="AL61" s="123">
        <v>25</v>
      </c>
      <c r="AN61" s="123">
        <f t="shared" si="0"/>
        <v>25</v>
      </c>
      <c r="AO61" s="123" t="s">
        <v>188</v>
      </c>
    </row>
    <row r="62" spans="1:44" x14ac:dyDescent="0.2">
      <c r="A62" s="123" t="s">
        <v>3319</v>
      </c>
      <c r="B62" s="123" t="s">
        <v>3316</v>
      </c>
      <c r="C62" s="123">
        <v>11</v>
      </c>
      <c r="D62" s="123">
        <v>2</v>
      </c>
      <c r="E62" s="123" t="s">
        <v>834</v>
      </c>
      <c r="F62" s="125">
        <v>43577</v>
      </c>
      <c r="G62" s="125" t="s">
        <v>4027</v>
      </c>
      <c r="H62" s="125" t="s">
        <v>4752</v>
      </c>
      <c r="I62" s="171">
        <v>9.6527777777777768E-2</v>
      </c>
      <c r="J62" s="173">
        <v>1.6087962962962963E-3</v>
      </c>
      <c r="K62" s="129">
        <v>139</v>
      </c>
      <c r="L62" s="123" t="s">
        <v>101</v>
      </c>
      <c r="M62" s="123" t="s">
        <v>466</v>
      </c>
      <c r="N62" s="123" t="s">
        <v>102</v>
      </c>
      <c r="O62" s="123" t="s">
        <v>115</v>
      </c>
      <c r="P62" s="123">
        <v>1</v>
      </c>
      <c r="Q62" s="123">
        <v>0</v>
      </c>
      <c r="R62" s="123">
        <v>0</v>
      </c>
      <c r="S62" s="123" t="s">
        <v>598</v>
      </c>
      <c r="T62" s="127" t="s">
        <v>598</v>
      </c>
      <c r="U62" s="127" t="s">
        <v>122</v>
      </c>
      <c r="V62" s="127" t="s">
        <v>115</v>
      </c>
      <c r="W62" s="127"/>
      <c r="X62" s="127"/>
      <c r="Y62" s="127"/>
      <c r="Z62" s="127" t="s">
        <v>115</v>
      </c>
      <c r="AA62" s="127" t="s">
        <v>115</v>
      </c>
      <c r="AB62" s="127" t="s">
        <v>115</v>
      </c>
      <c r="AC62" s="127" t="s">
        <v>115</v>
      </c>
      <c r="AD62" s="127" t="s">
        <v>115</v>
      </c>
      <c r="AE62" s="127" t="s">
        <v>115</v>
      </c>
      <c r="AF62" s="127" t="s">
        <v>115</v>
      </c>
      <c r="AG62" s="127" t="s">
        <v>115</v>
      </c>
      <c r="AH62" s="123">
        <v>0</v>
      </c>
      <c r="AI62" s="123">
        <v>0</v>
      </c>
      <c r="AJ62" s="123">
        <v>0</v>
      </c>
      <c r="AK62" s="123">
        <v>0</v>
      </c>
      <c r="AL62" s="123">
        <v>28</v>
      </c>
      <c r="AN62" s="123">
        <f t="shared" si="0"/>
        <v>28</v>
      </c>
      <c r="AO62" s="123" t="s">
        <v>188</v>
      </c>
      <c r="AP62" s="123" t="s">
        <v>3317</v>
      </c>
    </row>
    <row r="63" spans="1:44" x14ac:dyDescent="0.2">
      <c r="A63" s="123" t="s">
        <v>3321</v>
      </c>
      <c r="B63" s="123" t="s">
        <v>3322</v>
      </c>
      <c r="C63" s="123">
        <v>13</v>
      </c>
      <c r="D63" s="123">
        <v>2</v>
      </c>
      <c r="E63" s="123" t="s">
        <v>834</v>
      </c>
      <c r="F63" s="125">
        <v>43577</v>
      </c>
      <c r="G63" s="125" t="s">
        <v>4027</v>
      </c>
      <c r="H63" s="125" t="s">
        <v>4752</v>
      </c>
      <c r="I63" s="171">
        <v>1.3888888888888888E-2</v>
      </c>
      <c r="J63" s="173">
        <v>2.3148148148148146E-4</v>
      </c>
      <c r="K63" s="129">
        <v>20</v>
      </c>
      <c r="L63" s="123" t="s">
        <v>101</v>
      </c>
      <c r="M63" s="123" t="s">
        <v>466</v>
      </c>
      <c r="N63" s="123" t="s">
        <v>102</v>
      </c>
      <c r="O63" s="123" t="s">
        <v>115</v>
      </c>
      <c r="P63" s="123">
        <v>1</v>
      </c>
      <c r="Q63" s="123">
        <v>0</v>
      </c>
      <c r="R63" s="123">
        <v>0</v>
      </c>
      <c r="S63" s="123" t="s">
        <v>598</v>
      </c>
      <c r="T63" s="127" t="s">
        <v>2437</v>
      </c>
      <c r="U63" s="127" t="s">
        <v>122</v>
      </c>
      <c r="V63" s="127" t="s">
        <v>115</v>
      </c>
      <c r="W63" s="127"/>
      <c r="X63" s="127"/>
      <c r="Y63" s="127"/>
      <c r="Z63" s="127" t="s">
        <v>115</v>
      </c>
      <c r="AA63" s="127" t="s">
        <v>115</v>
      </c>
      <c r="AB63" s="127" t="s">
        <v>115</v>
      </c>
      <c r="AC63" s="127" t="s">
        <v>115</v>
      </c>
      <c r="AD63" s="127" t="s">
        <v>115</v>
      </c>
      <c r="AE63" s="127" t="s">
        <v>115</v>
      </c>
      <c r="AF63" s="127" t="s">
        <v>115</v>
      </c>
      <c r="AG63" s="127" t="s">
        <v>115</v>
      </c>
      <c r="AH63" s="123">
        <v>0</v>
      </c>
      <c r="AI63" s="123">
        <v>0</v>
      </c>
      <c r="AJ63" s="123">
        <v>0</v>
      </c>
      <c r="AK63" s="123">
        <v>0</v>
      </c>
      <c r="AL63" s="123">
        <v>14</v>
      </c>
      <c r="AN63" s="123">
        <f t="shared" si="0"/>
        <v>14</v>
      </c>
      <c r="AO63" s="123" t="s">
        <v>188</v>
      </c>
    </row>
    <row r="64" spans="1:44" x14ac:dyDescent="0.2">
      <c r="A64" s="123" t="s">
        <v>3308</v>
      </c>
      <c r="B64" s="123" t="s">
        <v>3309</v>
      </c>
      <c r="C64" s="123">
        <v>7</v>
      </c>
      <c r="D64" s="123">
        <v>1</v>
      </c>
      <c r="E64" s="123" t="s">
        <v>834</v>
      </c>
      <c r="F64" s="125">
        <v>43577</v>
      </c>
      <c r="G64" s="125" t="s">
        <v>4027</v>
      </c>
      <c r="H64" s="125" t="s">
        <v>4752</v>
      </c>
      <c r="I64" s="171">
        <v>1.8055555555555557E-2</v>
      </c>
      <c r="J64" s="173">
        <v>3.0092592592592595E-4</v>
      </c>
      <c r="K64" s="129">
        <v>26</v>
      </c>
      <c r="L64" s="123" t="s">
        <v>101</v>
      </c>
      <c r="M64" s="123" t="s">
        <v>466</v>
      </c>
      <c r="N64" s="123" t="s">
        <v>102</v>
      </c>
      <c r="O64" s="123" t="s">
        <v>115</v>
      </c>
      <c r="P64" s="123">
        <v>1</v>
      </c>
      <c r="Q64" s="123">
        <v>0</v>
      </c>
      <c r="R64" s="123">
        <v>0</v>
      </c>
      <c r="S64" s="123" t="s">
        <v>598</v>
      </c>
      <c r="T64" s="127" t="s">
        <v>2437</v>
      </c>
      <c r="U64" s="127" t="s">
        <v>122</v>
      </c>
      <c r="V64" s="127" t="s">
        <v>115</v>
      </c>
      <c r="W64" s="127"/>
      <c r="X64" s="127"/>
      <c r="Y64" s="127"/>
      <c r="Z64" s="127" t="s">
        <v>115</v>
      </c>
      <c r="AA64" s="127" t="s">
        <v>115</v>
      </c>
      <c r="AB64" s="127" t="s">
        <v>115</v>
      </c>
      <c r="AC64" s="127" t="s">
        <v>115</v>
      </c>
      <c r="AD64" s="127" t="s">
        <v>115</v>
      </c>
      <c r="AE64" s="127" t="s">
        <v>115</v>
      </c>
      <c r="AF64" s="127" t="s">
        <v>115</v>
      </c>
      <c r="AG64" s="127" t="s">
        <v>115</v>
      </c>
      <c r="AH64" s="123">
        <v>0</v>
      </c>
      <c r="AI64" s="123">
        <v>0</v>
      </c>
      <c r="AJ64" s="123">
        <v>0</v>
      </c>
      <c r="AK64" s="123">
        <v>0</v>
      </c>
      <c r="AL64" s="123">
        <v>26</v>
      </c>
      <c r="AN64" s="123">
        <f t="shared" si="0"/>
        <v>26</v>
      </c>
      <c r="AO64" s="123" t="s">
        <v>188</v>
      </c>
    </row>
    <row r="65" spans="1:42" x14ac:dyDescent="0.2">
      <c r="A65" s="123" t="s">
        <v>3295</v>
      </c>
      <c r="B65" s="123" t="s">
        <v>3297</v>
      </c>
      <c r="C65" s="123">
        <v>1</v>
      </c>
      <c r="D65" s="123">
        <v>1</v>
      </c>
      <c r="E65" s="123" t="s">
        <v>834</v>
      </c>
      <c r="F65" s="125">
        <v>43577</v>
      </c>
      <c r="G65" s="125" t="s">
        <v>4027</v>
      </c>
      <c r="H65" s="125" t="s">
        <v>4752</v>
      </c>
      <c r="I65" s="171">
        <v>2.1527777777777781E-2</v>
      </c>
      <c r="J65" s="173">
        <v>3.5879629629629635E-4</v>
      </c>
      <c r="K65" s="129">
        <v>31</v>
      </c>
      <c r="L65" s="123" t="s">
        <v>101</v>
      </c>
      <c r="M65" s="123" t="s">
        <v>466</v>
      </c>
      <c r="N65" s="123" t="s">
        <v>102</v>
      </c>
      <c r="O65" s="123" t="s">
        <v>115</v>
      </c>
      <c r="P65" s="123">
        <v>0</v>
      </c>
      <c r="Q65" s="123">
        <v>0</v>
      </c>
      <c r="R65" s="123">
        <v>0</v>
      </c>
      <c r="T65" s="127" t="s">
        <v>115</v>
      </c>
      <c r="U65" s="127" t="s">
        <v>115</v>
      </c>
      <c r="V65" s="127" t="s">
        <v>115</v>
      </c>
      <c r="W65" s="127"/>
      <c r="X65" s="127"/>
      <c r="Y65" s="127"/>
      <c r="Z65" s="127" t="s">
        <v>115</v>
      </c>
      <c r="AA65" s="127" t="s">
        <v>115</v>
      </c>
      <c r="AB65" s="127" t="s">
        <v>115</v>
      </c>
      <c r="AC65" s="127" t="s">
        <v>115</v>
      </c>
      <c r="AD65" s="127" t="s">
        <v>115</v>
      </c>
      <c r="AE65" s="127" t="s">
        <v>115</v>
      </c>
      <c r="AF65" s="127" t="s">
        <v>115</v>
      </c>
      <c r="AG65" s="127" t="s">
        <v>115</v>
      </c>
      <c r="AH65" s="123">
        <v>0</v>
      </c>
      <c r="AI65" s="123">
        <v>0</v>
      </c>
      <c r="AJ65" s="123">
        <v>0</v>
      </c>
      <c r="AK65" s="123">
        <v>0</v>
      </c>
      <c r="AL65" s="123">
        <v>0</v>
      </c>
      <c r="AN65" s="123">
        <f t="shared" si="0"/>
        <v>0</v>
      </c>
      <c r="AO65" s="123" t="s">
        <v>188</v>
      </c>
    </row>
    <row r="66" spans="1:42" x14ac:dyDescent="0.2">
      <c r="A66" s="123" t="s">
        <v>3314</v>
      </c>
      <c r="B66" s="123" t="s">
        <v>3315</v>
      </c>
      <c r="C66" s="123">
        <v>10</v>
      </c>
      <c r="D66" s="123">
        <v>1</v>
      </c>
      <c r="E66" s="123" t="s">
        <v>834</v>
      </c>
      <c r="F66" s="125">
        <v>43577</v>
      </c>
      <c r="G66" s="125" t="s">
        <v>4027</v>
      </c>
      <c r="H66" s="125" t="s">
        <v>4752</v>
      </c>
      <c r="I66" s="171">
        <v>3.888888888888889E-2</v>
      </c>
      <c r="J66" s="173">
        <v>6.4814814814814813E-4</v>
      </c>
      <c r="K66" s="129">
        <v>56</v>
      </c>
      <c r="L66" s="123" t="s">
        <v>101</v>
      </c>
      <c r="M66" s="123" t="s">
        <v>466</v>
      </c>
      <c r="N66" s="123" t="s">
        <v>102</v>
      </c>
      <c r="O66" s="123" t="s">
        <v>115</v>
      </c>
      <c r="P66" s="123">
        <v>0</v>
      </c>
      <c r="Q66" s="123">
        <v>0</v>
      </c>
      <c r="R66" s="123">
        <v>0</v>
      </c>
      <c r="T66" s="127" t="s">
        <v>115</v>
      </c>
      <c r="U66" s="127" t="s">
        <v>115</v>
      </c>
      <c r="V66" s="127" t="s">
        <v>115</v>
      </c>
      <c r="W66" s="127"/>
      <c r="X66" s="127"/>
      <c r="Y66" s="127"/>
      <c r="Z66" s="127" t="s">
        <v>115</v>
      </c>
      <c r="AA66" s="127" t="s">
        <v>115</v>
      </c>
      <c r="AB66" s="127" t="s">
        <v>115</v>
      </c>
      <c r="AC66" s="127" t="s">
        <v>115</v>
      </c>
      <c r="AD66" s="127" t="s">
        <v>115</v>
      </c>
      <c r="AE66" s="127" t="s">
        <v>115</v>
      </c>
      <c r="AF66" s="127" t="s">
        <v>115</v>
      </c>
      <c r="AG66" s="127" t="s">
        <v>115</v>
      </c>
      <c r="AH66" s="123">
        <v>0</v>
      </c>
      <c r="AI66" s="123">
        <v>0</v>
      </c>
      <c r="AJ66" s="123">
        <v>0</v>
      </c>
      <c r="AK66" s="123">
        <v>0</v>
      </c>
      <c r="AL66" s="123">
        <v>53</v>
      </c>
      <c r="AN66" s="123">
        <f t="shared" ref="AN66:AN129" si="1">SUM(AH66+AI66+AL66)</f>
        <v>53</v>
      </c>
      <c r="AO66" s="123" t="s">
        <v>188</v>
      </c>
    </row>
    <row r="67" spans="1:42" x14ac:dyDescent="0.2">
      <c r="A67" s="123" t="s">
        <v>3327</v>
      </c>
      <c r="B67" s="123" t="s">
        <v>3328</v>
      </c>
      <c r="C67" s="123">
        <v>15</v>
      </c>
      <c r="D67" s="123">
        <v>1</v>
      </c>
      <c r="E67" s="123" t="s">
        <v>834</v>
      </c>
      <c r="F67" s="125">
        <v>43577</v>
      </c>
      <c r="G67" s="125" t="s">
        <v>4027</v>
      </c>
      <c r="H67" s="125" t="s">
        <v>4752</v>
      </c>
      <c r="I67" s="171">
        <v>2.1527777777777781E-2</v>
      </c>
      <c r="J67" s="173">
        <v>3.5879629629629635E-4</v>
      </c>
      <c r="K67" s="129">
        <v>31</v>
      </c>
      <c r="L67" s="123" t="s">
        <v>101</v>
      </c>
      <c r="M67" s="123" t="s">
        <v>466</v>
      </c>
      <c r="N67" s="123" t="s">
        <v>102</v>
      </c>
      <c r="O67" s="123" t="s">
        <v>115</v>
      </c>
      <c r="P67" s="123">
        <v>0</v>
      </c>
      <c r="Q67" s="123">
        <v>0</v>
      </c>
      <c r="R67" s="123">
        <v>0</v>
      </c>
      <c r="T67" s="127" t="s">
        <v>115</v>
      </c>
      <c r="U67" s="127" t="s">
        <v>115</v>
      </c>
      <c r="V67" s="127" t="s">
        <v>115</v>
      </c>
      <c r="W67" s="127"/>
      <c r="X67" s="127"/>
      <c r="Y67" s="127"/>
      <c r="Z67" s="127" t="s">
        <v>115</v>
      </c>
      <c r="AA67" s="127" t="s">
        <v>115</v>
      </c>
      <c r="AB67" s="127" t="s">
        <v>115</v>
      </c>
      <c r="AC67" s="127" t="s">
        <v>115</v>
      </c>
      <c r="AD67" s="127" t="s">
        <v>115</v>
      </c>
      <c r="AE67" s="127" t="s">
        <v>115</v>
      </c>
      <c r="AF67" s="127" t="s">
        <v>115</v>
      </c>
      <c r="AG67" s="127" t="s">
        <v>115</v>
      </c>
      <c r="AH67" s="123">
        <v>0</v>
      </c>
      <c r="AI67" s="123">
        <v>0</v>
      </c>
      <c r="AJ67" s="123">
        <v>0</v>
      </c>
      <c r="AK67" s="123">
        <v>0</v>
      </c>
      <c r="AL67" s="123">
        <v>31</v>
      </c>
      <c r="AN67" s="123">
        <f t="shared" si="1"/>
        <v>31</v>
      </c>
      <c r="AO67" s="123" t="s">
        <v>188</v>
      </c>
    </row>
    <row r="68" spans="1:42" x14ac:dyDescent="0.2">
      <c r="A68" s="123" t="s">
        <v>3337</v>
      </c>
      <c r="B68" s="123" t="s">
        <v>3338</v>
      </c>
      <c r="C68" s="123">
        <v>20</v>
      </c>
      <c r="D68" s="123">
        <v>1</v>
      </c>
      <c r="E68" s="123" t="s">
        <v>834</v>
      </c>
      <c r="F68" s="125">
        <v>43577</v>
      </c>
      <c r="G68" s="125" t="s">
        <v>4027</v>
      </c>
      <c r="H68" s="125" t="s">
        <v>4752</v>
      </c>
      <c r="I68" s="171">
        <v>1.1111111111111112E-2</v>
      </c>
      <c r="J68" s="173">
        <v>1.8518518518518518E-4</v>
      </c>
      <c r="K68" s="129">
        <v>16</v>
      </c>
      <c r="L68" s="123" t="s">
        <v>101</v>
      </c>
      <c r="M68" s="123" t="s">
        <v>466</v>
      </c>
      <c r="N68" s="123" t="s">
        <v>102</v>
      </c>
      <c r="O68" s="123" t="s">
        <v>115</v>
      </c>
      <c r="P68" s="123">
        <v>0</v>
      </c>
      <c r="Q68" s="123">
        <v>0</v>
      </c>
      <c r="R68" s="123">
        <v>0</v>
      </c>
      <c r="T68" s="127" t="s">
        <v>115</v>
      </c>
      <c r="U68" s="127" t="s">
        <v>115</v>
      </c>
      <c r="V68" s="127" t="s">
        <v>115</v>
      </c>
      <c r="W68" s="127"/>
      <c r="X68" s="127"/>
      <c r="Y68" s="127"/>
      <c r="Z68" s="127" t="s">
        <v>115</v>
      </c>
      <c r="AA68" s="127" t="s">
        <v>115</v>
      </c>
      <c r="AB68" s="127" t="s">
        <v>115</v>
      </c>
      <c r="AC68" s="127" t="s">
        <v>115</v>
      </c>
      <c r="AD68" s="127" t="s">
        <v>115</v>
      </c>
      <c r="AE68" s="127" t="s">
        <v>115</v>
      </c>
      <c r="AF68" s="127" t="s">
        <v>115</v>
      </c>
      <c r="AG68" s="127" t="s">
        <v>115</v>
      </c>
      <c r="AH68" s="123">
        <v>0</v>
      </c>
      <c r="AI68" s="123">
        <v>0</v>
      </c>
      <c r="AJ68" s="123">
        <v>0</v>
      </c>
      <c r="AK68" s="123">
        <v>0</v>
      </c>
      <c r="AL68" s="123">
        <v>16</v>
      </c>
      <c r="AN68" s="123">
        <f t="shared" si="1"/>
        <v>16</v>
      </c>
      <c r="AO68" s="123" t="s">
        <v>188</v>
      </c>
    </row>
    <row r="69" spans="1:42" x14ac:dyDescent="0.2">
      <c r="A69" s="123" t="s">
        <v>3342</v>
      </c>
      <c r="B69" s="123" t="s">
        <v>3343</v>
      </c>
      <c r="C69" s="123">
        <v>22</v>
      </c>
      <c r="D69" s="123">
        <v>1</v>
      </c>
      <c r="E69" s="123" t="s">
        <v>834</v>
      </c>
      <c r="F69" s="125">
        <v>43577</v>
      </c>
      <c r="G69" s="125" t="s">
        <v>4027</v>
      </c>
      <c r="H69" s="125" t="s">
        <v>4752</v>
      </c>
      <c r="I69" s="171">
        <v>1.8055555555555557E-2</v>
      </c>
      <c r="J69" s="173">
        <v>3.0092592592592595E-4</v>
      </c>
      <c r="K69" s="129">
        <v>26</v>
      </c>
      <c r="L69" s="123" t="s">
        <v>101</v>
      </c>
      <c r="M69" s="123" t="s">
        <v>466</v>
      </c>
      <c r="N69" s="123" t="s">
        <v>102</v>
      </c>
      <c r="O69" s="123" t="s">
        <v>115</v>
      </c>
      <c r="P69" s="123">
        <v>0</v>
      </c>
      <c r="Q69" s="123">
        <v>0</v>
      </c>
      <c r="R69" s="123">
        <v>0</v>
      </c>
      <c r="T69" s="127" t="s">
        <v>115</v>
      </c>
      <c r="U69" s="127" t="s">
        <v>115</v>
      </c>
      <c r="V69" s="127" t="s">
        <v>115</v>
      </c>
      <c r="W69" s="127"/>
      <c r="X69" s="127"/>
      <c r="Y69" s="127"/>
      <c r="Z69" s="127" t="s">
        <v>115</v>
      </c>
      <c r="AA69" s="127" t="s">
        <v>115</v>
      </c>
      <c r="AB69" s="127" t="s">
        <v>115</v>
      </c>
      <c r="AC69" s="127" t="s">
        <v>115</v>
      </c>
      <c r="AD69" s="127" t="s">
        <v>115</v>
      </c>
      <c r="AE69" s="127" t="s">
        <v>115</v>
      </c>
      <c r="AF69" s="127" t="s">
        <v>115</v>
      </c>
      <c r="AG69" s="127" t="s">
        <v>115</v>
      </c>
      <c r="AH69" s="123">
        <v>0</v>
      </c>
      <c r="AI69" s="123">
        <v>0</v>
      </c>
      <c r="AJ69" s="123">
        <v>0</v>
      </c>
      <c r="AK69" s="123">
        <v>0</v>
      </c>
      <c r="AL69" s="123">
        <v>26</v>
      </c>
      <c r="AN69" s="123">
        <f t="shared" si="1"/>
        <v>26</v>
      </c>
      <c r="AO69" s="123" t="s">
        <v>188</v>
      </c>
    </row>
    <row r="70" spans="1:42" x14ac:dyDescent="0.2">
      <c r="A70" s="123" t="s">
        <v>3300</v>
      </c>
      <c r="B70" s="123" t="s">
        <v>3301</v>
      </c>
      <c r="C70" s="123">
        <v>3</v>
      </c>
      <c r="D70" s="123">
        <v>1</v>
      </c>
      <c r="E70" s="123" t="s">
        <v>834</v>
      </c>
      <c r="F70" s="125">
        <v>43577</v>
      </c>
      <c r="G70" s="125" t="s">
        <v>4027</v>
      </c>
      <c r="H70" s="125" t="s">
        <v>4752</v>
      </c>
      <c r="I70" s="171">
        <v>4.3750000000000004E-2</v>
      </c>
      <c r="J70" s="173">
        <v>7.291666666666667E-4</v>
      </c>
      <c r="K70" s="129">
        <v>63</v>
      </c>
      <c r="L70" s="123" t="s">
        <v>101</v>
      </c>
      <c r="M70" s="123" t="s">
        <v>466</v>
      </c>
      <c r="N70" s="123" t="s">
        <v>102</v>
      </c>
      <c r="O70" s="123" t="s">
        <v>115</v>
      </c>
      <c r="P70" s="123">
        <v>0</v>
      </c>
      <c r="Q70" s="123">
        <v>0</v>
      </c>
      <c r="R70" s="123">
        <v>0</v>
      </c>
      <c r="T70" s="127" t="s">
        <v>115</v>
      </c>
      <c r="U70" s="127" t="s">
        <v>115</v>
      </c>
      <c r="V70" s="127" t="s">
        <v>115</v>
      </c>
      <c r="W70" s="127"/>
      <c r="X70" s="127"/>
      <c r="Y70" s="127"/>
      <c r="Z70" s="127" t="s">
        <v>115</v>
      </c>
      <c r="AA70" s="127" t="s">
        <v>115</v>
      </c>
      <c r="AB70" s="127" t="s">
        <v>115</v>
      </c>
      <c r="AC70" s="127" t="s">
        <v>115</v>
      </c>
      <c r="AD70" s="127" t="s">
        <v>115</v>
      </c>
      <c r="AE70" s="127" t="s">
        <v>115</v>
      </c>
      <c r="AF70" s="127" t="s">
        <v>115</v>
      </c>
      <c r="AG70" s="127" t="s">
        <v>115</v>
      </c>
      <c r="AH70" s="123">
        <v>0</v>
      </c>
      <c r="AI70" s="123">
        <v>0</v>
      </c>
      <c r="AJ70" s="123">
        <v>0</v>
      </c>
      <c r="AK70" s="123">
        <v>0</v>
      </c>
      <c r="AL70" s="123">
        <v>63</v>
      </c>
      <c r="AN70" s="123">
        <f t="shared" si="1"/>
        <v>63</v>
      </c>
      <c r="AO70" s="123" t="s">
        <v>188</v>
      </c>
    </row>
    <row r="71" spans="1:42" x14ac:dyDescent="0.2">
      <c r="A71" s="123" t="s">
        <v>3302</v>
      </c>
      <c r="B71" s="123" t="s">
        <v>3303</v>
      </c>
      <c r="C71" s="123">
        <v>4</v>
      </c>
      <c r="D71" s="123">
        <v>1</v>
      </c>
      <c r="E71" s="123" t="s">
        <v>834</v>
      </c>
      <c r="F71" s="125">
        <v>43577</v>
      </c>
      <c r="G71" s="125" t="s">
        <v>4027</v>
      </c>
      <c r="H71" s="125" t="s">
        <v>4752</v>
      </c>
      <c r="I71" s="171">
        <v>1.1805555555555555E-2</v>
      </c>
      <c r="J71" s="173">
        <v>1.9675925925925926E-4</v>
      </c>
      <c r="K71" s="129">
        <v>17</v>
      </c>
      <c r="L71" s="123" t="s">
        <v>101</v>
      </c>
      <c r="M71" s="123" t="s">
        <v>466</v>
      </c>
      <c r="N71" s="123" t="s">
        <v>102</v>
      </c>
      <c r="O71" s="123" t="s">
        <v>115</v>
      </c>
      <c r="P71" s="123">
        <v>0</v>
      </c>
      <c r="Q71" s="123">
        <v>0</v>
      </c>
      <c r="R71" s="123">
        <v>0</v>
      </c>
      <c r="T71" s="127" t="s">
        <v>115</v>
      </c>
      <c r="U71" s="127" t="s">
        <v>115</v>
      </c>
      <c r="V71" s="127" t="s">
        <v>115</v>
      </c>
      <c r="W71" s="127"/>
      <c r="X71" s="127"/>
      <c r="Y71" s="127"/>
      <c r="Z71" s="127" t="s">
        <v>115</v>
      </c>
      <c r="AA71" s="127" t="s">
        <v>115</v>
      </c>
      <c r="AB71" s="127" t="s">
        <v>115</v>
      </c>
      <c r="AC71" s="127" t="s">
        <v>115</v>
      </c>
      <c r="AD71" s="127" t="s">
        <v>115</v>
      </c>
      <c r="AE71" s="127" t="s">
        <v>115</v>
      </c>
      <c r="AF71" s="127" t="s">
        <v>115</v>
      </c>
      <c r="AG71" s="127" t="s">
        <v>115</v>
      </c>
      <c r="AH71" s="123">
        <v>0</v>
      </c>
      <c r="AI71" s="123">
        <v>0</v>
      </c>
      <c r="AJ71" s="123">
        <v>0</v>
      </c>
      <c r="AK71" s="123">
        <v>0</v>
      </c>
      <c r="AL71" s="123">
        <v>17</v>
      </c>
      <c r="AN71" s="123">
        <f t="shared" si="1"/>
        <v>17</v>
      </c>
    </row>
    <row r="72" spans="1:42" x14ac:dyDescent="0.2">
      <c r="A72" s="123" t="s">
        <v>3624</v>
      </c>
      <c r="B72" s="123" t="s">
        <v>3628</v>
      </c>
      <c r="C72" s="123">
        <v>3</v>
      </c>
      <c r="D72" s="123">
        <v>1</v>
      </c>
      <c r="E72" s="123" t="s">
        <v>834</v>
      </c>
      <c r="F72" s="125">
        <v>43583</v>
      </c>
      <c r="G72" s="125" t="s">
        <v>4027</v>
      </c>
      <c r="H72" s="125" t="s">
        <v>4752</v>
      </c>
      <c r="I72" s="171">
        <v>6.9444444444444441E-3</v>
      </c>
      <c r="J72" s="173">
        <v>1.1574074074074073E-4</v>
      </c>
      <c r="K72" s="129">
        <v>10</v>
      </c>
      <c r="L72" s="123" t="s">
        <v>3626</v>
      </c>
      <c r="M72" s="123" t="s">
        <v>466</v>
      </c>
      <c r="N72" s="123" t="s">
        <v>102</v>
      </c>
      <c r="O72" s="123" t="s">
        <v>12</v>
      </c>
      <c r="P72" s="123">
        <v>1</v>
      </c>
      <c r="Q72" s="123">
        <v>1</v>
      </c>
      <c r="R72" s="123">
        <v>0</v>
      </c>
      <c r="S72" s="123" t="s">
        <v>176</v>
      </c>
      <c r="T72" s="127" t="s">
        <v>24</v>
      </c>
      <c r="U72" s="127" t="s">
        <v>1027</v>
      </c>
      <c r="V72" s="127" t="s">
        <v>115</v>
      </c>
      <c r="W72" s="127"/>
      <c r="X72" s="127"/>
      <c r="Y72" s="127"/>
      <c r="Z72" s="127" t="s">
        <v>115</v>
      </c>
      <c r="AA72" s="127" t="s">
        <v>115</v>
      </c>
      <c r="AB72" s="127" t="s">
        <v>115</v>
      </c>
      <c r="AC72" s="127" t="s">
        <v>115</v>
      </c>
      <c r="AD72" s="127" t="s">
        <v>115</v>
      </c>
      <c r="AE72" s="123">
        <v>63.740810000000003</v>
      </c>
      <c r="AF72" s="123">
        <v>148.8981</v>
      </c>
      <c r="AG72" s="127" t="s">
        <v>115</v>
      </c>
      <c r="AH72" s="123">
        <v>0</v>
      </c>
      <c r="AI72" s="123">
        <v>0</v>
      </c>
      <c r="AJ72" s="123">
        <v>0</v>
      </c>
      <c r="AK72" s="123">
        <v>0</v>
      </c>
      <c r="AL72" s="123">
        <v>0</v>
      </c>
      <c r="AN72" s="123">
        <f t="shared" si="1"/>
        <v>0</v>
      </c>
      <c r="AO72" s="123" t="s">
        <v>188</v>
      </c>
      <c r="AP72" s="123" t="s">
        <v>2480</v>
      </c>
    </row>
    <row r="73" spans="1:42" x14ac:dyDescent="0.2">
      <c r="A73" s="123" t="s">
        <v>3619</v>
      </c>
      <c r="B73" s="123" t="s">
        <v>3625</v>
      </c>
      <c r="C73" s="123">
        <v>1</v>
      </c>
      <c r="D73" s="123">
        <v>1</v>
      </c>
      <c r="E73" s="123" t="s">
        <v>834</v>
      </c>
      <c r="F73" s="125">
        <v>43583</v>
      </c>
      <c r="G73" s="125" t="s">
        <v>4027</v>
      </c>
      <c r="H73" s="125" t="s">
        <v>4752</v>
      </c>
      <c r="I73" s="171">
        <v>9.0277777777777776E-2</v>
      </c>
      <c r="J73" s="173">
        <v>1.5046296296296294E-3</v>
      </c>
      <c r="K73" s="129">
        <v>130</v>
      </c>
      <c r="L73" s="123" t="s">
        <v>3626</v>
      </c>
      <c r="M73" s="123" t="s">
        <v>466</v>
      </c>
      <c r="N73" s="123" t="s">
        <v>102</v>
      </c>
      <c r="O73" s="123" t="s">
        <v>115</v>
      </c>
      <c r="P73" s="123">
        <v>8</v>
      </c>
      <c r="Q73" s="123">
        <v>0</v>
      </c>
      <c r="R73" s="123">
        <v>0</v>
      </c>
      <c r="S73" s="123" t="s">
        <v>176</v>
      </c>
      <c r="T73" s="127" t="s">
        <v>4786</v>
      </c>
      <c r="U73" s="127" t="s">
        <v>122</v>
      </c>
      <c r="V73" s="127" t="s">
        <v>115</v>
      </c>
      <c r="W73" s="127"/>
      <c r="X73" s="127"/>
      <c r="Y73" s="127"/>
      <c r="Z73" s="127" t="s">
        <v>115</v>
      </c>
      <c r="AA73" s="127" t="s">
        <v>115</v>
      </c>
      <c r="AB73" s="127" t="s">
        <v>115</v>
      </c>
      <c r="AC73" s="127" t="s">
        <v>115</v>
      </c>
      <c r="AD73" s="127" t="s">
        <v>115</v>
      </c>
      <c r="AE73" s="127" t="s">
        <v>115</v>
      </c>
      <c r="AF73" s="127" t="s">
        <v>115</v>
      </c>
      <c r="AG73" s="127" t="s">
        <v>115</v>
      </c>
      <c r="AH73" s="123">
        <v>0</v>
      </c>
      <c r="AI73" s="123">
        <v>0</v>
      </c>
      <c r="AJ73" s="123">
        <v>0</v>
      </c>
      <c r="AK73" s="123">
        <v>0</v>
      </c>
      <c r="AL73" s="123">
        <v>65</v>
      </c>
      <c r="AN73" s="123">
        <f t="shared" si="1"/>
        <v>65</v>
      </c>
      <c r="AO73" s="123" t="s">
        <v>188</v>
      </c>
      <c r="AP73" s="123" t="s">
        <v>4835</v>
      </c>
    </row>
    <row r="74" spans="1:42" x14ac:dyDescent="0.2">
      <c r="A74" s="123" t="s">
        <v>3619</v>
      </c>
      <c r="B74" s="123" t="s">
        <v>3625</v>
      </c>
      <c r="C74" s="123">
        <v>1</v>
      </c>
      <c r="D74" s="123">
        <v>1</v>
      </c>
      <c r="E74" s="123" t="s">
        <v>834</v>
      </c>
      <c r="F74" s="125">
        <v>43583</v>
      </c>
      <c r="G74" s="125" t="s">
        <v>4027</v>
      </c>
      <c r="H74" s="125" t="s">
        <v>4752</v>
      </c>
      <c r="I74" s="171">
        <v>9.0277777777777776E-2</v>
      </c>
      <c r="J74" s="173">
        <v>1.5046296296296294E-3</v>
      </c>
      <c r="K74" s="129">
        <v>130</v>
      </c>
      <c r="L74" s="123" t="s">
        <v>3626</v>
      </c>
      <c r="M74" s="123" t="s">
        <v>466</v>
      </c>
      <c r="N74" s="123" t="s">
        <v>102</v>
      </c>
      <c r="O74" s="123" t="s">
        <v>115</v>
      </c>
      <c r="P74" s="123">
        <v>3</v>
      </c>
      <c r="Q74" s="123">
        <v>0</v>
      </c>
      <c r="R74" s="123">
        <v>0</v>
      </c>
      <c r="S74" s="123" t="s">
        <v>598</v>
      </c>
      <c r="T74" s="127" t="s">
        <v>598</v>
      </c>
      <c r="U74" s="127" t="s">
        <v>122</v>
      </c>
      <c r="V74" s="127" t="s">
        <v>115</v>
      </c>
      <c r="W74" s="127"/>
      <c r="X74" s="127"/>
      <c r="Y74" s="127"/>
      <c r="Z74" s="127" t="s">
        <v>115</v>
      </c>
      <c r="AA74" s="127" t="s">
        <v>115</v>
      </c>
      <c r="AB74" s="127" t="s">
        <v>115</v>
      </c>
      <c r="AC74" s="127" t="s">
        <v>115</v>
      </c>
      <c r="AD74" s="127" t="s">
        <v>115</v>
      </c>
      <c r="AE74" s="127" t="s">
        <v>115</v>
      </c>
      <c r="AF74" s="127" t="s">
        <v>115</v>
      </c>
      <c r="AG74" s="127" t="s">
        <v>115</v>
      </c>
      <c r="AH74" s="123">
        <v>0</v>
      </c>
      <c r="AI74" s="123">
        <v>0</v>
      </c>
      <c r="AJ74" s="123">
        <v>0</v>
      </c>
      <c r="AK74" s="123">
        <v>0</v>
      </c>
      <c r="AL74" s="123">
        <v>0</v>
      </c>
      <c r="AN74" s="123">
        <f t="shared" si="1"/>
        <v>0</v>
      </c>
      <c r="AO74" s="123" t="s">
        <v>188</v>
      </c>
      <c r="AP74" s="123" t="s">
        <v>4836</v>
      </c>
    </row>
    <row r="75" spans="1:42" x14ac:dyDescent="0.2">
      <c r="A75" s="123" t="s">
        <v>3622</v>
      </c>
      <c r="B75" s="123" t="s">
        <v>3627</v>
      </c>
      <c r="C75" s="123">
        <v>2</v>
      </c>
      <c r="D75" s="123">
        <v>1</v>
      </c>
      <c r="E75" s="123" t="s">
        <v>834</v>
      </c>
      <c r="F75" s="125">
        <v>43583</v>
      </c>
      <c r="G75" s="125" t="s">
        <v>4027</v>
      </c>
      <c r="H75" s="125" t="s">
        <v>4752</v>
      </c>
      <c r="I75" s="171">
        <v>2.4999999999999998E-2</v>
      </c>
      <c r="J75" s="173">
        <v>4.1666666666666669E-4</v>
      </c>
      <c r="K75" s="129">
        <v>36</v>
      </c>
      <c r="L75" s="123" t="s">
        <v>3626</v>
      </c>
      <c r="M75" s="123" t="s">
        <v>466</v>
      </c>
      <c r="N75" s="123" t="s">
        <v>102</v>
      </c>
      <c r="O75" s="123" t="s">
        <v>115</v>
      </c>
      <c r="P75" s="123">
        <v>2</v>
      </c>
      <c r="Q75" s="123">
        <v>0</v>
      </c>
      <c r="R75" s="123">
        <v>0</v>
      </c>
      <c r="S75" s="123" t="s">
        <v>14</v>
      </c>
      <c r="T75" s="127" t="s">
        <v>14</v>
      </c>
      <c r="U75" s="127" t="s">
        <v>122</v>
      </c>
      <c r="V75" s="127" t="s">
        <v>115</v>
      </c>
      <c r="W75" s="127"/>
      <c r="X75" s="127"/>
      <c r="Y75" s="127"/>
      <c r="Z75" s="127" t="s">
        <v>115</v>
      </c>
      <c r="AA75" s="127" t="s">
        <v>115</v>
      </c>
      <c r="AB75" s="127" t="s">
        <v>115</v>
      </c>
      <c r="AC75" s="127" t="s">
        <v>115</v>
      </c>
      <c r="AD75" s="127" t="s">
        <v>115</v>
      </c>
      <c r="AE75" s="127" t="s">
        <v>115</v>
      </c>
      <c r="AF75" s="127" t="s">
        <v>115</v>
      </c>
      <c r="AG75" s="127" t="s">
        <v>115</v>
      </c>
      <c r="AH75" s="123">
        <v>0</v>
      </c>
      <c r="AI75" s="123">
        <v>0</v>
      </c>
      <c r="AJ75" s="123">
        <v>0</v>
      </c>
      <c r="AK75" s="123">
        <v>0</v>
      </c>
      <c r="AL75" s="123">
        <v>31</v>
      </c>
      <c r="AN75" s="123">
        <f t="shared" si="1"/>
        <v>31</v>
      </c>
      <c r="AO75" s="123" t="s">
        <v>188</v>
      </c>
      <c r="AP75" s="123" t="s">
        <v>3623</v>
      </c>
    </row>
    <row r="76" spans="1:42" x14ac:dyDescent="0.2">
      <c r="A76" s="123" t="s">
        <v>2928</v>
      </c>
      <c r="B76" s="123" t="s">
        <v>2929</v>
      </c>
      <c r="C76" s="123">
        <v>1</v>
      </c>
      <c r="D76" s="123">
        <v>1</v>
      </c>
      <c r="E76" s="123" t="s">
        <v>834</v>
      </c>
      <c r="F76" s="125">
        <v>43560</v>
      </c>
      <c r="G76" s="125" t="s">
        <v>4027</v>
      </c>
      <c r="H76" s="125" t="s">
        <v>4752</v>
      </c>
      <c r="I76" s="171">
        <v>3.8194444444444441E-2</v>
      </c>
      <c r="J76" s="173">
        <v>6.3657407407407402E-4</v>
      </c>
      <c r="K76" s="129">
        <v>55</v>
      </c>
      <c r="M76" s="123" t="s">
        <v>466</v>
      </c>
      <c r="N76" s="123" t="s">
        <v>102</v>
      </c>
      <c r="O76" s="123" t="s">
        <v>115</v>
      </c>
      <c r="P76" s="123" t="s">
        <v>24</v>
      </c>
      <c r="Q76" s="123">
        <v>0</v>
      </c>
      <c r="R76" s="123">
        <v>0</v>
      </c>
      <c r="T76" s="127" t="s">
        <v>115</v>
      </c>
      <c r="U76" s="127" t="s">
        <v>115</v>
      </c>
      <c r="V76" s="127" t="s">
        <v>115</v>
      </c>
      <c r="W76" s="127"/>
      <c r="X76" s="127"/>
      <c r="Y76" s="127"/>
      <c r="Z76" s="127" t="s">
        <v>115</v>
      </c>
      <c r="AA76" s="127" t="s">
        <v>115</v>
      </c>
      <c r="AB76" s="127" t="s">
        <v>115</v>
      </c>
      <c r="AC76" s="127" t="s">
        <v>115</v>
      </c>
      <c r="AD76" s="127" t="s">
        <v>115</v>
      </c>
      <c r="AE76" s="127" t="s">
        <v>115</v>
      </c>
      <c r="AF76" s="127" t="s">
        <v>115</v>
      </c>
      <c r="AG76" s="127"/>
      <c r="AH76" s="123">
        <v>0</v>
      </c>
      <c r="AI76" s="123">
        <v>0</v>
      </c>
      <c r="AJ76" s="123">
        <v>0</v>
      </c>
      <c r="AK76" s="123">
        <v>0</v>
      </c>
      <c r="AL76" s="123">
        <v>55</v>
      </c>
      <c r="AN76" s="123">
        <f t="shared" si="1"/>
        <v>55</v>
      </c>
      <c r="AO76" s="123" t="s">
        <v>188</v>
      </c>
    </row>
    <row r="77" spans="1:42" x14ac:dyDescent="0.2">
      <c r="A77" s="123" t="s">
        <v>2948</v>
      </c>
      <c r="B77" s="123" t="s">
        <v>2949</v>
      </c>
      <c r="C77" s="123">
        <v>10</v>
      </c>
      <c r="D77" s="123">
        <v>1</v>
      </c>
      <c r="E77" s="123" t="s">
        <v>834</v>
      </c>
      <c r="F77" s="125">
        <v>43560</v>
      </c>
      <c r="G77" s="125" t="s">
        <v>4027</v>
      </c>
      <c r="H77" s="125" t="s">
        <v>4752</v>
      </c>
      <c r="I77" s="171">
        <v>1.0416666666666666E-2</v>
      </c>
      <c r="J77" s="173">
        <v>1.7361111111111112E-4</v>
      </c>
      <c r="K77" s="129">
        <v>15</v>
      </c>
      <c r="M77" s="123" t="s">
        <v>466</v>
      </c>
      <c r="N77" s="123" t="s">
        <v>102</v>
      </c>
      <c r="O77" s="123" t="s">
        <v>115</v>
      </c>
      <c r="P77" s="123" t="s">
        <v>24</v>
      </c>
      <c r="Q77" s="123">
        <v>0</v>
      </c>
      <c r="R77" s="123">
        <v>0</v>
      </c>
      <c r="T77" s="127" t="s">
        <v>115</v>
      </c>
      <c r="U77" s="127" t="s">
        <v>115</v>
      </c>
      <c r="V77" s="127" t="s">
        <v>115</v>
      </c>
      <c r="W77" s="127"/>
      <c r="X77" s="127"/>
      <c r="Y77" s="127"/>
      <c r="Z77" s="127" t="s">
        <v>115</v>
      </c>
      <c r="AA77" s="127" t="s">
        <v>115</v>
      </c>
      <c r="AB77" s="127" t="s">
        <v>115</v>
      </c>
      <c r="AC77" s="127" t="s">
        <v>115</v>
      </c>
      <c r="AD77" s="127" t="s">
        <v>115</v>
      </c>
      <c r="AE77" s="127" t="s">
        <v>115</v>
      </c>
      <c r="AF77" s="127" t="s">
        <v>115</v>
      </c>
      <c r="AG77" s="127"/>
      <c r="AH77" s="123">
        <v>0</v>
      </c>
      <c r="AI77" s="123">
        <v>0</v>
      </c>
      <c r="AJ77" s="123">
        <v>0</v>
      </c>
      <c r="AK77" s="123">
        <v>0</v>
      </c>
      <c r="AL77" s="123">
        <v>15</v>
      </c>
      <c r="AN77" s="123">
        <f t="shared" si="1"/>
        <v>15</v>
      </c>
      <c r="AO77" s="123" t="s">
        <v>188</v>
      </c>
    </row>
    <row r="78" spans="1:42" x14ac:dyDescent="0.2">
      <c r="A78" s="123" t="s">
        <v>2950</v>
      </c>
      <c r="B78" s="123" t="s">
        <v>2951</v>
      </c>
      <c r="C78" s="123">
        <v>11</v>
      </c>
      <c r="D78" s="123">
        <v>1</v>
      </c>
      <c r="E78" s="123" t="s">
        <v>834</v>
      </c>
      <c r="F78" s="125">
        <v>43560</v>
      </c>
      <c r="G78" s="125" t="s">
        <v>4027</v>
      </c>
      <c r="H78" s="125" t="s">
        <v>4752</v>
      </c>
      <c r="I78" s="171">
        <v>7.6388888888888886E-3</v>
      </c>
      <c r="J78" s="173">
        <v>1.273148148148148E-4</v>
      </c>
      <c r="K78" s="129">
        <v>11</v>
      </c>
      <c r="M78" s="123" t="s">
        <v>466</v>
      </c>
      <c r="N78" s="123" t="s">
        <v>102</v>
      </c>
      <c r="O78" s="123" t="s">
        <v>115</v>
      </c>
      <c r="P78" s="123" t="s">
        <v>24</v>
      </c>
      <c r="Q78" s="123">
        <v>0</v>
      </c>
      <c r="R78" s="123">
        <v>0</v>
      </c>
      <c r="T78" s="127" t="s">
        <v>115</v>
      </c>
      <c r="U78" s="127" t="s">
        <v>115</v>
      </c>
      <c r="V78" s="127" t="s">
        <v>115</v>
      </c>
      <c r="W78" s="127"/>
      <c r="X78" s="127"/>
      <c r="Y78" s="127"/>
      <c r="Z78" s="127" t="s">
        <v>115</v>
      </c>
      <c r="AA78" s="127" t="s">
        <v>115</v>
      </c>
      <c r="AB78" s="127" t="s">
        <v>115</v>
      </c>
      <c r="AC78" s="127" t="s">
        <v>115</v>
      </c>
      <c r="AD78" s="127" t="s">
        <v>115</v>
      </c>
      <c r="AE78" s="127" t="s">
        <v>115</v>
      </c>
      <c r="AF78" s="127" t="s">
        <v>115</v>
      </c>
      <c r="AG78" s="127"/>
      <c r="AH78" s="123">
        <v>0</v>
      </c>
      <c r="AI78" s="123">
        <v>0</v>
      </c>
      <c r="AJ78" s="123">
        <v>0</v>
      </c>
      <c r="AK78" s="123">
        <v>0</v>
      </c>
      <c r="AL78" s="123">
        <v>11</v>
      </c>
      <c r="AN78" s="123">
        <f t="shared" si="1"/>
        <v>11</v>
      </c>
      <c r="AO78" s="123" t="s">
        <v>188</v>
      </c>
    </row>
    <row r="79" spans="1:42" x14ac:dyDescent="0.2">
      <c r="A79" s="123" t="s">
        <v>2976</v>
      </c>
      <c r="B79" s="123" t="s">
        <v>2977</v>
      </c>
      <c r="C79" s="123">
        <v>23</v>
      </c>
      <c r="D79" s="123">
        <v>1</v>
      </c>
      <c r="E79" s="123" t="s">
        <v>834</v>
      </c>
      <c r="F79" s="125">
        <v>43560</v>
      </c>
      <c r="G79" s="125" t="s">
        <v>4027</v>
      </c>
      <c r="H79" s="125" t="s">
        <v>4752</v>
      </c>
      <c r="I79" s="171">
        <v>1.8749999999999999E-2</v>
      </c>
      <c r="J79" s="173">
        <v>3.1250000000000001E-4</v>
      </c>
      <c r="K79" s="129">
        <v>27</v>
      </c>
      <c r="M79" s="123" t="s">
        <v>466</v>
      </c>
      <c r="N79" s="123" t="s">
        <v>102</v>
      </c>
      <c r="O79" s="123" t="s">
        <v>115</v>
      </c>
      <c r="P79" s="123" t="s">
        <v>24</v>
      </c>
      <c r="Q79" s="123">
        <v>0</v>
      </c>
      <c r="R79" s="123">
        <v>0</v>
      </c>
      <c r="T79" s="127" t="s">
        <v>115</v>
      </c>
      <c r="U79" s="127" t="s">
        <v>115</v>
      </c>
      <c r="V79" s="127" t="s">
        <v>115</v>
      </c>
      <c r="W79" s="127"/>
      <c r="X79" s="127"/>
      <c r="Y79" s="127"/>
      <c r="Z79" s="127" t="s">
        <v>115</v>
      </c>
      <c r="AA79" s="127" t="s">
        <v>115</v>
      </c>
      <c r="AB79" s="127" t="s">
        <v>115</v>
      </c>
      <c r="AC79" s="127" t="s">
        <v>115</v>
      </c>
      <c r="AD79" s="127" t="s">
        <v>115</v>
      </c>
      <c r="AE79" s="127" t="s">
        <v>115</v>
      </c>
      <c r="AF79" s="127" t="s">
        <v>115</v>
      </c>
      <c r="AG79" s="127"/>
      <c r="AH79" s="123">
        <v>0</v>
      </c>
      <c r="AI79" s="123">
        <v>0</v>
      </c>
      <c r="AJ79" s="123">
        <v>0</v>
      </c>
      <c r="AK79" s="123">
        <v>0</v>
      </c>
      <c r="AL79" s="123">
        <v>27</v>
      </c>
      <c r="AN79" s="123">
        <f t="shared" si="1"/>
        <v>27</v>
      </c>
      <c r="AO79" s="123" t="s">
        <v>188</v>
      </c>
    </row>
    <row r="80" spans="1:42" x14ac:dyDescent="0.2">
      <c r="A80" s="123" t="s">
        <v>2984</v>
      </c>
      <c r="B80" s="123" t="s">
        <v>2985</v>
      </c>
      <c r="C80" s="123">
        <v>27</v>
      </c>
      <c r="D80" s="123">
        <v>2</v>
      </c>
      <c r="E80" s="123" t="s">
        <v>834</v>
      </c>
      <c r="F80" s="125">
        <v>43560</v>
      </c>
      <c r="G80" s="125" t="s">
        <v>4027</v>
      </c>
      <c r="H80" s="125" t="s">
        <v>4752</v>
      </c>
      <c r="I80" s="171">
        <v>6.805555555555555E-2</v>
      </c>
      <c r="J80" s="173">
        <v>1.1342592592592591E-3</v>
      </c>
      <c r="K80" s="129">
        <v>98</v>
      </c>
      <c r="M80" s="123" t="s">
        <v>466</v>
      </c>
      <c r="N80" s="123" t="s">
        <v>102</v>
      </c>
      <c r="O80" s="123" t="s">
        <v>23</v>
      </c>
      <c r="P80" s="123" t="s">
        <v>24</v>
      </c>
      <c r="Q80" s="123">
        <v>0</v>
      </c>
      <c r="R80" s="123">
        <v>0</v>
      </c>
      <c r="T80" s="127" t="s">
        <v>115</v>
      </c>
      <c r="U80" s="127" t="s">
        <v>115</v>
      </c>
      <c r="V80" s="127" t="s">
        <v>115</v>
      </c>
      <c r="W80" s="127"/>
      <c r="X80" s="127"/>
      <c r="Y80" s="127"/>
      <c r="Z80" s="127" t="s">
        <v>115</v>
      </c>
      <c r="AA80" s="127" t="s">
        <v>115</v>
      </c>
      <c r="AB80" s="127" t="s">
        <v>115</v>
      </c>
      <c r="AC80" s="127" t="s">
        <v>115</v>
      </c>
      <c r="AD80" s="127" t="s">
        <v>115</v>
      </c>
      <c r="AE80" s="127" t="s">
        <v>115</v>
      </c>
      <c r="AF80" s="127" t="s">
        <v>115</v>
      </c>
      <c r="AG80" s="127"/>
      <c r="AH80" s="123">
        <v>0</v>
      </c>
      <c r="AI80" s="123">
        <v>0</v>
      </c>
      <c r="AJ80" s="123">
        <v>0</v>
      </c>
      <c r="AK80" s="123">
        <v>0</v>
      </c>
      <c r="AL80" s="123">
        <v>85</v>
      </c>
      <c r="AN80" s="123">
        <f t="shared" si="1"/>
        <v>85</v>
      </c>
      <c r="AO80" s="123" t="s">
        <v>188</v>
      </c>
    </row>
    <row r="81" spans="1:44" x14ac:dyDescent="0.2">
      <c r="A81" s="123" t="s">
        <v>2941</v>
      </c>
      <c r="B81" s="123" t="s">
        <v>2942</v>
      </c>
      <c r="C81" s="123">
        <v>6</v>
      </c>
      <c r="D81" s="123">
        <v>1</v>
      </c>
      <c r="E81" s="123" t="s">
        <v>834</v>
      </c>
      <c r="F81" s="125">
        <v>43560</v>
      </c>
      <c r="G81" s="125" t="s">
        <v>4027</v>
      </c>
      <c r="H81" s="125" t="s">
        <v>4752</v>
      </c>
      <c r="I81" s="171">
        <v>3.0555555555555555E-2</v>
      </c>
      <c r="J81" s="173">
        <v>5.0925925925925921E-4</v>
      </c>
      <c r="K81" s="129">
        <v>44</v>
      </c>
      <c r="M81" s="123" t="s">
        <v>466</v>
      </c>
      <c r="N81" s="123" t="s">
        <v>102</v>
      </c>
      <c r="O81" s="123" t="s">
        <v>23</v>
      </c>
      <c r="P81" s="123" t="s">
        <v>24</v>
      </c>
      <c r="Q81" s="123">
        <v>0</v>
      </c>
      <c r="R81" s="123">
        <v>0</v>
      </c>
      <c r="T81" s="127" t="s">
        <v>115</v>
      </c>
      <c r="U81" s="127" t="s">
        <v>115</v>
      </c>
      <c r="V81" s="127" t="s">
        <v>115</v>
      </c>
      <c r="W81" s="127"/>
      <c r="X81" s="127"/>
      <c r="Y81" s="127"/>
      <c r="Z81" s="127" t="s">
        <v>115</v>
      </c>
      <c r="AA81" s="127" t="s">
        <v>115</v>
      </c>
      <c r="AB81" s="127" t="s">
        <v>115</v>
      </c>
      <c r="AC81" s="127" t="s">
        <v>115</v>
      </c>
      <c r="AD81" s="127" t="s">
        <v>115</v>
      </c>
      <c r="AE81" s="127" t="s">
        <v>115</v>
      </c>
      <c r="AF81" s="127" t="s">
        <v>115</v>
      </c>
      <c r="AG81" s="127"/>
      <c r="AH81" s="123">
        <v>28</v>
      </c>
      <c r="AI81" s="123">
        <v>0</v>
      </c>
      <c r="AJ81" s="123">
        <v>0</v>
      </c>
      <c r="AK81" s="123">
        <v>28</v>
      </c>
      <c r="AL81" s="123">
        <v>0</v>
      </c>
      <c r="AN81" s="123">
        <f t="shared" si="1"/>
        <v>28</v>
      </c>
      <c r="AO81" s="123" t="s">
        <v>2374</v>
      </c>
      <c r="AQ81" s="123">
        <v>1</v>
      </c>
      <c r="AR81" s="123">
        <v>0</v>
      </c>
    </row>
    <row r="82" spans="1:44" x14ac:dyDescent="0.2">
      <c r="A82" s="123" t="s">
        <v>2946</v>
      </c>
      <c r="B82" s="123" t="s">
        <v>2947</v>
      </c>
      <c r="C82" s="123">
        <v>9</v>
      </c>
      <c r="D82" s="123">
        <v>1</v>
      </c>
      <c r="E82" s="123" t="s">
        <v>834</v>
      </c>
      <c r="F82" s="125">
        <v>43560</v>
      </c>
      <c r="G82" s="125" t="s">
        <v>4027</v>
      </c>
      <c r="H82" s="125" t="s">
        <v>4752</v>
      </c>
      <c r="I82" s="171">
        <v>6.2499999999999995E-3</v>
      </c>
      <c r="J82" s="173">
        <v>1.0416666666666667E-4</v>
      </c>
      <c r="K82" s="129">
        <v>9</v>
      </c>
      <c r="M82" s="123" t="s">
        <v>466</v>
      </c>
      <c r="N82" s="123" t="s">
        <v>102</v>
      </c>
      <c r="O82" s="123" t="s">
        <v>115</v>
      </c>
      <c r="P82" s="123" t="s">
        <v>24</v>
      </c>
      <c r="Q82" s="123">
        <v>0</v>
      </c>
      <c r="R82" s="123">
        <v>0</v>
      </c>
      <c r="T82" s="127" t="s">
        <v>115</v>
      </c>
      <c r="U82" s="127" t="s">
        <v>115</v>
      </c>
      <c r="V82" s="127" t="s">
        <v>115</v>
      </c>
      <c r="W82" s="127"/>
      <c r="X82" s="127"/>
      <c r="Y82" s="127"/>
      <c r="Z82" s="127" t="s">
        <v>115</v>
      </c>
      <c r="AA82" s="127" t="s">
        <v>115</v>
      </c>
      <c r="AB82" s="127" t="s">
        <v>115</v>
      </c>
      <c r="AC82" s="127" t="s">
        <v>115</v>
      </c>
      <c r="AD82" s="127" t="s">
        <v>115</v>
      </c>
      <c r="AE82" s="127" t="s">
        <v>115</v>
      </c>
      <c r="AF82" s="127" t="s">
        <v>115</v>
      </c>
      <c r="AG82" s="127"/>
      <c r="AH82" s="123">
        <v>0</v>
      </c>
      <c r="AI82" s="123">
        <v>0</v>
      </c>
      <c r="AJ82" s="123">
        <v>0</v>
      </c>
      <c r="AK82" s="123">
        <v>0</v>
      </c>
      <c r="AL82" s="123">
        <v>9</v>
      </c>
      <c r="AN82" s="123">
        <f t="shared" si="1"/>
        <v>9</v>
      </c>
      <c r="AO82" s="123" t="s">
        <v>188</v>
      </c>
    </row>
    <row r="83" spans="1:44" x14ac:dyDescent="0.2">
      <c r="A83" s="123" t="s">
        <v>3325</v>
      </c>
      <c r="B83" s="123" t="s">
        <v>3326</v>
      </c>
      <c r="C83" s="123">
        <v>14</v>
      </c>
      <c r="D83" s="123">
        <v>1</v>
      </c>
      <c r="E83" s="123" t="s">
        <v>834</v>
      </c>
      <c r="F83" s="125">
        <v>43577</v>
      </c>
      <c r="G83" s="125" t="s">
        <v>4027</v>
      </c>
      <c r="H83" s="125" t="s">
        <v>4752</v>
      </c>
      <c r="I83" s="171">
        <v>3.4722222222222224E-2</v>
      </c>
      <c r="J83" s="173">
        <v>5.7870370370370378E-4</v>
      </c>
      <c r="K83" s="129">
        <v>50</v>
      </c>
      <c r="L83" s="123" t="s">
        <v>101</v>
      </c>
      <c r="M83" s="123" t="s">
        <v>466</v>
      </c>
      <c r="N83" s="123" t="s">
        <v>102</v>
      </c>
      <c r="O83" s="123" t="s">
        <v>115</v>
      </c>
      <c r="P83" s="123" t="s">
        <v>24</v>
      </c>
      <c r="Q83" s="123">
        <v>0</v>
      </c>
      <c r="R83" s="123">
        <v>0</v>
      </c>
      <c r="T83" s="127" t="s">
        <v>115</v>
      </c>
      <c r="U83" s="127" t="s">
        <v>115</v>
      </c>
      <c r="V83" s="127" t="s">
        <v>115</v>
      </c>
      <c r="W83" s="127"/>
      <c r="X83" s="127"/>
      <c r="Y83" s="127"/>
      <c r="Z83" s="127" t="s">
        <v>115</v>
      </c>
      <c r="AA83" s="127" t="s">
        <v>115</v>
      </c>
      <c r="AB83" s="127" t="s">
        <v>115</v>
      </c>
      <c r="AC83" s="127" t="s">
        <v>115</v>
      </c>
      <c r="AD83" s="127" t="s">
        <v>115</v>
      </c>
      <c r="AE83" s="127" t="s">
        <v>115</v>
      </c>
      <c r="AF83" s="127" t="s">
        <v>115</v>
      </c>
      <c r="AG83" s="127" t="s">
        <v>115</v>
      </c>
      <c r="AH83" s="123">
        <v>0</v>
      </c>
      <c r="AI83" s="123">
        <v>0</v>
      </c>
      <c r="AJ83" s="123">
        <v>0</v>
      </c>
      <c r="AK83" s="123">
        <v>0</v>
      </c>
      <c r="AL83" s="123">
        <v>50</v>
      </c>
      <c r="AN83" s="123">
        <f t="shared" si="1"/>
        <v>50</v>
      </c>
      <c r="AO83" s="123" t="s">
        <v>188</v>
      </c>
    </row>
    <row r="84" spans="1:44" x14ac:dyDescent="0.2">
      <c r="A84" s="123" t="s">
        <v>3296</v>
      </c>
      <c r="B84" s="123" t="s">
        <v>3298</v>
      </c>
      <c r="C84" s="123">
        <v>2</v>
      </c>
      <c r="D84" s="123">
        <v>1</v>
      </c>
      <c r="E84" s="123" t="s">
        <v>834</v>
      </c>
      <c r="F84" s="125">
        <v>43577</v>
      </c>
      <c r="G84" s="125" t="s">
        <v>4027</v>
      </c>
      <c r="H84" s="125" t="s">
        <v>4752</v>
      </c>
      <c r="I84" s="171">
        <v>2.6388888888888889E-2</v>
      </c>
      <c r="J84" s="173">
        <v>4.3981481481481481E-4</v>
      </c>
      <c r="K84" s="129">
        <v>38</v>
      </c>
      <c r="L84" s="123" t="s">
        <v>101</v>
      </c>
      <c r="M84" s="123" t="s">
        <v>466</v>
      </c>
      <c r="N84" s="123" t="s">
        <v>102</v>
      </c>
      <c r="O84" s="123" t="s">
        <v>115</v>
      </c>
      <c r="P84" s="123" t="s">
        <v>24</v>
      </c>
      <c r="Q84" s="123">
        <v>0</v>
      </c>
      <c r="R84" s="123">
        <v>0</v>
      </c>
      <c r="T84" s="127" t="s">
        <v>115</v>
      </c>
      <c r="U84" s="127" t="s">
        <v>115</v>
      </c>
      <c r="V84" s="127" t="s">
        <v>115</v>
      </c>
      <c r="W84" s="127"/>
      <c r="X84" s="127"/>
      <c r="Y84" s="127"/>
      <c r="Z84" s="127" t="s">
        <v>115</v>
      </c>
      <c r="AA84" s="127" t="s">
        <v>115</v>
      </c>
      <c r="AB84" s="127" t="s">
        <v>115</v>
      </c>
      <c r="AC84" s="127" t="s">
        <v>115</v>
      </c>
      <c r="AD84" s="127" t="s">
        <v>115</v>
      </c>
      <c r="AE84" s="127" t="s">
        <v>115</v>
      </c>
      <c r="AF84" s="127" t="s">
        <v>115</v>
      </c>
      <c r="AG84" s="127" t="s">
        <v>115</v>
      </c>
      <c r="AH84" s="123">
        <v>0</v>
      </c>
      <c r="AI84" s="123">
        <v>0</v>
      </c>
      <c r="AJ84" s="123">
        <v>0</v>
      </c>
      <c r="AK84" s="123">
        <v>0</v>
      </c>
      <c r="AL84" s="123">
        <v>25</v>
      </c>
      <c r="AN84" s="123">
        <f t="shared" si="1"/>
        <v>25</v>
      </c>
      <c r="AO84" s="123" t="s">
        <v>188</v>
      </c>
      <c r="AP84" s="123" t="s">
        <v>4858</v>
      </c>
      <c r="AQ84" s="123">
        <v>0</v>
      </c>
      <c r="AR84" s="123">
        <v>0</v>
      </c>
    </row>
    <row r="85" spans="1:44" x14ac:dyDescent="0.2">
      <c r="A85" s="123" t="s">
        <v>3346</v>
      </c>
      <c r="B85" s="123" t="s">
        <v>3347</v>
      </c>
      <c r="C85" s="123">
        <v>24</v>
      </c>
      <c r="D85" s="123">
        <v>1</v>
      </c>
      <c r="E85" s="123" t="s">
        <v>834</v>
      </c>
      <c r="F85" s="125">
        <v>43577</v>
      </c>
      <c r="G85" s="125" t="s">
        <v>4027</v>
      </c>
      <c r="H85" s="125" t="s">
        <v>4752</v>
      </c>
      <c r="I85" s="171">
        <v>5.6250000000000001E-2</v>
      </c>
      <c r="J85" s="173">
        <v>9.3750000000000007E-4</v>
      </c>
      <c r="K85" s="129">
        <v>81</v>
      </c>
      <c r="L85" s="123" t="s">
        <v>101</v>
      </c>
      <c r="M85" s="123" t="s">
        <v>466</v>
      </c>
      <c r="N85" s="123" t="s">
        <v>102</v>
      </c>
      <c r="O85" s="123" t="s">
        <v>115</v>
      </c>
      <c r="P85" s="123" t="s">
        <v>24</v>
      </c>
      <c r="Q85" s="123">
        <v>0</v>
      </c>
      <c r="R85" s="123">
        <v>0</v>
      </c>
      <c r="T85" s="127" t="s">
        <v>115</v>
      </c>
      <c r="U85" s="127" t="s">
        <v>115</v>
      </c>
      <c r="V85" s="127" t="s">
        <v>115</v>
      </c>
      <c r="W85" s="127"/>
      <c r="X85" s="127"/>
      <c r="Y85" s="127"/>
      <c r="Z85" s="127" t="s">
        <v>115</v>
      </c>
      <c r="AA85" s="127" t="s">
        <v>115</v>
      </c>
      <c r="AB85" s="127" t="s">
        <v>115</v>
      </c>
      <c r="AC85" s="127" t="s">
        <v>115</v>
      </c>
      <c r="AD85" s="127" t="s">
        <v>115</v>
      </c>
      <c r="AE85" s="127" t="s">
        <v>115</v>
      </c>
      <c r="AF85" s="127" t="s">
        <v>115</v>
      </c>
      <c r="AG85" s="127" t="s">
        <v>115</v>
      </c>
      <c r="AH85" s="123">
        <v>0</v>
      </c>
      <c r="AI85" s="123">
        <v>0</v>
      </c>
      <c r="AJ85" s="123">
        <v>0</v>
      </c>
      <c r="AK85" s="123">
        <v>0</v>
      </c>
      <c r="AL85" s="123">
        <v>81</v>
      </c>
      <c r="AN85" s="123">
        <f t="shared" si="1"/>
        <v>81</v>
      </c>
      <c r="AO85" s="123" t="s">
        <v>188</v>
      </c>
    </row>
    <row r="86" spans="1:44" x14ac:dyDescent="0.2">
      <c r="A86" s="123" t="s">
        <v>2786</v>
      </c>
      <c r="B86" s="123" t="s">
        <v>2787</v>
      </c>
      <c r="C86" s="123">
        <v>3</v>
      </c>
      <c r="D86" s="123">
        <v>1</v>
      </c>
      <c r="E86" s="123" t="s">
        <v>2781</v>
      </c>
      <c r="F86" s="125">
        <v>43556</v>
      </c>
      <c r="G86" s="125" t="s">
        <v>4027</v>
      </c>
      <c r="H86" s="125" t="s">
        <v>4752</v>
      </c>
      <c r="I86" s="171">
        <v>6.5277777777777782E-2</v>
      </c>
      <c r="J86" s="173">
        <v>1.0879629629629629E-3</v>
      </c>
      <c r="K86" s="129">
        <v>94</v>
      </c>
      <c r="M86" s="123" t="s">
        <v>2782</v>
      </c>
      <c r="N86" s="123" t="s">
        <v>111</v>
      </c>
      <c r="O86" s="123" t="s">
        <v>23</v>
      </c>
      <c r="P86" s="123">
        <v>1</v>
      </c>
      <c r="Q86" s="123">
        <v>0</v>
      </c>
      <c r="R86" s="123">
        <v>1</v>
      </c>
      <c r="S86" s="123" t="s">
        <v>176</v>
      </c>
      <c r="T86" s="127" t="s">
        <v>24</v>
      </c>
      <c r="U86" s="127" t="s">
        <v>2383</v>
      </c>
      <c r="V86" s="127" t="s">
        <v>1035</v>
      </c>
      <c r="W86" s="127" t="s">
        <v>23</v>
      </c>
      <c r="X86" s="127" t="s">
        <v>3997</v>
      </c>
      <c r="Y86" s="127" t="s">
        <v>4006</v>
      </c>
      <c r="Z86" s="127" t="s">
        <v>2457</v>
      </c>
      <c r="AA86" s="123">
        <v>50</v>
      </c>
      <c r="AB86" s="127" t="s">
        <v>24</v>
      </c>
      <c r="AC86" s="123">
        <v>63.725149999999999</v>
      </c>
      <c r="AD86" s="123">
        <v>148.98685</v>
      </c>
      <c r="AE86" s="127" t="s">
        <v>115</v>
      </c>
      <c r="AF86" s="127" t="s">
        <v>115</v>
      </c>
      <c r="AG86" s="127"/>
      <c r="AH86" s="123">
        <v>0</v>
      </c>
      <c r="AI86" s="123">
        <v>0</v>
      </c>
      <c r="AJ86" s="123">
        <v>0</v>
      </c>
      <c r="AK86" s="123">
        <v>0</v>
      </c>
      <c r="AL86" s="123">
        <v>0</v>
      </c>
      <c r="AN86" s="123">
        <f t="shared" si="1"/>
        <v>0</v>
      </c>
    </row>
    <row r="87" spans="1:44" x14ac:dyDescent="0.2">
      <c r="A87" s="123" t="s">
        <v>2784</v>
      </c>
      <c r="B87" s="123" t="s">
        <v>2785</v>
      </c>
      <c r="C87" s="123">
        <v>2</v>
      </c>
      <c r="D87" s="123">
        <v>1</v>
      </c>
      <c r="E87" s="123" t="s">
        <v>2781</v>
      </c>
      <c r="F87" s="125">
        <v>43556</v>
      </c>
      <c r="G87" s="125" t="s">
        <v>4027</v>
      </c>
      <c r="H87" s="125" t="s">
        <v>4752</v>
      </c>
      <c r="I87" s="171">
        <v>2.013888888888889E-2</v>
      </c>
      <c r="J87" s="173">
        <v>3.3564814814814812E-4</v>
      </c>
      <c r="K87" s="129">
        <v>29</v>
      </c>
      <c r="M87" s="123" t="s">
        <v>2782</v>
      </c>
      <c r="N87" s="123" t="s">
        <v>102</v>
      </c>
      <c r="O87" s="123" t="s">
        <v>23</v>
      </c>
      <c r="P87" s="123">
        <v>0</v>
      </c>
      <c r="Q87" s="123">
        <v>0</v>
      </c>
      <c r="R87" s="123">
        <v>0</v>
      </c>
      <c r="T87" s="127" t="s">
        <v>115</v>
      </c>
      <c r="U87" s="127" t="s">
        <v>115</v>
      </c>
      <c r="V87" s="127" t="s">
        <v>115</v>
      </c>
      <c r="W87" s="127"/>
      <c r="X87" s="127"/>
      <c r="Y87" s="127"/>
      <c r="Z87" s="127" t="s">
        <v>115</v>
      </c>
      <c r="AA87" s="127" t="s">
        <v>115</v>
      </c>
      <c r="AB87" s="127" t="s">
        <v>115</v>
      </c>
      <c r="AC87" s="127" t="s">
        <v>115</v>
      </c>
      <c r="AD87" s="127" t="s">
        <v>115</v>
      </c>
      <c r="AE87" s="127" t="s">
        <v>115</v>
      </c>
      <c r="AF87" s="127" t="s">
        <v>115</v>
      </c>
      <c r="AG87" s="127"/>
      <c r="AH87" s="123">
        <v>10</v>
      </c>
      <c r="AI87" s="123">
        <v>0</v>
      </c>
      <c r="AJ87" s="123">
        <v>10</v>
      </c>
      <c r="AK87" s="123">
        <v>0</v>
      </c>
      <c r="AL87" s="123">
        <v>0</v>
      </c>
      <c r="AN87" s="123">
        <f t="shared" si="1"/>
        <v>10</v>
      </c>
    </row>
    <row r="88" spans="1:44" x14ac:dyDescent="0.2">
      <c r="A88" s="123" t="s">
        <v>2779</v>
      </c>
      <c r="B88" s="123" t="s">
        <v>2780</v>
      </c>
      <c r="C88" s="123">
        <v>1</v>
      </c>
      <c r="D88" s="123">
        <v>1</v>
      </c>
      <c r="E88" s="123" t="s">
        <v>2781</v>
      </c>
      <c r="F88" s="125">
        <v>43556</v>
      </c>
      <c r="G88" s="125" t="s">
        <v>4027</v>
      </c>
      <c r="H88" s="125" t="s">
        <v>4752</v>
      </c>
      <c r="I88" s="171">
        <v>9.7222222222222224E-3</v>
      </c>
      <c r="J88" s="173">
        <v>1.6203703703703703E-4</v>
      </c>
      <c r="K88" s="129">
        <v>14</v>
      </c>
      <c r="M88" s="123" t="s">
        <v>2782</v>
      </c>
      <c r="N88" s="123" t="s">
        <v>176</v>
      </c>
      <c r="O88" s="123" t="s">
        <v>23</v>
      </c>
      <c r="P88" s="123" t="s">
        <v>24</v>
      </c>
      <c r="Q88" s="123" t="s">
        <v>24</v>
      </c>
      <c r="R88" s="123" t="s">
        <v>176</v>
      </c>
      <c r="T88" s="127" t="s">
        <v>115</v>
      </c>
      <c r="U88" s="127" t="s">
        <v>115</v>
      </c>
      <c r="V88" s="127" t="s">
        <v>115</v>
      </c>
      <c r="W88" s="127"/>
      <c r="X88" s="127"/>
      <c r="Y88" s="127"/>
      <c r="Z88" s="127" t="s">
        <v>115</v>
      </c>
      <c r="AA88" s="127" t="s">
        <v>115</v>
      </c>
      <c r="AB88" s="127" t="s">
        <v>115</v>
      </c>
      <c r="AC88" s="127" t="s">
        <v>115</v>
      </c>
      <c r="AD88" s="127" t="s">
        <v>115</v>
      </c>
      <c r="AE88" s="127" t="s">
        <v>115</v>
      </c>
      <c r="AF88" s="127" t="s">
        <v>115</v>
      </c>
      <c r="AG88" s="127"/>
      <c r="AH88" s="123">
        <v>0</v>
      </c>
      <c r="AI88" s="123">
        <v>0</v>
      </c>
      <c r="AJ88" s="123">
        <v>0</v>
      </c>
      <c r="AK88" s="123">
        <v>0</v>
      </c>
      <c r="AL88" s="123">
        <v>0</v>
      </c>
      <c r="AN88" s="123">
        <f t="shared" si="1"/>
        <v>0</v>
      </c>
      <c r="AP88" s="123" t="s">
        <v>2783</v>
      </c>
    </row>
    <row r="89" spans="1:44" x14ac:dyDescent="0.2">
      <c r="A89" s="123" t="s">
        <v>3143</v>
      </c>
      <c r="B89" s="123" t="s">
        <v>3144</v>
      </c>
      <c r="C89" s="123">
        <v>3</v>
      </c>
      <c r="D89" s="123">
        <v>1</v>
      </c>
      <c r="E89" s="123" t="s">
        <v>2462</v>
      </c>
      <c r="F89" s="125">
        <v>43571</v>
      </c>
      <c r="G89" s="125" t="s">
        <v>4027</v>
      </c>
      <c r="H89" s="125" t="s">
        <v>4752</v>
      </c>
      <c r="I89" s="171">
        <v>1.8055555555555557E-2</v>
      </c>
      <c r="J89" s="173">
        <v>3.0092592592592595E-4</v>
      </c>
      <c r="K89" s="129">
        <v>26</v>
      </c>
      <c r="L89" s="123" t="s">
        <v>1278</v>
      </c>
      <c r="M89" s="123" t="s">
        <v>363</v>
      </c>
      <c r="N89" s="123" t="s">
        <v>102</v>
      </c>
      <c r="O89" s="123" t="s">
        <v>23</v>
      </c>
      <c r="P89" s="123">
        <v>0</v>
      </c>
      <c r="Q89" s="123">
        <v>0</v>
      </c>
      <c r="R89" s="123">
        <v>0</v>
      </c>
      <c r="T89" s="127" t="s">
        <v>115</v>
      </c>
      <c r="U89" s="127" t="s">
        <v>115</v>
      </c>
      <c r="V89" s="127" t="s">
        <v>115</v>
      </c>
      <c r="W89" s="127"/>
      <c r="X89" s="127"/>
      <c r="Y89" s="127"/>
      <c r="Z89" s="127" t="s">
        <v>115</v>
      </c>
      <c r="AA89" s="127" t="s">
        <v>115</v>
      </c>
      <c r="AB89" s="127" t="s">
        <v>115</v>
      </c>
      <c r="AC89" s="127" t="s">
        <v>115</v>
      </c>
      <c r="AD89" s="127" t="s">
        <v>115</v>
      </c>
      <c r="AE89" s="127" t="s">
        <v>115</v>
      </c>
      <c r="AF89" s="127" t="s">
        <v>115</v>
      </c>
      <c r="AG89" s="127"/>
      <c r="AH89" s="123">
        <v>0</v>
      </c>
      <c r="AI89" s="123">
        <v>16</v>
      </c>
      <c r="AJ89" s="123">
        <v>0</v>
      </c>
      <c r="AK89" s="123">
        <v>16</v>
      </c>
      <c r="AL89" s="123">
        <v>0</v>
      </c>
      <c r="AN89" s="123">
        <f t="shared" si="1"/>
        <v>16</v>
      </c>
      <c r="AO89" s="123" t="s">
        <v>188</v>
      </c>
    </row>
    <row r="90" spans="1:44" x14ac:dyDescent="0.2">
      <c r="A90" s="123" t="s">
        <v>3145</v>
      </c>
      <c r="B90" s="123" t="s">
        <v>3146</v>
      </c>
      <c r="C90" s="123">
        <v>4</v>
      </c>
      <c r="D90" s="123">
        <v>1</v>
      </c>
      <c r="E90" s="123" t="s">
        <v>2462</v>
      </c>
      <c r="F90" s="125">
        <v>43571</v>
      </c>
      <c r="G90" s="125" t="s">
        <v>4027</v>
      </c>
      <c r="H90" s="125" t="s">
        <v>4752</v>
      </c>
      <c r="I90" s="171">
        <v>2.5694444444444447E-2</v>
      </c>
      <c r="J90" s="173">
        <v>4.2824074074074075E-4</v>
      </c>
      <c r="K90" s="129">
        <v>37</v>
      </c>
      <c r="L90" s="123" t="s">
        <v>1278</v>
      </c>
      <c r="M90" s="123" t="s">
        <v>363</v>
      </c>
      <c r="N90" s="123" t="s">
        <v>102</v>
      </c>
      <c r="O90" s="123" t="s">
        <v>23</v>
      </c>
      <c r="P90" s="123">
        <v>0</v>
      </c>
      <c r="Q90" s="123">
        <v>0</v>
      </c>
      <c r="R90" s="123">
        <v>0</v>
      </c>
      <c r="T90" s="127" t="s">
        <v>115</v>
      </c>
      <c r="U90" s="127" t="s">
        <v>115</v>
      </c>
      <c r="V90" s="127" t="s">
        <v>115</v>
      </c>
      <c r="W90" s="127"/>
      <c r="X90" s="127"/>
      <c r="Y90" s="127"/>
      <c r="Z90" s="127" t="s">
        <v>115</v>
      </c>
      <c r="AA90" s="127" t="s">
        <v>115</v>
      </c>
      <c r="AB90" s="127" t="s">
        <v>115</v>
      </c>
      <c r="AC90" s="127" t="s">
        <v>115</v>
      </c>
      <c r="AD90" s="127" t="s">
        <v>115</v>
      </c>
      <c r="AE90" s="127" t="s">
        <v>115</v>
      </c>
      <c r="AF90" s="127" t="s">
        <v>115</v>
      </c>
      <c r="AG90" s="127"/>
      <c r="AH90" s="123">
        <v>0</v>
      </c>
      <c r="AI90" s="123">
        <v>21</v>
      </c>
      <c r="AJ90" s="123">
        <v>0</v>
      </c>
      <c r="AK90" s="123">
        <v>21</v>
      </c>
      <c r="AL90" s="123">
        <v>0</v>
      </c>
      <c r="AN90" s="123">
        <f t="shared" si="1"/>
        <v>21</v>
      </c>
      <c r="AO90" s="123" t="s">
        <v>188</v>
      </c>
    </row>
    <row r="91" spans="1:44" x14ac:dyDescent="0.2">
      <c r="A91" s="123" t="s">
        <v>3251</v>
      </c>
      <c r="B91" s="123" t="s">
        <v>3252</v>
      </c>
      <c r="C91" s="123">
        <v>2</v>
      </c>
      <c r="D91" s="123">
        <v>1</v>
      </c>
      <c r="E91" s="123" t="s">
        <v>2462</v>
      </c>
      <c r="F91" s="125">
        <v>43573</v>
      </c>
      <c r="G91" s="125" t="s">
        <v>4027</v>
      </c>
      <c r="H91" s="125" t="s">
        <v>4752</v>
      </c>
      <c r="I91" s="171">
        <v>7.6388888888888886E-3</v>
      </c>
      <c r="J91" s="173">
        <v>1.273148148148148E-4</v>
      </c>
      <c r="K91" s="129">
        <v>11</v>
      </c>
      <c r="L91" s="123" t="s">
        <v>398</v>
      </c>
      <c r="M91" s="123" t="s">
        <v>363</v>
      </c>
      <c r="N91" s="123" t="s">
        <v>102</v>
      </c>
      <c r="O91" s="123" t="s">
        <v>115</v>
      </c>
      <c r="P91" s="123">
        <v>1</v>
      </c>
      <c r="Q91" s="123">
        <v>0</v>
      </c>
      <c r="R91" s="123">
        <v>0</v>
      </c>
      <c r="S91" s="123" t="s">
        <v>176</v>
      </c>
      <c r="T91" s="127" t="s">
        <v>24</v>
      </c>
      <c r="U91" s="127" t="s">
        <v>122</v>
      </c>
      <c r="V91" s="127" t="s">
        <v>115</v>
      </c>
      <c r="W91" s="127"/>
      <c r="X91" s="127"/>
      <c r="Y91" s="127"/>
      <c r="Z91" s="127" t="s">
        <v>115</v>
      </c>
      <c r="AA91" s="127" t="s">
        <v>115</v>
      </c>
      <c r="AB91" s="127" t="s">
        <v>115</v>
      </c>
      <c r="AC91" s="127" t="s">
        <v>115</v>
      </c>
      <c r="AD91" s="127" t="s">
        <v>115</v>
      </c>
      <c r="AE91" s="127" t="s">
        <v>115</v>
      </c>
      <c r="AF91" s="127" t="s">
        <v>115</v>
      </c>
      <c r="AG91" s="127" t="s">
        <v>115</v>
      </c>
      <c r="AH91" s="123">
        <v>0</v>
      </c>
      <c r="AI91" s="123">
        <v>0</v>
      </c>
      <c r="AJ91" s="123">
        <v>0</v>
      </c>
      <c r="AK91" s="123">
        <v>0</v>
      </c>
      <c r="AL91" s="123">
        <v>11</v>
      </c>
      <c r="AN91" s="123">
        <f t="shared" si="1"/>
        <v>11</v>
      </c>
      <c r="AO91" s="123" t="s">
        <v>188</v>
      </c>
    </row>
    <row r="92" spans="1:44" x14ac:dyDescent="0.2">
      <c r="A92" s="123" t="s">
        <v>3260</v>
      </c>
      <c r="B92" s="123" t="s">
        <v>3261</v>
      </c>
      <c r="C92" s="123">
        <v>5</v>
      </c>
      <c r="D92" s="123">
        <v>2</v>
      </c>
      <c r="E92" s="123" t="s">
        <v>2462</v>
      </c>
      <c r="F92" s="125">
        <v>43573</v>
      </c>
      <c r="G92" s="125" t="s">
        <v>4027</v>
      </c>
      <c r="H92" s="125" t="s">
        <v>4752</v>
      </c>
      <c r="I92" s="171">
        <v>4.027777777777778E-2</v>
      </c>
      <c r="J92" s="173">
        <v>6.7129629629629625E-4</v>
      </c>
      <c r="K92" s="129">
        <v>58</v>
      </c>
      <c r="L92" s="123" t="s">
        <v>398</v>
      </c>
      <c r="M92" s="123" t="s">
        <v>363</v>
      </c>
      <c r="N92" s="123" t="s">
        <v>102</v>
      </c>
      <c r="O92" s="123" t="s">
        <v>115</v>
      </c>
      <c r="P92" s="123">
        <v>1</v>
      </c>
      <c r="Q92" s="123">
        <v>0</v>
      </c>
      <c r="R92" s="123">
        <v>0</v>
      </c>
      <c r="S92" s="123" t="s">
        <v>176</v>
      </c>
      <c r="T92" s="127" t="s">
        <v>24</v>
      </c>
      <c r="U92" s="127" t="s">
        <v>122</v>
      </c>
      <c r="V92" s="127" t="s">
        <v>115</v>
      </c>
      <c r="W92" s="127"/>
      <c r="X92" s="127"/>
      <c r="Y92" s="127"/>
      <c r="Z92" s="127" t="s">
        <v>115</v>
      </c>
      <c r="AA92" s="127" t="s">
        <v>115</v>
      </c>
      <c r="AB92" s="127" t="s">
        <v>115</v>
      </c>
      <c r="AC92" s="127" t="s">
        <v>115</v>
      </c>
      <c r="AD92" s="127" t="s">
        <v>115</v>
      </c>
      <c r="AE92" s="127" t="s">
        <v>115</v>
      </c>
      <c r="AF92" s="127" t="s">
        <v>115</v>
      </c>
      <c r="AG92" s="127" t="s">
        <v>115</v>
      </c>
      <c r="AH92" s="123">
        <v>0</v>
      </c>
      <c r="AI92" s="123">
        <v>0</v>
      </c>
      <c r="AJ92" s="123">
        <v>0</v>
      </c>
      <c r="AK92" s="123">
        <v>0</v>
      </c>
      <c r="AL92" s="123">
        <v>24</v>
      </c>
      <c r="AN92" s="123">
        <f t="shared" si="1"/>
        <v>24</v>
      </c>
      <c r="AO92" s="123" t="s">
        <v>188</v>
      </c>
      <c r="AP92" s="123" t="s">
        <v>3263</v>
      </c>
    </row>
    <row r="93" spans="1:44" x14ac:dyDescent="0.2">
      <c r="A93" s="123" t="s">
        <v>3266</v>
      </c>
      <c r="B93" s="123" t="s">
        <v>3267</v>
      </c>
      <c r="C93" s="123">
        <v>7</v>
      </c>
      <c r="D93" s="123">
        <v>1</v>
      </c>
      <c r="E93" s="123" t="s">
        <v>2462</v>
      </c>
      <c r="F93" s="125">
        <v>43573</v>
      </c>
      <c r="G93" s="125" t="s">
        <v>4027</v>
      </c>
      <c r="H93" s="125" t="s">
        <v>4752</v>
      </c>
      <c r="I93" s="171">
        <v>8.3333333333333332E-3</v>
      </c>
      <c r="J93" s="173">
        <v>1.3888888888888889E-4</v>
      </c>
      <c r="K93" s="129">
        <v>12</v>
      </c>
      <c r="L93" s="123" t="s">
        <v>398</v>
      </c>
      <c r="M93" s="123" t="s">
        <v>363</v>
      </c>
      <c r="N93" s="123" t="s">
        <v>102</v>
      </c>
      <c r="O93" s="123" t="s">
        <v>115</v>
      </c>
      <c r="P93" s="123">
        <v>1</v>
      </c>
      <c r="Q93" s="123">
        <v>0</v>
      </c>
      <c r="R93" s="123">
        <v>0</v>
      </c>
      <c r="S93" s="123" t="s">
        <v>176</v>
      </c>
      <c r="T93" s="127" t="s">
        <v>24</v>
      </c>
      <c r="U93" s="127" t="s">
        <v>122</v>
      </c>
      <c r="V93" s="127" t="s">
        <v>115</v>
      </c>
      <c r="W93" s="127"/>
      <c r="X93" s="127"/>
      <c r="Y93" s="127"/>
      <c r="Z93" s="127" t="s">
        <v>115</v>
      </c>
      <c r="AA93" s="127" t="s">
        <v>115</v>
      </c>
      <c r="AB93" s="127" t="s">
        <v>115</v>
      </c>
      <c r="AC93" s="127" t="s">
        <v>115</v>
      </c>
      <c r="AD93" s="127" t="s">
        <v>115</v>
      </c>
      <c r="AE93" s="127" t="s">
        <v>115</v>
      </c>
      <c r="AF93" s="127" t="s">
        <v>115</v>
      </c>
      <c r="AG93" s="127" t="s">
        <v>115</v>
      </c>
      <c r="AH93" s="123">
        <v>0</v>
      </c>
      <c r="AI93" s="123">
        <v>0</v>
      </c>
      <c r="AJ93" s="123">
        <v>0</v>
      </c>
      <c r="AK93" s="123">
        <v>0</v>
      </c>
      <c r="AL93" s="123">
        <v>12</v>
      </c>
      <c r="AN93" s="123">
        <f t="shared" si="1"/>
        <v>12</v>
      </c>
      <c r="AO93" s="123" t="s">
        <v>188</v>
      </c>
    </row>
    <row r="94" spans="1:44" x14ac:dyDescent="0.2">
      <c r="A94" s="123" t="s">
        <v>3264</v>
      </c>
      <c r="B94" s="123" t="s">
        <v>3265</v>
      </c>
      <c r="C94" s="123">
        <v>6</v>
      </c>
      <c r="D94" s="123">
        <v>1</v>
      </c>
      <c r="E94" s="123" t="s">
        <v>2462</v>
      </c>
      <c r="F94" s="125">
        <v>43573</v>
      </c>
      <c r="G94" s="125" t="s">
        <v>4027</v>
      </c>
      <c r="H94" s="125" t="s">
        <v>4752</v>
      </c>
      <c r="I94" s="171">
        <v>2.4305555555555556E-2</v>
      </c>
      <c r="J94" s="173">
        <v>4.0509259259259258E-4</v>
      </c>
      <c r="K94" s="129">
        <v>35</v>
      </c>
      <c r="L94" s="123" t="s">
        <v>398</v>
      </c>
      <c r="M94" s="123" t="s">
        <v>363</v>
      </c>
      <c r="N94" s="123" t="s">
        <v>102</v>
      </c>
      <c r="O94" s="123" t="s">
        <v>12</v>
      </c>
      <c r="P94" s="123">
        <v>2</v>
      </c>
      <c r="Q94" s="123" t="s">
        <v>24</v>
      </c>
      <c r="R94" s="123">
        <v>0</v>
      </c>
      <c r="S94" s="123" t="s">
        <v>176</v>
      </c>
      <c r="T94" s="127" t="s">
        <v>24</v>
      </c>
      <c r="U94" s="127" t="s">
        <v>819</v>
      </c>
      <c r="V94" s="127" t="s">
        <v>115</v>
      </c>
      <c r="W94" s="127"/>
      <c r="X94" s="127"/>
      <c r="Y94" s="127"/>
      <c r="Z94" s="127" t="s">
        <v>115</v>
      </c>
      <c r="AA94" s="127" t="s">
        <v>115</v>
      </c>
      <c r="AB94" s="127" t="s">
        <v>115</v>
      </c>
      <c r="AC94" s="127" t="s">
        <v>115</v>
      </c>
      <c r="AD94" s="127" t="s">
        <v>115</v>
      </c>
      <c r="AE94" s="127" t="s">
        <v>115</v>
      </c>
      <c r="AF94" s="127" t="s">
        <v>115</v>
      </c>
      <c r="AG94" s="127" t="s">
        <v>115</v>
      </c>
      <c r="AH94" s="123">
        <v>0</v>
      </c>
      <c r="AI94" s="123">
        <v>0</v>
      </c>
      <c r="AJ94" s="123">
        <v>0</v>
      </c>
      <c r="AK94" s="123">
        <v>0</v>
      </c>
      <c r="AL94" s="123">
        <v>35</v>
      </c>
      <c r="AN94" s="123">
        <f t="shared" si="1"/>
        <v>35</v>
      </c>
      <c r="AO94" s="123" t="s">
        <v>2374</v>
      </c>
      <c r="AQ94" s="123">
        <v>9</v>
      </c>
      <c r="AR94" s="123">
        <v>0</v>
      </c>
    </row>
    <row r="95" spans="1:44" x14ac:dyDescent="0.2">
      <c r="A95" s="123" t="s">
        <v>3260</v>
      </c>
      <c r="B95" s="123" t="s">
        <v>3261</v>
      </c>
      <c r="C95" s="123">
        <v>5</v>
      </c>
      <c r="D95" s="123">
        <v>1</v>
      </c>
      <c r="E95" s="123" t="s">
        <v>2462</v>
      </c>
      <c r="F95" s="125">
        <v>43573</v>
      </c>
      <c r="G95" s="125" t="s">
        <v>4027</v>
      </c>
      <c r="H95" s="125" t="s">
        <v>4752</v>
      </c>
      <c r="I95" s="171">
        <v>4.027777777777778E-2</v>
      </c>
      <c r="J95" s="173">
        <v>6.7129629629629625E-4</v>
      </c>
      <c r="K95" s="129">
        <v>58</v>
      </c>
      <c r="L95" s="123" t="s">
        <v>398</v>
      </c>
      <c r="M95" s="123" t="s">
        <v>363</v>
      </c>
      <c r="N95" s="123" t="s">
        <v>102</v>
      </c>
      <c r="O95" s="123" t="s">
        <v>115</v>
      </c>
      <c r="P95" s="123">
        <v>1</v>
      </c>
      <c r="Q95" s="123">
        <v>0</v>
      </c>
      <c r="R95" s="123">
        <v>0</v>
      </c>
      <c r="S95" s="123" t="s">
        <v>14</v>
      </c>
      <c r="T95" s="127" t="s">
        <v>3262</v>
      </c>
      <c r="U95" s="127" t="s">
        <v>122</v>
      </c>
      <c r="V95" s="127" t="s">
        <v>115</v>
      </c>
      <c r="W95" s="127"/>
      <c r="X95" s="127"/>
      <c r="Y95" s="127"/>
      <c r="Z95" s="127" t="s">
        <v>115</v>
      </c>
      <c r="AA95" s="127" t="s">
        <v>115</v>
      </c>
      <c r="AB95" s="127" t="s">
        <v>115</v>
      </c>
      <c r="AC95" s="127" t="s">
        <v>115</v>
      </c>
      <c r="AD95" s="127" t="s">
        <v>115</v>
      </c>
      <c r="AE95" s="127" t="s">
        <v>115</v>
      </c>
      <c r="AF95" s="127" t="s">
        <v>115</v>
      </c>
      <c r="AG95" s="127" t="s">
        <v>115</v>
      </c>
      <c r="AH95" s="123">
        <v>0</v>
      </c>
      <c r="AI95" s="123">
        <v>0</v>
      </c>
      <c r="AJ95" s="123">
        <v>0</v>
      </c>
      <c r="AK95" s="123">
        <v>0</v>
      </c>
      <c r="AL95" s="123">
        <v>24</v>
      </c>
      <c r="AN95" s="123">
        <f t="shared" si="1"/>
        <v>24</v>
      </c>
      <c r="AO95" s="123" t="s">
        <v>188</v>
      </c>
    </row>
    <row r="96" spans="1:44" x14ac:dyDescent="0.2">
      <c r="A96" s="123" t="s">
        <v>3272</v>
      </c>
      <c r="B96" s="123" t="s">
        <v>3273</v>
      </c>
      <c r="C96" s="123">
        <v>10</v>
      </c>
      <c r="D96" s="123">
        <v>1</v>
      </c>
      <c r="E96" s="123" t="s">
        <v>2462</v>
      </c>
      <c r="F96" s="125">
        <v>43573</v>
      </c>
      <c r="G96" s="125" t="s">
        <v>4027</v>
      </c>
      <c r="H96" s="125" t="s">
        <v>4752</v>
      </c>
      <c r="I96" s="171">
        <v>2.2916666666666669E-2</v>
      </c>
      <c r="J96" s="173">
        <v>3.8194444444444446E-4</v>
      </c>
      <c r="K96" s="129">
        <v>33</v>
      </c>
      <c r="L96" s="123" t="s">
        <v>398</v>
      </c>
      <c r="M96" s="123" t="s">
        <v>363</v>
      </c>
      <c r="N96" s="123" t="s">
        <v>102</v>
      </c>
      <c r="O96" s="123" t="s">
        <v>115</v>
      </c>
      <c r="P96" s="123">
        <v>0</v>
      </c>
      <c r="Q96" s="123">
        <v>0</v>
      </c>
      <c r="R96" s="123">
        <v>0</v>
      </c>
      <c r="T96" s="127" t="s">
        <v>115</v>
      </c>
      <c r="U96" s="127" t="s">
        <v>115</v>
      </c>
      <c r="V96" s="127" t="s">
        <v>115</v>
      </c>
      <c r="W96" s="127"/>
      <c r="X96" s="127"/>
      <c r="Y96" s="127"/>
      <c r="Z96" s="127" t="s">
        <v>115</v>
      </c>
      <c r="AA96" s="127" t="s">
        <v>115</v>
      </c>
      <c r="AB96" s="127" t="s">
        <v>115</v>
      </c>
      <c r="AC96" s="127" t="s">
        <v>115</v>
      </c>
      <c r="AD96" s="127" t="s">
        <v>115</v>
      </c>
      <c r="AE96" s="127" t="s">
        <v>115</v>
      </c>
      <c r="AF96" s="127" t="s">
        <v>115</v>
      </c>
      <c r="AG96" s="127" t="s">
        <v>115</v>
      </c>
      <c r="AH96" s="123">
        <v>0</v>
      </c>
      <c r="AI96" s="123">
        <v>0</v>
      </c>
      <c r="AJ96" s="123">
        <v>0</v>
      </c>
      <c r="AK96" s="123">
        <v>0</v>
      </c>
      <c r="AL96" s="123">
        <v>24</v>
      </c>
      <c r="AN96" s="123">
        <f t="shared" si="1"/>
        <v>24</v>
      </c>
      <c r="AO96" s="123" t="s">
        <v>188</v>
      </c>
    </row>
    <row r="97" spans="1:44" x14ac:dyDescent="0.2">
      <c r="A97" s="123" t="s">
        <v>3477</v>
      </c>
      <c r="B97" s="123" t="s">
        <v>3478</v>
      </c>
      <c r="C97" s="123">
        <v>12</v>
      </c>
      <c r="D97" s="123">
        <v>1</v>
      </c>
      <c r="E97" s="123" t="s">
        <v>2462</v>
      </c>
      <c r="F97" s="125">
        <v>43579</v>
      </c>
      <c r="G97" s="125" t="s">
        <v>4027</v>
      </c>
      <c r="H97" s="125" t="s">
        <v>4752</v>
      </c>
      <c r="I97" s="171">
        <v>2.8472222222222222E-2</v>
      </c>
      <c r="J97" s="173">
        <v>4.7453703703703704E-4</v>
      </c>
      <c r="K97" s="129">
        <v>41</v>
      </c>
      <c r="L97" s="123" t="s">
        <v>101</v>
      </c>
      <c r="M97" s="123" t="s">
        <v>363</v>
      </c>
      <c r="N97" s="123" t="s">
        <v>107</v>
      </c>
      <c r="O97" s="123" t="s">
        <v>115</v>
      </c>
      <c r="P97" s="123">
        <v>1</v>
      </c>
      <c r="Q97" s="123">
        <v>0</v>
      </c>
      <c r="R97" s="123">
        <v>1</v>
      </c>
      <c r="S97" s="123" t="s">
        <v>176</v>
      </c>
      <c r="T97" s="127" t="s">
        <v>24</v>
      </c>
      <c r="U97" s="127" t="s">
        <v>24</v>
      </c>
      <c r="V97" s="127" t="s">
        <v>2068</v>
      </c>
      <c r="W97" s="127" t="s">
        <v>23</v>
      </c>
      <c r="X97" s="127" t="s">
        <v>3997</v>
      </c>
      <c r="Y97" s="127" t="s">
        <v>4005</v>
      </c>
      <c r="AB97" s="127" t="s">
        <v>176</v>
      </c>
      <c r="AE97" s="127" t="s">
        <v>115</v>
      </c>
      <c r="AF97" s="127" t="s">
        <v>115</v>
      </c>
      <c r="AG97" s="127" t="s">
        <v>115</v>
      </c>
      <c r="AH97" s="123">
        <v>0</v>
      </c>
      <c r="AI97" s="123">
        <v>0</v>
      </c>
      <c r="AJ97" s="123">
        <v>0</v>
      </c>
      <c r="AK97" s="123">
        <v>0</v>
      </c>
      <c r="AL97" s="123">
        <v>0</v>
      </c>
      <c r="AN97" s="123">
        <f t="shared" si="1"/>
        <v>0</v>
      </c>
      <c r="AP97" s="123" t="s">
        <v>3479</v>
      </c>
    </row>
    <row r="98" spans="1:44" x14ac:dyDescent="0.2">
      <c r="A98" s="123" t="s">
        <v>3486</v>
      </c>
      <c r="B98" s="123" t="s">
        <v>3487</v>
      </c>
      <c r="C98" s="123">
        <v>16</v>
      </c>
      <c r="D98" s="123">
        <v>1</v>
      </c>
      <c r="E98" s="123" t="s">
        <v>2462</v>
      </c>
      <c r="F98" s="125">
        <v>43579</v>
      </c>
      <c r="G98" s="125" t="s">
        <v>4027</v>
      </c>
      <c r="H98" s="125" t="s">
        <v>4752</v>
      </c>
      <c r="I98" s="171">
        <v>7.6388888888888886E-3</v>
      </c>
      <c r="J98" s="173">
        <v>1.273148148148148E-4</v>
      </c>
      <c r="K98" s="129">
        <v>11</v>
      </c>
      <c r="L98" s="123" t="s">
        <v>101</v>
      </c>
      <c r="M98" s="123" t="s">
        <v>363</v>
      </c>
      <c r="N98" s="123" t="s">
        <v>102</v>
      </c>
      <c r="O98" s="123" t="s">
        <v>12</v>
      </c>
      <c r="P98" s="123">
        <v>1</v>
      </c>
      <c r="Q98" s="123">
        <v>0</v>
      </c>
      <c r="R98" s="123">
        <v>0</v>
      </c>
      <c r="S98" s="123" t="s">
        <v>176</v>
      </c>
      <c r="T98" s="127" t="s">
        <v>24</v>
      </c>
      <c r="U98" s="127" t="s">
        <v>819</v>
      </c>
      <c r="V98" s="127" t="s">
        <v>115</v>
      </c>
      <c r="W98" s="127"/>
      <c r="X98" s="127"/>
      <c r="Y98" s="127"/>
      <c r="Z98" s="127" t="s">
        <v>115</v>
      </c>
      <c r="AA98" s="127" t="s">
        <v>115</v>
      </c>
      <c r="AB98" s="127" t="s">
        <v>115</v>
      </c>
      <c r="AC98" s="127" t="s">
        <v>115</v>
      </c>
      <c r="AD98" s="127" t="s">
        <v>115</v>
      </c>
      <c r="AE98" s="127" t="s">
        <v>115</v>
      </c>
      <c r="AF98" s="127" t="s">
        <v>115</v>
      </c>
      <c r="AG98" s="127" t="s">
        <v>115</v>
      </c>
      <c r="AH98" s="123">
        <v>0</v>
      </c>
      <c r="AI98" s="123">
        <v>0</v>
      </c>
      <c r="AJ98" s="123">
        <v>0</v>
      </c>
      <c r="AK98" s="123">
        <v>0</v>
      </c>
      <c r="AL98" s="123">
        <v>0</v>
      </c>
      <c r="AN98" s="123">
        <f t="shared" si="1"/>
        <v>0</v>
      </c>
      <c r="AP98" s="123" t="s">
        <v>2405</v>
      </c>
    </row>
    <row r="99" spans="1:44" x14ac:dyDescent="0.2">
      <c r="A99" s="123" t="s">
        <v>3475</v>
      </c>
      <c r="B99" s="123" t="s">
        <v>3476</v>
      </c>
      <c r="C99" s="123">
        <v>11</v>
      </c>
      <c r="D99" s="123">
        <v>1</v>
      </c>
      <c r="E99" s="123" t="s">
        <v>2462</v>
      </c>
      <c r="F99" s="125">
        <v>43579</v>
      </c>
      <c r="G99" s="125" t="s">
        <v>4027</v>
      </c>
      <c r="H99" s="125" t="s">
        <v>4752</v>
      </c>
      <c r="I99" s="171">
        <v>2.5694444444444447E-2</v>
      </c>
      <c r="J99" s="173">
        <v>4.2824074074074075E-4</v>
      </c>
      <c r="K99" s="129">
        <v>37</v>
      </c>
      <c r="L99" s="123" t="s">
        <v>101</v>
      </c>
      <c r="M99" s="123" t="s">
        <v>363</v>
      </c>
      <c r="N99" s="123" t="s">
        <v>102</v>
      </c>
      <c r="O99" s="123" t="s">
        <v>115</v>
      </c>
      <c r="P99" s="123">
        <v>1</v>
      </c>
      <c r="Q99" s="123">
        <v>0</v>
      </c>
      <c r="R99" s="123">
        <v>0</v>
      </c>
      <c r="S99" s="123" t="s">
        <v>176</v>
      </c>
      <c r="T99" s="127" t="s">
        <v>24</v>
      </c>
      <c r="U99" s="127" t="s">
        <v>122</v>
      </c>
      <c r="V99" s="127" t="s">
        <v>115</v>
      </c>
      <c r="W99" s="127"/>
      <c r="X99" s="127"/>
      <c r="Y99" s="127"/>
      <c r="Z99" s="127" t="s">
        <v>115</v>
      </c>
      <c r="AA99" s="127" t="s">
        <v>115</v>
      </c>
      <c r="AB99" s="127" t="s">
        <v>115</v>
      </c>
      <c r="AC99" s="127" t="s">
        <v>115</v>
      </c>
      <c r="AD99" s="127" t="s">
        <v>115</v>
      </c>
      <c r="AE99" s="127" t="s">
        <v>115</v>
      </c>
      <c r="AF99" s="127" t="s">
        <v>115</v>
      </c>
      <c r="AG99" s="127" t="s">
        <v>115</v>
      </c>
      <c r="AH99" s="123">
        <v>0</v>
      </c>
      <c r="AI99" s="123">
        <v>0</v>
      </c>
      <c r="AJ99" s="123">
        <v>0</v>
      </c>
      <c r="AK99" s="123">
        <v>0</v>
      </c>
      <c r="AL99" s="123">
        <v>35</v>
      </c>
      <c r="AN99" s="123">
        <f t="shared" si="1"/>
        <v>35</v>
      </c>
      <c r="AO99" s="123" t="s">
        <v>188</v>
      </c>
    </row>
    <row r="100" spans="1:44" x14ac:dyDescent="0.2">
      <c r="A100" s="123" t="s">
        <v>3500</v>
      </c>
      <c r="B100" s="123" t="s">
        <v>3501</v>
      </c>
      <c r="C100" s="123">
        <v>23</v>
      </c>
      <c r="D100" s="123">
        <v>1</v>
      </c>
      <c r="E100" s="123" t="s">
        <v>2462</v>
      </c>
      <c r="F100" s="125">
        <v>43579</v>
      </c>
      <c r="G100" s="125" t="s">
        <v>4027</v>
      </c>
      <c r="H100" s="125" t="s">
        <v>4752</v>
      </c>
      <c r="I100" s="171">
        <v>4.3055555555555562E-2</v>
      </c>
      <c r="J100" s="173">
        <v>7.175925925925927E-4</v>
      </c>
      <c r="K100" s="129">
        <v>62</v>
      </c>
      <c r="L100" s="123" t="s">
        <v>101</v>
      </c>
      <c r="M100" s="123" t="s">
        <v>363</v>
      </c>
      <c r="N100" s="123" t="s">
        <v>102</v>
      </c>
      <c r="O100" s="123" t="s">
        <v>115</v>
      </c>
      <c r="P100" s="123">
        <v>1</v>
      </c>
      <c r="Q100" s="123">
        <v>0</v>
      </c>
      <c r="R100" s="123">
        <v>0</v>
      </c>
      <c r="S100" s="123" t="s">
        <v>176</v>
      </c>
      <c r="T100" s="127" t="s">
        <v>24</v>
      </c>
      <c r="U100" s="127" t="s">
        <v>122</v>
      </c>
      <c r="V100" s="127" t="s">
        <v>115</v>
      </c>
      <c r="W100" s="127"/>
      <c r="X100" s="127"/>
      <c r="Y100" s="127"/>
      <c r="Z100" s="127" t="s">
        <v>115</v>
      </c>
      <c r="AA100" s="127" t="s">
        <v>115</v>
      </c>
      <c r="AB100" s="127" t="s">
        <v>115</v>
      </c>
      <c r="AC100" s="127" t="s">
        <v>115</v>
      </c>
      <c r="AD100" s="127" t="s">
        <v>115</v>
      </c>
      <c r="AE100" s="127" t="s">
        <v>115</v>
      </c>
      <c r="AF100" s="127" t="s">
        <v>115</v>
      </c>
      <c r="AG100" s="127" t="s">
        <v>115</v>
      </c>
      <c r="AH100" s="123">
        <v>0</v>
      </c>
      <c r="AI100" s="123">
        <v>0</v>
      </c>
      <c r="AJ100" s="123">
        <v>0</v>
      </c>
      <c r="AK100" s="123">
        <v>0</v>
      </c>
      <c r="AL100" s="123">
        <v>62</v>
      </c>
      <c r="AN100" s="123">
        <f t="shared" si="1"/>
        <v>62</v>
      </c>
      <c r="AO100" s="123" t="s">
        <v>188</v>
      </c>
    </row>
    <row r="101" spans="1:44" x14ac:dyDescent="0.2">
      <c r="A101" s="123" t="s">
        <v>3467</v>
      </c>
      <c r="B101" s="123" t="s">
        <v>3468</v>
      </c>
      <c r="C101" s="123">
        <v>7</v>
      </c>
      <c r="D101" s="123">
        <v>1</v>
      </c>
      <c r="E101" s="123" t="s">
        <v>2462</v>
      </c>
      <c r="F101" s="125">
        <v>43579</v>
      </c>
      <c r="G101" s="125" t="s">
        <v>4027</v>
      </c>
      <c r="H101" s="125" t="s">
        <v>4752</v>
      </c>
      <c r="I101" s="171">
        <v>1.8055555555555557E-2</v>
      </c>
      <c r="J101" s="173">
        <v>3.0092592592592595E-4</v>
      </c>
      <c r="K101" s="129">
        <v>26</v>
      </c>
      <c r="L101" s="123" t="s">
        <v>101</v>
      </c>
      <c r="M101" s="123" t="s">
        <v>363</v>
      </c>
      <c r="N101" s="123" t="s">
        <v>102</v>
      </c>
      <c r="O101" s="123" t="s">
        <v>115</v>
      </c>
      <c r="P101" s="123">
        <v>1</v>
      </c>
      <c r="Q101" s="123">
        <v>0</v>
      </c>
      <c r="R101" s="123">
        <v>0</v>
      </c>
      <c r="S101" s="123" t="s">
        <v>176</v>
      </c>
      <c r="T101" s="127" t="s">
        <v>24</v>
      </c>
      <c r="U101" s="127" t="s">
        <v>122</v>
      </c>
      <c r="V101" s="127" t="s">
        <v>115</v>
      </c>
      <c r="W101" s="127"/>
      <c r="X101" s="127"/>
      <c r="Y101" s="127"/>
      <c r="Z101" s="127" t="s">
        <v>115</v>
      </c>
      <c r="AA101" s="127" t="s">
        <v>115</v>
      </c>
      <c r="AB101" s="127" t="s">
        <v>115</v>
      </c>
      <c r="AC101" s="127" t="s">
        <v>115</v>
      </c>
      <c r="AD101" s="127" t="s">
        <v>115</v>
      </c>
      <c r="AE101" s="127" t="s">
        <v>115</v>
      </c>
      <c r="AF101" s="127" t="s">
        <v>115</v>
      </c>
      <c r="AG101" s="127" t="s">
        <v>115</v>
      </c>
      <c r="AH101" s="123">
        <v>0</v>
      </c>
      <c r="AI101" s="123">
        <v>0</v>
      </c>
      <c r="AJ101" s="123">
        <v>0</v>
      </c>
      <c r="AK101" s="123">
        <v>0</v>
      </c>
      <c r="AL101" s="123">
        <v>23</v>
      </c>
      <c r="AN101" s="123">
        <f t="shared" si="1"/>
        <v>23</v>
      </c>
      <c r="AO101" s="123" t="s">
        <v>188</v>
      </c>
    </row>
    <row r="102" spans="1:44" x14ac:dyDescent="0.2">
      <c r="A102" s="123" t="s">
        <v>3458</v>
      </c>
      <c r="B102" s="123" t="s">
        <v>3459</v>
      </c>
      <c r="C102" s="123">
        <v>3</v>
      </c>
      <c r="D102" s="123">
        <v>1</v>
      </c>
      <c r="E102" s="123" t="s">
        <v>2462</v>
      </c>
      <c r="F102" s="125">
        <v>43579</v>
      </c>
      <c r="G102" s="125" t="s">
        <v>4027</v>
      </c>
      <c r="H102" s="125" t="s">
        <v>4752</v>
      </c>
      <c r="I102" s="171">
        <v>1.8749999999999999E-2</v>
      </c>
      <c r="J102" s="173">
        <v>3.1250000000000001E-4</v>
      </c>
      <c r="K102" s="129">
        <v>27</v>
      </c>
      <c r="L102" s="123" t="s">
        <v>101</v>
      </c>
      <c r="M102" s="123" t="s">
        <v>363</v>
      </c>
      <c r="N102" s="123" t="s">
        <v>102</v>
      </c>
      <c r="O102" s="123" t="s">
        <v>115</v>
      </c>
      <c r="P102" s="123">
        <v>1</v>
      </c>
      <c r="Q102" s="123" t="s">
        <v>24</v>
      </c>
      <c r="R102" s="123">
        <v>0</v>
      </c>
      <c r="S102" s="123" t="s">
        <v>176</v>
      </c>
      <c r="T102" s="127" t="s">
        <v>24</v>
      </c>
      <c r="U102" s="127" t="s">
        <v>23</v>
      </c>
      <c r="V102" s="127" t="s">
        <v>115</v>
      </c>
      <c r="W102" s="127"/>
      <c r="X102" s="127"/>
      <c r="Y102" s="127"/>
      <c r="Z102" s="127" t="s">
        <v>115</v>
      </c>
      <c r="AA102" s="127" t="s">
        <v>115</v>
      </c>
      <c r="AB102" s="127" t="s">
        <v>115</v>
      </c>
      <c r="AC102" s="127" t="s">
        <v>115</v>
      </c>
      <c r="AD102" s="127" t="s">
        <v>115</v>
      </c>
      <c r="AE102" s="127" t="s">
        <v>115</v>
      </c>
      <c r="AF102" s="127" t="s">
        <v>115</v>
      </c>
      <c r="AG102" s="127" t="s">
        <v>115</v>
      </c>
      <c r="AH102" s="123">
        <v>20</v>
      </c>
      <c r="AI102" s="123">
        <v>0</v>
      </c>
      <c r="AJ102" s="123">
        <v>20</v>
      </c>
      <c r="AK102" s="123">
        <v>0</v>
      </c>
      <c r="AL102" s="123">
        <v>0</v>
      </c>
      <c r="AN102" s="123">
        <f t="shared" si="1"/>
        <v>20</v>
      </c>
      <c r="AO102" s="123" t="s">
        <v>188</v>
      </c>
    </row>
    <row r="103" spans="1:44" x14ac:dyDescent="0.2">
      <c r="A103" s="123" t="s">
        <v>3454</v>
      </c>
      <c r="B103" s="123" t="s">
        <v>3455</v>
      </c>
      <c r="C103" s="123">
        <v>1</v>
      </c>
      <c r="D103" s="123">
        <v>1</v>
      </c>
      <c r="E103" s="123" t="s">
        <v>2462</v>
      </c>
      <c r="F103" s="125">
        <v>43579</v>
      </c>
      <c r="G103" s="125" t="s">
        <v>4027</v>
      </c>
      <c r="H103" s="125" t="s">
        <v>4752</v>
      </c>
      <c r="I103" s="171">
        <v>9.0277777777777787E-3</v>
      </c>
      <c r="J103" s="173">
        <v>1.5046296296296297E-4</v>
      </c>
      <c r="K103" s="129">
        <v>13</v>
      </c>
      <c r="L103" s="123" t="s">
        <v>101</v>
      </c>
      <c r="M103" s="123" t="s">
        <v>363</v>
      </c>
      <c r="N103" s="123" t="s">
        <v>102</v>
      </c>
      <c r="O103" s="123" t="s">
        <v>23</v>
      </c>
      <c r="P103" s="123">
        <v>1</v>
      </c>
      <c r="Q103" s="123">
        <v>1</v>
      </c>
      <c r="R103" s="123">
        <v>0</v>
      </c>
      <c r="S103" s="123" t="s">
        <v>176</v>
      </c>
      <c r="T103" s="127" t="s">
        <v>24</v>
      </c>
      <c r="U103" s="127" t="s">
        <v>709</v>
      </c>
      <c r="V103" s="127" t="s">
        <v>115</v>
      </c>
      <c r="W103" s="127"/>
      <c r="X103" s="127"/>
      <c r="Y103" s="127"/>
      <c r="Z103" s="127" t="s">
        <v>115</v>
      </c>
      <c r="AA103" s="127" t="s">
        <v>115</v>
      </c>
      <c r="AB103" s="127" t="s">
        <v>115</v>
      </c>
      <c r="AC103" s="127" t="s">
        <v>115</v>
      </c>
      <c r="AD103" s="127" t="s">
        <v>115</v>
      </c>
      <c r="AE103" s="123">
        <v>63.735790000000001</v>
      </c>
      <c r="AF103" s="123">
        <v>148.89839000000001</v>
      </c>
      <c r="AG103" s="127" t="s">
        <v>115</v>
      </c>
      <c r="AH103" s="123">
        <v>13</v>
      </c>
      <c r="AI103" s="123">
        <v>0</v>
      </c>
      <c r="AJ103" s="123">
        <v>13</v>
      </c>
      <c r="AK103" s="123">
        <v>0</v>
      </c>
      <c r="AL103" s="123">
        <v>0</v>
      </c>
      <c r="AN103" s="123">
        <f t="shared" si="1"/>
        <v>13</v>
      </c>
      <c r="AO103" s="123" t="s">
        <v>188</v>
      </c>
    </row>
    <row r="104" spans="1:44" x14ac:dyDescent="0.2">
      <c r="A104" s="123" t="s">
        <v>3469</v>
      </c>
      <c r="B104" s="123" t="s">
        <v>3470</v>
      </c>
      <c r="C104" s="123">
        <v>8</v>
      </c>
      <c r="D104" s="123">
        <v>1</v>
      </c>
      <c r="E104" s="123" t="s">
        <v>2462</v>
      </c>
      <c r="F104" s="125">
        <v>43579</v>
      </c>
      <c r="G104" s="125" t="s">
        <v>4027</v>
      </c>
      <c r="H104" s="125" t="s">
        <v>4752</v>
      </c>
      <c r="I104" s="171">
        <v>1.3888888888888888E-2</v>
      </c>
      <c r="J104" s="173">
        <v>2.3148148148148146E-4</v>
      </c>
      <c r="K104" s="129">
        <v>20</v>
      </c>
      <c r="L104" s="123" t="s">
        <v>101</v>
      </c>
      <c r="M104" s="123" t="s">
        <v>363</v>
      </c>
      <c r="N104" s="123" t="s">
        <v>102</v>
      </c>
      <c r="O104" s="123" t="s">
        <v>12</v>
      </c>
      <c r="P104" s="123">
        <v>1</v>
      </c>
      <c r="Q104" s="123" t="s">
        <v>24</v>
      </c>
      <c r="R104" s="123">
        <v>0</v>
      </c>
      <c r="S104" s="123" t="s">
        <v>176</v>
      </c>
      <c r="T104" s="127" t="s">
        <v>24</v>
      </c>
      <c r="U104" s="127" t="s">
        <v>2306</v>
      </c>
      <c r="V104" s="127" t="s">
        <v>115</v>
      </c>
      <c r="W104" s="127"/>
      <c r="X104" s="127"/>
      <c r="Y104" s="127"/>
      <c r="Z104" s="127" t="s">
        <v>115</v>
      </c>
      <c r="AA104" s="127" t="s">
        <v>115</v>
      </c>
      <c r="AB104" s="127" t="s">
        <v>115</v>
      </c>
      <c r="AC104" s="127" t="s">
        <v>115</v>
      </c>
      <c r="AD104" s="127" t="s">
        <v>115</v>
      </c>
      <c r="AE104" s="127" t="s">
        <v>115</v>
      </c>
      <c r="AF104" s="127" t="s">
        <v>115</v>
      </c>
      <c r="AG104" s="127" t="s">
        <v>115</v>
      </c>
      <c r="AH104" s="123">
        <v>7</v>
      </c>
      <c r="AI104" s="123">
        <v>0</v>
      </c>
      <c r="AJ104" s="123">
        <v>7</v>
      </c>
      <c r="AK104" s="123">
        <v>0</v>
      </c>
      <c r="AL104" s="123">
        <v>3</v>
      </c>
      <c r="AN104" s="123">
        <f t="shared" si="1"/>
        <v>10</v>
      </c>
      <c r="AO104" s="123" t="s">
        <v>165</v>
      </c>
      <c r="AQ104" s="123">
        <v>4</v>
      </c>
      <c r="AR104" s="123">
        <v>0</v>
      </c>
    </row>
    <row r="105" spans="1:44" x14ac:dyDescent="0.2">
      <c r="A105" s="123" t="s">
        <v>3513</v>
      </c>
      <c r="B105" s="123" t="s">
        <v>3514</v>
      </c>
      <c r="C105" s="123">
        <v>29</v>
      </c>
      <c r="D105" s="123">
        <v>2</v>
      </c>
      <c r="E105" s="123" t="s">
        <v>2462</v>
      </c>
      <c r="F105" s="125">
        <v>43579</v>
      </c>
      <c r="G105" s="125" t="s">
        <v>4027</v>
      </c>
      <c r="H105" s="125" t="s">
        <v>4752</v>
      </c>
      <c r="I105" s="171">
        <v>7.0833333333333331E-2</v>
      </c>
      <c r="J105" s="173">
        <v>1.1805555555555556E-3</v>
      </c>
      <c r="K105" s="129">
        <v>102</v>
      </c>
      <c r="L105" s="123" t="s">
        <v>101</v>
      </c>
      <c r="M105" s="123" t="s">
        <v>363</v>
      </c>
      <c r="N105" s="123" t="s">
        <v>102</v>
      </c>
      <c r="O105" s="123" t="s">
        <v>115</v>
      </c>
      <c r="P105" s="123">
        <v>2</v>
      </c>
      <c r="Q105" s="123">
        <v>0</v>
      </c>
      <c r="R105" s="123">
        <v>0</v>
      </c>
      <c r="S105" s="123" t="s">
        <v>176</v>
      </c>
      <c r="T105" s="127" t="s">
        <v>24</v>
      </c>
      <c r="U105" s="127" t="s">
        <v>122</v>
      </c>
      <c r="V105" s="127" t="s">
        <v>115</v>
      </c>
      <c r="W105" s="127"/>
      <c r="X105" s="127"/>
      <c r="Y105" s="127"/>
      <c r="Z105" s="127" t="s">
        <v>115</v>
      </c>
      <c r="AA105" s="127" t="s">
        <v>115</v>
      </c>
      <c r="AB105" s="127" t="s">
        <v>115</v>
      </c>
      <c r="AC105" s="127" t="s">
        <v>115</v>
      </c>
      <c r="AD105" s="127" t="s">
        <v>115</v>
      </c>
      <c r="AE105" s="127" t="s">
        <v>115</v>
      </c>
      <c r="AF105" s="127" t="s">
        <v>115</v>
      </c>
      <c r="AG105" s="127" t="s">
        <v>115</v>
      </c>
      <c r="AH105" s="123">
        <v>0</v>
      </c>
      <c r="AI105" s="123">
        <v>0</v>
      </c>
      <c r="AJ105" s="123">
        <v>0</v>
      </c>
      <c r="AK105" s="123">
        <v>0</v>
      </c>
      <c r="AL105" s="123">
        <v>77</v>
      </c>
      <c r="AN105" s="123">
        <f t="shared" si="1"/>
        <v>77</v>
      </c>
      <c r="AO105" s="123" t="s">
        <v>188</v>
      </c>
    </row>
    <row r="106" spans="1:44" x14ac:dyDescent="0.2">
      <c r="A106" s="123" t="s">
        <v>3473</v>
      </c>
      <c r="B106" s="123" t="s">
        <v>3474</v>
      </c>
      <c r="C106" s="123">
        <v>10</v>
      </c>
      <c r="D106" s="123">
        <v>1</v>
      </c>
      <c r="E106" s="123" t="s">
        <v>2462</v>
      </c>
      <c r="F106" s="125">
        <v>43579</v>
      </c>
      <c r="G106" s="125" t="s">
        <v>4027</v>
      </c>
      <c r="H106" s="125" t="s">
        <v>4752</v>
      </c>
      <c r="I106" s="171">
        <v>6.3194444444444442E-2</v>
      </c>
      <c r="J106" s="173">
        <v>1.0532407407407407E-3</v>
      </c>
      <c r="K106" s="129">
        <v>91</v>
      </c>
      <c r="L106" s="123" t="s">
        <v>101</v>
      </c>
      <c r="M106" s="123" t="s">
        <v>363</v>
      </c>
      <c r="N106" s="123" t="s">
        <v>102</v>
      </c>
      <c r="O106" s="123" t="s">
        <v>115</v>
      </c>
      <c r="P106" s="123">
        <v>3</v>
      </c>
      <c r="Q106" s="123">
        <v>0</v>
      </c>
      <c r="R106" s="123">
        <v>0</v>
      </c>
      <c r="S106" s="123" t="s">
        <v>176</v>
      </c>
      <c r="T106" s="127" t="s">
        <v>24</v>
      </c>
      <c r="U106" s="127" t="s">
        <v>122</v>
      </c>
      <c r="V106" s="127" t="s">
        <v>115</v>
      </c>
      <c r="W106" s="127"/>
      <c r="X106" s="127"/>
      <c r="Y106" s="127"/>
      <c r="Z106" s="127" t="s">
        <v>115</v>
      </c>
      <c r="AA106" s="127" t="s">
        <v>115</v>
      </c>
      <c r="AB106" s="127" t="s">
        <v>115</v>
      </c>
      <c r="AC106" s="127" t="s">
        <v>115</v>
      </c>
      <c r="AD106" s="127" t="s">
        <v>115</v>
      </c>
      <c r="AE106" s="127" t="s">
        <v>115</v>
      </c>
      <c r="AF106" s="127" t="s">
        <v>115</v>
      </c>
      <c r="AG106" s="127" t="s">
        <v>115</v>
      </c>
      <c r="AH106" s="123">
        <v>0</v>
      </c>
      <c r="AI106" s="123">
        <v>0</v>
      </c>
      <c r="AJ106" s="123">
        <v>0</v>
      </c>
      <c r="AK106" s="123">
        <v>0</v>
      </c>
      <c r="AL106" s="123">
        <v>78</v>
      </c>
      <c r="AN106" s="123">
        <f t="shared" si="1"/>
        <v>78</v>
      </c>
      <c r="AO106" s="123" t="s">
        <v>188</v>
      </c>
    </row>
    <row r="107" spans="1:44" x14ac:dyDescent="0.2">
      <c r="A107" s="123" t="s">
        <v>3513</v>
      </c>
      <c r="B107" s="123" t="s">
        <v>3514</v>
      </c>
      <c r="C107" s="123">
        <v>29</v>
      </c>
      <c r="D107" s="123">
        <v>1</v>
      </c>
      <c r="E107" s="123" t="s">
        <v>2462</v>
      </c>
      <c r="F107" s="125">
        <v>43579</v>
      </c>
      <c r="G107" s="125" t="s">
        <v>4027</v>
      </c>
      <c r="H107" s="125" t="s">
        <v>4752</v>
      </c>
      <c r="I107" s="171">
        <v>7.0833333333333331E-2</v>
      </c>
      <c r="J107" s="173">
        <v>1.1805555555555556E-3</v>
      </c>
      <c r="K107" s="129">
        <v>102</v>
      </c>
      <c r="L107" s="123" t="s">
        <v>101</v>
      </c>
      <c r="M107" s="123" t="s">
        <v>363</v>
      </c>
      <c r="N107" s="123" t="s">
        <v>187</v>
      </c>
      <c r="O107" s="123" t="s">
        <v>23</v>
      </c>
      <c r="P107" s="123">
        <v>1</v>
      </c>
      <c r="Q107" s="123">
        <v>0</v>
      </c>
      <c r="R107" s="123">
        <v>1</v>
      </c>
      <c r="S107" s="123" t="s">
        <v>598</v>
      </c>
      <c r="T107" s="127" t="s">
        <v>2801</v>
      </c>
      <c r="U107" s="127" t="s">
        <v>122</v>
      </c>
      <c r="V107" s="127" t="s">
        <v>2141</v>
      </c>
      <c r="W107" s="127" t="s">
        <v>23</v>
      </c>
      <c r="X107" s="127" t="s">
        <v>3997</v>
      </c>
      <c r="Y107" s="127" t="s">
        <v>4020</v>
      </c>
      <c r="Z107" s="127" t="s">
        <v>2825</v>
      </c>
      <c r="AA107" s="123">
        <v>80</v>
      </c>
      <c r="AB107" s="123">
        <v>9</v>
      </c>
      <c r="AC107" s="123">
        <v>63.73518</v>
      </c>
      <c r="AD107" s="123">
        <v>148.90012999999999</v>
      </c>
      <c r="AE107" s="127" t="s">
        <v>115</v>
      </c>
      <c r="AF107" s="127" t="s">
        <v>115</v>
      </c>
      <c r="AG107" s="127" t="s">
        <v>115</v>
      </c>
      <c r="AH107" s="123">
        <v>0</v>
      </c>
      <c r="AI107" s="123">
        <v>0</v>
      </c>
      <c r="AJ107" s="123">
        <v>0</v>
      </c>
      <c r="AK107" s="123">
        <v>0</v>
      </c>
      <c r="AL107" s="123">
        <v>6</v>
      </c>
      <c r="AN107" s="123">
        <f t="shared" si="1"/>
        <v>6</v>
      </c>
      <c r="AO107" s="123" t="s">
        <v>188</v>
      </c>
      <c r="AP107" s="123" t="s">
        <v>3015</v>
      </c>
    </row>
    <row r="108" spans="1:44" x14ac:dyDescent="0.2">
      <c r="A108" s="123" t="s">
        <v>3456</v>
      </c>
      <c r="B108" s="123" t="s">
        <v>3457</v>
      </c>
      <c r="C108" s="123">
        <v>2</v>
      </c>
      <c r="D108" s="123">
        <v>1</v>
      </c>
      <c r="E108" s="123" t="s">
        <v>2462</v>
      </c>
      <c r="F108" s="125">
        <v>43579</v>
      </c>
      <c r="G108" s="125" t="s">
        <v>4027</v>
      </c>
      <c r="H108" s="125" t="s">
        <v>4752</v>
      </c>
      <c r="I108" s="171">
        <v>1.2499999999999999E-2</v>
      </c>
      <c r="J108" s="173">
        <v>2.0833333333333335E-4</v>
      </c>
      <c r="K108" s="129">
        <v>18</v>
      </c>
      <c r="L108" s="123" t="s">
        <v>101</v>
      </c>
      <c r="M108" s="123" t="s">
        <v>363</v>
      </c>
      <c r="N108" s="123" t="s">
        <v>102</v>
      </c>
      <c r="O108" s="123" t="s">
        <v>115</v>
      </c>
      <c r="P108" s="123">
        <v>1</v>
      </c>
      <c r="Q108" s="123">
        <v>0</v>
      </c>
      <c r="R108" s="123">
        <v>0</v>
      </c>
      <c r="S108" s="123" t="s">
        <v>14</v>
      </c>
      <c r="T108" s="127" t="s">
        <v>2557</v>
      </c>
      <c r="U108" s="127" t="s">
        <v>122</v>
      </c>
      <c r="V108" s="127" t="s">
        <v>115</v>
      </c>
      <c r="W108" s="127"/>
      <c r="X108" s="127"/>
      <c r="Y108" s="127"/>
      <c r="Z108" s="127" t="s">
        <v>115</v>
      </c>
      <c r="AA108" s="127" t="s">
        <v>115</v>
      </c>
      <c r="AB108" s="127" t="s">
        <v>115</v>
      </c>
      <c r="AC108" s="127" t="s">
        <v>115</v>
      </c>
      <c r="AD108" s="127" t="s">
        <v>115</v>
      </c>
      <c r="AE108" s="127" t="s">
        <v>115</v>
      </c>
      <c r="AF108" s="127" t="s">
        <v>115</v>
      </c>
      <c r="AG108" s="127" t="s">
        <v>115</v>
      </c>
      <c r="AH108" s="123">
        <v>0</v>
      </c>
      <c r="AI108" s="123">
        <v>0</v>
      </c>
      <c r="AJ108" s="123">
        <v>0</v>
      </c>
      <c r="AK108" s="123">
        <v>0</v>
      </c>
      <c r="AL108" s="123">
        <v>7</v>
      </c>
      <c r="AN108" s="123">
        <f t="shared" si="1"/>
        <v>7</v>
      </c>
      <c r="AO108" s="123" t="s">
        <v>188</v>
      </c>
    </row>
    <row r="109" spans="1:44" x14ac:dyDescent="0.2">
      <c r="A109" s="123" t="s">
        <v>3494</v>
      </c>
      <c r="B109" s="123" t="s">
        <v>3495</v>
      </c>
      <c r="C109" s="123">
        <v>20</v>
      </c>
      <c r="D109" s="123">
        <v>1</v>
      </c>
      <c r="E109" s="123" t="s">
        <v>2462</v>
      </c>
      <c r="F109" s="125">
        <v>43579</v>
      </c>
      <c r="G109" s="125" t="s">
        <v>4027</v>
      </c>
      <c r="H109" s="125" t="s">
        <v>4752</v>
      </c>
      <c r="I109" s="171">
        <v>2.2222222222222223E-2</v>
      </c>
      <c r="J109" s="173">
        <v>3.7037037037037035E-4</v>
      </c>
      <c r="K109" s="129">
        <v>32</v>
      </c>
      <c r="L109" s="123" t="s">
        <v>101</v>
      </c>
      <c r="M109" s="123" t="s">
        <v>363</v>
      </c>
      <c r="N109" s="123" t="s">
        <v>102</v>
      </c>
      <c r="O109" s="123" t="s">
        <v>115</v>
      </c>
      <c r="P109" s="123">
        <v>0</v>
      </c>
      <c r="Q109" s="123">
        <v>0</v>
      </c>
      <c r="R109" s="123">
        <v>0</v>
      </c>
      <c r="T109" s="127" t="s">
        <v>115</v>
      </c>
      <c r="U109" s="127" t="s">
        <v>115</v>
      </c>
      <c r="V109" s="127" t="s">
        <v>115</v>
      </c>
      <c r="W109" s="127"/>
      <c r="X109" s="127"/>
      <c r="Y109" s="127"/>
      <c r="Z109" s="127" t="s">
        <v>115</v>
      </c>
      <c r="AA109" s="127" t="s">
        <v>115</v>
      </c>
      <c r="AB109" s="127" t="s">
        <v>115</v>
      </c>
      <c r="AC109" s="127" t="s">
        <v>115</v>
      </c>
      <c r="AD109" s="127" t="s">
        <v>115</v>
      </c>
      <c r="AE109" s="127" t="s">
        <v>115</v>
      </c>
      <c r="AF109" s="127" t="s">
        <v>115</v>
      </c>
      <c r="AG109" s="127" t="s">
        <v>115</v>
      </c>
      <c r="AH109" s="123">
        <v>0</v>
      </c>
      <c r="AI109" s="123">
        <v>0</v>
      </c>
      <c r="AJ109" s="123">
        <v>0</v>
      </c>
      <c r="AK109" s="123">
        <v>0</v>
      </c>
      <c r="AL109" s="123">
        <v>11</v>
      </c>
      <c r="AN109" s="123">
        <f t="shared" si="1"/>
        <v>11</v>
      </c>
      <c r="AO109" s="123" t="s">
        <v>188</v>
      </c>
    </row>
    <row r="110" spans="1:44" x14ac:dyDescent="0.2">
      <c r="A110" s="123" t="s">
        <v>3471</v>
      </c>
      <c r="B110" s="123" t="s">
        <v>3472</v>
      </c>
      <c r="C110" s="123">
        <v>9</v>
      </c>
      <c r="D110" s="123">
        <v>1</v>
      </c>
      <c r="E110" s="123" t="s">
        <v>2462</v>
      </c>
      <c r="F110" s="125">
        <v>43579</v>
      </c>
      <c r="G110" s="125" t="s">
        <v>4027</v>
      </c>
      <c r="H110" s="125" t="s">
        <v>4752</v>
      </c>
      <c r="I110" s="171">
        <v>1.3888888888888888E-2</v>
      </c>
      <c r="J110" s="173">
        <v>2.3148148148148146E-4</v>
      </c>
      <c r="K110" s="129">
        <v>20</v>
      </c>
      <c r="L110" s="123" t="s">
        <v>101</v>
      </c>
      <c r="M110" s="123" t="s">
        <v>363</v>
      </c>
      <c r="N110" s="123" t="s">
        <v>102</v>
      </c>
      <c r="O110" s="123" t="s">
        <v>115</v>
      </c>
      <c r="P110" s="123">
        <v>0</v>
      </c>
      <c r="Q110" s="123">
        <v>0</v>
      </c>
      <c r="R110" s="123">
        <v>0</v>
      </c>
      <c r="T110" s="127" t="s">
        <v>115</v>
      </c>
      <c r="U110" s="127" t="s">
        <v>115</v>
      </c>
      <c r="V110" s="127" t="s">
        <v>115</v>
      </c>
      <c r="W110" s="127"/>
      <c r="X110" s="127"/>
      <c r="Y110" s="127"/>
      <c r="Z110" s="127" t="s">
        <v>115</v>
      </c>
      <c r="AA110" s="127" t="s">
        <v>115</v>
      </c>
      <c r="AB110" s="127" t="s">
        <v>115</v>
      </c>
      <c r="AC110" s="127" t="s">
        <v>115</v>
      </c>
      <c r="AD110" s="127" t="s">
        <v>115</v>
      </c>
      <c r="AE110" s="127" t="s">
        <v>115</v>
      </c>
      <c r="AF110" s="127" t="s">
        <v>115</v>
      </c>
      <c r="AG110" s="127" t="s">
        <v>115</v>
      </c>
      <c r="AH110" s="123">
        <v>0</v>
      </c>
      <c r="AI110" s="123">
        <v>0</v>
      </c>
      <c r="AJ110" s="123">
        <v>0</v>
      </c>
      <c r="AK110" s="123">
        <v>0</v>
      </c>
      <c r="AL110" s="123">
        <v>20</v>
      </c>
      <c r="AN110" s="123">
        <f t="shared" si="1"/>
        <v>20</v>
      </c>
    </row>
    <row r="111" spans="1:44" x14ac:dyDescent="0.2">
      <c r="A111" s="123" t="s">
        <v>3253</v>
      </c>
      <c r="B111" s="123" t="s">
        <v>3254</v>
      </c>
      <c r="C111" s="123">
        <v>3</v>
      </c>
      <c r="D111" s="123">
        <v>1</v>
      </c>
      <c r="E111" s="123" t="s">
        <v>2462</v>
      </c>
      <c r="F111" s="125">
        <v>43573</v>
      </c>
      <c r="G111" s="125" t="s">
        <v>4027</v>
      </c>
      <c r="H111" s="125" t="s">
        <v>4752</v>
      </c>
      <c r="I111" s="171">
        <v>1.8055555555555557E-2</v>
      </c>
      <c r="J111" s="173">
        <v>3.0092592592592595E-4</v>
      </c>
      <c r="K111" s="129">
        <v>26</v>
      </c>
      <c r="L111" s="123" t="s">
        <v>398</v>
      </c>
      <c r="M111" s="123" t="s">
        <v>363</v>
      </c>
      <c r="N111" s="123" t="s">
        <v>102</v>
      </c>
      <c r="O111" s="123" t="s">
        <v>23</v>
      </c>
      <c r="P111" s="123" t="s">
        <v>24</v>
      </c>
      <c r="Q111" s="123" t="s">
        <v>24</v>
      </c>
      <c r="R111" s="123">
        <v>0</v>
      </c>
      <c r="T111" s="127" t="s">
        <v>115</v>
      </c>
      <c r="U111" s="127" t="s">
        <v>115</v>
      </c>
      <c r="V111" s="127" t="s">
        <v>115</v>
      </c>
      <c r="W111" s="127"/>
      <c r="X111" s="127"/>
      <c r="Y111" s="127"/>
      <c r="Z111" s="127" t="s">
        <v>115</v>
      </c>
      <c r="AA111" s="127" t="s">
        <v>115</v>
      </c>
      <c r="AB111" s="127" t="s">
        <v>115</v>
      </c>
      <c r="AC111" s="127" t="s">
        <v>115</v>
      </c>
      <c r="AD111" s="127" t="s">
        <v>115</v>
      </c>
      <c r="AE111" s="127" t="s">
        <v>115</v>
      </c>
      <c r="AF111" s="127" t="s">
        <v>115</v>
      </c>
      <c r="AG111" s="127" t="s">
        <v>115</v>
      </c>
      <c r="AH111" s="123">
        <v>26</v>
      </c>
      <c r="AI111" s="123">
        <v>0</v>
      </c>
      <c r="AJ111" s="123">
        <v>26</v>
      </c>
      <c r="AK111" s="123">
        <v>0</v>
      </c>
      <c r="AL111" s="123">
        <v>0</v>
      </c>
      <c r="AN111" s="123">
        <f t="shared" si="1"/>
        <v>26</v>
      </c>
      <c r="AO111" s="123" t="s">
        <v>165</v>
      </c>
      <c r="AQ111" s="123">
        <v>1</v>
      </c>
      <c r="AR111" s="123">
        <v>0</v>
      </c>
    </row>
    <row r="112" spans="1:44" x14ac:dyDescent="0.2">
      <c r="A112" s="123" t="s">
        <v>3268</v>
      </c>
      <c r="B112" s="123" t="s">
        <v>3269</v>
      </c>
      <c r="C112" s="123">
        <v>8</v>
      </c>
      <c r="D112" s="123">
        <v>1</v>
      </c>
      <c r="E112" s="123" t="s">
        <v>2462</v>
      </c>
      <c r="F112" s="125">
        <v>43573</v>
      </c>
      <c r="G112" s="125" t="s">
        <v>4027</v>
      </c>
      <c r="H112" s="125" t="s">
        <v>4752</v>
      </c>
      <c r="I112" s="171">
        <v>2.1527777777777781E-2</v>
      </c>
      <c r="J112" s="173">
        <v>3.5879629629629635E-4</v>
      </c>
      <c r="K112" s="129">
        <v>31</v>
      </c>
      <c r="L112" s="123" t="s">
        <v>398</v>
      </c>
      <c r="M112" s="123" t="s">
        <v>363</v>
      </c>
      <c r="N112" s="123" t="s">
        <v>102</v>
      </c>
      <c r="O112" s="123" t="s">
        <v>115</v>
      </c>
      <c r="P112" s="123" t="s">
        <v>24</v>
      </c>
      <c r="Q112" s="123">
        <v>0</v>
      </c>
      <c r="R112" s="123">
        <v>0</v>
      </c>
      <c r="T112" s="127" t="s">
        <v>115</v>
      </c>
      <c r="U112" s="127" t="s">
        <v>115</v>
      </c>
      <c r="V112" s="127" t="s">
        <v>115</v>
      </c>
      <c r="W112" s="127"/>
      <c r="X112" s="127"/>
      <c r="Y112" s="127"/>
      <c r="Z112" s="127" t="s">
        <v>115</v>
      </c>
      <c r="AA112" s="127" t="s">
        <v>115</v>
      </c>
      <c r="AB112" s="127" t="s">
        <v>115</v>
      </c>
      <c r="AC112" s="127" t="s">
        <v>115</v>
      </c>
      <c r="AD112" s="127" t="s">
        <v>115</v>
      </c>
      <c r="AE112" s="127" t="s">
        <v>115</v>
      </c>
      <c r="AF112" s="127" t="s">
        <v>115</v>
      </c>
      <c r="AG112" s="127" t="s">
        <v>115</v>
      </c>
      <c r="AH112" s="123">
        <v>0</v>
      </c>
      <c r="AI112" s="123">
        <v>0</v>
      </c>
      <c r="AJ112" s="123">
        <v>0</v>
      </c>
      <c r="AK112" s="123">
        <v>0</v>
      </c>
      <c r="AL112" s="123">
        <v>18</v>
      </c>
      <c r="AN112" s="123">
        <f t="shared" si="1"/>
        <v>18</v>
      </c>
      <c r="AO112" s="123" t="s">
        <v>188</v>
      </c>
    </row>
    <row r="113" spans="1:44" x14ac:dyDescent="0.2">
      <c r="A113" s="123" t="s">
        <v>3270</v>
      </c>
      <c r="B113" s="123" t="s">
        <v>3271</v>
      </c>
      <c r="C113" s="123">
        <v>9</v>
      </c>
      <c r="D113" s="123">
        <v>1</v>
      </c>
      <c r="E113" s="123" t="s">
        <v>2462</v>
      </c>
      <c r="F113" s="125">
        <v>43573</v>
      </c>
      <c r="G113" s="125" t="s">
        <v>4027</v>
      </c>
      <c r="H113" s="125" t="s">
        <v>4752</v>
      </c>
      <c r="I113" s="171">
        <v>1.1805555555555555E-2</v>
      </c>
      <c r="J113" s="173">
        <v>1.9675925925925926E-4</v>
      </c>
      <c r="K113" s="129">
        <v>17</v>
      </c>
      <c r="L113" s="123" t="s">
        <v>398</v>
      </c>
      <c r="M113" s="123" t="s">
        <v>363</v>
      </c>
      <c r="N113" s="123" t="s">
        <v>102</v>
      </c>
      <c r="O113" s="123" t="s">
        <v>115</v>
      </c>
      <c r="P113" s="123" t="s">
        <v>24</v>
      </c>
      <c r="Q113" s="123">
        <v>0</v>
      </c>
      <c r="R113" s="123">
        <v>0</v>
      </c>
      <c r="T113" s="127" t="s">
        <v>115</v>
      </c>
      <c r="U113" s="127" t="s">
        <v>115</v>
      </c>
      <c r="V113" s="127" t="s">
        <v>115</v>
      </c>
      <c r="W113" s="127"/>
      <c r="X113" s="127"/>
      <c r="Y113" s="127"/>
      <c r="Z113" s="127" t="s">
        <v>115</v>
      </c>
      <c r="AA113" s="127" t="s">
        <v>115</v>
      </c>
      <c r="AB113" s="127" t="s">
        <v>115</v>
      </c>
      <c r="AC113" s="127" t="s">
        <v>115</v>
      </c>
      <c r="AD113" s="127" t="s">
        <v>115</v>
      </c>
      <c r="AE113" s="127" t="s">
        <v>115</v>
      </c>
      <c r="AF113" s="127" t="s">
        <v>115</v>
      </c>
      <c r="AG113" s="127" t="s">
        <v>115</v>
      </c>
      <c r="AH113" s="123">
        <v>0</v>
      </c>
      <c r="AI113" s="123">
        <v>0</v>
      </c>
      <c r="AJ113" s="123">
        <v>0</v>
      </c>
      <c r="AK113" s="123">
        <v>0</v>
      </c>
      <c r="AL113" s="123">
        <v>13</v>
      </c>
      <c r="AN113" s="123">
        <f t="shared" si="1"/>
        <v>13</v>
      </c>
      <c r="AO113" s="123" t="s">
        <v>188</v>
      </c>
    </row>
    <row r="114" spans="1:44" x14ac:dyDescent="0.2">
      <c r="A114" s="123" t="s">
        <v>3480</v>
      </c>
      <c r="B114" s="123" t="s">
        <v>3481</v>
      </c>
      <c r="C114" s="123">
        <v>13</v>
      </c>
      <c r="D114" s="123">
        <v>1</v>
      </c>
      <c r="E114" s="123" t="s">
        <v>2462</v>
      </c>
      <c r="F114" s="125">
        <v>43579</v>
      </c>
      <c r="G114" s="125" t="s">
        <v>4027</v>
      </c>
      <c r="H114" s="125" t="s">
        <v>4752</v>
      </c>
      <c r="I114" s="171">
        <v>9.0277777777777787E-3</v>
      </c>
      <c r="J114" s="173">
        <v>1.5046296296296297E-4</v>
      </c>
      <c r="K114" s="129">
        <v>13</v>
      </c>
      <c r="L114" s="123" t="s">
        <v>101</v>
      </c>
      <c r="M114" s="123" t="s">
        <v>363</v>
      </c>
      <c r="N114" s="123" t="s">
        <v>102</v>
      </c>
      <c r="O114" s="123" t="s">
        <v>12</v>
      </c>
      <c r="P114" s="123" t="s">
        <v>24</v>
      </c>
      <c r="Q114" s="123" t="s">
        <v>24</v>
      </c>
      <c r="R114" s="123">
        <v>0</v>
      </c>
      <c r="T114" s="127" t="s">
        <v>115</v>
      </c>
      <c r="U114" s="127" t="s">
        <v>115</v>
      </c>
      <c r="V114" s="127" t="s">
        <v>115</v>
      </c>
      <c r="W114" s="127"/>
      <c r="X114" s="127"/>
      <c r="Y114" s="127"/>
      <c r="Z114" s="127" t="s">
        <v>115</v>
      </c>
      <c r="AA114" s="127" t="s">
        <v>115</v>
      </c>
      <c r="AB114" s="127" t="s">
        <v>115</v>
      </c>
      <c r="AC114" s="127" t="s">
        <v>115</v>
      </c>
      <c r="AD114" s="127" t="s">
        <v>115</v>
      </c>
      <c r="AE114" s="127" t="s">
        <v>115</v>
      </c>
      <c r="AF114" s="127" t="s">
        <v>115</v>
      </c>
      <c r="AG114" s="127" t="s">
        <v>115</v>
      </c>
      <c r="AH114" s="123">
        <v>4</v>
      </c>
      <c r="AI114" s="123">
        <v>0</v>
      </c>
      <c r="AJ114" s="123">
        <v>0</v>
      </c>
      <c r="AK114" s="123">
        <v>4</v>
      </c>
      <c r="AL114" s="123">
        <v>0</v>
      </c>
      <c r="AN114" s="123">
        <f t="shared" si="1"/>
        <v>4</v>
      </c>
      <c r="AO114" s="123" t="s">
        <v>165</v>
      </c>
      <c r="AQ114" s="123">
        <v>1</v>
      </c>
      <c r="AR114" s="123">
        <v>0</v>
      </c>
    </row>
    <row r="115" spans="1:44" x14ac:dyDescent="0.2">
      <c r="A115" s="123" t="s">
        <v>3488</v>
      </c>
      <c r="B115" s="123" t="s">
        <v>3489</v>
      </c>
      <c r="C115" s="123">
        <v>17</v>
      </c>
      <c r="D115" s="123">
        <v>1</v>
      </c>
      <c r="E115" s="123" t="s">
        <v>2462</v>
      </c>
      <c r="F115" s="125">
        <v>43579</v>
      </c>
      <c r="G115" s="125" t="s">
        <v>4027</v>
      </c>
      <c r="H115" s="125" t="s">
        <v>4752</v>
      </c>
      <c r="I115" s="171">
        <v>2.7083333333333334E-2</v>
      </c>
      <c r="J115" s="173">
        <v>4.5138888888888892E-4</v>
      </c>
      <c r="K115" s="129">
        <v>39</v>
      </c>
      <c r="L115" s="123" t="s">
        <v>101</v>
      </c>
      <c r="M115" s="123" t="s">
        <v>363</v>
      </c>
      <c r="N115" s="123" t="s">
        <v>102</v>
      </c>
      <c r="O115" s="123" t="s">
        <v>115</v>
      </c>
      <c r="P115" s="123" t="s">
        <v>24</v>
      </c>
      <c r="Q115" s="123">
        <v>0</v>
      </c>
      <c r="R115" s="123">
        <v>0</v>
      </c>
      <c r="T115" s="127" t="s">
        <v>115</v>
      </c>
      <c r="U115" s="127" t="s">
        <v>115</v>
      </c>
      <c r="V115" s="127" t="s">
        <v>115</v>
      </c>
      <c r="W115" s="127"/>
      <c r="X115" s="127"/>
      <c r="Y115" s="127"/>
      <c r="Z115" s="127" t="s">
        <v>115</v>
      </c>
      <c r="AA115" s="127" t="s">
        <v>115</v>
      </c>
      <c r="AB115" s="127" t="s">
        <v>115</v>
      </c>
      <c r="AC115" s="127" t="s">
        <v>115</v>
      </c>
      <c r="AD115" s="127" t="s">
        <v>115</v>
      </c>
      <c r="AE115" s="127" t="s">
        <v>115</v>
      </c>
      <c r="AF115" s="127" t="s">
        <v>115</v>
      </c>
      <c r="AG115" s="127" t="s">
        <v>115</v>
      </c>
      <c r="AH115" s="123">
        <v>0</v>
      </c>
      <c r="AI115" s="123">
        <v>0</v>
      </c>
      <c r="AJ115" s="123">
        <v>0</v>
      </c>
      <c r="AK115" s="123">
        <v>0</v>
      </c>
      <c r="AL115" s="123">
        <v>35</v>
      </c>
      <c r="AN115" s="123">
        <f t="shared" si="1"/>
        <v>35</v>
      </c>
      <c r="AO115" s="123" t="s">
        <v>188</v>
      </c>
    </row>
    <row r="116" spans="1:44" x14ac:dyDescent="0.2">
      <c r="A116" s="123" t="s">
        <v>3490</v>
      </c>
      <c r="B116" s="123" t="s">
        <v>3491</v>
      </c>
      <c r="C116" s="123">
        <v>18</v>
      </c>
      <c r="D116" s="123">
        <v>1</v>
      </c>
      <c r="E116" s="123" t="s">
        <v>2462</v>
      </c>
      <c r="F116" s="125">
        <v>43579</v>
      </c>
      <c r="G116" s="125" t="s">
        <v>4027</v>
      </c>
      <c r="H116" s="125" t="s">
        <v>4752</v>
      </c>
      <c r="I116" s="171">
        <v>1.8749999999999999E-2</v>
      </c>
      <c r="J116" s="173">
        <v>3.1250000000000001E-4</v>
      </c>
      <c r="K116" s="129">
        <v>27</v>
      </c>
      <c r="L116" s="123" t="s">
        <v>101</v>
      </c>
      <c r="M116" s="123" t="s">
        <v>363</v>
      </c>
      <c r="N116" s="123" t="s">
        <v>102</v>
      </c>
      <c r="O116" s="123" t="s">
        <v>115</v>
      </c>
      <c r="P116" s="123" t="s">
        <v>24</v>
      </c>
      <c r="Q116" s="123">
        <v>0</v>
      </c>
      <c r="R116" s="123">
        <v>0</v>
      </c>
      <c r="T116" s="127" t="s">
        <v>115</v>
      </c>
      <c r="U116" s="127" t="s">
        <v>115</v>
      </c>
      <c r="V116" s="127" t="s">
        <v>115</v>
      </c>
      <c r="W116" s="127"/>
      <c r="X116" s="127"/>
      <c r="Y116" s="127"/>
      <c r="Z116" s="127" t="s">
        <v>115</v>
      </c>
      <c r="AA116" s="127" t="s">
        <v>115</v>
      </c>
      <c r="AB116" s="127" t="s">
        <v>115</v>
      </c>
      <c r="AC116" s="127" t="s">
        <v>115</v>
      </c>
      <c r="AD116" s="127" t="s">
        <v>115</v>
      </c>
      <c r="AE116" s="127" t="s">
        <v>115</v>
      </c>
      <c r="AF116" s="127" t="s">
        <v>115</v>
      </c>
      <c r="AG116" s="127" t="s">
        <v>115</v>
      </c>
      <c r="AH116" s="123">
        <v>0</v>
      </c>
      <c r="AI116" s="123">
        <v>0</v>
      </c>
      <c r="AJ116" s="123">
        <v>0</v>
      </c>
      <c r="AK116" s="123">
        <v>0</v>
      </c>
      <c r="AL116" s="123">
        <v>27</v>
      </c>
      <c r="AN116" s="123">
        <f t="shared" si="1"/>
        <v>27</v>
      </c>
      <c r="AO116" s="123" t="s">
        <v>188</v>
      </c>
    </row>
    <row r="117" spans="1:44" x14ac:dyDescent="0.2">
      <c r="A117" s="123" t="s">
        <v>3492</v>
      </c>
      <c r="B117" s="123" t="s">
        <v>3493</v>
      </c>
      <c r="C117" s="123">
        <v>19</v>
      </c>
      <c r="D117" s="123">
        <v>1</v>
      </c>
      <c r="E117" s="123" t="s">
        <v>2462</v>
      </c>
      <c r="F117" s="125">
        <v>43579</v>
      </c>
      <c r="G117" s="125" t="s">
        <v>4027</v>
      </c>
      <c r="H117" s="125" t="s">
        <v>4752</v>
      </c>
      <c r="I117" s="171">
        <v>4.9305555555555554E-2</v>
      </c>
      <c r="J117" s="173">
        <v>7.0601851851851847E-4</v>
      </c>
      <c r="K117" s="129">
        <v>61</v>
      </c>
      <c r="L117" s="123" t="s">
        <v>101</v>
      </c>
      <c r="M117" s="123" t="s">
        <v>363</v>
      </c>
      <c r="N117" s="123" t="s">
        <v>102</v>
      </c>
      <c r="O117" s="123" t="s">
        <v>115</v>
      </c>
      <c r="P117" s="123" t="s">
        <v>24</v>
      </c>
      <c r="Q117" s="123">
        <v>0</v>
      </c>
      <c r="R117" s="123">
        <v>0</v>
      </c>
      <c r="T117" s="127" t="s">
        <v>115</v>
      </c>
      <c r="U117" s="127" t="s">
        <v>115</v>
      </c>
      <c r="V117" s="127" t="s">
        <v>115</v>
      </c>
      <c r="W117" s="127"/>
      <c r="X117" s="127"/>
      <c r="Y117" s="127"/>
      <c r="Z117" s="127" t="s">
        <v>115</v>
      </c>
      <c r="AA117" s="127" t="s">
        <v>115</v>
      </c>
      <c r="AB117" s="127" t="s">
        <v>115</v>
      </c>
      <c r="AC117" s="127" t="s">
        <v>115</v>
      </c>
      <c r="AD117" s="127" t="s">
        <v>115</v>
      </c>
      <c r="AE117" s="127" t="s">
        <v>115</v>
      </c>
      <c r="AF117" s="127" t="s">
        <v>115</v>
      </c>
      <c r="AG117" s="127" t="s">
        <v>115</v>
      </c>
      <c r="AH117" s="123">
        <v>0</v>
      </c>
      <c r="AI117" s="123">
        <v>0</v>
      </c>
      <c r="AJ117" s="123">
        <v>0</v>
      </c>
      <c r="AK117" s="123">
        <v>0</v>
      </c>
      <c r="AL117" s="123">
        <v>4</v>
      </c>
      <c r="AN117" s="123">
        <f t="shared" si="1"/>
        <v>4</v>
      </c>
      <c r="AO117" s="123" t="s">
        <v>188</v>
      </c>
    </row>
    <row r="118" spans="1:44" x14ac:dyDescent="0.2">
      <c r="A118" s="123" t="s">
        <v>3496</v>
      </c>
      <c r="B118" s="123" t="s">
        <v>3497</v>
      </c>
      <c r="C118" s="123">
        <v>21</v>
      </c>
      <c r="D118" s="123">
        <v>1</v>
      </c>
      <c r="E118" s="123" t="s">
        <v>2462</v>
      </c>
      <c r="F118" s="125">
        <v>43579</v>
      </c>
      <c r="G118" s="125" t="s">
        <v>4027</v>
      </c>
      <c r="H118" s="125" t="s">
        <v>4752</v>
      </c>
      <c r="I118" s="171">
        <v>3.2638888888888891E-2</v>
      </c>
      <c r="J118" s="173">
        <v>5.4398148148148144E-4</v>
      </c>
      <c r="K118" s="129">
        <v>47</v>
      </c>
      <c r="L118" s="123" t="s">
        <v>101</v>
      </c>
      <c r="M118" s="123" t="s">
        <v>363</v>
      </c>
      <c r="N118" s="123" t="s">
        <v>102</v>
      </c>
      <c r="O118" s="123" t="s">
        <v>115</v>
      </c>
      <c r="P118" s="123" t="s">
        <v>24</v>
      </c>
      <c r="Q118" s="123">
        <v>0</v>
      </c>
      <c r="R118" s="123">
        <v>0</v>
      </c>
      <c r="T118" s="127" t="s">
        <v>115</v>
      </c>
      <c r="U118" s="127" t="s">
        <v>115</v>
      </c>
      <c r="V118" s="127" t="s">
        <v>115</v>
      </c>
      <c r="W118" s="127"/>
      <c r="X118" s="127"/>
      <c r="Y118" s="127"/>
      <c r="Z118" s="127" t="s">
        <v>115</v>
      </c>
      <c r="AA118" s="127" t="s">
        <v>115</v>
      </c>
      <c r="AB118" s="127" t="s">
        <v>115</v>
      </c>
      <c r="AC118" s="127" t="s">
        <v>115</v>
      </c>
      <c r="AD118" s="127" t="s">
        <v>115</v>
      </c>
      <c r="AE118" s="127" t="s">
        <v>115</v>
      </c>
      <c r="AF118" s="127" t="s">
        <v>115</v>
      </c>
      <c r="AG118" s="127" t="s">
        <v>115</v>
      </c>
      <c r="AH118" s="123">
        <v>0</v>
      </c>
      <c r="AI118" s="123">
        <v>0</v>
      </c>
      <c r="AJ118" s="123">
        <v>0</v>
      </c>
      <c r="AK118" s="123">
        <v>0</v>
      </c>
      <c r="AL118" s="123">
        <v>47</v>
      </c>
      <c r="AN118" s="123">
        <f t="shared" si="1"/>
        <v>47</v>
      </c>
      <c r="AO118" s="123" t="s">
        <v>188</v>
      </c>
    </row>
    <row r="119" spans="1:44" x14ac:dyDescent="0.2">
      <c r="A119" s="123" t="s">
        <v>3498</v>
      </c>
      <c r="B119" s="123" t="s">
        <v>3499</v>
      </c>
      <c r="C119" s="123">
        <v>22</v>
      </c>
      <c r="D119" s="123">
        <v>1</v>
      </c>
      <c r="E119" s="123" t="s">
        <v>2462</v>
      </c>
      <c r="F119" s="125">
        <v>43579</v>
      </c>
      <c r="G119" s="125" t="s">
        <v>4027</v>
      </c>
      <c r="H119" s="125" t="s">
        <v>4752</v>
      </c>
      <c r="I119" s="171">
        <v>5.5555555555555558E-3</v>
      </c>
      <c r="J119" s="173">
        <v>9.2592592592592588E-5</v>
      </c>
      <c r="K119" s="129">
        <v>8</v>
      </c>
      <c r="L119" s="123" t="s">
        <v>101</v>
      </c>
      <c r="M119" s="123" t="s">
        <v>363</v>
      </c>
      <c r="N119" s="123" t="s">
        <v>102</v>
      </c>
      <c r="O119" s="123" t="s">
        <v>115</v>
      </c>
      <c r="P119" s="123" t="s">
        <v>24</v>
      </c>
      <c r="Q119" s="123">
        <v>0</v>
      </c>
      <c r="R119" s="123">
        <v>0</v>
      </c>
      <c r="T119" s="127" t="s">
        <v>115</v>
      </c>
      <c r="U119" s="127" t="s">
        <v>115</v>
      </c>
      <c r="V119" s="127" t="s">
        <v>115</v>
      </c>
      <c r="W119" s="127"/>
      <c r="X119" s="127"/>
      <c r="Y119" s="127"/>
      <c r="Z119" s="127" t="s">
        <v>115</v>
      </c>
      <c r="AA119" s="127" t="s">
        <v>115</v>
      </c>
      <c r="AB119" s="127" t="s">
        <v>115</v>
      </c>
      <c r="AC119" s="127" t="s">
        <v>115</v>
      </c>
      <c r="AD119" s="127" t="s">
        <v>115</v>
      </c>
      <c r="AE119" s="127" t="s">
        <v>115</v>
      </c>
      <c r="AF119" s="127" t="s">
        <v>115</v>
      </c>
      <c r="AG119" s="127" t="s">
        <v>115</v>
      </c>
      <c r="AH119" s="123">
        <v>0</v>
      </c>
      <c r="AI119" s="123">
        <v>0</v>
      </c>
      <c r="AJ119" s="123">
        <v>0</v>
      </c>
      <c r="AK119" s="123">
        <v>0</v>
      </c>
      <c r="AL119" s="123">
        <v>8</v>
      </c>
      <c r="AN119" s="123">
        <f t="shared" si="1"/>
        <v>8</v>
      </c>
      <c r="AO119" s="123" t="s">
        <v>188</v>
      </c>
    </row>
    <row r="120" spans="1:44" x14ac:dyDescent="0.2">
      <c r="A120" s="123" t="s">
        <v>3502</v>
      </c>
      <c r="B120" s="123" t="s">
        <v>3503</v>
      </c>
      <c r="C120" s="123">
        <v>24</v>
      </c>
      <c r="D120" s="123">
        <v>1</v>
      </c>
      <c r="E120" s="123" t="s">
        <v>2462</v>
      </c>
      <c r="F120" s="125">
        <v>43579</v>
      </c>
      <c r="G120" s="125" t="s">
        <v>4027</v>
      </c>
      <c r="H120" s="125" t="s">
        <v>4752</v>
      </c>
      <c r="I120" s="171">
        <v>2.8472222222222222E-2</v>
      </c>
      <c r="J120" s="173">
        <v>4.7453703703703704E-4</v>
      </c>
      <c r="K120" s="129">
        <v>41</v>
      </c>
      <c r="L120" s="123" t="s">
        <v>101</v>
      </c>
      <c r="M120" s="123" t="s">
        <v>363</v>
      </c>
      <c r="N120" s="123" t="s">
        <v>102</v>
      </c>
      <c r="O120" s="123" t="s">
        <v>115</v>
      </c>
      <c r="P120" s="123" t="s">
        <v>24</v>
      </c>
      <c r="Q120" s="123">
        <v>0</v>
      </c>
      <c r="R120" s="123">
        <v>0</v>
      </c>
      <c r="T120" s="127" t="s">
        <v>115</v>
      </c>
      <c r="U120" s="127" t="s">
        <v>115</v>
      </c>
      <c r="V120" s="127" t="s">
        <v>115</v>
      </c>
      <c r="W120" s="127"/>
      <c r="X120" s="127"/>
      <c r="Y120" s="127"/>
      <c r="Z120" s="127" t="s">
        <v>115</v>
      </c>
      <c r="AA120" s="127" t="s">
        <v>115</v>
      </c>
      <c r="AB120" s="127" t="s">
        <v>115</v>
      </c>
      <c r="AC120" s="127" t="s">
        <v>115</v>
      </c>
      <c r="AD120" s="127" t="s">
        <v>115</v>
      </c>
      <c r="AE120" s="127" t="s">
        <v>115</v>
      </c>
      <c r="AF120" s="127" t="s">
        <v>115</v>
      </c>
      <c r="AG120" s="127" t="s">
        <v>115</v>
      </c>
      <c r="AH120" s="123">
        <v>0</v>
      </c>
      <c r="AI120" s="123">
        <v>0</v>
      </c>
      <c r="AJ120" s="123">
        <v>0</v>
      </c>
      <c r="AK120" s="123">
        <v>0</v>
      </c>
      <c r="AL120" s="123">
        <v>41</v>
      </c>
      <c r="AN120" s="123">
        <f t="shared" si="1"/>
        <v>41</v>
      </c>
      <c r="AO120" s="123" t="s">
        <v>188</v>
      </c>
    </row>
    <row r="121" spans="1:44" x14ac:dyDescent="0.2">
      <c r="A121" s="123" t="s">
        <v>3504</v>
      </c>
      <c r="B121" s="123" t="s">
        <v>3505</v>
      </c>
      <c r="C121" s="123">
        <v>25</v>
      </c>
      <c r="D121" s="123">
        <v>1</v>
      </c>
      <c r="E121" s="123" t="s">
        <v>2462</v>
      </c>
      <c r="F121" s="125">
        <v>43579</v>
      </c>
      <c r="G121" s="125" t="s">
        <v>4027</v>
      </c>
      <c r="H121" s="125" t="s">
        <v>4752</v>
      </c>
      <c r="I121" s="171">
        <v>2.2222222222222223E-2</v>
      </c>
      <c r="J121" s="173">
        <v>3.7037037037037035E-4</v>
      </c>
      <c r="K121" s="129">
        <v>32</v>
      </c>
      <c r="L121" s="123" t="s">
        <v>101</v>
      </c>
      <c r="M121" s="123" t="s">
        <v>363</v>
      </c>
      <c r="N121" s="123" t="s">
        <v>102</v>
      </c>
      <c r="O121" s="123" t="s">
        <v>115</v>
      </c>
      <c r="P121" s="123" t="s">
        <v>24</v>
      </c>
      <c r="Q121" s="123">
        <v>0</v>
      </c>
      <c r="R121" s="123">
        <v>0</v>
      </c>
      <c r="T121" s="127" t="s">
        <v>115</v>
      </c>
      <c r="U121" s="127" t="s">
        <v>115</v>
      </c>
      <c r="V121" s="127" t="s">
        <v>115</v>
      </c>
      <c r="W121" s="127"/>
      <c r="X121" s="127"/>
      <c r="Y121" s="127"/>
      <c r="Z121" s="127" t="s">
        <v>115</v>
      </c>
      <c r="AA121" s="127" t="s">
        <v>115</v>
      </c>
      <c r="AB121" s="127" t="s">
        <v>115</v>
      </c>
      <c r="AC121" s="127" t="s">
        <v>115</v>
      </c>
      <c r="AD121" s="127" t="s">
        <v>115</v>
      </c>
      <c r="AE121" s="127" t="s">
        <v>115</v>
      </c>
      <c r="AF121" s="127" t="s">
        <v>115</v>
      </c>
      <c r="AG121" s="127" t="s">
        <v>115</v>
      </c>
      <c r="AH121" s="123">
        <v>0</v>
      </c>
      <c r="AI121" s="123">
        <v>0</v>
      </c>
      <c r="AJ121" s="123">
        <v>0</v>
      </c>
      <c r="AK121" s="123">
        <v>0</v>
      </c>
      <c r="AL121" s="123">
        <v>28</v>
      </c>
      <c r="AN121" s="123">
        <f t="shared" si="1"/>
        <v>28</v>
      </c>
      <c r="AO121" s="123" t="s">
        <v>188</v>
      </c>
    </row>
    <row r="122" spans="1:44" x14ac:dyDescent="0.2">
      <c r="A122" s="123" t="s">
        <v>3412</v>
      </c>
      <c r="B122" s="123" t="s">
        <v>3413</v>
      </c>
      <c r="C122" s="123">
        <v>5</v>
      </c>
      <c r="D122" s="123">
        <v>2</v>
      </c>
      <c r="E122" s="123" t="s">
        <v>3404</v>
      </c>
      <c r="F122" s="125">
        <v>43577</v>
      </c>
      <c r="G122" s="125" t="s">
        <v>4027</v>
      </c>
      <c r="H122" s="125" t="s">
        <v>4752</v>
      </c>
      <c r="I122" s="171">
        <v>2.2222222222222223E-2</v>
      </c>
      <c r="J122" s="173">
        <v>3.7037037037037035E-4</v>
      </c>
      <c r="K122" s="129">
        <v>32</v>
      </c>
      <c r="L122" s="123" t="s">
        <v>101</v>
      </c>
      <c r="M122" s="123" t="s">
        <v>3405</v>
      </c>
      <c r="N122" s="123" t="s">
        <v>102</v>
      </c>
      <c r="O122" s="123" t="s">
        <v>516</v>
      </c>
      <c r="P122" s="123">
        <v>1</v>
      </c>
      <c r="Q122" s="123">
        <v>0</v>
      </c>
      <c r="R122" s="123">
        <v>0</v>
      </c>
      <c r="S122" s="123" t="s">
        <v>176</v>
      </c>
      <c r="T122" s="127" t="s">
        <v>4786</v>
      </c>
      <c r="U122" s="127" t="s">
        <v>3414</v>
      </c>
      <c r="V122" s="127" t="s">
        <v>115</v>
      </c>
      <c r="W122" s="127"/>
      <c r="X122" s="127"/>
      <c r="Y122" s="127"/>
      <c r="Z122" s="127" t="s">
        <v>115</v>
      </c>
      <c r="AA122" s="127" t="s">
        <v>115</v>
      </c>
      <c r="AB122" s="127" t="s">
        <v>115</v>
      </c>
      <c r="AC122" s="127" t="s">
        <v>115</v>
      </c>
      <c r="AD122" s="127" t="s">
        <v>115</v>
      </c>
      <c r="AE122" s="127" t="s">
        <v>115</v>
      </c>
      <c r="AF122" s="127" t="s">
        <v>115</v>
      </c>
      <c r="AG122" s="127" t="s">
        <v>115</v>
      </c>
      <c r="AH122" s="123">
        <v>0</v>
      </c>
      <c r="AI122" s="123">
        <v>7</v>
      </c>
      <c r="AJ122" s="123">
        <v>0</v>
      </c>
      <c r="AK122" s="123">
        <v>7</v>
      </c>
      <c r="AL122" s="123">
        <v>7</v>
      </c>
      <c r="AN122" s="123">
        <f t="shared" si="1"/>
        <v>14</v>
      </c>
      <c r="AO122" s="123" t="s">
        <v>188</v>
      </c>
    </row>
    <row r="123" spans="1:44" x14ac:dyDescent="0.2">
      <c r="A123" s="123" t="s">
        <v>3408</v>
      </c>
      <c r="B123" s="123" t="s">
        <v>3409</v>
      </c>
      <c r="C123" s="123">
        <v>3</v>
      </c>
      <c r="D123" s="123">
        <v>1</v>
      </c>
      <c r="E123" s="123" t="s">
        <v>3404</v>
      </c>
      <c r="F123" s="125">
        <v>43577</v>
      </c>
      <c r="G123" s="125" t="s">
        <v>4027</v>
      </c>
      <c r="H123" s="125" t="s">
        <v>4752</v>
      </c>
      <c r="I123" s="171">
        <v>2.361111111111111E-2</v>
      </c>
      <c r="J123" s="173">
        <v>3.9351851851851852E-4</v>
      </c>
      <c r="K123" s="129">
        <v>34</v>
      </c>
      <c r="L123" s="123" t="s">
        <v>101</v>
      </c>
      <c r="M123" s="123" t="s">
        <v>3405</v>
      </c>
      <c r="N123" s="123" t="s">
        <v>102</v>
      </c>
      <c r="O123" s="123" t="s">
        <v>115</v>
      </c>
      <c r="P123" s="123">
        <v>1</v>
      </c>
      <c r="Q123" s="123">
        <v>0</v>
      </c>
      <c r="R123" s="123">
        <v>0</v>
      </c>
      <c r="S123" s="123" t="s">
        <v>176</v>
      </c>
      <c r="T123" s="127" t="s">
        <v>24</v>
      </c>
      <c r="U123" s="127" t="s">
        <v>122</v>
      </c>
      <c r="V123" s="127" t="s">
        <v>115</v>
      </c>
      <c r="W123" s="127"/>
      <c r="X123" s="127"/>
      <c r="Y123" s="127"/>
      <c r="Z123" s="127" t="s">
        <v>115</v>
      </c>
      <c r="AA123" s="127" t="s">
        <v>115</v>
      </c>
      <c r="AB123" s="127" t="s">
        <v>115</v>
      </c>
      <c r="AC123" s="127" t="s">
        <v>115</v>
      </c>
      <c r="AD123" s="127" t="s">
        <v>115</v>
      </c>
      <c r="AE123" s="127" t="s">
        <v>115</v>
      </c>
      <c r="AF123" s="127" t="s">
        <v>115</v>
      </c>
      <c r="AG123" s="127" t="s">
        <v>115</v>
      </c>
      <c r="AH123" s="123">
        <v>0</v>
      </c>
      <c r="AI123" s="123">
        <v>0</v>
      </c>
      <c r="AJ123" s="123">
        <v>0</v>
      </c>
      <c r="AK123" s="123">
        <v>0</v>
      </c>
      <c r="AL123" s="123">
        <v>3</v>
      </c>
      <c r="AN123" s="123">
        <f t="shared" si="1"/>
        <v>3</v>
      </c>
      <c r="AO123" s="123" t="s">
        <v>188</v>
      </c>
    </row>
    <row r="124" spans="1:44" x14ac:dyDescent="0.2">
      <c r="A124" s="123" t="s">
        <v>3410</v>
      </c>
      <c r="B124" s="123" t="s">
        <v>3411</v>
      </c>
      <c r="C124" s="123">
        <v>4</v>
      </c>
      <c r="D124" s="123">
        <v>1</v>
      </c>
      <c r="E124" s="123" t="s">
        <v>3404</v>
      </c>
      <c r="F124" s="125">
        <v>43577</v>
      </c>
      <c r="G124" s="125" t="s">
        <v>4027</v>
      </c>
      <c r="H124" s="125" t="s">
        <v>4752</v>
      </c>
      <c r="I124" s="171">
        <v>1.9444444444444445E-2</v>
      </c>
      <c r="J124" s="173">
        <v>3.2407407407407406E-4</v>
      </c>
      <c r="K124" s="129">
        <v>28</v>
      </c>
      <c r="L124" s="123" t="s">
        <v>101</v>
      </c>
      <c r="M124" s="123" t="s">
        <v>3405</v>
      </c>
      <c r="N124" s="123" t="s">
        <v>102</v>
      </c>
      <c r="O124" s="123" t="s">
        <v>115</v>
      </c>
      <c r="P124" s="123">
        <v>1</v>
      </c>
      <c r="Q124" s="123">
        <v>0</v>
      </c>
      <c r="R124" s="123">
        <v>0</v>
      </c>
      <c r="S124" s="123" t="s">
        <v>176</v>
      </c>
      <c r="T124" s="127" t="s">
        <v>24</v>
      </c>
      <c r="U124" s="127" t="s">
        <v>122</v>
      </c>
      <c r="V124" s="127" t="s">
        <v>115</v>
      </c>
      <c r="W124" s="127"/>
      <c r="X124" s="127"/>
      <c r="Y124" s="127"/>
      <c r="Z124" s="127" t="s">
        <v>115</v>
      </c>
      <c r="AA124" s="127" t="s">
        <v>115</v>
      </c>
      <c r="AB124" s="127" t="s">
        <v>115</v>
      </c>
      <c r="AC124" s="127" t="s">
        <v>115</v>
      </c>
      <c r="AD124" s="127" t="s">
        <v>115</v>
      </c>
      <c r="AE124" s="127" t="s">
        <v>115</v>
      </c>
      <c r="AF124" s="127" t="s">
        <v>115</v>
      </c>
      <c r="AG124" s="127" t="s">
        <v>115</v>
      </c>
      <c r="AH124" s="123">
        <v>0</v>
      </c>
      <c r="AI124" s="123">
        <v>0</v>
      </c>
      <c r="AJ124" s="123">
        <v>0</v>
      </c>
      <c r="AK124" s="123">
        <v>0</v>
      </c>
      <c r="AL124" s="123">
        <v>24</v>
      </c>
      <c r="AN124" s="123">
        <f t="shared" si="1"/>
        <v>24</v>
      </c>
      <c r="AO124" s="123" t="s">
        <v>188</v>
      </c>
    </row>
    <row r="125" spans="1:44" x14ac:dyDescent="0.2">
      <c r="A125" s="123" t="s">
        <v>3419</v>
      </c>
      <c r="B125" s="123" t="s">
        <v>3420</v>
      </c>
      <c r="C125" s="123">
        <v>7</v>
      </c>
      <c r="D125" s="123">
        <v>1</v>
      </c>
      <c r="E125" s="123" t="s">
        <v>3404</v>
      </c>
      <c r="F125" s="125">
        <v>43577</v>
      </c>
      <c r="G125" s="125" t="s">
        <v>4027</v>
      </c>
      <c r="H125" s="125" t="s">
        <v>4752</v>
      </c>
      <c r="I125" s="171">
        <v>2.0833333333333332E-2</v>
      </c>
      <c r="J125" s="173">
        <v>3.4722222222222224E-4</v>
      </c>
      <c r="K125" s="129">
        <v>30</v>
      </c>
      <c r="L125" s="123" t="s">
        <v>101</v>
      </c>
      <c r="M125" s="123" t="s">
        <v>3405</v>
      </c>
      <c r="N125" s="123" t="s">
        <v>102</v>
      </c>
      <c r="O125" s="123" t="s">
        <v>115</v>
      </c>
      <c r="P125" s="123">
        <v>1</v>
      </c>
      <c r="Q125" s="123">
        <v>0</v>
      </c>
      <c r="R125" s="123">
        <v>0</v>
      </c>
      <c r="S125" s="123" t="s">
        <v>176</v>
      </c>
      <c r="T125" s="127" t="s">
        <v>24</v>
      </c>
      <c r="U125" s="127" t="s">
        <v>122</v>
      </c>
      <c r="V125" s="127" t="s">
        <v>115</v>
      </c>
      <c r="W125" s="127"/>
      <c r="X125" s="127"/>
      <c r="Y125" s="127"/>
      <c r="Z125" s="127" t="s">
        <v>115</v>
      </c>
      <c r="AA125" s="127" t="s">
        <v>115</v>
      </c>
      <c r="AB125" s="127" t="s">
        <v>115</v>
      </c>
      <c r="AC125" s="127" t="s">
        <v>115</v>
      </c>
      <c r="AD125" s="127" t="s">
        <v>115</v>
      </c>
      <c r="AE125" s="127" t="s">
        <v>115</v>
      </c>
      <c r="AF125" s="127" t="s">
        <v>115</v>
      </c>
      <c r="AG125" s="127" t="s">
        <v>115</v>
      </c>
      <c r="AH125" s="123">
        <v>0</v>
      </c>
      <c r="AI125" s="123">
        <v>0</v>
      </c>
      <c r="AJ125" s="123">
        <v>0</v>
      </c>
      <c r="AK125" s="123">
        <v>0</v>
      </c>
      <c r="AL125" s="123">
        <v>30</v>
      </c>
      <c r="AN125" s="123">
        <f t="shared" si="1"/>
        <v>30</v>
      </c>
      <c r="AO125" s="123" t="s">
        <v>188</v>
      </c>
    </row>
    <row r="126" spans="1:44" x14ac:dyDescent="0.2">
      <c r="A126" s="123" t="s">
        <v>3423</v>
      </c>
      <c r="B126" s="123" t="s">
        <v>3424</v>
      </c>
      <c r="C126" s="123">
        <v>9</v>
      </c>
      <c r="D126" s="123">
        <v>1</v>
      </c>
      <c r="E126" s="123" t="s">
        <v>3404</v>
      </c>
      <c r="F126" s="125">
        <v>43577</v>
      </c>
      <c r="G126" s="125" t="s">
        <v>4027</v>
      </c>
      <c r="H126" s="125" t="s">
        <v>4752</v>
      </c>
      <c r="I126" s="171">
        <v>4.5833333333333337E-2</v>
      </c>
      <c r="J126" s="173">
        <v>7.6388888888888893E-4</v>
      </c>
      <c r="K126" s="129">
        <v>66</v>
      </c>
      <c r="L126" s="123" t="s">
        <v>101</v>
      </c>
      <c r="M126" s="123" t="s">
        <v>3405</v>
      </c>
      <c r="N126" s="123" t="s">
        <v>102</v>
      </c>
      <c r="O126" s="123" t="s">
        <v>115</v>
      </c>
      <c r="P126" s="123">
        <v>1</v>
      </c>
      <c r="Q126" s="123">
        <v>0</v>
      </c>
      <c r="R126" s="123">
        <v>0</v>
      </c>
      <c r="S126" s="123" t="s">
        <v>176</v>
      </c>
      <c r="T126" s="127" t="s">
        <v>24</v>
      </c>
      <c r="U126" s="127" t="s">
        <v>122</v>
      </c>
      <c r="V126" s="127" t="s">
        <v>115</v>
      </c>
      <c r="W126" s="127"/>
      <c r="X126" s="127"/>
      <c r="Y126" s="127"/>
      <c r="Z126" s="127" t="s">
        <v>115</v>
      </c>
      <c r="AA126" s="127" t="s">
        <v>115</v>
      </c>
      <c r="AB126" s="127" t="s">
        <v>115</v>
      </c>
      <c r="AC126" s="127" t="s">
        <v>115</v>
      </c>
      <c r="AD126" s="127" t="s">
        <v>115</v>
      </c>
      <c r="AE126" s="127" t="s">
        <v>115</v>
      </c>
      <c r="AF126" s="127" t="s">
        <v>115</v>
      </c>
      <c r="AG126" s="127" t="s">
        <v>115</v>
      </c>
      <c r="AH126" s="123">
        <v>0</v>
      </c>
      <c r="AI126" s="123">
        <v>0</v>
      </c>
      <c r="AJ126" s="123">
        <v>0</v>
      </c>
      <c r="AK126" s="123">
        <v>0</v>
      </c>
      <c r="AL126" s="123">
        <v>66</v>
      </c>
      <c r="AN126" s="123">
        <f t="shared" si="1"/>
        <v>66</v>
      </c>
      <c r="AO126" s="123" t="s">
        <v>188</v>
      </c>
    </row>
    <row r="127" spans="1:44" x14ac:dyDescent="0.2">
      <c r="A127" s="123" t="s">
        <v>3406</v>
      </c>
      <c r="B127" s="123" t="s">
        <v>3407</v>
      </c>
      <c r="C127" s="123">
        <v>2</v>
      </c>
      <c r="D127" s="123">
        <v>1</v>
      </c>
      <c r="E127" s="123" t="s">
        <v>3404</v>
      </c>
      <c r="F127" s="125">
        <v>43577</v>
      </c>
      <c r="G127" s="125" t="s">
        <v>4027</v>
      </c>
      <c r="H127" s="125" t="s">
        <v>4752</v>
      </c>
      <c r="I127" s="171">
        <v>1.8749999999999999E-2</v>
      </c>
      <c r="J127" s="173">
        <v>3.1250000000000001E-4</v>
      </c>
      <c r="K127" s="129">
        <v>27</v>
      </c>
      <c r="L127" s="123" t="s">
        <v>101</v>
      </c>
      <c r="M127" s="123" t="s">
        <v>3405</v>
      </c>
      <c r="N127" s="123" t="s">
        <v>102</v>
      </c>
      <c r="O127" s="123" t="s">
        <v>115</v>
      </c>
      <c r="P127" s="123">
        <v>1</v>
      </c>
      <c r="Q127" s="123">
        <v>0</v>
      </c>
      <c r="R127" s="123">
        <v>0</v>
      </c>
      <c r="S127" s="123" t="s">
        <v>598</v>
      </c>
      <c r="T127" s="127" t="s">
        <v>2506</v>
      </c>
      <c r="U127" s="127" t="s">
        <v>122</v>
      </c>
      <c r="V127" s="127" t="s">
        <v>115</v>
      </c>
      <c r="W127" s="127"/>
      <c r="X127" s="127"/>
      <c r="Y127" s="127"/>
      <c r="Z127" s="127" t="s">
        <v>115</v>
      </c>
      <c r="AA127" s="127" t="s">
        <v>115</v>
      </c>
      <c r="AB127" s="127" t="s">
        <v>115</v>
      </c>
      <c r="AC127" s="127" t="s">
        <v>115</v>
      </c>
      <c r="AD127" s="127" t="s">
        <v>115</v>
      </c>
      <c r="AE127" s="127" t="s">
        <v>115</v>
      </c>
      <c r="AF127" s="127" t="s">
        <v>115</v>
      </c>
      <c r="AG127" s="127" t="s">
        <v>115</v>
      </c>
      <c r="AH127" s="123">
        <v>0</v>
      </c>
      <c r="AI127" s="123">
        <v>0</v>
      </c>
      <c r="AJ127" s="123">
        <v>0</v>
      </c>
      <c r="AK127" s="123">
        <v>0</v>
      </c>
      <c r="AL127" s="123">
        <v>17</v>
      </c>
      <c r="AN127" s="123">
        <f t="shared" si="1"/>
        <v>17</v>
      </c>
      <c r="AO127" s="123" t="s">
        <v>188</v>
      </c>
    </row>
    <row r="128" spans="1:44" x14ac:dyDescent="0.2">
      <c r="A128" s="123" t="s">
        <v>3410</v>
      </c>
      <c r="B128" s="123" t="s">
        <v>3411</v>
      </c>
      <c r="C128" s="123">
        <v>4</v>
      </c>
      <c r="D128" s="123">
        <v>2</v>
      </c>
      <c r="E128" s="123" t="s">
        <v>3404</v>
      </c>
      <c r="F128" s="125">
        <v>43577</v>
      </c>
      <c r="G128" s="125" t="s">
        <v>4027</v>
      </c>
      <c r="H128" s="125" t="s">
        <v>4752</v>
      </c>
      <c r="I128" s="171">
        <v>1.9444444444444445E-2</v>
      </c>
      <c r="J128" s="173">
        <v>3.2407407407407406E-4</v>
      </c>
      <c r="K128" s="129">
        <v>28</v>
      </c>
      <c r="L128" s="123" t="s">
        <v>101</v>
      </c>
      <c r="M128" s="123" t="s">
        <v>3405</v>
      </c>
      <c r="N128" s="123" t="s">
        <v>102</v>
      </c>
      <c r="O128" s="123" t="s">
        <v>115</v>
      </c>
      <c r="P128" s="123">
        <v>1</v>
      </c>
      <c r="Q128" s="123">
        <v>0</v>
      </c>
      <c r="R128" s="123">
        <v>0</v>
      </c>
      <c r="S128" s="123" t="s">
        <v>598</v>
      </c>
      <c r="T128" s="127" t="s">
        <v>2506</v>
      </c>
      <c r="U128" s="127" t="s">
        <v>122</v>
      </c>
      <c r="V128" s="127" t="s">
        <v>115</v>
      </c>
      <c r="W128" s="127"/>
      <c r="X128" s="127"/>
      <c r="Y128" s="127"/>
      <c r="Z128" s="127" t="s">
        <v>115</v>
      </c>
      <c r="AA128" s="127" t="s">
        <v>115</v>
      </c>
      <c r="AB128" s="127" t="s">
        <v>115</v>
      </c>
      <c r="AC128" s="127" t="s">
        <v>115</v>
      </c>
      <c r="AD128" s="127" t="s">
        <v>115</v>
      </c>
      <c r="AE128" s="127" t="s">
        <v>115</v>
      </c>
      <c r="AF128" s="127" t="s">
        <v>115</v>
      </c>
      <c r="AG128" s="127" t="s">
        <v>115</v>
      </c>
      <c r="AH128" s="123">
        <v>0</v>
      </c>
      <c r="AI128" s="123">
        <v>0</v>
      </c>
      <c r="AJ128" s="123">
        <v>0</v>
      </c>
      <c r="AK128" s="123">
        <v>0</v>
      </c>
      <c r="AL128" s="123">
        <v>2</v>
      </c>
      <c r="AN128" s="123">
        <f t="shared" si="1"/>
        <v>2</v>
      </c>
      <c r="AO128" s="123" t="s">
        <v>188</v>
      </c>
    </row>
    <row r="129" spans="1:44" x14ac:dyDescent="0.2">
      <c r="A129" s="123" t="s">
        <v>3412</v>
      </c>
      <c r="B129" s="123" t="s">
        <v>3413</v>
      </c>
      <c r="C129" s="123">
        <v>5</v>
      </c>
      <c r="D129" s="123">
        <v>1</v>
      </c>
      <c r="E129" s="123" t="s">
        <v>3404</v>
      </c>
      <c r="F129" s="125">
        <v>43577</v>
      </c>
      <c r="G129" s="125" t="s">
        <v>4027</v>
      </c>
      <c r="H129" s="125" t="s">
        <v>4752</v>
      </c>
      <c r="I129" s="171">
        <v>2.2222222222222223E-2</v>
      </c>
      <c r="J129" s="173">
        <v>3.7037037037037035E-4</v>
      </c>
      <c r="K129" s="129">
        <v>32</v>
      </c>
      <c r="L129" s="123" t="s">
        <v>101</v>
      </c>
      <c r="M129" s="123" t="s">
        <v>3405</v>
      </c>
      <c r="N129" s="123" t="s">
        <v>102</v>
      </c>
      <c r="O129" s="123" t="s">
        <v>115</v>
      </c>
      <c r="P129" s="123">
        <v>1</v>
      </c>
      <c r="Q129" s="123">
        <v>0</v>
      </c>
      <c r="R129" s="123">
        <v>0</v>
      </c>
      <c r="S129" s="123" t="s">
        <v>598</v>
      </c>
      <c r="T129" s="127" t="s">
        <v>2437</v>
      </c>
      <c r="U129" s="127" t="s">
        <v>122</v>
      </c>
      <c r="V129" s="127" t="s">
        <v>115</v>
      </c>
      <c r="W129" s="127"/>
      <c r="X129" s="127"/>
      <c r="Y129" s="127"/>
      <c r="Z129" s="127" t="s">
        <v>115</v>
      </c>
      <c r="AA129" s="127" t="s">
        <v>115</v>
      </c>
      <c r="AB129" s="127" t="s">
        <v>115</v>
      </c>
      <c r="AC129" s="127" t="s">
        <v>115</v>
      </c>
      <c r="AD129" s="127" t="s">
        <v>115</v>
      </c>
      <c r="AE129" s="127" t="s">
        <v>115</v>
      </c>
      <c r="AF129" s="127" t="s">
        <v>115</v>
      </c>
      <c r="AG129" s="127" t="s">
        <v>115</v>
      </c>
      <c r="AH129" s="123">
        <v>0</v>
      </c>
      <c r="AI129" s="123">
        <v>0</v>
      </c>
      <c r="AJ129" s="123">
        <v>0</v>
      </c>
      <c r="AK129" s="123">
        <v>0</v>
      </c>
      <c r="AL129" s="123">
        <v>0</v>
      </c>
      <c r="AN129" s="123">
        <f t="shared" si="1"/>
        <v>0</v>
      </c>
      <c r="AP129" s="123" t="s">
        <v>2405</v>
      </c>
    </row>
    <row r="130" spans="1:44" x14ac:dyDescent="0.2">
      <c r="A130" s="123" t="s">
        <v>3416</v>
      </c>
      <c r="B130" s="123" t="s">
        <v>3417</v>
      </c>
      <c r="C130" s="123">
        <v>6</v>
      </c>
      <c r="D130" s="123">
        <v>1</v>
      </c>
      <c r="E130" s="123" t="s">
        <v>3404</v>
      </c>
      <c r="F130" s="125">
        <v>43577</v>
      </c>
      <c r="G130" s="125" t="s">
        <v>4027</v>
      </c>
      <c r="H130" s="125" t="s">
        <v>4752</v>
      </c>
      <c r="I130" s="171">
        <v>1.7361111111111112E-2</v>
      </c>
      <c r="J130" s="173">
        <v>2.8935185185185189E-4</v>
      </c>
      <c r="K130" s="129">
        <v>25</v>
      </c>
      <c r="L130" s="123" t="s">
        <v>101</v>
      </c>
      <c r="M130" s="123" t="s">
        <v>3405</v>
      </c>
      <c r="N130" s="123" t="s">
        <v>107</v>
      </c>
      <c r="O130" s="123" t="s">
        <v>115</v>
      </c>
      <c r="P130" s="123">
        <v>0</v>
      </c>
      <c r="Q130" s="123">
        <v>0</v>
      </c>
      <c r="R130" s="123">
        <v>0</v>
      </c>
      <c r="T130" s="127" t="s">
        <v>115</v>
      </c>
      <c r="U130" s="127" t="s">
        <v>115</v>
      </c>
      <c r="V130" s="127" t="s">
        <v>115</v>
      </c>
      <c r="W130" s="127"/>
      <c r="X130" s="127"/>
      <c r="Y130" s="127"/>
      <c r="Z130" s="127" t="s">
        <v>115</v>
      </c>
      <c r="AA130" s="127" t="s">
        <v>115</v>
      </c>
      <c r="AB130" s="127" t="s">
        <v>115</v>
      </c>
      <c r="AC130" s="127" t="s">
        <v>115</v>
      </c>
      <c r="AD130" s="127" t="s">
        <v>115</v>
      </c>
      <c r="AE130" s="127" t="s">
        <v>115</v>
      </c>
      <c r="AF130" s="127" t="s">
        <v>115</v>
      </c>
      <c r="AG130" s="127" t="s">
        <v>115</v>
      </c>
      <c r="AH130" s="123">
        <v>0</v>
      </c>
      <c r="AI130" s="123">
        <v>0</v>
      </c>
      <c r="AJ130" s="123">
        <v>0</v>
      </c>
      <c r="AK130" s="123">
        <v>0</v>
      </c>
      <c r="AL130" s="123">
        <v>0</v>
      </c>
      <c r="AN130" s="123">
        <f t="shared" ref="AN130:AN193" si="2">SUM(AH130+AI130+AL130)</f>
        <v>0</v>
      </c>
      <c r="AP130" s="123" t="s">
        <v>3418</v>
      </c>
    </row>
    <row r="131" spans="1:44" x14ac:dyDescent="0.2">
      <c r="A131" s="123" t="s">
        <v>3402</v>
      </c>
      <c r="B131" s="123" t="s">
        <v>3403</v>
      </c>
      <c r="C131" s="123">
        <v>1</v>
      </c>
      <c r="D131" s="123">
        <v>1</v>
      </c>
      <c r="E131" s="123" t="s">
        <v>3404</v>
      </c>
      <c r="F131" s="125">
        <v>43577</v>
      </c>
      <c r="G131" s="125" t="s">
        <v>4027</v>
      </c>
      <c r="H131" s="125" t="s">
        <v>4752</v>
      </c>
      <c r="I131" s="171">
        <v>1.3888888888888888E-2</v>
      </c>
      <c r="J131" s="173">
        <v>2.3148148148148146E-4</v>
      </c>
      <c r="K131" s="129">
        <v>20</v>
      </c>
      <c r="L131" s="123" t="s">
        <v>101</v>
      </c>
      <c r="M131" s="123" t="s">
        <v>3405</v>
      </c>
      <c r="N131" s="123" t="s">
        <v>102</v>
      </c>
      <c r="O131" s="123" t="s">
        <v>115</v>
      </c>
      <c r="P131" s="123" t="s">
        <v>24</v>
      </c>
      <c r="Q131" s="123">
        <v>0</v>
      </c>
      <c r="R131" s="123">
        <v>0</v>
      </c>
      <c r="T131" s="127" t="s">
        <v>115</v>
      </c>
      <c r="U131" s="127" t="s">
        <v>115</v>
      </c>
      <c r="V131" s="127" t="s">
        <v>115</v>
      </c>
      <c r="W131" s="127"/>
      <c r="X131" s="127"/>
      <c r="Y131" s="127"/>
      <c r="Z131" s="127" t="s">
        <v>115</v>
      </c>
      <c r="AA131" s="127" t="s">
        <v>115</v>
      </c>
      <c r="AB131" s="127" t="s">
        <v>115</v>
      </c>
      <c r="AC131" s="127" t="s">
        <v>115</v>
      </c>
      <c r="AD131" s="127" t="s">
        <v>115</v>
      </c>
      <c r="AE131" s="127" t="s">
        <v>115</v>
      </c>
      <c r="AF131" s="127" t="s">
        <v>115</v>
      </c>
      <c r="AG131" s="127" t="s">
        <v>115</v>
      </c>
      <c r="AH131" s="123">
        <v>0</v>
      </c>
      <c r="AI131" s="123">
        <v>0</v>
      </c>
      <c r="AJ131" s="123">
        <v>0</v>
      </c>
      <c r="AK131" s="123">
        <v>0</v>
      </c>
      <c r="AL131" s="123">
        <v>20</v>
      </c>
      <c r="AN131" s="123">
        <f t="shared" si="2"/>
        <v>20</v>
      </c>
      <c r="AO131" s="123" t="s">
        <v>188</v>
      </c>
    </row>
    <row r="132" spans="1:44" x14ac:dyDescent="0.2">
      <c r="A132" s="123" t="s">
        <v>3425</v>
      </c>
      <c r="B132" s="123" t="s">
        <v>3426</v>
      </c>
      <c r="C132" s="123">
        <v>10</v>
      </c>
      <c r="D132" s="123">
        <v>1</v>
      </c>
      <c r="E132" s="123" t="s">
        <v>3404</v>
      </c>
      <c r="F132" s="125">
        <v>43577</v>
      </c>
      <c r="G132" s="125" t="s">
        <v>4027</v>
      </c>
      <c r="H132" s="125" t="s">
        <v>4752</v>
      </c>
      <c r="I132" s="171">
        <v>6.805555555555555E-2</v>
      </c>
      <c r="J132" s="173">
        <v>1.1342592592592591E-3</v>
      </c>
      <c r="K132" s="129">
        <v>98</v>
      </c>
      <c r="L132" s="123" t="s">
        <v>101</v>
      </c>
      <c r="M132" s="123" t="s">
        <v>3405</v>
      </c>
      <c r="N132" s="123" t="s">
        <v>102</v>
      </c>
      <c r="O132" s="123" t="s">
        <v>115</v>
      </c>
      <c r="P132" s="123" t="s">
        <v>24</v>
      </c>
      <c r="Q132" s="123">
        <v>0</v>
      </c>
      <c r="R132" s="123">
        <v>0</v>
      </c>
      <c r="T132" s="127" t="s">
        <v>115</v>
      </c>
      <c r="U132" s="127" t="s">
        <v>115</v>
      </c>
      <c r="V132" s="127" t="s">
        <v>115</v>
      </c>
      <c r="W132" s="127"/>
      <c r="X132" s="127"/>
      <c r="Y132" s="127"/>
      <c r="Z132" s="127" t="s">
        <v>115</v>
      </c>
      <c r="AA132" s="127" t="s">
        <v>115</v>
      </c>
      <c r="AB132" s="127" t="s">
        <v>115</v>
      </c>
      <c r="AC132" s="127" t="s">
        <v>115</v>
      </c>
      <c r="AD132" s="127" t="s">
        <v>115</v>
      </c>
      <c r="AE132" s="127" t="s">
        <v>115</v>
      </c>
      <c r="AF132" s="127" t="s">
        <v>115</v>
      </c>
      <c r="AG132" s="127" t="s">
        <v>115</v>
      </c>
      <c r="AH132" s="123">
        <v>0</v>
      </c>
      <c r="AI132" s="123">
        <v>0</v>
      </c>
      <c r="AJ132" s="123">
        <v>0</v>
      </c>
      <c r="AK132" s="123">
        <v>0</v>
      </c>
      <c r="AL132" s="123">
        <v>98</v>
      </c>
      <c r="AN132" s="123">
        <f t="shared" si="2"/>
        <v>98</v>
      </c>
      <c r="AO132" s="123" t="s">
        <v>188</v>
      </c>
    </row>
    <row r="133" spans="1:44" x14ac:dyDescent="0.2">
      <c r="A133" s="123" t="s">
        <v>3427</v>
      </c>
      <c r="B133" s="123" t="s">
        <v>3428</v>
      </c>
      <c r="C133" s="123">
        <v>11</v>
      </c>
      <c r="D133" s="123">
        <v>1</v>
      </c>
      <c r="E133" s="123" t="s">
        <v>3404</v>
      </c>
      <c r="F133" s="125">
        <v>43577</v>
      </c>
      <c r="G133" s="125" t="s">
        <v>4027</v>
      </c>
      <c r="H133" s="125" t="s">
        <v>4752</v>
      </c>
      <c r="I133" s="171">
        <v>2.6388888888888889E-2</v>
      </c>
      <c r="J133" s="173">
        <v>4.3981481481481481E-4</v>
      </c>
      <c r="K133" s="129">
        <v>38</v>
      </c>
      <c r="L133" s="123" t="s">
        <v>101</v>
      </c>
      <c r="M133" s="123" t="s">
        <v>3405</v>
      </c>
      <c r="N133" s="123" t="s">
        <v>102</v>
      </c>
      <c r="O133" s="123" t="s">
        <v>115</v>
      </c>
      <c r="P133" s="123" t="s">
        <v>24</v>
      </c>
      <c r="Q133" s="123">
        <v>0</v>
      </c>
      <c r="R133" s="123">
        <v>0</v>
      </c>
      <c r="T133" s="127" t="s">
        <v>115</v>
      </c>
      <c r="U133" s="127" t="s">
        <v>115</v>
      </c>
      <c r="V133" s="127" t="s">
        <v>115</v>
      </c>
      <c r="W133" s="127"/>
      <c r="X133" s="127"/>
      <c r="Y133" s="127"/>
      <c r="Z133" s="127" t="s">
        <v>115</v>
      </c>
      <c r="AA133" s="127" t="s">
        <v>115</v>
      </c>
      <c r="AB133" s="127" t="s">
        <v>115</v>
      </c>
      <c r="AC133" s="127" t="s">
        <v>115</v>
      </c>
      <c r="AD133" s="127" t="s">
        <v>115</v>
      </c>
      <c r="AE133" s="127" t="s">
        <v>115</v>
      </c>
      <c r="AF133" s="127" t="s">
        <v>115</v>
      </c>
      <c r="AG133" s="127" t="s">
        <v>115</v>
      </c>
      <c r="AH133" s="123">
        <v>0</v>
      </c>
      <c r="AI133" s="123">
        <v>0</v>
      </c>
      <c r="AJ133" s="123">
        <v>0</v>
      </c>
      <c r="AK133" s="123">
        <v>0</v>
      </c>
      <c r="AL133" s="123">
        <v>38</v>
      </c>
      <c r="AN133" s="123">
        <f t="shared" si="2"/>
        <v>38</v>
      </c>
      <c r="AO133" s="123" t="s">
        <v>188</v>
      </c>
    </row>
    <row r="134" spans="1:44" x14ac:dyDescent="0.2">
      <c r="A134" s="123" t="s">
        <v>3412</v>
      </c>
      <c r="B134" s="123" t="s">
        <v>3413</v>
      </c>
      <c r="C134" s="123">
        <v>5</v>
      </c>
      <c r="D134" s="123">
        <v>3</v>
      </c>
      <c r="E134" s="123" t="s">
        <v>3404</v>
      </c>
      <c r="F134" s="125">
        <v>43577</v>
      </c>
      <c r="G134" s="125" t="s">
        <v>4027</v>
      </c>
      <c r="H134" s="125" t="s">
        <v>4752</v>
      </c>
      <c r="I134" s="171">
        <v>2.2222222222222223E-2</v>
      </c>
      <c r="J134" s="173">
        <v>3.7037037037037035E-4</v>
      </c>
      <c r="K134" s="129">
        <v>32</v>
      </c>
      <c r="L134" s="123" t="s">
        <v>101</v>
      </c>
      <c r="M134" s="123" t="s">
        <v>3405</v>
      </c>
      <c r="N134" s="123" t="s">
        <v>102</v>
      </c>
      <c r="O134" s="123" t="s">
        <v>115</v>
      </c>
      <c r="P134" s="123" t="s">
        <v>24</v>
      </c>
      <c r="Q134" s="123">
        <v>0</v>
      </c>
      <c r="R134" s="123">
        <v>0</v>
      </c>
      <c r="T134" s="127" t="s">
        <v>115</v>
      </c>
      <c r="U134" s="127" t="s">
        <v>115</v>
      </c>
      <c r="V134" s="127" t="s">
        <v>115</v>
      </c>
      <c r="W134" s="127"/>
      <c r="X134" s="127"/>
      <c r="Y134" s="127"/>
      <c r="Z134" s="127" t="s">
        <v>115</v>
      </c>
      <c r="AA134" s="127" t="s">
        <v>115</v>
      </c>
      <c r="AB134" s="127" t="s">
        <v>115</v>
      </c>
      <c r="AC134" s="127" t="s">
        <v>115</v>
      </c>
      <c r="AD134" s="127" t="s">
        <v>115</v>
      </c>
      <c r="AE134" s="127" t="s">
        <v>115</v>
      </c>
      <c r="AF134" s="127" t="s">
        <v>115</v>
      </c>
      <c r="AG134" s="127" t="s">
        <v>115</v>
      </c>
      <c r="AH134" s="123">
        <v>0</v>
      </c>
      <c r="AI134" s="123">
        <v>0</v>
      </c>
      <c r="AJ134" s="123">
        <v>0</v>
      </c>
      <c r="AK134" s="123">
        <v>0</v>
      </c>
      <c r="AL134" s="123">
        <v>18</v>
      </c>
      <c r="AN134" s="123">
        <f t="shared" si="2"/>
        <v>18</v>
      </c>
      <c r="AO134" s="123" t="s">
        <v>188</v>
      </c>
      <c r="AP134" s="123" t="s">
        <v>4857</v>
      </c>
    </row>
    <row r="135" spans="1:44" x14ac:dyDescent="0.2">
      <c r="A135" s="123" t="s">
        <v>3421</v>
      </c>
      <c r="B135" s="123" t="s">
        <v>3422</v>
      </c>
      <c r="C135" s="123">
        <v>8</v>
      </c>
      <c r="D135" s="123">
        <v>1</v>
      </c>
      <c r="E135" s="123" t="s">
        <v>3404</v>
      </c>
      <c r="F135" s="125">
        <v>43577</v>
      </c>
      <c r="G135" s="125" t="s">
        <v>4027</v>
      </c>
      <c r="H135" s="125" t="s">
        <v>4752</v>
      </c>
      <c r="I135" s="171">
        <v>1.6666666666666666E-2</v>
      </c>
      <c r="J135" s="173">
        <v>2.7777777777777778E-4</v>
      </c>
      <c r="K135" s="129">
        <v>24</v>
      </c>
      <c r="L135" s="123" t="s">
        <v>101</v>
      </c>
      <c r="M135" s="123" t="s">
        <v>3405</v>
      </c>
      <c r="N135" s="123" t="s">
        <v>102</v>
      </c>
      <c r="O135" s="123" t="s">
        <v>115</v>
      </c>
      <c r="P135" s="123" t="s">
        <v>24</v>
      </c>
      <c r="Q135" s="123">
        <v>0</v>
      </c>
      <c r="R135" s="123">
        <v>0</v>
      </c>
      <c r="T135" s="127" t="s">
        <v>115</v>
      </c>
      <c r="U135" s="127" t="s">
        <v>115</v>
      </c>
      <c r="V135" s="127" t="s">
        <v>115</v>
      </c>
      <c r="W135" s="127"/>
      <c r="X135" s="127"/>
      <c r="Y135" s="127"/>
      <c r="Z135" s="127" t="s">
        <v>115</v>
      </c>
      <c r="AA135" s="127" t="s">
        <v>115</v>
      </c>
      <c r="AB135" s="127" t="s">
        <v>115</v>
      </c>
      <c r="AC135" s="127" t="s">
        <v>115</v>
      </c>
      <c r="AD135" s="127" t="s">
        <v>115</v>
      </c>
      <c r="AE135" s="127" t="s">
        <v>115</v>
      </c>
      <c r="AF135" s="127" t="s">
        <v>115</v>
      </c>
      <c r="AG135" s="127" t="s">
        <v>115</v>
      </c>
      <c r="AH135" s="123">
        <v>0</v>
      </c>
      <c r="AI135" s="123">
        <v>0</v>
      </c>
      <c r="AJ135" s="123">
        <v>0</v>
      </c>
      <c r="AK135" s="123">
        <v>0</v>
      </c>
      <c r="AL135" s="123">
        <v>24</v>
      </c>
      <c r="AN135" s="123">
        <f t="shared" si="2"/>
        <v>24</v>
      </c>
      <c r="AO135" s="123" t="s">
        <v>188</v>
      </c>
    </row>
    <row r="136" spans="1:44" x14ac:dyDescent="0.2">
      <c r="A136" s="123" t="s">
        <v>2848</v>
      </c>
      <c r="B136" s="123" t="s">
        <v>2849</v>
      </c>
      <c r="C136" s="123">
        <v>4</v>
      </c>
      <c r="D136" s="123">
        <v>1</v>
      </c>
      <c r="E136" s="123" t="s">
        <v>3171</v>
      </c>
      <c r="F136" s="125">
        <v>43557</v>
      </c>
      <c r="G136" s="125" t="s">
        <v>4027</v>
      </c>
      <c r="H136" s="125" t="s">
        <v>4752</v>
      </c>
      <c r="I136" s="171">
        <v>1.8749999999999999E-2</v>
      </c>
      <c r="J136" s="173">
        <v>3.1250000000000001E-4</v>
      </c>
      <c r="K136" s="129">
        <v>27</v>
      </c>
      <c r="L136" s="126"/>
      <c r="M136" s="123" t="s">
        <v>149</v>
      </c>
      <c r="N136" s="123" t="s">
        <v>111</v>
      </c>
      <c r="O136" s="123" t="s">
        <v>23</v>
      </c>
      <c r="P136" s="123">
        <v>1</v>
      </c>
      <c r="Q136" s="123">
        <v>0</v>
      </c>
      <c r="R136" s="123">
        <v>1</v>
      </c>
      <c r="S136" s="123" t="s">
        <v>176</v>
      </c>
      <c r="T136" s="127" t="s">
        <v>24</v>
      </c>
      <c r="U136" s="127" t="s">
        <v>122</v>
      </c>
      <c r="V136" s="127" t="s">
        <v>1035</v>
      </c>
      <c r="W136" s="127" t="s">
        <v>23</v>
      </c>
      <c r="X136" s="127" t="s">
        <v>3997</v>
      </c>
      <c r="Y136" s="127" t="s">
        <v>4006</v>
      </c>
      <c r="Z136" s="123" t="s">
        <v>2850</v>
      </c>
      <c r="AA136" s="127">
        <v>115</v>
      </c>
      <c r="AB136" s="123">
        <v>21</v>
      </c>
      <c r="AC136" s="123">
        <v>63.724209999999999</v>
      </c>
      <c r="AD136" s="123">
        <v>148.95044999999999</v>
      </c>
      <c r="AE136" s="127" t="s">
        <v>115</v>
      </c>
      <c r="AF136" s="127" t="s">
        <v>115</v>
      </c>
      <c r="AG136" s="127"/>
      <c r="AH136" s="123">
        <v>0</v>
      </c>
      <c r="AI136" s="123">
        <v>0</v>
      </c>
      <c r="AJ136" s="123">
        <v>0</v>
      </c>
      <c r="AK136" s="123">
        <v>0</v>
      </c>
      <c r="AL136" s="123">
        <v>0</v>
      </c>
      <c r="AN136" s="123">
        <f t="shared" si="2"/>
        <v>0</v>
      </c>
      <c r="AP136" s="123" t="s">
        <v>4803</v>
      </c>
    </row>
    <row r="137" spans="1:44" x14ac:dyDescent="0.2">
      <c r="A137" s="123" t="s">
        <v>2841</v>
      </c>
      <c r="B137" s="123" t="s">
        <v>2842</v>
      </c>
      <c r="C137" s="123">
        <v>1</v>
      </c>
      <c r="D137" s="123">
        <v>1</v>
      </c>
      <c r="E137" s="123" t="s">
        <v>3171</v>
      </c>
      <c r="F137" s="125">
        <v>43557</v>
      </c>
      <c r="G137" s="125" t="s">
        <v>4027</v>
      </c>
      <c r="H137" s="125" t="s">
        <v>4752</v>
      </c>
      <c r="I137" s="171">
        <v>2.9166666666666664E-2</v>
      </c>
      <c r="J137" s="173">
        <v>4.8611111111111104E-4</v>
      </c>
      <c r="K137" s="129">
        <v>42</v>
      </c>
      <c r="M137" s="123" t="s">
        <v>149</v>
      </c>
      <c r="N137" s="123" t="s">
        <v>102</v>
      </c>
      <c r="O137" s="123" t="s">
        <v>23</v>
      </c>
      <c r="P137" s="123">
        <v>1</v>
      </c>
      <c r="Q137" s="123" t="s">
        <v>24</v>
      </c>
      <c r="R137" s="123">
        <v>0</v>
      </c>
      <c r="S137" s="123" t="s">
        <v>176</v>
      </c>
      <c r="T137" s="127" t="s">
        <v>24</v>
      </c>
      <c r="U137" s="127" t="s">
        <v>487</v>
      </c>
      <c r="V137" s="127" t="s">
        <v>115</v>
      </c>
      <c r="W137" s="127"/>
      <c r="X137" s="127"/>
      <c r="Y137" s="127"/>
      <c r="Z137" s="127" t="s">
        <v>115</v>
      </c>
      <c r="AA137" s="127" t="s">
        <v>115</v>
      </c>
      <c r="AB137" s="127" t="s">
        <v>115</v>
      </c>
      <c r="AC137" s="127" t="s">
        <v>115</v>
      </c>
      <c r="AD137" s="127" t="s">
        <v>115</v>
      </c>
      <c r="AE137" s="127" t="s">
        <v>115</v>
      </c>
      <c r="AF137" s="127" t="s">
        <v>115</v>
      </c>
      <c r="AG137" s="127"/>
      <c r="AH137" s="123">
        <v>0</v>
      </c>
      <c r="AI137" s="123">
        <v>0</v>
      </c>
      <c r="AJ137" s="123">
        <v>0</v>
      </c>
      <c r="AK137" s="123">
        <v>0</v>
      </c>
      <c r="AL137" s="123">
        <v>0</v>
      </c>
      <c r="AN137" s="123">
        <f t="shared" si="2"/>
        <v>0</v>
      </c>
      <c r="AP137" s="123" t="s">
        <v>2843</v>
      </c>
    </row>
    <row r="138" spans="1:44" x14ac:dyDescent="0.2">
      <c r="A138" s="123" t="s">
        <v>2844</v>
      </c>
      <c r="B138" s="123" t="s">
        <v>2845</v>
      </c>
      <c r="C138" s="123">
        <v>2</v>
      </c>
      <c r="D138" s="123">
        <v>1</v>
      </c>
      <c r="E138" s="123" t="s">
        <v>3171</v>
      </c>
      <c r="F138" s="125">
        <v>43557</v>
      </c>
      <c r="G138" s="125" t="s">
        <v>4027</v>
      </c>
      <c r="H138" s="125" t="s">
        <v>4752</v>
      </c>
      <c r="I138" s="171">
        <v>2.7777777777777776E-2</v>
      </c>
      <c r="J138" s="173">
        <v>4.6296296296296293E-4</v>
      </c>
      <c r="K138" s="129">
        <v>40</v>
      </c>
      <c r="M138" s="123" t="s">
        <v>149</v>
      </c>
      <c r="N138" s="123" t="s">
        <v>102</v>
      </c>
      <c r="O138" s="123" t="s">
        <v>115</v>
      </c>
      <c r="P138" s="123">
        <v>1</v>
      </c>
      <c r="Q138" s="123">
        <v>0</v>
      </c>
      <c r="R138" s="123">
        <v>0</v>
      </c>
      <c r="S138" s="123" t="s">
        <v>176</v>
      </c>
      <c r="T138" s="127" t="s">
        <v>24</v>
      </c>
      <c r="U138" s="127" t="s">
        <v>122</v>
      </c>
      <c r="V138" s="127" t="s">
        <v>115</v>
      </c>
      <c r="W138" s="127"/>
      <c r="X138" s="127"/>
      <c r="Y138" s="127"/>
      <c r="Z138" s="127" t="s">
        <v>115</v>
      </c>
      <c r="AA138" s="127" t="s">
        <v>115</v>
      </c>
      <c r="AB138" s="127" t="s">
        <v>115</v>
      </c>
      <c r="AC138" s="127" t="s">
        <v>115</v>
      </c>
      <c r="AD138" s="127" t="s">
        <v>115</v>
      </c>
      <c r="AE138" s="127" t="s">
        <v>115</v>
      </c>
      <c r="AF138" s="127" t="s">
        <v>115</v>
      </c>
      <c r="AG138" s="127"/>
      <c r="AH138" s="123">
        <v>0</v>
      </c>
      <c r="AI138" s="123">
        <v>0</v>
      </c>
      <c r="AJ138" s="123">
        <v>0</v>
      </c>
      <c r="AK138" s="123">
        <v>0</v>
      </c>
      <c r="AL138" s="123">
        <v>38</v>
      </c>
      <c r="AN138" s="123">
        <f t="shared" si="2"/>
        <v>38</v>
      </c>
      <c r="AO138" s="123" t="s">
        <v>188</v>
      </c>
    </row>
    <row r="139" spans="1:44" x14ac:dyDescent="0.2">
      <c r="A139" s="123" t="s">
        <v>2846</v>
      </c>
      <c r="B139" s="123" t="s">
        <v>2847</v>
      </c>
      <c r="C139" s="123">
        <v>3</v>
      </c>
      <c r="D139" s="123">
        <v>1</v>
      </c>
      <c r="E139" s="123" t="s">
        <v>3171</v>
      </c>
      <c r="F139" s="125">
        <v>43557</v>
      </c>
      <c r="G139" s="125" t="s">
        <v>4027</v>
      </c>
      <c r="H139" s="125" t="s">
        <v>4752</v>
      </c>
      <c r="I139" s="171">
        <v>1.1111111111111112E-2</v>
      </c>
      <c r="J139" s="173">
        <v>1.8518518518518518E-4</v>
      </c>
      <c r="K139" s="129">
        <v>16</v>
      </c>
      <c r="M139" s="123" t="s">
        <v>149</v>
      </c>
      <c r="N139" s="123" t="s">
        <v>102</v>
      </c>
      <c r="O139" s="123" t="s">
        <v>115</v>
      </c>
      <c r="P139" s="123">
        <v>0</v>
      </c>
      <c r="Q139" s="123">
        <v>0</v>
      </c>
      <c r="R139" s="123">
        <v>0</v>
      </c>
      <c r="T139" s="127" t="s">
        <v>115</v>
      </c>
      <c r="U139" s="127" t="s">
        <v>115</v>
      </c>
      <c r="V139" s="127" t="s">
        <v>115</v>
      </c>
      <c r="W139" s="127"/>
      <c r="X139" s="127"/>
      <c r="Y139" s="127"/>
      <c r="Z139" s="127" t="s">
        <v>115</v>
      </c>
      <c r="AA139" s="127" t="s">
        <v>115</v>
      </c>
      <c r="AB139" s="127" t="s">
        <v>115</v>
      </c>
      <c r="AC139" s="127" t="s">
        <v>115</v>
      </c>
      <c r="AD139" s="127" t="s">
        <v>115</v>
      </c>
      <c r="AE139" s="127" t="s">
        <v>115</v>
      </c>
      <c r="AF139" s="127" t="s">
        <v>115</v>
      </c>
      <c r="AG139" s="127"/>
      <c r="AH139" s="123">
        <v>0</v>
      </c>
      <c r="AI139" s="123">
        <v>0</v>
      </c>
      <c r="AJ139" s="123">
        <v>0</v>
      </c>
      <c r="AK139" s="123">
        <v>0</v>
      </c>
      <c r="AL139" s="123">
        <v>16</v>
      </c>
      <c r="AN139" s="123">
        <f t="shared" si="2"/>
        <v>16</v>
      </c>
      <c r="AO139" s="123" t="s">
        <v>188</v>
      </c>
    </row>
    <row r="140" spans="1:44" x14ac:dyDescent="0.2">
      <c r="A140" s="123" t="s">
        <v>3179</v>
      </c>
      <c r="B140" s="123" t="s">
        <v>3180</v>
      </c>
      <c r="C140" s="123">
        <v>5</v>
      </c>
      <c r="D140" s="123">
        <v>1</v>
      </c>
      <c r="E140" s="123" t="s">
        <v>3171</v>
      </c>
      <c r="F140" s="125">
        <v>43571</v>
      </c>
      <c r="G140" s="125" t="s">
        <v>4027</v>
      </c>
      <c r="H140" s="125" t="s">
        <v>4752</v>
      </c>
      <c r="I140" s="171">
        <v>3.3333333333333333E-2</v>
      </c>
      <c r="J140" s="173">
        <v>5.5555555555555556E-4</v>
      </c>
      <c r="K140" s="129">
        <v>48</v>
      </c>
      <c r="L140" s="123" t="s">
        <v>1278</v>
      </c>
      <c r="M140" s="123" t="s">
        <v>149</v>
      </c>
      <c r="N140" s="123" t="s">
        <v>102</v>
      </c>
      <c r="O140" s="123" t="s">
        <v>115</v>
      </c>
      <c r="P140" s="123">
        <v>1</v>
      </c>
      <c r="Q140" s="123">
        <v>0</v>
      </c>
      <c r="R140" s="123">
        <v>0</v>
      </c>
      <c r="S140" s="123" t="s">
        <v>176</v>
      </c>
      <c r="T140" s="127" t="s">
        <v>24</v>
      </c>
      <c r="U140" s="127" t="s">
        <v>122</v>
      </c>
      <c r="V140" s="127" t="s">
        <v>115</v>
      </c>
      <c r="W140" s="127"/>
      <c r="X140" s="127"/>
      <c r="Y140" s="127"/>
      <c r="Z140" s="127" t="s">
        <v>115</v>
      </c>
      <c r="AA140" s="127" t="s">
        <v>115</v>
      </c>
      <c r="AB140" s="127" t="s">
        <v>115</v>
      </c>
      <c r="AC140" s="127" t="s">
        <v>115</v>
      </c>
      <c r="AD140" s="127" t="s">
        <v>115</v>
      </c>
      <c r="AE140" s="127" t="s">
        <v>115</v>
      </c>
      <c r="AF140" s="127" t="s">
        <v>115</v>
      </c>
      <c r="AG140" s="127"/>
      <c r="AH140" s="123">
        <v>0</v>
      </c>
      <c r="AI140" s="123">
        <v>0</v>
      </c>
      <c r="AJ140" s="123">
        <v>0</v>
      </c>
      <c r="AK140" s="123">
        <v>0</v>
      </c>
      <c r="AL140" s="123">
        <v>48</v>
      </c>
      <c r="AN140" s="123">
        <f t="shared" si="2"/>
        <v>48</v>
      </c>
      <c r="AO140" s="123" t="s">
        <v>188</v>
      </c>
    </row>
    <row r="141" spans="1:44" x14ac:dyDescent="0.2">
      <c r="A141" s="123" t="s">
        <v>3169</v>
      </c>
      <c r="B141" s="123" t="s">
        <v>3170</v>
      </c>
      <c r="C141" s="123">
        <v>1</v>
      </c>
      <c r="D141" s="123">
        <v>1</v>
      </c>
      <c r="E141" s="123" t="s">
        <v>3171</v>
      </c>
      <c r="F141" s="125">
        <v>43571</v>
      </c>
      <c r="G141" s="125" t="s">
        <v>4027</v>
      </c>
      <c r="H141" s="125" t="s">
        <v>4752</v>
      </c>
      <c r="I141" s="171">
        <v>3.472222222222222E-3</v>
      </c>
      <c r="J141" s="173">
        <v>5.7870370370370366E-5</v>
      </c>
      <c r="K141" s="129">
        <v>5</v>
      </c>
      <c r="L141" s="123" t="s">
        <v>1278</v>
      </c>
      <c r="M141" s="123" t="s">
        <v>149</v>
      </c>
      <c r="N141" s="123" t="s">
        <v>102</v>
      </c>
      <c r="O141" s="123" t="s">
        <v>115</v>
      </c>
      <c r="P141" s="123">
        <v>1</v>
      </c>
      <c r="Q141" s="123">
        <v>0</v>
      </c>
      <c r="R141" s="123">
        <v>0</v>
      </c>
      <c r="S141" s="123" t="s">
        <v>598</v>
      </c>
      <c r="T141" s="127" t="s">
        <v>2506</v>
      </c>
      <c r="U141" s="127" t="s">
        <v>122</v>
      </c>
      <c r="V141" s="127" t="s">
        <v>115</v>
      </c>
      <c r="W141" s="127"/>
      <c r="X141" s="127"/>
      <c r="Y141" s="127"/>
      <c r="Z141" s="127" t="s">
        <v>115</v>
      </c>
      <c r="AA141" s="127" t="s">
        <v>115</v>
      </c>
      <c r="AB141" s="127" t="s">
        <v>115</v>
      </c>
      <c r="AC141" s="127" t="s">
        <v>115</v>
      </c>
      <c r="AD141" s="127" t="s">
        <v>115</v>
      </c>
      <c r="AE141" s="127" t="s">
        <v>115</v>
      </c>
      <c r="AF141" s="127" t="s">
        <v>115</v>
      </c>
      <c r="AG141" s="127"/>
      <c r="AH141" s="123">
        <v>0</v>
      </c>
      <c r="AI141" s="123">
        <v>0</v>
      </c>
      <c r="AJ141" s="123">
        <v>0</v>
      </c>
      <c r="AK141" s="123">
        <v>0</v>
      </c>
      <c r="AL141" s="123">
        <v>0</v>
      </c>
      <c r="AN141" s="123">
        <f t="shared" si="2"/>
        <v>0</v>
      </c>
      <c r="AP141" s="123" t="s">
        <v>2480</v>
      </c>
    </row>
    <row r="142" spans="1:44" x14ac:dyDescent="0.2">
      <c r="A142" s="123" t="s">
        <v>3183</v>
      </c>
      <c r="B142" s="123" t="s">
        <v>3182</v>
      </c>
      <c r="C142" s="123">
        <v>7</v>
      </c>
      <c r="D142" s="123">
        <v>2</v>
      </c>
      <c r="E142" s="123" t="s">
        <v>3171</v>
      </c>
      <c r="F142" s="125">
        <v>43571</v>
      </c>
      <c r="G142" s="125" t="s">
        <v>4027</v>
      </c>
      <c r="H142" s="125" t="s">
        <v>4752</v>
      </c>
      <c r="I142" s="171">
        <v>3.6111111111111115E-2</v>
      </c>
      <c r="J142" s="173">
        <v>6.018518518518519E-4</v>
      </c>
      <c r="K142" s="129">
        <v>52</v>
      </c>
      <c r="L142" s="123" t="s">
        <v>1278</v>
      </c>
      <c r="M142" s="123" t="s">
        <v>149</v>
      </c>
      <c r="N142" s="123" t="s">
        <v>102</v>
      </c>
      <c r="O142" s="123" t="s">
        <v>115</v>
      </c>
      <c r="P142" s="123">
        <v>1</v>
      </c>
      <c r="Q142" s="123">
        <v>0</v>
      </c>
      <c r="R142" s="123">
        <v>0</v>
      </c>
      <c r="S142" s="123" t="s">
        <v>598</v>
      </c>
      <c r="T142" s="127" t="s">
        <v>2506</v>
      </c>
      <c r="U142" s="127" t="s">
        <v>122</v>
      </c>
      <c r="V142" s="127" t="s">
        <v>115</v>
      </c>
      <c r="W142" s="127"/>
      <c r="X142" s="127"/>
      <c r="Y142" s="127"/>
      <c r="Z142" s="127" t="s">
        <v>115</v>
      </c>
      <c r="AA142" s="127" t="s">
        <v>115</v>
      </c>
      <c r="AB142" s="127" t="s">
        <v>115</v>
      </c>
      <c r="AC142" s="127" t="s">
        <v>115</v>
      </c>
      <c r="AD142" s="127" t="s">
        <v>115</v>
      </c>
      <c r="AE142" s="127" t="s">
        <v>115</v>
      </c>
      <c r="AF142" s="127" t="s">
        <v>115</v>
      </c>
      <c r="AG142" s="127"/>
      <c r="AH142" s="123">
        <v>0</v>
      </c>
      <c r="AI142" s="123">
        <v>0</v>
      </c>
      <c r="AJ142" s="123">
        <v>0</v>
      </c>
      <c r="AK142" s="123">
        <v>0</v>
      </c>
      <c r="AL142" s="123">
        <v>47</v>
      </c>
      <c r="AN142" s="123">
        <f t="shared" si="2"/>
        <v>47</v>
      </c>
      <c r="AO142" s="123" t="s">
        <v>188</v>
      </c>
    </row>
    <row r="143" spans="1:44" x14ac:dyDescent="0.2">
      <c r="A143" s="123" t="s">
        <v>3183</v>
      </c>
      <c r="B143" s="123" t="s">
        <v>3182</v>
      </c>
      <c r="C143" s="123">
        <v>7</v>
      </c>
      <c r="D143" s="123">
        <v>1</v>
      </c>
      <c r="E143" s="123" t="s">
        <v>3171</v>
      </c>
      <c r="F143" s="125">
        <v>43571</v>
      </c>
      <c r="G143" s="125" t="s">
        <v>4027</v>
      </c>
      <c r="H143" s="125" t="s">
        <v>4752</v>
      </c>
      <c r="I143" s="171">
        <v>3.6111111111111115E-2</v>
      </c>
      <c r="J143" s="173">
        <v>6.018518518518519E-4</v>
      </c>
      <c r="K143" s="129">
        <v>52</v>
      </c>
      <c r="L143" s="123" t="s">
        <v>1278</v>
      </c>
      <c r="M143" s="123" t="s">
        <v>149</v>
      </c>
      <c r="N143" s="123" t="s">
        <v>102</v>
      </c>
      <c r="O143" s="123" t="s">
        <v>23</v>
      </c>
      <c r="P143" s="123">
        <v>1</v>
      </c>
      <c r="Q143" s="123">
        <v>0</v>
      </c>
      <c r="R143" s="123">
        <v>0</v>
      </c>
      <c r="S143" s="123" t="s">
        <v>598</v>
      </c>
      <c r="T143" s="127" t="s">
        <v>598</v>
      </c>
      <c r="U143" s="127" t="s">
        <v>3184</v>
      </c>
      <c r="V143" s="127" t="s">
        <v>115</v>
      </c>
      <c r="W143" s="127"/>
      <c r="X143" s="127"/>
      <c r="Y143" s="127"/>
      <c r="Z143" s="127" t="s">
        <v>115</v>
      </c>
      <c r="AA143" s="127" t="s">
        <v>115</v>
      </c>
      <c r="AB143" s="127" t="s">
        <v>115</v>
      </c>
      <c r="AC143" s="127" t="s">
        <v>115</v>
      </c>
      <c r="AD143" s="127" t="s">
        <v>115</v>
      </c>
      <c r="AE143" s="127" t="s">
        <v>115</v>
      </c>
      <c r="AF143" s="127" t="s">
        <v>115</v>
      </c>
      <c r="AG143" s="127"/>
      <c r="AH143" s="123">
        <v>5</v>
      </c>
      <c r="AI143" s="123">
        <v>0</v>
      </c>
      <c r="AJ143" s="123">
        <v>5</v>
      </c>
      <c r="AK143" s="123">
        <v>0</v>
      </c>
      <c r="AL143" s="123">
        <v>0</v>
      </c>
      <c r="AN143" s="123">
        <f t="shared" si="2"/>
        <v>5</v>
      </c>
      <c r="AO143" s="123" t="s">
        <v>16</v>
      </c>
      <c r="AQ143" s="123">
        <v>0</v>
      </c>
      <c r="AR143" s="123">
        <v>1</v>
      </c>
    </row>
    <row r="144" spans="1:44" x14ac:dyDescent="0.2">
      <c r="A144" s="123" t="s">
        <v>3172</v>
      </c>
      <c r="B144" s="123" t="s">
        <v>3173</v>
      </c>
      <c r="C144" s="123">
        <v>2</v>
      </c>
      <c r="D144" s="123">
        <v>1</v>
      </c>
      <c r="E144" s="123" t="s">
        <v>3171</v>
      </c>
      <c r="F144" s="125">
        <v>43571</v>
      </c>
      <c r="G144" s="125" t="s">
        <v>4027</v>
      </c>
      <c r="H144" s="125" t="s">
        <v>4752</v>
      </c>
      <c r="I144" s="171">
        <v>1.3888888888888888E-2</v>
      </c>
      <c r="J144" s="173">
        <v>2.3148148148148146E-4</v>
      </c>
      <c r="K144" s="129">
        <v>20</v>
      </c>
      <c r="L144" s="123" t="s">
        <v>1278</v>
      </c>
      <c r="M144" s="123" t="s">
        <v>149</v>
      </c>
      <c r="N144" s="123" t="s">
        <v>102</v>
      </c>
      <c r="O144" s="123" t="s">
        <v>23</v>
      </c>
      <c r="P144" s="123">
        <v>0</v>
      </c>
      <c r="Q144" s="123">
        <v>0</v>
      </c>
      <c r="R144" s="123">
        <v>0</v>
      </c>
      <c r="T144" s="127" t="s">
        <v>115</v>
      </c>
      <c r="U144" s="127" t="s">
        <v>115</v>
      </c>
      <c r="V144" s="127" t="s">
        <v>115</v>
      </c>
      <c r="W144" s="127"/>
      <c r="X144" s="127"/>
      <c r="Y144" s="127"/>
      <c r="Z144" s="127" t="s">
        <v>115</v>
      </c>
      <c r="AA144" s="127" t="s">
        <v>115</v>
      </c>
      <c r="AB144" s="127" t="s">
        <v>115</v>
      </c>
      <c r="AC144" s="127" t="s">
        <v>115</v>
      </c>
      <c r="AD144" s="127" t="s">
        <v>115</v>
      </c>
      <c r="AE144" s="127" t="s">
        <v>115</v>
      </c>
      <c r="AF144" s="127" t="s">
        <v>115</v>
      </c>
      <c r="AG144" s="127"/>
      <c r="AH144" s="123">
        <v>11</v>
      </c>
      <c r="AI144" s="123">
        <v>0</v>
      </c>
      <c r="AJ144" s="123">
        <v>11</v>
      </c>
      <c r="AK144" s="123">
        <v>0</v>
      </c>
      <c r="AL144" s="123">
        <v>5</v>
      </c>
      <c r="AN144" s="123">
        <f t="shared" si="2"/>
        <v>16</v>
      </c>
      <c r="AO144" s="123" t="s">
        <v>188</v>
      </c>
      <c r="AP144" s="123" t="s">
        <v>4820</v>
      </c>
    </row>
    <row r="145" spans="1:44" x14ac:dyDescent="0.2">
      <c r="A145" s="123" t="s">
        <v>3389</v>
      </c>
      <c r="B145" s="123" t="s">
        <v>3390</v>
      </c>
      <c r="C145" s="123">
        <v>17</v>
      </c>
      <c r="D145" s="123">
        <v>1</v>
      </c>
      <c r="E145" s="123" t="s">
        <v>3171</v>
      </c>
      <c r="F145" s="125">
        <v>43577</v>
      </c>
      <c r="G145" s="125" t="s">
        <v>4027</v>
      </c>
      <c r="H145" s="125" t="s">
        <v>4752</v>
      </c>
      <c r="I145" s="171">
        <v>5.6944444444444443E-2</v>
      </c>
      <c r="J145" s="173">
        <v>9.4907407407407408E-4</v>
      </c>
      <c r="K145" s="129">
        <v>82</v>
      </c>
      <c r="L145" s="123" t="s">
        <v>101</v>
      </c>
      <c r="M145" s="123" t="s">
        <v>149</v>
      </c>
      <c r="N145" s="123" t="s">
        <v>242</v>
      </c>
      <c r="O145" s="123" t="s">
        <v>23</v>
      </c>
      <c r="P145" s="123">
        <v>0</v>
      </c>
      <c r="Q145" s="123">
        <v>0</v>
      </c>
      <c r="R145" s="123">
        <v>1</v>
      </c>
      <c r="S145" s="123" t="s">
        <v>176</v>
      </c>
      <c r="T145" s="127" t="s">
        <v>24</v>
      </c>
      <c r="U145" s="127" t="s">
        <v>24</v>
      </c>
      <c r="V145" s="127" t="s">
        <v>2068</v>
      </c>
      <c r="W145" s="127" t="s">
        <v>23</v>
      </c>
      <c r="X145" s="127" t="s">
        <v>3997</v>
      </c>
      <c r="Y145" s="127" t="s">
        <v>4005</v>
      </c>
      <c r="AB145" s="127" t="s">
        <v>176</v>
      </c>
      <c r="AC145" s="127">
        <v>63.722610000000003</v>
      </c>
      <c r="AD145" s="127">
        <v>148.94719000000001</v>
      </c>
      <c r="AE145" s="127" t="s">
        <v>115</v>
      </c>
      <c r="AF145" s="127" t="s">
        <v>115</v>
      </c>
      <c r="AG145" s="127" t="s">
        <v>115</v>
      </c>
      <c r="AH145" s="123">
        <v>0</v>
      </c>
      <c r="AI145" s="123">
        <v>0</v>
      </c>
      <c r="AJ145" s="123">
        <v>0</v>
      </c>
      <c r="AK145" s="123">
        <v>0</v>
      </c>
      <c r="AL145" s="123">
        <v>0</v>
      </c>
      <c r="AN145" s="123">
        <f t="shared" si="2"/>
        <v>0</v>
      </c>
      <c r="AP145" s="123" t="s">
        <v>3391</v>
      </c>
    </row>
    <row r="146" spans="1:44" x14ac:dyDescent="0.2">
      <c r="A146" s="123" t="s">
        <v>3389</v>
      </c>
      <c r="B146" s="123" t="s">
        <v>3390</v>
      </c>
      <c r="C146" s="123">
        <v>17</v>
      </c>
      <c r="D146" s="123">
        <v>2</v>
      </c>
      <c r="E146" s="123" t="s">
        <v>3171</v>
      </c>
      <c r="F146" s="125">
        <v>43577</v>
      </c>
      <c r="G146" s="125" t="s">
        <v>4027</v>
      </c>
      <c r="H146" s="125" t="s">
        <v>4752</v>
      </c>
      <c r="I146" s="171">
        <v>5.6944444444444443E-2</v>
      </c>
      <c r="J146" s="173">
        <v>9.4907407407407408E-4</v>
      </c>
      <c r="K146" s="129">
        <v>82</v>
      </c>
      <c r="L146" s="123" t="s">
        <v>101</v>
      </c>
      <c r="M146" s="123" t="s">
        <v>149</v>
      </c>
      <c r="N146" s="123" t="s">
        <v>242</v>
      </c>
      <c r="O146" s="123" t="s">
        <v>23</v>
      </c>
      <c r="P146" s="123">
        <v>0</v>
      </c>
      <c r="Q146" s="123">
        <v>0</v>
      </c>
      <c r="R146" s="123">
        <v>1</v>
      </c>
      <c r="S146" s="123" t="s">
        <v>176</v>
      </c>
      <c r="T146" s="127" t="s">
        <v>24</v>
      </c>
      <c r="U146" s="127" t="s">
        <v>24</v>
      </c>
      <c r="V146" s="127" t="s">
        <v>2068</v>
      </c>
      <c r="W146" s="127" t="s">
        <v>23</v>
      </c>
      <c r="X146" s="127" t="s">
        <v>3997</v>
      </c>
      <c r="Y146" s="127" t="s">
        <v>4005</v>
      </c>
      <c r="AB146" s="127" t="s">
        <v>176</v>
      </c>
      <c r="AC146" s="127">
        <v>63.722610000000003</v>
      </c>
      <c r="AD146" s="127">
        <v>148.94719000000001</v>
      </c>
      <c r="AE146" s="127" t="s">
        <v>115</v>
      </c>
      <c r="AF146" s="127" t="s">
        <v>115</v>
      </c>
      <c r="AG146" s="127" t="s">
        <v>115</v>
      </c>
      <c r="AH146" s="123">
        <v>0</v>
      </c>
      <c r="AI146" s="123">
        <v>0</v>
      </c>
      <c r="AJ146" s="123">
        <v>0</v>
      </c>
      <c r="AK146" s="123">
        <v>0</v>
      </c>
      <c r="AL146" s="123">
        <v>0</v>
      </c>
      <c r="AN146" s="123">
        <f t="shared" si="2"/>
        <v>0</v>
      </c>
      <c r="AP146" s="123" t="s">
        <v>3391</v>
      </c>
    </row>
    <row r="147" spans="1:44" x14ac:dyDescent="0.2">
      <c r="A147" s="123" t="s">
        <v>3354</v>
      </c>
      <c r="B147" s="123" t="s">
        <v>3355</v>
      </c>
      <c r="C147" s="123">
        <v>1</v>
      </c>
      <c r="D147" s="123">
        <v>1</v>
      </c>
      <c r="E147" s="123" t="s">
        <v>3171</v>
      </c>
      <c r="F147" s="125">
        <v>43577</v>
      </c>
      <c r="G147" s="125" t="s">
        <v>4027</v>
      </c>
      <c r="H147" s="125" t="s">
        <v>4752</v>
      </c>
      <c r="I147" s="171">
        <v>9.7222222222222224E-3</v>
      </c>
      <c r="J147" s="173">
        <v>1.6203703703703703E-4</v>
      </c>
      <c r="K147" s="129">
        <v>14</v>
      </c>
      <c r="L147" s="123" t="s">
        <v>101</v>
      </c>
      <c r="M147" s="123" t="s">
        <v>149</v>
      </c>
      <c r="N147" s="123" t="s">
        <v>102</v>
      </c>
      <c r="O147" s="123" t="s">
        <v>115</v>
      </c>
      <c r="P147" s="123">
        <v>1</v>
      </c>
      <c r="Q147" s="123">
        <v>0</v>
      </c>
      <c r="R147" s="123">
        <v>0</v>
      </c>
      <c r="S147" s="123" t="s">
        <v>176</v>
      </c>
      <c r="T147" s="127" t="s">
        <v>24</v>
      </c>
      <c r="U147" s="127" t="s">
        <v>122</v>
      </c>
      <c r="V147" s="127" t="s">
        <v>115</v>
      </c>
      <c r="W147" s="127"/>
      <c r="X147" s="127"/>
      <c r="Y147" s="127"/>
      <c r="Z147" s="127" t="s">
        <v>115</v>
      </c>
      <c r="AA147" s="127" t="s">
        <v>115</v>
      </c>
      <c r="AB147" s="127" t="s">
        <v>115</v>
      </c>
      <c r="AC147" s="127" t="s">
        <v>115</v>
      </c>
      <c r="AD147" s="127" t="s">
        <v>115</v>
      </c>
      <c r="AE147" s="127" t="s">
        <v>115</v>
      </c>
      <c r="AF147" s="127" t="s">
        <v>115</v>
      </c>
      <c r="AG147" s="127" t="s">
        <v>115</v>
      </c>
      <c r="AH147" s="123">
        <v>0</v>
      </c>
      <c r="AI147" s="123">
        <v>0</v>
      </c>
      <c r="AJ147" s="123">
        <v>0</v>
      </c>
      <c r="AK147" s="123">
        <v>0</v>
      </c>
      <c r="AL147" s="123">
        <v>20</v>
      </c>
      <c r="AN147" s="123">
        <f t="shared" si="2"/>
        <v>20</v>
      </c>
      <c r="AO147" s="123" t="s">
        <v>188</v>
      </c>
    </row>
    <row r="148" spans="1:44" x14ac:dyDescent="0.2">
      <c r="A148" s="123" t="s">
        <v>3196</v>
      </c>
      <c r="B148" s="123" t="s">
        <v>3399</v>
      </c>
      <c r="C148" s="123">
        <v>21</v>
      </c>
      <c r="D148" s="123">
        <v>1</v>
      </c>
      <c r="E148" s="123" t="s">
        <v>3171</v>
      </c>
      <c r="F148" s="125">
        <v>43577</v>
      </c>
      <c r="G148" s="125" t="s">
        <v>4027</v>
      </c>
      <c r="H148" s="125" t="s">
        <v>4752</v>
      </c>
      <c r="I148" s="171">
        <v>9.7222222222222224E-3</v>
      </c>
      <c r="J148" s="173">
        <v>1.6203703703703703E-4</v>
      </c>
      <c r="K148" s="129">
        <v>14</v>
      </c>
      <c r="L148" s="123" t="s">
        <v>101</v>
      </c>
      <c r="M148" s="123" t="s">
        <v>149</v>
      </c>
      <c r="N148" s="123" t="s">
        <v>102</v>
      </c>
      <c r="O148" s="123" t="s">
        <v>115</v>
      </c>
      <c r="P148" s="123">
        <v>1</v>
      </c>
      <c r="Q148" s="123">
        <v>0</v>
      </c>
      <c r="R148" s="123">
        <v>0</v>
      </c>
      <c r="S148" s="123" t="s">
        <v>176</v>
      </c>
      <c r="T148" s="127" t="s">
        <v>24</v>
      </c>
      <c r="U148" s="127" t="s">
        <v>122</v>
      </c>
      <c r="V148" s="127" t="s">
        <v>115</v>
      </c>
      <c r="W148" s="127"/>
      <c r="X148" s="127"/>
      <c r="Y148" s="127"/>
      <c r="Z148" s="127" t="s">
        <v>115</v>
      </c>
      <c r="AA148" s="127" t="s">
        <v>115</v>
      </c>
      <c r="AB148" s="127" t="s">
        <v>115</v>
      </c>
      <c r="AC148" s="127" t="s">
        <v>115</v>
      </c>
      <c r="AD148" s="127" t="s">
        <v>115</v>
      </c>
      <c r="AE148" s="127" t="s">
        <v>115</v>
      </c>
      <c r="AF148" s="127" t="s">
        <v>115</v>
      </c>
      <c r="AG148" s="127" t="s">
        <v>115</v>
      </c>
      <c r="AH148" s="123">
        <v>0</v>
      </c>
      <c r="AI148" s="123">
        <v>0</v>
      </c>
      <c r="AJ148" s="123">
        <v>0</v>
      </c>
      <c r="AK148" s="123">
        <v>0</v>
      </c>
      <c r="AL148" s="123">
        <v>14</v>
      </c>
      <c r="AN148" s="123">
        <f t="shared" si="2"/>
        <v>14</v>
      </c>
      <c r="AO148" s="123" t="s">
        <v>188</v>
      </c>
    </row>
    <row r="149" spans="1:44" x14ac:dyDescent="0.2">
      <c r="A149" s="123" t="s">
        <v>3358</v>
      </c>
      <c r="B149" s="123" t="s">
        <v>3359</v>
      </c>
      <c r="C149" s="123">
        <v>3</v>
      </c>
      <c r="D149" s="123">
        <v>1</v>
      </c>
      <c r="E149" s="123" t="s">
        <v>3171</v>
      </c>
      <c r="F149" s="125">
        <v>43577</v>
      </c>
      <c r="G149" s="125" t="s">
        <v>4027</v>
      </c>
      <c r="H149" s="125" t="s">
        <v>4752</v>
      </c>
      <c r="I149" s="171">
        <v>2.7777777777777776E-2</v>
      </c>
      <c r="J149" s="173">
        <v>4.6296296296296293E-4</v>
      </c>
      <c r="K149" s="129">
        <v>40</v>
      </c>
      <c r="L149" s="123" t="s">
        <v>101</v>
      </c>
      <c r="M149" s="123" t="s">
        <v>149</v>
      </c>
      <c r="N149" s="123" t="s">
        <v>242</v>
      </c>
      <c r="O149" s="123" t="s">
        <v>115</v>
      </c>
      <c r="P149" s="123">
        <v>0</v>
      </c>
      <c r="Q149" s="123">
        <v>0</v>
      </c>
      <c r="R149" s="123">
        <v>1</v>
      </c>
      <c r="S149" s="123" t="s">
        <v>598</v>
      </c>
      <c r="T149" s="127" t="s">
        <v>2801</v>
      </c>
      <c r="U149" s="127" t="s">
        <v>115</v>
      </c>
      <c r="V149" s="127" t="s">
        <v>333</v>
      </c>
      <c r="W149" s="127" t="s">
        <v>23</v>
      </c>
      <c r="X149" s="127" t="s">
        <v>3999</v>
      </c>
      <c r="Y149" s="127" t="s">
        <v>4006</v>
      </c>
      <c r="AB149" s="123" t="s">
        <v>24</v>
      </c>
      <c r="AC149" s="123">
        <v>63.722679999999997</v>
      </c>
      <c r="AD149" s="123">
        <v>148.95184</v>
      </c>
      <c r="AE149" s="127" t="s">
        <v>115</v>
      </c>
      <c r="AF149" s="127" t="s">
        <v>115</v>
      </c>
      <c r="AG149" s="127" t="s">
        <v>3360</v>
      </c>
      <c r="AH149" s="123">
        <v>0</v>
      </c>
      <c r="AJ149" s="123">
        <v>0</v>
      </c>
      <c r="AK149" s="123">
        <v>0</v>
      </c>
      <c r="AL149" s="123">
        <v>0</v>
      </c>
      <c r="AN149" s="123">
        <f t="shared" si="2"/>
        <v>0</v>
      </c>
      <c r="AO149" s="123" t="s">
        <v>188</v>
      </c>
    </row>
    <row r="150" spans="1:44" x14ac:dyDescent="0.2">
      <c r="A150" s="123" t="s">
        <v>3387</v>
      </c>
      <c r="B150" s="123" t="s">
        <v>3388</v>
      </c>
      <c r="C150" s="123">
        <v>16</v>
      </c>
      <c r="D150" s="123">
        <v>1</v>
      </c>
      <c r="E150" s="123" t="s">
        <v>3171</v>
      </c>
      <c r="F150" s="125">
        <v>43577</v>
      </c>
      <c r="G150" s="125" t="s">
        <v>4027</v>
      </c>
      <c r="H150" s="125" t="s">
        <v>4752</v>
      </c>
      <c r="I150" s="171">
        <v>1.0416666666666666E-2</v>
      </c>
      <c r="J150" s="173">
        <v>1.7361111111111112E-4</v>
      </c>
      <c r="K150" s="129">
        <v>15</v>
      </c>
      <c r="L150" s="123" t="s">
        <v>101</v>
      </c>
      <c r="M150" s="123" t="s">
        <v>149</v>
      </c>
      <c r="N150" s="123" t="s">
        <v>102</v>
      </c>
      <c r="O150" s="123" t="s">
        <v>115</v>
      </c>
      <c r="P150" s="123">
        <v>1</v>
      </c>
      <c r="Q150" s="123">
        <v>0</v>
      </c>
      <c r="R150" s="123">
        <v>0</v>
      </c>
      <c r="S150" s="123" t="s">
        <v>598</v>
      </c>
      <c r="T150" s="127" t="s">
        <v>2801</v>
      </c>
      <c r="U150" s="127" t="s">
        <v>122</v>
      </c>
      <c r="V150" s="127" t="s">
        <v>115</v>
      </c>
      <c r="W150" s="127"/>
      <c r="X150" s="127"/>
      <c r="Y150" s="127"/>
      <c r="Z150" s="127" t="s">
        <v>115</v>
      </c>
      <c r="AA150" s="127" t="s">
        <v>115</v>
      </c>
      <c r="AB150" s="127" t="s">
        <v>115</v>
      </c>
      <c r="AC150" s="127" t="s">
        <v>115</v>
      </c>
      <c r="AD150" s="127" t="s">
        <v>115</v>
      </c>
      <c r="AE150" s="127" t="s">
        <v>115</v>
      </c>
      <c r="AF150" s="127" t="s">
        <v>115</v>
      </c>
      <c r="AG150" s="127" t="s">
        <v>115</v>
      </c>
      <c r="AH150" s="123">
        <v>0</v>
      </c>
      <c r="AI150" s="123">
        <v>0</v>
      </c>
      <c r="AJ150" s="123">
        <v>0</v>
      </c>
      <c r="AK150" s="123">
        <v>0</v>
      </c>
      <c r="AL150" s="123">
        <v>15</v>
      </c>
      <c r="AN150" s="123">
        <f t="shared" si="2"/>
        <v>15</v>
      </c>
      <c r="AO150" s="123" t="s">
        <v>188</v>
      </c>
    </row>
    <row r="151" spans="1:44" x14ac:dyDescent="0.2">
      <c r="A151" s="123" t="s">
        <v>3392</v>
      </c>
      <c r="B151" s="123" t="s">
        <v>3393</v>
      </c>
      <c r="C151" s="123">
        <v>18</v>
      </c>
      <c r="D151" s="123">
        <v>1</v>
      </c>
      <c r="E151" s="123" t="s">
        <v>3171</v>
      </c>
      <c r="F151" s="125">
        <v>43577</v>
      </c>
      <c r="G151" s="125" t="s">
        <v>4027</v>
      </c>
      <c r="H151" s="125" t="s">
        <v>4752</v>
      </c>
      <c r="I151" s="171">
        <v>2.4305555555555556E-2</v>
      </c>
      <c r="J151" s="173">
        <v>4.0509259259259258E-4</v>
      </c>
      <c r="K151" s="129">
        <v>35</v>
      </c>
      <c r="L151" s="123" t="s">
        <v>101</v>
      </c>
      <c r="M151" s="123" t="s">
        <v>149</v>
      </c>
      <c r="N151" s="123" t="s">
        <v>102</v>
      </c>
      <c r="O151" s="123" t="s">
        <v>115</v>
      </c>
      <c r="P151" s="123">
        <v>1</v>
      </c>
      <c r="Q151" s="123">
        <v>0</v>
      </c>
      <c r="R151" s="123">
        <v>0</v>
      </c>
      <c r="S151" s="123" t="s">
        <v>598</v>
      </c>
      <c r="T151" s="127" t="s">
        <v>2801</v>
      </c>
      <c r="U151" s="127" t="s">
        <v>122</v>
      </c>
      <c r="V151" s="127" t="s">
        <v>115</v>
      </c>
      <c r="W151" s="127"/>
      <c r="X151" s="127"/>
      <c r="Y151" s="127"/>
      <c r="Z151" s="127" t="s">
        <v>115</v>
      </c>
      <c r="AA151" s="127" t="s">
        <v>115</v>
      </c>
      <c r="AB151" s="127" t="s">
        <v>115</v>
      </c>
      <c r="AC151" s="127" t="s">
        <v>115</v>
      </c>
      <c r="AD151" s="127" t="s">
        <v>115</v>
      </c>
      <c r="AE151" s="127" t="s">
        <v>115</v>
      </c>
      <c r="AF151" s="127" t="s">
        <v>115</v>
      </c>
      <c r="AG151" s="127" t="s">
        <v>115</v>
      </c>
      <c r="AH151" s="123">
        <v>0</v>
      </c>
      <c r="AI151" s="123">
        <v>0</v>
      </c>
      <c r="AJ151" s="123">
        <v>0</v>
      </c>
      <c r="AK151" s="123">
        <v>0</v>
      </c>
      <c r="AL151" s="123">
        <v>35</v>
      </c>
      <c r="AN151" s="123">
        <f t="shared" si="2"/>
        <v>35</v>
      </c>
      <c r="AO151" s="123" t="s">
        <v>188</v>
      </c>
    </row>
    <row r="152" spans="1:44" x14ac:dyDescent="0.2">
      <c r="A152" s="123" t="s">
        <v>3356</v>
      </c>
      <c r="B152" s="123" t="s">
        <v>3357</v>
      </c>
      <c r="C152" s="123">
        <v>2</v>
      </c>
      <c r="D152" s="123">
        <v>1</v>
      </c>
      <c r="E152" s="123" t="s">
        <v>3171</v>
      </c>
      <c r="F152" s="125">
        <v>43577</v>
      </c>
      <c r="G152" s="125" t="s">
        <v>4027</v>
      </c>
      <c r="H152" s="125" t="s">
        <v>4752</v>
      </c>
      <c r="I152" s="171">
        <v>1.8055555555555557E-2</v>
      </c>
      <c r="J152" s="173">
        <v>3.0092592592592595E-4</v>
      </c>
      <c r="K152" s="129">
        <v>26</v>
      </c>
      <c r="L152" s="123" t="s">
        <v>101</v>
      </c>
      <c r="M152" s="123" t="s">
        <v>149</v>
      </c>
      <c r="N152" s="123" t="s">
        <v>102</v>
      </c>
      <c r="O152" s="123" t="s">
        <v>115</v>
      </c>
      <c r="P152" s="123">
        <v>1</v>
      </c>
      <c r="Q152" s="123">
        <v>0</v>
      </c>
      <c r="R152" s="123">
        <v>0</v>
      </c>
      <c r="S152" s="123" t="s">
        <v>598</v>
      </c>
      <c r="T152" s="127" t="s">
        <v>2801</v>
      </c>
      <c r="U152" s="127" t="s">
        <v>122</v>
      </c>
      <c r="V152" s="127" t="s">
        <v>115</v>
      </c>
      <c r="W152" s="127"/>
      <c r="X152" s="127"/>
      <c r="Y152" s="127"/>
      <c r="Z152" s="127" t="s">
        <v>115</v>
      </c>
      <c r="AA152" s="127" t="s">
        <v>115</v>
      </c>
      <c r="AB152" s="127" t="s">
        <v>115</v>
      </c>
      <c r="AC152" s="127" t="s">
        <v>115</v>
      </c>
      <c r="AD152" s="127" t="s">
        <v>115</v>
      </c>
      <c r="AE152" s="127" t="s">
        <v>115</v>
      </c>
      <c r="AF152" s="127" t="s">
        <v>115</v>
      </c>
      <c r="AG152" s="127" t="s">
        <v>115</v>
      </c>
      <c r="AH152" s="123">
        <v>0</v>
      </c>
      <c r="AI152" s="123">
        <v>0</v>
      </c>
      <c r="AJ152" s="123">
        <v>0</v>
      </c>
      <c r="AK152" s="123">
        <v>0</v>
      </c>
      <c r="AL152" s="123">
        <v>26</v>
      </c>
      <c r="AN152" s="123">
        <f t="shared" si="2"/>
        <v>26</v>
      </c>
      <c r="AO152" s="123" t="s">
        <v>188</v>
      </c>
    </row>
    <row r="153" spans="1:44" x14ac:dyDescent="0.2">
      <c r="A153" s="123" t="s">
        <v>3563</v>
      </c>
      <c r="B153" s="123" t="s">
        <v>3564</v>
      </c>
      <c r="C153" s="123">
        <v>25</v>
      </c>
      <c r="D153" s="123">
        <v>1</v>
      </c>
      <c r="E153" s="123" t="s">
        <v>3171</v>
      </c>
      <c r="F153" s="125">
        <v>43580</v>
      </c>
      <c r="G153" s="125" t="s">
        <v>4027</v>
      </c>
      <c r="H153" s="125" t="s">
        <v>4752</v>
      </c>
      <c r="I153" s="171">
        <v>6.3888888888888884E-2</v>
      </c>
      <c r="J153" s="173">
        <v>1.0648148148148147E-3</v>
      </c>
      <c r="K153" s="129">
        <v>92</v>
      </c>
      <c r="L153" s="123" t="s">
        <v>101</v>
      </c>
      <c r="M153" s="123" t="s">
        <v>149</v>
      </c>
      <c r="N153" s="123" t="s">
        <v>102</v>
      </c>
      <c r="O153" s="123" t="s">
        <v>115</v>
      </c>
      <c r="P153" s="123">
        <v>1</v>
      </c>
      <c r="Q153" s="123">
        <v>1</v>
      </c>
      <c r="R153" s="123">
        <v>0</v>
      </c>
      <c r="S153" s="123" t="s">
        <v>176</v>
      </c>
      <c r="T153" s="127" t="s">
        <v>3565</v>
      </c>
      <c r="U153" s="127" t="s">
        <v>487</v>
      </c>
      <c r="V153" s="127" t="s">
        <v>115</v>
      </c>
      <c r="W153" s="127"/>
      <c r="X153" s="127"/>
      <c r="Y153" s="127"/>
      <c r="Z153" s="127" t="s">
        <v>115</v>
      </c>
      <c r="AA153" s="127" t="s">
        <v>115</v>
      </c>
      <c r="AB153" s="127" t="s">
        <v>115</v>
      </c>
      <c r="AC153" s="127" t="s">
        <v>115</v>
      </c>
      <c r="AD153" s="127" t="s">
        <v>115</v>
      </c>
      <c r="AE153" s="123">
        <v>63.724789999999999</v>
      </c>
      <c r="AF153" s="123">
        <v>148.94768999999999</v>
      </c>
      <c r="AG153" s="127" t="s">
        <v>115</v>
      </c>
      <c r="AH153" s="123">
        <v>2</v>
      </c>
      <c r="AI153" s="123">
        <v>0</v>
      </c>
      <c r="AJ153" s="123">
        <v>0</v>
      </c>
      <c r="AK153" s="123">
        <v>2</v>
      </c>
      <c r="AL153" s="123">
        <v>88</v>
      </c>
      <c r="AN153" s="123">
        <f t="shared" si="2"/>
        <v>90</v>
      </c>
      <c r="AO153" s="123" t="s">
        <v>2374</v>
      </c>
      <c r="AQ153" s="123">
        <v>1</v>
      </c>
      <c r="AR153" s="123">
        <v>0</v>
      </c>
    </row>
    <row r="154" spans="1:44" x14ac:dyDescent="0.2">
      <c r="A154" s="123" t="s">
        <v>3588</v>
      </c>
      <c r="B154" s="123" t="s">
        <v>3589</v>
      </c>
      <c r="C154" s="123">
        <v>37</v>
      </c>
      <c r="D154" s="123">
        <v>1</v>
      </c>
      <c r="E154" s="123" t="s">
        <v>3171</v>
      </c>
      <c r="F154" s="125">
        <v>43580</v>
      </c>
      <c r="G154" s="125" t="s">
        <v>4027</v>
      </c>
      <c r="H154" s="125" t="s">
        <v>4752</v>
      </c>
      <c r="I154" s="171">
        <v>1.3194444444444444E-2</v>
      </c>
      <c r="J154" s="173">
        <v>2.199074074074074E-4</v>
      </c>
      <c r="K154" s="129">
        <v>19</v>
      </c>
      <c r="L154" s="123" t="s">
        <v>101</v>
      </c>
      <c r="M154" s="123" t="s">
        <v>149</v>
      </c>
      <c r="N154" s="123" t="s">
        <v>102</v>
      </c>
      <c r="O154" s="123" t="s">
        <v>23</v>
      </c>
      <c r="P154" s="123">
        <v>1</v>
      </c>
      <c r="Q154" s="123" t="s">
        <v>24</v>
      </c>
      <c r="R154" s="123">
        <v>0</v>
      </c>
      <c r="S154" s="123" t="s">
        <v>176</v>
      </c>
      <c r="T154" s="127" t="s">
        <v>24</v>
      </c>
      <c r="U154" s="127" t="s">
        <v>3591</v>
      </c>
      <c r="V154" s="127" t="s">
        <v>115</v>
      </c>
      <c r="W154" s="127"/>
      <c r="X154" s="127"/>
      <c r="Y154" s="127"/>
      <c r="Z154" s="127" t="s">
        <v>115</v>
      </c>
      <c r="AA154" s="127" t="s">
        <v>115</v>
      </c>
      <c r="AB154" s="127" t="s">
        <v>115</v>
      </c>
      <c r="AC154" s="127" t="s">
        <v>115</v>
      </c>
      <c r="AD154" s="127" t="s">
        <v>115</v>
      </c>
      <c r="AE154" s="127" t="s">
        <v>115</v>
      </c>
      <c r="AF154" s="127" t="s">
        <v>115</v>
      </c>
      <c r="AG154" s="127" t="s">
        <v>115</v>
      </c>
      <c r="AH154" s="123">
        <v>0</v>
      </c>
      <c r="AI154" s="123">
        <v>0</v>
      </c>
      <c r="AJ154" s="123">
        <v>0</v>
      </c>
      <c r="AK154" s="123">
        <v>0</v>
      </c>
      <c r="AL154" s="123">
        <v>5</v>
      </c>
      <c r="AN154" s="123">
        <f t="shared" si="2"/>
        <v>5</v>
      </c>
      <c r="AO154" s="123" t="s">
        <v>188</v>
      </c>
      <c r="AP154" s="123" t="s">
        <v>3592</v>
      </c>
    </row>
    <row r="155" spans="1:44" x14ac:dyDescent="0.2">
      <c r="A155" s="123" t="s">
        <v>3576</v>
      </c>
      <c r="B155" s="123" t="s">
        <v>3577</v>
      </c>
      <c r="C155" s="123">
        <v>31</v>
      </c>
      <c r="D155" s="123">
        <v>1</v>
      </c>
      <c r="E155" s="123" t="s">
        <v>3171</v>
      </c>
      <c r="F155" s="125">
        <v>43580</v>
      </c>
      <c r="G155" s="125" t="s">
        <v>4027</v>
      </c>
      <c r="H155" s="125" t="s">
        <v>4752</v>
      </c>
      <c r="I155" s="171">
        <v>2.0833333333333332E-2</v>
      </c>
      <c r="J155" s="173">
        <v>3.4722222222222224E-4</v>
      </c>
      <c r="K155" s="129">
        <v>30</v>
      </c>
      <c r="L155" s="123" t="s">
        <v>101</v>
      </c>
      <c r="M155" s="123" t="s">
        <v>149</v>
      </c>
      <c r="N155" s="123" t="s">
        <v>102</v>
      </c>
      <c r="O155" s="123" t="s">
        <v>115</v>
      </c>
      <c r="P155" s="123">
        <v>1</v>
      </c>
      <c r="Q155" s="123">
        <v>0</v>
      </c>
      <c r="R155" s="123">
        <v>0</v>
      </c>
      <c r="S155" s="123" t="s">
        <v>176</v>
      </c>
      <c r="T155" s="127" t="s">
        <v>24</v>
      </c>
      <c r="U155" s="127" t="s">
        <v>122</v>
      </c>
      <c r="V155" s="127" t="s">
        <v>115</v>
      </c>
      <c r="W155" s="127"/>
      <c r="X155" s="127"/>
      <c r="Y155" s="127"/>
      <c r="Z155" s="127" t="s">
        <v>115</v>
      </c>
      <c r="AA155" s="127" t="s">
        <v>115</v>
      </c>
      <c r="AB155" s="127" t="s">
        <v>115</v>
      </c>
      <c r="AC155" s="127" t="s">
        <v>115</v>
      </c>
      <c r="AD155" s="127" t="s">
        <v>115</v>
      </c>
      <c r="AE155" s="127" t="s">
        <v>115</v>
      </c>
      <c r="AF155" s="127" t="s">
        <v>115</v>
      </c>
      <c r="AG155" s="127" t="s">
        <v>115</v>
      </c>
      <c r="AH155" s="123">
        <v>0</v>
      </c>
      <c r="AI155" s="123">
        <v>0</v>
      </c>
      <c r="AJ155" s="123">
        <v>0</v>
      </c>
      <c r="AK155" s="123">
        <v>0</v>
      </c>
      <c r="AL155" s="123">
        <v>30</v>
      </c>
      <c r="AN155" s="123">
        <f t="shared" si="2"/>
        <v>30</v>
      </c>
      <c r="AO155" s="123" t="s">
        <v>188</v>
      </c>
    </row>
    <row r="156" spans="1:44" x14ac:dyDescent="0.2">
      <c r="A156" s="123" t="s">
        <v>3568</v>
      </c>
      <c r="B156" s="123" t="s">
        <v>3569</v>
      </c>
      <c r="C156" s="123">
        <v>27</v>
      </c>
      <c r="D156" s="123">
        <v>1</v>
      </c>
      <c r="E156" s="123" t="s">
        <v>3171</v>
      </c>
      <c r="F156" s="125">
        <v>43580</v>
      </c>
      <c r="G156" s="125" t="s">
        <v>4027</v>
      </c>
      <c r="H156" s="125" t="s">
        <v>4752</v>
      </c>
      <c r="I156" s="171">
        <v>0.10486111111111111</v>
      </c>
      <c r="J156" s="173">
        <v>1.7476851851851852E-3</v>
      </c>
      <c r="K156" s="129">
        <v>151</v>
      </c>
      <c r="L156" s="123" t="s">
        <v>101</v>
      </c>
      <c r="M156" s="123" t="s">
        <v>149</v>
      </c>
      <c r="N156" s="123" t="s">
        <v>102</v>
      </c>
      <c r="O156" s="123" t="s">
        <v>115</v>
      </c>
      <c r="P156" s="123">
        <v>1</v>
      </c>
      <c r="Q156" s="123">
        <v>0</v>
      </c>
      <c r="R156" s="123">
        <v>0</v>
      </c>
      <c r="S156" s="123" t="s">
        <v>176</v>
      </c>
      <c r="T156" s="127" t="s">
        <v>24</v>
      </c>
      <c r="U156" s="127" t="s">
        <v>122</v>
      </c>
      <c r="V156" s="127" t="s">
        <v>115</v>
      </c>
      <c r="W156" s="127"/>
      <c r="X156" s="127"/>
      <c r="Y156" s="127"/>
      <c r="Z156" s="127" t="s">
        <v>115</v>
      </c>
      <c r="AA156" s="127" t="s">
        <v>115</v>
      </c>
      <c r="AB156" s="127" t="s">
        <v>115</v>
      </c>
      <c r="AC156" s="127" t="s">
        <v>115</v>
      </c>
      <c r="AD156" s="127" t="s">
        <v>115</v>
      </c>
      <c r="AE156" s="127" t="s">
        <v>115</v>
      </c>
      <c r="AF156" s="127" t="s">
        <v>115</v>
      </c>
      <c r="AG156" s="127" t="s">
        <v>115</v>
      </c>
      <c r="AH156" s="123">
        <v>0</v>
      </c>
      <c r="AI156" s="123">
        <v>0</v>
      </c>
      <c r="AJ156" s="123">
        <v>0</v>
      </c>
      <c r="AK156" s="123">
        <v>0</v>
      </c>
      <c r="AL156" s="123">
        <v>20</v>
      </c>
      <c r="AN156" s="123">
        <f t="shared" si="2"/>
        <v>20</v>
      </c>
      <c r="AO156" s="123" t="s">
        <v>188</v>
      </c>
    </row>
    <row r="157" spans="1:44" x14ac:dyDescent="0.2">
      <c r="A157" s="123" t="s">
        <v>3572</v>
      </c>
      <c r="B157" s="123" t="s">
        <v>3573</v>
      </c>
      <c r="C157" s="123">
        <v>29</v>
      </c>
      <c r="D157" s="123">
        <v>1</v>
      </c>
      <c r="E157" s="123" t="s">
        <v>3171</v>
      </c>
      <c r="F157" s="125">
        <v>43580</v>
      </c>
      <c r="G157" s="125" t="s">
        <v>4027</v>
      </c>
      <c r="H157" s="125" t="s">
        <v>4752</v>
      </c>
      <c r="I157" s="171">
        <v>2.4999999999999998E-2</v>
      </c>
      <c r="J157" s="173">
        <v>4.1666666666666669E-4</v>
      </c>
      <c r="K157" s="129">
        <v>36</v>
      </c>
      <c r="L157" s="123" t="s">
        <v>101</v>
      </c>
      <c r="M157" s="123" t="s">
        <v>149</v>
      </c>
      <c r="N157" s="123" t="s">
        <v>102</v>
      </c>
      <c r="O157" s="123" t="s">
        <v>115</v>
      </c>
      <c r="P157" s="123">
        <v>1</v>
      </c>
      <c r="Q157" s="123">
        <v>0</v>
      </c>
      <c r="R157" s="123">
        <v>0</v>
      </c>
      <c r="S157" s="123" t="s">
        <v>176</v>
      </c>
      <c r="T157" s="127" t="s">
        <v>24</v>
      </c>
      <c r="U157" s="127" t="s">
        <v>122</v>
      </c>
      <c r="V157" s="127" t="s">
        <v>115</v>
      </c>
      <c r="W157" s="127"/>
      <c r="X157" s="127"/>
      <c r="Y157" s="127"/>
      <c r="Z157" s="127" t="s">
        <v>115</v>
      </c>
      <c r="AA157" s="127" t="s">
        <v>115</v>
      </c>
      <c r="AB157" s="127" t="s">
        <v>115</v>
      </c>
      <c r="AC157" s="127" t="s">
        <v>115</v>
      </c>
      <c r="AD157" s="127" t="s">
        <v>115</v>
      </c>
      <c r="AE157" s="127" t="s">
        <v>115</v>
      </c>
      <c r="AF157" s="127" t="s">
        <v>115</v>
      </c>
      <c r="AG157" s="127" t="s">
        <v>115</v>
      </c>
      <c r="AH157" s="123">
        <v>0</v>
      </c>
      <c r="AI157" s="123">
        <v>0</v>
      </c>
      <c r="AJ157" s="123">
        <v>0</v>
      </c>
      <c r="AK157" s="123">
        <v>0</v>
      </c>
      <c r="AL157" s="123">
        <v>36</v>
      </c>
      <c r="AN157" s="123">
        <f t="shared" si="2"/>
        <v>36</v>
      </c>
      <c r="AO157" s="123" t="s">
        <v>188</v>
      </c>
    </row>
    <row r="158" spans="1:44" x14ac:dyDescent="0.2">
      <c r="A158" s="123" t="s">
        <v>3551</v>
      </c>
      <c r="B158" s="123" t="s">
        <v>3552</v>
      </c>
      <c r="C158" s="123">
        <v>19</v>
      </c>
      <c r="D158" s="123">
        <v>1</v>
      </c>
      <c r="E158" s="123" t="s">
        <v>3171</v>
      </c>
      <c r="F158" s="125">
        <v>43580</v>
      </c>
      <c r="G158" s="125" t="s">
        <v>4027</v>
      </c>
      <c r="H158" s="125" t="s">
        <v>4752</v>
      </c>
      <c r="I158" s="171">
        <v>2.4305555555555556E-2</v>
      </c>
      <c r="J158" s="173">
        <v>4.0509259259259258E-4</v>
      </c>
      <c r="K158" s="129">
        <v>35</v>
      </c>
      <c r="L158" s="123" t="s">
        <v>101</v>
      </c>
      <c r="M158" s="123" t="s">
        <v>149</v>
      </c>
      <c r="N158" s="123" t="s">
        <v>102</v>
      </c>
      <c r="O158" s="123" t="s">
        <v>115</v>
      </c>
      <c r="P158" s="123">
        <v>1</v>
      </c>
      <c r="Q158" s="123">
        <v>0</v>
      </c>
      <c r="R158" s="123">
        <v>0</v>
      </c>
      <c r="S158" s="123" t="s">
        <v>176</v>
      </c>
      <c r="T158" s="127" t="s">
        <v>24</v>
      </c>
      <c r="U158" s="127" t="s">
        <v>115</v>
      </c>
      <c r="V158" s="127" t="s">
        <v>115</v>
      </c>
      <c r="W158" s="127"/>
      <c r="X158" s="127"/>
      <c r="Y158" s="127"/>
      <c r="Z158" s="127" t="s">
        <v>115</v>
      </c>
      <c r="AA158" s="127" t="s">
        <v>115</v>
      </c>
      <c r="AB158" s="127" t="s">
        <v>115</v>
      </c>
      <c r="AC158" s="127" t="s">
        <v>115</v>
      </c>
      <c r="AD158" s="127" t="s">
        <v>115</v>
      </c>
      <c r="AE158" s="127" t="s">
        <v>115</v>
      </c>
      <c r="AF158" s="127" t="s">
        <v>115</v>
      </c>
      <c r="AG158" s="127" t="s">
        <v>115</v>
      </c>
      <c r="AH158" s="123">
        <v>0</v>
      </c>
      <c r="AI158" s="123">
        <v>0</v>
      </c>
      <c r="AJ158" s="123">
        <v>0</v>
      </c>
      <c r="AK158" s="123">
        <v>0</v>
      </c>
      <c r="AL158" s="123">
        <v>35</v>
      </c>
      <c r="AN158" s="123">
        <f t="shared" si="2"/>
        <v>35</v>
      </c>
      <c r="AO158" s="123" t="s">
        <v>188</v>
      </c>
    </row>
    <row r="159" spans="1:44" x14ac:dyDescent="0.2">
      <c r="A159" s="123" t="s">
        <v>3531</v>
      </c>
      <c r="B159" s="123" t="s">
        <v>3532</v>
      </c>
      <c r="C159" s="123">
        <v>9</v>
      </c>
      <c r="D159" s="123">
        <v>1</v>
      </c>
      <c r="E159" s="123" t="s">
        <v>3171</v>
      </c>
      <c r="F159" s="125">
        <v>43580</v>
      </c>
      <c r="G159" s="125" t="s">
        <v>4027</v>
      </c>
      <c r="H159" s="125" t="s">
        <v>4752</v>
      </c>
      <c r="I159" s="171">
        <v>3.6805555555555557E-2</v>
      </c>
      <c r="J159" s="173">
        <v>6.134259259259259E-4</v>
      </c>
      <c r="K159" s="129">
        <v>53</v>
      </c>
      <c r="L159" s="123" t="s">
        <v>101</v>
      </c>
      <c r="M159" s="123" t="s">
        <v>149</v>
      </c>
      <c r="N159" s="123" t="s">
        <v>102</v>
      </c>
      <c r="O159" s="123" t="s">
        <v>115</v>
      </c>
      <c r="P159" s="123">
        <v>1</v>
      </c>
      <c r="Q159" s="123">
        <v>0</v>
      </c>
      <c r="R159" s="123">
        <v>0</v>
      </c>
      <c r="S159" s="123" t="s">
        <v>176</v>
      </c>
      <c r="T159" s="127" t="s">
        <v>24</v>
      </c>
      <c r="U159" s="127" t="s">
        <v>263</v>
      </c>
      <c r="V159" s="127" t="s">
        <v>115</v>
      </c>
      <c r="W159" s="127"/>
      <c r="X159" s="127"/>
      <c r="Y159" s="127"/>
      <c r="Z159" s="127" t="s">
        <v>115</v>
      </c>
      <c r="AA159" s="127" t="s">
        <v>115</v>
      </c>
      <c r="AB159" s="127" t="s">
        <v>115</v>
      </c>
      <c r="AC159" s="127" t="s">
        <v>115</v>
      </c>
      <c r="AD159" s="127" t="s">
        <v>115</v>
      </c>
      <c r="AE159" s="127" t="s">
        <v>115</v>
      </c>
      <c r="AF159" s="127" t="s">
        <v>115</v>
      </c>
      <c r="AG159" s="127" t="s">
        <v>115</v>
      </c>
      <c r="AH159" s="123">
        <v>2</v>
      </c>
      <c r="AI159" s="123">
        <v>0</v>
      </c>
      <c r="AJ159" s="123">
        <v>2</v>
      </c>
      <c r="AK159" s="123">
        <v>0</v>
      </c>
      <c r="AL159" s="123">
        <v>51</v>
      </c>
      <c r="AN159" s="123">
        <f t="shared" si="2"/>
        <v>53</v>
      </c>
      <c r="AO159" s="123" t="s">
        <v>188</v>
      </c>
    </row>
    <row r="160" spans="1:44" x14ac:dyDescent="0.2">
      <c r="A160" s="123" t="s">
        <v>3586</v>
      </c>
      <c r="B160" s="123" t="s">
        <v>3587</v>
      </c>
      <c r="C160" s="123">
        <v>36</v>
      </c>
      <c r="D160" s="123">
        <v>1</v>
      </c>
      <c r="E160" s="123" t="s">
        <v>3171</v>
      </c>
      <c r="F160" s="125">
        <v>43580</v>
      </c>
      <c r="G160" s="125" t="s">
        <v>4027</v>
      </c>
      <c r="H160" s="125" t="s">
        <v>4752</v>
      </c>
      <c r="I160" s="171">
        <v>2.7083333333333334E-2</v>
      </c>
      <c r="J160" s="173">
        <v>4.5138888888888892E-4</v>
      </c>
      <c r="K160" s="129">
        <v>39</v>
      </c>
      <c r="L160" s="123" t="s">
        <v>101</v>
      </c>
      <c r="M160" s="123" t="s">
        <v>149</v>
      </c>
      <c r="N160" s="123" t="s">
        <v>102</v>
      </c>
      <c r="O160" s="123" t="s">
        <v>1196</v>
      </c>
      <c r="P160" s="123">
        <v>1</v>
      </c>
      <c r="Q160" s="123" t="s">
        <v>24</v>
      </c>
      <c r="R160" s="123">
        <v>0</v>
      </c>
      <c r="S160" s="123" t="s">
        <v>176</v>
      </c>
      <c r="T160" s="127" t="s">
        <v>24</v>
      </c>
      <c r="U160" s="127" t="s">
        <v>3590</v>
      </c>
      <c r="V160" s="127" t="s">
        <v>115</v>
      </c>
      <c r="W160" s="127"/>
      <c r="X160" s="127"/>
      <c r="Y160" s="127"/>
      <c r="Z160" s="127" t="s">
        <v>115</v>
      </c>
      <c r="AA160" s="127" t="s">
        <v>115</v>
      </c>
      <c r="AB160" s="127" t="s">
        <v>115</v>
      </c>
      <c r="AC160" s="127" t="s">
        <v>115</v>
      </c>
      <c r="AD160" s="127" t="s">
        <v>115</v>
      </c>
      <c r="AE160" s="127" t="s">
        <v>115</v>
      </c>
      <c r="AF160" s="127" t="s">
        <v>115</v>
      </c>
      <c r="AG160" s="127" t="s">
        <v>115</v>
      </c>
      <c r="AH160" s="123">
        <v>3</v>
      </c>
      <c r="AI160" s="123">
        <v>0</v>
      </c>
      <c r="AJ160" s="123">
        <v>0</v>
      </c>
      <c r="AK160" s="123">
        <v>3</v>
      </c>
      <c r="AL160" s="123">
        <v>35</v>
      </c>
      <c r="AN160" s="123">
        <f t="shared" si="2"/>
        <v>38</v>
      </c>
      <c r="AO160" s="123" t="s">
        <v>123</v>
      </c>
      <c r="AQ160" s="123">
        <v>0</v>
      </c>
      <c r="AR160" s="123">
        <v>1</v>
      </c>
    </row>
    <row r="161" spans="1:44" x14ac:dyDescent="0.2">
      <c r="A161" s="123" t="s">
        <v>3568</v>
      </c>
      <c r="B161" s="123" t="s">
        <v>3569</v>
      </c>
      <c r="C161" s="123">
        <v>27</v>
      </c>
      <c r="D161" s="123">
        <v>1</v>
      </c>
      <c r="E161" s="123" t="s">
        <v>3171</v>
      </c>
      <c r="F161" s="125">
        <v>43580</v>
      </c>
      <c r="G161" s="125" t="s">
        <v>4027</v>
      </c>
      <c r="H161" s="125" t="s">
        <v>4752</v>
      </c>
      <c r="I161" s="171">
        <v>0.10486111111111111</v>
      </c>
      <c r="J161" s="173">
        <v>1.7476851851851852E-3</v>
      </c>
      <c r="K161" s="129">
        <v>151</v>
      </c>
      <c r="L161" s="123" t="s">
        <v>101</v>
      </c>
      <c r="M161" s="123" t="s">
        <v>149</v>
      </c>
      <c r="N161" s="123" t="s">
        <v>102</v>
      </c>
      <c r="O161" s="123" t="s">
        <v>115</v>
      </c>
      <c r="P161" s="123">
        <v>1</v>
      </c>
      <c r="Q161" s="123">
        <v>0</v>
      </c>
      <c r="R161" s="123">
        <v>0</v>
      </c>
      <c r="S161" s="123" t="s">
        <v>14</v>
      </c>
      <c r="T161" s="127" t="s">
        <v>2448</v>
      </c>
      <c r="U161" s="127" t="s">
        <v>122</v>
      </c>
      <c r="V161" s="127" t="s">
        <v>115</v>
      </c>
      <c r="W161" s="127"/>
      <c r="X161" s="127"/>
      <c r="Y161" s="127"/>
      <c r="Z161" s="127" t="s">
        <v>115</v>
      </c>
      <c r="AA161" s="127" t="s">
        <v>115</v>
      </c>
      <c r="AB161" s="127" t="s">
        <v>115</v>
      </c>
      <c r="AC161" s="127" t="s">
        <v>115</v>
      </c>
      <c r="AD161" s="127" t="s">
        <v>115</v>
      </c>
      <c r="AE161" s="127" t="s">
        <v>115</v>
      </c>
      <c r="AF161" s="127" t="s">
        <v>115</v>
      </c>
      <c r="AG161" s="127" t="s">
        <v>115</v>
      </c>
      <c r="AH161" s="123">
        <v>0</v>
      </c>
      <c r="AI161" s="123">
        <v>0</v>
      </c>
      <c r="AJ161" s="123">
        <v>0</v>
      </c>
      <c r="AK161" s="123">
        <v>0</v>
      </c>
      <c r="AL161" s="123">
        <v>111</v>
      </c>
      <c r="AN161" s="123">
        <f t="shared" si="2"/>
        <v>111</v>
      </c>
      <c r="AO161" s="123" t="s">
        <v>188</v>
      </c>
    </row>
    <row r="162" spans="1:44" x14ac:dyDescent="0.2">
      <c r="A162" s="123" t="s">
        <v>3537</v>
      </c>
      <c r="B162" s="123" t="s">
        <v>3538</v>
      </c>
      <c r="C162" s="123">
        <v>12</v>
      </c>
      <c r="D162" s="123">
        <v>1</v>
      </c>
      <c r="E162" s="123" t="s">
        <v>3171</v>
      </c>
      <c r="F162" s="125">
        <v>43580</v>
      </c>
      <c r="G162" s="125" t="s">
        <v>4027</v>
      </c>
      <c r="H162" s="125" t="s">
        <v>4752</v>
      </c>
      <c r="I162" s="171">
        <v>7.6388888888888886E-3</v>
      </c>
      <c r="J162" s="173">
        <v>1.273148148148148E-4</v>
      </c>
      <c r="K162" s="129">
        <v>11</v>
      </c>
      <c r="L162" s="123" t="s">
        <v>101</v>
      </c>
      <c r="M162" s="123" t="s">
        <v>149</v>
      </c>
      <c r="N162" s="123" t="s">
        <v>102</v>
      </c>
      <c r="O162" s="123" t="s">
        <v>115</v>
      </c>
      <c r="P162" s="123">
        <v>0</v>
      </c>
      <c r="Q162" s="123">
        <v>0</v>
      </c>
      <c r="R162" s="123">
        <v>0</v>
      </c>
      <c r="T162" s="127" t="s">
        <v>115</v>
      </c>
      <c r="U162" s="127" t="s">
        <v>115</v>
      </c>
      <c r="V162" s="127" t="s">
        <v>115</v>
      </c>
      <c r="W162" s="127"/>
      <c r="X162" s="127"/>
      <c r="Y162" s="127"/>
      <c r="Z162" s="127" t="s">
        <v>115</v>
      </c>
      <c r="AA162" s="127" t="s">
        <v>115</v>
      </c>
      <c r="AB162" s="127" t="s">
        <v>115</v>
      </c>
      <c r="AC162" s="127" t="s">
        <v>115</v>
      </c>
      <c r="AD162" s="127" t="s">
        <v>115</v>
      </c>
      <c r="AE162" s="127" t="s">
        <v>115</v>
      </c>
      <c r="AF162" s="127" t="s">
        <v>115</v>
      </c>
      <c r="AG162" s="127" t="s">
        <v>115</v>
      </c>
      <c r="AH162" s="123">
        <v>0</v>
      </c>
      <c r="AI162" s="123">
        <v>0</v>
      </c>
      <c r="AJ162" s="123">
        <v>0</v>
      </c>
      <c r="AK162" s="123">
        <v>0</v>
      </c>
      <c r="AL162" s="123">
        <v>11</v>
      </c>
      <c r="AN162" s="123">
        <f t="shared" si="2"/>
        <v>11</v>
      </c>
      <c r="AO162" s="123" t="s">
        <v>188</v>
      </c>
    </row>
    <row r="163" spans="1:44" x14ac:dyDescent="0.2">
      <c r="A163" s="123" t="s">
        <v>3543</v>
      </c>
      <c r="B163" s="123" t="s">
        <v>3544</v>
      </c>
      <c r="C163" s="123">
        <v>15</v>
      </c>
      <c r="D163" s="123">
        <v>1</v>
      </c>
      <c r="E163" s="123" t="s">
        <v>3171</v>
      </c>
      <c r="F163" s="125">
        <v>43580</v>
      </c>
      <c r="G163" s="125" t="s">
        <v>4027</v>
      </c>
      <c r="H163" s="125" t="s">
        <v>4752</v>
      </c>
      <c r="I163" s="171">
        <v>1.3194444444444444E-2</v>
      </c>
      <c r="J163" s="173">
        <v>2.199074074074074E-4</v>
      </c>
      <c r="K163" s="129">
        <v>19</v>
      </c>
      <c r="L163" s="123" t="s">
        <v>101</v>
      </c>
      <c r="M163" s="123" t="s">
        <v>149</v>
      </c>
      <c r="N163" s="123" t="s">
        <v>102</v>
      </c>
      <c r="O163" s="123" t="s">
        <v>23</v>
      </c>
      <c r="P163" s="123">
        <v>0</v>
      </c>
      <c r="Q163" s="123">
        <v>0</v>
      </c>
      <c r="R163" s="123">
        <v>0</v>
      </c>
      <c r="T163" s="127" t="s">
        <v>115</v>
      </c>
      <c r="U163" s="127" t="s">
        <v>115</v>
      </c>
      <c r="V163" s="127" t="s">
        <v>115</v>
      </c>
      <c r="W163" s="127"/>
      <c r="X163" s="127"/>
      <c r="Y163" s="127"/>
      <c r="Z163" s="127" t="s">
        <v>115</v>
      </c>
      <c r="AA163" s="127" t="s">
        <v>115</v>
      </c>
      <c r="AB163" s="127" t="s">
        <v>115</v>
      </c>
      <c r="AC163" s="127" t="s">
        <v>115</v>
      </c>
      <c r="AD163" s="127" t="s">
        <v>115</v>
      </c>
      <c r="AE163" s="127" t="s">
        <v>115</v>
      </c>
      <c r="AF163" s="127" t="s">
        <v>115</v>
      </c>
      <c r="AG163" s="127" t="s">
        <v>115</v>
      </c>
      <c r="AH163" s="123">
        <v>4</v>
      </c>
      <c r="AI163" s="123">
        <v>0</v>
      </c>
      <c r="AJ163" s="123">
        <v>4</v>
      </c>
      <c r="AK163" s="123">
        <v>0</v>
      </c>
      <c r="AL163" s="123">
        <v>0</v>
      </c>
      <c r="AN163" s="123">
        <f t="shared" si="2"/>
        <v>4</v>
      </c>
      <c r="AO163" s="123" t="s">
        <v>2374</v>
      </c>
      <c r="AQ163" s="123">
        <v>4</v>
      </c>
      <c r="AR163" s="123">
        <v>0</v>
      </c>
    </row>
    <row r="164" spans="1:44" x14ac:dyDescent="0.2">
      <c r="A164" s="123" t="s">
        <v>3566</v>
      </c>
      <c r="B164" s="123" t="s">
        <v>3567</v>
      </c>
      <c r="C164" s="123">
        <v>26</v>
      </c>
      <c r="D164" s="123">
        <v>1</v>
      </c>
      <c r="E164" s="123" t="s">
        <v>3171</v>
      </c>
      <c r="F164" s="125">
        <v>43580</v>
      </c>
      <c r="G164" s="125" t="s">
        <v>4027</v>
      </c>
      <c r="H164" s="125" t="s">
        <v>4752</v>
      </c>
      <c r="I164" s="171">
        <v>7.9166666666666663E-2</v>
      </c>
      <c r="J164" s="173">
        <v>1.3194444444444443E-3</v>
      </c>
      <c r="K164" s="129">
        <v>114</v>
      </c>
      <c r="L164" s="123" t="s">
        <v>101</v>
      </c>
      <c r="M164" s="123" t="s">
        <v>149</v>
      </c>
      <c r="N164" s="123" t="s">
        <v>1626</v>
      </c>
      <c r="O164" s="123" t="s">
        <v>23</v>
      </c>
      <c r="P164" s="123">
        <v>0</v>
      </c>
      <c r="Q164" s="123">
        <v>0</v>
      </c>
      <c r="R164" s="123">
        <v>0</v>
      </c>
      <c r="T164" s="127" t="s">
        <v>115</v>
      </c>
      <c r="U164" s="127" t="s">
        <v>115</v>
      </c>
      <c r="V164" s="127" t="s">
        <v>115</v>
      </c>
      <c r="W164" s="127"/>
      <c r="X164" s="127"/>
      <c r="Y164" s="127"/>
      <c r="Z164" s="127" t="s">
        <v>115</v>
      </c>
      <c r="AA164" s="127" t="s">
        <v>115</v>
      </c>
      <c r="AB164" s="127" t="s">
        <v>115</v>
      </c>
      <c r="AC164" s="127" t="s">
        <v>115</v>
      </c>
      <c r="AD164" s="127" t="s">
        <v>115</v>
      </c>
      <c r="AE164" s="127" t="s">
        <v>115</v>
      </c>
      <c r="AF164" s="127" t="s">
        <v>115</v>
      </c>
      <c r="AG164" s="127" t="s">
        <v>115</v>
      </c>
      <c r="AH164" s="123">
        <v>19</v>
      </c>
      <c r="AI164" s="123">
        <v>0</v>
      </c>
      <c r="AJ164" s="123">
        <v>19</v>
      </c>
      <c r="AK164" s="123">
        <v>0</v>
      </c>
      <c r="AL164" s="123">
        <v>23</v>
      </c>
      <c r="AN164" s="123">
        <f t="shared" si="2"/>
        <v>42</v>
      </c>
      <c r="AO164" s="123" t="s">
        <v>188</v>
      </c>
    </row>
    <row r="165" spans="1:44" x14ac:dyDescent="0.2">
      <c r="A165" s="123" t="s">
        <v>3570</v>
      </c>
      <c r="B165" s="123" t="s">
        <v>3571</v>
      </c>
      <c r="C165" s="123">
        <v>28</v>
      </c>
      <c r="D165" s="123">
        <v>1</v>
      </c>
      <c r="E165" s="123" t="s">
        <v>3171</v>
      </c>
      <c r="F165" s="125">
        <v>43580</v>
      </c>
      <c r="G165" s="125" t="s">
        <v>4027</v>
      </c>
      <c r="H165" s="125" t="s">
        <v>4752</v>
      </c>
      <c r="I165" s="171">
        <v>3.888888888888889E-2</v>
      </c>
      <c r="J165" s="173">
        <v>6.4814814814814813E-4</v>
      </c>
      <c r="K165" s="129">
        <v>56</v>
      </c>
      <c r="L165" s="123" t="s">
        <v>101</v>
      </c>
      <c r="M165" s="123" t="s">
        <v>149</v>
      </c>
      <c r="N165" s="123" t="s">
        <v>102</v>
      </c>
      <c r="O165" s="123" t="s">
        <v>115</v>
      </c>
      <c r="P165" s="123">
        <v>0</v>
      </c>
      <c r="Q165" s="123">
        <v>0</v>
      </c>
      <c r="R165" s="123">
        <v>0</v>
      </c>
      <c r="T165" s="127" t="s">
        <v>115</v>
      </c>
      <c r="U165" s="127" t="s">
        <v>115</v>
      </c>
      <c r="V165" s="127" t="s">
        <v>115</v>
      </c>
      <c r="W165" s="127"/>
      <c r="X165" s="127"/>
      <c r="Y165" s="127"/>
      <c r="Z165" s="127" t="s">
        <v>115</v>
      </c>
      <c r="AA165" s="127" t="s">
        <v>115</v>
      </c>
      <c r="AB165" s="127" t="s">
        <v>115</v>
      </c>
      <c r="AC165" s="127" t="s">
        <v>115</v>
      </c>
      <c r="AD165" s="127" t="s">
        <v>115</v>
      </c>
      <c r="AE165" s="127" t="s">
        <v>115</v>
      </c>
      <c r="AF165" s="127" t="s">
        <v>115</v>
      </c>
      <c r="AG165" s="127" t="s">
        <v>115</v>
      </c>
      <c r="AH165" s="123">
        <v>0</v>
      </c>
      <c r="AI165" s="123">
        <v>0</v>
      </c>
      <c r="AJ165" s="123">
        <v>0</v>
      </c>
      <c r="AK165" s="123">
        <v>0</v>
      </c>
      <c r="AL165" s="123">
        <v>56</v>
      </c>
      <c r="AN165" s="123">
        <f t="shared" si="2"/>
        <v>56</v>
      </c>
      <c r="AO165" s="123" t="s">
        <v>188</v>
      </c>
    </row>
    <row r="166" spans="1:44" x14ac:dyDescent="0.2">
      <c r="A166" s="123" t="s">
        <v>3519</v>
      </c>
      <c r="B166" s="123" t="s">
        <v>3520</v>
      </c>
      <c r="C166" s="123">
        <v>3</v>
      </c>
      <c r="D166" s="123">
        <v>1</v>
      </c>
      <c r="E166" s="123" t="s">
        <v>3171</v>
      </c>
      <c r="F166" s="125">
        <v>43580</v>
      </c>
      <c r="G166" s="125" t="s">
        <v>4027</v>
      </c>
      <c r="H166" s="125" t="s">
        <v>4752</v>
      </c>
      <c r="I166" s="171">
        <v>1.5277777777777777E-2</v>
      </c>
      <c r="J166" s="173">
        <v>2.5462962962962961E-4</v>
      </c>
      <c r="K166" s="129">
        <v>22</v>
      </c>
      <c r="L166" s="123" t="s">
        <v>101</v>
      </c>
      <c r="M166" s="123" t="s">
        <v>149</v>
      </c>
      <c r="N166" s="123" t="s">
        <v>102</v>
      </c>
      <c r="O166" s="123" t="s">
        <v>115</v>
      </c>
      <c r="P166" s="123">
        <v>0</v>
      </c>
      <c r="Q166" s="123">
        <v>0</v>
      </c>
      <c r="R166" s="123">
        <v>0</v>
      </c>
      <c r="T166" s="127" t="s">
        <v>115</v>
      </c>
      <c r="U166" s="127" t="s">
        <v>115</v>
      </c>
      <c r="V166" s="127" t="s">
        <v>115</v>
      </c>
      <c r="W166" s="127"/>
      <c r="X166" s="127"/>
      <c r="Y166" s="127"/>
      <c r="Z166" s="127" t="s">
        <v>115</v>
      </c>
      <c r="AA166" s="127" t="s">
        <v>115</v>
      </c>
      <c r="AB166" s="127" t="s">
        <v>115</v>
      </c>
      <c r="AC166" s="127" t="s">
        <v>115</v>
      </c>
      <c r="AD166" s="127" t="s">
        <v>115</v>
      </c>
      <c r="AE166" s="127" t="s">
        <v>115</v>
      </c>
      <c r="AF166" s="127" t="s">
        <v>115</v>
      </c>
      <c r="AG166" s="127" t="s">
        <v>115</v>
      </c>
      <c r="AH166" s="123">
        <v>0</v>
      </c>
      <c r="AI166" s="123">
        <v>0</v>
      </c>
      <c r="AJ166" s="123">
        <v>0</v>
      </c>
      <c r="AK166" s="123">
        <v>0</v>
      </c>
      <c r="AL166" s="123">
        <v>21</v>
      </c>
      <c r="AN166" s="123">
        <f t="shared" si="2"/>
        <v>21</v>
      </c>
      <c r="AO166" s="123" t="s">
        <v>188</v>
      </c>
    </row>
    <row r="167" spans="1:44" x14ac:dyDescent="0.2">
      <c r="A167" s="123" t="s">
        <v>3578</v>
      </c>
      <c r="B167" s="123" t="s">
        <v>3579</v>
      </c>
      <c r="C167" s="123">
        <v>32</v>
      </c>
      <c r="D167" s="123">
        <v>1</v>
      </c>
      <c r="E167" s="123" t="s">
        <v>3171</v>
      </c>
      <c r="F167" s="125">
        <v>43580</v>
      </c>
      <c r="G167" s="125" t="s">
        <v>4027</v>
      </c>
      <c r="H167" s="125" t="s">
        <v>4752</v>
      </c>
      <c r="I167" s="171">
        <v>4.027777777777778E-2</v>
      </c>
      <c r="J167" s="173">
        <v>6.7129629629629625E-4</v>
      </c>
      <c r="K167" s="129">
        <v>58</v>
      </c>
      <c r="L167" s="123" t="s">
        <v>101</v>
      </c>
      <c r="M167" s="123" t="s">
        <v>149</v>
      </c>
      <c r="N167" s="123" t="s">
        <v>102</v>
      </c>
      <c r="O167" s="123" t="s">
        <v>115</v>
      </c>
      <c r="P167" s="123">
        <v>0</v>
      </c>
      <c r="Q167" s="123">
        <v>0</v>
      </c>
      <c r="R167" s="123">
        <v>0</v>
      </c>
      <c r="T167" s="127" t="s">
        <v>115</v>
      </c>
      <c r="U167" s="127" t="s">
        <v>115</v>
      </c>
      <c r="V167" s="127" t="s">
        <v>115</v>
      </c>
      <c r="W167" s="127"/>
      <c r="X167" s="127"/>
      <c r="Y167" s="127"/>
      <c r="Z167" s="127" t="s">
        <v>115</v>
      </c>
      <c r="AA167" s="127" t="s">
        <v>115</v>
      </c>
      <c r="AB167" s="127" t="s">
        <v>115</v>
      </c>
      <c r="AC167" s="127" t="s">
        <v>115</v>
      </c>
      <c r="AD167" s="127" t="s">
        <v>115</v>
      </c>
      <c r="AE167" s="127" t="s">
        <v>115</v>
      </c>
      <c r="AF167" s="127" t="s">
        <v>115</v>
      </c>
      <c r="AG167" s="127" t="s">
        <v>115</v>
      </c>
      <c r="AH167" s="123">
        <v>0</v>
      </c>
      <c r="AI167" s="123">
        <v>0</v>
      </c>
      <c r="AJ167" s="123">
        <v>0</v>
      </c>
      <c r="AK167" s="123">
        <v>0</v>
      </c>
      <c r="AL167" s="123">
        <v>58</v>
      </c>
      <c r="AN167" s="123">
        <f t="shared" si="2"/>
        <v>58</v>
      </c>
      <c r="AO167" s="123" t="s">
        <v>188</v>
      </c>
    </row>
    <row r="168" spans="1:44" x14ac:dyDescent="0.2">
      <c r="A168" s="123" t="s">
        <v>3580</v>
      </c>
      <c r="B168" s="123" t="s">
        <v>3581</v>
      </c>
      <c r="C168" s="123">
        <v>33</v>
      </c>
      <c r="D168" s="123">
        <v>1</v>
      </c>
      <c r="E168" s="123" t="s">
        <v>3171</v>
      </c>
      <c r="F168" s="125">
        <v>43580</v>
      </c>
      <c r="G168" s="125" t="s">
        <v>4027</v>
      </c>
      <c r="H168" s="125" t="s">
        <v>4752</v>
      </c>
      <c r="I168" s="171">
        <v>1.2499999999999999E-2</v>
      </c>
      <c r="J168" s="173">
        <v>2.0833333333333335E-4</v>
      </c>
      <c r="K168" s="129">
        <v>18</v>
      </c>
      <c r="L168" s="123" t="s">
        <v>101</v>
      </c>
      <c r="M168" s="123" t="s">
        <v>149</v>
      </c>
      <c r="N168" s="123" t="s">
        <v>102</v>
      </c>
      <c r="O168" s="123" t="s">
        <v>115</v>
      </c>
      <c r="P168" s="123">
        <v>0</v>
      </c>
      <c r="Q168" s="123">
        <v>0</v>
      </c>
      <c r="R168" s="123">
        <v>0</v>
      </c>
      <c r="T168" s="127" t="s">
        <v>115</v>
      </c>
      <c r="U168" s="127" t="s">
        <v>115</v>
      </c>
      <c r="V168" s="127" t="s">
        <v>115</v>
      </c>
      <c r="W168" s="127"/>
      <c r="X168" s="127"/>
      <c r="Y168" s="127"/>
      <c r="Z168" s="127" t="s">
        <v>115</v>
      </c>
      <c r="AA168" s="127" t="s">
        <v>115</v>
      </c>
      <c r="AB168" s="127" t="s">
        <v>115</v>
      </c>
      <c r="AC168" s="127" t="s">
        <v>115</v>
      </c>
      <c r="AD168" s="127" t="s">
        <v>115</v>
      </c>
      <c r="AE168" s="127" t="s">
        <v>115</v>
      </c>
      <c r="AF168" s="127" t="s">
        <v>115</v>
      </c>
      <c r="AG168" s="127" t="s">
        <v>115</v>
      </c>
      <c r="AH168" s="123">
        <v>0</v>
      </c>
      <c r="AI168" s="123">
        <v>0</v>
      </c>
      <c r="AJ168" s="123">
        <v>0</v>
      </c>
      <c r="AK168" s="123">
        <v>0</v>
      </c>
      <c r="AL168" s="123">
        <v>18</v>
      </c>
      <c r="AN168" s="123">
        <f t="shared" si="2"/>
        <v>18</v>
      </c>
      <c r="AO168" s="123" t="s">
        <v>188</v>
      </c>
    </row>
    <row r="169" spans="1:44" x14ac:dyDescent="0.2">
      <c r="A169" s="123" t="s">
        <v>3527</v>
      </c>
      <c r="B169" s="123" t="s">
        <v>3528</v>
      </c>
      <c r="C169" s="123">
        <v>7</v>
      </c>
      <c r="D169" s="123">
        <v>1</v>
      </c>
      <c r="E169" s="123" t="s">
        <v>3171</v>
      </c>
      <c r="F169" s="125">
        <v>43580</v>
      </c>
      <c r="G169" s="125" t="s">
        <v>4027</v>
      </c>
      <c r="H169" s="125" t="s">
        <v>4752</v>
      </c>
      <c r="I169" s="171">
        <v>2.8472222222222222E-2</v>
      </c>
      <c r="J169" s="173">
        <v>4.7453703703703704E-4</v>
      </c>
      <c r="K169" s="129">
        <v>41</v>
      </c>
      <c r="L169" s="123" t="s">
        <v>101</v>
      </c>
      <c r="M169" s="123" t="s">
        <v>149</v>
      </c>
      <c r="N169" s="123" t="s">
        <v>102</v>
      </c>
      <c r="O169" s="123" t="s">
        <v>115</v>
      </c>
      <c r="P169" s="123">
        <v>0</v>
      </c>
      <c r="Q169" s="123">
        <v>0</v>
      </c>
      <c r="R169" s="123">
        <v>0</v>
      </c>
      <c r="T169" s="127" t="s">
        <v>115</v>
      </c>
      <c r="U169" s="127" t="s">
        <v>115</v>
      </c>
      <c r="V169" s="127" t="s">
        <v>115</v>
      </c>
      <c r="W169" s="127"/>
      <c r="X169" s="127"/>
      <c r="Y169" s="127"/>
      <c r="Z169" s="127" t="s">
        <v>115</v>
      </c>
      <c r="AA169" s="127" t="s">
        <v>115</v>
      </c>
      <c r="AB169" s="127" t="s">
        <v>115</v>
      </c>
      <c r="AC169" s="127" t="s">
        <v>115</v>
      </c>
      <c r="AD169" s="127" t="s">
        <v>115</v>
      </c>
      <c r="AE169" s="127" t="s">
        <v>115</v>
      </c>
      <c r="AF169" s="127" t="s">
        <v>115</v>
      </c>
      <c r="AG169" s="127" t="s">
        <v>115</v>
      </c>
      <c r="AH169" s="123">
        <v>0</v>
      </c>
      <c r="AI169" s="123">
        <v>0</v>
      </c>
      <c r="AJ169" s="123">
        <v>0</v>
      </c>
      <c r="AK169" s="123">
        <v>0</v>
      </c>
      <c r="AL169" s="123">
        <v>31</v>
      </c>
      <c r="AN169" s="123">
        <f t="shared" si="2"/>
        <v>31</v>
      </c>
      <c r="AO169" s="123" t="s">
        <v>188</v>
      </c>
    </row>
    <row r="170" spans="1:44" x14ac:dyDescent="0.2">
      <c r="A170" s="123" t="s">
        <v>3685</v>
      </c>
      <c r="B170" s="123" t="s">
        <v>3686</v>
      </c>
      <c r="C170" s="123">
        <v>1</v>
      </c>
      <c r="D170" s="123">
        <v>1</v>
      </c>
      <c r="E170" s="123" t="s">
        <v>3171</v>
      </c>
      <c r="F170" s="125">
        <v>43585</v>
      </c>
      <c r="G170" s="125" t="s">
        <v>4027</v>
      </c>
      <c r="H170" s="125" t="s">
        <v>4752</v>
      </c>
      <c r="I170" s="171">
        <v>2.4999999999999998E-2</v>
      </c>
      <c r="J170" s="173">
        <v>4.1666666666666669E-4</v>
      </c>
      <c r="K170" s="129">
        <v>36</v>
      </c>
      <c r="L170" s="123" t="s">
        <v>3626</v>
      </c>
      <c r="M170" s="123" t="s">
        <v>149</v>
      </c>
      <c r="N170" s="123" t="s">
        <v>102</v>
      </c>
      <c r="O170" s="123" t="s">
        <v>115</v>
      </c>
      <c r="P170" s="123">
        <v>1</v>
      </c>
      <c r="Q170" s="123">
        <v>0</v>
      </c>
      <c r="R170" s="123">
        <v>0</v>
      </c>
      <c r="S170" s="123" t="s">
        <v>598</v>
      </c>
      <c r="T170" s="127" t="s">
        <v>2437</v>
      </c>
      <c r="U170" s="127" t="s">
        <v>122</v>
      </c>
      <c r="V170" s="127" t="s">
        <v>115</v>
      </c>
      <c r="W170" s="127"/>
      <c r="X170" s="127"/>
      <c r="Y170" s="127"/>
      <c r="Z170" s="127" t="s">
        <v>115</v>
      </c>
      <c r="AA170" s="127" t="s">
        <v>115</v>
      </c>
      <c r="AB170" s="127" t="s">
        <v>115</v>
      </c>
      <c r="AC170" s="127" t="s">
        <v>115</v>
      </c>
      <c r="AD170" s="127" t="s">
        <v>115</v>
      </c>
      <c r="AE170" s="127" t="s">
        <v>115</v>
      </c>
      <c r="AF170" s="127" t="s">
        <v>115</v>
      </c>
      <c r="AG170" s="127" t="s">
        <v>115</v>
      </c>
      <c r="AH170" s="123">
        <v>0</v>
      </c>
      <c r="AI170" s="123">
        <v>0</v>
      </c>
      <c r="AJ170" s="123">
        <v>0</v>
      </c>
      <c r="AK170" s="123">
        <v>0</v>
      </c>
      <c r="AL170" s="123">
        <v>5</v>
      </c>
      <c r="AN170" s="123">
        <f t="shared" si="2"/>
        <v>5</v>
      </c>
      <c r="AO170" s="123" t="s">
        <v>188</v>
      </c>
      <c r="AP170" s="123" t="s">
        <v>3687</v>
      </c>
    </row>
    <row r="171" spans="1:44" x14ac:dyDescent="0.2">
      <c r="A171" s="123" t="s">
        <v>3695</v>
      </c>
      <c r="B171" s="123" t="s">
        <v>3696</v>
      </c>
      <c r="C171" s="123">
        <v>5</v>
      </c>
      <c r="D171" s="123">
        <v>1</v>
      </c>
      <c r="E171" s="123" t="s">
        <v>3171</v>
      </c>
      <c r="F171" s="125">
        <v>43585</v>
      </c>
      <c r="G171" s="125" t="s">
        <v>4027</v>
      </c>
      <c r="H171" s="125" t="s">
        <v>4752</v>
      </c>
      <c r="I171" s="171">
        <v>5.5555555555555558E-3</v>
      </c>
      <c r="J171" s="173">
        <v>9.2592592592592588E-5</v>
      </c>
      <c r="K171" s="129">
        <v>8</v>
      </c>
      <c r="L171" s="123" t="s">
        <v>3626</v>
      </c>
      <c r="M171" s="123" t="s">
        <v>149</v>
      </c>
      <c r="N171" s="123" t="s">
        <v>102</v>
      </c>
      <c r="O171" s="123" t="s">
        <v>115</v>
      </c>
      <c r="P171" s="123">
        <v>0</v>
      </c>
      <c r="Q171" s="123">
        <v>0</v>
      </c>
      <c r="R171" s="123">
        <v>0</v>
      </c>
      <c r="T171" s="127" t="s">
        <v>115</v>
      </c>
      <c r="U171" s="127" t="s">
        <v>115</v>
      </c>
      <c r="V171" s="127" t="s">
        <v>115</v>
      </c>
      <c r="W171" s="127"/>
      <c r="X171" s="127"/>
      <c r="Y171" s="127"/>
      <c r="Z171" s="127" t="s">
        <v>115</v>
      </c>
      <c r="AA171" s="127" t="s">
        <v>115</v>
      </c>
      <c r="AB171" s="127" t="s">
        <v>115</v>
      </c>
      <c r="AC171" s="127" t="s">
        <v>115</v>
      </c>
      <c r="AD171" s="127" t="s">
        <v>115</v>
      </c>
      <c r="AE171" s="127" t="s">
        <v>115</v>
      </c>
      <c r="AF171" s="127" t="s">
        <v>115</v>
      </c>
      <c r="AG171" s="127" t="s">
        <v>115</v>
      </c>
      <c r="AH171" s="123">
        <v>0</v>
      </c>
      <c r="AI171" s="123">
        <v>0</v>
      </c>
      <c r="AJ171" s="123">
        <v>0</v>
      </c>
      <c r="AK171" s="123">
        <v>0</v>
      </c>
      <c r="AL171" s="123">
        <v>8</v>
      </c>
      <c r="AN171" s="123">
        <f t="shared" si="2"/>
        <v>8</v>
      </c>
      <c r="AO171" s="123" t="s">
        <v>188</v>
      </c>
    </row>
    <row r="172" spans="1:44" x14ac:dyDescent="0.2">
      <c r="A172" s="123" t="s">
        <v>3697</v>
      </c>
      <c r="B172" s="123" t="s">
        <v>3698</v>
      </c>
      <c r="C172" s="123">
        <v>6</v>
      </c>
      <c r="D172" s="123">
        <v>1</v>
      </c>
      <c r="E172" s="123" t="s">
        <v>3171</v>
      </c>
      <c r="F172" s="125">
        <v>43585</v>
      </c>
      <c r="G172" s="125" t="s">
        <v>4027</v>
      </c>
      <c r="H172" s="125" t="s">
        <v>4752</v>
      </c>
      <c r="I172" s="171">
        <v>2.361111111111111E-2</v>
      </c>
      <c r="J172" s="173">
        <v>3.9351851851851852E-4</v>
      </c>
      <c r="K172" s="129">
        <v>34</v>
      </c>
      <c r="L172" s="123" t="s">
        <v>3626</v>
      </c>
      <c r="M172" s="123" t="s">
        <v>149</v>
      </c>
      <c r="N172" s="123" t="s">
        <v>102</v>
      </c>
      <c r="O172" s="123" t="s">
        <v>115</v>
      </c>
      <c r="P172" s="123">
        <v>0</v>
      </c>
      <c r="Q172" s="123">
        <v>0</v>
      </c>
      <c r="R172" s="123">
        <v>0</v>
      </c>
      <c r="T172" s="127" t="s">
        <v>115</v>
      </c>
      <c r="U172" s="127" t="s">
        <v>115</v>
      </c>
      <c r="V172" s="127" t="s">
        <v>115</v>
      </c>
      <c r="W172" s="127"/>
      <c r="X172" s="127"/>
      <c r="Y172" s="127"/>
      <c r="Z172" s="127" t="s">
        <v>115</v>
      </c>
      <c r="AA172" s="127" t="s">
        <v>115</v>
      </c>
      <c r="AB172" s="127" t="s">
        <v>115</v>
      </c>
      <c r="AC172" s="127" t="s">
        <v>115</v>
      </c>
      <c r="AD172" s="127" t="s">
        <v>115</v>
      </c>
      <c r="AE172" s="127" t="s">
        <v>115</v>
      </c>
      <c r="AF172" s="127" t="s">
        <v>115</v>
      </c>
      <c r="AG172" s="127" t="s">
        <v>115</v>
      </c>
      <c r="AH172" s="123">
        <v>0</v>
      </c>
      <c r="AI172" s="123">
        <v>0</v>
      </c>
      <c r="AJ172" s="123">
        <v>0</v>
      </c>
      <c r="AK172" s="123">
        <v>0</v>
      </c>
      <c r="AL172" s="123">
        <v>34</v>
      </c>
      <c r="AN172" s="123">
        <f t="shared" si="2"/>
        <v>34</v>
      </c>
      <c r="AO172" s="123" t="s">
        <v>188</v>
      </c>
    </row>
    <row r="173" spans="1:44" x14ac:dyDescent="0.2">
      <c r="A173" s="123" t="s">
        <v>3699</v>
      </c>
      <c r="B173" s="123" t="s">
        <v>3700</v>
      </c>
      <c r="C173" s="123">
        <v>7</v>
      </c>
      <c r="D173" s="123">
        <v>1</v>
      </c>
      <c r="E173" s="123" t="s">
        <v>3171</v>
      </c>
      <c r="F173" s="125">
        <v>43585</v>
      </c>
      <c r="G173" s="125" t="s">
        <v>4027</v>
      </c>
      <c r="H173" s="125" t="s">
        <v>4752</v>
      </c>
      <c r="I173" s="171">
        <v>8.4722222222222213E-2</v>
      </c>
      <c r="J173" s="173">
        <v>1.4120370370370369E-3</v>
      </c>
      <c r="K173" s="129">
        <v>122</v>
      </c>
      <c r="L173" s="123" t="s">
        <v>3626</v>
      </c>
      <c r="M173" s="123" t="s">
        <v>149</v>
      </c>
      <c r="N173" s="123" t="s">
        <v>102</v>
      </c>
      <c r="O173" s="123" t="s">
        <v>115</v>
      </c>
      <c r="P173" s="123">
        <v>0</v>
      </c>
      <c r="Q173" s="123">
        <v>0</v>
      </c>
      <c r="R173" s="123">
        <v>0</v>
      </c>
      <c r="T173" s="127" t="s">
        <v>115</v>
      </c>
      <c r="U173" s="127" t="s">
        <v>115</v>
      </c>
      <c r="V173" s="127" t="s">
        <v>115</v>
      </c>
      <c r="W173" s="127"/>
      <c r="X173" s="127"/>
      <c r="Y173" s="127"/>
      <c r="Z173" s="127" t="s">
        <v>115</v>
      </c>
      <c r="AA173" s="127" t="s">
        <v>115</v>
      </c>
      <c r="AB173" s="127" t="s">
        <v>115</v>
      </c>
      <c r="AC173" s="127" t="s">
        <v>115</v>
      </c>
      <c r="AD173" s="127" t="s">
        <v>115</v>
      </c>
      <c r="AE173" s="127" t="s">
        <v>115</v>
      </c>
      <c r="AF173" s="127" t="s">
        <v>115</v>
      </c>
      <c r="AG173" s="127" t="s">
        <v>115</v>
      </c>
      <c r="AH173" s="123">
        <v>0</v>
      </c>
      <c r="AI173" s="123">
        <v>0</v>
      </c>
      <c r="AJ173" s="123">
        <v>0</v>
      </c>
      <c r="AK173" s="123">
        <v>0</v>
      </c>
      <c r="AL173" s="123">
        <v>122</v>
      </c>
      <c r="AN173" s="123">
        <f t="shared" si="2"/>
        <v>122</v>
      </c>
      <c r="AO173" s="123" t="s">
        <v>188</v>
      </c>
    </row>
    <row r="174" spans="1:44" x14ac:dyDescent="0.2">
      <c r="A174" s="123" t="s">
        <v>3175</v>
      </c>
      <c r="B174" s="123" t="s">
        <v>3176</v>
      </c>
      <c r="C174" s="123">
        <v>3</v>
      </c>
      <c r="D174" s="123">
        <v>1</v>
      </c>
      <c r="E174" s="123" t="s">
        <v>3171</v>
      </c>
      <c r="F174" s="125">
        <v>43571</v>
      </c>
      <c r="G174" s="125" t="s">
        <v>4027</v>
      </c>
      <c r="H174" s="125" t="s">
        <v>4752</v>
      </c>
      <c r="I174" s="171">
        <v>4.1666666666666664E-2</v>
      </c>
      <c r="J174" s="173">
        <v>6.9444444444444447E-4</v>
      </c>
      <c r="K174" s="129">
        <v>60</v>
      </c>
      <c r="L174" s="123" t="s">
        <v>1278</v>
      </c>
      <c r="M174" s="123" t="s">
        <v>149</v>
      </c>
      <c r="N174" s="123" t="s">
        <v>102</v>
      </c>
      <c r="O174" s="123" t="s">
        <v>115</v>
      </c>
      <c r="P174" s="123" t="s">
        <v>24</v>
      </c>
      <c r="Q174" s="123">
        <v>0</v>
      </c>
      <c r="R174" s="123">
        <v>0</v>
      </c>
      <c r="T174" s="127" t="s">
        <v>115</v>
      </c>
      <c r="U174" s="127" t="s">
        <v>115</v>
      </c>
      <c r="V174" s="127" t="s">
        <v>115</v>
      </c>
      <c r="W174" s="127"/>
      <c r="X174" s="127"/>
      <c r="Y174" s="127"/>
      <c r="Z174" s="127" t="s">
        <v>115</v>
      </c>
      <c r="AA174" s="127" t="s">
        <v>115</v>
      </c>
      <c r="AB174" s="127" t="s">
        <v>115</v>
      </c>
      <c r="AC174" s="127" t="s">
        <v>115</v>
      </c>
      <c r="AD174" s="127" t="s">
        <v>115</v>
      </c>
      <c r="AE174" s="127" t="s">
        <v>115</v>
      </c>
      <c r="AF174" s="127" t="s">
        <v>115</v>
      </c>
      <c r="AG174" s="127"/>
      <c r="AH174" s="123">
        <v>0</v>
      </c>
      <c r="AI174" s="123">
        <v>0</v>
      </c>
      <c r="AJ174" s="123">
        <v>0</v>
      </c>
      <c r="AK174" s="123">
        <v>0</v>
      </c>
      <c r="AL174" s="123">
        <v>41</v>
      </c>
      <c r="AN174" s="123">
        <f t="shared" si="2"/>
        <v>41</v>
      </c>
      <c r="AO174" s="123" t="s">
        <v>188</v>
      </c>
    </row>
    <row r="175" spans="1:44" x14ac:dyDescent="0.2">
      <c r="A175" s="123" t="s">
        <v>3177</v>
      </c>
      <c r="B175" s="123" t="s">
        <v>3178</v>
      </c>
      <c r="C175" s="123">
        <v>4</v>
      </c>
      <c r="D175" s="123">
        <v>1</v>
      </c>
      <c r="E175" s="123" t="s">
        <v>3171</v>
      </c>
      <c r="F175" s="125">
        <v>43571</v>
      </c>
      <c r="G175" s="125" t="s">
        <v>4027</v>
      </c>
      <c r="H175" s="125" t="s">
        <v>4752</v>
      </c>
      <c r="I175" s="171">
        <v>4.5833333333333337E-2</v>
      </c>
      <c r="J175" s="173">
        <v>7.6388888888888893E-4</v>
      </c>
      <c r="K175" s="129">
        <v>66</v>
      </c>
      <c r="L175" s="123" t="s">
        <v>1278</v>
      </c>
      <c r="M175" s="123" t="s">
        <v>149</v>
      </c>
      <c r="N175" s="123" t="s">
        <v>102</v>
      </c>
      <c r="O175" s="123" t="s">
        <v>115</v>
      </c>
      <c r="P175" s="123" t="s">
        <v>24</v>
      </c>
      <c r="Q175" s="123">
        <v>0</v>
      </c>
      <c r="R175" s="123">
        <v>0</v>
      </c>
      <c r="T175" s="127" t="s">
        <v>115</v>
      </c>
      <c r="U175" s="127" t="s">
        <v>115</v>
      </c>
      <c r="V175" s="127" t="s">
        <v>115</v>
      </c>
      <c r="W175" s="127"/>
      <c r="X175" s="127"/>
      <c r="Y175" s="127"/>
      <c r="Z175" s="127" t="s">
        <v>115</v>
      </c>
      <c r="AA175" s="127" t="s">
        <v>115</v>
      </c>
      <c r="AB175" s="127" t="s">
        <v>115</v>
      </c>
      <c r="AC175" s="127" t="s">
        <v>115</v>
      </c>
      <c r="AD175" s="127" t="s">
        <v>115</v>
      </c>
      <c r="AE175" s="127" t="s">
        <v>115</v>
      </c>
      <c r="AF175" s="127" t="s">
        <v>115</v>
      </c>
      <c r="AG175" s="127"/>
      <c r="AH175" s="123">
        <v>0</v>
      </c>
      <c r="AI175" s="123">
        <v>0</v>
      </c>
      <c r="AJ175" s="123">
        <v>0</v>
      </c>
      <c r="AK175" s="123">
        <v>0</v>
      </c>
      <c r="AL175" s="123">
        <v>66</v>
      </c>
      <c r="AN175" s="123">
        <f t="shared" si="2"/>
        <v>66</v>
      </c>
      <c r="AO175" s="123" t="s">
        <v>188</v>
      </c>
    </row>
    <row r="176" spans="1:44" x14ac:dyDescent="0.2">
      <c r="A176" s="123" t="s">
        <v>3181</v>
      </c>
      <c r="B176" s="123" t="s">
        <v>3182</v>
      </c>
      <c r="C176" s="123">
        <v>6</v>
      </c>
      <c r="D176" s="123">
        <v>1</v>
      </c>
      <c r="E176" s="123" t="s">
        <v>3171</v>
      </c>
      <c r="F176" s="125">
        <v>43571</v>
      </c>
      <c r="G176" s="125" t="s">
        <v>4027</v>
      </c>
      <c r="H176" s="125" t="s">
        <v>4752</v>
      </c>
      <c r="I176" s="171">
        <v>1.6666666666666666E-2</v>
      </c>
      <c r="J176" s="173">
        <v>2.7777777777777778E-4</v>
      </c>
      <c r="K176" s="129">
        <v>24</v>
      </c>
      <c r="L176" s="123" t="s">
        <v>1278</v>
      </c>
      <c r="M176" s="123" t="s">
        <v>149</v>
      </c>
      <c r="N176" s="123" t="s">
        <v>102</v>
      </c>
      <c r="O176" s="123" t="s">
        <v>115</v>
      </c>
      <c r="P176" s="123" t="s">
        <v>24</v>
      </c>
      <c r="Q176" s="123">
        <v>0</v>
      </c>
      <c r="R176" s="123">
        <v>0</v>
      </c>
      <c r="T176" s="127" t="s">
        <v>115</v>
      </c>
      <c r="U176" s="127" t="s">
        <v>115</v>
      </c>
      <c r="V176" s="127" t="s">
        <v>115</v>
      </c>
      <c r="W176" s="127"/>
      <c r="X176" s="127"/>
      <c r="Y176" s="127"/>
      <c r="Z176" s="127" t="s">
        <v>115</v>
      </c>
      <c r="AA176" s="127" t="s">
        <v>115</v>
      </c>
      <c r="AB176" s="127" t="s">
        <v>115</v>
      </c>
      <c r="AC176" s="127" t="s">
        <v>115</v>
      </c>
      <c r="AD176" s="127" t="s">
        <v>115</v>
      </c>
      <c r="AE176" s="127" t="s">
        <v>115</v>
      </c>
      <c r="AF176" s="127" t="s">
        <v>115</v>
      </c>
      <c r="AG176" s="127"/>
      <c r="AH176" s="123">
        <v>0</v>
      </c>
      <c r="AI176" s="123">
        <v>0</v>
      </c>
      <c r="AJ176" s="123">
        <v>0</v>
      </c>
      <c r="AK176" s="123">
        <v>0</v>
      </c>
      <c r="AL176" s="123">
        <v>23</v>
      </c>
      <c r="AN176" s="123">
        <f t="shared" si="2"/>
        <v>23</v>
      </c>
      <c r="AO176" s="123" t="s">
        <v>188</v>
      </c>
    </row>
    <row r="177" spans="1:41" x14ac:dyDescent="0.2">
      <c r="A177" s="123" t="s">
        <v>3515</v>
      </c>
      <c r="B177" s="123" t="s">
        <v>3516</v>
      </c>
      <c r="C177" s="123">
        <v>1</v>
      </c>
      <c r="D177" s="123">
        <v>1</v>
      </c>
      <c r="E177" s="123" t="s">
        <v>3171</v>
      </c>
      <c r="F177" s="125">
        <v>43580</v>
      </c>
      <c r="G177" s="125" t="s">
        <v>4027</v>
      </c>
      <c r="H177" s="125" t="s">
        <v>4752</v>
      </c>
      <c r="I177" s="171">
        <v>2.1527777777777781E-2</v>
      </c>
      <c r="J177" s="173">
        <v>3.5879629629629635E-4</v>
      </c>
      <c r="K177" s="129">
        <v>31</v>
      </c>
      <c r="L177" s="123" t="s">
        <v>101</v>
      </c>
      <c r="M177" s="123" t="s">
        <v>149</v>
      </c>
      <c r="N177" s="123" t="s">
        <v>102</v>
      </c>
      <c r="O177" s="123" t="s">
        <v>115</v>
      </c>
      <c r="P177" s="123" t="s">
        <v>24</v>
      </c>
      <c r="Q177" s="123">
        <v>0</v>
      </c>
      <c r="R177" s="123">
        <v>0</v>
      </c>
      <c r="T177" s="127" t="s">
        <v>115</v>
      </c>
      <c r="U177" s="127" t="s">
        <v>115</v>
      </c>
      <c r="V177" s="127" t="s">
        <v>115</v>
      </c>
      <c r="W177" s="127"/>
      <c r="X177" s="127"/>
      <c r="Y177" s="127"/>
      <c r="Z177" s="127" t="s">
        <v>115</v>
      </c>
      <c r="AA177" s="127" t="s">
        <v>115</v>
      </c>
      <c r="AB177" s="127" t="s">
        <v>115</v>
      </c>
      <c r="AC177" s="127" t="s">
        <v>115</v>
      </c>
      <c r="AD177" s="127" t="s">
        <v>115</v>
      </c>
      <c r="AE177" s="127" t="s">
        <v>115</v>
      </c>
      <c r="AF177" s="127" t="s">
        <v>115</v>
      </c>
      <c r="AG177" s="127" t="s">
        <v>115</v>
      </c>
      <c r="AH177" s="123">
        <v>0</v>
      </c>
      <c r="AI177" s="123">
        <v>0</v>
      </c>
      <c r="AJ177" s="123">
        <v>0</v>
      </c>
      <c r="AK177" s="123">
        <v>0</v>
      </c>
      <c r="AL177" s="123">
        <v>31</v>
      </c>
      <c r="AN177" s="123">
        <f t="shared" si="2"/>
        <v>31</v>
      </c>
      <c r="AO177" s="123" t="s">
        <v>188</v>
      </c>
    </row>
    <row r="178" spans="1:41" x14ac:dyDescent="0.2">
      <c r="A178" s="123" t="s">
        <v>3533</v>
      </c>
      <c r="B178" s="123" t="s">
        <v>3534</v>
      </c>
      <c r="C178" s="123">
        <v>10</v>
      </c>
      <c r="D178" s="123">
        <v>1</v>
      </c>
      <c r="E178" s="123" t="s">
        <v>3171</v>
      </c>
      <c r="F178" s="125">
        <v>43580</v>
      </c>
      <c r="G178" s="125" t="s">
        <v>4027</v>
      </c>
      <c r="H178" s="125" t="s">
        <v>4752</v>
      </c>
      <c r="I178" s="171">
        <v>6.0416666666666667E-2</v>
      </c>
      <c r="J178" s="173">
        <v>1.0069444444444444E-3</v>
      </c>
      <c r="K178" s="129">
        <v>87</v>
      </c>
      <c r="L178" s="123" t="s">
        <v>101</v>
      </c>
      <c r="M178" s="123" t="s">
        <v>149</v>
      </c>
      <c r="N178" s="123" t="s">
        <v>102</v>
      </c>
      <c r="O178" s="123" t="s">
        <v>115</v>
      </c>
      <c r="P178" s="123" t="s">
        <v>24</v>
      </c>
      <c r="Q178" s="123">
        <v>0</v>
      </c>
      <c r="R178" s="123">
        <v>0</v>
      </c>
      <c r="T178" s="127" t="s">
        <v>115</v>
      </c>
      <c r="U178" s="127" t="s">
        <v>115</v>
      </c>
      <c r="V178" s="127" t="s">
        <v>115</v>
      </c>
      <c r="W178" s="127"/>
      <c r="X178" s="127"/>
      <c r="Y178" s="127"/>
      <c r="Z178" s="127" t="s">
        <v>115</v>
      </c>
      <c r="AA178" s="127" t="s">
        <v>115</v>
      </c>
      <c r="AB178" s="127" t="s">
        <v>115</v>
      </c>
      <c r="AC178" s="127" t="s">
        <v>115</v>
      </c>
      <c r="AD178" s="127" t="s">
        <v>115</v>
      </c>
      <c r="AE178" s="127" t="s">
        <v>115</v>
      </c>
      <c r="AF178" s="127" t="s">
        <v>115</v>
      </c>
      <c r="AG178" s="127" t="s">
        <v>115</v>
      </c>
      <c r="AH178" s="123">
        <v>0</v>
      </c>
      <c r="AI178" s="123">
        <v>0</v>
      </c>
      <c r="AJ178" s="123">
        <v>0</v>
      </c>
      <c r="AK178" s="123">
        <v>0</v>
      </c>
      <c r="AL178" s="123">
        <v>87</v>
      </c>
      <c r="AN178" s="123">
        <f t="shared" si="2"/>
        <v>87</v>
      </c>
      <c r="AO178" s="123" t="s">
        <v>188</v>
      </c>
    </row>
    <row r="179" spans="1:41" x14ac:dyDescent="0.2">
      <c r="A179" s="123" t="s">
        <v>3535</v>
      </c>
      <c r="B179" s="123" t="s">
        <v>3536</v>
      </c>
      <c r="C179" s="123">
        <v>11</v>
      </c>
      <c r="D179" s="123">
        <v>1</v>
      </c>
      <c r="E179" s="123" t="s">
        <v>3171</v>
      </c>
      <c r="F179" s="125">
        <v>43580</v>
      </c>
      <c r="G179" s="125" t="s">
        <v>4027</v>
      </c>
      <c r="H179" s="125" t="s">
        <v>4752</v>
      </c>
      <c r="I179" s="171">
        <v>1.5277777777777777E-2</v>
      </c>
      <c r="J179" s="173">
        <v>2.5462962962962961E-4</v>
      </c>
      <c r="K179" s="129">
        <v>22</v>
      </c>
      <c r="L179" s="123" t="s">
        <v>101</v>
      </c>
      <c r="M179" s="123" t="s">
        <v>149</v>
      </c>
      <c r="N179" s="123" t="s">
        <v>102</v>
      </c>
      <c r="O179" s="123" t="s">
        <v>115</v>
      </c>
      <c r="P179" s="123" t="s">
        <v>24</v>
      </c>
      <c r="Q179" s="123">
        <v>0</v>
      </c>
      <c r="R179" s="123">
        <v>0</v>
      </c>
      <c r="T179" s="127" t="s">
        <v>115</v>
      </c>
      <c r="U179" s="127" t="s">
        <v>115</v>
      </c>
      <c r="V179" s="127" t="s">
        <v>115</v>
      </c>
      <c r="W179" s="127"/>
      <c r="X179" s="127"/>
      <c r="Y179" s="127"/>
      <c r="Z179" s="127" t="s">
        <v>115</v>
      </c>
      <c r="AA179" s="127" t="s">
        <v>115</v>
      </c>
      <c r="AB179" s="127" t="s">
        <v>115</v>
      </c>
      <c r="AC179" s="127" t="s">
        <v>115</v>
      </c>
      <c r="AD179" s="127" t="s">
        <v>115</v>
      </c>
      <c r="AE179" s="127" t="s">
        <v>115</v>
      </c>
      <c r="AF179" s="127" t="s">
        <v>115</v>
      </c>
      <c r="AG179" s="127" t="s">
        <v>115</v>
      </c>
      <c r="AH179" s="123">
        <v>0</v>
      </c>
      <c r="AI179" s="123">
        <v>0</v>
      </c>
      <c r="AJ179" s="123">
        <v>0</v>
      </c>
      <c r="AK179" s="123">
        <v>0</v>
      </c>
      <c r="AL179" s="123">
        <v>22</v>
      </c>
      <c r="AN179" s="123">
        <f t="shared" si="2"/>
        <v>22</v>
      </c>
      <c r="AO179" s="123" t="s">
        <v>188</v>
      </c>
    </row>
    <row r="180" spans="1:41" x14ac:dyDescent="0.2">
      <c r="A180" s="123" t="s">
        <v>3539</v>
      </c>
      <c r="B180" s="123" t="s">
        <v>3540</v>
      </c>
      <c r="C180" s="123">
        <v>13</v>
      </c>
      <c r="D180" s="123">
        <v>1</v>
      </c>
      <c r="E180" s="123" t="s">
        <v>3171</v>
      </c>
      <c r="F180" s="125">
        <v>43580</v>
      </c>
      <c r="G180" s="125" t="s">
        <v>4027</v>
      </c>
      <c r="H180" s="125" t="s">
        <v>4752</v>
      </c>
      <c r="I180" s="171">
        <v>0.1173611111111111</v>
      </c>
      <c r="J180" s="173">
        <v>1.9560185185185184E-3</v>
      </c>
      <c r="K180" s="129">
        <v>169</v>
      </c>
      <c r="L180" s="123" t="s">
        <v>101</v>
      </c>
      <c r="M180" s="123" t="s">
        <v>149</v>
      </c>
      <c r="N180" s="123" t="s">
        <v>102</v>
      </c>
      <c r="O180" s="123" t="s">
        <v>115</v>
      </c>
      <c r="P180" s="123" t="s">
        <v>24</v>
      </c>
      <c r="Q180" s="123">
        <v>0</v>
      </c>
      <c r="R180" s="123">
        <v>0</v>
      </c>
      <c r="T180" s="127" t="s">
        <v>115</v>
      </c>
      <c r="U180" s="127" t="s">
        <v>115</v>
      </c>
      <c r="V180" s="127" t="s">
        <v>115</v>
      </c>
      <c r="W180" s="127"/>
      <c r="X180" s="127"/>
      <c r="Y180" s="127"/>
      <c r="Z180" s="127" t="s">
        <v>115</v>
      </c>
      <c r="AA180" s="127" t="s">
        <v>115</v>
      </c>
      <c r="AB180" s="127" t="s">
        <v>115</v>
      </c>
      <c r="AC180" s="127" t="s">
        <v>115</v>
      </c>
      <c r="AD180" s="127" t="s">
        <v>115</v>
      </c>
      <c r="AE180" s="127" t="s">
        <v>115</v>
      </c>
      <c r="AF180" s="127" t="s">
        <v>115</v>
      </c>
      <c r="AG180" s="127" t="s">
        <v>115</v>
      </c>
      <c r="AH180" s="123">
        <v>0</v>
      </c>
      <c r="AI180" s="123">
        <v>0</v>
      </c>
      <c r="AJ180" s="123">
        <v>0</v>
      </c>
      <c r="AK180" s="123">
        <v>0</v>
      </c>
      <c r="AL180" s="123">
        <v>269</v>
      </c>
      <c r="AN180" s="123">
        <f t="shared" si="2"/>
        <v>269</v>
      </c>
      <c r="AO180" s="123" t="s">
        <v>188</v>
      </c>
    </row>
    <row r="181" spans="1:41" x14ac:dyDescent="0.2">
      <c r="A181" s="123" t="s">
        <v>3541</v>
      </c>
      <c r="B181" s="123" t="s">
        <v>3542</v>
      </c>
      <c r="C181" s="123">
        <v>14</v>
      </c>
      <c r="D181" s="123">
        <v>1</v>
      </c>
      <c r="E181" s="123" t="s">
        <v>3171</v>
      </c>
      <c r="F181" s="125">
        <v>43580</v>
      </c>
      <c r="G181" s="125" t="s">
        <v>4027</v>
      </c>
      <c r="H181" s="125" t="s">
        <v>4752</v>
      </c>
      <c r="I181" s="171">
        <v>3.0555555555555555E-2</v>
      </c>
      <c r="J181" s="173">
        <v>5.0925925925925921E-4</v>
      </c>
      <c r="K181" s="129">
        <v>44</v>
      </c>
      <c r="L181" s="123" t="s">
        <v>101</v>
      </c>
      <c r="M181" s="123" t="s">
        <v>149</v>
      </c>
      <c r="N181" s="123" t="s">
        <v>102</v>
      </c>
      <c r="O181" s="123" t="s">
        <v>115</v>
      </c>
      <c r="P181" s="123" t="s">
        <v>24</v>
      </c>
      <c r="Q181" s="123">
        <v>0</v>
      </c>
      <c r="R181" s="123">
        <v>0</v>
      </c>
      <c r="T181" s="127" t="s">
        <v>115</v>
      </c>
      <c r="U181" s="127" t="s">
        <v>115</v>
      </c>
      <c r="V181" s="127" t="s">
        <v>115</v>
      </c>
      <c r="W181" s="127"/>
      <c r="X181" s="127"/>
      <c r="Y181" s="127"/>
      <c r="Z181" s="127" t="s">
        <v>115</v>
      </c>
      <c r="AA181" s="127" t="s">
        <v>115</v>
      </c>
      <c r="AB181" s="127" t="s">
        <v>115</v>
      </c>
      <c r="AC181" s="127" t="s">
        <v>115</v>
      </c>
      <c r="AD181" s="127" t="s">
        <v>115</v>
      </c>
      <c r="AE181" s="127" t="s">
        <v>115</v>
      </c>
      <c r="AF181" s="127" t="s">
        <v>115</v>
      </c>
      <c r="AG181" s="127" t="s">
        <v>115</v>
      </c>
      <c r="AH181" s="123">
        <v>0</v>
      </c>
      <c r="AI181" s="123">
        <v>0</v>
      </c>
      <c r="AJ181" s="123">
        <v>0</v>
      </c>
      <c r="AK181" s="123">
        <v>0</v>
      </c>
      <c r="AL181" s="123">
        <v>44</v>
      </c>
      <c r="AN181" s="123">
        <f t="shared" si="2"/>
        <v>44</v>
      </c>
      <c r="AO181" s="123" t="s">
        <v>188</v>
      </c>
    </row>
    <row r="182" spans="1:41" x14ac:dyDescent="0.2">
      <c r="A182" s="123" t="s">
        <v>3545</v>
      </c>
      <c r="B182" s="123" t="s">
        <v>3546</v>
      </c>
      <c r="C182" s="123">
        <v>16</v>
      </c>
      <c r="D182" s="123">
        <v>1</v>
      </c>
      <c r="E182" s="123" t="s">
        <v>3171</v>
      </c>
      <c r="F182" s="125">
        <v>43580</v>
      </c>
      <c r="G182" s="125" t="s">
        <v>4027</v>
      </c>
      <c r="H182" s="125" t="s">
        <v>4752</v>
      </c>
      <c r="I182" s="171">
        <v>6.6666666666666666E-2</v>
      </c>
      <c r="J182" s="173">
        <v>1.1111111111111111E-3</v>
      </c>
      <c r="K182" s="129">
        <v>96</v>
      </c>
      <c r="L182" s="123" t="s">
        <v>101</v>
      </c>
      <c r="M182" s="123" t="s">
        <v>149</v>
      </c>
      <c r="N182" s="123" t="s">
        <v>102</v>
      </c>
      <c r="O182" s="123" t="s">
        <v>115</v>
      </c>
      <c r="P182" s="123" t="s">
        <v>24</v>
      </c>
      <c r="Q182" s="123">
        <v>0</v>
      </c>
      <c r="R182" s="123">
        <v>0</v>
      </c>
      <c r="T182" s="127" t="s">
        <v>115</v>
      </c>
      <c r="U182" s="127" t="s">
        <v>115</v>
      </c>
      <c r="V182" s="127" t="s">
        <v>115</v>
      </c>
      <c r="W182" s="127"/>
      <c r="X182" s="127"/>
      <c r="Y182" s="127"/>
      <c r="Z182" s="127" t="s">
        <v>115</v>
      </c>
      <c r="AA182" s="127" t="s">
        <v>115</v>
      </c>
      <c r="AB182" s="127" t="s">
        <v>115</v>
      </c>
      <c r="AC182" s="127" t="s">
        <v>115</v>
      </c>
      <c r="AD182" s="127" t="s">
        <v>115</v>
      </c>
      <c r="AE182" s="127" t="s">
        <v>115</v>
      </c>
      <c r="AF182" s="127" t="s">
        <v>115</v>
      </c>
      <c r="AG182" s="127" t="s">
        <v>115</v>
      </c>
      <c r="AH182" s="123">
        <v>0</v>
      </c>
      <c r="AI182" s="123">
        <v>0</v>
      </c>
      <c r="AJ182" s="123">
        <v>0</v>
      </c>
      <c r="AK182" s="123">
        <v>0</v>
      </c>
      <c r="AL182" s="123">
        <v>96</v>
      </c>
      <c r="AN182" s="123">
        <f t="shared" si="2"/>
        <v>96</v>
      </c>
      <c r="AO182" s="123" t="s">
        <v>188</v>
      </c>
    </row>
    <row r="183" spans="1:41" x14ac:dyDescent="0.2">
      <c r="A183" s="123" t="s">
        <v>3547</v>
      </c>
      <c r="B183" s="123" t="s">
        <v>3548</v>
      </c>
      <c r="C183" s="123">
        <v>17</v>
      </c>
      <c r="D183" s="123">
        <v>1</v>
      </c>
      <c r="E183" s="123" t="s">
        <v>3171</v>
      </c>
      <c r="F183" s="125">
        <v>43580</v>
      </c>
      <c r="G183" s="125" t="s">
        <v>4027</v>
      </c>
      <c r="H183" s="125" t="s">
        <v>4752</v>
      </c>
      <c r="I183" s="171">
        <v>4.3750000000000004E-2</v>
      </c>
      <c r="J183" s="173">
        <v>7.291666666666667E-4</v>
      </c>
      <c r="K183" s="129">
        <v>63</v>
      </c>
      <c r="L183" s="123" t="s">
        <v>101</v>
      </c>
      <c r="M183" s="123" t="s">
        <v>149</v>
      </c>
      <c r="N183" s="123" t="s">
        <v>102</v>
      </c>
      <c r="O183" s="123" t="s">
        <v>115</v>
      </c>
      <c r="P183" s="123" t="s">
        <v>24</v>
      </c>
      <c r="Q183" s="123">
        <v>0</v>
      </c>
      <c r="R183" s="123">
        <v>0</v>
      </c>
      <c r="T183" s="127" t="s">
        <v>115</v>
      </c>
      <c r="U183" s="127" t="s">
        <v>115</v>
      </c>
      <c r="V183" s="127" t="s">
        <v>115</v>
      </c>
      <c r="W183" s="127"/>
      <c r="X183" s="127"/>
      <c r="Y183" s="127"/>
      <c r="Z183" s="127" t="s">
        <v>115</v>
      </c>
      <c r="AA183" s="127" t="s">
        <v>115</v>
      </c>
      <c r="AB183" s="127" t="s">
        <v>115</v>
      </c>
      <c r="AC183" s="127" t="s">
        <v>115</v>
      </c>
      <c r="AD183" s="127" t="s">
        <v>115</v>
      </c>
      <c r="AE183" s="127" t="s">
        <v>115</v>
      </c>
      <c r="AF183" s="127" t="s">
        <v>115</v>
      </c>
      <c r="AG183" s="127" t="s">
        <v>115</v>
      </c>
      <c r="AH183" s="123">
        <v>0</v>
      </c>
      <c r="AI183" s="123">
        <v>0</v>
      </c>
      <c r="AJ183" s="123">
        <v>0</v>
      </c>
      <c r="AK183" s="123">
        <v>0</v>
      </c>
      <c r="AL183" s="123">
        <v>45</v>
      </c>
      <c r="AN183" s="123">
        <f t="shared" si="2"/>
        <v>45</v>
      </c>
      <c r="AO183" s="123" t="s">
        <v>188</v>
      </c>
    </row>
    <row r="184" spans="1:41" x14ac:dyDescent="0.2">
      <c r="A184" s="123" t="s">
        <v>3549</v>
      </c>
      <c r="B184" s="123" t="s">
        <v>3550</v>
      </c>
      <c r="C184" s="123">
        <v>18</v>
      </c>
      <c r="D184" s="123">
        <v>1</v>
      </c>
      <c r="E184" s="123" t="s">
        <v>3171</v>
      </c>
      <c r="F184" s="125">
        <v>43580</v>
      </c>
      <c r="G184" s="125" t="s">
        <v>4027</v>
      </c>
      <c r="H184" s="125" t="s">
        <v>4752</v>
      </c>
      <c r="I184" s="171">
        <v>7.7777777777777779E-2</v>
      </c>
      <c r="J184" s="173">
        <v>1.2962962962962963E-3</v>
      </c>
      <c r="K184" s="129">
        <v>112</v>
      </c>
      <c r="L184" s="123" t="s">
        <v>101</v>
      </c>
      <c r="M184" s="123" t="s">
        <v>149</v>
      </c>
      <c r="N184" s="123" t="s">
        <v>102</v>
      </c>
      <c r="O184" s="123" t="s">
        <v>115</v>
      </c>
      <c r="P184" s="123" t="s">
        <v>24</v>
      </c>
      <c r="Q184" s="123">
        <v>0</v>
      </c>
      <c r="R184" s="123">
        <v>0</v>
      </c>
      <c r="T184" s="127" t="s">
        <v>115</v>
      </c>
      <c r="U184" s="127" t="s">
        <v>115</v>
      </c>
      <c r="V184" s="127" t="s">
        <v>115</v>
      </c>
      <c r="W184" s="127"/>
      <c r="X184" s="127"/>
      <c r="Y184" s="127"/>
      <c r="Z184" s="127" t="s">
        <v>115</v>
      </c>
      <c r="AA184" s="127" t="s">
        <v>115</v>
      </c>
      <c r="AB184" s="127" t="s">
        <v>115</v>
      </c>
      <c r="AC184" s="127" t="s">
        <v>115</v>
      </c>
      <c r="AD184" s="127" t="s">
        <v>115</v>
      </c>
      <c r="AE184" s="127" t="s">
        <v>115</v>
      </c>
      <c r="AF184" s="127" t="s">
        <v>115</v>
      </c>
      <c r="AG184" s="127" t="s">
        <v>115</v>
      </c>
      <c r="AH184" s="123">
        <v>0</v>
      </c>
      <c r="AI184" s="123">
        <v>0</v>
      </c>
      <c r="AJ184" s="123">
        <v>0</v>
      </c>
      <c r="AK184" s="123">
        <v>0</v>
      </c>
      <c r="AL184" s="123">
        <v>80</v>
      </c>
      <c r="AN184" s="123">
        <f t="shared" si="2"/>
        <v>80</v>
      </c>
      <c r="AO184" s="123" t="s">
        <v>188</v>
      </c>
    </row>
    <row r="185" spans="1:41" x14ac:dyDescent="0.2">
      <c r="A185" s="123" t="s">
        <v>3517</v>
      </c>
      <c r="B185" s="123" t="s">
        <v>3518</v>
      </c>
      <c r="C185" s="123">
        <v>2</v>
      </c>
      <c r="D185" s="123">
        <v>1</v>
      </c>
      <c r="E185" s="123" t="s">
        <v>3171</v>
      </c>
      <c r="F185" s="125">
        <v>43580</v>
      </c>
      <c r="G185" s="125" t="s">
        <v>4027</v>
      </c>
      <c r="H185" s="125" t="s">
        <v>4752</v>
      </c>
      <c r="I185" s="171">
        <v>1.6666666666666666E-2</v>
      </c>
      <c r="J185" s="173">
        <v>2.7777777777777778E-4</v>
      </c>
      <c r="K185" s="129">
        <v>24</v>
      </c>
      <c r="L185" s="123" t="s">
        <v>101</v>
      </c>
      <c r="M185" s="123" t="s">
        <v>149</v>
      </c>
      <c r="N185" s="123" t="s">
        <v>102</v>
      </c>
      <c r="O185" s="123" t="s">
        <v>115</v>
      </c>
      <c r="P185" s="123" t="s">
        <v>24</v>
      </c>
      <c r="Q185" s="123">
        <v>0</v>
      </c>
      <c r="R185" s="123">
        <v>0</v>
      </c>
      <c r="T185" s="127" t="s">
        <v>115</v>
      </c>
      <c r="U185" s="127" t="s">
        <v>115</v>
      </c>
      <c r="V185" s="127" t="s">
        <v>115</v>
      </c>
      <c r="W185" s="127"/>
      <c r="X185" s="127"/>
      <c r="Y185" s="127"/>
      <c r="Z185" s="127" t="s">
        <v>115</v>
      </c>
      <c r="AA185" s="127" t="s">
        <v>115</v>
      </c>
      <c r="AB185" s="127" t="s">
        <v>115</v>
      </c>
      <c r="AC185" s="127" t="s">
        <v>115</v>
      </c>
      <c r="AD185" s="127" t="s">
        <v>115</v>
      </c>
      <c r="AE185" s="127" t="s">
        <v>115</v>
      </c>
      <c r="AF185" s="127" t="s">
        <v>115</v>
      </c>
      <c r="AG185" s="127" t="s">
        <v>115</v>
      </c>
      <c r="AH185" s="123">
        <v>0</v>
      </c>
      <c r="AI185" s="123">
        <v>0</v>
      </c>
      <c r="AJ185" s="123">
        <v>0</v>
      </c>
      <c r="AK185" s="123">
        <v>0</v>
      </c>
      <c r="AL185" s="123">
        <v>24</v>
      </c>
      <c r="AN185" s="123">
        <f t="shared" si="2"/>
        <v>24</v>
      </c>
      <c r="AO185" s="123" t="s">
        <v>188</v>
      </c>
    </row>
    <row r="186" spans="1:41" x14ac:dyDescent="0.2">
      <c r="A186" s="123" t="s">
        <v>3555</v>
      </c>
      <c r="B186" s="123" t="s">
        <v>3556</v>
      </c>
      <c r="C186" s="123">
        <v>21</v>
      </c>
      <c r="D186" s="123">
        <v>1</v>
      </c>
      <c r="E186" s="123" t="s">
        <v>3171</v>
      </c>
      <c r="F186" s="125">
        <v>43580</v>
      </c>
      <c r="G186" s="125" t="s">
        <v>4027</v>
      </c>
      <c r="H186" s="125" t="s">
        <v>4752</v>
      </c>
      <c r="I186" s="171">
        <v>4.4444444444444446E-2</v>
      </c>
      <c r="J186" s="173">
        <v>7.407407407407407E-4</v>
      </c>
      <c r="K186" s="129">
        <v>64</v>
      </c>
      <c r="L186" s="123" t="s">
        <v>101</v>
      </c>
      <c r="M186" s="123" t="s">
        <v>149</v>
      </c>
      <c r="N186" s="123" t="s">
        <v>102</v>
      </c>
      <c r="O186" s="123" t="s">
        <v>115</v>
      </c>
      <c r="P186" s="123" t="s">
        <v>24</v>
      </c>
      <c r="Q186" s="123">
        <v>0</v>
      </c>
      <c r="R186" s="123">
        <v>0</v>
      </c>
      <c r="T186" s="127" t="s">
        <v>115</v>
      </c>
      <c r="U186" s="127" t="s">
        <v>115</v>
      </c>
      <c r="V186" s="127" t="s">
        <v>115</v>
      </c>
      <c r="W186" s="127"/>
      <c r="X186" s="127"/>
      <c r="Y186" s="127"/>
      <c r="Z186" s="127" t="s">
        <v>115</v>
      </c>
      <c r="AA186" s="127" t="s">
        <v>115</v>
      </c>
      <c r="AB186" s="127" t="s">
        <v>115</v>
      </c>
      <c r="AC186" s="127" t="s">
        <v>115</v>
      </c>
      <c r="AD186" s="127" t="s">
        <v>115</v>
      </c>
      <c r="AE186" s="127" t="s">
        <v>115</v>
      </c>
      <c r="AF186" s="127" t="s">
        <v>115</v>
      </c>
      <c r="AG186" s="127" t="s">
        <v>115</v>
      </c>
      <c r="AH186" s="123">
        <v>0</v>
      </c>
      <c r="AI186" s="123">
        <v>0</v>
      </c>
      <c r="AJ186" s="123">
        <v>0</v>
      </c>
      <c r="AK186" s="123">
        <v>0</v>
      </c>
      <c r="AL186" s="123">
        <v>64</v>
      </c>
      <c r="AN186" s="123">
        <f t="shared" si="2"/>
        <v>64</v>
      </c>
      <c r="AO186" s="123" t="s">
        <v>188</v>
      </c>
    </row>
    <row r="187" spans="1:41" x14ac:dyDescent="0.2">
      <c r="A187" s="123" t="s">
        <v>3561</v>
      </c>
      <c r="B187" s="123" t="s">
        <v>3562</v>
      </c>
      <c r="C187" s="123">
        <v>24</v>
      </c>
      <c r="D187" s="123">
        <v>1</v>
      </c>
      <c r="E187" s="123" t="s">
        <v>3171</v>
      </c>
      <c r="F187" s="125">
        <v>43580</v>
      </c>
      <c r="G187" s="125" t="s">
        <v>4027</v>
      </c>
      <c r="H187" s="125" t="s">
        <v>4752</v>
      </c>
      <c r="I187" s="171">
        <v>1.8749999999999999E-2</v>
      </c>
      <c r="J187" s="173">
        <v>3.1250000000000001E-4</v>
      </c>
      <c r="K187" s="129">
        <v>27</v>
      </c>
      <c r="L187" s="123" t="s">
        <v>101</v>
      </c>
      <c r="M187" s="123" t="s">
        <v>149</v>
      </c>
      <c r="N187" s="123" t="s">
        <v>102</v>
      </c>
      <c r="O187" s="123" t="s">
        <v>115</v>
      </c>
      <c r="P187" s="123" t="s">
        <v>24</v>
      </c>
      <c r="Q187" s="123">
        <v>0</v>
      </c>
      <c r="R187" s="123">
        <v>0</v>
      </c>
      <c r="T187" s="127" t="s">
        <v>115</v>
      </c>
      <c r="U187" s="127" t="s">
        <v>115</v>
      </c>
      <c r="V187" s="127" t="s">
        <v>115</v>
      </c>
      <c r="W187" s="127"/>
      <c r="X187" s="127"/>
      <c r="Y187" s="127"/>
      <c r="Z187" s="127" t="s">
        <v>115</v>
      </c>
      <c r="AA187" s="127" t="s">
        <v>115</v>
      </c>
      <c r="AB187" s="127" t="s">
        <v>115</v>
      </c>
      <c r="AC187" s="127" t="s">
        <v>115</v>
      </c>
      <c r="AD187" s="127" t="s">
        <v>115</v>
      </c>
      <c r="AE187" s="127" t="s">
        <v>115</v>
      </c>
      <c r="AF187" s="127" t="s">
        <v>115</v>
      </c>
      <c r="AG187" s="127" t="s">
        <v>115</v>
      </c>
      <c r="AH187" s="123">
        <v>0</v>
      </c>
      <c r="AI187" s="123">
        <v>0</v>
      </c>
      <c r="AJ187" s="123">
        <v>0</v>
      </c>
      <c r="AK187" s="123">
        <v>0</v>
      </c>
      <c r="AL187" s="123">
        <v>27</v>
      </c>
      <c r="AN187" s="123">
        <f t="shared" si="2"/>
        <v>27</v>
      </c>
      <c r="AO187" s="123" t="s">
        <v>188</v>
      </c>
    </row>
    <row r="188" spans="1:41" x14ac:dyDescent="0.2">
      <c r="A188" s="123" t="s">
        <v>3574</v>
      </c>
      <c r="B188" s="123" t="s">
        <v>3575</v>
      </c>
      <c r="C188" s="123">
        <v>30</v>
      </c>
      <c r="D188" s="123">
        <v>1</v>
      </c>
      <c r="E188" s="123" t="s">
        <v>3171</v>
      </c>
      <c r="F188" s="125">
        <v>43580</v>
      </c>
      <c r="G188" s="125" t="s">
        <v>4027</v>
      </c>
      <c r="H188" s="125" t="s">
        <v>4752</v>
      </c>
      <c r="I188" s="171">
        <v>5.8333333333333327E-2</v>
      </c>
      <c r="J188" s="173">
        <v>9.7222222222222209E-4</v>
      </c>
      <c r="K188" s="129">
        <v>84</v>
      </c>
      <c r="L188" s="123" t="s">
        <v>101</v>
      </c>
      <c r="M188" s="123" t="s">
        <v>149</v>
      </c>
      <c r="N188" s="123" t="s">
        <v>102</v>
      </c>
      <c r="O188" s="123" t="s">
        <v>115</v>
      </c>
      <c r="P188" s="123" t="s">
        <v>24</v>
      </c>
      <c r="Q188" s="123">
        <v>0</v>
      </c>
      <c r="R188" s="123">
        <v>0</v>
      </c>
      <c r="T188" s="127" t="s">
        <v>115</v>
      </c>
      <c r="U188" s="127" t="s">
        <v>115</v>
      </c>
      <c r="V188" s="127" t="s">
        <v>115</v>
      </c>
      <c r="W188" s="127"/>
      <c r="X188" s="127"/>
      <c r="Y188" s="127"/>
      <c r="Z188" s="127" t="s">
        <v>115</v>
      </c>
      <c r="AA188" s="127" t="s">
        <v>115</v>
      </c>
      <c r="AB188" s="127" t="s">
        <v>115</v>
      </c>
      <c r="AC188" s="127" t="s">
        <v>115</v>
      </c>
      <c r="AD188" s="127" t="s">
        <v>115</v>
      </c>
      <c r="AE188" s="127" t="s">
        <v>115</v>
      </c>
      <c r="AF188" s="127" t="s">
        <v>115</v>
      </c>
      <c r="AG188" s="127" t="s">
        <v>115</v>
      </c>
      <c r="AH188" s="123">
        <v>0</v>
      </c>
      <c r="AI188" s="123">
        <v>0</v>
      </c>
      <c r="AJ188" s="123">
        <v>0</v>
      </c>
      <c r="AK188" s="123">
        <v>0</v>
      </c>
      <c r="AL188" s="123">
        <v>84</v>
      </c>
      <c r="AN188" s="123">
        <f t="shared" si="2"/>
        <v>84</v>
      </c>
      <c r="AO188" s="123" t="s">
        <v>188</v>
      </c>
    </row>
    <row r="189" spans="1:41" x14ac:dyDescent="0.2">
      <c r="A189" s="123" t="s">
        <v>3582</v>
      </c>
      <c r="B189" s="123" t="s">
        <v>3583</v>
      </c>
      <c r="C189" s="123">
        <v>34</v>
      </c>
      <c r="D189" s="123">
        <v>1</v>
      </c>
      <c r="E189" s="123" t="s">
        <v>3171</v>
      </c>
      <c r="F189" s="125">
        <v>43580</v>
      </c>
      <c r="G189" s="125" t="s">
        <v>4027</v>
      </c>
      <c r="H189" s="125" t="s">
        <v>4752</v>
      </c>
      <c r="I189" s="171">
        <v>2.2916666666666669E-2</v>
      </c>
      <c r="J189" s="173">
        <v>3.8194444444444446E-4</v>
      </c>
      <c r="K189" s="129">
        <v>33</v>
      </c>
      <c r="L189" s="123" t="s">
        <v>101</v>
      </c>
      <c r="M189" s="123" t="s">
        <v>149</v>
      </c>
      <c r="N189" s="123" t="s">
        <v>102</v>
      </c>
      <c r="O189" s="123" t="s">
        <v>115</v>
      </c>
      <c r="P189" s="123" t="s">
        <v>24</v>
      </c>
      <c r="Q189" s="123">
        <v>0</v>
      </c>
      <c r="R189" s="123">
        <v>0</v>
      </c>
      <c r="T189" s="127" t="s">
        <v>115</v>
      </c>
      <c r="U189" s="127" t="s">
        <v>115</v>
      </c>
      <c r="V189" s="127" t="s">
        <v>115</v>
      </c>
      <c r="W189" s="127"/>
      <c r="X189" s="127"/>
      <c r="Y189" s="127"/>
      <c r="Z189" s="127" t="s">
        <v>115</v>
      </c>
      <c r="AA189" s="127" t="s">
        <v>115</v>
      </c>
      <c r="AB189" s="127" t="s">
        <v>115</v>
      </c>
      <c r="AC189" s="127" t="s">
        <v>115</v>
      </c>
      <c r="AD189" s="127" t="s">
        <v>115</v>
      </c>
      <c r="AE189" s="127" t="s">
        <v>115</v>
      </c>
      <c r="AF189" s="127" t="s">
        <v>115</v>
      </c>
      <c r="AG189" s="127" t="s">
        <v>115</v>
      </c>
      <c r="AH189" s="123">
        <v>0</v>
      </c>
      <c r="AI189" s="123">
        <v>0</v>
      </c>
      <c r="AJ189" s="123">
        <v>0</v>
      </c>
      <c r="AK189" s="123">
        <v>0</v>
      </c>
      <c r="AL189" s="123">
        <v>33</v>
      </c>
      <c r="AN189" s="123">
        <f t="shared" si="2"/>
        <v>33</v>
      </c>
      <c r="AO189" s="123" t="s">
        <v>188</v>
      </c>
    </row>
    <row r="190" spans="1:41" x14ac:dyDescent="0.2">
      <c r="A190" s="123" t="s">
        <v>3584</v>
      </c>
      <c r="B190" s="123" t="s">
        <v>3585</v>
      </c>
      <c r="C190" s="123">
        <v>35</v>
      </c>
      <c r="D190" s="123">
        <v>1</v>
      </c>
      <c r="E190" s="123" t="s">
        <v>3171</v>
      </c>
      <c r="F190" s="125">
        <v>43580</v>
      </c>
      <c r="G190" s="125" t="s">
        <v>4027</v>
      </c>
      <c r="H190" s="125" t="s">
        <v>4752</v>
      </c>
      <c r="I190" s="171">
        <v>3.4027777777777775E-2</v>
      </c>
      <c r="J190" s="173">
        <v>5.6712962962962956E-4</v>
      </c>
      <c r="K190" s="129">
        <v>49</v>
      </c>
      <c r="L190" s="123" t="s">
        <v>101</v>
      </c>
      <c r="M190" s="123" t="s">
        <v>149</v>
      </c>
      <c r="N190" s="123" t="s">
        <v>102</v>
      </c>
      <c r="O190" s="123" t="s">
        <v>115</v>
      </c>
      <c r="P190" s="123" t="s">
        <v>24</v>
      </c>
      <c r="Q190" s="123">
        <v>0</v>
      </c>
      <c r="R190" s="123">
        <v>0</v>
      </c>
      <c r="T190" s="127" t="s">
        <v>115</v>
      </c>
      <c r="U190" s="127" t="s">
        <v>115</v>
      </c>
      <c r="V190" s="127" t="s">
        <v>115</v>
      </c>
      <c r="W190" s="127"/>
      <c r="X190" s="127"/>
      <c r="Y190" s="127"/>
      <c r="Z190" s="127" t="s">
        <v>115</v>
      </c>
      <c r="AA190" s="127" t="s">
        <v>115</v>
      </c>
      <c r="AB190" s="127" t="s">
        <v>115</v>
      </c>
      <c r="AC190" s="127" t="s">
        <v>115</v>
      </c>
      <c r="AD190" s="127" t="s">
        <v>115</v>
      </c>
      <c r="AE190" s="127" t="s">
        <v>115</v>
      </c>
      <c r="AF190" s="127" t="s">
        <v>115</v>
      </c>
      <c r="AG190" s="127" t="s">
        <v>115</v>
      </c>
      <c r="AH190" s="123">
        <v>0</v>
      </c>
      <c r="AI190" s="123">
        <v>0</v>
      </c>
      <c r="AJ190" s="123">
        <v>0</v>
      </c>
      <c r="AK190" s="123">
        <v>0</v>
      </c>
      <c r="AL190" s="123">
        <v>48</v>
      </c>
      <c r="AN190" s="123">
        <f t="shared" si="2"/>
        <v>48</v>
      </c>
      <c r="AO190" s="123" t="s">
        <v>188</v>
      </c>
    </row>
    <row r="191" spans="1:41" x14ac:dyDescent="0.2">
      <c r="A191" s="123" t="s">
        <v>3593</v>
      </c>
      <c r="B191" s="123" t="s">
        <v>3594</v>
      </c>
      <c r="C191" s="123">
        <v>38</v>
      </c>
      <c r="D191" s="123">
        <v>1</v>
      </c>
      <c r="E191" s="123" t="s">
        <v>3171</v>
      </c>
      <c r="F191" s="125">
        <v>43580</v>
      </c>
      <c r="G191" s="125" t="s">
        <v>4027</v>
      </c>
      <c r="H191" s="125" t="s">
        <v>4752</v>
      </c>
      <c r="I191" s="171">
        <v>4.4444444444444446E-2</v>
      </c>
      <c r="J191" s="173">
        <v>7.407407407407407E-4</v>
      </c>
      <c r="K191" s="129">
        <v>64</v>
      </c>
      <c r="L191" s="123" t="s">
        <v>101</v>
      </c>
      <c r="M191" s="123" t="s">
        <v>149</v>
      </c>
      <c r="N191" s="123" t="s">
        <v>102</v>
      </c>
      <c r="O191" s="123" t="s">
        <v>115</v>
      </c>
      <c r="P191" s="123" t="s">
        <v>24</v>
      </c>
      <c r="Q191" s="123">
        <v>0</v>
      </c>
      <c r="R191" s="123">
        <v>0</v>
      </c>
      <c r="T191" s="127" t="s">
        <v>115</v>
      </c>
      <c r="U191" s="127" t="s">
        <v>115</v>
      </c>
      <c r="V191" s="127" t="s">
        <v>115</v>
      </c>
      <c r="W191" s="127"/>
      <c r="X191" s="127"/>
      <c r="Y191" s="127"/>
      <c r="Z191" s="127" t="s">
        <v>115</v>
      </c>
      <c r="AA191" s="127" t="s">
        <v>115</v>
      </c>
      <c r="AB191" s="127" t="s">
        <v>115</v>
      </c>
      <c r="AC191" s="127" t="s">
        <v>115</v>
      </c>
      <c r="AD191" s="127" t="s">
        <v>115</v>
      </c>
      <c r="AE191" s="127" t="s">
        <v>115</v>
      </c>
      <c r="AF191" s="127" t="s">
        <v>115</v>
      </c>
      <c r="AG191" s="127" t="s">
        <v>115</v>
      </c>
      <c r="AH191" s="123">
        <v>0</v>
      </c>
      <c r="AI191" s="123">
        <v>0</v>
      </c>
      <c r="AJ191" s="123">
        <v>0</v>
      </c>
      <c r="AK191" s="123">
        <v>0</v>
      </c>
      <c r="AL191" s="123">
        <v>62</v>
      </c>
      <c r="AN191" s="123">
        <f t="shared" si="2"/>
        <v>62</v>
      </c>
      <c r="AO191" s="123" t="s">
        <v>188</v>
      </c>
    </row>
    <row r="192" spans="1:41" x14ac:dyDescent="0.2">
      <c r="A192" s="123" t="s">
        <v>3521</v>
      </c>
      <c r="B192" s="123" t="s">
        <v>3522</v>
      </c>
      <c r="C192" s="123">
        <v>4</v>
      </c>
      <c r="D192" s="123">
        <v>1</v>
      </c>
      <c r="E192" s="123" t="s">
        <v>3171</v>
      </c>
      <c r="F192" s="125">
        <v>43580</v>
      </c>
      <c r="G192" s="125" t="s">
        <v>4027</v>
      </c>
      <c r="H192" s="125" t="s">
        <v>4752</v>
      </c>
      <c r="I192" s="171">
        <v>1.5972222222222224E-2</v>
      </c>
      <c r="J192" s="173">
        <v>2.6620370370370372E-4</v>
      </c>
      <c r="K192" s="129">
        <v>23</v>
      </c>
      <c r="L192" s="123" t="s">
        <v>101</v>
      </c>
      <c r="M192" s="123" t="s">
        <v>149</v>
      </c>
      <c r="N192" s="123" t="s">
        <v>102</v>
      </c>
      <c r="O192" s="123" t="s">
        <v>115</v>
      </c>
      <c r="P192" s="123" t="s">
        <v>24</v>
      </c>
      <c r="Q192" s="123">
        <v>0</v>
      </c>
      <c r="R192" s="123">
        <v>0</v>
      </c>
      <c r="T192" s="127" t="s">
        <v>115</v>
      </c>
      <c r="U192" s="127" t="s">
        <v>115</v>
      </c>
      <c r="V192" s="127" t="s">
        <v>115</v>
      </c>
      <c r="W192" s="127"/>
      <c r="X192" s="127"/>
      <c r="Y192" s="127"/>
      <c r="Z192" s="127" t="s">
        <v>115</v>
      </c>
      <c r="AA192" s="127" t="s">
        <v>115</v>
      </c>
      <c r="AB192" s="127" t="s">
        <v>115</v>
      </c>
      <c r="AC192" s="127" t="s">
        <v>115</v>
      </c>
      <c r="AD192" s="127" t="s">
        <v>115</v>
      </c>
      <c r="AE192" s="127" t="s">
        <v>115</v>
      </c>
      <c r="AF192" s="127" t="s">
        <v>115</v>
      </c>
      <c r="AG192" s="127" t="s">
        <v>115</v>
      </c>
      <c r="AH192" s="123">
        <v>0</v>
      </c>
      <c r="AI192" s="123">
        <v>0</v>
      </c>
      <c r="AJ192" s="123">
        <v>0</v>
      </c>
      <c r="AK192" s="123">
        <v>0</v>
      </c>
      <c r="AL192" s="123">
        <v>21</v>
      </c>
      <c r="AN192" s="123">
        <f t="shared" si="2"/>
        <v>21</v>
      </c>
      <c r="AO192" s="123" t="s">
        <v>188</v>
      </c>
    </row>
    <row r="193" spans="1:44" x14ac:dyDescent="0.2">
      <c r="A193" s="123" t="s">
        <v>3523</v>
      </c>
      <c r="B193" s="123" t="s">
        <v>3524</v>
      </c>
      <c r="C193" s="123">
        <v>5</v>
      </c>
      <c r="D193" s="123">
        <v>1</v>
      </c>
      <c r="E193" s="123" t="s">
        <v>3171</v>
      </c>
      <c r="F193" s="125">
        <v>43580</v>
      </c>
      <c r="G193" s="125" t="s">
        <v>4027</v>
      </c>
      <c r="H193" s="125" t="s">
        <v>4752</v>
      </c>
      <c r="I193" s="171">
        <v>6.6666666666666666E-2</v>
      </c>
      <c r="J193" s="173">
        <v>1.1111111111111111E-3</v>
      </c>
      <c r="K193" s="129">
        <v>96</v>
      </c>
      <c r="L193" s="123" t="s">
        <v>101</v>
      </c>
      <c r="M193" s="123" t="s">
        <v>149</v>
      </c>
      <c r="N193" s="123" t="s">
        <v>102</v>
      </c>
      <c r="O193" s="123" t="s">
        <v>115</v>
      </c>
      <c r="P193" s="123" t="s">
        <v>24</v>
      </c>
      <c r="Q193" s="123">
        <v>0</v>
      </c>
      <c r="R193" s="123">
        <v>0</v>
      </c>
      <c r="T193" s="127" t="s">
        <v>115</v>
      </c>
      <c r="U193" s="127" t="s">
        <v>115</v>
      </c>
      <c r="V193" s="127" t="s">
        <v>115</v>
      </c>
      <c r="W193" s="127"/>
      <c r="X193" s="127"/>
      <c r="Y193" s="127"/>
      <c r="Z193" s="127" t="s">
        <v>115</v>
      </c>
      <c r="AA193" s="127" t="s">
        <v>115</v>
      </c>
      <c r="AB193" s="127" t="s">
        <v>115</v>
      </c>
      <c r="AC193" s="127" t="s">
        <v>115</v>
      </c>
      <c r="AD193" s="127" t="s">
        <v>115</v>
      </c>
      <c r="AE193" s="127" t="s">
        <v>115</v>
      </c>
      <c r="AF193" s="127" t="s">
        <v>115</v>
      </c>
      <c r="AG193" s="127" t="s">
        <v>115</v>
      </c>
      <c r="AH193" s="123">
        <v>0</v>
      </c>
      <c r="AI193" s="123">
        <v>0</v>
      </c>
      <c r="AJ193" s="123">
        <v>0</v>
      </c>
      <c r="AK193" s="123">
        <v>0</v>
      </c>
      <c r="AL193" s="123">
        <v>96</v>
      </c>
      <c r="AN193" s="123">
        <f t="shared" si="2"/>
        <v>96</v>
      </c>
      <c r="AO193" s="123" t="s">
        <v>188</v>
      </c>
    </row>
    <row r="194" spans="1:44" x14ac:dyDescent="0.2">
      <c r="A194" s="123" t="s">
        <v>3525</v>
      </c>
      <c r="B194" s="123" t="s">
        <v>3526</v>
      </c>
      <c r="C194" s="123">
        <v>6</v>
      </c>
      <c r="D194" s="123">
        <v>1</v>
      </c>
      <c r="E194" s="123" t="s">
        <v>3171</v>
      </c>
      <c r="F194" s="125">
        <v>43580</v>
      </c>
      <c r="G194" s="125" t="s">
        <v>4027</v>
      </c>
      <c r="H194" s="125" t="s">
        <v>4752</v>
      </c>
      <c r="I194" s="171">
        <v>1.8055555555555557E-2</v>
      </c>
      <c r="J194" s="173">
        <v>3.0092592592592595E-4</v>
      </c>
      <c r="K194" s="129">
        <v>26</v>
      </c>
      <c r="L194" s="123" t="s">
        <v>101</v>
      </c>
      <c r="M194" s="123" t="s">
        <v>149</v>
      </c>
      <c r="N194" s="123" t="s">
        <v>102</v>
      </c>
      <c r="O194" s="123" t="s">
        <v>115</v>
      </c>
      <c r="P194" s="123" t="s">
        <v>24</v>
      </c>
      <c r="Q194" s="123">
        <v>0</v>
      </c>
      <c r="R194" s="123">
        <v>0</v>
      </c>
      <c r="T194" s="127" t="s">
        <v>115</v>
      </c>
      <c r="U194" s="127" t="s">
        <v>115</v>
      </c>
      <c r="V194" s="127" t="s">
        <v>115</v>
      </c>
      <c r="W194" s="127"/>
      <c r="X194" s="127"/>
      <c r="Y194" s="127"/>
      <c r="Z194" s="127" t="s">
        <v>115</v>
      </c>
      <c r="AA194" s="127" t="s">
        <v>115</v>
      </c>
      <c r="AB194" s="127" t="s">
        <v>115</v>
      </c>
      <c r="AC194" s="127" t="s">
        <v>115</v>
      </c>
      <c r="AD194" s="127" t="s">
        <v>115</v>
      </c>
      <c r="AE194" s="127" t="s">
        <v>115</v>
      </c>
      <c r="AF194" s="127" t="s">
        <v>115</v>
      </c>
      <c r="AG194" s="127" t="s">
        <v>115</v>
      </c>
      <c r="AH194" s="123">
        <v>0</v>
      </c>
      <c r="AI194" s="123">
        <v>0</v>
      </c>
      <c r="AJ194" s="123">
        <v>0</v>
      </c>
      <c r="AK194" s="123">
        <v>0</v>
      </c>
      <c r="AL194" s="123">
        <v>26</v>
      </c>
      <c r="AN194" s="123">
        <f t="shared" ref="AN194:AN257" si="3">SUM(AH194+AI194+AL194)</f>
        <v>26</v>
      </c>
      <c r="AO194" s="123" t="s">
        <v>188</v>
      </c>
    </row>
    <row r="195" spans="1:44" x14ac:dyDescent="0.2">
      <c r="A195" s="123" t="s">
        <v>3529</v>
      </c>
      <c r="B195" s="123" t="s">
        <v>3530</v>
      </c>
      <c r="C195" s="123">
        <v>8</v>
      </c>
      <c r="D195" s="123">
        <v>1</v>
      </c>
      <c r="E195" s="123" t="s">
        <v>3171</v>
      </c>
      <c r="F195" s="125">
        <v>43580</v>
      </c>
      <c r="G195" s="125" t="s">
        <v>4027</v>
      </c>
      <c r="H195" s="125" t="s">
        <v>4752</v>
      </c>
      <c r="I195" s="171">
        <v>6.1111111111111116E-2</v>
      </c>
      <c r="J195" s="173">
        <v>1.0185185185185186E-3</v>
      </c>
      <c r="K195" s="129">
        <v>88</v>
      </c>
      <c r="L195" s="123" t="s">
        <v>101</v>
      </c>
      <c r="M195" s="123" t="s">
        <v>149</v>
      </c>
      <c r="N195" s="123" t="s">
        <v>102</v>
      </c>
      <c r="O195" s="123" t="s">
        <v>115</v>
      </c>
      <c r="P195" s="123" t="s">
        <v>24</v>
      </c>
      <c r="Q195" s="123">
        <v>0</v>
      </c>
      <c r="R195" s="123">
        <v>0</v>
      </c>
      <c r="T195" s="127" t="s">
        <v>115</v>
      </c>
      <c r="U195" s="127" t="s">
        <v>115</v>
      </c>
      <c r="V195" s="127" t="s">
        <v>115</v>
      </c>
      <c r="W195" s="127"/>
      <c r="X195" s="127"/>
      <c r="Y195" s="127"/>
      <c r="Z195" s="127" t="s">
        <v>115</v>
      </c>
      <c r="AA195" s="127" t="s">
        <v>115</v>
      </c>
      <c r="AB195" s="127" t="s">
        <v>115</v>
      </c>
      <c r="AC195" s="127" t="s">
        <v>115</v>
      </c>
      <c r="AD195" s="127" t="s">
        <v>115</v>
      </c>
      <c r="AE195" s="127" t="s">
        <v>115</v>
      </c>
      <c r="AF195" s="127" t="s">
        <v>115</v>
      </c>
      <c r="AG195" s="127" t="s">
        <v>115</v>
      </c>
      <c r="AH195" s="123">
        <v>0</v>
      </c>
      <c r="AI195" s="123">
        <v>0</v>
      </c>
      <c r="AJ195" s="123">
        <v>0</v>
      </c>
      <c r="AK195" s="123">
        <v>0</v>
      </c>
      <c r="AL195" s="123">
        <v>88</v>
      </c>
      <c r="AN195" s="123">
        <f t="shared" si="3"/>
        <v>88</v>
      </c>
      <c r="AO195" s="123" t="s">
        <v>188</v>
      </c>
    </row>
    <row r="196" spans="1:44" x14ac:dyDescent="0.2">
      <c r="A196" s="123" t="s">
        <v>3365</v>
      </c>
      <c r="B196" s="123" t="s">
        <v>3366</v>
      </c>
      <c r="C196" s="123">
        <v>6</v>
      </c>
      <c r="D196" s="123">
        <v>1</v>
      </c>
      <c r="E196" s="123" t="s">
        <v>3171</v>
      </c>
      <c r="F196" s="125">
        <v>43577</v>
      </c>
      <c r="G196" s="125" t="s">
        <v>4027</v>
      </c>
      <c r="H196" s="125" t="s">
        <v>4752</v>
      </c>
      <c r="I196" s="171">
        <v>1.0416666666666666E-2</v>
      </c>
      <c r="J196" s="173">
        <v>1.7361111111111112E-4</v>
      </c>
      <c r="K196" s="129">
        <v>15</v>
      </c>
      <c r="L196" s="123" t="s">
        <v>101</v>
      </c>
      <c r="M196" s="123" t="s">
        <v>670</v>
      </c>
      <c r="N196" s="123" t="s">
        <v>102</v>
      </c>
      <c r="O196" s="123" t="s">
        <v>23</v>
      </c>
      <c r="P196" s="123">
        <v>1</v>
      </c>
      <c r="Q196" s="123">
        <v>1</v>
      </c>
      <c r="R196" s="123">
        <v>0</v>
      </c>
      <c r="S196" s="123" t="s">
        <v>176</v>
      </c>
      <c r="T196" s="127" t="s">
        <v>24</v>
      </c>
      <c r="U196" s="127" t="s">
        <v>487</v>
      </c>
      <c r="V196" s="127" t="s">
        <v>115</v>
      </c>
      <c r="W196" s="127"/>
      <c r="X196" s="127"/>
      <c r="Y196" s="127"/>
      <c r="Z196" s="127" t="s">
        <v>115</v>
      </c>
      <c r="AA196" s="127" t="s">
        <v>115</v>
      </c>
      <c r="AB196" s="127" t="s">
        <v>115</v>
      </c>
      <c r="AC196" s="127" t="s">
        <v>115</v>
      </c>
      <c r="AD196" s="127" t="s">
        <v>115</v>
      </c>
      <c r="AE196" s="127" t="s">
        <v>3378</v>
      </c>
      <c r="AF196" s="127" t="s">
        <v>3378</v>
      </c>
      <c r="AG196" s="127" t="s">
        <v>115</v>
      </c>
      <c r="AH196" s="123">
        <v>3</v>
      </c>
      <c r="AI196" s="123">
        <v>0</v>
      </c>
      <c r="AJ196" s="123">
        <v>0</v>
      </c>
      <c r="AK196" s="123">
        <v>3</v>
      </c>
      <c r="AL196" s="123">
        <v>0</v>
      </c>
      <c r="AN196" s="123">
        <f t="shared" si="3"/>
        <v>3</v>
      </c>
      <c r="AO196" s="123" t="s">
        <v>188</v>
      </c>
    </row>
    <row r="197" spans="1:44" x14ac:dyDescent="0.2">
      <c r="A197" s="123" t="s">
        <v>3385</v>
      </c>
      <c r="B197" s="123" t="s">
        <v>3386</v>
      </c>
      <c r="C197" s="123">
        <v>15</v>
      </c>
      <c r="D197" s="123">
        <v>2</v>
      </c>
      <c r="E197" s="123" t="s">
        <v>3171</v>
      </c>
      <c r="F197" s="125">
        <v>43577</v>
      </c>
      <c r="G197" s="125" t="s">
        <v>4027</v>
      </c>
      <c r="H197" s="125" t="s">
        <v>4752</v>
      </c>
      <c r="I197" s="171">
        <v>4.5138888888888888E-2</v>
      </c>
      <c r="J197" s="173">
        <v>7.5231481481481471E-4</v>
      </c>
      <c r="K197" s="129">
        <v>65</v>
      </c>
      <c r="L197" s="123" t="s">
        <v>101</v>
      </c>
      <c r="M197" s="123" t="s">
        <v>670</v>
      </c>
      <c r="N197" s="123" t="s">
        <v>102</v>
      </c>
      <c r="O197" s="123" t="s">
        <v>23</v>
      </c>
      <c r="P197" s="123">
        <v>1</v>
      </c>
      <c r="Q197" s="123">
        <v>1</v>
      </c>
      <c r="R197" s="123">
        <v>0</v>
      </c>
      <c r="S197" s="123" t="s">
        <v>176</v>
      </c>
      <c r="T197" s="127" t="s">
        <v>24</v>
      </c>
      <c r="U197" s="127" t="s">
        <v>2068</v>
      </c>
      <c r="V197" s="127" t="s">
        <v>115</v>
      </c>
      <c r="W197" s="127"/>
      <c r="X197" s="127"/>
      <c r="Y197" s="127"/>
      <c r="Z197" s="127" t="s">
        <v>115</v>
      </c>
      <c r="AA197" s="127" t="s">
        <v>115</v>
      </c>
      <c r="AB197" s="127" t="s">
        <v>115</v>
      </c>
      <c r="AC197" s="127" t="s">
        <v>115</v>
      </c>
      <c r="AD197" s="127" t="s">
        <v>115</v>
      </c>
      <c r="AE197" s="123">
        <v>63.722279999999998</v>
      </c>
      <c r="AF197" s="123">
        <v>148.94917000000001</v>
      </c>
      <c r="AG197" s="127" t="s">
        <v>115</v>
      </c>
      <c r="AH197" s="123">
        <v>18</v>
      </c>
      <c r="AI197" s="123">
        <v>0</v>
      </c>
      <c r="AJ197" s="123">
        <v>0</v>
      </c>
      <c r="AK197" s="123">
        <v>18</v>
      </c>
      <c r="AL197" s="123">
        <v>0</v>
      </c>
      <c r="AN197" s="123">
        <f t="shared" si="3"/>
        <v>18</v>
      </c>
      <c r="AO197" s="123" t="s">
        <v>165</v>
      </c>
      <c r="AQ197" s="123">
        <v>4</v>
      </c>
      <c r="AR197" s="123">
        <v>0</v>
      </c>
    </row>
    <row r="198" spans="1:44" x14ac:dyDescent="0.2">
      <c r="A198" s="123" t="s">
        <v>3394</v>
      </c>
      <c r="B198" s="123" t="s">
        <v>3395</v>
      </c>
      <c r="C198" s="123">
        <v>19</v>
      </c>
      <c r="D198" s="123">
        <v>1</v>
      </c>
      <c r="E198" s="123" t="s">
        <v>3171</v>
      </c>
      <c r="F198" s="125">
        <v>43577</v>
      </c>
      <c r="G198" s="125" t="s">
        <v>4027</v>
      </c>
      <c r="H198" s="125" t="s">
        <v>4752</v>
      </c>
      <c r="I198" s="171">
        <v>1.8055555555555557E-2</v>
      </c>
      <c r="J198" s="173">
        <v>3.0092592592592595E-4</v>
      </c>
      <c r="K198" s="129">
        <v>26</v>
      </c>
      <c r="L198" s="123" t="s">
        <v>101</v>
      </c>
      <c r="M198" s="123" t="s">
        <v>670</v>
      </c>
      <c r="N198" s="123" t="s">
        <v>102</v>
      </c>
      <c r="O198" s="123" t="s">
        <v>23</v>
      </c>
      <c r="P198" s="123">
        <v>1</v>
      </c>
      <c r="Q198" s="123" t="s">
        <v>24</v>
      </c>
      <c r="R198" s="123">
        <v>0</v>
      </c>
      <c r="S198" s="123" t="s">
        <v>176</v>
      </c>
      <c r="T198" s="127" t="s">
        <v>24</v>
      </c>
      <c r="U198" s="127" t="s">
        <v>3396</v>
      </c>
      <c r="V198" s="127" t="s">
        <v>115</v>
      </c>
      <c r="W198" s="127"/>
      <c r="X198" s="127"/>
      <c r="Y198" s="127"/>
      <c r="Z198" s="127" t="s">
        <v>115</v>
      </c>
      <c r="AA198" s="127" t="s">
        <v>115</v>
      </c>
      <c r="AB198" s="127" t="s">
        <v>115</v>
      </c>
      <c r="AC198" s="127" t="s">
        <v>115</v>
      </c>
      <c r="AD198" s="127" t="s">
        <v>115</v>
      </c>
      <c r="AE198" s="127" t="s">
        <v>115</v>
      </c>
      <c r="AF198" s="127" t="s">
        <v>115</v>
      </c>
      <c r="AG198" s="127" t="s">
        <v>115</v>
      </c>
      <c r="AH198" s="123">
        <v>10</v>
      </c>
      <c r="AI198" s="123">
        <v>0</v>
      </c>
      <c r="AJ198" s="123">
        <v>0</v>
      </c>
      <c r="AK198" s="123">
        <v>10</v>
      </c>
      <c r="AL198" s="123">
        <v>0</v>
      </c>
      <c r="AN198" s="123">
        <f t="shared" si="3"/>
        <v>10</v>
      </c>
      <c r="AO198" s="123" t="s">
        <v>165</v>
      </c>
      <c r="AQ198" s="123">
        <v>3</v>
      </c>
      <c r="AR198" s="123">
        <v>0</v>
      </c>
    </row>
    <row r="199" spans="1:44" x14ac:dyDescent="0.2">
      <c r="A199" s="123" t="s">
        <v>3400</v>
      </c>
      <c r="B199" s="123" t="s">
        <v>3401</v>
      </c>
      <c r="C199" s="123">
        <v>22</v>
      </c>
      <c r="D199" s="123">
        <v>1</v>
      </c>
      <c r="E199" s="123" t="s">
        <v>3171</v>
      </c>
      <c r="F199" s="125">
        <v>43577</v>
      </c>
      <c r="G199" s="125" t="s">
        <v>4027</v>
      </c>
      <c r="H199" s="125" t="s">
        <v>4752</v>
      </c>
      <c r="I199" s="171">
        <v>6.7361111111111108E-2</v>
      </c>
      <c r="J199" s="173">
        <v>1.1226851851851851E-3</v>
      </c>
      <c r="K199" s="129">
        <v>97</v>
      </c>
      <c r="L199" s="123" t="s">
        <v>101</v>
      </c>
      <c r="M199" s="123" t="s">
        <v>670</v>
      </c>
      <c r="N199" s="123" t="s">
        <v>102</v>
      </c>
      <c r="O199" s="123" t="s">
        <v>115</v>
      </c>
      <c r="P199" s="123">
        <v>1</v>
      </c>
      <c r="Q199" s="123">
        <v>0</v>
      </c>
      <c r="R199" s="123">
        <v>0</v>
      </c>
      <c r="S199" s="123" t="s">
        <v>176</v>
      </c>
      <c r="T199" s="127" t="s">
        <v>4786</v>
      </c>
      <c r="U199" s="127" t="s">
        <v>122</v>
      </c>
      <c r="V199" s="127" t="s">
        <v>115</v>
      </c>
      <c r="W199" s="127"/>
      <c r="X199" s="127"/>
      <c r="Y199" s="127"/>
      <c r="Z199" s="127" t="s">
        <v>115</v>
      </c>
      <c r="AA199" s="127" t="s">
        <v>115</v>
      </c>
      <c r="AB199" s="127" t="s">
        <v>115</v>
      </c>
      <c r="AC199" s="127" t="s">
        <v>115</v>
      </c>
      <c r="AD199" s="127" t="s">
        <v>115</v>
      </c>
      <c r="AE199" s="127" t="s">
        <v>115</v>
      </c>
      <c r="AF199" s="127" t="s">
        <v>115</v>
      </c>
      <c r="AG199" s="127" t="s">
        <v>115</v>
      </c>
      <c r="AH199" s="123">
        <v>0</v>
      </c>
      <c r="AI199" s="123">
        <v>0</v>
      </c>
      <c r="AJ199" s="123">
        <v>0</v>
      </c>
      <c r="AK199" s="123">
        <v>0</v>
      </c>
      <c r="AL199" s="123">
        <v>60</v>
      </c>
      <c r="AN199" s="123">
        <f t="shared" si="3"/>
        <v>60</v>
      </c>
      <c r="AO199" s="123" t="s">
        <v>188</v>
      </c>
    </row>
    <row r="200" spans="1:44" x14ac:dyDescent="0.2">
      <c r="A200" s="123" t="s">
        <v>3361</v>
      </c>
      <c r="B200" s="123" t="s">
        <v>3362</v>
      </c>
      <c r="C200" s="123">
        <v>4</v>
      </c>
      <c r="D200" s="123">
        <v>2</v>
      </c>
      <c r="E200" s="123" t="s">
        <v>3171</v>
      </c>
      <c r="F200" s="125">
        <v>43577</v>
      </c>
      <c r="G200" s="125" t="s">
        <v>4027</v>
      </c>
      <c r="H200" s="125" t="s">
        <v>4752</v>
      </c>
      <c r="I200" s="171">
        <v>4.3750000000000004E-2</v>
      </c>
      <c r="J200" s="173">
        <v>7.291666666666667E-4</v>
      </c>
      <c r="K200" s="129">
        <v>63</v>
      </c>
      <c r="L200" s="123" t="s">
        <v>101</v>
      </c>
      <c r="M200" s="123" t="s">
        <v>670</v>
      </c>
      <c r="N200" s="123" t="s">
        <v>102</v>
      </c>
      <c r="O200" s="123" t="s">
        <v>115</v>
      </c>
      <c r="P200" s="123">
        <v>1</v>
      </c>
      <c r="Q200" s="123">
        <v>0</v>
      </c>
      <c r="R200" s="123">
        <v>0</v>
      </c>
      <c r="S200" s="123" t="s">
        <v>176</v>
      </c>
      <c r="T200" s="127" t="s">
        <v>24</v>
      </c>
      <c r="U200" s="127" t="s">
        <v>122</v>
      </c>
      <c r="V200" s="127" t="s">
        <v>115</v>
      </c>
      <c r="W200" s="127"/>
      <c r="X200" s="127"/>
      <c r="Y200" s="127"/>
      <c r="Z200" s="127" t="s">
        <v>115</v>
      </c>
      <c r="AA200" s="127" t="s">
        <v>115</v>
      </c>
      <c r="AB200" s="127" t="s">
        <v>115</v>
      </c>
      <c r="AC200" s="127" t="s">
        <v>115</v>
      </c>
      <c r="AD200" s="127" t="s">
        <v>115</v>
      </c>
      <c r="AE200" s="127" t="s">
        <v>115</v>
      </c>
      <c r="AF200" s="127" t="s">
        <v>115</v>
      </c>
      <c r="AG200" s="127" t="s">
        <v>115</v>
      </c>
      <c r="AH200" s="123">
        <v>0</v>
      </c>
      <c r="AI200" s="123">
        <v>0</v>
      </c>
      <c r="AJ200" s="123">
        <v>0</v>
      </c>
      <c r="AK200" s="123">
        <v>0</v>
      </c>
      <c r="AL200" s="123">
        <v>31</v>
      </c>
      <c r="AN200" s="123">
        <f t="shared" si="3"/>
        <v>31</v>
      </c>
      <c r="AO200" s="123" t="s">
        <v>188</v>
      </c>
    </row>
    <row r="201" spans="1:44" x14ac:dyDescent="0.2">
      <c r="A201" s="123" t="s">
        <v>3369</v>
      </c>
      <c r="B201" s="123" t="s">
        <v>3370</v>
      </c>
      <c r="C201" s="123">
        <v>8</v>
      </c>
      <c r="D201" s="123">
        <v>1</v>
      </c>
      <c r="E201" s="123" t="s">
        <v>3171</v>
      </c>
      <c r="F201" s="125">
        <v>43577</v>
      </c>
      <c r="G201" s="125" t="s">
        <v>4027</v>
      </c>
      <c r="H201" s="125" t="s">
        <v>4752</v>
      </c>
      <c r="I201" s="171">
        <v>1.0416666666666666E-2</v>
      </c>
      <c r="J201" s="173">
        <v>1.7361111111111112E-4</v>
      </c>
      <c r="K201" s="129">
        <v>15</v>
      </c>
      <c r="L201" s="123" t="s">
        <v>101</v>
      </c>
      <c r="M201" s="123" t="s">
        <v>670</v>
      </c>
      <c r="N201" s="123" t="s">
        <v>102</v>
      </c>
      <c r="O201" s="123" t="s">
        <v>115</v>
      </c>
      <c r="P201" s="123">
        <v>1</v>
      </c>
      <c r="Q201" s="123">
        <v>0</v>
      </c>
      <c r="R201" s="123">
        <v>0</v>
      </c>
      <c r="S201" s="123" t="s">
        <v>176</v>
      </c>
      <c r="T201" s="127" t="s">
        <v>24</v>
      </c>
      <c r="U201" s="127" t="s">
        <v>122</v>
      </c>
      <c r="V201" s="127" t="s">
        <v>115</v>
      </c>
      <c r="W201" s="127"/>
      <c r="X201" s="127"/>
      <c r="Y201" s="127"/>
      <c r="Z201" s="127" t="s">
        <v>115</v>
      </c>
      <c r="AA201" s="127" t="s">
        <v>115</v>
      </c>
      <c r="AB201" s="127" t="s">
        <v>115</v>
      </c>
      <c r="AC201" s="127" t="s">
        <v>115</v>
      </c>
      <c r="AD201" s="127" t="s">
        <v>115</v>
      </c>
      <c r="AE201" s="127" t="s">
        <v>115</v>
      </c>
      <c r="AF201" s="127" t="s">
        <v>115</v>
      </c>
      <c r="AG201" s="127" t="s">
        <v>115</v>
      </c>
      <c r="AH201" s="123">
        <v>0</v>
      </c>
      <c r="AI201" s="123">
        <v>0</v>
      </c>
      <c r="AJ201" s="123">
        <v>0</v>
      </c>
      <c r="AK201" s="123">
        <v>0</v>
      </c>
      <c r="AL201" s="123">
        <v>15</v>
      </c>
      <c r="AN201" s="123">
        <f t="shared" si="3"/>
        <v>15</v>
      </c>
      <c r="AO201" s="123" t="s">
        <v>188</v>
      </c>
    </row>
    <row r="202" spans="1:44" x14ac:dyDescent="0.2">
      <c r="A202" s="123" t="s">
        <v>3379</v>
      </c>
      <c r="B202" s="123" t="s">
        <v>3380</v>
      </c>
      <c r="C202" s="123">
        <v>12</v>
      </c>
      <c r="D202" s="123">
        <v>1</v>
      </c>
      <c r="E202" s="123" t="s">
        <v>3171</v>
      </c>
      <c r="F202" s="125">
        <v>43577</v>
      </c>
      <c r="G202" s="125" t="s">
        <v>4027</v>
      </c>
      <c r="H202" s="125" t="s">
        <v>4752</v>
      </c>
      <c r="I202" s="171">
        <v>1.9444444444444445E-2</v>
      </c>
      <c r="J202" s="173">
        <v>3.2407407407407406E-4</v>
      </c>
      <c r="K202" s="129">
        <v>28</v>
      </c>
      <c r="L202" s="123" t="s">
        <v>101</v>
      </c>
      <c r="M202" s="123" t="s">
        <v>670</v>
      </c>
      <c r="N202" s="123" t="s">
        <v>102</v>
      </c>
      <c r="O202" s="123" t="s">
        <v>23</v>
      </c>
      <c r="P202" s="123">
        <v>1</v>
      </c>
      <c r="Q202" s="123">
        <v>1</v>
      </c>
      <c r="R202" s="123">
        <v>0</v>
      </c>
      <c r="S202" s="123" t="s">
        <v>176</v>
      </c>
      <c r="T202" s="127" t="s">
        <v>24</v>
      </c>
      <c r="U202" s="127" t="s">
        <v>709</v>
      </c>
      <c r="V202" s="127" t="s">
        <v>115</v>
      </c>
      <c r="W202" s="127"/>
      <c r="X202" s="127"/>
      <c r="Y202" s="127"/>
      <c r="Z202" s="127" t="s">
        <v>115</v>
      </c>
      <c r="AA202" s="127" t="s">
        <v>115</v>
      </c>
      <c r="AB202" s="127" t="s">
        <v>115</v>
      </c>
      <c r="AC202" s="127" t="s">
        <v>115</v>
      </c>
      <c r="AD202" s="127" t="s">
        <v>115</v>
      </c>
      <c r="AE202" s="123">
        <v>63.722259999999999</v>
      </c>
      <c r="AF202" s="123">
        <v>148.94954000000001</v>
      </c>
      <c r="AG202" s="127" t="s">
        <v>115</v>
      </c>
      <c r="AH202" s="123">
        <v>13</v>
      </c>
      <c r="AI202" s="123">
        <v>0</v>
      </c>
      <c r="AJ202" s="123">
        <v>13</v>
      </c>
      <c r="AK202" s="123">
        <v>0</v>
      </c>
      <c r="AL202" s="123">
        <v>15</v>
      </c>
      <c r="AN202" s="123">
        <f t="shared" si="3"/>
        <v>28</v>
      </c>
      <c r="AO202" s="123" t="s">
        <v>165</v>
      </c>
      <c r="AQ202" s="123">
        <v>7</v>
      </c>
      <c r="AR202" s="123">
        <v>0</v>
      </c>
    </row>
    <row r="203" spans="1:44" x14ac:dyDescent="0.2">
      <c r="A203" s="123" t="s">
        <v>3374</v>
      </c>
      <c r="B203" s="123" t="s">
        <v>3375</v>
      </c>
      <c r="C203" s="123">
        <v>10</v>
      </c>
      <c r="D203" s="123">
        <v>1</v>
      </c>
      <c r="E203" s="123" t="s">
        <v>3171</v>
      </c>
      <c r="F203" s="125">
        <v>43577</v>
      </c>
      <c r="G203" s="125" t="s">
        <v>4027</v>
      </c>
      <c r="H203" s="125" t="s">
        <v>4752</v>
      </c>
      <c r="I203" s="171">
        <v>3.2638888888888891E-2</v>
      </c>
      <c r="J203" s="173">
        <v>5.4398148148148144E-4</v>
      </c>
      <c r="K203" s="129">
        <v>47</v>
      </c>
      <c r="L203" s="123" t="s">
        <v>101</v>
      </c>
      <c r="M203" s="123" t="s">
        <v>670</v>
      </c>
      <c r="N203" s="123" t="s">
        <v>102</v>
      </c>
      <c r="O203" s="123" t="s">
        <v>115</v>
      </c>
      <c r="P203" s="123">
        <v>2</v>
      </c>
      <c r="Q203" s="123">
        <v>0</v>
      </c>
      <c r="R203" s="123">
        <v>0</v>
      </c>
      <c r="S203" s="123" t="s">
        <v>176</v>
      </c>
      <c r="T203" s="127" t="s">
        <v>24</v>
      </c>
      <c r="U203" s="127" t="s">
        <v>122</v>
      </c>
      <c r="V203" s="127" t="s">
        <v>115</v>
      </c>
      <c r="W203" s="127"/>
      <c r="X203" s="127"/>
      <c r="Y203" s="127"/>
      <c r="Z203" s="127" t="s">
        <v>115</v>
      </c>
      <c r="AA203" s="127" t="s">
        <v>115</v>
      </c>
      <c r="AB203" s="127" t="s">
        <v>115</v>
      </c>
      <c r="AC203" s="127" t="s">
        <v>115</v>
      </c>
      <c r="AD203" s="127" t="s">
        <v>115</v>
      </c>
      <c r="AE203" s="127" t="s">
        <v>115</v>
      </c>
      <c r="AF203" s="127" t="s">
        <v>115</v>
      </c>
      <c r="AG203" s="127" t="s">
        <v>115</v>
      </c>
      <c r="AH203" s="123">
        <v>0</v>
      </c>
      <c r="AI203" s="123">
        <v>0</v>
      </c>
      <c r="AJ203" s="123">
        <v>0</v>
      </c>
      <c r="AK203" s="123">
        <v>0</v>
      </c>
      <c r="AL203" s="123">
        <v>47</v>
      </c>
      <c r="AN203" s="123">
        <f t="shared" si="3"/>
        <v>47</v>
      </c>
      <c r="AO203" s="123" t="s">
        <v>188</v>
      </c>
    </row>
    <row r="204" spans="1:44" x14ac:dyDescent="0.2">
      <c r="A204" s="123" t="s">
        <v>3381</v>
      </c>
      <c r="B204" s="123" t="s">
        <v>3382</v>
      </c>
      <c r="C204" s="123">
        <v>13</v>
      </c>
      <c r="D204" s="123">
        <v>1</v>
      </c>
      <c r="E204" s="123" t="s">
        <v>3171</v>
      </c>
      <c r="F204" s="125">
        <v>43577</v>
      </c>
      <c r="G204" s="125" t="s">
        <v>4027</v>
      </c>
      <c r="H204" s="125" t="s">
        <v>4752</v>
      </c>
      <c r="I204" s="171">
        <v>3.9583333333333331E-2</v>
      </c>
      <c r="J204" s="173">
        <v>6.5972222222222213E-4</v>
      </c>
      <c r="K204" s="129">
        <v>57</v>
      </c>
      <c r="L204" s="123" t="s">
        <v>101</v>
      </c>
      <c r="M204" s="123" t="s">
        <v>670</v>
      </c>
      <c r="N204" s="123" t="s">
        <v>102</v>
      </c>
      <c r="O204" s="123" t="s">
        <v>115</v>
      </c>
      <c r="P204" s="123">
        <v>2</v>
      </c>
      <c r="Q204" s="123">
        <v>0</v>
      </c>
      <c r="R204" s="123">
        <v>0</v>
      </c>
      <c r="S204" s="123" t="s">
        <v>176</v>
      </c>
      <c r="T204" s="127" t="s">
        <v>24</v>
      </c>
      <c r="U204" s="127" t="s">
        <v>122</v>
      </c>
      <c r="V204" s="127" t="s">
        <v>115</v>
      </c>
      <c r="W204" s="127"/>
      <c r="X204" s="127"/>
      <c r="Y204" s="127"/>
      <c r="Z204" s="127" t="s">
        <v>115</v>
      </c>
      <c r="AA204" s="127" t="s">
        <v>115</v>
      </c>
      <c r="AB204" s="127" t="s">
        <v>115</v>
      </c>
      <c r="AC204" s="127" t="s">
        <v>115</v>
      </c>
      <c r="AD204" s="127" t="s">
        <v>115</v>
      </c>
      <c r="AE204" s="127" t="s">
        <v>115</v>
      </c>
      <c r="AF204" s="127" t="s">
        <v>115</v>
      </c>
      <c r="AG204" s="127" t="s">
        <v>115</v>
      </c>
      <c r="AH204" s="123">
        <v>0</v>
      </c>
      <c r="AI204" s="123">
        <v>0</v>
      </c>
      <c r="AJ204" s="123">
        <v>0</v>
      </c>
      <c r="AK204" s="123">
        <v>0</v>
      </c>
      <c r="AL204" s="123">
        <v>44</v>
      </c>
      <c r="AN204" s="123">
        <f t="shared" si="3"/>
        <v>44</v>
      </c>
      <c r="AO204" s="123" t="s">
        <v>188</v>
      </c>
    </row>
    <row r="205" spans="1:44" x14ac:dyDescent="0.2">
      <c r="A205" s="123" t="s">
        <v>3363</v>
      </c>
      <c r="B205" s="123" t="s">
        <v>3364</v>
      </c>
      <c r="C205" s="123">
        <v>5</v>
      </c>
      <c r="D205" s="123">
        <v>1</v>
      </c>
      <c r="E205" s="123" t="s">
        <v>3171</v>
      </c>
      <c r="F205" s="125">
        <v>43577</v>
      </c>
      <c r="G205" s="125" t="s">
        <v>4027</v>
      </c>
      <c r="H205" s="125" t="s">
        <v>4752</v>
      </c>
      <c r="I205" s="171">
        <v>2.4999999999999998E-2</v>
      </c>
      <c r="J205" s="173">
        <v>4.1666666666666669E-4</v>
      </c>
      <c r="K205" s="129">
        <v>36</v>
      </c>
      <c r="L205" s="123" t="s">
        <v>101</v>
      </c>
      <c r="M205" s="123" t="s">
        <v>670</v>
      </c>
      <c r="N205" s="123" t="s">
        <v>102</v>
      </c>
      <c r="O205" s="123" t="s">
        <v>115</v>
      </c>
      <c r="P205" s="123">
        <v>2</v>
      </c>
      <c r="Q205" s="123">
        <v>0</v>
      </c>
      <c r="R205" s="123">
        <v>0</v>
      </c>
      <c r="S205" s="123" t="s">
        <v>176</v>
      </c>
      <c r="T205" s="127" t="s">
        <v>24</v>
      </c>
      <c r="U205" s="127" t="s">
        <v>122</v>
      </c>
      <c r="V205" s="127" t="s">
        <v>115</v>
      </c>
      <c r="W205" s="127"/>
      <c r="X205" s="127"/>
      <c r="Y205" s="127"/>
      <c r="Z205" s="127" t="s">
        <v>115</v>
      </c>
      <c r="AA205" s="127" t="s">
        <v>115</v>
      </c>
      <c r="AB205" s="127" t="s">
        <v>115</v>
      </c>
      <c r="AC205" s="127" t="s">
        <v>115</v>
      </c>
      <c r="AD205" s="127" t="s">
        <v>115</v>
      </c>
      <c r="AE205" s="127" t="s">
        <v>115</v>
      </c>
      <c r="AF205" s="127" t="s">
        <v>115</v>
      </c>
      <c r="AG205" s="127" t="s">
        <v>115</v>
      </c>
      <c r="AH205" s="123">
        <v>0</v>
      </c>
      <c r="AI205" s="123">
        <v>0</v>
      </c>
      <c r="AJ205" s="123">
        <v>0</v>
      </c>
      <c r="AK205" s="123">
        <v>0</v>
      </c>
      <c r="AL205" s="123">
        <v>36</v>
      </c>
      <c r="AN205" s="123">
        <f t="shared" si="3"/>
        <v>36</v>
      </c>
      <c r="AO205" s="123" t="s">
        <v>188</v>
      </c>
    </row>
    <row r="206" spans="1:44" x14ac:dyDescent="0.2">
      <c r="A206" s="123" t="s">
        <v>3397</v>
      </c>
      <c r="B206" s="123" t="s">
        <v>3398</v>
      </c>
      <c r="C206" s="123">
        <v>20</v>
      </c>
      <c r="D206" s="123">
        <v>1</v>
      </c>
      <c r="E206" s="123" t="s">
        <v>3171</v>
      </c>
      <c r="F206" s="125">
        <v>43577</v>
      </c>
      <c r="G206" s="125" t="s">
        <v>4027</v>
      </c>
      <c r="H206" s="125" t="s">
        <v>4752</v>
      </c>
      <c r="I206" s="171">
        <v>4.3055555555555562E-2</v>
      </c>
      <c r="J206" s="173">
        <v>7.175925925925927E-4</v>
      </c>
      <c r="K206" s="129">
        <v>62</v>
      </c>
      <c r="L206" s="123" t="s">
        <v>101</v>
      </c>
      <c r="M206" s="123" t="s">
        <v>670</v>
      </c>
      <c r="N206" s="123" t="s">
        <v>102</v>
      </c>
      <c r="O206" s="123" t="s">
        <v>115</v>
      </c>
      <c r="P206" s="123">
        <v>3</v>
      </c>
      <c r="Q206" s="123">
        <v>0</v>
      </c>
      <c r="R206" s="123">
        <v>0</v>
      </c>
      <c r="S206" s="123" t="s">
        <v>176</v>
      </c>
      <c r="T206" s="127" t="s">
        <v>4786</v>
      </c>
      <c r="U206" s="127" t="s">
        <v>122</v>
      </c>
      <c r="V206" s="127" t="s">
        <v>115</v>
      </c>
      <c r="W206" s="127"/>
      <c r="X206" s="127"/>
      <c r="Y206" s="127"/>
      <c r="Z206" s="127" t="s">
        <v>115</v>
      </c>
      <c r="AA206" s="127" t="s">
        <v>115</v>
      </c>
      <c r="AB206" s="127" t="s">
        <v>115</v>
      </c>
      <c r="AC206" s="127" t="s">
        <v>115</v>
      </c>
      <c r="AD206" s="127" t="s">
        <v>115</v>
      </c>
      <c r="AE206" s="127" t="s">
        <v>115</v>
      </c>
      <c r="AF206" s="127" t="s">
        <v>115</v>
      </c>
      <c r="AG206" s="127" t="s">
        <v>115</v>
      </c>
      <c r="AH206" s="123">
        <v>0</v>
      </c>
      <c r="AI206" s="123">
        <v>0</v>
      </c>
      <c r="AJ206" s="123">
        <v>0</v>
      </c>
      <c r="AK206" s="123">
        <v>0</v>
      </c>
      <c r="AL206" s="123">
        <v>52</v>
      </c>
      <c r="AN206" s="123">
        <f t="shared" si="3"/>
        <v>52</v>
      </c>
      <c r="AO206" s="123" t="s">
        <v>188</v>
      </c>
    </row>
    <row r="207" spans="1:44" x14ac:dyDescent="0.2">
      <c r="A207" s="123" t="s">
        <v>3361</v>
      </c>
      <c r="B207" s="123" t="s">
        <v>3362</v>
      </c>
      <c r="C207" s="123">
        <v>4</v>
      </c>
      <c r="D207" s="123">
        <v>1</v>
      </c>
      <c r="E207" s="123" t="s">
        <v>3171</v>
      </c>
      <c r="F207" s="125">
        <v>43577</v>
      </c>
      <c r="G207" s="125" t="s">
        <v>4027</v>
      </c>
      <c r="H207" s="125" t="s">
        <v>4752</v>
      </c>
      <c r="I207" s="171">
        <v>4.3750000000000004E-2</v>
      </c>
      <c r="J207" s="173">
        <v>7.291666666666667E-4</v>
      </c>
      <c r="K207" s="129">
        <v>63</v>
      </c>
      <c r="L207" s="123" t="s">
        <v>101</v>
      </c>
      <c r="M207" s="123" t="s">
        <v>670</v>
      </c>
      <c r="N207" s="123" t="s">
        <v>102</v>
      </c>
      <c r="O207" s="123" t="s">
        <v>115</v>
      </c>
      <c r="P207" s="123">
        <v>1</v>
      </c>
      <c r="Q207" s="123">
        <v>0</v>
      </c>
      <c r="R207" s="123">
        <v>0</v>
      </c>
      <c r="S207" s="123" t="s">
        <v>598</v>
      </c>
      <c r="T207" s="127" t="s">
        <v>2437</v>
      </c>
      <c r="U207" s="127" t="s">
        <v>122</v>
      </c>
      <c r="V207" s="127" t="s">
        <v>115</v>
      </c>
      <c r="W207" s="127"/>
      <c r="X207" s="127"/>
      <c r="Y207" s="127"/>
      <c r="Z207" s="127" t="s">
        <v>115</v>
      </c>
      <c r="AA207" s="127" t="s">
        <v>115</v>
      </c>
      <c r="AB207" s="127" t="s">
        <v>115</v>
      </c>
      <c r="AC207" s="127" t="s">
        <v>115</v>
      </c>
      <c r="AD207" s="127" t="s">
        <v>115</v>
      </c>
      <c r="AE207" s="127" t="s">
        <v>115</v>
      </c>
      <c r="AF207" s="127" t="s">
        <v>115</v>
      </c>
      <c r="AG207" s="127" t="s">
        <v>115</v>
      </c>
      <c r="AH207" s="123">
        <v>0</v>
      </c>
      <c r="AI207" s="123">
        <v>0</v>
      </c>
      <c r="AJ207" s="123">
        <v>0</v>
      </c>
      <c r="AK207" s="123">
        <v>0</v>
      </c>
      <c r="AL207" s="123">
        <v>30</v>
      </c>
      <c r="AN207" s="123">
        <f t="shared" si="3"/>
        <v>30</v>
      </c>
      <c r="AO207" s="123" t="s">
        <v>188</v>
      </c>
    </row>
    <row r="208" spans="1:44" x14ac:dyDescent="0.2">
      <c r="A208" s="123" t="s">
        <v>3595</v>
      </c>
      <c r="B208" s="123" t="s">
        <v>3596</v>
      </c>
      <c r="C208" s="123">
        <v>39</v>
      </c>
      <c r="D208" s="123">
        <v>1</v>
      </c>
      <c r="E208" s="123" t="s">
        <v>3171</v>
      </c>
      <c r="F208" s="125">
        <v>43580</v>
      </c>
      <c r="G208" s="125" t="s">
        <v>4027</v>
      </c>
      <c r="H208" s="125" t="s">
        <v>4752</v>
      </c>
      <c r="I208" s="171">
        <v>2.2222222222222223E-2</v>
      </c>
      <c r="J208" s="173">
        <v>3.7037037037037035E-4</v>
      </c>
      <c r="K208" s="129">
        <v>32</v>
      </c>
      <c r="L208" s="123" t="s">
        <v>101</v>
      </c>
      <c r="M208" s="123" t="s">
        <v>670</v>
      </c>
      <c r="N208" s="123" t="s">
        <v>102</v>
      </c>
      <c r="O208" s="123" t="s">
        <v>115</v>
      </c>
      <c r="P208" s="123">
        <v>0</v>
      </c>
      <c r="Q208" s="123">
        <v>0</v>
      </c>
      <c r="R208" s="123">
        <v>0</v>
      </c>
      <c r="T208" s="127" t="s">
        <v>115</v>
      </c>
      <c r="U208" s="127" t="s">
        <v>115</v>
      </c>
      <c r="V208" s="127" t="s">
        <v>115</v>
      </c>
      <c r="W208" s="127"/>
      <c r="X208" s="127"/>
      <c r="Y208" s="127"/>
      <c r="Z208" s="127" t="s">
        <v>115</v>
      </c>
      <c r="AA208" s="127" t="s">
        <v>115</v>
      </c>
      <c r="AB208" s="127" t="s">
        <v>115</v>
      </c>
      <c r="AC208" s="127" t="s">
        <v>115</v>
      </c>
      <c r="AD208" s="127" t="s">
        <v>115</v>
      </c>
      <c r="AE208" s="127" t="s">
        <v>115</v>
      </c>
      <c r="AF208" s="127" t="s">
        <v>115</v>
      </c>
      <c r="AG208" s="127" t="s">
        <v>115</v>
      </c>
      <c r="AH208" s="123">
        <v>0</v>
      </c>
      <c r="AI208" s="123">
        <v>0</v>
      </c>
      <c r="AJ208" s="123">
        <v>0</v>
      </c>
      <c r="AK208" s="123">
        <v>0</v>
      </c>
      <c r="AL208" s="123">
        <v>31</v>
      </c>
      <c r="AN208" s="123">
        <f t="shared" si="3"/>
        <v>31</v>
      </c>
      <c r="AO208" s="123" t="s">
        <v>188</v>
      </c>
    </row>
    <row r="209" spans="1:44" x14ac:dyDescent="0.2">
      <c r="A209" s="123" t="s">
        <v>3701</v>
      </c>
      <c r="B209" s="123" t="s">
        <v>3702</v>
      </c>
      <c r="C209" s="123">
        <v>8</v>
      </c>
      <c r="D209" s="123">
        <v>1</v>
      </c>
      <c r="E209" s="123" t="s">
        <v>3171</v>
      </c>
      <c r="F209" s="125">
        <v>43585</v>
      </c>
      <c r="G209" s="125" t="s">
        <v>4027</v>
      </c>
      <c r="H209" s="125" t="s">
        <v>4752</v>
      </c>
      <c r="I209" s="171">
        <v>2.013888888888889E-2</v>
      </c>
      <c r="J209" s="173">
        <v>3.3564814814814812E-4</v>
      </c>
      <c r="K209" s="129">
        <v>29</v>
      </c>
      <c r="L209" s="123" t="s">
        <v>3626</v>
      </c>
      <c r="M209" s="123" t="s">
        <v>670</v>
      </c>
      <c r="N209" s="123" t="s">
        <v>102</v>
      </c>
      <c r="O209" s="123" t="s">
        <v>23</v>
      </c>
      <c r="P209" s="123">
        <v>1</v>
      </c>
      <c r="Q209" s="123">
        <v>0</v>
      </c>
      <c r="R209" s="123">
        <v>0</v>
      </c>
      <c r="S209" s="123" t="s">
        <v>176</v>
      </c>
      <c r="T209" s="127" t="s">
        <v>24</v>
      </c>
      <c r="U209" s="127" t="s">
        <v>487</v>
      </c>
      <c r="V209" s="127" t="s">
        <v>115</v>
      </c>
      <c r="W209" s="127"/>
      <c r="X209" s="127"/>
      <c r="Y209" s="127"/>
      <c r="Z209" s="127" t="s">
        <v>115</v>
      </c>
      <c r="AA209" s="127" t="s">
        <v>115</v>
      </c>
      <c r="AB209" s="127" t="s">
        <v>115</v>
      </c>
      <c r="AC209" s="127" t="s">
        <v>115</v>
      </c>
      <c r="AD209" s="127" t="s">
        <v>115</v>
      </c>
      <c r="AE209" s="127" t="s">
        <v>115</v>
      </c>
      <c r="AF209" s="127" t="s">
        <v>115</v>
      </c>
      <c r="AG209" s="127" t="s">
        <v>115</v>
      </c>
      <c r="AH209" s="123">
        <v>15</v>
      </c>
      <c r="AI209" s="123">
        <v>14</v>
      </c>
      <c r="AJ209" s="123">
        <v>0</v>
      </c>
      <c r="AK209" s="123">
        <v>29</v>
      </c>
      <c r="AL209" s="123">
        <v>0</v>
      </c>
      <c r="AN209" s="123">
        <f t="shared" si="3"/>
        <v>29</v>
      </c>
      <c r="AO209" s="123" t="s">
        <v>188</v>
      </c>
    </row>
    <row r="210" spans="1:44" x14ac:dyDescent="0.2">
      <c r="A210" s="123" t="s">
        <v>3711</v>
      </c>
      <c r="B210" s="123" t="s">
        <v>3712</v>
      </c>
      <c r="C210" s="123">
        <v>13</v>
      </c>
      <c r="D210" s="123">
        <v>1</v>
      </c>
      <c r="E210" s="123" t="s">
        <v>3171</v>
      </c>
      <c r="F210" s="125">
        <v>43585</v>
      </c>
      <c r="G210" s="125" t="s">
        <v>4027</v>
      </c>
      <c r="H210" s="125" t="s">
        <v>4752</v>
      </c>
      <c r="I210" s="171">
        <v>1.4583333333333332E-2</v>
      </c>
      <c r="J210" s="173">
        <v>2.4305555555555552E-4</v>
      </c>
      <c r="K210" s="129">
        <v>21</v>
      </c>
      <c r="L210" s="123" t="s">
        <v>3626</v>
      </c>
      <c r="M210" s="123" t="s">
        <v>670</v>
      </c>
      <c r="N210" s="123" t="s">
        <v>102</v>
      </c>
      <c r="O210" s="123" t="s">
        <v>23</v>
      </c>
      <c r="P210" s="123">
        <v>1</v>
      </c>
      <c r="Q210" s="123" t="s">
        <v>24</v>
      </c>
      <c r="R210" s="123">
        <v>0</v>
      </c>
      <c r="S210" s="123" t="s">
        <v>176</v>
      </c>
      <c r="T210" s="127" t="s">
        <v>24</v>
      </c>
      <c r="U210" s="127" t="s">
        <v>1035</v>
      </c>
      <c r="V210" s="127" t="s">
        <v>115</v>
      </c>
      <c r="W210" s="127"/>
      <c r="X210" s="127"/>
      <c r="Y210" s="127"/>
      <c r="Z210" s="127" t="s">
        <v>115</v>
      </c>
      <c r="AA210" s="127" t="s">
        <v>115</v>
      </c>
      <c r="AB210" s="127" t="s">
        <v>115</v>
      </c>
      <c r="AC210" s="127" t="s">
        <v>115</v>
      </c>
      <c r="AD210" s="127" t="s">
        <v>115</v>
      </c>
      <c r="AE210" s="127" t="s">
        <v>115</v>
      </c>
      <c r="AF210" s="127" t="s">
        <v>115</v>
      </c>
      <c r="AG210" s="127" t="s">
        <v>115</v>
      </c>
      <c r="AH210" s="123">
        <v>0</v>
      </c>
      <c r="AI210" s="123">
        <v>6</v>
      </c>
      <c r="AJ210" s="123">
        <v>0</v>
      </c>
      <c r="AK210" s="123">
        <v>6</v>
      </c>
      <c r="AL210" s="123">
        <v>0</v>
      </c>
      <c r="AN210" s="123">
        <f t="shared" si="3"/>
        <v>6</v>
      </c>
      <c r="AO210" s="123" t="s">
        <v>165</v>
      </c>
      <c r="AQ210" s="123" t="s">
        <v>176</v>
      </c>
    </row>
    <row r="211" spans="1:44" x14ac:dyDescent="0.2">
      <c r="A211" s="123" t="s">
        <v>3713</v>
      </c>
      <c r="B211" s="123" t="s">
        <v>3714</v>
      </c>
      <c r="C211" s="123">
        <v>14</v>
      </c>
      <c r="D211" s="123">
        <v>1</v>
      </c>
      <c r="E211" s="123" t="s">
        <v>3171</v>
      </c>
      <c r="F211" s="125">
        <v>43585</v>
      </c>
      <c r="G211" s="125" t="s">
        <v>4027</v>
      </c>
      <c r="H211" s="125" t="s">
        <v>4752</v>
      </c>
      <c r="I211" s="171">
        <v>1.9444444444444445E-2</v>
      </c>
      <c r="J211" s="173">
        <v>3.2407407407407406E-4</v>
      </c>
      <c r="K211" s="129">
        <v>28</v>
      </c>
      <c r="L211" s="123" t="s">
        <v>3626</v>
      </c>
      <c r="M211" s="123" t="s">
        <v>670</v>
      </c>
      <c r="N211" s="123" t="s">
        <v>102</v>
      </c>
      <c r="O211" s="123" t="s">
        <v>23</v>
      </c>
      <c r="P211" s="123">
        <v>1</v>
      </c>
      <c r="Q211" s="123" t="s">
        <v>24</v>
      </c>
      <c r="R211" s="123">
        <v>0</v>
      </c>
      <c r="S211" s="123" t="s">
        <v>176</v>
      </c>
      <c r="T211" s="127" t="s">
        <v>24</v>
      </c>
      <c r="U211" s="127" t="s">
        <v>1035</v>
      </c>
      <c r="V211" s="127" t="s">
        <v>115</v>
      </c>
      <c r="W211" s="127"/>
      <c r="X211" s="127"/>
      <c r="Y211" s="127"/>
      <c r="Z211" s="127" t="s">
        <v>115</v>
      </c>
      <c r="AA211" s="127" t="s">
        <v>115</v>
      </c>
      <c r="AB211" s="127" t="s">
        <v>115</v>
      </c>
      <c r="AC211" s="127" t="s">
        <v>115</v>
      </c>
      <c r="AD211" s="127" t="s">
        <v>115</v>
      </c>
      <c r="AE211" s="127" t="s">
        <v>115</v>
      </c>
      <c r="AF211" s="127" t="s">
        <v>115</v>
      </c>
      <c r="AG211" s="127" t="s">
        <v>115</v>
      </c>
      <c r="AH211" s="123">
        <v>0</v>
      </c>
      <c r="AI211" s="123">
        <v>16</v>
      </c>
      <c r="AJ211" s="123">
        <v>0</v>
      </c>
      <c r="AK211" s="123">
        <v>16</v>
      </c>
      <c r="AL211" s="123">
        <v>0</v>
      </c>
      <c r="AN211" s="123">
        <f t="shared" si="3"/>
        <v>16</v>
      </c>
      <c r="AO211" s="123" t="s">
        <v>165</v>
      </c>
      <c r="AQ211" s="123">
        <v>1</v>
      </c>
    </row>
    <row r="212" spans="1:44" x14ac:dyDescent="0.2">
      <c r="A212" s="123" t="s">
        <v>3703</v>
      </c>
      <c r="B212" s="123" t="s">
        <v>3704</v>
      </c>
      <c r="C212" s="123">
        <v>9</v>
      </c>
      <c r="D212" s="123">
        <v>1</v>
      </c>
      <c r="E212" s="123" t="s">
        <v>3171</v>
      </c>
      <c r="F212" s="125">
        <v>43585</v>
      </c>
      <c r="G212" s="125" t="s">
        <v>4027</v>
      </c>
      <c r="H212" s="125" t="s">
        <v>4752</v>
      </c>
      <c r="I212" s="171">
        <v>1.7361111111111112E-2</v>
      </c>
      <c r="J212" s="173">
        <v>2.8935185185185189E-4</v>
      </c>
      <c r="K212" s="129">
        <v>25</v>
      </c>
      <c r="L212" s="123" t="s">
        <v>3626</v>
      </c>
      <c r="M212" s="123" t="s">
        <v>670</v>
      </c>
      <c r="N212" s="123" t="s">
        <v>102</v>
      </c>
      <c r="O212" s="123" t="s">
        <v>115</v>
      </c>
      <c r="P212" s="123">
        <v>1</v>
      </c>
      <c r="Q212" s="123">
        <v>0</v>
      </c>
      <c r="R212" s="123">
        <v>0</v>
      </c>
      <c r="S212" s="123" t="s">
        <v>176</v>
      </c>
      <c r="T212" s="127" t="s">
        <v>24</v>
      </c>
      <c r="U212" s="127" t="s">
        <v>122</v>
      </c>
      <c r="V212" s="127" t="s">
        <v>115</v>
      </c>
      <c r="W212" s="127"/>
      <c r="X212" s="127"/>
      <c r="Y212" s="127"/>
      <c r="Z212" s="127" t="s">
        <v>115</v>
      </c>
      <c r="AA212" s="127" t="s">
        <v>115</v>
      </c>
      <c r="AB212" s="127" t="s">
        <v>115</v>
      </c>
      <c r="AC212" s="127" t="s">
        <v>115</v>
      </c>
      <c r="AD212" s="127" t="s">
        <v>115</v>
      </c>
      <c r="AE212" s="127" t="s">
        <v>115</v>
      </c>
      <c r="AF212" s="127" t="s">
        <v>115</v>
      </c>
      <c r="AG212" s="127" t="s">
        <v>115</v>
      </c>
      <c r="AH212" s="123">
        <v>0</v>
      </c>
      <c r="AI212" s="123">
        <v>0</v>
      </c>
      <c r="AJ212" s="123">
        <v>0</v>
      </c>
      <c r="AK212" s="123">
        <v>0</v>
      </c>
      <c r="AL212" s="123">
        <v>23</v>
      </c>
      <c r="AN212" s="123">
        <f t="shared" si="3"/>
        <v>23</v>
      </c>
      <c r="AO212" s="123" t="s">
        <v>188</v>
      </c>
    </row>
    <row r="213" spans="1:44" x14ac:dyDescent="0.2">
      <c r="A213" s="123" t="s">
        <v>3692</v>
      </c>
      <c r="B213" s="123" t="s">
        <v>3693</v>
      </c>
      <c r="C213" s="123">
        <v>4</v>
      </c>
      <c r="D213" s="123">
        <v>1</v>
      </c>
      <c r="E213" s="123" t="s">
        <v>3171</v>
      </c>
      <c r="F213" s="125">
        <v>43585</v>
      </c>
      <c r="G213" s="125" t="s">
        <v>4027</v>
      </c>
      <c r="H213" s="125" t="s">
        <v>4752</v>
      </c>
      <c r="I213" s="171">
        <v>1.8749999999999999E-2</v>
      </c>
      <c r="J213" s="173">
        <v>3.1250000000000001E-4</v>
      </c>
      <c r="K213" s="129">
        <v>27</v>
      </c>
      <c r="L213" s="123" t="s">
        <v>3626</v>
      </c>
      <c r="M213" s="123" t="s">
        <v>670</v>
      </c>
      <c r="N213" s="123" t="s">
        <v>102</v>
      </c>
      <c r="O213" s="123" t="s">
        <v>23</v>
      </c>
      <c r="P213" s="123">
        <v>1</v>
      </c>
      <c r="Q213" s="123">
        <v>1</v>
      </c>
      <c r="R213" s="123">
        <v>0</v>
      </c>
      <c r="S213" s="123" t="s">
        <v>176</v>
      </c>
      <c r="T213" s="127" t="s">
        <v>24</v>
      </c>
      <c r="U213" s="127" t="s">
        <v>709</v>
      </c>
      <c r="V213" s="127" t="s">
        <v>115</v>
      </c>
      <c r="W213" s="127"/>
      <c r="X213" s="127"/>
      <c r="Y213" s="127"/>
      <c r="Z213" s="127" t="s">
        <v>115</v>
      </c>
      <c r="AA213" s="127" t="s">
        <v>115</v>
      </c>
      <c r="AB213" s="127" t="s">
        <v>115</v>
      </c>
      <c r="AC213" s="127" t="s">
        <v>115</v>
      </c>
      <c r="AD213" s="127" t="s">
        <v>115</v>
      </c>
      <c r="AE213" s="124">
        <v>63.722760000000001</v>
      </c>
      <c r="AF213" s="124">
        <v>148.95087000000001</v>
      </c>
      <c r="AG213" s="127" t="s">
        <v>3720</v>
      </c>
      <c r="AH213" s="123">
        <v>15</v>
      </c>
      <c r="AI213" s="123">
        <v>0</v>
      </c>
      <c r="AJ213" s="123">
        <v>15</v>
      </c>
      <c r="AK213" s="123">
        <v>0</v>
      </c>
      <c r="AL213" s="123">
        <v>0</v>
      </c>
      <c r="AN213" s="123">
        <f t="shared" si="3"/>
        <v>15</v>
      </c>
      <c r="AO213" s="123" t="s">
        <v>188</v>
      </c>
      <c r="AP213" s="123" t="s">
        <v>3694</v>
      </c>
    </row>
    <row r="214" spans="1:44" x14ac:dyDescent="0.2">
      <c r="A214" s="123" t="s">
        <v>3705</v>
      </c>
      <c r="B214" s="123" t="s">
        <v>3706</v>
      </c>
      <c r="C214" s="123">
        <v>10</v>
      </c>
      <c r="D214" s="123">
        <v>1</v>
      </c>
      <c r="E214" s="123" t="s">
        <v>3171</v>
      </c>
      <c r="F214" s="125">
        <v>43585</v>
      </c>
      <c r="G214" s="125" t="s">
        <v>4027</v>
      </c>
      <c r="H214" s="125" t="s">
        <v>4752</v>
      </c>
      <c r="I214" s="171">
        <v>3.4722222222222224E-2</v>
      </c>
      <c r="J214" s="173">
        <v>5.7870370370370378E-4</v>
      </c>
      <c r="K214" s="129">
        <v>50</v>
      </c>
      <c r="L214" s="123" t="s">
        <v>3626</v>
      </c>
      <c r="M214" s="123" t="s">
        <v>670</v>
      </c>
      <c r="N214" s="123" t="s">
        <v>102</v>
      </c>
      <c r="O214" s="123" t="s">
        <v>115</v>
      </c>
      <c r="P214" s="123">
        <v>2</v>
      </c>
      <c r="Q214" s="123">
        <v>0</v>
      </c>
      <c r="R214" s="123">
        <v>0</v>
      </c>
      <c r="S214" s="123" t="s">
        <v>176</v>
      </c>
      <c r="T214" s="127" t="s">
        <v>24</v>
      </c>
      <c r="U214" s="127" t="s">
        <v>122</v>
      </c>
      <c r="V214" s="127" t="s">
        <v>115</v>
      </c>
      <c r="W214" s="127"/>
      <c r="X214" s="127"/>
      <c r="Y214" s="127"/>
      <c r="Z214" s="127" t="s">
        <v>115</v>
      </c>
      <c r="AA214" s="127" t="s">
        <v>115</v>
      </c>
      <c r="AB214" s="127" t="s">
        <v>115</v>
      </c>
      <c r="AC214" s="127" t="s">
        <v>115</v>
      </c>
      <c r="AD214" s="127" t="s">
        <v>115</v>
      </c>
      <c r="AE214" s="127" t="s">
        <v>115</v>
      </c>
      <c r="AF214" s="127" t="s">
        <v>115</v>
      </c>
      <c r="AG214" s="127" t="s">
        <v>115</v>
      </c>
      <c r="AH214" s="123">
        <v>0</v>
      </c>
      <c r="AI214" s="123">
        <v>0</v>
      </c>
      <c r="AJ214" s="123">
        <v>0</v>
      </c>
      <c r="AK214" s="123">
        <v>0</v>
      </c>
      <c r="AL214" s="123">
        <v>50</v>
      </c>
      <c r="AN214" s="123">
        <f t="shared" si="3"/>
        <v>50</v>
      </c>
      <c r="AO214" s="123" t="s">
        <v>188</v>
      </c>
    </row>
    <row r="215" spans="1:44" x14ac:dyDescent="0.2">
      <c r="A215" s="123" t="s">
        <v>3688</v>
      </c>
      <c r="B215" s="123" t="s">
        <v>3689</v>
      </c>
      <c r="C215" s="123">
        <v>2</v>
      </c>
      <c r="D215" s="123">
        <v>1</v>
      </c>
      <c r="E215" s="123" t="s">
        <v>3171</v>
      </c>
      <c r="F215" s="125">
        <v>43585</v>
      </c>
      <c r="G215" s="125" t="s">
        <v>4027</v>
      </c>
      <c r="H215" s="125" t="s">
        <v>4752</v>
      </c>
      <c r="I215" s="171">
        <v>1.5277777777777777E-2</v>
      </c>
      <c r="J215" s="173">
        <v>2.5462962962962961E-4</v>
      </c>
      <c r="K215" s="129">
        <v>22</v>
      </c>
      <c r="L215" s="123" t="s">
        <v>3626</v>
      </c>
      <c r="M215" s="123" t="s">
        <v>670</v>
      </c>
      <c r="N215" s="123" t="s">
        <v>102</v>
      </c>
      <c r="O215" s="123" t="s">
        <v>115</v>
      </c>
      <c r="P215" s="123">
        <v>1</v>
      </c>
      <c r="Q215" s="123">
        <v>0</v>
      </c>
      <c r="R215" s="123">
        <v>0</v>
      </c>
      <c r="S215" s="123" t="s">
        <v>14</v>
      </c>
      <c r="T215" s="127" t="s">
        <v>2557</v>
      </c>
      <c r="U215" s="127" t="s">
        <v>122</v>
      </c>
      <c r="V215" s="127" t="s">
        <v>115</v>
      </c>
      <c r="W215" s="127"/>
      <c r="X215" s="127"/>
      <c r="Y215" s="127"/>
      <c r="Z215" s="127" t="s">
        <v>115</v>
      </c>
      <c r="AA215" s="127" t="s">
        <v>115</v>
      </c>
      <c r="AB215" s="127" t="s">
        <v>115</v>
      </c>
      <c r="AC215" s="127" t="s">
        <v>115</v>
      </c>
      <c r="AD215" s="127" t="s">
        <v>115</v>
      </c>
      <c r="AE215" s="127" t="s">
        <v>115</v>
      </c>
      <c r="AF215" s="127" t="s">
        <v>115</v>
      </c>
      <c r="AG215" s="127" t="s">
        <v>115</v>
      </c>
      <c r="AH215" s="123">
        <v>0</v>
      </c>
      <c r="AI215" s="123">
        <v>0</v>
      </c>
      <c r="AJ215" s="123">
        <v>0</v>
      </c>
      <c r="AK215" s="123">
        <v>0</v>
      </c>
      <c r="AL215" s="123">
        <v>22</v>
      </c>
      <c r="AN215" s="123">
        <f t="shared" si="3"/>
        <v>22</v>
      </c>
      <c r="AO215" s="123" t="s">
        <v>188</v>
      </c>
    </row>
    <row r="216" spans="1:44" x14ac:dyDescent="0.2">
      <c r="A216" s="123" t="s">
        <v>3690</v>
      </c>
      <c r="B216" s="123" t="s">
        <v>3691</v>
      </c>
      <c r="C216" s="123">
        <v>3</v>
      </c>
      <c r="D216" s="123">
        <v>1</v>
      </c>
      <c r="E216" s="123" t="s">
        <v>3171</v>
      </c>
      <c r="F216" s="125">
        <v>43585</v>
      </c>
      <c r="G216" s="125" t="s">
        <v>4027</v>
      </c>
      <c r="H216" s="125" t="s">
        <v>4752</v>
      </c>
      <c r="I216" s="171">
        <v>9.0277777777777787E-3</v>
      </c>
      <c r="J216" s="173">
        <v>1.5046296296296297E-4</v>
      </c>
      <c r="K216" s="129">
        <v>13</v>
      </c>
      <c r="L216" s="123" t="s">
        <v>3626</v>
      </c>
      <c r="M216" s="123" t="s">
        <v>670</v>
      </c>
      <c r="N216" s="123" t="s">
        <v>102</v>
      </c>
      <c r="O216" s="123" t="s">
        <v>115</v>
      </c>
      <c r="P216" s="123">
        <v>0</v>
      </c>
      <c r="Q216" s="123">
        <v>0</v>
      </c>
      <c r="R216" s="123">
        <v>0</v>
      </c>
      <c r="T216" s="127" t="s">
        <v>115</v>
      </c>
      <c r="U216" s="127" t="s">
        <v>115</v>
      </c>
      <c r="V216" s="127" t="s">
        <v>115</v>
      </c>
      <c r="W216" s="127"/>
      <c r="X216" s="127"/>
      <c r="Y216" s="127"/>
      <c r="Z216" s="127" t="s">
        <v>115</v>
      </c>
      <c r="AA216" s="127" t="s">
        <v>115</v>
      </c>
      <c r="AB216" s="127" t="s">
        <v>115</v>
      </c>
      <c r="AC216" s="127" t="s">
        <v>115</v>
      </c>
      <c r="AD216" s="127" t="s">
        <v>115</v>
      </c>
      <c r="AE216" s="127" t="s">
        <v>115</v>
      </c>
      <c r="AF216" s="127" t="s">
        <v>115</v>
      </c>
      <c r="AG216" s="127" t="s">
        <v>115</v>
      </c>
      <c r="AH216" s="123">
        <v>0</v>
      </c>
      <c r="AI216" s="123">
        <v>0</v>
      </c>
      <c r="AJ216" s="123">
        <v>0</v>
      </c>
      <c r="AK216" s="123">
        <v>0</v>
      </c>
      <c r="AL216" s="123">
        <v>12</v>
      </c>
      <c r="AN216" s="123">
        <f t="shared" si="3"/>
        <v>12</v>
      </c>
      <c r="AO216" s="123" t="s">
        <v>188</v>
      </c>
    </row>
    <row r="217" spans="1:44" x14ac:dyDescent="0.2">
      <c r="A217" s="123" t="s">
        <v>3376</v>
      </c>
      <c r="B217" s="123" t="s">
        <v>3377</v>
      </c>
      <c r="C217" s="123">
        <v>11</v>
      </c>
      <c r="D217" s="123">
        <v>1</v>
      </c>
      <c r="E217" s="123" t="s">
        <v>3171</v>
      </c>
      <c r="F217" s="125">
        <v>43577</v>
      </c>
      <c r="G217" s="125" t="s">
        <v>4027</v>
      </c>
      <c r="H217" s="125" t="s">
        <v>4752</v>
      </c>
      <c r="I217" s="171">
        <v>3.888888888888889E-2</v>
      </c>
      <c r="J217" s="173">
        <v>6.4814814814814813E-4</v>
      </c>
      <c r="K217" s="129">
        <v>56</v>
      </c>
      <c r="L217" s="123" t="s">
        <v>101</v>
      </c>
      <c r="M217" s="123" t="s">
        <v>670</v>
      </c>
      <c r="N217" s="123" t="s">
        <v>102</v>
      </c>
      <c r="O217" s="123" t="s">
        <v>115</v>
      </c>
      <c r="P217" s="123" t="s">
        <v>24</v>
      </c>
      <c r="Q217" s="123">
        <v>0</v>
      </c>
      <c r="R217" s="123">
        <v>0</v>
      </c>
      <c r="T217" s="127" t="s">
        <v>115</v>
      </c>
      <c r="U217" s="127" t="s">
        <v>115</v>
      </c>
      <c r="V217" s="127" t="s">
        <v>115</v>
      </c>
      <c r="W217" s="127"/>
      <c r="X217" s="127"/>
      <c r="Y217" s="127"/>
      <c r="Z217" s="127" t="s">
        <v>115</v>
      </c>
      <c r="AA217" s="127" t="s">
        <v>115</v>
      </c>
      <c r="AB217" s="127" t="s">
        <v>115</v>
      </c>
      <c r="AC217" s="127" t="s">
        <v>115</v>
      </c>
      <c r="AD217" s="127" t="s">
        <v>115</v>
      </c>
      <c r="AE217" s="127" t="s">
        <v>115</v>
      </c>
      <c r="AF217" s="127" t="s">
        <v>115</v>
      </c>
      <c r="AG217" s="127" t="s">
        <v>115</v>
      </c>
      <c r="AH217" s="123">
        <v>0</v>
      </c>
      <c r="AI217" s="123">
        <v>0</v>
      </c>
      <c r="AJ217" s="123">
        <v>0</v>
      </c>
      <c r="AK217" s="123">
        <v>0</v>
      </c>
      <c r="AL217" s="123">
        <v>51</v>
      </c>
      <c r="AN217" s="123">
        <f t="shared" si="3"/>
        <v>51</v>
      </c>
      <c r="AO217" s="123" t="s">
        <v>188</v>
      </c>
    </row>
    <row r="218" spans="1:44" x14ac:dyDescent="0.2">
      <c r="A218" s="123" t="s">
        <v>3383</v>
      </c>
      <c r="B218" s="123" t="s">
        <v>3384</v>
      </c>
      <c r="C218" s="123">
        <v>14</v>
      </c>
      <c r="D218" s="123">
        <v>1</v>
      </c>
      <c r="E218" s="123" t="s">
        <v>3171</v>
      </c>
      <c r="F218" s="125">
        <v>43577</v>
      </c>
      <c r="G218" s="125" t="s">
        <v>4027</v>
      </c>
      <c r="H218" s="125" t="s">
        <v>4752</v>
      </c>
      <c r="I218" s="171">
        <v>1.3194444444444444E-2</v>
      </c>
      <c r="J218" s="173">
        <v>2.199074074074074E-4</v>
      </c>
      <c r="K218" s="129">
        <v>19</v>
      </c>
      <c r="L218" s="123" t="s">
        <v>101</v>
      </c>
      <c r="M218" s="123" t="s">
        <v>670</v>
      </c>
      <c r="N218" s="123" t="s">
        <v>102</v>
      </c>
      <c r="O218" s="123" t="s">
        <v>115</v>
      </c>
      <c r="P218" s="123" t="s">
        <v>24</v>
      </c>
      <c r="Q218" s="123">
        <v>0</v>
      </c>
      <c r="R218" s="123">
        <v>0</v>
      </c>
      <c r="T218" s="127" t="s">
        <v>115</v>
      </c>
      <c r="U218" s="127" t="s">
        <v>115</v>
      </c>
      <c r="V218" s="127" t="s">
        <v>115</v>
      </c>
      <c r="W218" s="127"/>
      <c r="X218" s="127"/>
      <c r="Y218" s="127"/>
      <c r="Z218" s="127" t="s">
        <v>115</v>
      </c>
      <c r="AA218" s="127" t="s">
        <v>115</v>
      </c>
      <c r="AB218" s="127" t="s">
        <v>115</v>
      </c>
      <c r="AC218" s="127" t="s">
        <v>115</v>
      </c>
      <c r="AD218" s="127" t="s">
        <v>115</v>
      </c>
      <c r="AE218" s="127" t="s">
        <v>115</v>
      </c>
      <c r="AF218" s="127" t="s">
        <v>115</v>
      </c>
      <c r="AG218" s="127" t="s">
        <v>115</v>
      </c>
      <c r="AH218" s="123">
        <v>0</v>
      </c>
      <c r="AI218" s="123">
        <v>0</v>
      </c>
      <c r="AJ218" s="123">
        <v>0</v>
      </c>
      <c r="AK218" s="123">
        <v>0</v>
      </c>
      <c r="AL218" s="123">
        <v>17</v>
      </c>
      <c r="AN218" s="123">
        <f t="shared" si="3"/>
        <v>17</v>
      </c>
      <c r="AO218" s="123" t="s">
        <v>188</v>
      </c>
    </row>
    <row r="219" spans="1:44" x14ac:dyDescent="0.2">
      <c r="A219" s="123" t="s">
        <v>3385</v>
      </c>
      <c r="B219" s="123" t="s">
        <v>3386</v>
      </c>
      <c r="C219" s="123">
        <v>15</v>
      </c>
      <c r="D219" s="123">
        <v>1</v>
      </c>
      <c r="E219" s="123" t="s">
        <v>3171</v>
      </c>
      <c r="F219" s="125">
        <v>43577</v>
      </c>
      <c r="G219" s="125" t="s">
        <v>4027</v>
      </c>
      <c r="H219" s="125" t="s">
        <v>4752</v>
      </c>
      <c r="I219" s="171">
        <v>4.5138888888888888E-2</v>
      </c>
      <c r="J219" s="173">
        <v>7.5231481481481471E-4</v>
      </c>
      <c r="K219" s="129">
        <v>65</v>
      </c>
      <c r="L219" s="123" t="s">
        <v>101</v>
      </c>
      <c r="M219" s="123" t="s">
        <v>670</v>
      </c>
      <c r="N219" s="123" t="s">
        <v>102</v>
      </c>
      <c r="O219" s="123" t="s">
        <v>115</v>
      </c>
      <c r="P219" s="123" t="s">
        <v>24</v>
      </c>
      <c r="Q219" s="123">
        <v>0</v>
      </c>
      <c r="R219" s="123">
        <v>0</v>
      </c>
      <c r="T219" s="127" t="s">
        <v>115</v>
      </c>
      <c r="U219" s="127" t="s">
        <v>115</v>
      </c>
      <c r="V219" s="127" t="s">
        <v>115</v>
      </c>
      <c r="W219" s="127"/>
      <c r="X219" s="127"/>
      <c r="Y219" s="127"/>
      <c r="Z219" s="127" t="s">
        <v>115</v>
      </c>
      <c r="AA219" s="127" t="s">
        <v>115</v>
      </c>
      <c r="AB219" s="127" t="s">
        <v>115</v>
      </c>
      <c r="AC219" s="127" t="s">
        <v>115</v>
      </c>
      <c r="AD219" s="127" t="s">
        <v>115</v>
      </c>
      <c r="AE219" s="127" t="s">
        <v>115</v>
      </c>
      <c r="AF219" s="127" t="s">
        <v>115</v>
      </c>
      <c r="AG219" s="127" t="s">
        <v>115</v>
      </c>
      <c r="AH219" s="123">
        <v>0</v>
      </c>
      <c r="AI219" s="123">
        <v>0</v>
      </c>
      <c r="AJ219" s="123">
        <v>0</v>
      </c>
      <c r="AK219" s="123">
        <v>0</v>
      </c>
      <c r="AL219" s="123">
        <v>41</v>
      </c>
      <c r="AN219" s="123">
        <f t="shared" si="3"/>
        <v>41</v>
      </c>
      <c r="AO219" s="123" t="s">
        <v>188</v>
      </c>
    </row>
    <row r="220" spans="1:44" x14ac:dyDescent="0.2">
      <c r="A220" s="123" t="s">
        <v>3367</v>
      </c>
      <c r="B220" s="123" t="s">
        <v>3368</v>
      </c>
      <c r="C220" s="123">
        <v>7</v>
      </c>
      <c r="D220" s="123">
        <v>1</v>
      </c>
      <c r="E220" s="123" t="s">
        <v>3171</v>
      </c>
      <c r="F220" s="125">
        <v>43577</v>
      </c>
      <c r="G220" s="125" t="s">
        <v>4027</v>
      </c>
      <c r="H220" s="125" t="s">
        <v>4752</v>
      </c>
      <c r="I220" s="171">
        <v>2.361111111111111E-2</v>
      </c>
      <c r="J220" s="173">
        <v>3.9351851851851852E-4</v>
      </c>
      <c r="K220" s="129">
        <v>34</v>
      </c>
      <c r="L220" s="123" t="s">
        <v>101</v>
      </c>
      <c r="M220" s="123" t="s">
        <v>670</v>
      </c>
      <c r="N220" s="123" t="s">
        <v>102</v>
      </c>
      <c r="O220" s="123" t="s">
        <v>23</v>
      </c>
      <c r="P220" s="123" t="s">
        <v>24</v>
      </c>
      <c r="Q220" s="123" t="s">
        <v>24</v>
      </c>
      <c r="R220" s="123">
        <v>0</v>
      </c>
      <c r="T220" s="127" t="s">
        <v>115</v>
      </c>
      <c r="U220" s="127" t="s">
        <v>115</v>
      </c>
      <c r="V220" s="127" t="s">
        <v>115</v>
      </c>
      <c r="W220" s="127"/>
      <c r="X220" s="127"/>
      <c r="Y220" s="127"/>
      <c r="Z220" s="127" t="s">
        <v>115</v>
      </c>
      <c r="AA220" s="127" t="s">
        <v>115</v>
      </c>
      <c r="AB220" s="127" t="s">
        <v>115</v>
      </c>
      <c r="AC220" s="127" t="s">
        <v>115</v>
      </c>
      <c r="AD220" s="127" t="s">
        <v>115</v>
      </c>
      <c r="AE220" s="127" t="s">
        <v>115</v>
      </c>
      <c r="AF220" s="127" t="s">
        <v>115</v>
      </c>
      <c r="AG220" s="127" t="s">
        <v>115</v>
      </c>
      <c r="AH220" s="123">
        <v>33</v>
      </c>
      <c r="AI220" s="123">
        <v>0</v>
      </c>
      <c r="AJ220" s="123">
        <v>0</v>
      </c>
      <c r="AK220" s="123">
        <v>33</v>
      </c>
      <c r="AL220" s="123">
        <v>0</v>
      </c>
      <c r="AN220" s="123">
        <f t="shared" si="3"/>
        <v>33</v>
      </c>
      <c r="AO220" s="123" t="s">
        <v>2374</v>
      </c>
      <c r="AP220" s="123" t="s">
        <v>3371</v>
      </c>
      <c r="AQ220" s="123">
        <v>2</v>
      </c>
      <c r="AR220" s="123">
        <v>0</v>
      </c>
    </row>
    <row r="221" spans="1:44" x14ac:dyDescent="0.2">
      <c r="A221" s="123" t="s">
        <v>3553</v>
      </c>
      <c r="B221" s="123" t="s">
        <v>3554</v>
      </c>
      <c r="C221" s="123">
        <v>20</v>
      </c>
      <c r="D221" s="123">
        <v>1</v>
      </c>
      <c r="E221" s="123" t="s">
        <v>3171</v>
      </c>
      <c r="F221" s="125">
        <v>43580</v>
      </c>
      <c r="G221" s="125" t="s">
        <v>4027</v>
      </c>
      <c r="H221" s="125" t="s">
        <v>4752</v>
      </c>
      <c r="I221" s="171">
        <v>9.7222222222222224E-3</v>
      </c>
      <c r="J221" s="173">
        <v>1.6203703703703703E-4</v>
      </c>
      <c r="K221" s="129">
        <v>14</v>
      </c>
      <c r="L221" s="123" t="s">
        <v>101</v>
      </c>
      <c r="M221" s="123" t="s">
        <v>670</v>
      </c>
      <c r="N221" s="123" t="s">
        <v>102</v>
      </c>
      <c r="O221" s="123" t="s">
        <v>115</v>
      </c>
      <c r="P221" s="123" t="s">
        <v>24</v>
      </c>
      <c r="Q221" s="123">
        <v>0</v>
      </c>
      <c r="R221" s="123">
        <v>0</v>
      </c>
      <c r="T221" s="127" t="s">
        <v>115</v>
      </c>
      <c r="U221" s="127" t="s">
        <v>115</v>
      </c>
      <c r="V221" s="127" t="s">
        <v>115</v>
      </c>
      <c r="W221" s="127"/>
      <c r="X221" s="127"/>
      <c r="Y221" s="127"/>
      <c r="Z221" s="127" t="s">
        <v>115</v>
      </c>
      <c r="AA221" s="127" t="s">
        <v>115</v>
      </c>
      <c r="AB221" s="127" t="s">
        <v>115</v>
      </c>
      <c r="AC221" s="127" t="s">
        <v>115</v>
      </c>
      <c r="AD221" s="127" t="s">
        <v>115</v>
      </c>
      <c r="AE221" s="127" t="s">
        <v>115</v>
      </c>
      <c r="AF221" s="127" t="s">
        <v>115</v>
      </c>
      <c r="AG221" s="127" t="s">
        <v>115</v>
      </c>
      <c r="AH221" s="123">
        <v>0</v>
      </c>
      <c r="AI221" s="123">
        <v>0</v>
      </c>
      <c r="AJ221" s="123">
        <v>0</v>
      </c>
      <c r="AK221" s="123">
        <v>0</v>
      </c>
      <c r="AL221" s="123">
        <v>3</v>
      </c>
      <c r="AN221" s="123">
        <f t="shared" si="3"/>
        <v>3</v>
      </c>
      <c r="AO221" s="123" t="s">
        <v>188</v>
      </c>
    </row>
    <row r="222" spans="1:44" x14ac:dyDescent="0.2">
      <c r="A222" s="123" t="s">
        <v>3557</v>
      </c>
      <c r="B222" s="123" t="s">
        <v>3558</v>
      </c>
      <c r="C222" s="123">
        <v>22</v>
      </c>
      <c r="D222" s="123">
        <v>1</v>
      </c>
      <c r="E222" s="123" t="s">
        <v>3171</v>
      </c>
      <c r="F222" s="125">
        <v>43580</v>
      </c>
      <c r="G222" s="125" t="s">
        <v>4027</v>
      </c>
      <c r="H222" s="125" t="s">
        <v>4752</v>
      </c>
      <c r="I222" s="171">
        <v>2.9166666666666664E-2</v>
      </c>
      <c r="J222" s="173">
        <v>4.8611111111111104E-4</v>
      </c>
      <c r="K222" s="129">
        <v>42</v>
      </c>
      <c r="L222" s="123" t="s">
        <v>101</v>
      </c>
      <c r="M222" s="123" t="s">
        <v>670</v>
      </c>
      <c r="N222" s="123" t="s">
        <v>102</v>
      </c>
      <c r="O222" s="123" t="s">
        <v>126</v>
      </c>
      <c r="P222" s="123" t="s">
        <v>24</v>
      </c>
      <c r="Q222" s="123">
        <v>0</v>
      </c>
      <c r="R222" s="123">
        <v>0</v>
      </c>
      <c r="T222" s="127" t="s">
        <v>115</v>
      </c>
      <c r="U222" s="127" t="s">
        <v>115</v>
      </c>
      <c r="V222" s="127" t="s">
        <v>115</v>
      </c>
      <c r="W222" s="127"/>
      <c r="X222" s="127"/>
      <c r="Y222" s="127"/>
      <c r="Z222" s="127" t="s">
        <v>115</v>
      </c>
      <c r="AA222" s="127" t="s">
        <v>115</v>
      </c>
      <c r="AB222" s="127" t="s">
        <v>115</v>
      </c>
      <c r="AC222" s="127" t="s">
        <v>115</v>
      </c>
      <c r="AD222" s="127" t="s">
        <v>115</v>
      </c>
      <c r="AE222" s="127" t="s">
        <v>115</v>
      </c>
      <c r="AF222" s="127" t="s">
        <v>115</v>
      </c>
      <c r="AG222" s="127" t="s">
        <v>115</v>
      </c>
      <c r="AH222" s="123">
        <v>0</v>
      </c>
      <c r="AI222" s="123">
        <v>0</v>
      </c>
      <c r="AJ222" s="123">
        <v>0</v>
      </c>
      <c r="AK222" s="123">
        <v>0</v>
      </c>
      <c r="AL222" s="123">
        <v>42</v>
      </c>
      <c r="AN222" s="123">
        <f t="shared" si="3"/>
        <v>42</v>
      </c>
      <c r="AO222" s="123" t="s">
        <v>188</v>
      </c>
    </row>
    <row r="223" spans="1:44" x14ac:dyDescent="0.2">
      <c r="A223" s="123" t="s">
        <v>3559</v>
      </c>
      <c r="B223" s="123" t="s">
        <v>3560</v>
      </c>
      <c r="C223" s="123">
        <v>23</v>
      </c>
      <c r="D223" s="123">
        <v>1</v>
      </c>
      <c r="E223" s="123" t="s">
        <v>3171</v>
      </c>
      <c r="F223" s="125">
        <v>43580</v>
      </c>
      <c r="G223" s="125" t="s">
        <v>4027</v>
      </c>
      <c r="H223" s="125" t="s">
        <v>4752</v>
      </c>
      <c r="I223" s="171">
        <v>1.6666666666666666E-2</v>
      </c>
      <c r="J223" s="173">
        <v>2.7777777777777778E-4</v>
      </c>
      <c r="K223" s="129">
        <v>24</v>
      </c>
      <c r="L223" s="123" t="s">
        <v>101</v>
      </c>
      <c r="M223" s="123" t="s">
        <v>670</v>
      </c>
      <c r="N223" s="123" t="s">
        <v>102</v>
      </c>
      <c r="O223" s="123" t="s">
        <v>115</v>
      </c>
      <c r="P223" s="123" t="s">
        <v>24</v>
      </c>
      <c r="Q223" s="123">
        <v>0</v>
      </c>
      <c r="R223" s="123">
        <v>0</v>
      </c>
      <c r="T223" s="127" t="s">
        <v>115</v>
      </c>
      <c r="U223" s="127" t="s">
        <v>115</v>
      </c>
      <c r="V223" s="127" t="s">
        <v>115</v>
      </c>
      <c r="W223" s="127"/>
      <c r="X223" s="127"/>
      <c r="Y223" s="127"/>
      <c r="Z223" s="127" t="s">
        <v>115</v>
      </c>
      <c r="AA223" s="127" t="s">
        <v>115</v>
      </c>
      <c r="AB223" s="127" t="s">
        <v>115</v>
      </c>
      <c r="AC223" s="127" t="s">
        <v>115</v>
      </c>
      <c r="AD223" s="127" t="s">
        <v>115</v>
      </c>
      <c r="AE223" s="127" t="s">
        <v>115</v>
      </c>
      <c r="AF223" s="127" t="s">
        <v>115</v>
      </c>
      <c r="AG223" s="127" t="s">
        <v>115</v>
      </c>
      <c r="AH223" s="123">
        <v>0</v>
      </c>
      <c r="AI223" s="123">
        <v>0</v>
      </c>
      <c r="AJ223" s="123">
        <v>0</v>
      </c>
      <c r="AK223" s="123">
        <v>0</v>
      </c>
      <c r="AL223" s="123">
        <v>24</v>
      </c>
      <c r="AN223" s="123">
        <f t="shared" si="3"/>
        <v>24</v>
      </c>
      <c r="AO223" s="123" t="s">
        <v>188</v>
      </c>
    </row>
    <row r="224" spans="1:44" x14ac:dyDescent="0.2">
      <c r="A224" s="123" t="s">
        <v>3707</v>
      </c>
      <c r="B224" s="123" t="s">
        <v>3708</v>
      </c>
      <c r="C224" s="123">
        <v>11</v>
      </c>
      <c r="D224" s="123">
        <v>1</v>
      </c>
      <c r="E224" s="123" t="s">
        <v>3171</v>
      </c>
      <c r="F224" s="125">
        <v>43585</v>
      </c>
      <c r="G224" s="125" t="s">
        <v>4027</v>
      </c>
      <c r="H224" s="125" t="s">
        <v>4752</v>
      </c>
      <c r="I224" s="171">
        <v>8.4722222222222213E-2</v>
      </c>
      <c r="J224" s="173">
        <v>1.4120370370370369E-3</v>
      </c>
      <c r="K224" s="129">
        <v>122</v>
      </c>
      <c r="L224" s="123" t="s">
        <v>3626</v>
      </c>
      <c r="M224" s="123" t="s">
        <v>670</v>
      </c>
      <c r="N224" s="123" t="s">
        <v>102</v>
      </c>
      <c r="O224" s="123" t="s">
        <v>115</v>
      </c>
      <c r="P224" s="123" t="s">
        <v>24</v>
      </c>
      <c r="Q224" s="123">
        <v>0</v>
      </c>
      <c r="R224" s="123">
        <v>0</v>
      </c>
      <c r="T224" s="127" t="s">
        <v>115</v>
      </c>
      <c r="U224" s="127" t="s">
        <v>115</v>
      </c>
      <c r="V224" s="127" t="s">
        <v>115</v>
      </c>
      <c r="W224" s="127"/>
      <c r="X224" s="127"/>
      <c r="Y224" s="127"/>
      <c r="Z224" s="127" t="s">
        <v>115</v>
      </c>
      <c r="AA224" s="127" t="s">
        <v>115</v>
      </c>
      <c r="AB224" s="127" t="s">
        <v>115</v>
      </c>
      <c r="AC224" s="127" t="s">
        <v>115</v>
      </c>
      <c r="AD224" s="127" t="s">
        <v>115</v>
      </c>
      <c r="AE224" s="127" t="s">
        <v>115</v>
      </c>
      <c r="AF224" s="127" t="s">
        <v>115</v>
      </c>
      <c r="AG224" s="127" t="s">
        <v>115</v>
      </c>
      <c r="AH224" s="123">
        <v>0</v>
      </c>
      <c r="AI224" s="123">
        <v>0</v>
      </c>
      <c r="AJ224" s="123">
        <v>0</v>
      </c>
      <c r="AK224" s="123">
        <v>0</v>
      </c>
      <c r="AL224" s="123">
        <v>122</v>
      </c>
      <c r="AN224" s="123">
        <f t="shared" si="3"/>
        <v>122</v>
      </c>
      <c r="AO224" s="123" t="s">
        <v>188</v>
      </c>
    </row>
    <row r="225" spans="1:43" x14ac:dyDescent="0.2">
      <c r="A225" s="123" t="s">
        <v>3709</v>
      </c>
      <c r="B225" s="123" t="s">
        <v>3710</v>
      </c>
      <c r="C225" s="123">
        <v>12</v>
      </c>
      <c r="D225" s="123">
        <v>1</v>
      </c>
      <c r="E225" s="123" t="s">
        <v>3171</v>
      </c>
      <c r="F225" s="125">
        <v>43585</v>
      </c>
      <c r="G225" s="125" t="s">
        <v>4027</v>
      </c>
      <c r="H225" s="125" t="s">
        <v>4752</v>
      </c>
      <c r="I225" s="171">
        <v>1.4583333333333332E-2</v>
      </c>
      <c r="J225" s="173">
        <v>2.4305555555555552E-4</v>
      </c>
      <c r="K225" s="129">
        <v>21</v>
      </c>
      <c r="L225" s="123" t="s">
        <v>3626</v>
      </c>
      <c r="M225" s="123" t="s">
        <v>670</v>
      </c>
      <c r="N225" s="123" t="s">
        <v>102</v>
      </c>
      <c r="O225" s="123" t="s">
        <v>23</v>
      </c>
      <c r="P225" s="123" t="s">
        <v>24</v>
      </c>
      <c r="Q225" s="123">
        <v>0</v>
      </c>
      <c r="R225" s="123">
        <v>0</v>
      </c>
      <c r="T225" s="127" t="s">
        <v>115</v>
      </c>
      <c r="U225" s="127" t="s">
        <v>115</v>
      </c>
      <c r="V225" s="127" t="s">
        <v>115</v>
      </c>
      <c r="W225" s="127"/>
      <c r="X225" s="127"/>
      <c r="Y225" s="127"/>
      <c r="Z225" s="127" t="s">
        <v>115</v>
      </c>
      <c r="AA225" s="127" t="s">
        <v>115</v>
      </c>
      <c r="AB225" s="127" t="s">
        <v>115</v>
      </c>
      <c r="AC225" s="127" t="s">
        <v>115</v>
      </c>
      <c r="AD225" s="127" t="s">
        <v>115</v>
      </c>
      <c r="AE225" s="127" t="s">
        <v>115</v>
      </c>
      <c r="AF225" s="127" t="s">
        <v>115</v>
      </c>
      <c r="AG225" s="127" t="s">
        <v>115</v>
      </c>
      <c r="AH225" s="123">
        <v>8</v>
      </c>
      <c r="AI225" s="123">
        <v>0</v>
      </c>
      <c r="AJ225" s="123">
        <v>8</v>
      </c>
      <c r="AK225" s="123">
        <v>0</v>
      </c>
      <c r="AL225" s="123">
        <v>0</v>
      </c>
      <c r="AN225" s="123">
        <f t="shared" si="3"/>
        <v>8</v>
      </c>
      <c r="AO225" s="123" t="s">
        <v>165</v>
      </c>
      <c r="AQ225" s="123" t="s">
        <v>176</v>
      </c>
    </row>
    <row r="226" spans="1:43" x14ac:dyDescent="0.2">
      <c r="A226" s="123" t="s">
        <v>3715</v>
      </c>
      <c r="B226" s="123" t="s">
        <v>3716</v>
      </c>
      <c r="C226" s="123">
        <v>15</v>
      </c>
      <c r="D226" s="123">
        <v>1</v>
      </c>
      <c r="E226" s="123" t="s">
        <v>3171</v>
      </c>
      <c r="F226" s="125">
        <v>43585</v>
      </c>
      <c r="G226" s="125" t="s">
        <v>4027</v>
      </c>
      <c r="H226" s="125" t="s">
        <v>4752</v>
      </c>
      <c r="I226" s="171">
        <v>8.3333333333333332E-3</v>
      </c>
      <c r="J226" s="173">
        <v>1.3888888888888889E-4</v>
      </c>
      <c r="K226" s="129">
        <v>12</v>
      </c>
      <c r="L226" s="123" t="s">
        <v>3626</v>
      </c>
      <c r="M226" s="123" t="s">
        <v>670</v>
      </c>
      <c r="N226" s="123" t="s">
        <v>102</v>
      </c>
      <c r="O226" s="123" t="s">
        <v>115</v>
      </c>
      <c r="P226" s="123" t="s">
        <v>24</v>
      </c>
      <c r="Q226" s="123">
        <v>0</v>
      </c>
      <c r="R226" s="123">
        <v>0</v>
      </c>
      <c r="T226" s="127" t="s">
        <v>115</v>
      </c>
      <c r="U226" s="127" t="s">
        <v>115</v>
      </c>
      <c r="V226" s="127" t="s">
        <v>115</v>
      </c>
      <c r="W226" s="127"/>
      <c r="X226" s="127"/>
      <c r="Y226" s="127"/>
      <c r="Z226" s="127" t="s">
        <v>115</v>
      </c>
      <c r="AA226" s="127" t="s">
        <v>115</v>
      </c>
      <c r="AB226" s="127" t="s">
        <v>115</v>
      </c>
      <c r="AC226" s="127" t="s">
        <v>115</v>
      </c>
      <c r="AD226" s="127" t="s">
        <v>115</v>
      </c>
      <c r="AE226" s="127" t="s">
        <v>115</v>
      </c>
      <c r="AF226" s="127" t="s">
        <v>115</v>
      </c>
      <c r="AG226" s="127" t="s">
        <v>115</v>
      </c>
      <c r="AH226" s="123">
        <v>0</v>
      </c>
      <c r="AI226" s="123">
        <v>0</v>
      </c>
      <c r="AJ226" s="123">
        <v>0</v>
      </c>
      <c r="AK226" s="123">
        <v>0</v>
      </c>
      <c r="AL226" s="123">
        <v>2</v>
      </c>
      <c r="AN226" s="123">
        <f t="shared" si="3"/>
        <v>2</v>
      </c>
      <c r="AO226" s="123" t="s">
        <v>188</v>
      </c>
    </row>
    <row r="227" spans="1:43" x14ac:dyDescent="0.2">
      <c r="A227" s="123" t="s">
        <v>3717</v>
      </c>
      <c r="B227" s="123" t="s">
        <v>3718</v>
      </c>
      <c r="C227" s="123">
        <v>16</v>
      </c>
      <c r="D227" s="123">
        <v>1</v>
      </c>
      <c r="E227" s="123" t="s">
        <v>3171</v>
      </c>
      <c r="F227" s="125">
        <v>43585</v>
      </c>
      <c r="G227" s="125" t="s">
        <v>4027</v>
      </c>
      <c r="H227" s="125" t="s">
        <v>4752</v>
      </c>
      <c r="I227" s="171">
        <v>1.1111111111111112E-2</v>
      </c>
      <c r="J227" s="173">
        <v>1.8518518518518518E-4</v>
      </c>
      <c r="K227" s="129">
        <v>16</v>
      </c>
      <c r="L227" s="123" t="s">
        <v>3626</v>
      </c>
      <c r="M227" s="123" t="s">
        <v>670</v>
      </c>
      <c r="N227" s="123" t="s">
        <v>102</v>
      </c>
      <c r="O227" s="123" t="s">
        <v>12</v>
      </c>
      <c r="P227" s="123" t="s">
        <v>24</v>
      </c>
      <c r="Q227" s="123" t="s">
        <v>24</v>
      </c>
      <c r="R227" s="123">
        <v>0</v>
      </c>
      <c r="T227" s="127" t="s">
        <v>115</v>
      </c>
      <c r="U227" s="127" t="s">
        <v>115</v>
      </c>
      <c r="V227" s="127" t="s">
        <v>115</v>
      </c>
      <c r="W227" s="127"/>
      <c r="X227" s="127"/>
      <c r="Y227" s="127"/>
      <c r="Z227" s="127" t="s">
        <v>115</v>
      </c>
      <c r="AA227" s="127" t="s">
        <v>115</v>
      </c>
      <c r="AB227" s="127" t="s">
        <v>115</v>
      </c>
      <c r="AC227" s="127" t="s">
        <v>115</v>
      </c>
      <c r="AD227" s="127" t="s">
        <v>115</v>
      </c>
      <c r="AE227" s="124">
        <v>63.724490000000003</v>
      </c>
      <c r="AF227" s="124">
        <v>148.95013</v>
      </c>
      <c r="AG227" s="127" t="s">
        <v>3719</v>
      </c>
      <c r="AH227" s="123">
        <v>16</v>
      </c>
      <c r="AI227" s="123">
        <v>0</v>
      </c>
      <c r="AJ227" s="123">
        <v>0</v>
      </c>
      <c r="AK227" s="123">
        <v>16</v>
      </c>
      <c r="AL227" s="123">
        <v>0</v>
      </c>
      <c r="AN227" s="123">
        <f t="shared" si="3"/>
        <v>16</v>
      </c>
      <c r="AO227" s="123" t="s">
        <v>165</v>
      </c>
      <c r="AQ227" s="123">
        <v>1</v>
      </c>
    </row>
    <row r="228" spans="1:43" x14ac:dyDescent="0.2">
      <c r="A228" s="123" t="s">
        <v>2815</v>
      </c>
      <c r="B228" s="123" t="s">
        <v>4788</v>
      </c>
      <c r="C228" s="123">
        <v>14</v>
      </c>
      <c r="D228" s="123">
        <v>1</v>
      </c>
      <c r="E228" s="123" t="s">
        <v>2601</v>
      </c>
      <c r="F228" s="125">
        <v>43556</v>
      </c>
      <c r="G228" s="125" t="s">
        <v>4027</v>
      </c>
      <c r="H228" s="125" t="s">
        <v>4752</v>
      </c>
      <c r="I228" s="171">
        <v>9.1666666666666674E-2</v>
      </c>
      <c r="J228" s="173">
        <v>1.5277777777777779E-3</v>
      </c>
      <c r="K228" s="129">
        <v>132</v>
      </c>
      <c r="M228" s="123" t="s">
        <v>173</v>
      </c>
      <c r="N228" s="123" t="s">
        <v>187</v>
      </c>
      <c r="O228" s="123" t="s">
        <v>23</v>
      </c>
      <c r="P228" s="123">
        <v>1</v>
      </c>
      <c r="Q228" s="123">
        <v>0</v>
      </c>
      <c r="R228" s="123">
        <v>1</v>
      </c>
      <c r="S228" s="123" t="s">
        <v>176</v>
      </c>
      <c r="T228" s="127" t="s">
        <v>24</v>
      </c>
      <c r="U228" s="127" t="s">
        <v>122</v>
      </c>
      <c r="V228" s="127" t="s">
        <v>2088</v>
      </c>
      <c r="W228" s="127" t="s">
        <v>23</v>
      </c>
      <c r="X228" s="127" t="s">
        <v>3997</v>
      </c>
      <c r="Y228" s="127" t="s">
        <v>4021</v>
      </c>
      <c r="Z228" s="127" t="s">
        <v>2558</v>
      </c>
      <c r="AA228" s="123">
        <v>280</v>
      </c>
      <c r="AB228" s="123">
        <v>5</v>
      </c>
      <c r="AC228" s="123">
        <v>63.724850000000004</v>
      </c>
      <c r="AD228" s="123">
        <v>148.95644999999999</v>
      </c>
      <c r="AE228" s="123">
        <v>0</v>
      </c>
      <c r="AF228" s="123">
        <v>0</v>
      </c>
      <c r="AH228" s="123">
        <v>0</v>
      </c>
      <c r="AI228" s="123">
        <v>0</v>
      </c>
      <c r="AJ228" s="123">
        <v>0</v>
      </c>
      <c r="AK228" s="123">
        <v>0</v>
      </c>
      <c r="AL228" s="123">
        <v>0</v>
      </c>
      <c r="AN228" s="123">
        <f t="shared" si="3"/>
        <v>0</v>
      </c>
      <c r="AP228" s="123" t="s">
        <v>4789</v>
      </c>
    </row>
    <row r="229" spans="1:43" x14ac:dyDescent="0.2">
      <c r="A229" s="123" t="s">
        <v>2823</v>
      </c>
      <c r="B229" s="123" t="s">
        <v>4791</v>
      </c>
      <c r="C229" s="123">
        <v>17</v>
      </c>
      <c r="D229" s="123">
        <v>1</v>
      </c>
      <c r="E229" s="123" t="s">
        <v>2601</v>
      </c>
      <c r="F229" s="125">
        <v>43556</v>
      </c>
      <c r="G229" s="125" t="s">
        <v>4027</v>
      </c>
      <c r="H229" s="125" t="s">
        <v>4752</v>
      </c>
      <c r="I229" s="171">
        <v>5.5555555555555558E-3</v>
      </c>
      <c r="J229" s="173">
        <v>9.2592592592592588E-5</v>
      </c>
      <c r="K229" s="129">
        <v>8</v>
      </c>
      <c r="M229" s="123" t="s">
        <v>173</v>
      </c>
      <c r="N229" s="123" t="s">
        <v>111</v>
      </c>
      <c r="O229" s="123" t="s">
        <v>23</v>
      </c>
      <c r="P229" s="123">
        <v>0</v>
      </c>
      <c r="Q229" s="123">
        <v>0</v>
      </c>
      <c r="R229" s="123">
        <v>1</v>
      </c>
      <c r="S229" s="123" t="s">
        <v>598</v>
      </c>
      <c r="T229" s="127" t="s">
        <v>2802</v>
      </c>
      <c r="U229" s="127" t="s">
        <v>122</v>
      </c>
      <c r="V229" s="127" t="s">
        <v>1035</v>
      </c>
      <c r="W229" s="127" t="s">
        <v>23</v>
      </c>
      <c r="X229" s="127" t="s">
        <v>3997</v>
      </c>
      <c r="Y229" s="127" t="s">
        <v>4006</v>
      </c>
      <c r="Z229" s="127" t="s">
        <v>2825</v>
      </c>
      <c r="AA229" s="123">
        <v>105</v>
      </c>
      <c r="AB229" s="123">
        <v>30</v>
      </c>
      <c r="AC229" s="123">
        <v>63.724870000000003</v>
      </c>
      <c r="AD229" s="123">
        <v>148.95508000000001</v>
      </c>
      <c r="AE229" s="123">
        <v>0</v>
      </c>
      <c r="AF229" s="123">
        <v>0</v>
      </c>
      <c r="AH229" s="123">
        <v>0</v>
      </c>
      <c r="AI229" s="123">
        <v>0</v>
      </c>
      <c r="AJ229" s="123">
        <v>0</v>
      </c>
      <c r="AK229" s="123">
        <v>0</v>
      </c>
      <c r="AL229" s="123">
        <v>0</v>
      </c>
      <c r="AN229" s="123">
        <f t="shared" si="3"/>
        <v>0</v>
      </c>
      <c r="AP229" s="123" t="s">
        <v>4792</v>
      </c>
    </row>
    <row r="230" spans="1:43" x14ac:dyDescent="0.2">
      <c r="A230" s="123" t="s">
        <v>2818</v>
      </c>
      <c r="B230" s="123" t="s">
        <v>4793</v>
      </c>
      <c r="C230" s="123">
        <v>15</v>
      </c>
      <c r="D230" s="123">
        <v>1</v>
      </c>
      <c r="E230" s="123" t="s">
        <v>2601</v>
      </c>
      <c r="F230" s="125">
        <v>43556</v>
      </c>
      <c r="G230" s="125" t="s">
        <v>4027</v>
      </c>
      <c r="H230" s="125" t="s">
        <v>4752</v>
      </c>
      <c r="I230" s="171">
        <v>9.0277777777777787E-3</v>
      </c>
      <c r="J230" s="173">
        <v>1.5046296296296297E-4</v>
      </c>
      <c r="K230" s="129">
        <v>13</v>
      </c>
      <c r="M230" s="123" t="s">
        <v>173</v>
      </c>
      <c r="N230" s="123" t="s">
        <v>102</v>
      </c>
      <c r="O230" s="123" t="s">
        <v>115</v>
      </c>
      <c r="P230" s="123">
        <v>1</v>
      </c>
      <c r="Q230" s="123">
        <v>0</v>
      </c>
      <c r="R230" s="123">
        <v>0</v>
      </c>
      <c r="S230" s="123" t="s">
        <v>598</v>
      </c>
      <c r="T230" s="127" t="s">
        <v>2801</v>
      </c>
      <c r="U230" s="127" t="s">
        <v>122</v>
      </c>
      <c r="V230" s="127" t="s">
        <v>115</v>
      </c>
      <c r="W230" s="127"/>
      <c r="X230" s="127"/>
      <c r="Y230" s="127"/>
      <c r="Z230" s="127" t="s">
        <v>115</v>
      </c>
      <c r="AA230" s="127" t="s">
        <v>115</v>
      </c>
      <c r="AB230" s="127" t="s">
        <v>115</v>
      </c>
      <c r="AC230" s="127" t="s">
        <v>115</v>
      </c>
      <c r="AD230" s="127" t="s">
        <v>115</v>
      </c>
      <c r="AE230" s="127" t="s">
        <v>115</v>
      </c>
      <c r="AF230" s="127" t="s">
        <v>115</v>
      </c>
      <c r="AG230" s="127"/>
      <c r="AH230" s="123">
        <v>0</v>
      </c>
      <c r="AI230" s="123">
        <v>0</v>
      </c>
      <c r="AJ230" s="123">
        <v>0</v>
      </c>
      <c r="AK230" s="123">
        <v>0</v>
      </c>
      <c r="AL230" s="123">
        <v>13</v>
      </c>
      <c r="AN230" s="123">
        <f t="shared" si="3"/>
        <v>13</v>
      </c>
      <c r="AP230" s="123" t="s">
        <v>2820</v>
      </c>
    </row>
    <row r="231" spans="1:43" x14ac:dyDescent="0.2">
      <c r="A231" s="123" t="s">
        <v>2799</v>
      </c>
      <c r="B231" s="123" t="s">
        <v>4794</v>
      </c>
      <c r="C231" s="123">
        <v>7</v>
      </c>
      <c r="D231" s="123">
        <v>1</v>
      </c>
      <c r="E231" s="123" t="s">
        <v>2601</v>
      </c>
      <c r="F231" s="125">
        <v>43556</v>
      </c>
      <c r="G231" s="125" t="s">
        <v>4027</v>
      </c>
      <c r="H231" s="125" t="s">
        <v>4752</v>
      </c>
      <c r="I231" s="171">
        <v>4.8611111111111112E-3</v>
      </c>
      <c r="J231" s="173">
        <v>8.1018518518518516E-5</v>
      </c>
      <c r="K231" s="129">
        <v>7</v>
      </c>
      <c r="M231" s="123" t="s">
        <v>173</v>
      </c>
      <c r="N231" s="123" t="s">
        <v>107</v>
      </c>
      <c r="O231" s="123" t="s">
        <v>115</v>
      </c>
      <c r="P231" s="123">
        <v>1</v>
      </c>
      <c r="Q231" s="123">
        <v>0</v>
      </c>
      <c r="R231" s="123">
        <v>0</v>
      </c>
      <c r="S231" s="123" t="s">
        <v>598</v>
      </c>
      <c r="T231" s="127" t="s">
        <v>2801</v>
      </c>
      <c r="U231" s="127" t="s">
        <v>122</v>
      </c>
      <c r="V231" s="127" t="s">
        <v>115</v>
      </c>
      <c r="W231" s="127"/>
      <c r="X231" s="127"/>
      <c r="Y231" s="127"/>
      <c r="Z231" s="127" t="s">
        <v>115</v>
      </c>
      <c r="AA231" s="127" t="s">
        <v>115</v>
      </c>
      <c r="AB231" s="127" t="s">
        <v>115</v>
      </c>
      <c r="AC231" s="127" t="s">
        <v>115</v>
      </c>
      <c r="AD231" s="127" t="s">
        <v>115</v>
      </c>
      <c r="AE231" s="127" t="s">
        <v>115</v>
      </c>
      <c r="AF231" s="127" t="s">
        <v>115</v>
      </c>
      <c r="AG231" s="127"/>
      <c r="AH231" s="123">
        <v>0</v>
      </c>
      <c r="AI231" s="123">
        <v>0</v>
      </c>
      <c r="AJ231" s="123">
        <v>0</v>
      </c>
      <c r="AK231" s="123">
        <v>0</v>
      </c>
      <c r="AL231" s="123">
        <v>0</v>
      </c>
      <c r="AN231" s="123">
        <f t="shared" si="3"/>
        <v>0</v>
      </c>
      <c r="AP231" s="123" t="s">
        <v>4795</v>
      </c>
    </row>
    <row r="232" spans="1:43" x14ac:dyDescent="0.2">
      <c r="A232" s="123" t="s">
        <v>2815</v>
      </c>
      <c r="B232" s="123" t="s">
        <v>4788</v>
      </c>
      <c r="C232" s="123">
        <v>14</v>
      </c>
      <c r="D232" s="123">
        <v>2</v>
      </c>
      <c r="E232" s="123" t="s">
        <v>2601</v>
      </c>
      <c r="F232" s="125">
        <v>43556</v>
      </c>
      <c r="G232" s="125" t="s">
        <v>4027</v>
      </c>
      <c r="H232" s="125" t="s">
        <v>4752</v>
      </c>
      <c r="I232" s="171">
        <v>9.1666666666666674E-2</v>
      </c>
      <c r="J232" s="173">
        <v>1.5277777777777779E-3</v>
      </c>
      <c r="K232" s="129">
        <v>132</v>
      </c>
      <c r="M232" s="123" t="s">
        <v>173</v>
      </c>
      <c r="N232" s="123" t="s">
        <v>187</v>
      </c>
      <c r="O232" s="123" t="s">
        <v>23</v>
      </c>
      <c r="P232" s="123">
        <v>1</v>
      </c>
      <c r="Q232" s="123">
        <v>0</v>
      </c>
      <c r="R232" s="123">
        <v>0</v>
      </c>
      <c r="S232" s="123" t="s">
        <v>14</v>
      </c>
      <c r="T232" s="127" t="s">
        <v>14</v>
      </c>
      <c r="U232" s="127" t="s">
        <v>122</v>
      </c>
      <c r="V232" s="127" t="s">
        <v>115</v>
      </c>
      <c r="W232" s="127"/>
      <c r="X232" s="127"/>
      <c r="Y232" s="127"/>
      <c r="Z232" s="127" t="s">
        <v>115</v>
      </c>
      <c r="AA232" s="127" t="s">
        <v>115</v>
      </c>
      <c r="AB232" s="127" t="s">
        <v>115</v>
      </c>
      <c r="AC232" s="127" t="s">
        <v>115</v>
      </c>
      <c r="AD232" s="127" t="s">
        <v>115</v>
      </c>
      <c r="AE232" s="127" t="s">
        <v>115</v>
      </c>
      <c r="AF232" s="127" t="s">
        <v>115</v>
      </c>
      <c r="AG232" s="127"/>
      <c r="AH232" s="123">
        <v>0</v>
      </c>
      <c r="AI232" s="123">
        <v>0</v>
      </c>
      <c r="AJ232" s="123">
        <v>0</v>
      </c>
      <c r="AK232" s="123">
        <v>0</v>
      </c>
      <c r="AL232" s="123">
        <v>51</v>
      </c>
      <c r="AN232" s="123">
        <f t="shared" si="3"/>
        <v>51</v>
      </c>
      <c r="AO232" s="123" t="s">
        <v>188</v>
      </c>
    </row>
    <row r="233" spans="1:43" x14ac:dyDescent="0.2">
      <c r="A233" s="123" t="s">
        <v>2809</v>
      </c>
      <c r="B233" s="123" t="s">
        <v>4796</v>
      </c>
      <c r="C233" s="123">
        <v>11</v>
      </c>
      <c r="D233" s="123">
        <v>1</v>
      </c>
      <c r="E233" s="123" t="s">
        <v>2601</v>
      </c>
      <c r="F233" s="125">
        <v>43556</v>
      </c>
      <c r="G233" s="125" t="s">
        <v>4027</v>
      </c>
      <c r="H233" s="125" t="s">
        <v>4752</v>
      </c>
      <c r="I233" s="171">
        <v>1.3194444444444444E-2</v>
      </c>
      <c r="J233" s="173">
        <v>2.199074074074074E-4</v>
      </c>
      <c r="K233" s="129">
        <v>19</v>
      </c>
      <c r="M233" s="123" t="s">
        <v>173</v>
      </c>
      <c r="N233" s="123" t="s">
        <v>102</v>
      </c>
      <c r="O233" s="123" t="s">
        <v>115</v>
      </c>
      <c r="P233" s="123">
        <v>0</v>
      </c>
      <c r="Q233" s="123">
        <v>0</v>
      </c>
      <c r="R233" s="123">
        <v>0</v>
      </c>
      <c r="T233" s="127" t="s">
        <v>115</v>
      </c>
      <c r="U233" s="127" t="s">
        <v>115</v>
      </c>
      <c r="V233" s="127" t="s">
        <v>115</v>
      </c>
      <c r="W233" s="127"/>
      <c r="X233" s="127"/>
      <c r="Y233" s="127"/>
      <c r="Z233" s="127" t="s">
        <v>115</v>
      </c>
      <c r="AA233" s="127" t="s">
        <v>115</v>
      </c>
      <c r="AB233" s="127" t="s">
        <v>115</v>
      </c>
      <c r="AC233" s="127" t="s">
        <v>115</v>
      </c>
      <c r="AD233" s="127" t="s">
        <v>115</v>
      </c>
      <c r="AE233" s="127" t="s">
        <v>115</v>
      </c>
      <c r="AF233" s="127" t="s">
        <v>115</v>
      </c>
      <c r="AG233" s="127"/>
      <c r="AH233" s="123">
        <v>0</v>
      </c>
      <c r="AI233" s="123">
        <v>0</v>
      </c>
      <c r="AJ233" s="123">
        <v>0</v>
      </c>
      <c r="AK233" s="123">
        <v>0</v>
      </c>
      <c r="AL233" s="123">
        <v>17</v>
      </c>
      <c r="AN233" s="123">
        <f t="shared" si="3"/>
        <v>17</v>
      </c>
      <c r="AO233" s="123" t="s">
        <v>188</v>
      </c>
    </row>
    <row r="234" spans="1:43" x14ac:dyDescent="0.2">
      <c r="A234" s="123" t="s">
        <v>2821</v>
      </c>
      <c r="B234" s="123" t="s">
        <v>4797</v>
      </c>
      <c r="C234" s="123">
        <v>16</v>
      </c>
      <c r="D234" s="123">
        <v>1</v>
      </c>
      <c r="E234" s="123" t="s">
        <v>2601</v>
      </c>
      <c r="F234" s="125">
        <v>43556</v>
      </c>
      <c r="G234" s="125" t="s">
        <v>4027</v>
      </c>
      <c r="H234" s="125" t="s">
        <v>4752</v>
      </c>
      <c r="I234" s="171">
        <v>6.5277777777777782E-2</v>
      </c>
      <c r="J234" s="173">
        <v>1.0879629629629629E-3</v>
      </c>
      <c r="K234" s="129">
        <v>94</v>
      </c>
      <c r="M234" s="123" t="s">
        <v>173</v>
      </c>
      <c r="N234" s="123" t="s">
        <v>107</v>
      </c>
      <c r="O234" s="123" t="s">
        <v>115</v>
      </c>
      <c r="P234" s="123">
        <v>0</v>
      </c>
      <c r="Q234" s="123">
        <v>0</v>
      </c>
      <c r="R234" s="123">
        <v>0</v>
      </c>
      <c r="S234" s="123" t="s">
        <v>598</v>
      </c>
      <c r="T234" s="127" t="s">
        <v>2802</v>
      </c>
      <c r="U234" s="127" t="s">
        <v>115</v>
      </c>
      <c r="V234" s="127" t="s">
        <v>115</v>
      </c>
      <c r="W234" s="127"/>
      <c r="X234" s="127"/>
      <c r="Y234" s="127"/>
      <c r="Z234" s="127" t="s">
        <v>115</v>
      </c>
      <c r="AA234" s="127" t="s">
        <v>115</v>
      </c>
      <c r="AB234" s="127" t="s">
        <v>115</v>
      </c>
      <c r="AC234" s="127" t="s">
        <v>115</v>
      </c>
      <c r="AD234" s="127" t="s">
        <v>115</v>
      </c>
      <c r="AE234" s="127" t="s">
        <v>115</v>
      </c>
      <c r="AF234" s="127" t="s">
        <v>115</v>
      </c>
      <c r="AG234" s="127"/>
      <c r="AH234" s="123">
        <v>0</v>
      </c>
      <c r="AI234" s="123">
        <v>0</v>
      </c>
      <c r="AJ234" s="123">
        <v>0</v>
      </c>
      <c r="AK234" s="123">
        <v>0</v>
      </c>
      <c r="AL234" s="123">
        <v>0</v>
      </c>
      <c r="AN234" s="123">
        <f t="shared" si="3"/>
        <v>0</v>
      </c>
    </row>
    <row r="235" spans="1:43" x14ac:dyDescent="0.2">
      <c r="A235" s="123" t="s">
        <v>2794</v>
      </c>
      <c r="B235" s="123" t="s">
        <v>4798</v>
      </c>
      <c r="C235" s="123">
        <v>4</v>
      </c>
      <c r="D235" s="123">
        <v>1</v>
      </c>
      <c r="E235" s="123" t="s">
        <v>2601</v>
      </c>
      <c r="F235" s="125">
        <v>43556</v>
      </c>
      <c r="G235" s="125" t="s">
        <v>4027</v>
      </c>
      <c r="H235" s="125" t="s">
        <v>4752</v>
      </c>
      <c r="I235" s="171">
        <v>2.7777777777777776E-2</v>
      </c>
      <c r="J235" s="173">
        <v>4.6296296296296293E-4</v>
      </c>
      <c r="K235" s="129">
        <v>40</v>
      </c>
      <c r="M235" s="123" t="s">
        <v>173</v>
      </c>
      <c r="N235" s="123" t="s">
        <v>102</v>
      </c>
      <c r="O235" s="123" t="s">
        <v>115</v>
      </c>
      <c r="P235" s="123">
        <v>0</v>
      </c>
      <c r="Q235" s="123">
        <v>0</v>
      </c>
      <c r="R235" s="123">
        <v>0</v>
      </c>
      <c r="T235" s="127" t="s">
        <v>115</v>
      </c>
      <c r="U235" s="127" t="s">
        <v>115</v>
      </c>
      <c r="V235" s="127" t="s">
        <v>115</v>
      </c>
      <c r="W235" s="127"/>
      <c r="X235" s="127"/>
      <c r="Y235" s="127"/>
      <c r="Z235" s="127" t="s">
        <v>115</v>
      </c>
      <c r="AA235" s="127" t="s">
        <v>115</v>
      </c>
      <c r="AB235" s="127" t="s">
        <v>115</v>
      </c>
      <c r="AC235" s="127" t="s">
        <v>115</v>
      </c>
      <c r="AD235" s="127" t="s">
        <v>115</v>
      </c>
      <c r="AE235" s="127" t="s">
        <v>115</v>
      </c>
      <c r="AF235" s="127" t="s">
        <v>115</v>
      </c>
      <c r="AG235" s="127"/>
      <c r="AH235" s="123">
        <v>0</v>
      </c>
      <c r="AI235" s="123">
        <v>0</v>
      </c>
      <c r="AJ235" s="123">
        <v>0</v>
      </c>
      <c r="AK235" s="123">
        <v>0</v>
      </c>
      <c r="AL235" s="123">
        <v>24</v>
      </c>
      <c r="AN235" s="123">
        <f t="shared" si="3"/>
        <v>24</v>
      </c>
      <c r="AO235" s="123" t="s">
        <v>188</v>
      </c>
    </row>
    <row r="236" spans="1:43" x14ac:dyDescent="0.2">
      <c r="A236" s="123" t="s">
        <v>2796</v>
      </c>
      <c r="B236" s="123" t="s">
        <v>4799</v>
      </c>
      <c r="C236" s="123">
        <v>5</v>
      </c>
      <c r="D236" s="123">
        <v>1</v>
      </c>
      <c r="E236" s="123" t="s">
        <v>2601</v>
      </c>
      <c r="F236" s="125">
        <v>43556</v>
      </c>
      <c r="G236" s="125" t="s">
        <v>4027</v>
      </c>
      <c r="H236" s="125" t="s">
        <v>4752</v>
      </c>
      <c r="I236" s="171">
        <v>2.2222222222222223E-2</v>
      </c>
      <c r="J236" s="173">
        <v>3.7037037037037035E-4</v>
      </c>
      <c r="K236" s="129">
        <v>32</v>
      </c>
      <c r="M236" s="123" t="s">
        <v>173</v>
      </c>
      <c r="N236" s="123" t="s">
        <v>102</v>
      </c>
      <c r="O236" s="123" t="s">
        <v>115</v>
      </c>
      <c r="P236" s="123">
        <v>0</v>
      </c>
      <c r="Q236" s="123">
        <v>0</v>
      </c>
      <c r="R236" s="123">
        <v>0</v>
      </c>
      <c r="T236" s="127" t="s">
        <v>115</v>
      </c>
      <c r="U236" s="127" t="s">
        <v>115</v>
      </c>
      <c r="V236" s="127" t="s">
        <v>115</v>
      </c>
      <c r="W236" s="127"/>
      <c r="X236" s="127"/>
      <c r="Y236" s="127"/>
      <c r="Z236" s="127" t="s">
        <v>115</v>
      </c>
      <c r="AA236" s="127" t="s">
        <v>115</v>
      </c>
      <c r="AB236" s="127" t="s">
        <v>115</v>
      </c>
      <c r="AC236" s="127" t="s">
        <v>115</v>
      </c>
      <c r="AD236" s="127" t="s">
        <v>115</v>
      </c>
      <c r="AE236" s="127" t="s">
        <v>115</v>
      </c>
      <c r="AF236" s="127" t="s">
        <v>115</v>
      </c>
      <c r="AG236" s="127"/>
      <c r="AH236" s="123">
        <v>0</v>
      </c>
      <c r="AI236" s="123">
        <v>0</v>
      </c>
      <c r="AJ236" s="123">
        <v>0</v>
      </c>
      <c r="AK236" s="123">
        <v>0</v>
      </c>
      <c r="AL236" s="123">
        <v>28</v>
      </c>
      <c r="AN236" s="123">
        <f t="shared" si="3"/>
        <v>28</v>
      </c>
    </row>
    <row r="237" spans="1:43" x14ac:dyDescent="0.2">
      <c r="A237" s="123" t="s">
        <v>2796</v>
      </c>
      <c r="B237" s="123" t="s">
        <v>4800</v>
      </c>
      <c r="C237" s="123">
        <v>6</v>
      </c>
      <c r="D237" s="123">
        <v>1</v>
      </c>
      <c r="E237" s="123" t="s">
        <v>2601</v>
      </c>
      <c r="F237" s="125">
        <v>43556</v>
      </c>
      <c r="G237" s="125" t="s">
        <v>4027</v>
      </c>
      <c r="H237" s="125" t="s">
        <v>4752</v>
      </c>
      <c r="I237" s="171">
        <v>2.1527777777777781E-2</v>
      </c>
      <c r="J237" s="173">
        <v>3.5879629629629635E-4</v>
      </c>
      <c r="K237" s="129">
        <v>31</v>
      </c>
      <c r="M237" s="123" t="s">
        <v>173</v>
      </c>
      <c r="N237" s="123" t="s">
        <v>102</v>
      </c>
      <c r="O237" s="123" t="s">
        <v>115</v>
      </c>
      <c r="P237" s="123">
        <v>0</v>
      </c>
      <c r="Q237" s="123">
        <v>0</v>
      </c>
      <c r="R237" s="123">
        <v>0</v>
      </c>
      <c r="T237" s="127" t="s">
        <v>115</v>
      </c>
      <c r="U237" s="127" t="s">
        <v>115</v>
      </c>
      <c r="V237" s="127" t="s">
        <v>115</v>
      </c>
      <c r="W237" s="127"/>
      <c r="X237" s="127"/>
      <c r="Y237" s="127"/>
      <c r="Z237" s="127" t="s">
        <v>115</v>
      </c>
      <c r="AA237" s="127" t="s">
        <v>115</v>
      </c>
      <c r="AB237" s="127" t="s">
        <v>115</v>
      </c>
      <c r="AC237" s="127" t="s">
        <v>115</v>
      </c>
      <c r="AD237" s="127" t="s">
        <v>115</v>
      </c>
      <c r="AE237" s="127" t="s">
        <v>115</v>
      </c>
      <c r="AF237" s="127" t="s">
        <v>115</v>
      </c>
      <c r="AG237" s="127"/>
      <c r="AH237" s="123">
        <v>0</v>
      </c>
      <c r="AI237" s="123">
        <v>0</v>
      </c>
      <c r="AJ237" s="123">
        <v>0</v>
      </c>
      <c r="AK237" s="123">
        <v>0</v>
      </c>
      <c r="AL237" s="123">
        <v>28</v>
      </c>
      <c r="AN237" s="123">
        <f t="shared" si="3"/>
        <v>28</v>
      </c>
    </row>
    <row r="238" spans="1:43" x14ac:dyDescent="0.2">
      <c r="A238" s="123" t="s">
        <v>2804</v>
      </c>
      <c r="B238" s="123" t="s">
        <v>4801</v>
      </c>
      <c r="C238" s="123">
        <v>8</v>
      </c>
      <c r="D238" s="123">
        <v>1</v>
      </c>
      <c r="E238" s="123" t="s">
        <v>2601</v>
      </c>
      <c r="F238" s="125">
        <v>43556</v>
      </c>
      <c r="G238" s="125" t="s">
        <v>4027</v>
      </c>
      <c r="H238" s="125" t="s">
        <v>4752</v>
      </c>
      <c r="I238" s="171">
        <v>2.7083333333333334E-2</v>
      </c>
      <c r="J238" s="173">
        <v>4.5138888888888892E-4</v>
      </c>
      <c r="K238" s="129">
        <v>39</v>
      </c>
      <c r="M238" s="123" t="s">
        <v>173</v>
      </c>
      <c r="N238" s="123" t="s">
        <v>107</v>
      </c>
      <c r="O238" s="123" t="s">
        <v>115</v>
      </c>
      <c r="P238" s="123">
        <v>0</v>
      </c>
      <c r="Q238" s="123">
        <v>0</v>
      </c>
      <c r="R238" s="123">
        <v>0</v>
      </c>
      <c r="S238" s="123" t="s">
        <v>598</v>
      </c>
      <c r="T238" s="127" t="s">
        <v>2802</v>
      </c>
      <c r="U238" s="127" t="s">
        <v>115</v>
      </c>
      <c r="V238" s="127" t="s">
        <v>115</v>
      </c>
      <c r="W238" s="127"/>
      <c r="X238" s="127"/>
      <c r="Y238" s="127"/>
      <c r="Z238" s="127" t="s">
        <v>115</v>
      </c>
      <c r="AA238" s="127" t="s">
        <v>115</v>
      </c>
      <c r="AB238" s="127" t="s">
        <v>115</v>
      </c>
      <c r="AC238" s="127" t="s">
        <v>115</v>
      </c>
      <c r="AD238" s="127" t="s">
        <v>115</v>
      </c>
      <c r="AE238" s="127" t="s">
        <v>115</v>
      </c>
      <c r="AF238" s="127" t="s">
        <v>115</v>
      </c>
      <c r="AG238" s="127"/>
      <c r="AH238" s="123">
        <v>0</v>
      </c>
      <c r="AI238" s="123">
        <v>0</v>
      </c>
      <c r="AJ238" s="123">
        <v>0</v>
      </c>
      <c r="AK238" s="123">
        <v>0</v>
      </c>
      <c r="AL238" s="123">
        <v>0</v>
      </c>
      <c r="AN238" s="123">
        <f t="shared" si="3"/>
        <v>0</v>
      </c>
    </row>
    <row r="239" spans="1:43" x14ac:dyDescent="0.2">
      <c r="A239" s="123" t="s">
        <v>2804</v>
      </c>
      <c r="B239" s="123" t="s">
        <v>4802</v>
      </c>
      <c r="C239" s="123">
        <v>9</v>
      </c>
      <c r="D239" s="123">
        <v>1</v>
      </c>
      <c r="E239" s="123" t="s">
        <v>2601</v>
      </c>
      <c r="F239" s="125">
        <v>43556</v>
      </c>
      <c r="G239" s="125" t="s">
        <v>4027</v>
      </c>
      <c r="H239" s="125" t="s">
        <v>4752</v>
      </c>
      <c r="I239" s="171">
        <v>1.5277777777777777E-2</v>
      </c>
      <c r="J239" s="173">
        <v>2.5462962962962961E-4</v>
      </c>
      <c r="K239" s="129">
        <v>22</v>
      </c>
      <c r="M239" s="123" t="s">
        <v>173</v>
      </c>
      <c r="N239" s="123" t="s">
        <v>107</v>
      </c>
      <c r="O239" s="123" t="s">
        <v>115</v>
      </c>
      <c r="P239" s="123">
        <v>0</v>
      </c>
      <c r="Q239" s="123">
        <v>0</v>
      </c>
      <c r="R239" s="123">
        <v>0</v>
      </c>
      <c r="S239" s="123" t="s">
        <v>598</v>
      </c>
      <c r="T239" s="127" t="s">
        <v>2802</v>
      </c>
      <c r="U239" s="127" t="s">
        <v>115</v>
      </c>
      <c r="V239" s="127" t="s">
        <v>115</v>
      </c>
      <c r="W239" s="127"/>
      <c r="X239" s="127"/>
      <c r="Y239" s="127"/>
      <c r="Z239" s="127" t="s">
        <v>115</v>
      </c>
      <c r="AA239" s="127" t="s">
        <v>115</v>
      </c>
      <c r="AB239" s="127" t="s">
        <v>115</v>
      </c>
      <c r="AC239" s="127" t="s">
        <v>115</v>
      </c>
      <c r="AD239" s="127" t="s">
        <v>115</v>
      </c>
      <c r="AE239" s="127" t="s">
        <v>115</v>
      </c>
      <c r="AF239" s="127" t="s">
        <v>115</v>
      </c>
      <c r="AG239" s="127"/>
      <c r="AH239" s="123">
        <v>0</v>
      </c>
      <c r="AI239" s="123">
        <v>0</v>
      </c>
      <c r="AJ239" s="123">
        <v>0</v>
      </c>
      <c r="AK239" s="123">
        <v>0</v>
      </c>
      <c r="AL239" s="123">
        <v>0</v>
      </c>
      <c r="AN239" s="123">
        <f t="shared" si="3"/>
        <v>0</v>
      </c>
    </row>
    <row r="240" spans="1:43" x14ac:dyDescent="0.2">
      <c r="A240" s="123" t="s">
        <v>2905</v>
      </c>
      <c r="B240" s="123" t="s">
        <v>4806</v>
      </c>
      <c r="C240" s="123">
        <v>1</v>
      </c>
      <c r="D240" s="123">
        <v>1</v>
      </c>
      <c r="E240" s="123" t="s">
        <v>2601</v>
      </c>
      <c r="F240" s="125">
        <v>43558</v>
      </c>
      <c r="G240" s="125" t="s">
        <v>4027</v>
      </c>
      <c r="H240" s="125" t="s">
        <v>4752</v>
      </c>
      <c r="I240" s="171">
        <v>9.7222222222222224E-2</v>
      </c>
      <c r="J240" s="173">
        <v>1.6203703703703703E-3</v>
      </c>
      <c r="K240" s="129">
        <v>140</v>
      </c>
      <c r="M240" s="123" t="s">
        <v>173</v>
      </c>
      <c r="N240" s="123" t="s">
        <v>102</v>
      </c>
      <c r="O240" s="123" t="s">
        <v>115</v>
      </c>
      <c r="P240" s="123">
        <v>2</v>
      </c>
      <c r="Q240" s="123">
        <v>0</v>
      </c>
      <c r="R240" s="123">
        <v>0</v>
      </c>
      <c r="S240" s="123" t="s">
        <v>176</v>
      </c>
      <c r="T240" s="127" t="s">
        <v>24</v>
      </c>
      <c r="U240" s="127" t="s">
        <v>122</v>
      </c>
      <c r="V240" s="127" t="s">
        <v>115</v>
      </c>
      <c r="W240" s="127"/>
      <c r="X240" s="127"/>
      <c r="Y240" s="127"/>
      <c r="Z240" s="127" t="s">
        <v>115</v>
      </c>
      <c r="AA240" s="127" t="s">
        <v>115</v>
      </c>
      <c r="AB240" s="127" t="s">
        <v>115</v>
      </c>
      <c r="AC240" s="127" t="s">
        <v>115</v>
      </c>
      <c r="AD240" s="127" t="s">
        <v>115</v>
      </c>
      <c r="AE240" s="127" t="s">
        <v>115</v>
      </c>
      <c r="AF240" s="127" t="s">
        <v>115</v>
      </c>
      <c r="AG240" s="127"/>
      <c r="AH240" s="123">
        <v>0</v>
      </c>
      <c r="AI240" s="123">
        <v>0</v>
      </c>
      <c r="AJ240" s="123">
        <v>0</v>
      </c>
      <c r="AK240" s="123">
        <v>0</v>
      </c>
      <c r="AL240" s="123">
        <v>87</v>
      </c>
      <c r="AN240" s="123">
        <f t="shared" si="3"/>
        <v>87</v>
      </c>
      <c r="AO240" s="123" t="s">
        <v>188</v>
      </c>
    </row>
    <row r="241" spans="1:44" x14ac:dyDescent="0.2">
      <c r="A241" s="123" t="s">
        <v>2909</v>
      </c>
      <c r="B241" s="123" t="s">
        <v>4807</v>
      </c>
      <c r="C241" s="123">
        <v>3</v>
      </c>
      <c r="D241" s="123">
        <v>1</v>
      </c>
      <c r="E241" s="123" t="s">
        <v>2601</v>
      </c>
      <c r="F241" s="125">
        <v>43558</v>
      </c>
      <c r="G241" s="125" t="s">
        <v>4027</v>
      </c>
      <c r="H241" s="125" t="s">
        <v>4752</v>
      </c>
      <c r="I241" s="171">
        <v>3.472222222222222E-3</v>
      </c>
      <c r="J241" s="173">
        <v>5.7870370370370366E-5</v>
      </c>
      <c r="K241" s="129">
        <v>5</v>
      </c>
      <c r="M241" s="123" t="s">
        <v>173</v>
      </c>
      <c r="N241" s="123" t="s">
        <v>111</v>
      </c>
      <c r="O241" s="123" t="s">
        <v>23</v>
      </c>
      <c r="P241" s="123">
        <v>0</v>
      </c>
      <c r="Q241" s="123">
        <v>0</v>
      </c>
      <c r="R241" s="123">
        <v>1</v>
      </c>
      <c r="S241" s="123" t="s">
        <v>598</v>
      </c>
      <c r="T241" s="127" t="s">
        <v>2911</v>
      </c>
      <c r="U241" s="127" t="s">
        <v>122</v>
      </c>
      <c r="V241" s="127" t="s">
        <v>2088</v>
      </c>
      <c r="W241" s="127" t="s">
        <v>23</v>
      </c>
      <c r="X241" s="127" t="s">
        <v>3997</v>
      </c>
      <c r="Y241" s="127" t="s">
        <v>4021</v>
      </c>
      <c r="Z241" s="127" t="s">
        <v>2912</v>
      </c>
      <c r="AA241" s="123">
        <v>220</v>
      </c>
      <c r="AB241" s="123" t="s">
        <v>24</v>
      </c>
      <c r="AC241" s="123">
        <v>63.725769999999997</v>
      </c>
      <c r="AD241" s="123">
        <v>148.95903000000001</v>
      </c>
      <c r="AE241" s="127" t="s">
        <v>115</v>
      </c>
      <c r="AF241" s="127" t="s">
        <v>115</v>
      </c>
      <c r="AG241" s="127"/>
      <c r="AH241" s="123">
        <v>0</v>
      </c>
      <c r="AI241" s="123">
        <v>0</v>
      </c>
      <c r="AJ241" s="123">
        <v>0</v>
      </c>
      <c r="AK241" s="123">
        <v>0</v>
      </c>
      <c r="AL241" s="123">
        <v>0</v>
      </c>
      <c r="AN241" s="123">
        <f t="shared" si="3"/>
        <v>0</v>
      </c>
      <c r="AP241" s="123" t="s">
        <v>2913</v>
      </c>
    </row>
    <row r="242" spans="1:44" x14ac:dyDescent="0.2">
      <c r="A242" s="123" t="s">
        <v>3073</v>
      </c>
      <c r="B242" s="123" t="s">
        <v>4810</v>
      </c>
      <c r="C242" s="123">
        <v>2</v>
      </c>
      <c r="D242" s="123">
        <v>2</v>
      </c>
      <c r="E242" s="123" t="s">
        <v>2601</v>
      </c>
      <c r="F242" s="125">
        <v>43570</v>
      </c>
      <c r="G242" s="125" t="s">
        <v>4027</v>
      </c>
      <c r="H242" s="125" t="s">
        <v>4752</v>
      </c>
      <c r="I242" s="171">
        <v>6.805555555555555E-2</v>
      </c>
      <c r="J242" s="173">
        <v>1.1342592592592591E-3</v>
      </c>
      <c r="K242" s="129">
        <v>98</v>
      </c>
      <c r="L242" s="123" t="s">
        <v>101</v>
      </c>
      <c r="M242" s="123" t="s">
        <v>173</v>
      </c>
      <c r="N242" s="123" t="s">
        <v>102</v>
      </c>
      <c r="O242" s="123" t="s">
        <v>115</v>
      </c>
      <c r="P242" s="123">
        <v>1</v>
      </c>
      <c r="Q242" s="123">
        <v>0</v>
      </c>
      <c r="R242" s="123">
        <v>0</v>
      </c>
      <c r="S242" s="123" t="s">
        <v>176</v>
      </c>
      <c r="T242" s="127" t="s">
        <v>24</v>
      </c>
      <c r="U242" s="127" t="s">
        <v>122</v>
      </c>
      <c r="V242" s="127" t="s">
        <v>115</v>
      </c>
      <c r="W242" s="127"/>
      <c r="X242" s="127"/>
      <c r="Y242" s="127"/>
      <c r="Z242" s="127" t="s">
        <v>115</v>
      </c>
      <c r="AA242" s="127" t="s">
        <v>115</v>
      </c>
      <c r="AB242" s="127" t="s">
        <v>115</v>
      </c>
      <c r="AC242" s="127" t="s">
        <v>115</v>
      </c>
      <c r="AD242" s="127" t="s">
        <v>115</v>
      </c>
      <c r="AE242" s="127" t="s">
        <v>115</v>
      </c>
      <c r="AF242" s="127" t="s">
        <v>115</v>
      </c>
      <c r="AG242" s="127"/>
      <c r="AH242" s="123">
        <v>0</v>
      </c>
      <c r="AI242" s="123">
        <v>0</v>
      </c>
      <c r="AJ242" s="123">
        <v>0</v>
      </c>
      <c r="AK242" s="123">
        <v>0</v>
      </c>
      <c r="AL242" s="123">
        <v>60</v>
      </c>
      <c r="AN242" s="123">
        <f t="shared" si="3"/>
        <v>60</v>
      </c>
    </row>
    <row r="243" spans="1:44" x14ac:dyDescent="0.2">
      <c r="A243" s="123" t="s">
        <v>3079</v>
      </c>
      <c r="B243" s="123" t="s">
        <v>4811</v>
      </c>
      <c r="C243" s="123">
        <v>4</v>
      </c>
      <c r="D243" s="123">
        <v>1</v>
      </c>
      <c r="E243" s="123" t="s">
        <v>2601</v>
      </c>
      <c r="F243" s="125">
        <v>43570</v>
      </c>
      <c r="G243" s="125" t="s">
        <v>4027</v>
      </c>
      <c r="H243" s="125" t="s">
        <v>4752</v>
      </c>
      <c r="I243" s="171">
        <v>2.8472222222222222E-2</v>
      </c>
      <c r="J243" s="173">
        <v>4.7453703703703704E-4</v>
      </c>
      <c r="K243" s="129">
        <v>41</v>
      </c>
      <c r="L243" s="123" t="s">
        <v>101</v>
      </c>
      <c r="M243" s="123" t="s">
        <v>173</v>
      </c>
      <c r="N243" s="123" t="s">
        <v>102</v>
      </c>
      <c r="O243" s="123" t="s">
        <v>115</v>
      </c>
      <c r="P243" s="123">
        <v>1</v>
      </c>
      <c r="Q243" s="123">
        <v>0</v>
      </c>
      <c r="R243" s="123">
        <v>0</v>
      </c>
      <c r="S243" s="123" t="s">
        <v>176</v>
      </c>
      <c r="T243" s="127" t="s">
        <v>24</v>
      </c>
      <c r="U243" s="127" t="s">
        <v>122</v>
      </c>
      <c r="V243" s="127" t="s">
        <v>115</v>
      </c>
      <c r="W243" s="127"/>
      <c r="X243" s="127"/>
      <c r="Y243" s="127"/>
      <c r="Z243" s="127" t="s">
        <v>115</v>
      </c>
      <c r="AA243" s="127" t="s">
        <v>115</v>
      </c>
      <c r="AB243" s="127" t="s">
        <v>115</v>
      </c>
      <c r="AC243" s="127" t="s">
        <v>115</v>
      </c>
      <c r="AD243" s="127" t="s">
        <v>115</v>
      </c>
      <c r="AE243" s="127" t="s">
        <v>115</v>
      </c>
      <c r="AF243" s="127" t="s">
        <v>115</v>
      </c>
      <c r="AG243" s="127"/>
      <c r="AH243" s="123">
        <v>0</v>
      </c>
      <c r="AI243" s="123">
        <v>0</v>
      </c>
      <c r="AJ243" s="123">
        <v>0</v>
      </c>
      <c r="AK243" s="123">
        <v>0</v>
      </c>
      <c r="AL243" s="123">
        <v>41</v>
      </c>
      <c r="AN243" s="123">
        <f t="shared" si="3"/>
        <v>41</v>
      </c>
      <c r="AO243" s="123" t="s">
        <v>188</v>
      </c>
    </row>
    <row r="244" spans="1:44" x14ac:dyDescent="0.2">
      <c r="A244" s="123" t="s">
        <v>3081</v>
      </c>
      <c r="B244" s="123" t="s">
        <v>4812</v>
      </c>
      <c r="C244" s="123">
        <v>6</v>
      </c>
      <c r="D244" s="123">
        <v>1</v>
      </c>
      <c r="E244" s="123" t="s">
        <v>2601</v>
      </c>
      <c r="F244" s="125">
        <v>43570</v>
      </c>
      <c r="G244" s="125" t="s">
        <v>4027</v>
      </c>
      <c r="H244" s="125" t="s">
        <v>4752</v>
      </c>
      <c r="I244" s="171">
        <v>2.6388888888888889E-2</v>
      </c>
      <c r="J244" s="173">
        <v>4.3981481481481481E-4</v>
      </c>
      <c r="K244" s="129">
        <v>38</v>
      </c>
      <c r="L244" s="123" t="s">
        <v>101</v>
      </c>
      <c r="M244" s="123" t="s">
        <v>173</v>
      </c>
      <c r="N244" s="123" t="s">
        <v>107</v>
      </c>
      <c r="O244" s="123" t="s">
        <v>115</v>
      </c>
      <c r="P244" s="123">
        <v>1</v>
      </c>
      <c r="Q244" s="123">
        <v>0</v>
      </c>
      <c r="R244" s="123">
        <v>0</v>
      </c>
      <c r="S244" s="123" t="s">
        <v>176</v>
      </c>
      <c r="T244" s="127" t="s">
        <v>24</v>
      </c>
      <c r="U244" s="127" t="s">
        <v>122</v>
      </c>
      <c r="V244" s="127" t="s">
        <v>115</v>
      </c>
      <c r="W244" s="127"/>
      <c r="X244" s="127"/>
      <c r="Y244" s="127"/>
      <c r="Z244" s="127" t="s">
        <v>115</v>
      </c>
      <c r="AA244" s="127" t="s">
        <v>115</v>
      </c>
      <c r="AB244" s="127" t="s">
        <v>115</v>
      </c>
      <c r="AC244" s="127" t="s">
        <v>115</v>
      </c>
      <c r="AD244" s="127" t="s">
        <v>115</v>
      </c>
      <c r="AE244" s="127" t="s">
        <v>115</v>
      </c>
      <c r="AF244" s="127" t="s">
        <v>115</v>
      </c>
      <c r="AG244" s="127"/>
      <c r="AH244" s="123">
        <v>0</v>
      </c>
      <c r="AI244" s="123">
        <v>0</v>
      </c>
      <c r="AJ244" s="123">
        <v>0</v>
      </c>
      <c r="AK244" s="123">
        <v>0</v>
      </c>
      <c r="AL244" s="123">
        <v>0</v>
      </c>
      <c r="AN244" s="123">
        <f t="shared" si="3"/>
        <v>0</v>
      </c>
      <c r="AP244" s="123" t="s">
        <v>2405</v>
      </c>
    </row>
    <row r="245" spans="1:44" x14ac:dyDescent="0.2">
      <c r="A245" s="123" t="s">
        <v>3081</v>
      </c>
      <c r="B245" s="123" t="s">
        <v>4812</v>
      </c>
      <c r="C245" s="123">
        <v>6</v>
      </c>
      <c r="D245" s="123">
        <v>2</v>
      </c>
      <c r="E245" s="123" t="s">
        <v>2601</v>
      </c>
      <c r="F245" s="125">
        <v>43570</v>
      </c>
      <c r="G245" s="125" t="s">
        <v>4027</v>
      </c>
      <c r="H245" s="125" t="s">
        <v>4752</v>
      </c>
      <c r="I245" s="171">
        <v>2.6388888888888889E-2</v>
      </c>
      <c r="J245" s="173">
        <v>4.3981481481481481E-4</v>
      </c>
      <c r="K245" s="129">
        <v>38</v>
      </c>
      <c r="L245" s="123" t="s">
        <v>101</v>
      </c>
      <c r="M245" s="123" t="s">
        <v>173</v>
      </c>
      <c r="N245" s="123" t="s">
        <v>102</v>
      </c>
      <c r="O245" s="123" t="s">
        <v>115</v>
      </c>
      <c r="P245" s="123">
        <v>1</v>
      </c>
      <c r="Q245" s="123">
        <v>0</v>
      </c>
      <c r="R245" s="123">
        <v>0</v>
      </c>
      <c r="S245" s="123" t="s">
        <v>176</v>
      </c>
      <c r="T245" s="127" t="s">
        <v>24</v>
      </c>
      <c r="U245" s="127" t="s">
        <v>122</v>
      </c>
      <c r="V245" s="127" t="s">
        <v>115</v>
      </c>
      <c r="W245" s="127"/>
      <c r="X245" s="127"/>
      <c r="Y245" s="127"/>
      <c r="Z245" s="127" t="s">
        <v>115</v>
      </c>
      <c r="AA245" s="127" t="s">
        <v>115</v>
      </c>
      <c r="AB245" s="127" t="s">
        <v>115</v>
      </c>
      <c r="AC245" s="127" t="s">
        <v>115</v>
      </c>
      <c r="AD245" s="127" t="s">
        <v>115</v>
      </c>
      <c r="AE245" s="127" t="s">
        <v>115</v>
      </c>
      <c r="AF245" s="127" t="s">
        <v>115</v>
      </c>
      <c r="AG245" s="127"/>
      <c r="AH245" s="123">
        <v>0</v>
      </c>
      <c r="AI245" s="123">
        <v>0</v>
      </c>
      <c r="AJ245" s="123">
        <v>0</v>
      </c>
      <c r="AK245" s="123">
        <v>0</v>
      </c>
      <c r="AL245" s="123">
        <v>38</v>
      </c>
      <c r="AN245" s="123">
        <f t="shared" si="3"/>
        <v>38</v>
      </c>
      <c r="AO245" s="123" t="s">
        <v>188</v>
      </c>
    </row>
    <row r="246" spans="1:44" x14ac:dyDescent="0.2">
      <c r="A246" s="123" t="s">
        <v>3075</v>
      </c>
      <c r="B246" s="123" t="s">
        <v>4813</v>
      </c>
      <c r="C246" s="123">
        <v>3</v>
      </c>
      <c r="D246" s="123">
        <v>1</v>
      </c>
      <c r="E246" s="123" t="s">
        <v>2601</v>
      </c>
      <c r="F246" s="125">
        <v>43570</v>
      </c>
      <c r="G246" s="125" t="s">
        <v>4027</v>
      </c>
      <c r="H246" s="125" t="s">
        <v>4752</v>
      </c>
      <c r="I246" s="171">
        <v>3.1944444444444449E-2</v>
      </c>
      <c r="J246" s="173">
        <v>5.3240740740740744E-4</v>
      </c>
      <c r="K246" s="129">
        <v>46</v>
      </c>
      <c r="L246" s="123" t="s">
        <v>101</v>
      </c>
      <c r="M246" s="123" t="s">
        <v>173</v>
      </c>
      <c r="N246" s="123" t="s">
        <v>102</v>
      </c>
      <c r="O246" s="123" t="s">
        <v>115</v>
      </c>
      <c r="P246" s="123">
        <v>2</v>
      </c>
      <c r="Q246" s="123">
        <v>0</v>
      </c>
      <c r="R246" s="123">
        <v>0</v>
      </c>
      <c r="S246" s="123" t="s">
        <v>176</v>
      </c>
      <c r="T246" s="127" t="s">
        <v>24</v>
      </c>
      <c r="U246" s="127" t="s">
        <v>122</v>
      </c>
      <c r="V246" s="127" t="s">
        <v>115</v>
      </c>
      <c r="W246" s="127"/>
      <c r="X246" s="127"/>
      <c r="Y246" s="127"/>
      <c r="Z246" s="127" t="s">
        <v>115</v>
      </c>
      <c r="AA246" s="127" t="s">
        <v>115</v>
      </c>
      <c r="AB246" s="127" t="s">
        <v>115</v>
      </c>
      <c r="AC246" s="127" t="s">
        <v>115</v>
      </c>
      <c r="AD246" s="127" t="s">
        <v>115</v>
      </c>
      <c r="AE246" s="127" t="s">
        <v>115</v>
      </c>
      <c r="AF246" s="127" t="s">
        <v>115</v>
      </c>
      <c r="AG246" s="127"/>
      <c r="AH246" s="123">
        <v>0</v>
      </c>
      <c r="AI246" s="123">
        <v>0</v>
      </c>
      <c r="AJ246" s="123">
        <v>0</v>
      </c>
      <c r="AK246" s="123">
        <v>0</v>
      </c>
      <c r="AL246" s="123">
        <v>46</v>
      </c>
      <c r="AN246" s="123">
        <f t="shared" si="3"/>
        <v>46</v>
      </c>
      <c r="AO246" s="123" t="s">
        <v>188</v>
      </c>
      <c r="AP246" s="123" t="s">
        <v>4814</v>
      </c>
    </row>
    <row r="247" spans="1:44" x14ac:dyDescent="0.2">
      <c r="A247" s="123" t="s">
        <v>3069</v>
      </c>
      <c r="B247" s="123" t="s">
        <v>4818</v>
      </c>
      <c r="C247" s="123">
        <v>1</v>
      </c>
      <c r="D247" s="123">
        <v>1</v>
      </c>
      <c r="E247" s="123" t="s">
        <v>2601</v>
      </c>
      <c r="F247" s="125">
        <v>43570</v>
      </c>
      <c r="G247" s="125" t="s">
        <v>4027</v>
      </c>
      <c r="H247" s="125" t="s">
        <v>4752</v>
      </c>
      <c r="I247" s="171">
        <v>3.3333333333333333E-2</v>
      </c>
      <c r="J247" s="173">
        <v>5.5555555555555556E-4</v>
      </c>
      <c r="K247" s="129">
        <v>48</v>
      </c>
      <c r="L247" s="123" t="s">
        <v>101</v>
      </c>
      <c r="M247" s="123" t="s">
        <v>173</v>
      </c>
      <c r="N247" s="123" t="s">
        <v>102</v>
      </c>
      <c r="O247" s="123" t="s">
        <v>23</v>
      </c>
      <c r="P247" s="123">
        <v>1</v>
      </c>
      <c r="Q247" s="123">
        <v>1</v>
      </c>
      <c r="R247" s="123">
        <v>0</v>
      </c>
      <c r="S247" s="123" t="s">
        <v>461</v>
      </c>
      <c r="T247" s="127" t="s">
        <v>3071</v>
      </c>
      <c r="U247" s="127" t="s">
        <v>1035</v>
      </c>
      <c r="V247" s="127" t="s">
        <v>115</v>
      </c>
      <c r="W247" s="127"/>
      <c r="X247" s="127"/>
      <c r="Y247" s="127"/>
      <c r="Z247" s="127" t="s">
        <v>115</v>
      </c>
      <c r="AA247" s="127" t="s">
        <v>115</v>
      </c>
      <c r="AB247" s="127" t="s">
        <v>115</v>
      </c>
      <c r="AC247" s="127" t="s">
        <v>115</v>
      </c>
      <c r="AD247" s="127" t="s">
        <v>115</v>
      </c>
      <c r="AE247" s="123">
        <v>63.724440000000001</v>
      </c>
      <c r="AF247" s="123">
        <v>148.95590000000001</v>
      </c>
      <c r="AH247" s="123">
        <v>0</v>
      </c>
      <c r="AI247" s="123">
        <v>0</v>
      </c>
      <c r="AJ247" s="123">
        <v>0</v>
      </c>
      <c r="AK247" s="123">
        <v>0</v>
      </c>
      <c r="AL247" s="123">
        <v>10</v>
      </c>
      <c r="AN247" s="123">
        <f t="shared" si="3"/>
        <v>10</v>
      </c>
      <c r="AO247" s="123" t="s">
        <v>188</v>
      </c>
      <c r="AP247" s="123" t="s">
        <v>3072</v>
      </c>
    </row>
    <row r="248" spans="1:44" x14ac:dyDescent="0.2">
      <c r="A248" s="123" t="s">
        <v>3073</v>
      </c>
      <c r="B248" s="123" t="s">
        <v>4810</v>
      </c>
      <c r="C248" s="123">
        <v>2</v>
      </c>
      <c r="D248" s="123">
        <v>1</v>
      </c>
      <c r="E248" s="123" t="s">
        <v>2601</v>
      </c>
      <c r="F248" s="125">
        <v>43570</v>
      </c>
      <c r="G248" s="125" t="s">
        <v>4027</v>
      </c>
      <c r="H248" s="125" t="s">
        <v>4752</v>
      </c>
      <c r="I248" s="171">
        <v>6.805555555555555E-2</v>
      </c>
      <c r="J248" s="173">
        <v>1.1342592592592591E-3</v>
      </c>
      <c r="K248" s="129">
        <v>98</v>
      </c>
      <c r="L248" s="123" t="s">
        <v>101</v>
      </c>
      <c r="M248" s="123" t="s">
        <v>173</v>
      </c>
      <c r="N248" s="123" t="s">
        <v>107</v>
      </c>
      <c r="O248" s="123" t="s">
        <v>115</v>
      </c>
      <c r="P248" s="123">
        <v>0</v>
      </c>
      <c r="Q248" s="123">
        <v>0</v>
      </c>
      <c r="R248" s="123">
        <v>0</v>
      </c>
      <c r="S248" s="123" t="s">
        <v>461</v>
      </c>
      <c r="T248" s="127" t="s">
        <v>3071</v>
      </c>
      <c r="U248" s="127" t="s">
        <v>115</v>
      </c>
      <c r="V248" s="127" t="s">
        <v>115</v>
      </c>
      <c r="W248" s="127"/>
      <c r="X248" s="127"/>
      <c r="Y248" s="127"/>
      <c r="Z248" s="127" t="s">
        <v>115</v>
      </c>
      <c r="AA248" s="127" t="s">
        <v>115</v>
      </c>
      <c r="AB248" s="127" t="s">
        <v>115</v>
      </c>
      <c r="AC248" s="127" t="s">
        <v>115</v>
      </c>
      <c r="AD248" s="127" t="s">
        <v>115</v>
      </c>
      <c r="AE248" s="127" t="s">
        <v>115</v>
      </c>
      <c r="AF248" s="127" t="s">
        <v>115</v>
      </c>
      <c r="AG248" s="127"/>
      <c r="AH248" s="123">
        <v>0</v>
      </c>
      <c r="AI248" s="123">
        <v>0</v>
      </c>
      <c r="AJ248" s="123">
        <v>0</v>
      </c>
      <c r="AK248" s="123">
        <v>0</v>
      </c>
      <c r="AL248" s="123">
        <v>0</v>
      </c>
      <c r="AN248" s="123">
        <f t="shared" si="3"/>
        <v>0</v>
      </c>
    </row>
    <row r="249" spans="1:44" x14ac:dyDescent="0.2">
      <c r="A249" s="123" t="s">
        <v>3275</v>
      </c>
      <c r="B249" s="123" t="s">
        <v>4821</v>
      </c>
      <c r="C249" s="123">
        <v>1</v>
      </c>
      <c r="D249" s="123">
        <v>2</v>
      </c>
      <c r="E249" s="123" t="s">
        <v>2601</v>
      </c>
      <c r="F249" s="125">
        <v>43573</v>
      </c>
      <c r="G249" s="125" t="s">
        <v>4027</v>
      </c>
      <c r="H249" s="125" t="s">
        <v>4752</v>
      </c>
      <c r="I249" s="171">
        <v>7.7083333333333337E-2</v>
      </c>
      <c r="J249" s="173">
        <v>1.2847222222222223E-3</v>
      </c>
      <c r="K249" s="129">
        <v>111</v>
      </c>
      <c r="L249" s="123" t="s">
        <v>3277</v>
      </c>
      <c r="M249" s="123" t="s">
        <v>173</v>
      </c>
      <c r="N249" s="123" t="s">
        <v>102</v>
      </c>
      <c r="O249" s="123" t="s">
        <v>23</v>
      </c>
      <c r="P249" s="123">
        <v>1</v>
      </c>
      <c r="Q249" s="123" t="s">
        <v>24</v>
      </c>
      <c r="R249" s="123">
        <v>0</v>
      </c>
      <c r="S249" s="123" t="s">
        <v>176</v>
      </c>
      <c r="T249" s="127" t="s">
        <v>24</v>
      </c>
      <c r="U249" s="127" t="s">
        <v>487</v>
      </c>
      <c r="V249" s="127" t="s">
        <v>115</v>
      </c>
      <c r="W249" s="127"/>
      <c r="X249" s="127"/>
      <c r="Y249" s="127"/>
      <c r="Z249" s="127" t="s">
        <v>115</v>
      </c>
      <c r="AA249" s="127" t="s">
        <v>115</v>
      </c>
      <c r="AB249" s="127" t="s">
        <v>115</v>
      </c>
      <c r="AC249" s="127" t="s">
        <v>115</v>
      </c>
      <c r="AD249" s="127" t="s">
        <v>115</v>
      </c>
      <c r="AE249" s="127" t="s">
        <v>115</v>
      </c>
      <c r="AF249" s="127" t="s">
        <v>115</v>
      </c>
      <c r="AG249" s="127" t="s">
        <v>115</v>
      </c>
      <c r="AH249" s="123">
        <v>41</v>
      </c>
      <c r="AI249" s="123">
        <v>0</v>
      </c>
      <c r="AJ249" s="123">
        <v>0</v>
      </c>
      <c r="AK249" s="123">
        <v>41</v>
      </c>
      <c r="AL249" s="123">
        <v>23</v>
      </c>
      <c r="AN249" s="123">
        <f t="shared" si="3"/>
        <v>64</v>
      </c>
      <c r="AO249" s="123" t="s">
        <v>2374</v>
      </c>
      <c r="AQ249" s="123">
        <v>1</v>
      </c>
      <c r="AR249" s="123">
        <v>0</v>
      </c>
    </row>
    <row r="250" spans="1:44" x14ac:dyDescent="0.2">
      <c r="A250" s="123" t="s">
        <v>3275</v>
      </c>
      <c r="B250" s="123" t="s">
        <v>4821</v>
      </c>
      <c r="C250" s="123">
        <v>1</v>
      </c>
      <c r="D250" s="123">
        <v>1</v>
      </c>
      <c r="E250" s="123" t="s">
        <v>2601</v>
      </c>
      <c r="F250" s="125">
        <v>43573</v>
      </c>
      <c r="G250" s="125" t="s">
        <v>4027</v>
      </c>
      <c r="H250" s="125" t="s">
        <v>4752</v>
      </c>
      <c r="I250" s="171">
        <v>7.7083333333333337E-2</v>
      </c>
      <c r="J250" s="173">
        <v>1.2847222222222223E-3</v>
      </c>
      <c r="K250" s="129">
        <v>111</v>
      </c>
      <c r="L250" s="123" t="s">
        <v>3277</v>
      </c>
      <c r="M250" s="123" t="s">
        <v>173</v>
      </c>
      <c r="N250" s="123" t="s">
        <v>102</v>
      </c>
      <c r="O250" s="123" t="s">
        <v>115</v>
      </c>
      <c r="P250" s="123">
        <v>1</v>
      </c>
      <c r="Q250" s="123">
        <v>0</v>
      </c>
      <c r="R250" s="123">
        <v>0</v>
      </c>
      <c r="S250" s="123" t="s">
        <v>176</v>
      </c>
      <c r="T250" s="127" t="s">
        <v>24</v>
      </c>
      <c r="U250" s="127" t="s">
        <v>122</v>
      </c>
      <c r="V250" s="127" t="s">
        <v>115</v>
      </c>
      <c r="W250" s="127"/>
      <c r="X250" s="127"/>
      <c r="Y250" s="127"/>
      <c r="Z250" s="127" t="s">
        <v>115</v>
      </c>
      <c r="AA250" s="127" t="s">
        <v>115</v>
      </c>
      <c r="AB250" s="127" t="s">
        <v>115</v>
      </c>
      <c r="AC250" s="127" t="s">
        <v>115</v>
      </c>
      <c r="AD250" s="127" t="s">
        <v>115</v>
      </c>
      <c r="AE250" s="127" t="s">
        <v>115</v>
      </c>
      <c r="AF250" s="127" t="s">
        <v>115</v>
      </c>
      <c r="AG250" s="127" t="s">
        <v>115</v>
      </c>
      <c r="AH250" s="123">
        <v>0</v>
      </c>
      <c r="AI250" s="123">
        <v>0</v>
      </c>
      <c r="AJ250" s="123">
        <v>0</v>
      </c>
      <c r="AK250" s="123">
        <v>0</v>
      </c>
      <c r="AL250" s="123">
        <v>39</v>
      </c>
      <c r="AN250" s="123">
        <f t="shared" si="3"/>
        <v>39</v>
      </c>
      <c r="AO250" s="123" t="s">
        <v>188</v>
      </c>
    </row>
    <row r="251" spans="1:44" x14ac:dyDescent="0.2">
      <c r="A251" s="123" t="s">
        <v>3282</v>
      </c>
      <c r="B251" s="123" t="s">
        <v>4822</v>
      </c>
      <c r="C251" s="123">
        <v>4</v>
      </c>
      <c r="D251" s="123">
        <v>1</v>
      </c>
      <c r="E251" s="123" t="s">
        <v>2601</v>
      </c>
      <c r="F251" s="125">
        <v>43573</v>
      </c>
      <c r="G251" s="125" t="s">
        <v>4027</v>
      </c>
      <c r="H251" s="125" t="s">
        <v>4752</v>
      </c>
      <c r="I251" s="171">
        <v>1.3194444444444444E-2</v>
      </c>
      <c r="J251" s="173">
        <v>2.199074074074074E-4</v>
      </c>
      <c r="K251" s="129">
        <v>19</v>
      </c>
      <c r="L251" s="123" t="s">
        <v>3277</v>
      </c>
      <c r="M251" s="123" t="s">
        <v>173</v>
      </c>
      <c r="N251" s="123" t="s">
        <v>111</v>
      </c>
      <c r="O251" s="123" t="s">
        <v>23</v>
      </c>
      <c r="P251" s="123">
        <v>0</v>
      </c>
      <c r="Q251" s="123">
        <v>0</v>
      </c>
      <c r="R251" s="123">
        <v>1</v>
      </c>
      <c r="S251" s="123" t="s">
        <v>598</v>
      </c>
      <c r="T251" s="127" t="s">
        <v>2801</v>
      </c>
      <c r="U251" s="127" t="s">
        <v>115</v>
      </c>
      <c r="V251" s="127" t="s">
        <v>333</v>
      </c>
      <c r="W251" s="127" t="s">
        <v>23</v>
      </c>
      <c r="X251" s="127" t="s">
        <v>3999</v>
      </c>
      <c r="Y251" s="127" t="s">
        <v>4006</v>
      </c>
      <c r="Z251" s="127" t="s">
        <v>2850</v>
      </c>
      <c r="AA251" s="127">
        <v>120</v>
      </c>
      <c r="AB251" s="127" t="s">
        <v>176</v>
      </c>
      <c r="AC251" s="127">
        <v>63.726089999999999</v>
      </c>
      <c r="AD251" s="127">
        <v>148.95284000000001</v>
      </c>
      <c r="AE251" s="127" t="s">
        <v>115</v>
      </c>
      <c r="AF251" s="127" t="s">
        <v>115</v>
      </c>
      <c r="AG251" s="127" t="s">
        <v>115</v>
      </c>
      <c r="AH251" s="123">
        <v>0</v>
      </c>
      <c r="AI251" s="123">
        <v>0</v>
      </c>
      <c r="AJ251" s="123">
        <v>0</v>
      </c>
      <c r="AK251" s="123">
        <v>0</v>
      </c>
      <c r="AL251" s="123">
        <v>0</v>
      </c>
      <c r="AN251" s="123">
        <f t="shared" si="3"/>
        <v>0</v>
      </c>
    </row>
    <row r="252" spans="1:44" x14ac:dyDescent="0.2">
      <c r="A252" s="123" t="s">
        <v>3280</v>
      </c>
      <c r="B252" s="123" t="s">
        <v>4823</v>
      </c>
      <c r="C252" s="123">
        <v>3</v>
      </c>
      <c r="D252" s="123">
        <v>1</v>
      </c>
      <c r="E252" s="123" t="s">
        <v>2601</v>
      </c>
      <c r="F252" s="125">
        <v>43573</v>
      </c>
      <c r="G252" s="125" t="s">
        <v>4027</v>
      </c>
      <c r="H252" s="125" t="s">
        <v>4752</v>
      </c>
      <c r="I252" s="171">
        <v>2.2222222222222223E-2</v>
      </c>
      <c r="J252" s="173">
        <v>3.7037037037037035E-4</v>
      </c>
      <c r="K252" s="129">
        <v>32</v>
      </c>
      <c r="L252" s="123" t="s">
        <v>3277</v>
      </c>
      <c r="M252" s="123" t="s">
        <v>173</v>
      </c>
      <c r="N252" s="123" t="s">
        <v>107</v>
      </c>
      <c r="O252" s="123" t="s">
        <v>115</v>
      </c>
      <c r="P252" s="123">
        <v>1</v>
      </c>
      <c r="Q252" s="123">
        <v>0</v>
      </c>
      <c r="R252" s="123">
        <v>0</v>
      </c>
      <c r="S252" s="123" t="s">
        <v>598</v>
      </c>
      <c r="T252" s="127" t="s">
        <v>2801</v>
      </c>
      <c r="U252" s="127" t="s">
        <v>122</v>
      </c>
      <c r="V252" s="127" t="s">
        <v>115</v>
      </c>
      <c r="W252" s="127"/>
      <c r="X252" s="127"/>
      <c r="Y252" s="127"/>
      <c r="Z252" s="127" t="s">
        <v>115</v>
      </c>
      <c r="AA252" s="127" t="s">
        <v>115</v>
      </c>
      <c r="AB252" s="127" t="s">
        <v>115</v>
      </c>
      <c r="AC252" s="127" t="s">
        <v>115</v>
      </c>
      <c r="AD252" s="127" t="s">
        <v>115</v>
      </c>
      <c r="AE252" s="127" t="s">
        <v>115</v>
      </c>
      <c r="AF252" s="127" t="s">
        <v>115</v>
      </c>
      <c r="AG252" s="127" t="s">
        <v>115</v>
      </c>
      <c r="AH252" s="123">
        <v>0</v>
      </c>
      <c r="AI252" s="123">
        <v>0</v>
      </c>
      <c r="AJ252" s="123">
        <v>0</v>
      </c>
      <c r="AK252" s="123">
        <v>0</v>
      </c>
      <c r="AL252" s="123">
        <v>0</v>
      </c>
      <c r="AN252" s="123">
        <f t="shared" si="3"/>
        <v>0</v>
      </c>
      <c r="AP252" s="123" t="s">
        <v>2480</v>
      </c>
    </row>
    <row r="253" spans="1:44" x14ac:dyDescent="0.2">
      <c r="A253" s="123" t="s">
        <v>3274</v>
      </c>
      <c r="B253" s="123" t="s">
        <v>4824</v>
      </c>
      <c r="C253" s="123">
        <v>2</v>
      </c>
      <c r="D253" s="123">
        <v>2</v>
      </c>
      <c r="E253" s="123" t="s">
        <v>2601</v>
      </c>
      <c r="F253" s="125">
        <v>43573</v>
      </c>
      <c r="G253" s="125" t="s">
        <v>4027</v>
      </c>
      <c r="H253" s="125" t="s">
        <v>4752</v>
      </c>
      <c r="I253" s="171">
        <v>4.2361111111111106E-2</v>
      </c>
      <c r="J253" s="173">
        <v>7.0601851851851847E-4</v>
      </c>
      <c r="K253" s="129">
        <v>61</v>
      </c>
      <c r="L253" s="123" t="s">
        <v>3277</v>
      </c>
      <c r="M253" s="123" t="s">
        <v>173</v>
      </c>
      <c r="N253" s="123" t="s">
        <v>102</v>
      </c>
      <c r="O253" s="123" t="s">
        <v>23</v>
      </c>
      <c r="P253" s="123">
        <v>1</v>
      </c>
      <c r="Q253" s="123">
        <v>0</v>
      </c>
      <c r="R253" s="123">
        <v>0</v>
      </c>
      <c r="S253" s="123" t="s">
        <v>598</v>
      </c>
      <c r="T253" s="127" t="s">
        <v>2506</v>
      </c>
      <c r="U253" s="127" t="s">
        <v>263</v>
      </c>
      <c r="V253" s="127" t="s">
        <v>115</v>
      </c>
      <c r="W253" s="127"/>
      <c r="X253" s="127"/>
      <c r="Y253" s="127"/>
      <c r="Z253" s="127" t="s">
        <v>115</v>
      </c>
      <c r="AA253" s="127" t="s">
        <v>115</v>
      </c>
      <c r="AB253" s="127" t="s">
        <v>115</v>
      </c>
      <c r="AC253" s="127" t="s">
        <v>115</v>
      </c>
      <c r="AD253" s="127" t="s">
        <v>115</v>
      </c>
      <c r="AE253" s="127" t="s">
        <v>115</v>
      </c>
      <c r="AF253" s="127" t="s">
        <v>115</v>
      </c>
      <c r="AG253" s="127" t="s">
        <v>115</v>
      </c>
      <c r="AH253" s="123">
        <v>35</v>
      </c>
      <c r="AI253" s="123">
        <v>0</v>
      </c>
      <c r="AJ253" s="123">
        <v>0</v>
      </c>
      <c r="AK253" s="123">
        <v>35</v>
      </c>
      <c r="AL253" s="123">
        <v>0</v>
      </c>
      <c r="AN253" s="123">
        <f t="shared" si="3"/>
        <v>35</v>
      </c>
      <c r="AO253" s="123" t="s">
        <v>123</v>
      </c>
      <c r="AQ253" s="123">
        <v>0</v>
      </c>
      <c r="AR253" s="123">
        <v>1</v>
      </c>
    </row>
    <row r="254" spans="1:44" x14ac:dyDescent="0.2">
      <c r="A254" s="123" t="s">
        <v>3274</v>
      </c>
      <c r="B254" s="123" t="s">
        <v>4824</v>
      </c>
      <c r="C254" s="123">
        <v>2</v>
      </c>
      <c r="D254" s="123">
        <v>1</v>
      </c>
      <c r="E254" s="123" t="s">
        <v>2601</v>
      </c>
      <c r="F254" s="125">
        <v>43573</v>
      </c>
      <c r="G254" s="125" t="s">
        <v>4027</v>
      </c>
      <c r="H254" s="125" t="s">
        <v>4752</v>
      </c>
      <c r="I254" s="171">
        <v>4.2361111111111106E-2</v>
      </c>
      <c r="J254" s="173">
        <v>7.0601851851851847E-4</v>
      </c>
      <c r="K254" s="129">
        <v>61</v>
      </c>
      <c r="L254" s="123" t="s">
        <v>3277</v>
      </c>
      <c r="M254" s="123" t="s">
        <v>173</v>
      </c>
      <c r="N254" s="123" t="s">
        <v>102</v>
      </c>
      <c r="O254" s="123" t="s">
        <v>115</v>
      </c>
      <c r="P254" s="123">
        <v>1</v>
      </c>
      <c r="Q254" s="123">
        <v>0</v>
      </c>
      <c r="R254" s="123" t="s">
        <v>24</v>
      </c>
      <c r="S254" s="123" t="s">
        <v>14</v>
      </c>
      <c r="T254" s="127" t="s">
        <v>3279</v>
      </c>
      <c r="U254" s="127" t="s">
        <v>122</v>
      </c>
      <c r="V254" s="127" t="s">
        <v>115</v>
      </c>
      <c r="W254" s="127"/>
      <c r="X254" s="127"/>
      <c r="Y254" s="127"/>
      <c r="Z254" s="127" t="s">
        <v>115</v>
      </c>
      <c r="AA254" s="127" t="s">
        <v>115</v>
      </c>
      <c r="AB254" s="127" t="s">
        <v>115</v>
      </c>
      <c r="AC254" s="127" t="s">
        <v>115</v>
      </c>
      <c r="AD254" s="127" t="s">
        <v>115</v>
      </c>
      <c r="AE254" s="127" t="s">
        <v>115</v>
      </c>
      <c r="AF254" s="127" t="s">
        <v>115</v>
      </c>
      <c r="AG254" s="127" t="s">
        <v>115</v>
      </c>
      <c r="AH254" s="123">
        <v>0</v>
      </c>
      <c r="AI254" s="123">
        <v>0</v>
      </c>
      <c r="AJ254" s="123">
        <v>0</v>
      </c>
      <c r="AK254" s="123">
        <v>0</v>
      </c>
      <c r="AL254" s="123">
        <v>26</v>
      </c>
      <c r="AN254" s="123">
        <f t="shared" si="3"/>
        <v>26</v>
      </c>
      <c r="AO254" s="123" t="s">
        <v>188</v>
      </c>
    </row>
    <row r="255" spans="1:44" x14ac:dyDescent="0.2">
      <c r="A255" s="123" t="s">
        <v>3429</v>
      </c>
      <c r="B255" s="123" t="s">
        <v>4826</v>
      </c>
      <c r="C255" s="123">
        <v>1</v>
      </c>
      <c r="D255" s="123">
        <v>2</v>
      </c>
      <c r="E255" s="123" t="s">
        <v>2601</v>
      </c>
      <c r="F255" s="125">
        <v>43579</v>
      </c>
      <c r="G255" s="125" t="s">
        <v>4027</v>
      </c>
      <c r="H255" s="125" t="s">
        <v>4752</v>
      </c>
      <c r="I255" s="171">
        <v>5.9722222222222225E-2</v>
      </c>
      <c r="J255" s="173">
        <v>9.9537037037037042E-4</v>
      </c>
      <c r="K255" s="129">
        <v>86</v>
      </c>
      <c r="L255" s="123" t="s">
        <v>101</v>
      </c>
      <c r="M255" s="123" t="s">
        <v>173</v>
      </c>
      <c r="N255" s="123" t="s">
        <v>102</v>
      </c>
      <c r="O255" s="123" t="s">
        <v>115</v>
      </c>
      <c r="P255" s="123">
        <v>1</v>
      </c>
      <c r="Q255" s="123">
        <v>0</v>
      </c>
      <c r="R255" s="123">
        <v>0</v>
      </c>
      <c r="S255" s="123" t="s">
        <v>176</v>
      </c>
      <c r="T255" s="127" t="s">
        <v>24</v>
      </c>
      <c r="U255" s="127" t="s">
        <v>122</v>
      </c>
      <c r="V255" s="127" t="s">
        <v>115</v>
      </c>
      <c r="W255" s="127"/>
      <c r="X255" s="127"/>
      <c r="Y255" s="127"/>
      <c r="Z255" s="127" t="s">
        <v>115</v>
      </c>
      <c r="AA255" s="127" t="s">
        <v>115</v>
      </c>
      <c r="AB255" s="127" t="s">
        <v>115</v>
      </c>
      <c r="AC255" s="127" t="s">
        <v>115</v>
      </c>
      <c r="AD255" s="127" t="s">
        <v>115</v>
      </c>
      <c r="AE255" s="127" t="s">
        <v>115</v>
      </c>
      <c r="AF255" s="127" t="s">
        <v>115</v>
      </c>
      <c r="AG255" s="127" t="s">
        <v>115</v>
      </c>
      <c r="AH255" s="123">
        <v>0</v>
      </c>
      <c r="AI255" s="123">
        <v>0</v>
      </c>
      <c r="AJ255" s="123">
        <v>0</v>
      </c>
      <c r="AK255" s="123">
        <v>0</v>
      </c>
      <c r="AL255" s="123">
        <v>46</v>
      </c>
      <c r="AN255" s="123">
        <f t="shared" si="3"/>
        <v>46</v>
      </c>
      <c r="AO255" s="123" t="s">
        <v>188</v>
      </c>
    </row>
    <row r="256" spans="1:44" x14ac:dyDescent="0.2">
      <c r="A256" s="123" t="s">
        <v>3444</v>
      </c>
      <c r="B256" s="123" t="s">
        <v>4827</v>
      </c>
      <c r="C256" s="123">
        <v>9</v>
      </c>
      <c r="D256" s="123">
        <v>1</v>
      </c>
      <c r="E256" s="123" t="s">
        <v>2601</v>
      </c>
      <c r="F256" s="125">
        <v>43579</v>
      </c>
      <c r="G256" s="125" t="s">
        <v>4027</v>
      </c>
      <c r="H256" s="125" t="s">
        <v>4752</v>
      </c>
      <c r="I256" s="171">
        <v>3.8194444444444441E-2</v>
      </c>
      <c r="J256" s="173">
        <v>6.3657407407407402E-4</v>
      </c>
      <c r="K256" s="129">
        <v>55</v>
      </c>
      <c r="L256" s="123" t="s">
        <v>101</v>
      </c>
      <c r="M256" s="123" t="s">
        <v>173</v>
      </c>
      <c r="N256" s="123" t="s">
        <v>102</v>
      </c>
      <c r="O256" s="123" t="s">
        <v>115</v>
      </c>
      <c r="P256" s="123">
        <v>1</v>
      </c>
      <c r="Q256" s="123">
        <v>0</v>
      </c>
      <c r="R256" s="123">
        <v>0</v>
      </c>
      <c r="S256" s="123" t="s">
        <v>176</v>
      </c>
      <c r="T256" s="127" t="s">
        <v>24</v>
      </c>
      <c r="U256" s="127" t="s">
        <v>122</v>
      </c>
      <c r="V256" s="127" t="s">
        <v>115</v>
      </c>
      <c r="W256" s="127"/>
      <c r="X256" s="127"/>
      <c r="Y256" s="127"/>
      <c r="Z256" s="127" t="s">
        <v>115</v>
      </c>
      <c r="AA256" s="127" t="s">
        <v>115</v>
      </c>
      <c r="AB256" s="127" t="s">
        <v>115</v>
      </c>
      <c r="AC256" s="127" t="s">
        <v>115</v>
      </c>
      <c r="AD256" s="127" t="s">
        <v>115</v>
      </c>
      <c r="AE256" s="127" t="s">
        <v>115</v>
      </c>
      <c r="AF256" s="127" t="s">
        <v>115</v>
      </c>
      <c r="AG256" s="127" t="s">
        <v>115</v>
      </c>
      <c r="AH256" s="123">
        <v>0</v>
      </c>
      <c r="AI256" s="123">
        <v>0</v>
      </c>
      <c r="AJ256" s="123">
        <v>0</v>
      </c>
      <c r="AK256" s="123">
        <v>0</v>
      </c>
      <c r="AL256" s="123">
        <v>42</v>
      </c>
      <c r="AN256" s="123">
        <f t="shared" si="3"/>
        <v>42</v>
      </c>
    </row>
    <row r="257" spans="1:44" x14ac:dyDescent="0.2">
      <c r="A257" s="123" t="s">
        <v>2018</v>
      </c>
      <c r="B257" s="123" t="s">
        <v>4829</v>
      </c>
      <c r="C257" s="123">
        <v>6</v>
      </c>
      <c r="D257" s="123">
        <v>1</v>
      </c>
      <c r="E257" s="123" t="s">
        <v>2601</v>
      </c>
      <c r="F257" s="125">
        <v>43579</v>
      </c>
      <c r="G257" s="125" t="s">
        <v>4027</v>
      </c>
      <c r="H257" s="125" t="s">
        <v>4752</v>
      </c>
      <c r="I257" s="171">
        <v>9.7222222222222224E-3</v>
      </c>
      <c r="J257" s="173">
        <v>1.6203703703703703E-4</v>
      </c>
      <c r="K257" s="129">
        <v>14</v>
      </c>
      <c r="L257" s="123" t="s">
        <v>101</v>
      </c>
      <c r="M257" s="123" t="s">
        <v>173</v>
      </c>
      <c r="N257" s="123" t="s">
        <v>102</v>
      </c>
      <c r="O257" s="123" t="s">
        <v>23</v>
      </c>
      <c r="P257" s="123">
        <v>1</v>
      </c>
      <c r="Q257" s="123">
        <v>0</v>
      </c>
      <c r="R257" s="123">
        <v>0</v>
      </c>
      <c r="S257" s="123" t="s">
        <v>176</v>
      </c>
      <c r="T257" s="127" t="s">
        <v>24</v>
      </c>
      <c r="U257" s="127" t="s">
        <v>1940</v>
      </c>
      <c r="V257" s="127" t="s">
        <v>115</v>
      </c>
      <c r="W257" s="127"/>
      <c r="X257" s="127"/>
      <c r="Y257" s="127"/>
      <c r="Z257" s="127" t="s">
        <v>115</v>
      </c>
      <c r="AA257" s="127" t="s">
        <v>115</v>
      </c>
      <c r="AB257" s="127" t="s">
        <v>115</v>
      </c>
      <c r="AC257" s="127" t="s">
        <v>115</v>
      </c>
      <c r="AD257" s="127" t="s">
        <v>115</v>
      </c>
      <c r="AE257" s="127" t="s">
        <v>115</v>
      </c>
      <c r="AF257" s="127" t="s">
        <v>115</v>
      </c>
      <c r="AG257" s="127" t="s">
        <v>115</v>
      </c>
      <c r="AH257" s="123">
        <v>9</v>
      </c>
      <c r="AI257" s="123">
        <v>0</v>
      </c>
      <c r="AJ257" s="123">
        <v>9</v>
      </c>
      <c r="AK257" s="123">
        <v>0</v>
      </c>
      <c r="AL257" s="123">
        <v>0</v>
      </c>
      <c r="AN257" s="123">
        <f t="shared" si="3"/>
        <v>9</v>
      </c>
      <c r="AO257" s="123" t="s">
        <v>16</v>
      </c>
      <c r="AQ257" s="123">
        <v>0</v>
      </c>
      <c r="AR257" s="123">
        <v>1</v>
      </c>
    </row>
    <row r="258" spans="1:44" x14ac:dyDescent="0.2">
      <c r="A258" s="123" t="s">
        <v>3442</v>
      </c>
      <c r="B258" s="123" t="s">
        <v>4830</v>
      </c>
      <c r="C258" s="123">
        <v>8</v>
      </c>
      <c r="D258" s="123">
        <v>1</v>
      </c>
      <c r="E258" s="123" t="s">
        <v>2601</v>
      </c>
      <c r="F258" s="125">
        <v>43579</v>
      </c>
      <c r="G258" s="125" t="s">
        <v>4027</v>
      </c>
      <c r="H258" s="125" t="s">
        <v>4752</v>
      </c>
      <c r="I258" s="171">
        <v>4.1666666666666666E-3</v>
      </c>
      <c r="J258" s="173">
        <v>6.9444444444444444E-5</v>
      </c>
      <c r="K258" s="129">
        <v>6</v>
      </c>
      <c r="L258" s="123" t="s">
        <v>101</v>
      </c>
      <c r="M258" s="123" t="s">
        <v>173</v>
      </c>
      <c r="N258" s="123" t="s">
        <v>102</v>
      </c>
      <c r="O258" s="123" t="s">
        <v>23</v>
      </c>
      <c r="P258" s="123">
        <v>1</v>
      </c>
      <c r="Q258" s="123">
        <v>0</v>
      </c>
      <c r="R258" s="123">
        <v>0</v>
      </c>
      <c r="S258" s="123" t="s">
        <v>176</v>
      </c>
      <c r="T258" s="127" t="s">
        <v>4786</v>
      </c>
      <c r="U258" s="127" t="s">
        <v>1940</v>
      </c>
      <c r="V258" s="127" t="s">
        <v>115</v>
      </c>
      <c r="W258" s="127"/>
      <c r="X258" s="127"/>
      <c r="Y258" s="127"/>
      <c r="Z258" s="127" t="s">
        <v>115</v>
      </c>
      <c r="AA258" s="127" t="s">
        <v>115</v>
      </c>
      <c r="AB258" s="127" t="s">
        <v>115</v>
      </c>
      <c r="AC258" s="127" t="s">
        <v>115</v>
      </c>
      <c r="AD258" s="127" t="s">
        <v>115</v>
      </c>
      <c r="AE258" s="127" t="s">
        <v>115</v>
      </c>
      <c r="AF258" s="127" t="s">
        <v>115</v>
      </c>
      <c r="AG258" s="127" t="s">
        <v>115</v>
      </c>
      <c r="AH258" s="123">
        <v>0</v>
      </c>
      <c r="AI258" s="123">
        <v>0</v>
      </c>
      <c r="AJ258" s="123">
        <v>0</v>
      </c>
      <c r="AK258" s="123">
        <v>0</v>
      </c>
      <c r="AL258" s="123">
        <v>0</v>
      </c>
      <c r="AN258" s="123">
        <f t="shared" ref="AN258:AN321" si="4">SUM(AH258+AI258+AL258)</f>
        <v>0</v>
      </c>
      <c r="AP258" s="123" t="s">
        <v>4795</v>
      </c>
    </row>
    <row r="259" spans="1:44" x14ac:dyDescent="0.2">
      <c r="A259" s="123" t="s">
        <v>3429</v>
      </c>
      <c r="B259" s="123" t="s">
        <v>4826</v>
      </c>
      <c r="C259" s="123">
        <v>1</v>
      </c>
      <c r="D259" s="123">
        <v>1</v>
      </c>
      <c r="E259" s="123" t="s">
        <v>2601</v>
      </c>
      <c r="F259" s="125">
        <v>43579</v>
      </c>
      <c r="G259" s="125" t="s">
        <v>4027</v>
      </c>
      <c r="H259" s="125" t="s">
        <v>4752</v>
      </c>
      <c r="I259" s="171">
        <v>5.9722222222222225E-2</v>
      </c>
      <c r="J259" s="173">
        <v>9.9537037037037042E-4</v>
      </c>
      <c r="K259" s="129">
        <v>86</v>
      </c>
      <c r="L259" s="123" t="s">
        <v>101</v>
      </c>
      <c r="M259" s="123" t="s">
        <v>173</v>
      </c>
      <c r="N259" s="123" t="s">
        <v>102</v>
      </c>
      <c r="O259" s="123" t="s">
        <v>115</v>
      </c>
      <c r="P259" s="123">
        <v>1</v>
      </c>
      <c r="Q259" s="123">
        <v>0</v>
      </c>
      <c r="R259" s="123">
        <v>0</v>
      </c>
      <c r="S259" s="123" t="s">
        <v>14</v>
      </c>
      <c r="T259" s="127" t="s">
        <v>14</v>
      </c>
      <c r="U259" s="127" t="s">
        <v>122</v>
      </c>
      <c r="V259" s="127" t="s">
        <v>115</v>
      </c>
      <c r="W259" s="127"/>
      <c r="X259" s="127"/>
      <c r="Y259" s="127"/>
      <c r="Z259" s="127" t="s">
        <v>115</v>
      </c>
      <c r="AA259" s="127" t="s">
        <v>115</v>
      </c>
      <c r="AB259" s="127" t="s">
        <v>115</v>
      </c>
      <c r="AC259" s="127" t="s">
        <v>115</v>
      </c>
      <c r="AD259" s="127" t="s">
        <v>115</v>
      </c>
      <c r="AE259" s="127" t="s">
        <v>115</v>
      </c>
      <c r="AF259" s="127" t="s">
        <v>115</v>
      </c>
      <c r="AG259" s="127" t="s">
        <v>115</v>
      </c>
      <c r="AH259" s="123">
        <v>0</v>
      </c>
      <c r="AI259" s="123">
        <v>0</v>
      </c>
      <c r="AJ259" s="123">
        <v>0</v>
      </c>
      <c r="AK259" s="123">
        <v>0</v>
      </c>
      <c r="AL259" s="123">
        <v>17</v>
      </c>
      <c r="AN259" s="123">
        <f t="shared" si="4"/>
        <v>17</v>
      </c>
      <c r="AO259" s="123" t="s">
        <v>188</v>
      </c>
    </row>
    <row r="260" spans="1:44" x14ac:dyDescent="0.2">
      <c r="A260" s="123" t="s">
        <v>3444</v>
      </c>
      <c r="B260" s="123" t="s">
        <v>4827</v>
      </c>
      <c r="C260" s="123">
        <v>9</v>
      </c>
      <c r="D260" s="123">
        <v>2</v>
      </c>
      <c r="E260" s="123" t="s">
        <v>2601</v>
      </c>
      <c r="F260" s="125">
        <v>43579</v>
      </c>
      <c r="G260" s="125" t="s">
        <v>4027</v>
      </c>
      <c r="H260" s="125" t="s">
        <v>4752</v>
      </c>
      <c r="I260" s="171">
        <v>3.8194444444444441E-2</v>
      </c>
      <c r="J260" s="173">
        <v>6.3657407407407402E-4</v>
      </c>
      <c r="K260" s="129">
        <v>55</v>
      </c>
      <c r="L260" s="123" t="s">
        <v>101</v>
      </c>
      <c r="M260" s="123" t="s">
        <v>173</v>
      </c>
      <c r="N260" s="123" t="s">
        <v>102</v>
      </c>
      <c r="O260" s="123" t="s">
        <v>115</v>
      </c>
      <c r="P260" s="123">
        <v>1</v>
      </c>
      <c r="Q260" s="123">
        <v>0</v>
      </c>
      <c r="R260" s="123">
        <v>0</v>
      </c>
      <c r="S260" s="123" t="s">
        <v>14</v>
      </c>
      <c r="T260" s="127" t="s">
        <v>14</v>
      </c>
      <c r="U260" s="127" t="s">
        <v>122</v>
      </c>
      <c r="V260" s="127" t="s">
        <v>115</v>
      </c>
      <c r="W260" s="127"/>
      <c r="X260" s="127"/>
      <c r="Y260" s="127"/>
      <c r="Z260" s="127" t="s">
        <v>115</v>
      </c>
      <c r="AA260" s="127" t="s">
        <v>115</v>
      </c>
      <c r="AB260" s="127" t="s">
        <v>115</v>
      </c>
      <c r="AC260" s="127" t="s">
        <v>115</v>
      </c>
      <c r="AD260" s="127" t="s">
        <v>115</v>
      </c>
      <c r="AE260" s="127" t="s">
        <v>115</v>
      </c>
      <c r="AF260" s="127" t="s">
        <v>115</v>
      </c>
      <c r="AG260" s="127" t="s">
        <v>115</v>
      </c>
      <c r="AH260" s="123">
        <v>0</v>
      </c>
      <c r="AI260" s="123">
        <v>0</v>
      </c>
      <c r="AJ260" s="123">
        <v>0</v>
      </c>
      <c r="AK260" s="123">
        <v>0</v>
      </c>
      <c r="AL260" s="123">
        <v>10</v>
      </c>
      <c r="AN260" s="123">
        <f t="shared" si="4"/>
        <v>10</v>
      </c>
      <c r="AO260" s="123" t="s">
        <v>188</v>
      </c>
    </row>
    <row r="261" spans="1:44" x14ac:dyDescent="0.2">
      <c r="A261" s="123" t="s">
        <v>3446</v>
      </c>
      <c r="B261" s="123" t="s">
        <v>4832</v>
      </c>
      <c r="C261" s="123">
        <v>10</v>
      </c>
      <c r="D261" s="123">
        <v>1</v>
      </c>
      <c r="E261" s="123" t="s">
        <v>2601</v>
      </c>
      <c r="F261" s="125">
        <v>43579</v>
      </c>
      <c r="G261" s="125" t="s">
        <v>4027</v>
      </c>
      <c r="H261" s="125" t="s">
        <v>4752</v>
      </c>
      <c r="I261" s="171">
        <v>6.9444444444444441E-3</v>
      </c>
      <c r="J261" s="173">
        <v>1.1574074074074073E-4</v>
      </c>
      <c r="K261" s="129">
        <v>10</v>
      </c>
      <c r="L261" s="123" t="s">
        <v>101</v>
      </c>
      <c r="M261" s="123" t="s">
        <v>173</v>
      </c>
      <c r="N261" s="123" t="s">
        <v>102</v>
      </c>
      <c r="O261" s="123" t="s">
        <v>23</v>
      </c>
      <c r="P261" s="123">
        <v>0</v>
      </c>
      <c r="Q261" s="123">
        <v>0</v>
      </c>
      <c r="R261" s="123">
        <v>0</v>
      </c>
      <c r="T261" s="127" t="s">
        <v>115</v>
      </c>
      <c r="U261" s="127" t="s">
        <v>115</v>
      </c>
      <c r="V261" s="127" t="s">
        <v>115</v>
      </c>
      <c r="W261" s="127"/>
      <c r="X261" s="127"/>
      <c r="Y261" s="127"/>
      <c r="Z261" s="127" t="s">
        <v>115</v>
      </c>
      <c r="AA261" s="127" t="s">
        <v>115</v>
      </c>
      <c r="AB261" s="127" t="s">
        <v>115</v>
      </c>
      <c r="AC261" s="127" t="s">
        <v>115</v>
      </c>
      <c r="AD261" s="127" t="s">
        <v>115</v>
      </c>
      <c r="AE261" s="127" t="s">
        <v>115</v>
      </c>
      <c r="AF261" s="127" t="s">
        <v>115</v>
      </c>
      <c r="AG261" s="127" t="s">
        <v>115</v>
      </c>
      <c r="AH261" s="123">
        <v>7</v>
      </c>
      <c r="AI261" s="123">
        <v>0</v>
      </c>
      <c r="AJ261" s="123">
        <v>3</v>
      </c>
      <c r="AK261" s="123">
        <v>4</v>
      </c>
      <c r="AL261" s="123">
        <v>3</v>
      </c>
      <c r="AN261" s="123">
        <f t="shared" si="4"/>
        <v>10</v>
      </c>
      <c r="AO261" s="123" t="s">
        <v>188</v>
      </c>
    </row>
    <row r="262" spans="1:44" x14ac:dyDescent="0.2">
      <c r="A262" s="123" t="s">
        <v>3432</v>
      </c>
      <c r="B262" s="123" t="s">
        <v>4833</v>
      </c>
      <c r="C262" s="123">
        <v>2</v>
      </c>
      <c r="D262" s="123">
        <v>1</v>
      </c>
      <c r="E262" s="123" t="s">
        <v>2601</v>
      </c>
      <c r="F262" s="125">
        <v>43579</v>
      </c>
      <c r="G262" s="125" t="s">
        <v>4027</v>
      </c>
      <c r="H262" s="125" t="s">
        <v>4752</v>
      </c>
      <c r="I262" s="171">
        <v>1.1111111111111112E-2</v>
      </c>
      <c r="J262" s="173">
        <v>1.8518518518518518E-4</v>
      </c>
      <c r="K262" s="129">
        <v>16</v>
      </c>
      <c r="L262" s="123" t="s">
        <v>101</v>
      </c>
      <c r="M262" s="123" t="s">
        <v>173</v>
      </c>
      <c r="N262" s="123" t="s">
        <v>102</v>
      </c>
      <c r="O262" s="123" t="s">
        <v>115</v>
      </c>
      <c r="P262" s="123">
        <v>0</v>
      </c>
      <c r="Q262" s="123">
        <v>0</v>
      </c>
      <c r="R262" s="123">
        <v>0</v>
      </c>
      <c r="T262" s="127" t="s">
        <v>115</v>
      </c>
      <c r="U262" s="127" t="s">
        <v>115</v>
      </c>
      <c r="V262" s="127" t="s">
        <v>115</v>
      </c>
      <c r="W262" s="127"/>
      <c r="X262" s="127"/>
      <c r="Y262" s="127"/>
      <c r="Z262" s="127" t="s">
        <v>115</v>
      </c>
      <c r="AA262" s="127" t="s">
        <v>115</v>
      </c>
      <c r="AB262" s="127" t="s">
        <v>115</v>
      </c>
      <c r="AC262" s="127" t="s">
        <v>115</v>
      </c>
      <c r="AD262" s="127" t="s">
        <v>115</v>
      </c>
      <c r="AE262" s="127" t="s">
        <v>115</v>
      </c>
      <c r="AF262" s="127" t="s">
        <v>115</v>
      </c>
      <c r="AG262" s="127" t="s">
        <v>115</v>
      </c>
      <c r="AH262" s="123">
        <v>0</v>
      </c>
      <c r="AI262" s="123">
        <v>0</v>
      </c>
      <c r="AJ262" s="123">
        <v>0</v>
      </c>
      <c r="AK262" s="123">
        <v>0</v>
      </c>
      <c r="AL262" s="123">
        <v>16</v>
      </c>
      <c r="AN262" s="123">
        <f t="shared" si="4"/>
        <v>16</v>
      </c>
      <c r="AO262" s="123" t="s">
        <v>188</v>
      </c>
    </row>
    <row r="263" spans="1:44" x14ac:dyDescent="0.2">
      <c r="A263" s="123" t="s">
        <v>3440</v>
      </c>
      <c r="B263" s="123" t="s">
        <v>4834</v>
      </c>
      <c r="C263" s="123">
        <v>7</v>
      </c>
      <c r="D263" s="123">
        <v>1</v>
      </c>
      <c r="E263" s="123" t="s">
        <v>2601</v>
      </c>
      <c r="F263" s="125">
        <v>43579</v>
      </c>
      <c r="G263" s="125" t="s">
        <v>4027</v>
      </c>
      <c r="H263" s="125" t="s">
        <v>4752</v>
      </c>
      <c r="I263" s="171">
        <v>2.013888888888889E-2</v>
      </c>
      <c r="J263" s="173">
        <v>3.3564814814814812E-4</v>
      </c>
      <c r="K263" s="129">
        <v>29</v>
      </c>
      <c r="L263" s="123" t="s">
        <v>101</v>
      </c>
      <c r="M263" s="123" t="s">
        <v>173</v>
      </c>
      <c r="N263" s="123" t="s">
        <v>102</v>
      </c>
      <c r="O263" s="123" t="s">
        <v>115</v>
      </c>
      <c r="P263" s="123">
        <v>0</v>
      </c>
      <c r="Q263" s="123">
        <v>0</v>
      </c>
      <c r="R263" s="123">
        <v>0</v>
      </c>
      <c r="T263" s="127" t="s">
        <v>115</v>
      </c>
      <c r="U263" s="127" t="s">
        <v>115</v>
      </c>
      <c r="V263" s="127" t="s">
        <v>115</v>
      </c>
      <c r="W263" s="127"/>
      <c r="X263" s="127"/>
      <c r="Y263" s="127"/>
      <c r="Z263" s="127" t="s">
        <v>115</v>
      </c>
      <c r="AA263" s="127" t="s">
        <v>115</v>
      </c>
      <c r="AB263" s="127" t="s">
        <v>115</v>
      </c>
      <c r="AC263" s="127" t="s">
        <v>115</v>
      </c>
      <c r="AD263" s="127" t="s">
        <v>115</v>
      </c>
      <c r="AE263" s="127" t="s">
        <v>115</v>
      </c>
      <c r="AF263" s="127" t="s">
        <v>115</v>
      </c>
      <c r="AG263" s="127" t="s">
        <v>115</v>
      </c>
      <c r="AH263" s="123">
        <v>0</v>
      </c>
      <c r="AI263" s="123">
        <v>0</v>
      </c>
      <c r="AJ263" s="123">
        <v>0</v>
      </c>
      <c r="AK263" s="123">
        <v>0</v>
      </c>
      <c r="AL263" s="123">
        <v>29</v>
      </c>
      <c r="AN263" s="123">
        <f t="shared" si="4"/>
        <v>29</v>
      </c>
      <c r="AO263" s="123" t="s">
        <v>188</v>
      </c>
    </row>
    <row r="264" spans="1:44" x14ac:dyDescent="0.2">
      <c r="A264" s="123" t="s">
        <v>2788</v>
      </c>
      <c r="B264" s="123" t="s">
        <v>4848</v>
      </c>
      <c r="C264" s="123">
        <v>1</v>
      </c>
      <c r="D264" s="123">
        <v>1</v>
      </c>
      <c r="E264" s="123" t="s">
        <v>2601</v>
      </c>
      <c r="F264" s="125">
        <v>43556</v>
      </c>
      <c r="G264" s="125" t="s">
        <v>4027</v>
      </c>
      <c r="H264" s="125" t="s">
        <v>4752</v>
      </c>
      <c r="I264" s="171">
        <v>2.0833333333333332E-2</v>
      </c>
      <c r="J264" s="173">
        <v>3.4722222222222224E-4</v>
      </c>
      <c r="K264" s="129">
        <v>30</v>
      </c>
      <c r="M264" s="123" t="s">
        <v>173</v>
      </c>
      <c r="N264" s="123" t="s">
        <v>102</v>
      </c>
      <c r="O264" s="123" t="s">
        <v>115</v>
      </c>
      <c r="P264" s="123" t="s">
        <v>24</v>
      </c>
      <c r="Q264" s="123">
        <v>0</v>
      </c>
      <c r="R264" s="123">
        <v>0</v>
      </c>
      <c r="T264" s="127" t="s">
        <v>115</v>
      </c>
      <c r="U264" s="127" t="s">
        <v>115</v>
      </c>
      <c r="V264" s="127" t="s">
        <v>115</v>
      </c>
      <c r="W264" s="127"/>
      <c r="X264" s="127"/>
      <c r="Y264" s="127"/>
      <c r="Z264" s="127" t="s">
        <v>115</v>
      </c>
      <c r="AA264" s="127" t="s">
        <v>115</v>
      </c>
      <c r="AB264" s="127" t="s">
        <v>115</v>
      </c>
      <c r="AC264" s="127" t="s">
        <v>115</v>
      </c>
      <c r="AD264" s="127" t="s">
        <v>115</v>
      </c>
      <c r="AE264" s="127" t="s">
        <v>115</v>
      </c>
      <c r="AF264" s="127" t="s">
        <v>115</v>
      </c>
      <c r="AG264" s="127"/>
      <c r="AH264" s="123">
        <v>0</v>
      </c>
      <c r="AI264" s="123">
        <v>0</v>
      </c>
      <c r="AJ264" s="123">
        <v>0</v>
      </c>
      <c r="AK264" s="123">
        <v>0</v>
      </c>
      <c r="AL264" s="123">
        <v>30</v>
      </c>
      <c r="AN264" s="123">
        <f t="shared" si="4"/>
        <v>30</v>
      </c>
      <c r="AO264" s="123" t="s">
        <v>188</v>
      </c>
    </row>
    <row r="265" spans="1:44" x14ac:dyDescent="0.2">
      <c r="A265" s="123" t="s">
        <v>2807</v>
      </c>
      <c r="B265" s="123" t="s">
        <v>4849</v>
      </c>
      <c r="C265" s="123">
        <v>10</v>
      </c>
      <c r="D265" s="123">
        <v>1</v>
      </c>
      <c r="E265" s="123" t="s">
        <v>2601</v>
      </c>
      <c r="F265" s="125">
        <v>43556</v>
      </c>
      <c r="G265" s="125" t="s">
        <v>4027</v>
      </c>
      <c r="H265" s="125" t="s">
        <v>4752</v>
      </c>
      <c r="I265" s="171">
        <v>2.5694444444444447E-2</v>
      </c>
      <c r="J265" s="173">
        <v>4.2824074074074075E-4</v>
      </c>
      <c r="K265" s="129">
        <v>37</v>
      </c>
      <c r="M265" s="123" t="s">
        <v>173</v>
      </c>
      <c r="N265" s="123" t="s">
        <v>102</v>
      </c>
      <c r="O265" s="123" t="s">
        <v>115</v>
      </c>
      <c r="P265" s="123" t="s">
        <v>24</v>
      </c>
      <c r="Q265" s="123">
        <v>0</v>
      </c>
      <c r="R265" s="123">
        <v>0</v>
      </c>
      <c r="T265" s="127" t="s">
        <v>115</v>
      </c>
      <c r="U265" s="127" t="s">
        <v>115</v>
      </c>
      <c r="V265" s="127" t="s">
        <v>115</v>
      </c>
      <c r="W265" s="127"/>
      <c r="X265" s="127"/>
      <c r="Y265" s="127"/>
      <c r="Z265" s="127" t="s">
        <v>115</v>
      </c>
      <c r="AA265" s="127" t="s">
        <v>115</v>
      </c>
      <c r="AB265" s="127" t="s">
        <v>115</v>
      </c>
      <c r="AC265" s="127" t="s">
        <v>115</v>
      </c>
      <c r="AD265" s="127" t="s">
        <v>115</v>
      </c>
      <c r="AE265" s="127" t="s">
        <v>115</v>
      </c>
      <c r="AF265" s="127" t="s">
        <v>115</v>
      </c>
      <c r="AG265" s="127"/>
      <c r="AH265" s="123">
        <v>0</v>
      </c>
      <c r="AI265" s="123">
        <v>0</v>
      </c>
      <c r="AJ265" s="123">
        <v>0</v>
      </c>
      <c r="AK265" s="123">
        <v>0</v>
      </c>
      <c r="AL265" s="123">
        <v>29</v>
      </c>
      <c r="AN265" s="123">
        <f t="shared" si="4"/>
        <v>29</v>
      </c>
      <c r="AO265" s="123" t="s">
        <v>188</v>
      </c>
    </row>
    <row r="266" spans="1:44" x14ac:dyDescent="0.2">
      <c r="A266" s="123" t="s">
        <v>2811</v>
      </c>
      <c r="B266" s="123" t="s">
        <v>4850</v>
      </c>
      <c r="C266" s="123">
        <v>12</v>
      </c>
      <c r="D266" s="123">
        <v>1</v>
      </c>
      <c r="E266" s="123" t="s">
        <v>2601</v>
      </c>
      <c r="F266" s="125">
        <v>43556</v>
      </c>
      <c r="G266" s="125" t="s">
        <v>4027</v>
      </c>
      <c r="H266" s="125" t="s">
        <v>4752</v>
      </c>
      <c r="I266" s="171">
        <v>1.3194444444444444E-2</v>
      </c>
      <c r="J266" s="173">
        <v>2.199074074074074E-4</v>
      </c>
      <c r="K266" s="129">
        <v>19</v>
      </c>
      <c r="M266" s="123" t="s">
        <v>173</v>
      </c>
      <c r="N266" s="123" t="s">
        <v>102</v>
      </c>
      <c r="O266" s="123" t="s">
        <v>115</v>
      </c>
      <c r="P266" s="123" t="s">
        <v>24</v>
      </c>
      <c r="Q266" s="123">
        <v>0</v>
      </c>
      <c r="R266" s="123">
        <v>0</v>
      </c>
      <c r="T266" s="127" t="s">
        <v>115</v>
      </c>
      <c r="U266" s="127" t="s">
        <v>115</v>
      </c>
      <c r="V266" s="127" t="s">
        <v>115</v>
      </c>
      <c r="W266" s="127"/>
      <c r="X266" s="127"/>
      <c r="Y266" s="127"/>
      <c r="Z266" s="127" t="s">
        <v>115</v>
      </c>
      <c r="AA266" s="127" t="s">
        <v>115</v>
      </c>
      <c r="AB266" s="127" t="s">
        <v>115</v>
      </c>
      <c r="AC266" s="127" t="s">
        <v>115</v>
      </c>
      <c r="AD266" s="127" t="s">
        <v>115</v>
      </c>
      <c r="AE266" s="127" t="s">
        <v>115</v>
      </c>
      <c r="AF266" s="127" t="s">
        <v>115</v>
      </c>
      <c r="AG266" s="127"/>
      <c r="AH266" s="123">
        <v>0</v>
      </c>
      <c r="AI266" s="123">
        <v>0</v>
      </c>
      <c r="AJ266" s="123">
        <v>0</v>
      </c>
      <c r="AK266" s="123">
        <v>0</v>
      </c>
      <c r="AL266" s="123">
        <v>15</v>
      </c>
      <c r="AN266" s="123">
        <f t="shared" si="4"/>
        <v>15</v>
      </c>
      <c r="AO266" s="123" t="s">
        <v>188</v>
      </c>
    </row>
    <row r="267" spans="1:44" x14ac:dyDescent="0.2">
      <c r="A267" s="123" t="s">
        <v>2813</v>
      </c>
      <c r="B267" s="123" t="s">
        <v>4851</v>
      </c>
      <c r="C267" s="123">
        <v>13</v>
      </c>
      <c r="D267" s="123">
        <v>1</v>
      </c>
      <c r="E267" s="123" t="s">
        <v>2601</v>
      </c>
      <c r="F267" s="125">
        <v>43556</v>
      </c>
      <c r="G267" s="125" t="s">
        <v>4027</v>
      </c>
      <c r="H267" s="125" t="s">
        <v>4752</v>
      </c>
      <c r="I267" s="171">
        <v>1.4583333333333332E-2</v>
      </c>
      <c r="J267" s="173">
        <v>2.4305555555555552E-4</v>
      </c>
      <c r="K267" s="129">
        <v>21</v>
      </c>
      <c r="M267" s="123" t="s">
        <v>173</v>
      </c>
      <c r="N267" s="123" t="s">
        <v>102</v>
      </c>
      <c r="O267" s="123" t="s">
        <v>115</v>
      </c>
      <c r="P267" s="123" t="s">
        <v>24</v>
      </c>
      <c r="Q267" s="123">
        <v>0</v>
      </c>
      <c r="R267" s="123">
        <v>0</v>
      </c>
      <c r="T267" s="127" t="s">
        <v>115</v>
      </c>
      <c r="U267" s="127" t="s">
        <v>115</v>
      </c>
      <c r="V267" s="127" t="s">
        <v>115</v>
      </c>
      <c r="W267" s="127"/>
      <c r="X267" s="127"/>
      <c r="Y267" s="127"/>
      <c r="Z267" s="127" t="s">
        <v>115</v>
      </c>
      <c r="AA267" s="127" t="s">
        <v>115</v>
      </c>
      <c r="AB267" s="127" t="s">
        <v>115</v>
      </c>
      <c r="AC267" s="127" t="s">
        <v>115</v>
      </c>
      <c r="AD267" s="127" t="s">
        <v>115</v>
      </c>
      <c r="AE267" s="127" t="s">
        <v>115</v>
      </c>
      <c r="AF267" s="127" t="s">
        <v>115</v>
      </c>
      <c r="AG267" s="127"/>
      <c r="AH267" s="123">
        <v>0</v>
      </c>
      <c r="AI267" s="123">
        <v>0</v>
      </c>
      <c r="AJ267" s="123">
        <v>0</v>
      </c>
      <c r="AK267" s="123">
        <v>0</v>
      </c>
      <c r="AL267" s="123">
        <v>21</v>
      </c>
      <c r="AN267" s="123">
        <f t="shared" si="4"/>
        <v>21</v>
      </c>
      <c r="AO267" s="123" t="s">
        <v>188</v>
      </c>
    </row>
    <row r="268" spans="1:44" x14ac:dyDescent="0.2">
      <c r="A268" s="123" t="s">
        <v>2790</v>
      </c>
      <c r="B268" s="123" t="s">
        <v>4852</v>
      </c>
      <c r="C268" s="123">
        <v>2</v>
      </c>
      <c r="D268" s="123">
        <v>1</v>
      </c>
      <c r="E268" s="123" t="s">
        <v>2601</v>
      </c>
      <c r="F268" s="125">
        <v>43556</v>
      </c>
      <c r="G268" s="125" t="s">
        <v>4027</v>
      </c>
      <c r="H268" s="125" t="s">
        <v>4752</v>
      </c>
      <c r="I268" s="171">
        <v>8.3333333333333332E-3</v>
      </c>
      <c r="J268" s="173">
        <v>1.3888888888888889E-4</v>
      </c>
      <c r="K268" s="129">
        <v>12</v>
      </c>
      <c r="M268" s="123" t="s">
        <v>173</v>
      </c>
      <c r="N268" s="123" t="s">
        <v>102</v>
      </c>
      <c r="O268" s="123" t="s">
        <v>115</v>
      </c>
      <c r="P268" s="123" t="s">
        <v>24</v>
      </c>
      <c r="Q268" s="123">
        <v>0</v>
      </c>
      <c r="R268" s="123">
        <v>0</v>
      </c>
      <c r="T268" s="127" t="s">
        <v>115</v>
      </c>
      <c r="U268" s="127" t="s">
        <v>115</v>
      </c>
      <c r="V268" s="127" t="s">
        <v>115</v>
      </c>
      <c r="W268" s="127"/>
      <c r="X268" s="127"/>
      <c r="Y268" s="127"/>
      <c r="Z268" s="127" t="s">
        <v>115</v>
      </c>
      <c r="AA268" s="127" t="s">
        <v>115</v>
      </c>
      <c r="AB268" s="127" t="s">
        <v>115</v>
      </c>
      <c r="AC268" s="127" t="s">
        <v>115</v>
      </c>
      <c r="AD268" s="127" t="s">
        <v>115</v>
      </c>
      <c r="AE268" s="127" t="s">
        <v>115</v>
      </c>
      <c r="AF268" s="127" t="s">
        <v>115</v>
      </c>
      <c r="AG268" s="127"/>
      <c r="AH268" s="123">
        <v>0</v>
      </c>
      <c r="AI268" s="123">
        <v>0</v>
      </c>
      <c r="AJ268" s="123">
        <v>0</v>
      </c>
      <c r="AK268" s="123">
        <v>0</v>
      </c>
      <c r="AL268" s="123">
        <v>12</v>
      </c>
      <c r="AN268" s="123">
        <f t="shared" si="4"/>
        <v>12</v>
      </c>
      <c r="AO268" s="123" t="s">
        <v>188</v>
      </c>
    </row>
    <row r="269" spans="1:44" x14ac:dyDescent="0.2">
      <c r="A269" s="123" t="s">
        <v>2792</v>
      </c>
      <c r="B269" s="123" t="s">
        <v>4853</v>
      </c>
      <c r="C269" s="123">
        <v>3</v>
      </c>
      <c r="D269" s="123">
        <v>1</v>
      </c>
      <c r="E269" s="123" t="s">
        <v>2601</v>
      </c>
      <c r="F269" s="125">
        <v>43556</v>
      </c>
      <c r="G269" s="125" t="s">
        <v>4027</v>
      </c>
      <c r="H269" s="125" t="s">
        <v>4752</v>
      </c>
      <c r="I269" s="171">
        <v>4.1666666666666664E-2</v>
      </c>
      <c r="J269" s="173">
        <v>6.9444444444444447E-4</v>
      </c>
      <c r="K269" s="129">
        <v>60</v>
      </c>
      <c r="M269" s="123" t="s">
        <v>173</v>
      </c>
      <c r="N269" s="123" t="s">
        <v>102</v>
      </c>
      <c r="O269" s="123" t="s">
        <v>115</v>
      </c>
      <c r="P269" s="123" t="s">
        <v>24</v>
      </c>
      <c r="Q269" s="123">
        <v>0</v>
      </c>
      <c r="R269" s="123">
        <v>0</v>
      </c>
      <c r="T269" s="127" t="s">
        <v>115</v>
      </c>
      <c r="U269" s="127" t="s">
        <v>115</v>
      </c>
      <c r="V269" s="127" t="s">
        <v>115</v>
      </c>
      <c r="W269" s="127"/>
      <c r="X269" s="127"/>
      <c r="Y269" s="127"/>
      <c r="Z269" s="127" t="s">
        <v>115</v>
      </c>
      <c r="AA269" s="127" t="s">
        <v>115</v>
      </c>
      <c r="AB269" s="127" t="s">
        <v>115</v>
      </c>
      <c r="AC269" s="127" t="s">
        <v>115</v>
      </c>
      <c r="AD269" s="127" t="s">
        <v>115</v>
      </c>
      <c r="AE269" s="127" t="s">
        <v>115</v>
      </c>
      <c r="AF269" s="127" t="s">
        <v>115</v>
      </c>
      <c r="AG269" s="127"/>
      <c r="AH269" s="123">
        <v>0</v>
      </c>
      <c r="AI269" s="123">
        <v>0</v>
      </c>
      <c r="AJ269" s="123">
        <v>0</v>
      </c>
      <c r="AK269" s="123">
        <v>0</v>
      </c>
      <c r="AL269" s="123">
        <v>60</v>
      </c>
      <c r="AN269" s="123">
        <f t="shared" si="4"/>
        <v>60</v>
      </c>
      <c r="AO269" s="123" t="s">
        <v>188</v>
      </c>
    </row>
    <row r="270" spans="1:44" x14ac:dyDescent="0.2">
      <c r="A270" s="123" t="s">
        <v>2907</v>
      </c>
      <c r="B270" s="123" t="s">
        <v>4854</v>
      </c>
      <c r="C270" s="123">
        <v>2</v>
      </c>
      <c r="D270" s="123">
        <v>1</v>
      </c>
      <c r="E270" s="123" t="s">
        <v>2601</v>
      </c>
      <c r="F270" s="125">
        <v>43558</v>
      </c>
      <c r="G270" s="125" t="s">
        <v>4027</v>
      </c>
      <c r="H270" s="125" t="s">
        <v>4752</v>
      </c>
      <c r="I270" s="171">
        <v>3.125E-2</v>
      </c>
      <c r="J270" s="173">
        <v>5.2083333333333333E-4</v>
      </c>
      <c r="K270" s="129">
        <v>45</v>
      </c>
      <c r="M270" s="123" t="s">
        <v>173</v>
      </c>
      <c r="N270" s="123" t="s">
        <v>102</v>
      </c>
      <c r="O270" s="123" t="s">
        <v>115</v>
      </c>
      <c r="P270" s="123" t="s">
        <v>24</v>
      </c>
      <c r="Q270" s="123">
        <v>0</v>
      </c>
      <c r="R270" s="123">
        <v>0</v>
      </c>
      <c r="T270" s="127" t="s">
        <v>115</v>
      </c>
      <c r="U270" s="127" t="s">
        <v>115</v>
      </c>
      <c r="V270" s="127" t="s">
        <v>115</v>
      </c>
      <c r="W270" s="127"/>
      <c r="X270" s="127"/>
      <c r="Y270" s="127"/>
      <c r="Z270" s="127" t="s">
        <v>115</v>
      </c>
      <c r="AA270" s="127" t="s">
        <v>115</v>
      </c>
      <c r="AB270" s="127" t="s">
        <v>115</v>
      </c>
      <c r="AC270" s="127" t="s">
        <v>115</v>
      </c>
      <c r="AD270" s="127" t="s">
        <v>115</v>
      </c>
      <c r="AE270" s="127" t="s">
        <v>115</v>
      </c>
      <c r="AF270" s="127" t="s">
        <v>115</v>
      </c>
      <c r="AG270" s="127"/>
      <c r="AH270" s="123">
        <v>0</v>
      </c>
      <c r="AI270" s="123">
        <v>0</v>
      </c>
      <c r="AJ270" s="123">
        <v>0</v>
      </c>
      <c r="AK270" s="123">
        <v>0</v>
      </c>
      <c r="AL270" s="123">
        <v>43</v>
      </c>
      <c r="AN270" s="123">
        <f t="shared" si="4"/>
        <v>43</v>
      </c>
      <c r="AO270" s="123" t="s">
        <v>188</v>
      </c>
    </row>
    <row r="271" spans="1:44" x14ac:dyDescent="0.2">
      <c r="A271" s="123" t="s">
        <v>3080</v>
      </c>
      <c r="B271" s="123" t="s">
        <v>4855</v>
      </c>
      <c r="C271" s="123">
        <v>5</v>
      </c>
      <c r="D271" s="123">
        <v>1</v>
      </c>
      <c r="E271" s="123" t="s">
        <v>2601</v>
      </c>
      <c r="F271" s="125">
        <v>43570</v>
      </c>
      <c r="G271" s="125" t="s">
        <v>4027</v>
      </c>
      <c r="H271" s="125" t="s">
        <v>4752</v>
      </c>
      <c r="I271" s="171">
        <v>2.2916666666666669E-2</v>
      </c>
      <c r="J271" s="173">
        <v>3.8194444444444446E-4</v>
      </c>
      <c r="K271" s="129">
        <v>33</v>
      </c>
      <c r="L271" s="123" t="s">
        <v>101</v>
      </c>
      <c r="M271" s="123" t="s">
        <v>173</v>
      </c>
      <c r="N271" s="123" t="s">
        <v>102</v>
      </c>
      <c r="O271" s="123" t="s">
        <v>115</v>
      </c>
      <c r="P271" s="123" t="s">
        <v>24</v>
      </c>
      <c r="Q271" s="123">
        <v>0</v>
      </c>
      <c r="R271" s="123">
        <v>0</v>
      </c>
      <c r="T271" s="127" t="s">
        <v>115</v>
      </c>
      <c r="U271" s="127" t="s">
        <v>115</v>
      </c>
      <c r="V271" s="127" t="s">
        <v>115</v>
      </c>
      <c r="W271" s="127"/>
      <c r="X271" s="127"/>
      <c r="Y271" s="127"/>
      <c r="Z271" s="127" t="s">
        <v>115</v>
      </c>
      <c r="AA271" s="127" t="s">
        <v>115</v>
      </c>
      <c r="AB271" s="127" t="s">
        <v>115</v>
      </c>
      <c r="AC271" s="127" t="s">
        <v>115</v>
      </c>
      <c r="AD271" s="127" t="s">
        <v>115</v>
      </c>
      <c r="AE271" s="127" t="s">
        <v>115</v>
      </c>
      <c r="AF271" s="127" t="s">
        <v>115</v>
      </c>
      <c r="AG271" s="127"/>
      <c r="AH271" s="123">
        <v>0</v>
      </c>
      <c r="AI271" s="123">
        <v>0</v>
      </c>
      <c r="AJ271" s="123">
        <v>0</v>
      </c>
      <c r="AK271" s="123">
        <v>0</v>
      </c>
      <c r="AL271" s="123">
        <v>33</v>
      </c>
      <c r="AN271" s="123">
        <f t="shared" si="4"/>
        <v>33</v>
      </c>
      <c r="AO271" s="123" t="s">
        <v>188</v>
      </c>
    </row>
    <row r="272" spans="1:44" x14ac:dyDescent="0.2">
      <c r="A272" s="123" t="s">
        <v>3448</v>
      </c>
      <c r="B272" s="123" t="s">
        <v>4859</v>
      </c>
      <c r="C272" s="123">
        <v>11</v>
      </c>
      <c r="D272" s="123">
        <v>1</v>
      </c>
      <c r="E272" s="123" t="s">
        <v>2601</v>
      </c>
      <c r="F272" s="125">
        <v>43579</v>
      </c>
      <c r="G272" s="125" t="s">
        <v>4027</v>
      </c>
      <c r="H272" s="125" t="s">
        <v>4752</v>
      </c>
      <c r="I272" s="171">
        <v>1.9444444444444445E-2</v>
      </c>
      <c r="J272" s="173">
        <v>3.2407407407407406E-4</v>
      </c>
      <c r="K272" s="129">
        <v>28</v>
      </c>
      <c r="L272" s="123" t="s">
        <v>101</v>
      </c>
      <c r="M272" s="123" t="s">
        <v>173</v>
      </c>
      <c r="N272" s="123" t="s">
        <v>102</v>
      </c>
      <c r="O272" s="123" t="s">
        <v>23</v>
      </c>
      <c r="P272" s="123" t="s">
        <v>24</v>
      </c>
      <c r="Q272" s="123" t="s">
        <v>24</v>
      </c>
      <c r="R272" s="123">
        <v>0</v>
      </c>
      <c r="T272" s="127" t="s">
        <v>115</v>
      </c>
      <c r="U272" s="127" t="s">
        <v>115</v>
      </c>
      <c r="V272" s="127" t="s">
        <v>115</v>
      </c>
      <c r="W272" s="127"/>
      <c r="X272" s="127"/>
      <c r="Y272" s="127"/>
      <c r="Z272" s="127" t="s">
        <v>115</v>
      </c>
      <c r="AA272" s="127" t="s">
        <v>115</v>
      </c>
      <c r="AB272" s="127" t="s">
        <v>115</v>
      </c>
      <c r="AC272" s="127" t="s">
        <v>115</v>
      </c>
      <c r="AD272" s="127" t="s">
        <v>115</v>
      </c>
      <c r="AE272" s="127" t="s">
        <v>115</v>
      </c>
      <c r="AF272" s="127" t="s">
        <v>115</v>
      </c>
      <c r="AG272" s="127" t="s">
        <v>115</v>
      </c>
      <c r="AH272" s="123">
        <v>25</v>
      </c>
      <c r="AI272" s="123">
        <v>0</v>
      </c>
      <c r="AJ272" s="123">
        <v>16</v>
      </c>
      <c r="AK272" s="123">
        <v>9</v>
      </c>
      <c r="AL272" s="123">
        <v>0</v>
      </c>
      <c r="AN272" s="123">
        <f t="shared" si="4"/>
        <v>25</v>
      </c>
      <c r="AO272" s="123" t="s">
        <v>188</v>
      </c>
    </row>
    <row r="273" spans="1:44" x14ac:dyDescent="0.2">
      <c r="A273" s="123" t="s">
        <v>3433</v>
      </c>
      <c r="B273" s="123" t="s">
        <v>4861</v>
      </c>
      <c r="C273" s="123">
        <v>3</v>
      </c>
      <c r="D273" s="123">
        <v>1</v>
      </c>
      <c r="E273" s="123" t="s">
        <v>2601</v>
      </c>
      <c r="F273" s="125">
        <v>43579</v>
      </c>
      <c r="G273" s="125" t="s">
        <v>4027</v>
      </c>
      <c r="H273" s="125" t="s">
        <v>4752</v>
      </c>
      <c r="I273" s="171">
        <v>1.7361111111111112E-2</v>
      </c>
      <c r="J273" s="173">
        <v>2.8935185185185189E-4</v>
      </c>
      <c r="K273" s="129">
        <v>25</v>
      </c>
      <c r="L273" s="123" t="s">
        <v>101</v>
      </c>
      <c r="M273" s="123" t="s">
        <v>173</v>
      </c>
      <c r="N273" s="123" t="s">
        <v>102</v>
      </c>
      <c r="O273" s="123" t="s">
        <v>115</v>
      </c>
      <c r="P273" s="123" t="s">
        <v>24</v>
      </c>
      <c r="Q273" s="123">
        <v>0</v>
      </c>
      <c r="R273" s="123">
        <v>0</v>
      </c>
      <c r="T273" s="127" t="s">
        <v>115</v>
      </c>
      <c r="U273" s="127" t="s">
        <v>115</v>
      </c>
      <c r="V273" s="127" t="s">
        <v>115</v>
      </c>
      <c r="W273" s="127"/>
      <c r="X273" s="127"/>
      <c r="Y273" s="127"/>
      <c r="Z273" s="127" t="s">
        <v>115</v>
      </c>
      <c r="AA273" s="127" t="s">
        <v>115</v>
      </c>
      <c r="AB273" s="127" t="s">
        <v>115</v>
      </c>
      <c r="AC273" s="127" t="s">
        <v>115</v>
      </c>
      <c r="AD273" s="127" t="s">
        <v>115</v>
      </c>
      <c r="AE273" s="127" t="s">
        <v>115</v>
      </c>
      <c r="AF273" s="127" t="s">
        <v>115</v>
      </c>
      <c r="AG273" s="127" t="s">
        <v>115</v>
      </c>
      <c r="AH273" s="123">
        <v>0</v>
      </c>
      <c r="AI273" s="123">
        <v>0</v>
      </c>
      <c r="AJ273" s="123">
        <v>0</v>
      </c>
      <c r="AK273" s="123">
        <v>0</v>
      </c>
      <c r="AL273" s="123">
        <v>25</v>
      </c>
      <c r="AN273" s="123">
        <f t="shared" si="4"/>
        <v>25</v>
      </c>
    </row>
    <row r="274" spans="1:44" x14ac:dyDescent="0.2">
      <c r="A274" s="123" t="s">
        <v>3435</v>
      </c>
      <c r="B274" s="123" t="s">
        <v>4862</v>
      </c>
      <c r="C274" s="123">
        <v>4</v>
      </c>
      <c r="D274" s="123">
        <v>1</v>
      </c>
      <c r="E274" s="123" t="s">
        <v>2601</v>
      </c>
      <c r="F274" s="125">
        <v>43579</v>
      </c>
      <c r="G274" s="125" t="s">
        <v>4027</v>
      </c>
      <c r="H274" s="125" t="s">
        <v>4752</v>
      </c>
      <c r="I274" s="171">
        <v>1.8055555555555557E-2</v>
      </c>
      <c r="J274" s="173">
        <v>3.0092592592592595E-4</v>
      </c>
      <c r="K274" s="129">
        <v>26</v>
      </c>
      <c r="L274" s="123" t="s">
        <v>101</v>
      </c>
      <c r="M274" s="123" t="s">
        <v>173</v>
      </c>
      <c r="N274" s="123" t="s">
        <v>102</v>
      </c>
      <c r="O274" s="123" t="s">
        <v>23</v>
      </c>
      <c r="P274" s="123" t="s">
        <v>24</v>
      </c>
      <c r="Q274" s="123" t="s">
        <v>24</v>
      </c>
      <c r="R274" s="123">
        <v>0</v>
      </c>
      <c r="T274" s="127" t="s">
        <v>115</v>
      </c>
      <c r="U274" s="127" t="s">
        <v>115</v>
      </c>
      <c r="V274" s="127" t="s">
        <v>115</v>
      </c>
      <c r="W274" s="127"/>
      <c r="X274" s="127"/>
      <c r="Y274" s="127"/>
      <c r="Z274" s="127" t="s">
        <v>115</v>
      </c>
      <c r="AA274" s="127" t="s">
        <v>115</v>
      </c>
      <c r="AB274" s="127" t="s">
        <v>115</v>
      </c>
      <c r="AC274" s="127" t="s">
        <v>115</v>
      </c>
      <c r="AD274" s="127" t="s">
        <v>115</v>
      </c>
      <c r="AE274" s="127" t="s">
        <v>115</v>
      </c>
      <c r="AF274" s="127" t="s">
        <v>115</v>
      </c>
      <c r="AG274" s="127" t="s">
        <v>115</v>
      </c>
      <c r="AH274" s="123">
        <v>5</v>
      </c>
      <c r="AI274" s="123">
        <v>0</v>
      </c>
      <c r="AJ274" s="123">
        <v>0</v>
      </c>
      <c r="AK274" s="123">
        <v>5</v>
      </c>
      <c r="AL274" s="123">
        <v>0</v>
      </c>
      <c r="AN274" s="123">
        <f t="shared" si="4"/>
        <v>5</v>
      </c>
      <c r="AO274" s="123" t="s">
        <v>188</v>
      </c>
    </row>
    <row r="275" spans="1:44" x14ac:dyDescent="0.2">
      <c r="A275" s="123" t="s">
        <v>3022</v>
      </c>
      <c r="B275" s="123" t="s">
        <v>3023</v>
      </c>
      <c r="C275" s="123">
        <v>4</v>
      </c>
      <c r="D275" s="123">
        <v>1</v>
      </c>
      <c r="E275" s="123" t="s">
        <v>2487</v>
      </c>
      <c r="F275" s="125">
        <v>43564</v>
      </c>
      <c r="G275" s="125" t="s">
        <v>4027</v>
      </c>
      <c r="H275" s="125" t="s">
        <v>4752</v>
      </c>
      <c r="I275" s="171">
        <v>5.7638888888888885E-2</v>
      </c>
      <c r="J275" s="173">
        <v>9.6064814814814808E-4</v>
      </c>
      <c r="K275" s="129">
        <v>83</v>
      </c>
      <c r="M275" s="123" t="s">
        <v>2498</v>
      </c>
      <c r="N275" s="123" t="s">
        <v>156</v>
      </c>
      <c r="O275" s="123" t="s">
        <v>1196</v>
      </c>
      <c r="P275" s="123">
        <v>0</v>
      </c>
      <c r="Q275" s="123">
        <v>0</v>
      </c>
      <c r="R275" s="123">
        <v>1</v>
      </c>
      <c r="S275" s="123" t="s">
        <v>598</v>
      </c>
      <c r="T275" s="127" t="s">
        <v>3100</v>
      </c>
      <c r="U275" s="127" t="s">
        <v>122</v>
      </c>
      <c r="V275" s="127" t="s">
        <v>3024</v>
      </c>
      <c r="W275" s="127" t="s">
        <v>1196</v>
      </c>
      <c r="X275" s="127" t="s">
        <v>3997</v>
      </c>
      <c r="Y275" s="127" t="s">
        <v>4020</v>
      </c>
      <c r="Z275" s="127" t="s">
        <v>3025</v>
      </c>
      <c r="AA275" s="127" t="s">
        <v>3025</v>
      </c>
      <c r="AB275" s="127" t="s">
        <v>3026</v>
      </c>
      <c r="AC275" s="123">
        <v>63.71922</v>
      </c>
      <c r="AD275" s="123">
        <v>148.98706000000001</v>
      </c>
      <c r="AE275" s="127" t="s">
        <v>115</v>
      </c>
      <c r="AF275" s="127" t="s">
        <v>115</v>
      </c>
      <c r="AG275" s="127"/>
      <c r="AH275" s="123">
        <v>0</v>
      </c>
      <c r="AI275" s="123">
        <v>0</v>
      </c>
      <c r="AJ275" s="123">
        <v>0</v>
      </c>
      <c r="AK275" s="123">
        <v>0</v>
      </c>
      <c r="AL275" s="123">
        <v>65</v>
      </c>
      <c r="AN275" s="123">
        <f t="shared" si="4"/>
        <v>65</v>
      </c>
      <c r="AP275" s="123" t="s">
        <v>4808</v>
      </c>
    </row>
    <row r="276" spans="1:44" x14ac:dyDescent="0.2">
      <c r="A276" s="123" t="s">
        <v>3036</v>
      </c>
      <c r="B276" s="123" t="s">
        <v>3037</v>
      </c>
      <c r="C276" s="123">
        <v>9</v>
      </c>
      <c r="D276" s="123">
        <v>1</v>
      </c>
      <c r="E276" s="123" t="s">
        <v>2487</v>
      </c>
      <c r="F276" s="125">
        <v>43564</v>
      </c>
      <c r="G276" s="125" t="s">
        <v>4027</v>
      </c>
      <c r="H276" s="125" t="s">
        <v>4752</v>
      </c>
      <c r="I276" s="171">
        <v>3.1944444444444449E-2</v>
      </c>
      <c r="J276" s="173">
        <v>5.3240740740740744E-4</v>
      </c>
      <c r="K276" s="129">
        <v>46</v>
      </c>
      <c r="M276" s="123" t="s">
        <v>2498</v>
      </c>
      <c r="N276" s="123" t="s">
        <v>187</v>
      </c>
      <c r="O276" s="123" t="s">
        <v>23</v>
      </c>
      <c r="P276" s="123">
        <v>1</v>
      </c>
      <c r="Q276" s="123">
        <v>0</v>
      </c>
      <c r="R276" s="123">
        <v>1</v>
      </c>
      <c r="S276" s="123" t="s">
        <v>598</v>
      </c>
      <c r="T276" s="127" t="s">
        <v>2437</v>
      </c>
      <c r="U276" s="127" t="s">
        <v>122</v>
      </c>
      <c r="V276" s="127" t="s">
        <v>2088</v>
      </c>
      <c r="W276" s="127" t="s">
        <v>23</v>
      </c>
      <c r="X276" s="127" t="s">
        <v>3997</v>
      </c>
      <c r="Y276" s="127" t="s">
        <v>4021</v>
      </c>
      <c r="Z276" s="127" t="s">
        <v>2765</v>
      </c>
      <c r="AA276" s="123">
        <v>330</v>
      </c>
      <c r="AB276" s="123">
        <v>5</v>
      </c>
      <c r="AC276" s="123">
        <v>63.719679999999997</v>
      </c>
      <c r="AD276" s="123">
        <v>148.98660000000001</v>
      </c>
      <c r="AE276" s="127" t="s">
        <v>115</v>
      </c>
      <c r="AF276" s="127" t="s">
        <v>115</v>
      </c>
      <c r="AG276" s="127"/>
      <c r="AH276" s="123">
        <v>0</v>
      </c>
      <c r="AI276" s="123">
        <v>0</v>
      </c>
      <c r="AJ276" s="123">
        <v>0</v>
      </c>
      <c r="AK276" s="123">
        <v>0</v>
      </c>
      <c r="AL276" s="123">
        <v>7</v>
      </c>
      <c r="AN276" s="123">
        <f t="shared" si="4"/>
        <v>7</v>
      </c>
      <c r="AO276" s="123" t="s">
        <v>188</v>
      </c>
    </row>
    <row r="277" spans="1:44" x14ac:dyDescent="0.2">
      <c r="A277" s="123" t="s">
        <v>3042</v>
      </c>
      <c r="B277" s="123" t="s">
        <v>3043</v>
      </c>
      <c r="C277" s="123">
        <v>12</v>
      </c>
      <c r="D277" s="123">
        <v>1</v>
      </c>
      <c r="E277" s="123" t="s">
        <v>2487</v>
      </c>
      <c r="F277" s="125">
        <v>43564</v>
      </c>
      <c r="G277" s="125" t="s">
        <v>4027</v>
      </c>
      <c r="H277" s="125" t="s">
        <v>4752</v>
      </c>
      <c r="I277" s="171">
        <v>9.7222222222222224E-3</v>
      </c>
      <c r="J277" s="173">
        <v>1.6203703703703703E-4</v>
      </c>
      <c r="K277" s="129">
        <v>14</v>
      </c>
      <c r="M277" s="123" t="s">
        <v>2498</v>
      </c>
      <c r="N277" s="123" t="s">
        <v>107</v>
      </c>
      <c r="O277" s="123" t="s">
        <v>115</v>
      </c>
      <c r="P277" s="123">
        <v>1</v>
      </c>
      <c r="Q277" s="123">
        <v>0</v>
      </c>
      <c r="R277" s="123">
        <v>0</v>
      </c>
      <c r="S277" s="123" t="s">
        <v>598</v>
      </c>
      <c r="T277" s="127" t="s">
        <v>2801</v>
      </c>
      <c r="U277" s="127" t="s">
        <v>122</v>
      </c>
      <c r="V277" s="127" t="s">
        <v>115</v>
      </c>
      <c r="W277" s="127"/>
      <c r="X277" s="127"/>
      <c r="Y277" s="127"/>
      <c r="Z277" s="127" t="s">
        <v>115</v>
      </c>
      <c r="AA277" s="127" t="s">
        <v>115</v>
      </c>
      <c r="AB277" s="127" t="s">
        <v>115</v>
      </c>
      <c r="AC277" s="127" t="s">
        <v>115</v>
      </c>
      <c r="AD277" s="127" t="s">
        <v>115</v>
      </c>
      <c r="AE277" s="127" t="s">
        <v>115</v>
      </c>
      <c r="AF277" s="127" t="s">
        <v>115</v>
      </c>
      <c r="AG277" s="127"/>
      <c r="AH277" s="123">
        <v>0</v>
      </c>
      <c r="AI277" s="123">
        <v>0</v>
      </c>
      <c r="AJ277" s="123">
        <v>0</v>
      </c>
      <c r="AK277" s="123">
        <v>0</v>
      </c>
      <c r="AL277" s="123">
        <v>0</v>
      </c>
      <c r="AN277" s="123">
        <f t="shared" si="4"/>
        <v>0</v>
      </c>
      <c r="AP277" s="123" t="s">
        <v>3044</v>
      </c>
    </row>
    <row r="278" spans="1:44" x14ac:dyDescent="0.2">
      <c r="A278" s="123" t="s">
        <v>3019</v>
      </c>
      <c r="B278" s="123" t="s">
        <v>3020</v>
      </c>
      <c r="C278" s="123">
        <v>3</v>
      </c>
      <c r="D278" s="123">
        <v>1</v>
      </c>
      <c r="E278" s="123" t="s">
        <v>2487</v>
      </c>
      <c r="F278" s="125">
        <v>43564</v>
      </c>
      <c r="G278" s="125" t="s">
        <v>4027</v>
      </c>
      <c r="H278" s="125" t="s">
        <v>4752</v>
      </c>
      <c r="I278" s="171">
        <v>3.7499999999999999E-2</v>
      </c>
      <c r="J278" s="173">
        <v>6.2500000000000001E-4</v>
      </c>
      <c r="K278" s="129">
        <v>54</v>
      </c>
      <c r="M278" s="123" t="s">
        <v>2498</v>
      </c>
      <c r="N278" s="123" t="s">
        <v>102</v>
      </c>
      <c r="O278" s="123" t="s">
        <v>115</v>
      </c>
      <c r="P278" s="123">
        <v>1</v>
      </c>
      <c r="Q278" s="123">
        <v>0</v>
      </c>
      <c r="R278" s="123">
        <v>0</v>
      </c>
      <c r="S278" s="123" t="s">
        <v>598</v>
      </c>
      <c r="T278" s="127" t="s">
        <v>2506</v>
      </c>
      <c r="U278" s="127" t="s">
        <v>122</v>
      </c>
      <c r="V278" s="127" t="s">
        <v>115</v>
      </c>
      <c r="W278" s="127"/>
      <c r="X278" s="127"/>
      <c r="Y278" s="127"/>
      <c r="Z278" s="127" t="s">
        <v>115</v>
      </c>
      <c r="AA278" s="127" t="s">
        <v>115</v>
      </c>
      <c r="AB278" s="127" t="s">
        <v>115</v>
      </c>
      <c r="AC278" s="127" t="s">
        <v>115</v>
      </c>
      <c r="AD278" s="127" t="s">
        <v>115</v>
      </c>
      <c r="AE278" s="127" t="s">
        <v>115</v>
      </c>
      <c r="AF278" s="127" t="s">
        <v>115</v>
      </c>
      <c r="AG278" s="127"/>
      <c r="AH278" s="123">
        <v>0</v>
      </c>
      <c r="AI278" s="123">
        <v>0</v>
      </c>
      <c r="AJ278" s="123">
        <v>0</v>
      </c>
      <c r="AK278" s="123">
        <v>0</v>
      </c>
      <c r="AL278" s="123">
        <v>54</v>
      </c>
      <c r="AN278" s="123">
        <f t="shared" si="4"/>
        <v>54</v>
      </c>
    </row>
    <row r="279" spans="1:44" x14ac:dyDescent="0.2">
      <c r="A279" s="123" t="s">
        <v>3034</v>
      </c>
      <c r="B279" s="123" t="s">
        <v>3035</v>
      </c>
      <c r="C279" s="123">
        <v>8</v>
      </c>
      <c r="D279" s="123">
        <v>1</v>
      </c>
      <c r="E279" s="123" t="s">
        <v>2487</v>
      </c>
      <c r="F279" s="125">
        <v>43564</v>
      </c>
      <c r="G279" s="125" t="s">
        <v>4027</v>
      </c>
      <c r="H279" s="125" t="s">
        <v>4752</v>
      </c>
      <c r="I279" s="171">
        <v>2.2222222222222223E-2</v>
      </c>
      <c r="J279" s="173">
        <v>3.7037037037037035E-4</v>
      </c>
      <c r="K279" s="129">
        <v>32</v>
      </c>
      <c r="M279" s="123" t="s">
        <v>2498</v>
      </c>
      <c r="N279" s="123" t="s">
        <v>102</v>
      </c>
      <c r="O279" s="123" t="s">
        <v>115</v>
      </c>
      <c r="P279" s="123">
        <v>0</v>
      </c>
      <c r="Q279" s="123">
        <v>0</v>
      </c>
      <c r="R279" s="123">
        <v>0</v>
      </c>
      <c r="T279" s="127" t="s">
        <v>115</v>
      </c>
      <c r="U279" s="127" t="s">
        <v>115</v>
      </c>
      <c r="V279" s="127" t="s">
        <v>115</v>
      </c>
      <c r="W279" s="127"/>
      <c r="X279" s="127"/>
      <c r="Y279" s="127"/>
      <c r="Z279" s="127" t="s">
        <v>115</v>
      </c>
      <c r="AA279" s="127" t="s">
        <v>115</v>
      </c>
      <c r="AB279" s="127" t="s">
        <v>115</v>
      </c>
      <c r="AC279" s="127" t="s">
        <v>115</v>
      </c>
      <c r="AD279" s="127" t="s">
        <v>115</v>
      </c>
      <c r="AE279" s="127" t="s">
        <v>115</v>
      </c>
      <c r="AF279" s="127" t="s">
        <v>115</v>
      </c>
      <c r="AG279" s="127"/>
      <c r="AH279" s="123">
        <v>0</v>
      </c>
      <c r="AI279" s="123">
        <v>0</v>
      </c>
      <c r="AJ279" s="123">
        <v>0</v>
      </c>
      <c r="AK279" s="123">
        <v>0</v>
      </c>
      <c r="AL279" s="123">
        <v>32</v>
      </c>
      <c r="AN279" s="123">
        <f t="shared" si="4"/>
        <v>32</v>
      </c>
      <c r="AO279" s="123" t="s">
        <v>188</v>
      </c>
    </row>
    <row r="280" spans="1:44" x14ac:dyDescent="0.2">
      <c r="A280" s="123" t="s">
        <v>3045</v>
      </c>
      <c r="B280" s="123" t="s">
        <v>3046</v>
      </c>
      <c r="C280" s="123">
        <v>13</v>
      </c>
      <c r="D280" s="123">
        <v>1</v>
      </c>
      <c r="E280" s="123" t="s">
        <v>2487</v>
      </c>
      <c r="F280" s="125">
        <v>43564</v>
      </c>
      <c r="G280" s="125" t="s">
        <v>4027</v>
      </c>
      <c r="H280" s="125" t="s">
        <v>4752</v>
      </c>
      <c r="I280" s="171">
        <v>1.3888888888888888E-2</v>
      </c>
      <c r="J280" s="173">
        <v>2.3148148148148146E-4</v>
      </c>
      <c r="K280" s="129">
        <v>20</v>
      </c>
      <c r="M280" s="123" t="s">
        <v>2498</v>
      </c>
      <c r="N280" s="123" t="s">
        <v>107</v>
      </c>
      <c r="O280" s="123" t="s">
        <v>115</v>
      </c>
      <c r="P280" s="123">
        <v>0</v>
      </c>
      <c r="Q280" s="123">
        <v>0</v>
      </c>
      <c r="R280" s="123">
        <v>0</v>
      </c>
      <c r="S280" s="123" t="s">
        <v>598</v>
      </c>
      <c r="T280" s="127" t="s">
        <v>2801</v>
      </c>
      <c r="U280" s="127" t="s">
        <v>115</v>
      </c>
      <c r="V280" s="127" t="s">
        <v>115</v>
      </c>
      <c r="W280" s="127"/>
      <c r="X280" s="127"/>
      <c r="Y280" s="127"/>
      <c r="Z280" s="127" t="s">
        <v>115</v>
      </c>
      <c r="AA280" s="127" t="s">
        <v>115</v>
      </c>
      <c r="AB280" s="127" t="s">
        <v>115</v>
      </c>
      <c r="AC280" s="127" t="s">
        <v>115</v>
      </c>
      <c r="AD280" s="127" t="s">
        <v>115</v>
      </c>
      <c r="AE280" s="127" t="s">
        <v>115</v>
      </c>
      <c r="AF280" s="127" t="s">
        <v>115</v>
      </c>
      <c r="AG280" s="127"/>
      <c r="AH280" s="123">
        <v>0</v>
      </c>
      <c r="AI280" s="123">
        <v>0</v>
      </c>
      <c r="AJ280" s="123">
        <v>0</v>
      </c>
      <c r="AK280" s="123">
        <v>0</v>
      </c>
      <c r="AL280" s="123">
        <v>0</v>
      </c>
      <c r="AN280" s="123">
        <f t="shared" si="4"/>
        <v>0</v>
      </c>
      <c r="AP280" s="123" t="s">
        <v>2934</v>
      </c>
    </row>
    <row r="281" spans="1:44" x14ac:dyDescent="0.2">
      <c r="A281" s="123" t="s">
        <v>3027</v>
      </c>
      <c r="B281" s="123" t="s">
        <v>3028</v>
      </c>
      <c r="C281" s="123">
        <v>5</v>
      </c>
      <c r="D281" s="123">
        <v>1</v>
      </c>
      <c r="E281" s="123" t="s">
        <v>2487</v>
      </c>
      <c r="F281" s="125">
        <v>43564</v>
      </c>
      <c r="G281" s="125" t="s">
        <v>4027</v>
      </c>
      <c r="H281" s="125" t="s">
        <v>4752</v>
      </c>
      <c r="I281" s="171">
        <v>7.6388888888888886E-3</v>
      </c>
      <c r="J281" s="173">
        <v>1.273148148148148E-4</v>
      </c>
      <c r="K281" s="129">
        <v>11</v>
      </c>
      <c r="M281" s="123" t="s">
        <v>2498</v>
      </c>
      <c r="N281" s="123" t="s">
        <v>102</v>
      </c>
      <c r="O281" s="123" t="s">
        <v>115</v>
      </c>
      <c r="P281" s="123">
        <v>0</v>
      </c>
      <c r="Q281" s="123">
        <v>0</v>
      </c>
      <c r="R281" s="123">
        <v>0</v>
      </c>
      <c r="T281" s="127" t="s">
        <v>115</v>
      </c>
      <c r="U281" s="127" t="s">
        <v>115</v>
      </c>
      <c r="V281" s="127" t="s">
        <v>115</v>
      </c>
      <c r="W281" s="127"/>
      <c r="X281" s="127"/>
      <c r="Y281" s="127"/>
      <c r="Z281" s="127" t="s">
        <v>115</v>
      </c>
      <c r="AA281" s="127" t="s">
        <v>115</v>
      </c>
      <c r="AB281" s="127" t="s">
        <v>115</v>
      </c>
      <c r="AC281" s="127" t="s">
        <v>115</v>
      </c>
      <c r="AD281" s="127" t="s">
        <v>115</v>
      </c>
      <c r="AE281" s="127" t="s">
        <v>115</v>
      </c>
      <c r="AF281" s="127" t="s">
        <v>115</v>
      </c>
      <c r="AG281" s="127"/>
      <c r="AH281" s="123">
        <v>0</v>
      </c>
      <c r="AI281" s="123">
        <v>0</v>
      </c>
      <c r="AJ281" s="123">
        <v>0</v>
      </c>
      <c r="AK281" s="123">
        <v>0</v>
      </c>
      <c r="AL281" s="123">
        <v>11</v>
      </c>
      <c r="AN281" s="123">
        <f t="shared" si="4"/>
        <v>11</v>
      </c>
      <c r="AO281" s="123" t="s">
        <v>188</v>
      </c>
    </row>
    <row r="282" spans="1:44" x14ac:dyDescent="0.2">
      <c r="A282" s="123" t="s">
        <v>3029</v>
      </c>
      <c r="B282" s="123" t="s">
        <v>3030</v>
      </c>
      <c r="C282" s="123">
        <v>6</v>
      </c>
      <c r="D282" s="123">
        <v>1</v>
      </c>
      <c r="E282" s="123" t="s">
        <v>2487</v>
      </c>
      <c r="F282" s="125">
        <v>43564</v>
      </c>
      <c r="G282" s="125" t="s">
        <v>4027</v>
      </c>
      <c r="H282" s="125" t="s">
        <v>4752</v>
      </c>
      <c r="I282" s="171">
        <v>2.2222222222222223E-2</v>
      </c>
      <c r="J282" s="173">
        <v>3.7037037037037035E-4</v>
      </c>
      <c r="K282" s="129">
        <v>32</v>
      </c>
      <c r="M282" s="123" t="s">
        <v>2498</v>
      </c>
      <c r="N282" s="123" t="s">
        <v>102</v>
      </c>
      <c r="O282" s="123" t="s">
        <v>115</v>
      </c>
      <c r="P282" s="123">
        <v>0</v>
      </c>
      <c r="Q282" s="123">
        <v>0</v>
      </c>
      <c r="R282" s="123">
        <v>0</v>
      </c>
      <c r="T282" s="127" t="s">
        <v>115</v>
      </c>
      <c r="U282" s="127" t="s">
        <v>115</v>
      </c>
      <c r="V282" s="127" t="s">
        <v>115</v>
      </c>
      <c r="W282" s="127"/>
      <c r="X282" s="127"/>
      <c r="Y282" s="127"/>
      <c r="Z282" s="127" t="s">
        <v>115</v>
      </c>
      <c r="AA282" s="127" t="s">
        <v>115</v>
      </c>
      <c r="AB282" s="127" t="s">
        <v>115</v>
      </c>
      <c r="AC282" s="127" t="s">
        <v>115</v>
      </c>
      <c r="AD282" s="127" t="s">
        <v>115</v>
      </c>
      <c r="AE282" s="127" t="s">
        <v>115</v>
      </c>
      <c r="AF282" s="127" t="s">
        <v>115</v>
      </c>
      <c r="AG282" s="127"/>
      <c r="AH282" s="123">
        <v>0</v>
      </c>
      <c r="AI282" s="123">
        <v>0</v>
      </c>
      <c r="AJ282" s="123">
        <v>0</v>
      </c>
      <c r="AK282" s="123">
        <v>0</v>
      </c>
      <c r="AL282" s="123">
        <v>32</v>
      </c>
      <c r="AN282" s="123">
        <f t="shared" si="4"/>
        <v>32</v>
      </c>
      <c r="AO282" s="123" t="s">
        <v>188</v>
      </c>
    </row>
    <row r="283" spans="1:44" x14ac:dyDescent="0.2">
      <c r="A283" s="123" t="s">
        <v>3032</v>
      </c>
      <c r="B283" s="123" t="s">
        <v>3033</v>
      </c>
      <c r="C283" s="123">
        <v>7</v>
      </c>
      <c r="D283" s="123">
        <v>1</v>
      </c>
      <c r="E283" s="123" t="s">
        <v>2487</v>
      </c>
      <c r="F283" s="125">
        <v>43564</v>
      </c>
      <c r="G283" s="125" t="s">
        <v>4027</v>
      </c>
      <c r="H283" s="125" t="s">
        <v>4752</v>
      </c>
      <c r="I283" s="171">
        <v>9.0277777777777787E-3</v>
      </c>
      <c r="J283" s="173">
        <v>1.5046296296296297E-4</v>
      </c>
      <c r="K283" s="129">
        <v>13</v>
      </c>
      <c r="M283" s="123" t="s">
        <v>2498</v>
      </c>
      <c r="N283" s="123" t="s">
        <v>102</v>
      </c>
      <c r="O283" s="123" t="s">
        <v>115</v>
      </c>
      <c r="P283" s="123">
        <v>0</v>
      </c>
      <c r="Q283" s="123">
        <v>0</v>
      </c>
      <c r="R283" s="123">
        <v>0</v>
      </c>
      <c r="T283" s="127" t="s">
        <v>115</v>
      </c>
      <c r="U283" s="127" t="s">
        <v>115</v>
      </c>
      <c r="V283" s="127" t="s">
        <v>115</v>
      </c>
      <c r="W283" s="127"/>
      <c r="X283" s="127"/>
      <c r="Y283" s="127"/>
      <c r="Z283" s="127" t="s">
        <v>115</v>
      </c>
      <c r="AA283" s="127" t="s">
        <v>115</v>
      </c>
      <c r="AB283" s="127" t="s">
        <v>115</v>
      </c>
      <c r="AC283" s="127" t="s">
        <v>115</v>
      </c>
      <c r="AD283" s="127" t="s">
        <v>115</v>
      </c>
      <c r="AE283" s="127" t="s">
        <v>115</v>
      </c>
      <c r="AF283" s="127" t="s">
        <v>115</v>
      </c>
      <c r="AG283" s="127"/>
      <c r="AH283" s="123">
        <v>0</v>
      </c>
      <c r="AI283" s="123">
        <v>0</v>
      </c>
      <c r="AJ283" s="123">
        <v>0</v>
      </c>
      <c r="AK283" s="123">
        <v>0</v>
      </c>
      <c r="AL283" s="123">
        <v>7</v>
      </c>
      <c r="AN283" s="123">
        <f t="shared" si="4"/>
        <v>7</v>
      </c>
      <c r="AO283" s="123" t="s">
        <v>188</v>
      </c>
    </row>
    <row r="284" spans="1:44" x14ac:dyDescent="0.2">
      <c r="A284" s="123" t="s">
        <v>3198</v>
      </c>
      <c r="B284" s="123" t="s">
        <v>3199</v>
      </c>
      <c r="C284" s="123">
        <v>7</v>
      </c>
      <c r="D284" s="123">
        <v>1</v>
      </c>
      <c r="E284" s="123" t="s">
        <v>2487</v>
      </c>
      <c r="F284" s="125">
        <v>43572</v>
      </c>
      <c r="G284" s="125" t="s">
        <v>4027</v>
      </c>
      <c r="H284" s="125" t="s">
        <v>4752</v>
      </c>
      <c r="I284" s="171">
        <v>2.361111111111111E-2</v>
      </c>
      <c r="J284" s="173">
        <v>3.9351851851851852E-4</v>
      </c>
      <c r="K284" s="129">
        <v>34</v>
      </c>
      <c r="L284" s="123" t="s">
        <v>3187</v>
      </c>
      <c r="M284" s="123" t="s">
        <v>2498</v>
      </c>
      <c r="N284" s="123" t="s">
        <v>102</v>
      </c>
      <c r="O284" s="123" t="s">
        <v>115</v>
      </c>
      <c r="P284" s="123">
        <v>1</v>
      </c>
      <c r="Q284" s="123">
        <v>0</v>
      </c>
      <c r="R284" s="123">
        <v>0</v>
      </c>
      <c r="S284" s="123" t="s">
        <v>176</v>
      </c>
      <c r="T284" s="127" t="s">
        <v>24</v>
      </c>
      <c r="U284" s="127" t="s">
        <v>122</v>
      </c>
      <c r="V284" s="127" t="s">
        <v>115</v>
      </c>
      <c r="W284" s="127"/>
      <c r="X284" s="127"/>
      <c r="Y284" s="127"/>
      <c r="Z284" s="127" t="s">
        <v>115</v>
      </c>
      <c r="AA284" s="127" t="s">
        <v>115</v>
      </c>
      <c r="AB284" s="127" t="s">
        <v>115</v>
      </c>
      <c r="AC284" s="127" t="s">
        <v>115</v>
      </c>
      <c r="AD284" s="127" t="s">
        <v>115</v>
      </c>
      <c r="AE284" s="127" t="s">
        <v>115</v>
      </c>
      <c r="AF284" s="127" t="s">
        <v>115</v>
      </c>
      <c r="AG284" s="127"/>
      <c r="AH284" s="123">
        <v>0</v>
      </c>
      <c r="AI284" s="123">
        <v>0</v>
      </c>
      <c r="AJ284" s="123">
        <v>0</v>
      </c>
      <c r="AK284" s="123">
        <v>0</v>
      </c>
      <c r="AL284" s="123">
        <v>10</v>
      </c>
      <c r="AN284" s="123">
        <f t="shared" si="4"/>
        <v>10</v>
      </c>
      <c r="AO284" s="123" t="s">
        <v>188</v>
      </c>
    </row>
    <row r="285" spans="1:44" x14ac:dyDescent="0.2">
      <c r="A285" s="123" t="s">
        <v>3198</v>
      </c>
      <c r="B285" s="123" t="s">
        <v>3199</v>
      </c>
      <c r="C285" s="123">
        <v>7</v>
      </c>
      <c r="D285" s="123">
        <v>2</v>
      </c>
      <c r="E285" s="123" t="s">
        <v>2487</v>
      </c>
      <c r="F285" s="125">
        <v>43572</v>
      </c>
      <c r="G285" s="125" t="s">
        <v>4027</v>
      </c>
      <c r="H285" s="125" t="s">
        <v>4752</v>
      </c>
      <c r="I285" s="171">
        <v>2.361111111111111E-2</v>
      </c>
      <c r="J285" s="173">
        <v>3.9351851851851852E-4</v>
      </c>
      <c r="K285" s="129">
        <v>34</v>
      </c>
      <c r="L285" s="123" t="s">
        <v>3187</v>
      </c>
      <c r="M285" s="123" t="s">
        <v>2498</v>
      </c>
      <c r="N285" s="123" t="s">
        <v>102</v>
      </c>
      <c r="O285" s="123" t="s">
        <v>115</v>
      </c>
      <c r="P285" s="123">
        <v>1</v>
      </c>
      <c r="Q285" s="123">
        <v>0</v>
      </c>
      <c r="R285" s="123">
        <v>0</v>
      </c>
      <c r="S285" s="123" t="s">
        <v>598</v>
      </c>
      <c r="T285" s="127" t="s">
        <v>2506</v>
      </c>
      <c r="U285" s="127" t="s">
        <v>122</v>
      </c>
      <c r="V285" s="127" t="s">
        <v>115</v>
      </c>
      <c r="W285" s="127"/>
      <c r="X285" s="127"/>
      <c r="Y285" s="127"/>
      <c r="Z285" s="127" t="s">
        <v>115</v>
      </c>
      <c r="AA285" s="127" t="s">
        <v>115</v>
      </c>
      <c r="AB285" s="127" t="s">
        <v>115</v>
      </c>
      <c r="AC285" s="127" t="s">
        <v>115</v>
      </c>
      <c r="AD285" s="127" t="s">
        <v>115</v>
      </c>
      <c r="AE285" s="127" t="s">
        <v>115</v>
      </c>
      <c r="AF285" s="127" t="s">
        <v>115</v>
      </c>
      <c r="AG285" s="127"/>
      <c r="AH285" s="123">
        <v>0</v>
      </c>
      <c r="AI285" s="123">
        <v>0</v>
      </c>
      <c r="AJ285" s="123">
        <v>0</v>
      </c>
      <c r="AK285" s="123">
        <v>0</v>
      </c>
      <c r="AL285" s="123">
        <v>7</v>
      </c>
      <c r="AN285" s="123">
        <f t="shared" si="4"/>
        <v>7</v>
      </c>
      <c r="AO285" s="123" t="s">
        <v>188</v>
      </c>
    </row>
    <row r="286" spans="1:44" x14ac:dyDescent="0.2">
      <c r="A286" s="123" t="s">
        <v>3284</v>
      </c>
      <c r="B286" s="123" t="s">
        <v>3285</v>
      </c>
      <c r="C286" s="123">
        <v>1</v>
      </c>
      <c r="D286" s="123">
        <v>1</v>
      </c>
      <c r="E286" s="123" t="s">
        <v>2487</v>
      </c>
      <c r="F286" s="125">
        <v>43574</v>
      </c>
      <c r="G286" s="125" t="s">
        <v>4027</v>
      </c>
      <c r="H286" s="125" t="s">
        <v>4752</v>
      </c>
      <c r="I286" s="171">
        <v>7.6388888888888886E-3</v>
      </c>
      <c r="J286" s="173">
        <v>1.273148148148148E-4</v>
      </c>
      <c r="K286" s="129">
        <v>11</v>
      </c>
      <c r="L286" s="123" t="s">
        <v>101</v>
      </c>
      <c r="M286" s="123" t="s">
        <v>2498</v>
      </c>
      <c r="N286" s="123" t="s">
        <v>102</v>
      </c>
      <c r="O286" s="123" t="s">
        <v>516</v>
      </c>
      <c r="P286" s="123">
        <v>0</v>
      </c>
      <c r="Q286" s="123">
        <v>0</v>
      </c>
      <c r="R286" s="123">
        <v>0</v>
      </c>
      <c r="T286" s="127" t="s">
        <v>115</v>
      </c>
      <c r="U286" s="127" t="s">
        <v>115</v>
      </c>
      <c r="V286" s="127" t="s">
        <v>115</v>
      </c>
      <c r="W286" s="127"/>
      <c r="X286" s="127"/>
      <c r="Y286" s="127"/>
      <c r="Z286" s="127" t="s">
        <v>115</v>
      </c>
      <c r="AA286" s="127" t="s">
        <v>115</v>
      </c>
      <c r="AB286" s="127" t="s">
        <v>115</v>
      </c>
      <c r="AC286" s="127" t="s">
        <v>115</v>
      </c>
      <c r="AD286" s="127" t="s">
        <v>115</v>
      </c>
      <c r="AE286" s="127" t="s">
        <v>115</v>
      </c>
      <c r="AF286" s="127" t="s">
        <v>115</v>
      </c>
      <c r="AG286" s="127" t="s">
        <v>115</v>
      </c>
      <c r="AH286" s="123">
        <v>11</v>
      </c>
      <c r="AI286" s="123">
        <v>0</v>
      </c>
      <c r="AJ286" s="123">
        <v>0</v>
      </c>
      <c r="AK286" s="123">
        <v>11</v>
      </c>
      <c r="AL286" s="123">
        <v>0</v>
      </c>
      <c r="AN286" s="123">
        <f t="shared" si="4"/>
        <v>11</v>
      </c>
      <c r="AO286" s="123" t="s">
        <v>2374</v>
      </c>
      <c r="AP286" s="123" t="s">
        <v>4825</v>
      </c>
      <c r="AQ286" s="123">
        <v>0</v>
      </c>
      <c r="AR286" s="123">
        <v>0</v>
      </c>
    </row>
    <row r="287" spans="1:44" x14ac:dyDescent="0.2">
      <c r="A287" s="123" t="s">
        <v>3648</v>
      </c>
      <c r="B287" s="123" t="s">
        <v>3646</v>
      </c>
      <c r="C287" s="123">
        <v>9</v>
      </c>
      <c r="D287" s="123">
        <v>1</v>
      </c>
      <c r="E287" s="123" t="s">
        <v>2487</v>
      </c>
      <c r="F287" s="125">
        <v>43585</v>
      </c>
      <c r="G287" s="125" t="s">
        <v>4027</v>
      </c>
      <c r="H287" s="125" t="s">
        <v>4752</v>
      </c>
      <c r="I287" s="171">
        <v>6.6666666666666666E-2</v>
      </c>
      <c r="J287" s="173">
        <v>1.1111111111111111E-3</v>
      </c>
      <c r="K287" s="129">
        <v>96</v>
      </c>
      <c r="L287" s="123" t="s">
        <v>3626</v>
      </c>
      <c r="M287" s="123" t="s">
        <v>2498</v>
      </c>
      <c r="N287" s="123" t="s">
        <v>102</v>
      </c>
      <c r="O287" s="123" t="s">
        <v>23</v>
      </c>
      <c r="P287" s="123">
        <v>1</v>
      </c>
      <c r="Q287" s="123">
        <v>1</v>
      </c>
      <c r="R287" s="123">
        <v>0</v>
      </c>
      <c r="S287" s="123" t="s">
        <v>176</v>
      </c>
      <c r="T287" s="127" t="s">
        <v>24</v>
      </c>
      <c r="U287" s="127" t="s">
        <v>3396</v>
      </c>
      <c r="V287" s="127" t="s">
        <v>115</v>
      </c>
      <c r="W287" s="127"/>
      <c r="X287" s="127"/>
      <c r="Y287" s="127"/>
      <c r="Z287" s="127" t="s">
        <v>115</v>
      </c>
      <c r="AA287" s="127" t="s">
        <v>115</v>
      </c>
      <c r="AB287" s="127" t="s">
        <v>115</v>
      </c>
      <c r="AC287" s="127" t="s">
        <v>115</v>
      </c>
      <c r="AD287" s="127" t="s">
        <v>115</v>
      </c>
      <c r="AE287" s="123">
        <v>63.720140000000001</v>
      </c>
      <c r="AF287" s="123">
        <v>148.98885999999999</v>
      </c>
      <c r="AG287" s="127" t="s">
        <v>115</v>
      </c>
      <c r="AH287" s="123">
        <v>18</v>
      </c>
      <c r="AI287" s="123">
        <v>0</v>
      </c>
      <c r="AJ287" s="123">
        <v>0</v>
      </c>
      <c r="AK287" s="123">
        <v>18</v>
      </c>
      <c r="AL287" s="123">
        <v>0</v>
      </c>
      <c r="AN287" s="123">
        <f t="shared" si="4"/>
        <v>18</v>
      </c>
      <c r="AO287" s="123" t="s">
        <v>165</v>
      </c>
      <c r="AP287" s="123" t="s">
        <v>4837</v>
      </c>
      <c r="AQ287" s="123">
        <v>1</v>
      </c>
      <c r="AR287" s="123">
        <v>0</v>
      </c>
    </row>
    <row r="288" spans="1:44" x14ac:dyDescent="0.2">
      <c r="A288" s="123" t="s">
        <v>3652</v>
      </c>
      <c r="B288" s="123" t="s">
        <v>3651</v>
      </c>
      <c r="C288" s="123">
        <v>11</v>
      </c>
      <c r="D288" s="123">
        <v>1</v>
      </c>
      <c r="E288" s="123" t="s">
        <v>2487</v>
      </c>
      <c r="F288" s="125">
        <v>43585</v>
      </c>
      <c r="G288" s="125" t="s">
        <v>4027</v>
      </c>
      <c r="H288" s="125" t="s">
        <v>4752</v>
      </c>
      <c r="I288" s="171">
        <v>6.7361111111111108E-2</v>
      </c>
      <c r="J288" s="173">
        <v>1.1226851851851851E-3</v>
      </c>
      <c r="K288" s="129">
        <v>97</v>
      </c>
      <c r="L288" s="123" t="s">
        <v>3626</v>
      </c>
      <c r="M288" s="123" t="s">
        <v>2498</v>
      </c>
      <c r="N288" s="123" t="s">
        <v>102</v>
      </c>
      <c r="O288" s="123" t="s">
        <v>115</v>
      </c>
      <c r="P288" s="123">
        <v>1</v>
      </c>
      <c r="Q288" s="123">
        <v>0</v>
      </c>
      <c r="R288" s="123">
        <v>1</v>
      </c>
      <c r="S288" s="123" t="s">
        <v>14</v>
      </c>
      <c r="T288" s="127" t="s">
        <v>3279</v>
      </c>
      <c r="U288" s="127" t="s">
        <v>122</v>
      </c>
      <c r="V288" s="127" t="s">
        <v>2088</v>
      </c>
      <c r="W288" s="127" t="s">
        <v>23</v>
      </c>
      <c r="X288" s="127" t="s">
        <v>3997</v>
      </c>
      <c r="Y288" s="127" t="s">
        <v>4021</v>
      </c>
      <c r="Z288" s="127" t="s">
        <v>3653</v>
      </c>
      <c r="AA288" s="123">
        <v>220</v>
      </c>
      <c r="AB288" s="128">
        <v>10.9</v>
      </c>
      <c r="AC288" s="123">
        <v>63.719990000000003</v>
      </c>
      <c r="AD288" s="123">
        <v>148.98865000000001</v>
      </c>
      <c r="AE288" s="123" t="s">
        <v>115</v>
      </c>
      <c r="AF288" s="123" t="s">
        <v>115</v>
      </c>
      <c r="AG288" s="127" t="s">
        <v>115</v>
      </c>
      <c r="AH288" s="123">
        <v>0</v>
      </c>
      <c r="AI288" s="123">
        <v>0</v>
      </c>
      <c r="AJ288" s="123">
        <v>0</v>
      </c>
      <c r="AK288" s="123">
        <v>0</v>
      </c>
      <c r="AL288" s="123">
        <v>85</v>
      </c>
      <c r="AN288" s="123">
        <f t="shared" si="4"/>
        <v>85</v>
      </c>
      <c r="AO288" s="123" t="s">
        <v>188</v>
      </c>
    </row>
    <row r="289" spans="1:44" x14ac:dyDescent="0.2">
      <c r="A289" s="123" t="s">
        <v>3654</v>
      </c>
      <c r="B289" s="123" t="s">
        <v>3684</v>
      </c>
      <c r="C289" s="123">
        <v>12</v>
      </c>
      <c r="D289" s="123">
        <v>1</v>
      </c>
      <c r="E289" s="123" t="s">
        <v>2487</v>
      </c>
      <c r="F289" s="125">
        <v>43585</v>
      </c>
      <c r="G289" s="125" t="s">
        <v>4027</v>
      </c>
      <c r="H289" s="125" t="s">
        <v>4752</v>
      </c>
      <c r="I289" s="171">
        <v>9.0277777777777787E-3</v>
      </c>
      <c r="J289" s="173">
        <v>1.5046296296296297E-4</v>
      </c>
      <c r="K289" s="129">
        <v>13</v>
      </c>
      <c r="L289" s="123" t="s">
        <v>3626</v>
      </c>
      <c r="M289" s="123" t="s">
        <v>2498</v>
      </c>
      <c r="N289" s="123" t="s">
        <v>102</v>
      </c>
      <c r="O289" s="123" t="s">
        <v>115</v>
      </c>
      <c r="P289" s="123">
        <v>0</v>
      </c>
      <c r="Q289" s="123">
        <v>0</v>
      </c>
      <c r="R289" s="123">
        <v>0</v>
      </c>
      <c r="T289" s="127" t="s">
        <v>115</v>
      </c>
      <c r="U289" s="127" t="s">
        <v>115</v>
      </c>
      <c r="V289" s="127" t="s">
        <v>115</v>
      </c>
      <c r="W289" s="127"/>
      <c r="X289" s="127"/>
      <c r="Y289" s="127"/>
      <c r="Z289" s="127" t="s">
        <v>115</v>
      </c>
      <c r="AA289" s="127" t="s">
        <v>115</v>
      </c>
      <c r="AB289" s="127" t="s">
        <v>115</v>
      </c>
      <c r="AC289" s="127" t="s">
        <v>115</v>
      </c>
      <c r="AD289" s="127" t="s">
        <v>115</v>
      </c>
      <c r="AE289" s="127" t="s">
        <v>115</v>
      </c>
      <c r="AF289" s="127" t="s">
        <v>115</v>
      </c>
      <c r="AG289" s="127" t="s">
        <v>115</v>
      </c>
      <c r="AH289" s="123">
        <v>0</v>
      </c>
      <c r="AI289" s="123">
        <v>0</v>
      </c>
      <c r="AJ289" s="123">
        <v>0</v>
      </c>
      <c r="AK289" s="123">
        <v>0</v>
      </c>
      <c r="AL289" s="123">
        <v>0</v>
      </c>
      <c r="AN289" s="123">
        <f t="shared" si="4"/>
        <v>0</v>
      </c>
      <c r="AP289" s="123" t="s">
        <v>3656</v>
      </c>
    </row>
    <row r="290" spans="1:44" x14ac:dyDescent="0.2">
      <c r="A290" s="123" t="s">
        <v>3038</v>
      </c>
      <c r="B290" s="123" t="s">
        <v>3039</v>
      </c>
      <c r="C290" s="123">
        <v>10</v>
      </c>
      <c r="D290" s="123">
        <v>1</v>
      </c>
      <c r="E290" s="123" t="s">
        <v>2487</v>
      </c>
      <c r="F290" s="125">
        <v>43564</v>
      </c>
      <c r="G290" s="125" t="s">
        <v>4027</v>
      </c>
      <c r="H290" s="125" t="s">
        <v>4752</v>
      </c>
      <c r="I290" s="171">
        <v>1.8055555555555557E-2</v>
      </c>
      <c r="J290" s="173">
        <v>3.0092592592592595E-4</v>
      </c>
      <c r="K290" s="129">
        <v>26</v>
      </c>
      <c r="M290" s="123" t="s">
        <v>2498</v>
      </c>
      <c r="N290" s="123" t="s">
        <v>102</v>
      </c>
      <c r="O290" s="123" t="s">
        <v>115</v>
      </c>
      <c r="P290" s="123" t="s">
        <v>24</v>
      </c>
      <c r="Q290" s="123">
        <v>0</v>
      </c>
      <c r="R290" s="123">
        <v>0</v>
      </c>
      <c r="T290" s="127" t="s">
        <v>115</v>
      </c>
      <c r="U290" s="127" t="s">
        <v>115</v>
      </c>
      <c r="V290" s="127" t="s">
        <v>115</v>
      </c>
      <c r="W290" s="127"/>
      <c r="X290" s="127"/>
      <c r="Y290" s="127"/>
      <c r="Z290" s="127" t="s">
        <v>115</v>
      </c>
      <c r="AA290" s="127" t="s">
        <v>115</v>
      </c>
      <c r="AB290" s="127" t="s">
        <v>115</v>
      </c>
      <c r="AC290" s="127" t="s">
        <v>115</v>
      </c>
      <c r="AD290" s="127" t="s">
        <v>115</v>
      </c>
      <c r="AE290" s="127" t="s">
        <v>115</v>
      </c>
      <c r="AF290" s="127" t="s">
        <v>115</v>
      </c>
      <c r="AG290" s="127"/>
      <c r="AH290" s="123">
        <v>0</v>
      </c>
      <c r="AI290" s="123">
        <v>0</v>
      </c>
      <c r="AJ290" s="123">
        <v>0</v>
      </c>
      <c r="AK290" s="123">
        <v>0</v>
      </c>
      <c r="AL290" s="123">
        <v>26</v>
      </c>
      <c r="AN290" s="123">
        <f t="shared" si="4"/>
        <v>26</v>
      </c>
      <c r="AO290" s="123" t="s">
        <v>188</v>
      </c>
    </row>
    <row r="291" spans="1:44" x14ac:dyDescent="0.2">
      <c r="A291" s="123" t="s">
        <v>3650</v>
      </c>
      <c r="B291" s="123" t="s">
        <v>3647</v>
      </c>
      <c r="C291" s="123">
        <v>10</v>
      </c>
      <c r="D291" s="123">
        <v>1</v>
      </c>
      <c r="E291" s="123" t="s">
        <v>2487</v>
      </c>
      <c r="F291" s="125">
        <v>43585</v>
      </c>
      <c r="G291" s="125" t="s">
        <v>4027</v>
      </c>
      <c r="H291" s="125" t="s">
        <v>4752</v>
      </c>
      <c r="I291" s="171">
        <v>3.6805555555555557E-2</v>
      </c>
      <c r="J291" s="173">
        <v>6.134259259259259E-4</v>
      </c>
      <c r="K291" s="129">
        <v>53</v>
      </c>
      <c r="L291" s="123" t="s">
        <v>3626</v>
      </c>
      <c r="M291" s="123" t="s">
        <v>2498</v>
      </c>
      <c r="N291" s="123" t="s">
        <v>102</v>
      </c>
      <c r="O291" s="123" t="s">
        <v>115</v>
      </c>
      <c r="P291" s="123" t="s">
        <v>24</v>
      </c>
      <c r="Q291" s="123">
        <v>0</v>
      </c>
      <c r="R291" s="123">
        <v>0</v>
      </c>
      <c r="T291" s="127" t="s">
        <v>115</v>
      </c>
      <c r="U291" s="127" t="s">
        <v>115</v>
      </c>
      <c r="V291" s="127" t="s">
        <v>115</v>
      </c>
      <c r="W291" s="127"/>
      <c r="X291" s="127"/>
      <c r="Y291" s="127"/>
      <c r="Z291" s="127" t="s">
        <v>115</v>
      </c>
      <c r="AA291" s="127" t="s">
        <v>115</v>
      </c>
      <c r="AB291" s="127" t="s">
        <v>115</v>
      </c>
      <c r="AC291" s="127" t="s">
        <v>115</v>
      </c>
      <c r="AD291" s="127" t="s">
        <v>115</v>
      </c>
      <c r="AE291" s="127" t="s">
        <v>115</v>
      </c>
      <c r="AF291" s="127" t="s">
        <v>115</v>
      </c>
      <c r="AG291" s="127" t="s">
        <v>115</v>
      </c>
      <c r="AH291" s="123">
        <v>0</v>
      </c>
      <c r="AI291" s="123">
        <v>0</v>
      </c>
      <c r="AJ291" s="123">
        <v>0</v>
      </c>
      <c r="AK291" s="123">
        <v>0</v>
      </c>
      <c r="AL291" s="123">
        <v>15</v>
      </c>
      <c r="AN291" s="123">
        <f t="shared" si="4"/>
        <v>15</v>
      </c>
      <c r="AO291" s="123" t="s">
        <v>188</v>
      </c>
    </row>
    <row r="292" spans="1:44" x14ac:dyDescent="0.2">
      <c r="A292" s="123" t="s">
        <v>3242</v>
      </c>
      <c r="B292" s="123" t="s">
        <v>3244</v>
      </c>
      <c r="C292" s="123">
        <v>7</v>
      </c>
      <c r="D292" s="123">
        <v>1</v>
      </c>
      <c r="E292" s="123" t="s">
        <v>791</v>
      </c>
      <c r="F292" s="125">
        <v>43572</v>
      </c>
      <c r="G292" s="125" t="s">
        <v>4027</v>
      </c>
      <c r="H292" s="125" t="s">
        <v>4752</v>
      </c>
      <c r="I292" s="171">
        <v>1.2499999999999999E-2</v>
      </c>
      <c r="J292" s="173">
        <v>2.0833333333333335E-4</v>
      </c>
      <c r="K292" s="129">
        <v>18</v>
      </c>
      <c r="L292" s="123" t="s">
        <v>3187</v>
      </c>
      <c r="M292" s="123" t="s">
        <v>924</v>
      </c>
      <c r="N292" s="123" t="s">
        <v>102</v>
      </c>
      <c r="O292" s="123" t="s">
        <v>23</v>
      </c>
      <c r="P292" s="123">
        <v>1</v>
      </c>
      <c r="Q292" s="123" t="s">
        <v>24</v>
      </c>
      <c r="R292" s="123">
        <v>0</v>
      </c>
      <c r="S292" s="123" t="s">
        <v>176</v>
      </c>
      <c r="T292" s="127" t="s">
        <v>24</v>
      </c>
      <c r="U292" s="127" t="s">
        <v>487</v>
      </c>
      <c r="V292" s="127" t="s">
        <v>115</v>
      </c>
      <c r="W292" s="127"/>
      <c r="X292" s="127"/>
      <c r="Y292" s="127"/>
      <c r="Z292" s="127" t="s">
        <v>115</v>
      </c>
      <c r="AA292" s="127" t="s">
        <v>115</v>
      </c>
      <c r="AB292" s="127" t="s">
        <v>115</v>
      </c>
      <c r="AC292" s="127" t="s">
        <v>115</v>
      </c>
      <c r="AD292" s="127" t="s">
        <v>115</v>
      </c>
      <c r="AE292" s="127" t="s">
        <v>115</v>
      </c>
      <c r="AF292" s="127" t="s">
        <v>115</v>
      </c>
      <c r="AG292" s="127" t="s">
        <v>115</v>
      </c>
      <c r="AH292" s="123">
        <v>12</v>
      </c>
      <c r="AI292" s="123">
        <v>0</v>
      </c>
      <c r="AJ292" s="123">
        <v>0</v>
      </c>
      <c r="AK292" s="123">
        <v>12</v>
      </c>
      <c r="AL292" s="123">
        <v>0</v>
      </c>
      <c r="AN292" s="123">
        <f t="shared" si="4"/>
        <v>12</v>
      </c>
      <c r="AO292" s="123" t="s">
        <v>188</v>
      </c>
    </row>
    <row r="293" spans="1:44" x14ac:dyDescent="0.2">
      <c r="A293" s="123" t="s">
        <v>3232</v>
      </c>
      <c r="B293" s="123" t="s">
        <v>3233</v>
      </c>
      <c r="C293" s="123">
        <v>3</v>
      </c>
      <c r="D293" s="123">
        <v>3</v>
      </c>
      <c r="E293" s="123" t="s">
        <v>791</v>
      </c>
      <c r="F293" s="125">
        <v>43572</v>
      </c>
      <c r="G293" s="125" t="s">
        <v>4027</v>
      </c>
      <c r="H293" s="125" t="s">
        <v>4752</v>
      </c>
      <c r="I293" s="171">
        <v>4.7916666666666663E-2</v>
      </c>
      <c r="J293" s="173">
        <v>7.9861111111111105E-4</v>
      </c>
      <c r="K293" s="129">
        <v>69</v>
      </c>
      <c r="L293" s="123" t="s">
        <v>3187</v>
      </c>
      <c r="M293" s="123" t="s">
        <v>924</v>
      </c>
      <c r="N293" s="123" t="s">
        <v>102</v>
      </c>
      <c r="O293" s="123" t="s">
        <v>23</v>
      </c>
      <c r="P293" s="123">
        <v>1</v>
      </c>
      <c r="Q293" s="123" t="s">
        <v>24</v>
      </c>
      <c r="R293" s="123">
        <v>0</v>
      </c>
      <c r="S293" s="123" t="s">
        <v>176</v>
      </c>
      <c r="T293" s="127" t="s">
        <v>24</v>
      </c>
      <c r="U293" s="127" t="s">
        <v>2068</v>
      </c>
      <c r="V293" s="127" t="s">
        <v>115</v>
      </c>
      <c r="W293" s="127"/>
      <c r="X293" s="127"/>
      <c r="Y293" s="127"/>
      <c r="Z293" s="127" t="s">
        <v>115</v>
      </c>
      <c r="AA293" s="127" t="s">
        <v>115</v>
      </c>
      <c r="AB293" s="127" t="s">
        <v>115</v>
      </c>
      <c r="AC293" s="127" t="s">
        <v>115</v>
      </c>
      <c r="AD293" s="127" t="s">
        <v>115</v>
      </c>
      <c r="AE293" s="127" t="s">
        <v>115</v>
      </c>
      <c r="AF293" s="127" t="s">
        <v>115</v>
      </c>
      <c r="AG293" s="127" t="s">
        <v>115</v>
      </c>
      <c r="AH293" s="123">
        <v>11</v>
      </c>
      <c r="AI293" s="123">
        <v>0</v>
      </c>
      <c r="AJ293" s="123">
        <v>0</v>
      </c>
      <c r="AK293" s="123">
        <v>11</v>
      </c>
      <c r="AL293" s="123">
        <v>0</v>
      </c>
      <c r="AN293" s="123">
        <f t="shared" si="4"/>
        <v>11</v>
      </c>
      <c r="AO293" s="123" t="s">
        <v>165</v>
      </c>
      <c r="AQ293" s="123">
        <v>1</v>
      </c>
      <c r="AR293" s="123">
        <v>0</v>
      </c>
    </row>
    <row r="294" spans="1:44" x14ac:dyDescent="0.2">
      <c r="A294" s="123" t="s">
        <v>3242</v>
      </c>
      <c r="B294" s="123" t="s">
        <v>3243</v>
      </c>
      <c r="C294" s="123">
        <v>8</v>
      </c>
      <c r="D294" s="123">
        <v>1</v>
      </c>
      <c r="E294" s="123" t="s">
        <v>791</v>
      </c>
      <c r="F294" s="125">
        <v>43572</v>
      </c>
      <c r="G294" s="125" t="s">
        <v>4027</v>
      </c>
      <c r="H294" s="125" t="s">
        <v>4752</v>
      </c>
      <c r="I294" s="171">
        <v>1.0416666666666666E-2</v>
      </c>
      <c r="J294" s="173">
        <v>1.7361111111111112E-4</v>
      </c>
      <c r="K294" s="129">
        <v>15</v>
      </c>
      <c r="L294" s="123" t="s">
        <v>3187</v>
      </c>
      <c r="M294" s="123" t="s">
        <v>924</v>
      </c>
      <c r="N294" s="123" t="s">
        <v>102</v>
      </c>
      <c r="O294" s="123" t="s">
        <v>23</v>
      </c>
      <c r="P294" s="123">
        <v>1</v>
      </c>
      <c r="Q294" s="123" t="s">
        <v>24</v>
      </c>
      <c r="R294" s="123">
        <v>0</v>
      </c>
      <c r="S294" s="123" t="s">
        <v>176</v>
      </c>
      <c r="T294" s="127" t="s">
        <v>24</v>
      </c>
      <c r="U294" s="127" t="s">
        <v>2068</v>
      </c>
      <c r="V294" s="127" t="s">
        <v>115</v>
      </c>
      <c r="W294" s="127"/>
      <c r="X294" s="127"/>
      <c r="Y294" s="127"/>
      <c r="Z294" s="127" t="s">
        <v>115</v>
      </c>
      <c r="AA294" s="127" t="s">
        <v>115</v>
      </c>
      <c r="AB294" s="127" t="s">
        <v>115</v>
      </c>
      <c r="AC294" s="127" t="s">
        <v>115</v>
      </c>
      <c r="AD294" s="127" t="s">
        <v>115</v>
      </c>
      <c r="AE294" s="127" t="s">
        <v>115</v>
      </c>
      <c r="AF294" s="127" t="s">
        <v>115</v>
      </c>
      <c r="AG294" s="127" t="s">
        <v>115</v>
      </c>
      <c r="AH294" s="123">
        <v>12</v>
      </c>
      <c r="AI294" s="123">
        <v>0</v>
      </c>
      <c r="AJ294" s="123">
        <v>0</v>
      </c>
      <c r="AK294" s="123">
        <v>12</v>
      </c>
      <c r="AL294" s="123">
        <v>0</v>
      </c>
      <c r="AN294" s="123">
        <f t="shared" si="4"/>
        <v>12</v>
      </c>
      <c r="AO294" s="123" t="s">
        <v>165</v>
      </c>
      <c r="AQ294" s="123">
        <v>7</v>
      </c>
      <c r="AR294" s="123">
        <v>0</v>
      </c>
    </row>
    <row r="295" spans="1:44" x14ac:dyDescent="0.2">
      <c r="A295" s="123" t="s">
        <v>3239</v>
      </c>
      <c r="B295" s="123" t="s">
        <v>3240</v>
      </c>
      <c r="C295" s="123">
        <v>6</v>
      </c>
      <c r="D295" s="123">
        <v>1</v>
      </c>
      <c r="E295" s="123" t="s">
        <v>791</v>
      </c>
      <c r="F295" s="125">
        <v>43572</v>
      </c>
      <c r="G295" s="125" t="s">
        <v>4027</v>
      </c>
      <c r="H295" s="125" t="s">
        <v>4752</v>
      </c>
      <c r="I295" s="171">
        <v>7.6388888888888895E-2</v>
      </c>
      <c r="J295" s="173">
        <v>1.2731481481481483E-3</v>
      </c>
      <c r="K295" s="129">
        <v>110</v>
      </c>
      <c r="L295" s="123" t="s">
        <v>3187</v>
      </c>
      <c r="M295" s="123" t="s">
        <v>924</v>
      </c>
      <c r="N295" s="123" t="s">
        <v>102</v>
      </c>
      <c r="O295" s="123" t="s">
        <v>115</v>
      </c>
      <c r="P295" s="123">
        <v>1</v>
      </c>
      <c r="Q295" s="123">
        <v>0</v>
      </c>
      <c r="R295" s="123">
        <v>0</v>
      </c>
      <c r="S295" s="123" t="s">
        <v>176</v>
      </c>
      <c r="T295" s="127" t="s">
        <v>24</v>
      </c>
      <c r="U295" s="127" t="s">
        <v>122</v>
      </c>
      <c r="V295" s="127" t="s">
        <v>115</v>
      </c>
      <c r="W295" s="127"/>
      <c r="X295" s="127"/>
      <c r="Y295" s="127"/>
      <c r="Z295" s="127" t="s">
        <v>115</v>
      </c>
      <c r="AA295" s="127" t="s">
        <v>115</v>
      </c>
      <c r="AB295" s="127" t="s">
        <v>115</v>
      </c>
      <c r="AC295" s="127" t="s">
        <v>115</v>
      </c>
      <c r="AD295" s="127" t="s">
        <v>115</v>
      </c>
      <c r="AE295" s="127" t="s">
        <v>115</v>
      </c>
      <c r="AF295" s="127" t="s">
        <v>115</v>
      </c>
      <c r="AG295" s="127" t="s">
        <v>115</v>
      </c>
      <c r="AH295" s="123">
        <v>0</v>
      </c>
      <c r="AI295" s="123">
        <v>0</v>
      </c>
      <c r="AJ295" s="123">
        <v>0</v>
      </c>
      <c r="AK295" s="123">
        <v>0</v>
      </c>
      <c r="AL295" s="123">
        <v>6</v>
      </c>
      <c r="AN295" s="123">
        <f t="shared" si="4"/>
        <v>6</v>
      </c>
      <c r="AO295" s="123" t="s">
        <v>188</v>
      </c>
    </row>
    <row r="296" spans="1:44" x14ac:dyDescent="0.2">
      <c r="A296" s="123" t="s">
        <v>3232</v>
      </c>
      <c r="B296" s="123" t="s">
        <v>3233</v>
      </c>
      <c r="C296" s="123">
        <v>3</v>
      </c>
      <c r="D296" s="123">
        <v>1</v>
      </c>
      <c r="E296" s="123" t="s">
        <v>791</v>
      </c>
      <c r="F296" s="125">
        <v>43572</v>
      </c>
      <c r="G296" s="125" t="s">
        <v>4027</v>
      </c>
      <c r="H296" s="125" t="s">
        <v>4752</v>
      </c>
      <c r="I296" s="171">
        <v>4.7916666666666663E-2</v>
      </c>
      <c r="J296" s="173">
        <v>7.9861111111111105E-4</v>
      </c>
      <c r="K296" s="129">
        <v>69</v>
      </c>
      <c r="L296" s="123" t="s">
        <v>3187</v>
      </c>
      <c r="M296" s="123" t="s">
        <v>924</v>
      </c>
      <c r="N296" s="123" t="s">
        <v>111</v>
      </c>
      <c r="O296" s="123" t="s">
        <v>115</v>
      </c>
      <c r="P296" s="123">
        <v>0</v>
      </c>
      <c r="Q296" s="123">
        <v>0</v>
      </c>
      <c r="R296" s="123">
        <v>1</v>
      </c>
      <c r="S296" s="123" t="s">
        <v>598</v>
      </c>
      <c r="T296" s="127" t="s">
        <v>2801</v>
      </c>
      <c r="U296" s="127" t="s">
        <v>115</v>
      </c>
      <c r="V296" s="127" t="s">
        <v>2068</v>
      </c>
      <c r="W296" s="127" t="s">
        <v>23</v>
      </c>
      <c r="X296" s="127" t="s">
        <v>3997</v>
      </c>
      <c r="Y296" s="127" t="s">
        <v>4005</v>
      </c>
      <c r="Z296" s="127" t="s">
        <v>3238</v>
      </c>
      <c r="AA296" s="127">
        <v>265</v>
      </c>
      <c r="AB296" s="127">
        <v>9</v>
      </c>
      <c r="AC296" s="127">
        <v>63.725189999999998</v>
      </c>
      <c r="AD296" s="127">
        <v>148.96460999999999</v>
      </c>
      <c r="AE296" s="127" t="s">
        <v>115</v>
      </c>
      <c r="AF296" s="127" t="s">
        <v>115</v>
      </c>
      <c r="AG296" s="127" t="s">
        <v>115</v>
      </c>
      <c r="AH296" s="127">
        <v>0</v>
      </c>
      <c r="AI296" s="127">
        <v>0</v>
      </c>
      <c r="AJ296" s="127">
        <v>0</v>
      </c>
      <c r="AK296" s="127">
        <v>0</v>
      </c>
      <c r="AL296" s="127">
        <v>0</v>
      </c>
      <c r="AN296" s="123">
        <f t="shared" si="4"/>
        <v>0</v>
      </c>
    </row>
    <row r="297" spans="1:44" x14ac:dyDescent="0.2">
      <c r="A297" s="123" t="s">
        <v>3228</v>
      </c>
      <c r="B297" s="123" t="s">
        <v>3229</v>
      </c>
      <c r="C297" s="123">
        <v>1</v>
      </c>
      <c r="D297" s="123">
        <v>1</v>
      </c>
      <c r="E297" s="123" t="s">
        <v>791</v>
      </c>
      <c r="F297" s="125">
        <v>43572</v>
      </c>
      <c r="G297" s="125" t="s">
        <v>4027</v>
      </c>
      <c r="H297" s="125" t="s">
        <v>4752</v>
      </c>
      <c r="I297" s="171">
        <v>4.0972222222222222E-2</v>
      </c>
      <c r="J297" s="173">
        <v>6.8287037037037025E-4</v>
      </c>
      <c r="K297" s="129">
        <v>59</v>
      </c>
      <c r="L297" s="123" t="s">
        <v>3187</v>
      </c>
      <c r="M297" s="123" t="s">
        <v>924</v>
      </c>
      <c r="N297" s="123" t="s">
        <v>102</v>
      </c>
      <c r="O297" s="123" t="s">
        <v>115</v>
      </c>
      <c r="P297" s="123">
        <v>1</v>
      </c>
      <c r="Q297" s="123">
        <v>0</v>
      </c>
      <c r="R297" s="123">
        <v>0</v>
      </c>
      <c r="S297" s="123" t="s">
        <v>598</v>
      </c>
      <c r="T297" s="127" t="s">
        <v>2801</v>
      </c>
      <c r="U297" s="127" t="s">
        <v>122</v>
      </c>
      <c r="V297" s="127" t="s">
        <v>115</v>
      </c>
      <c r="W297" s="127"/>
      <c r="X297" s="127"/>
      <c r="Y297" s="127"/>
      <c r="Z297" s="127" t="s">
        <v>115</v>
      </c>
      <c r="AA297" s="127" t="s">
        <v>115</v>
      </c>
      <c r="AB297" s="127" t="s">
        <v>115</v>
      </c>
      <c r="AC297" s="127" t="s">
        <v>115</v>
      </c>
      <c r="AD297" s="127" t="s">
        <v>115</v>
      </c>
      <c r="AE297" s="127" t="s">
        <v>115</v>
      </c>
      <c r="AF297" s="127" t="s">
        <v>115</v>
      </c>
      <c r="AG297" s="127" t="s">
        <v>115</v>
      </c>
      <c r="AH297" s="123">
        <v>0</v>
      </c>
      <c r="AI297" s="123">
        <v>0</v>
      </c>
      <c r="AJ297" s="123">
        <v>0</v>
      </c>
      <c r="AK297" s="123">
        <v>0</v>
      </c>
      <c r="AL297" s="123">
        <v>5</v>
      </c>
      <c r="AN297" s="123">
        <f t="shared" si="4"/>
        <v>5</v>
      </c>
      <c r="AO297" s="123" t="s">
        <v>188</v>
      </c>
    </row>
    <row r="298" spans="1:44" x14ac:dyDescent="0.2">
      <c r="A298" s="123" t="s">
        <v>3239</v>
      </c>
      <c r="B298" s="123" t="s">
        <v>3240</v>
      </c>
      <c r="C298" s="123">
        <v>6</v>
      </c>
      <c r="D298" s="123">
        <v>2</v>
      </c>
      <c r="E298" s="123" t="s">
        <v>791</v>
      </c>
      <c r="F298" s="125">
        <v>43572</v>
      </c>
      <c r="G298" s="125" t="s">
        <v>4027</v>
      </c>
      <c r="H298" s="125" t="s">
        <v>4752</v>
      </c>
      <c r="I298" s="171">
        <v>7.6388888888888895E-2</v>
      </c>
      <c r="J298" s="173">
        <v>1.2731481481481483E-3</v>
      </c>
      <c r="K298" s="129">
        <v>110</v>
      </c>
      <c r="L298" s="123" t="s">
        <v>3187</v>
      </c>
      <c r="M298" s="123" t="s">
        <v>924</v>
      </c>
      <c r="N298" s="123" t="s">
        <v>102</v>
      </c>
      <c r="O298" s="123" t="s">
        <v>23</v>
      </c>
      <c r="P298" s="123">
        <v>1</v>
      </c>
      <c r="Q298" s="123">
        <v>0</v>
      </c>
      <c r="R298" s="123">
        <v>0</v>
      </c>
      <c r="S298" s="123" t="s">
        <v>14</v>
      </c>
      <c r="T298" s="127" t="s">
        <v>3241</v>
      </c>
      <c r="U298" s="127" t="s">
        <v>122</v>
      </c>
      <c r="V298" s="127" t="s">
        <v>115</v>
      </c>
      <c r="W298" s="127"/>
      <c r="X298" s="127"/>
      <c r="Y298" s="127"/>
      <c r="Z298" s="127" t="s">
        <v>115</v>
      </c>
      <c r="AA298" s="127" t="s">
        <v>115</v>
      </c>
      <c r="AB298" s="127" t="s">
        <v>115</v>
      </c>
      <c r="AC298" s="127" t="s">
        <v>115</v>
      </c>
      <c r="AD298" s="127" t="s">
        <v>115</v>
      </c>
      <c r="AE298" s="127" t="s">
        <v>115</v>
      </c>
      <c r="AF298" s="127" t="s">
        <v>115</v>
      </c>
      <c r="AG298" s="127" t="s">
        <v>115</v>
      </c>
      <c r="AH298" s="123">
        <v>38</v>
      </c>
      <c r="AI298" s="123">
        <v>0</v>
      </c>
      <c r="AJ298" s="123">
        <v>38</v>
      </c>
      <c r="AK298" s="123">
        <v>0</v>
      </c>
      <c r="AL298" s="123">
        <v>24</v>
      </c>
      <c r="AN298" s="123">
        <f t="shared" si="4"/>
        <v>62</v>
      </c>
      <c r="AO298" s="123" t="s">
        <v>188</v>
      </c>
    </row>
    <row r="299" spans="1:44" x14ac:dyDescent="0.2">
      <c r="A299" s="123" t="s">
        <v>3232</v>
      </c>
      <c r="B299" s="123" t="s">
        <v>3233</v>
      </c>
      <c r="C299" s="123">
        <v>3</v>
      </c>
      <c r="D299" s="123">
        <v>2</v>
      </c>
      <c r="E299" s="123" t="s">
        <v>791</v>
      </c>
      <c r="F299" s="125">
        <v>43572</v>
      </c>
      <c r="G299" s="125" t="s">
        <v>4027</v>
      </c>
      <c r="H299" s="125" t="s">
        <v>4752</v>
      </c>
      <c r="I299" s="171">
        <v>4.7916666666666663E-2</v>
      </c>
      <c r="J299" s="173">
        <v>7.9861111111111105E-4</v>
      </c>
      <c r="K299" s="129">
        <v>69</v>
      </c>
      <c r="L299" s="123" t="s">
        <v>3187</v>
      </c>
      <c r="M299" s="123" t="s">
        <v>924</v>
      </c>
      <c r="N299" s="123" t="s">
        <v>102</v>
      </c>
      <c r="O299" s="123" t="s">
        <v>115</v>
      </c>
      <c r="P299" s="123">
        <v>1</v>
      </c>
      <c r="Q299" s="123">
        <v>0</v>
      </c>
      <c r="R299" s="123">
        <v>0</v>
      </c>
      <c r="S299" s="123" t="s">
        <v>14</v>
      </c>
      <c r="T299" s="127" t="s">
        <v>14</v>
      </c>
      <c r="U299" s="127" t="s">
        <v>122</v>
      </c>
      <c r="V299" s="127" t="s">
        <v>115</v>
      </c>
      <c r="W299" s="127"/>
      <c r="X299" s="127"/>
      <c r="Y299" s="127"/>
      <c r="Z299" s="127" t="s">
        <v>115</v>
      </c>
      <c r="AA299" s="127" t="s">
        <v>115</v>
      </c>
      <c r="AB299" s="127" t="s">
        <v>115</v>
      </c>
      <c r="AC299" s="127" t="s">
        <v>115</v>
      </c>
      <c r="AD299" s="127" t="s">
        <v>115</v>
      </c>
      <c r="AE299" s="127" t="s">
        <v>115</v>
      </c>
      <c r="AF299" s="127" t="s">
        <v>115</v>
      </c>
      <c r="AG299" s="127" t="s">
        <v>115</v>
      </c>
      <c r="AH299" s="123">
        <v>0</v>
      </c>
      <c r="AI299" s="123">
        <v>0</v>
      </c>
      <c r="AJ299" s="123">
        <v>0</v>
      </c>
      <c r="AK299" s="123">
        <v>0</v>
      </c>
      <c r="AL299" s="123">
        <v>58</v>
      </c>
      <c r="AN299" s="123">
        <f t="shared" si="4"/>
        <v>58</v>
      </c>
    </row>
    <row r="300" spans="1:44" x14ac:dyDescent="0.2">
      <c r="A300" s="123" t="s">
        <v>3230</v>
      </c>
      <c r="B300" s="123" t="s">
        <v>3231</v>
      </c>
      <c r="C300" s="123">
        <v>2</v>
      </c>
      <c r="D300" s="123">
        <v>1</v>
      </c>
      <c r="E300" s="123" t="s">
        <v>791</v>
      </c>
      <c r="F300" s="125">
        <v>43572</v>
      </c>
      <c r="G300" s="125" t="s">
        <v>4027</v>
      </c>
      <c r="H300" s="125" t="s">
        <v>4752</v>
      </c>
      <c r="I300" s="171">
        <v>1.3888888888888888E-2</v>
      </c>
      <c r="J300" s="173">
        <v>2.3148148148148146E-4</v>
      </c>
      <c r="K300" s="129">
        <v>20</v>
      </c>
      <c r="L300" s="123" t="s">
        <v>3187</v>
      </c>
      <c r="M300" s="123" t="s">
        <v>924</v>
      </c>
      <c r="N300" s="123" t="s">
        <v>107</v>
      </c>
      <c r="O300" s="123" t="s">
        <v>115</v>
      </c>
      <c r="P300" s="123">
        <v>0</v>
      </c>
      <c r="Q300" s="123">
        <v>0</v>
      </c>
      <c r="R300" s="123">
        <v>0</v>
      </c>
      <c r="S300" s="123" t="s">
        <v>598</v>
      </c>
      <c r="T300" s="127" t="s">
        <v>2801</v>
      </c>
      <c r="U300" s="127" t="s">
        <v>115</v>
      </c>
      <c r="V300" s="127" t="s">
        <v>115</v>
      </c>
      <c r="W300" s="127"/>
      <c r="X300" s="127"/>
      <c r="Y300" s="127"/>
      <c r="Z300" s="127" t="s">
        <v>115</v>
      </c>
      <c r="AA300" s="127" t="s">
        <v>115</v>
      </c>
      <c r="AB300" s="127" t="s">
        <v>115</v>
      </c>
      <c r="AC300" s="127" t="s">
        <v>115</v>
      </c>
      <c r="AD300" s="127" t="s">
        <v>115</v>
      </c>
      <c r="AE300" s="127" t="s">
        <v>115</v>
      </c>
      <c r="AF300" s="127" t="s">
        <v>115</v>
      </c>
      <c r="AG300" s="127" t="s">
        <v>115</v>
      </c>
      <c r="AH300" s="123">
        <v>0</v>
      </c>
      <c r="AI300" s="123">
        <v>0</v>
      </c>
      <c r="AJ300" s="123">
        <v>0</v>
      </c>
      <c r="AK300" s="123">
        <v>0</v>
      </c>
      <c r="AL300" s="123">
        <v>0</v>
      </c>
      <c r="AN300" s="123">
        <f t="shared" si="4"/>
        <v>0</v>
      </c>
    </row>
    <row r="301" spans="1:44" x14ac:dyDescent="0.2">
      <c r="A301" s="123" t="s">
        <v>3236</v>
      </c>
      <c r="B301" s="123" t="s">
        <v>3237</v>
      </c>
      <c r="C301" s="123">
        <v>5</v>
      </c>
      <c r="D301" s="123">
        <v>1</v>
      </c>
      <c r="E301" s="123" t="s">
        <v>791</v>
      </c>
      <c r="F301" s="125">
        <v>43572</v>
      </c>
      <c r="G301" s="125" t="s">
        <v>4027</v>
      </c>
      <c r="H301" s="125" t="s">
        <v>4752</v>
      </c>
      <c r="I301" s="171">
        <v>2.013888888888889E-2</v>
      </c>
      <c r="J301" s="173">
        <v>3.3564814814814812E-4</v>
      </c>
      <c r="K301" s="129">
        <v>29</v>
      </c>
      <c r="L301" s="123" t="s">
        <v>3187</v>
      </c>
      <c r="M301" s="123" t="s">
        <v>924</v>
      </c>
      <c r="N301" s="123" t="s">
        <v>102</v>
      </c>
      <c r="O301" s="123" t="s">
        <v>23</v>
      </c>
      <c r="P301" s="123">
        <v>0</v>
      </c>
      <c r="Q301" s="123">
        <v>0</v>
      </c>
      <c r="R301" s="123">
        <v>0</v>
      </c>
      <c r="T301" s="127" t="s">
        <v>115</v>
      </c>
      <c r="U301" s="127" t="s">
        <v>115</v>
      </c>
      <c r="V301" s="127" t="s">
        <v>115</v>
      </c>
      <c r="W301" s="127"/>
      <c r="X301" s="127"/>
      <c r="Y301" s="127"/>
      <c r="Z301" s="127" t="s">
        <v>115</v>
      </c>
      <c r="AA301" s="127" t="s">
        <v>115</v>
      </c>
      <c r="AB301" s="127" t="s">
        <v>115</v>
      </c>
      <c r="AC301" s="127" t="s">
        <v>115</v>
      </c>
      <c r="AD301" s="127" t="s">
        <v>115</v>
      </c>
      <c r="AE301" s="127" t="s">
        <v>115</v>
      </c>
      <c r="AF301" s="127" t="s">
        <v>115</v>
      </c>
      <c r="AG301" s="127" t="s">
        <v>115</v>
      </c>
      <c r="AH301" s="123">
        <v>26</v>
      </c>
      <c r="AI301" s="123">
        <v>0</v>
      </c>
      <c r="AJ301" s="123">
        <v>0</v>
      </c>
      <c r="AK301" s="123">
        <v>26</v>
      </c>
      <c r="AL301" s="123">
        <v>0</v>
      </c>
      <c r="AN301" s="123">
        <f t="shared" si="4"/>
        <v>26</v>
      </c>
      <c r="AO301" s="123" t="s">
        <v>188</v>
      </c>
    </row>
    <row r="302" spans="1:44" x14ac:dyDescent="0.2">
      <c r="A302" s="123" t="s">
        <v>3601</v>
      </c>
      <c r="B302" s="123" t="s">
        <v>3603</v>
      </c>
      <c r="C302" s="123">
        <v>2</v>
      </c>
      <c r="D302" s="123">
        <v>1</v>
      </c>
      <c r="E302" s="123" t="s">
        <v>791</v>
      </c>
      <c r="F302" s="125">
        <v>43581</v>
      </c>
      <c r="G302" s="125" t="s">
        <v>4027</v>
      </c>
      <c r="H302" s="125" t="s">
        <v>4752</v>
      </c>
      <c r="I302" s="171">
        <v>7.6388888888888886E-3</v>
      </c>
      <c r="J302" s="173">
        <v>1.273148148148148E-4</v>
      </c>
      <c r="K302" s="129">
        <v>11</v>
      </c>
      <c r="M302" s="123" t="s">
        <v>924</v>
      </c>
      <c r="N302" s="123" t="s">
        <v>102</v>
      </c>
      <c r="O302" s="123" t="s">
        <v>23</v>
      </c>
      <c r="P302" s="123">
        <v>1</v>
      </c>
      <c r="Q302" s="123" t="s">
        <v>24</v>
      </c>
      <c r="R302" s="123">
        <v>0</v>
      </c>
      <c r="S302" s="123" t="s">
        <v>176</v>
      </c>
      <c r="T302" s="127" t="s">
        <v>24</v>
      </c>
      <c r="U302" s="127" t="s">
        <v>3602</v>
      </c>
      <c r="V302" s="127" t="s">
        <v>115</v>
      </c>
      <c r="W302" s="127"/>
      <c r="X302" s="127"/>
      <c r="Y302" s="127"/>
      <c r="Z302" s="127" t="s">
        <v>115</v>
      </c>
      <c r="AA302" s="127" t="s">
        <v>115</v>
      </c>
      <c r="AB302" s="127" t="s">
        <v>115</v>
      </c>
      <c r="AC302" s="127" t="s">
        <v>115</v>
      </c>
      <c r="AD302" s="127" t="s">
        <v>115</v>
      </c>
      <c r="AE302" s="127" t="s">
        <v>115</v>
      </c>
      <c r="AF302" s="127" t="s">
        <v>115</v>
      </c>
      <c r="AG302" s="127" t="s">
        <v>115</v>
      </c>
      <c r="AH302" s="123">
        <v>11</v>
      </c>
      <c r="AI302" s="123">
        <v>0</v>
      </c>
      <c r="AJ302" s="123">
        <v>0</v>
      </c>
      <c r="AK302" s="123">
        <v>11</v>
      </c>
      <c r="AL302" s="123">
        <v>0</v>
      </c>
      <c r="AN302" s="123">
        <f t="shared" si="4"/>
        <v>11</v>
      </c>
      <c r="AP302" s="123" t="s">
        <v>165</v>
      </c>
    </row>
    <row r="303" spans="1:44" x14ac:dyDescent="0.2">
      <c r="A303" s="123" t="s">
        <v>3604</v>
      </c>
      <c r="B303" s="123" t="s">
        <v>3605</v>
      </c>
      <c r="C303" s="123">
        <v>3</v>
      </c>
      <c r="D303" s="123">
        <v>1</v>
      </c>
      <c r="E303" s="123" t="s">
        <v>791</v>
      </c>
      <c r="F303" s="125">
        <v>43581</v>
      </c>
      <c r="G303" s="125" t="s">
        <v>4027</v>
      </c>
      <c r="H303" s="125" t="s">
        <v>4752</v>
      </c>
      <c r="I303" s="171">
        <v>2.2222222222222223E-2</v>
      </c>
      <c r="J303" s="173">
        <v>3.7037037037037035E-4</v>
      </c>
      <c r="K303" s="129">
        <v>32</v>
      </c>
      <c r="M303" s="123" t="s">
        <v>924</v>
      </c>
      <c r="N303" s="123" t="s">
        <v>102</v>
      </c>
      <c r="O303" s="123" t="s">
        <v>23</v>
      </c>
      <c r="P303" s="123">
        <v>1</v>
      </c>
      <c r="Q303" s="123">
        <v>1</v>
      </c>
      <c r="R303" s="123">
        <v>0</v>
      </c>
      <c r="S303" s="123" t="s">
        <v>176</v>
      </c>
      <c r="T303" s="127" t="s">
        <v>24</v>
      </c>
      <c r="U303" s="127" t="s">
        <v>3602</v>
      </c>
      <c r="V303" s="127" t="s">
        <v>115</v>
      </c>
      <c r="W303" s="127"/>
      <c r="X303" s="127"/>
      <c r="Y303" s="127"/>
      <c r="Z303" s="127" t="s">
        <v>115</v>
      </c>
      <c r="AA303" s="127" t="s">
        <v>115</v>
      </c>
      <c r="AB303" s="127" t="s">
        <v>115</v>
      </c>
      <c r="AC303" s="127" t="s">
        <v>115</v>
      </c>
      <c r="AD303" s="127" t="s">
        <v>115</v>
      </c>
      <c r="AE303" s="123">
        <v>63.725070000000002</v>
      </c>
      <c r="AF303" s="123">
        <v>148.96459999999999</v>
      </c>
      <c r="AG303" s="127" t="s">
        <v>115</v>
      </c>
      <c r="AH303" s="123">
        <v>26</v>
      </c>
      <c r="AI303" s="123">
        <v>0</v>
      </c>
      <c r="AJ303" s="123">
        <v>0</v>
      </c>
      <c r="AK303" s="123">
        <v>26</v>
      </c>
      <c r="AL303" s="123">
        <v>0</v>
      </c>
      <c r="AN303" s="123">
        <f t="shared" si="4"/>
        <v>26</v>
      </c>
      <c r="AO303" s="123" t="s">
        <v>188</v>
      </c>
      <c r="AP303" s="123" t="s">
        <v>3607</v>
      </c>
      <c r="AQ303" s="123">
        <v>1</v>
      </c>
      <c r="AR303" s="123">
        <v>0</v>
      </c>
    </row>
    <row r="304" spans="1:44" x14ac:dyDescent="0.2">
      <c r="A304" s="123" t="s">
        <v>3608</v>
      </c>
      <c r="B304" s="123" t="s">
        <v>3606</v>
      </c>
      <c r="C304" s="123">
        <v>4</v>
      </c>
      <c r="D304" s="123">
        <v>2</v>
      </c>
      <c r="E304" s="123" t="s">
        <v>791</v>
      </c>
      <c r="F304" s="125">
        <v>43581</v>
      </c>
      <c r="G304" s="125" t="s">
        <v>4027</v>
      </c>
      <c r="H304" s="125" t="s">
        <v>4752</v>
      </c>
      <c r="I304" s="171">
        <v>0.25069444444444444</v>
      </c>
      <c r="J304" s="173">
        <v>4.1782407407407402E-3</v>
      </c>
      <c r="K304" s="129">
        <v>361</v>
      </c>
      <c r="M304" s="123" t="s">
        <v>924</v>
      </c>
      <c r="N304" s="123" t="s">
        <v>102</v>
      </c>
      <c r="O304" s="123" t="s">
        <v>115</v>
      </c>
      <c r="P304" s="123">
        <v>1</v>
      </c>
      <c r="Q304" s="123">
        <v>0</v>
      </c>
      <c r="R304" s="123">
        <v>0</v>
      </c>
      <c r="S304" s="123" t="s">
        <v>176</v>
      </c>
      <c r="T304" s="127" t="s">
        <v>24</v>
      </c>
      <c r="U304" s="127" t="s">
        <v>122</v>
      </c>
      <c r="V304" s="127" t="s">
        <v>115</v>
      </c>
      <c r="W304" s="127"/>
      <c r="X304" s="127"/>
      <c r="Y304" s="127"/>
      <c r="Z304" s="127" t="s">
        <v>115</v>
      </c>
      <c r="AA304" s="127" t="s">
        <v>115</v>
      </c>
      <c r="AB304" s="127" t="s">
        <v>115</v>
      </c>
      <c r="AC304" s="127" t="s">
        <v>115</v>
      </c>
      <c r="AD304" s="127" t="s">
        <v>115</v>
      </c>
      <c r="AE304" s="127" t="s">
        <v>115</v>
      </c>
      <c r="AF304" s="127" t="s">
        <v>115</v>
      </c>
      <c r="AG304" s="127" t="s">
        <v>115</v>
      </c>
      <c r="AH304" s="123">
        <v>0</v>
      </c>
      <c r="AI304" s="123">
        <v>0</v>
      </c>
      <c r="AJ304" s="123">
        <v>0</v>
      </c>
      <c r="AK304" s="123">
        <v>0</v>
      </c>
      <c r="AL304" s="123">
        <v>82</v>
      </c>
      <c r="AN304" s="123">
        <f t="shared" si="4"/>
        <v>82</v>
      </c>
    </row>
    <row r="305" spans="1:44" x14ac:dyDescent="0.2">
      <c r="A305" s="123" t="s">
        <v>3614</v>
      </c>
      <c r="B305" s="123" t="s">
        <v>3615</v>
      </c>
      <c r="C305" s="123">
        <v>6</v>
      </c>
      <c r="D305" s="123">
        <v>1</v>
      </c>
      <c r="E305" s="123" t="s">
        <v>791</v>
      </c>
      <c r="F305" s="125">
        <v>43581</v>
      </c>
      <c r="G305" s="125" t="s">
        <v>4027</v>
      </c>
      <c r="H305" s="125" t="s">
        <v>4752</v>
      </c>
      <c r="I305" s="171">
        <v>8.819444444444445E-2</v>
      </c>
      <c r="J305" s="173">
        <v>1.4699074074074074E-3</v>
      </c>
      <c r="K305" s="129">
        <v>127</v>
      </c>
      <c r="M305" s="123" t="s">
        <v>924</v>
      </c>
      <c r="N305" s="123" t="s">
        <v>102</v>
      </c>
      <c r="O305" s="123" t="s">
        <v>115</v>
      </c>
      <c r="P305" s="123">
        <v>1</v>
      </c>
      <c r="Q305" s="123">
        <v>0</v>
      </c>
      <c r="R305" s="123">
        <v>0</v>
      </c>
      <c r="S305" s="123" t="s">
        <v>176</v>
      </c>
      <c r="T305" s="127" t="s">
        <v>24</v>
      </c>
      <c r="U305" s="127" t="s">
        <v>122</v>
      </c>
      <c r="V305" s="127" t="s">
        <v>115</v>
      </c>
      <c r="W305" s="127"/>
      <c r="X305" s="127"/>
      <c r="Y305" s="127"/>
      <c r="Z305" s="127" t="s">
        <v>115</v>
      </c>
      <c r="AA305" s="127" t="s">
        <v>115</v>
      </c>
      <c r="AB305" s="127" t="s">
        <v>115</v>
      </c>
      <c r="AC305" s="127" t="s">
        <v>115</v>
      </c>
      <c r="AD305" s="127" t="s">
        <v>115</v>
      </c>
      <c r="AE305" s="127" t="s">
        <v>115</v>
      </c>
      <c r="AF305" s="127" t="s">
        <v>115</v>
      </c>
      <c r="AG305" s="127" t="s">
        <v>115</v>
      </c>
      <c r="AH305" s="123">
        <v>0</v>
      </c>
      <c r="AI305" s="123">
        <v>0</v>
      </c>
      <c r="AJ305" s="123">
        <v>0</v>
      </c>
      <c r="AK305" s="123">
        <v>0</v>
      </c>
      <c r="AL305" s="123">
        <v>0</v>
      </c>
      <c r="AN305" s="123">
        <f t="shared" si="4"/>
        <v>0</v>
      </c>
      <c r="AO305" s="123" t="s">
        <v>188</v>
      </c>
    </row>
    <row r="306" spans="1:44" x14ac:dyDescent="0.2">
      <c r="A306" s="123" t="s">
        <v>3612</v>
      </c>
      <c r="B306" s="123" t="s">
        <v>3613</v>
      </c>
      <c r="C306" s="123">
        <v>5</v>
      </c>
      <c r="D306" s="123">
        <v>1</v>
      </c>
      <c r="E306" s="123" t="s">
        <v>791</v>
      </c>
      <c r="F306" s="125">
        <v>43581</v>
      </c>
      <c r="G306" s="125" t="s">
        <v>4027</v>
      </c>
      <c r="H306" s="125" t="s">
        <v>4752</v>
      </c>
      <c r="I306" s="171">
        <v>2.2222222222222223E-2</v>
      </c>
      <c r="J306" s="173">
        <v>3.7037037037037035E-4</v>
      </c>
      <c r="K306" s="129">
        <v>32</v>
      </c>
      <c r="M306" s="123" t="s">
        <v>924</v>
      </c>
      <c r="N306" s="123" t="s">
        <v>102</v>
      </c>
      <c r="O306" s="123" t="s">
        <v>115</v>
      </c>
      <c r="P306" s="123">
        <v>2</v>
      </c>
      <c r="Q306" s="123">
        <v>0</v>
      </c>
      <c r="R306" s="123">
        <v>0</v>
      </c>
      <c r="S306" s="123" t="s">
        <v>176</v>
      </c>
      <c r="T306" s="127" t="s">
        <v>4786</v>
      </c>
      <c r="U306" s="127" t="s">
        <v>122</v>
      </c>
      <c r="V306" s="127" t="s">
        <v>115</v>
      </c>
      <c r="W306" s="127"/>
      <c r="X306" s="127"/>
      <c r="Y306" s="127"/>
      <c r="Z306" s="127" t="s">
        <v>115</v>
      </c>
      <c r="AA306" s="127" t="s">
        <v>115</v>
      </c>
      <c r="AB306" s="127" t="s">
        <v>115</v>
      </c>
      <c r="AC306" s="127" t="s">
        <v>115</v>
      </c>
      <c r="AD306" s="127" t="s">
        <v>115</v>
      </c>
      <c r="AE306" s="127" t="s">
        <v>115</v>
      </c>
      <c r="AF306" s="127" t="s">
        <v>115</v>
      </c>
      <c r="AG306" s="127" t="s">
        <v>115</v>
      </c>
      <c r="AH306" s="123">
        <v>0</v>
      </c>
      <c r="AI306" s="123">
        <v>0</v>
      </c>
      <c r="AJ306" s="123">
        <v>0</v>
      </c>
      <c r="AK306" s="123">
        <v>0</v>
      </c>
      <c r="AL306" s="123">
        <v>32</v>
      </c>
      <c r="AN306" s="123">
        <f t="shared" si="4"/>
        <v>32</v>
      </c>
      <c r="AO306" s="123" t="s">
        <v>188</v>
      </c>
    </row>
    <row r="307" spans="1:44" x14ac:dyDescent="0.2">
      <c r="A307" s="123" t="s">
        <v>3608</v>
      </c>
      <c r="B307" s="123" t="s">
        <v>3606</v>
      </c>
      <c r="C307" s="123">
        <v>4</v>
      </c>
      <c r="D307" s="123">
        <v>1</v>
      </c>
      <c r="E307" s="123" t="s">
        <v>791</v>
      </c>
      <c r="F307" s="125">
        <v>43581</v>
      </c>
      <c r="G307" s="125" t="s">
        <v>4027</v>
      </c>
      <c r="H307" s="125" t="s">
        <v>4752</v>
      </c>
      <c r="I307" s="171">
        <v>0.25069444444444444</v>
      </c>
      <c r="J307" s="173">
        <v>4.1782407407407402E-3</v>
      </c>
      <c r="K307" s="129">
        <v>361</v>
      </c>
      <c r="M307" s="123" t="s">
        <v>924</v>
      </c>
      <c r="N307" s="123" t="s">
        <v>187</v>
      </c>
      <c r="O307" s="123" t="s">
        <v>1196</v>
      </c>
      <c r="P307" s="123">
        <v>1</v>
      </c>
      <c r="Q307" s="123">
        <v>0</v>
      </c>
      <c r="R307" s="123">
        <v>1</v>
      </c>
      <c r="S307" s="123" t="s">
        <v>598</v>
      </c>
      <c r="T307" s="127" t="s">
        <v>2437</v>
      </c>
      <c r="U307" s="127" t="s">
        <v>122</v>
      </c>
      <c r="V307" s="127" t="s">
        <v>3609</v>
      </c>
      <c r="W307" s="127" t="s">
        <v>1196</v>
      </c>
      <c r="X307" s="127" t="s">
        <v>3997</v>
      </c>
      <c r="Y307" s="127" t="s">
        <v>4020</v>
      </c>
      <c r="Z307" s="127" t="s">
        <v>3610</v>
      </c>
      <c r="AA307" s="127" t="s">
        <v>3610</v>
      </c>
      <c r="AB307" s="123">
        <v>1</v>
      </c>
      <c r="AC307" s="123">
        <v>63.724170000000001</v>
      </c>
      <c r="AD307" s="123">
        <v>148.96494000000001</v>
      </c>
      <c r="AE307" s="127" t="s">
        <v>115</v>
      </c>
      <c r="AF307" s="127" t="s">
        <v>115</v>
      </c>
      <c r="AG307" s="127" t="s">
        <v>115</v>
      </c>
      <c r="AH307" s="123">
        <v>0</v>
      </c>
      <c r="AI307" s="123">
        <v>0</v>
      </c>
      <c r="AJ307" s="123">
        <v>0</v>
      </c>
      <c r="AK307" s="123">
        <v>0</v>
      </c>
      <c r="AL307" s="123">
        <v>253</v>
      </c>
      <c r="AN307" s="123">
        <f t="shared" si="4"/>
        <v>253</v>
      </c>
      <c r="AO307" s="123" t="s">
        <v>188</v>
      </c>
      <c r="AP307" s="123" t="s">
        <v>3611</v>
      </c>
    </row>
    <row r="308" spans="1:44" x14ac:dyDescent="0.2">
      <c r="A308" s="123" t="s">
        <v>3614</v>
      </c>
      <c r="B308" s="123" t="s">
        <v>3615</v>
      </c>
      <c r="C308" s="123">
        <v>6</v>
      </c>
      <c r="D308" s="123">
        <v>2</v>
      </c>
      <c r="E308" s="123" t="s">
        <v>791</v>
      </c>
      <c r="F308" s="125">
        <v>43581</v>
      </c>
      <c r="G308" s="125" t="s">
        <v>4027</v>
      </c>
      <c r="H308" s="125" t="s">
        <v>4752</v>
      </c>
      <c r="I308" s="171">
        <v>8.819444444444445E-2</v>
      </c>
      <c r="J308" s="173">
        <v>1.4699074074074074E-3</v>
      </c>
      <c r="K308" s="129">
        <v>127</v>
      </c>
      <c r="M308" s="123" t="s">
        <v>924</v>
      </c>
      <c r="N308" s="123" t="s">
        <v>102</v>
      </c>
      <c r="O308" s="123" t="s">
        <v>115</v>
      </c>
      <c r="P308" s="123">
        <v>1</v>
      </c>
      <c r="Q308" s="123">
        <v>0</v>
      </c>
      <c r="R308" s="123">
        <v>0</v>
      </c>
      <c r="S308" s="123" t="s">
        <v>598</v>
      </c>
      <c r="T308" s="127" t="s">
        <v>598</v>
      </c>
      <c r="U308" s="127" t="s">
        <v>122</v>
      </c>
      <c r="V308" s="127" t="s">
        <v>115</v>
      </c>
      <c r="W308" s="127"/>
      <c r="X308" s="127"/>
      <c r="Y308" s="127"/>
      <c r="Z308" s="127" t="s">
        <v>115</v>
      </c>
      <c r="AA308" s="127" t="s">
        <v>115</v>
      </c>
      <c r="AB308" s="127" t="s">
        <v>115</v>
      </c>
      <c r="AC308" s="127" t="s">
        <v>115</v>
      </c>
      <c r="AD308" s="127" t="s">
        <v>115</v>
      </c>
      <c r="AE308" s="127" t="s">
        <v>115</v>
      </c>
      <c r="AF308" s="127" t="s">
        <v>115</v>
      </c>
      <c r="AG308" s="127" t="s">
        <v>115</v>
      </c>
      <c r="AH308" s="123">
        <v>0</v>
      </c>
      <c r="AI308" s="123">
        <v>0</v>
      </c>
      <c r="AJ308" s="123">
        <v>0</v>
      </c>
      <c r="AK308" s="123">
        <v>0</v>
      </c>
      <c r="AL308" s="123">
        <v>0</v>
      </c>
      <c r="AN308" s="123">
        <f t="shared" si="4"/>
        <v>0</v>
      </c>
      <c r="AO308" s="123" t="s">
        <v>188</v>
      </c>
    </row>
    <row r="309" spans="1:44" x14ac:dyDescent="0.2">
      <c r="A309" s="123" t="s">
        <v>3614</v>
      </c>
      <c r="B309" s="123" t="s">
        <v>3615</v>
      </c>
      <c r="C309" s="123">
        <v>6</v>
      </c>
      <c r="D309" s="123">
        <v>3</v>
      </c>
      <c r="E309" s="123" t="s">
        <v>791</v>
      </c>
      <c r="F309" s="125">
        <v>43581</v>
      </c>
      <c r="G309" s="125" t="s">
        <v>4027</v>
      </c>
      <c r="H309" s="125" t="s">
        <v>4752</v>
      </c>
      <c r="I309" s="171">
        <v>8.819444444444445E-2</v>
      </c>
      <c r="J309" s="173">
        <v>1.4699074074074074E-3</v>
      </c>
      <c r="K309" s="129">
        <v>127</v>
      </c>
      <c r="M309" s="123" t="s">
        <v>924</v>
      </c>
      <c r="N309" s="123" t="s">
        <v>102</v>
      </c>
      <c r="O309" s="123" t="s">
        <v>115</v>
      </c>
      <c r="P309" s="123">
        <v>1</v>
      </c>
      <c r="Q309" s="123">
        <v>0</v>
      </c>
      <c r="R309" s="123">
        <v>0</v>
      </c>
      <c r="S309" s="123" t="s">
        <v>598</v>
      </c>
      <c r="T309" s="127" t="s">
        <v>2437</v>
      </c>
      <c r="U309" s="127" t="s">
        <v>122</v>
      </c>
      <c r="V309" s="127" t="s">
        <v>115</v>
      </c>
      <c r="W309" s="127"/>
      <c r="X309" s="127"/>
      <c r="Y309" s="127"/>
      <c r="Z309" s="127" t="s">
        <v>115</v>
      </c>
      <c r="AA309" s="127" t="s">
        <v>115</v>
      </c>
      <c r="AB309" s="127" t="s">
        <v>115</v>
      </c>
      <c r="AC309" s="127" t="s">
        <v>115</v>
      </c>
      <c r="AD309" s="127" t="s">
        <v>115</v>
      </c>
      <c r="AE309" s="127" t="s">
        <v>115</v>
      </c>
      <c r="AF309" s="127" t="s">
        <v>115</v>
      </c>
      <c r="AG309" s="127" t="s">
        <v>115</v>
      </c>
      <c r="AH309" s="123">
        <v>0</v>
      </c>
      <c r="AI309" s="123">
        <v>0</v>
      </c>
      <c r="AJ309" s="123">
        <v>0</v>
      </c>
      <c r="AK309" s="123">
        <v>0</v>
      </c>
      <c r="AL309" s="123">
        <v>38</v>
      </c>
      <c r="AN309" s="123">
        <f t="shared" si="4"/>
        <v>38</v>
      </c>
      <c r="AO309" s="123" t="s">
        <v>188</v>
      </c>
      <c r="AP309" s="123" t="s">
        <v>3616</v>
      </c>
    </row>
    <row r="310" spans="1:44" x14ac:dyDescent="0.2">
      <c r="A310" s="123" t="s">
        <v>3235</v>
      </c>
      <c r="B310" s="123" t="s">
        <v>3234</v>
      </c>
      <c r="C310" s="123">
        <v>4</v>
      </c>
      <c r="D310" s="123">
        <v>1</v>
      </c>
      <c r="E310" s="123" t="s">
        <v>791</v>
      </c>
      <c r="F310" s="125">
        <v>43572</v>
      </c>
      <c r="G310" s="125" t="s">
        <v>4027</v>
      </c>
      <c r="H310" s="125" t="s">
        <v>4752</v>
      </c>
      <c r="I310" s="171">
        <v>7.6388888888888886E-3</v>
      </c>
      <c r="J310" s="173">
        <v>1.273148148148148E-4</v>
      </c>
      <c r="K310" s="129">
        <v>11</v>
      </c>
      <c r="L310" s="123" t="s">
        <v>3187</v>
      </c>
      <c r="M310" s="123" t="s">
        <v>924</v>
      </c>
      <c r="N310" s="123" t="s">
        <v>102</v>
      </c>
      <c r="O310" s="123" t="s">
        <v>23</v>
      </c>
      <c r="P310" s="123" t="s">
        <v>24</v>
      </c>
      <c r="Q310" s="123" t="s">
        <v>24</v>
      </c>
      <c r="R310" s="123">
        <v>0</v>
      </c>
      <c r="T310" s="127" t="s">
        <v>115</v>
      </c>
      <c r="U310" s="127" t="s">
        <v>115</v>
      </c>
      <c r="V310" s="127" t="s">
        <v>115</v>
      </c>
      <c r="W310" s="127"/>
      <c r="X310" s="127"/>
      <c r="Y310" s="127"/>
      <c r="Z310" s="127" t="s">
        <v>115</v>
      </c>
      <c r="AA310" s="127" t="s">
        <v>115</v>
      </c>
      <c r="AB310" s="127" t="s">
        <v>115</v>
      </c>
      <c r="AC310" s="127" t="s">
        <v>115</v>
      </c>
      <c r="AD310" s="127" t="s">
        <v>115</v>
      </c>
      <c r="AE310" s="127" t="s">
        <v>115</v>
      </c>
      <c r="AF310" s="127" t="s">
        <v>115</v>
      </c>
      <c r="AG310" s="127" t="s">
        <v>115</v>
      </c>
      <c r="AH310" s="123">
        <v>8</v>
      </c>
      <c r="AI310" s="123">
        <v>0</v>
      </c>
      <c r="AJ310" s="123">
        <v>0</v>
      </c>
      <c r="AK310" s="123">
        <v>8</v>
      </c>
      <c r="AL310" s="123">
        <v>0</v>
      </c>
      <c r="AN310" s="123">
        <f t="shared" si="4"/>
        <v>8</v>
      </c>
      <c r="AO310" s="123" t="s">
        <v>165</v>
      </c>
      <c r="AQ310" s="123">
        <v>1</v>
      </c>
      <c r="AR310" s="123">
        <v>0</v>
      </c>
    </row>
    <row r="311" spans="1:44" x14ac:dyDescent="0.2">
      <c r="A311" s="123" t="s">
        <v>3597</v>
      </c>
      <c r="B311" s="123" t="s">
        <v>3598</v>
      </c>
      <c r="C311" s="123">
        <v>1</v>
      </c>
      <c r="D311" s="123">
        <v>2</v>
      </c>
      <c r="E311" s="123" t="s">
        <v>791</v>
      </c>
      <c r="F311" s="125">
        <v>43581</v>
      </c>
      <c r="G311" s="125" t="s">
        <v>4027</v>
      </c>
      <c r="H311" s="125" t="s">
        <v>4752</v>
      </c>
      <c r="I311" s="171">
        <v>2.7083333333333334E-2</v>
      </c>
      <c r="J311" s="173">
        <v>4.5138888888888892E-4</v>
      </c>
      <c r="K311" s="129">
        <v>39</v>
      </c>
      <c r="M311" s="123" t="s">
        <v>927</v>
      </c>
      <c r="N311" s="123" t="s">
        <v>107</v>
      </c>
      <c r="O311" s="123" t="s">
        <v>115</v>
      </c>
      <c r="P311" s="123">
        <v>0</v>
      </c>
      <c r="Q311" s="123">
        <v>0</v>
      </c>
      <c r="R311" s="123">
        <v>1</v>
      </c>
      <c r="S311" s="123" t="s">
        <v>1618</v>
      </c>
      <c r="T311" s="127" t="s">
        <v>764</v>
      </c>
      <c r="U311" s="127" t="s">
        <v>24</v>
      </c>
      <c r="V311" s="127" t="s">
        <v>3599</v>
      </c>
      <c r="W311" s="127" t="s">
        <v>23</v>
      </c>
      <c r="X311" s="127" t="s">
        <v>3997</v>
      </c>
      <c r="Y311" s="127" t="s">
        <v>4006</v>
      </c>
      <c r="Z311" s="127" t="s">
        <v>115</v>
      </c>
      <c r="AA311" s="127" t="s">
        <v>115</v>
      </c>
      <c r="AB311" s="127" t="s">
        <v>115</v>
      </c>
      <c r="AC311" s="127">
        <v>63.72457</v>
      </c>
      <c r="AD311" s="127">
        <v>148.96351999999999</v>
      </c>
      <c r="AE311" s="127" t="s">
        <v>24</v>
      </c>
      <c r="AF311" s="127" t="s">
        <v>24</v>
      </c>
      <c r="AG311" s="127" t="s">
        <v>115</v>
      </c>
      <c r="AH311" s="123">
        <v>0</v>
      </c>
      <c r="AI311" s="123">
        <v>0</v>
      </c>
      <c r="AJ311" s="123">
        <v>0</v>
      </c>
      <c r="AK311" s="123">
        <v>0</v>
      </c>
      <c r="AL311" s="123">
        <v>0</v>
      </c>
      <c r="AN311" s="123">
        <f t="shared" si="4"/>
        <v>0</v>
      </c>
      <c r="AP311" s="123" t="s">
        <v>3600</v>
      </c>
    </row>
    <row r="312" spans="1:44" x14ac:dyDescent="0.2">
      <c r="A312" s="123" t="s">
        <v>3597</v>
      </c>
      <c r="B312" s="123" t="s">
        <v>3598</v>
      </c>
      <c r="C312" s="123">
        <v>1</v>
      </c>
      <c r="D312" s="123">
        <v>1</v>
      </c>
      <c r="E312" s="123" t="s">
        <v>791</v>
      </c>
      <c r="F312" s="125">
        <v>43581</v>
      </c>
      <c r="G312" s="125" t="s">
        <v>4027</v>
      </c>
      <c r="H312" s="125" t="s">
        <v>4752</v>
      </c>
      <c r="I312" s="171">
        <v>2.7083333333333334E-2</v>
      </c>
      <c r="J312" s="173">
        <v>4.5138888888888892E-4</v>
      </c>
      <c r="K312" s="129">
        <v>39</v>
      </c>
      <c r="M312" s="123" t="s">
        <v>927</v>
      </c>
      <c r="N312" s="123" t="s">
        <v>107</v>
      </c>
      <c r="O312" s="123" t="s">
        <v>115</v>
      </c>
      <c r="P312" s="123">
        <v>1</v>
      </c>
      <c r="Q312" s="123">
        <v>1</v>
      </c>
      <c r="R312" s="123">
        <v>1</v>
      </c>
      <c r="S312" s="123" t="s">
        <v>1618</v>
      </c>
      <c r="T312" s="127" t="s">
        <v>764</v>
      </c>
      <c r="U312" s="127" t="s">
        <v>24</v>
      </c>
      <c r="V312" s="127" t="s">
        <v>3599</v>
      </c>
      <c r="W312" s="127" t="s">
        <v>23</v>
      </c>
      <c r="X312" s="127" t="s">
        <v>3997</v>
      </c>
      <c r="Y312" s="127" t="s">
        <v>4006</v>
      </c>
      <c r="Z312" s="127" t="s">
        <v>2825</v>
      </c>
      <c r="AA312" s="127">
        <v>90</v>
      </c>
      <c r="AB312" s="127" t="s">
        <v>176</v>
      </c>
      <c r="AC312" s="127">
        <v>63.72457</v>
      </c>
      <c r="AD312" s="127">
        <v>148.96351999999999</v>
      </c>
      <c r="AE312" s="127" t="s">
        <v>24</v>
      </c>
      <c r="AF312" s="127" t="s">
        <v>24</v>
      </c>
      <c r="AG312" s="127" t="s">
        <v>115</v>
      </c>
      <c r="AH312" s="123">
        <v>0</v>
      </c>
      <c r="AI312" s="123">
        <v>0</v>
      </c>
      <c r="AJ312" s="123">
        <v>0</v>
      </c>
      <c r="AK312" s="123">
        <v>0</v>
      </c>
      <c r="AL312" s="123">
        <v>0</v>
      </c>
      <c r="AN312" s="123">
        <f t="shared" si="4"/>
        <v>0</v>
      </c>
      <c r="AP312" s="123" t="s">
        <v>2480</v>
      </c>
    </row>
    <row r="313" spans="1:44" x14ac:dyDescent="0.2">
      <c r="A313" s="123" t="s">
        <v>3053</v>
      </c>
      <c r="B313" s="123" t="s">
        <v>3057</v>
      </c>
      <c r="C313" s="123">
        <v>3</v>
      </c>
      <c r="D313" s="123">
        <v>1</v>
      </c>
      <c r="E313" s="123" t="s">
        <v>176</v>
      </c>
      <c r="F313" s="125">
        <v>43566</v>
      </c>
      <c r="G313" s="125" t="s">
        <v>4027</v>
      </c>
      <c r="H313" s="125" t="s">
        <v>4752</v>
      </c>
      <c r="I313" s="171">
        <v>2.4999999999999998E-2</v>
      </c>
      <c r="J313" s="173">
        <v>4.1666666666666669E-4</v>
      </c>
      <c r="K313" s="129">
        <v>36</v>
      </c>
      <c r="M313" s="123" t="s">
        <v>3051</v>
      </c>
      <c r="N313" s="123" t="s">
        <v>102</v>
      </c>
      <c r="O313" s="123" t="s">
        <v>23</v>
      </c>
      <c r="P313" s="123">
        <v>1</v>
      </c>
      <c r="Q313" s="123">
        <v>0</v>
      </c>
      <c r="R313" s="123">
        <v>0</v>
      </c>
      <c r="S313" s="123" t="s">
        <v>176</v>
      </c>
      <c r="T313" s="127" t="s">
        <v>3058</v>
      </c>
      <c r="U313" s="127" t="s">
        <v>1035</v>
      </c>
      <c r="V313" s="127" t="s">
        <v>115</v>
      </c>
      <c r="W313" s="127"/>
      <c r="X313" s="127"/>
      <c r="Y313" s="127"/>
      <c r="Z313" s="127" t="s">
        <v>115</v>
      </c>
      <c r="AA313" s="127" t="s">
        <v>115</v>
      </c>
      <c r="AB313" s="127" t="s">
        <v>115</v>
      </c>
      <c r="AC313" s="127" t="s">
        <v>115</v>
      </c>
      <c r="AD313" s="127" t="s">
        <v>115</v>
      </c>
      <c r="AE313" s="127" t="s">
        <v>115</v>
      </c>
      <c r="AF313" s="127" t="s">
        <v>115</v>
      </c>
      <c r="AG313" s="127"/>
      <c r="AH313" s="123">
        <v>22</v>
      </c>
      <c r="AI313" s="123">
        <v>14</v>
      </c>
      <c r="AJ313" s="123">
        <v>22</v>
      </c>
      <c r="AK313" s="123">
        <v>14</v>
      </c>
      <c r="AL313" s="123">
        <v>0</v>
      </c>
      <c r="AN313" s="123">
        <f t="shared" si="4"/>
        <v>36</v>
      </c>
    </row>
    <row r="314" spans="1:44" x14ac:dyDescent="0.2">
      <c r="A314" s="123" t="s">
        <v>3068</v>
      </c>
      <c r="B314" s="123" t="s">
        <v>3067</v>
      </c>
      <c r="C314" s="123">
        <v>8</v>
      </c>
      <c r="D314" s="123">
        <v>1</v>
      </c>
      <c r="E314" s="123" t="s">
        <v>176</v>
      </c>
      <c r="F314" s="125">
        <v>43566</v>
      </c>
      <c r="G314" s="125" t="s">
        <v>4027</v>
      </c>
      <c r="H314" s="125" t="s">
        <v>4752</v>
      </c>
      <c r="I314" s="171">
        <v>3.472222222222222E-3</v>
      </c>
      <c r="J314" s="173">
        <v>5.7870370370370366E-5</v>
      </c>
      <c r="K314" s="129">
        <v>5</v>
      </c>
      <c r="M314" s="123" t="s">
        <v>3051</v>
      </c>
      <c r="N314" s="123" t="s">
        <v>102</v>
      </c>
      <c r="O314" s="123" t="s">
        <v>115</v>
      </c>
      <c r="P314" s="123">
        <v>1</v>
      </c>
      <c r="Q314" s="123">
        <v>0</v>
      </c>
      <c r="R314" s="123">
        <v>0</v>
      </c>
      <c r="S314" s="123" t="s">
        <v>176</v>
      </c>
      <c r="T314" s="127" t="s">
        <v>24</v>
      </c>
      <c r="U314" s="127" t="s">
        <v>122</v>
      </c>
      <c r="V314" s="127" t="s">
        <v>115</v>
      </c>
      <c r="W314" s="127"/>
      <c r="X314" s="127"/>
      <c r="Y314" s="127"/>
      <c r="Z314" s="127" t="s">
        <v>115</v>
      </c>
      <c r="AA314" s="127" t="s">
        <v>115</v>
      </c>
      <c r="AB314" s="127" t="s">
        <v>115</v>
      </c>
      <c r="AC314" s="127" t="s">
        <v>115</v>
      </c>
      <c r="AD314" s="127" t="s">
        <v>115</v>
      </c>
      <c r="AE314" s="127" t="s">
        <v>115</v>
      </c>
      <c r="AF314" s="127" t="s">
        <v>115</v>
      </c>
      <c r="AG314" s="127"/>
      <c r="AH314" s="123">
        <v>0</v>
      </c>
      <c r="AI314" s="123">
        <v>0</v>
      </c>
      <c r="AJ314" s="123">
        <v>0</v>
      </c>
      <c r="AK314" s="123">
        <v>0</v>
      </c>
      <c r="AL314" s="123">
        <v>0</v>
      </c>
      <c r="AN314" s="123">
        <f t="shared" si="4"/>
        <v>0</v>
      </c>
      <c r="AP314" s="123" t="s">
        <v>2405</v>
      </c>
    </row>
    <row r="315" spans="1:44" x14ac:dyDescent="0.2">
      <c r="A315" s="123" t="s">
        <v>3056</v>
      </c>
      <c r="B315" s="123" t="s">
        <v>3050</v>
      </c>
      <c r="C315" s="123">
        <v>1</v>
      </c>
      <c r="D315" s="123">
        <v>1</v>
      </c>
      <c r="E315" s="123" t="s">
        <v>176</v>
      </c>
      <c r="F315" s="125">
        <v>43566</v>
      </c>
      <c r="G315" s="125" t="s">
        <v>4027</v>
      </c>
      <c r="H315" s="125" t="s">
        <v>4752</v>
      </c>
      <c r="I315" s="171">
        <v>2.0833333333333332E-2</v>
      </c>
      <c r="J315" s="173">
        <v>3.4722222222222224E-4</v>
      </c>
      <c r="K315" s="129">
        <v>30</v>
      </c>
      <c r="M315" s="123" t="s">
        <v>3051</v>
      </c>
      <c r="N315" s="123" t="s">
        <v>102</v>
      </c>
      <c r="O315" s="123" t="s">
        <v>23</v>
      </c>
      <c r="P315" s="123">
        <v>1</v>
      </c>
      <c r="Q315" s="127" t="s">
        <v>176</v>
      </c>
      <c r="R315" s="123">
        <v>0</v>
      </c>
      <c r="S315" s="123" t="s">
        <v>176</v>
      </c>
      <c r="T315" s="127" t="s">
        <v>3052</v>
      </c>
      <c r="U315" s="127" t="s">
        <v>2061</v>
      </c>
      <c r="V315" s="127" t="s">
        <v>115</v>
      </c>
      <c r="W315" s="127"/>
      <c r="X315" s="127"/>
      <c r="Y315" s="127"/>
      <c r="Z315" s="127" t="s">
        <v>115</v>
      </c>
      <c r="AA315" s="127" t="s">
        <v>115</v>
      </c>
      <c r="AB315" s="127" t="s">
        <v>115</v>
      </c>
      <c r="AC315" s="127" t="s">
        <v>115</v>
      </c>
      <c r="AD315" s="127" t="s">
        <v>115</v>
      </c>
      <c r="AE315" s="127" t="s">
        <v>115</v>
      </c>
      <c r="AF315" s="127" t="s">
        <v>115</v>
      </c>
      <c r="AG315" s="127"/>
      <c r="AH315" s="123">
        <v>6</v>
      </c>
      <c r="AI315" s="123">
        <v>11</v>
      </c>
      <c r="AJ315" s="123">
        <v>11</v>
      </c>
      <c r="AK315" s="123">
        <v>6</v>
      </c>
      <c r="AL315" s="123">
        <v>0</v>
      </c>
      <c r="AN315" s="123">
        <f t="shared" si="4"/>
        <v>17</v>
      </c>
      <c r="AO315" s="123" t="s">
        <v>188</v>
      </c>
    </row>
    <row r="316" spans="1:44" x14ac:dyDescent="0.2">
      <c r="A316" s="123" t="s">
        <v>3061</v>
      </c>
      <c r="B316" s="123" t="s">
        <v>3062</v>
      </c>
      <c r="C316" s="123">
        <v>5</v>
      </c>
      <c r="D316" s="123">
        <v>2</v>
      </c>
      <c r="E316" s="123" t="s">
        <v>176</v>
      </c>
      <c r="F316" s="125">
        <v>43566</v>
      </c>
      <c r="G316" s="125" t="s">
        <v>4027</v>
      </c>
      <c r="H316" s="125" t="s">
        <v>4752</v>
      </c>
      <c r="I316" s="171">
        <v>7.1527777777777787E-2</v>
      </c>
      <c r="J316" s="173">
        <v>1.1921296296296296E-3</v>
      </c>
      <c r="K316" s="129">
        <v>103</v>
      </c>
      <c r="M316" s="123" t="s">
        <v>3051</v>
      </c>
      <c r="N316" s="123" t="s">
        <v>102</v>
      </c>
      <c r="O316" s="123" t="s">
        <v>23</v>
      </c>
      <c r="P316" s="123">
        <v>1</v>
      </c>
      <c r="Q316" s="123" t="s">
        <v>176</v>
      </c>
      <c r="R316" s="123">
        <v>0</v>
      </c>
      <c r="S316" s="123" t="s">
        <v>176</v>
      </c>
      <c r="T316" s="127" t="s">
        <v>24</v>
      </c>
      <c r="U316" s="127" t="s">
        <v>709</v>
      </c>
      <c r="V316" s="127" t="s">
        <v>115</v>
      </c>
      <c r="W316" s="127"/>
      <c r="X316" s="127"/>
      <c r="Y316" s="127"/>
      <c r="Z316" s="127" t="s">
        <v>115</v>
      </c>
      <c r="AA316" s="127" t="s">
        <v>115</v>
      </c>
      <c r="AB316" s="127" t="s">
        <v>115</v>
      </c>
      <c r="AC316" s="127" t="s">
        <v>115</v>
      </c>
      <c r="AD316" s="127" t="s">
        <v>115</v>
      </c>
      <c r="AE316" s="127" t="s">
        <v>115</v>
      </c>
      <c r="AF316" s="127" t="s">
        <v>115</v>
      </c>
      <c r="AG316" s="127"/>
      <c r="AH316" s="123">
        <v>5</v>
      </c>
      <c r="AI316" s="123">
        <v>0</v>
      </c>
      <c r="AJ316" s="123">
        <v>5</v>
      </c>
      <c r="AK316" s="123">
        <v>0</v>
      </c>
      <c r="AL316" s="123">
        <v>0</v>
      </c>
      <c r="AN316" s="123">
        <f t="shared" si="4"/>
        <v>5</v>
      </c>
      <c r="AO316" s="123" t="s">
        <v>188</v>
      </c>
    </row>
    <row r="317" spans="1:44" x14ac:dyDescent="0.2">
      <c r="A317" s="123" t="s">
        <v>3065</v>
      </c>
      <c r="B317" s="123" t="s">
        <v>3066</v>
      </c>
      <c r="C317" s="123">
        <v>7</v>
      </c>
      <c r="D317" s="123">
        <v>1</v>
      </c>
      <c r="E317" s="123" t="s">
        <v>176</v>
      </c>
      <c r="F317" s="125">
        <v>43566</v>
      </c>
      <c r="G317" s="125" t="s">
        <v>4027</v>
      </c>
      <c r="H317" s="125" t="s">
        <v>4752</v>
      </c>
      <c r="I317" s="171">
        <v>9.0277777777777787E-3</v>
      </c>
      <c r="J317" s="173">
        <v>1.5046296296296297E-4</v>
      </c>
      <c r="K317" s="129">
        <v>13</v>
      </c>
      <c r="M317" s="123" t="s">
        <v>3051</v>
      </c>
      <c r="N317" s="123" t="s">
        <v>102</v>
      </c>
      <c r="O317" s="123" t="s">
        <v>23</v>
      </c>
      <c r="P317" s="123">
        <v>1</v>
      </c>
      <c r="Q317" s="123" t="s">
        <v>24</v>
      </c>
      <c r="R317" s="123">
        <v>0</v>
      </c>
      <c r="S317" s="123" t="s">
        <v>176</v>
      </c>
      <c r="T317" s="127" t="s">
        <v>24</v>
      </c>
      <c r="U317" s="127" t="s">
        <v>2383</v>
      </c>
      <c r="V317" s="127" t="s">
        <v>115</v>
      </c>
      <c r="W317" s="127"/>
      <c r="X317" s="127"/>
      <c r="Y317" s="127"/>
      <c r="Z317" s="127" t="s">
        <v>115</v>
      </c>
      <c r="AA317" s="127" t="s">
        <v>115</v>
      </c>
      <c r="AB317" s="127" t="s">
        <v>115</v>
      </c>
      <c r="AC317" s="127" t="s">
        <v>115</v>
      </c>
      <c r="AD317" s="127" t="s">
        <v>115</v>
      </c>
      <c r="AE317" s="127" t="s">
        <v>115</v>
      </c>
      <c r="AF317" s="127" t="s">
        <v>115</v>
      </c>
      <c r="AG317" s="127"/>
      <c r="AH317" s="123">
        <v>0</v>
      </c>
      <c r="AI317" s="123">
        <v>0</v>
      </c>
      <c r="AJ317" s="123">
        <v>0</v>
      </c>
      <c r="AK317" s="123">
        <v>0</v>
      </c>
      <c r="AL317" s="123">
        <v>0</v>
      </c>
      <c r="AN317" s="123">
        <f t="shared" si="4"/>
        <v>0</v>
      </c>
      <c r="AO317" s="123" t="s">
        <v>188</v>
      </c>
    </row>
    <row r="318" spans="1:44" x14ac:dyDescent="0.2">
      <c r="A318" s="123" t="s">
        <v>3061</v>
      </c>
      <c r="B318" s="123" t="s">
        <v>3062</v>
      </c>
      <c r="C318" s="123">
        <v>5</v>
      </c>
      <c r="D318" s="123">
        <v>1</v>
      </c>
      <c r="E318" s="123" t="s">
        <v>176</v>
      </c>
      <c r="F318" s="125">
        <v>43566</v>
      </c>
      <c r="G318" s="125" t="s">
        <v>4027</v>
      </c>
      <c r="H318" s="125" t="s">
        <v>4752</v>
      </c>
      <c r="I318" s="171">
        <v>7.1527777777777787E-2</v>
      </c>
      <c r="J318" s="173">
        <v>1.1921296296296296E-3</v>
      </c>
      <c r="K318" s="129">
        <v>103</v>
      </c>
      <c r="M318" s="123" t="s">
        <v>3051</v>
      </c>
      <c r="N318" s="123" t="s">
        <v>102</v>
      </c>
      <c r="O318" s="123" t="s">
        <v>23</v>
      </c>
      <c r="P318" s="123">
        <v>2</v>
      </c>
      <c r="Q318" s="123" t="s">
        <v>176</v>
      </c>
      <c r="R318" s="123">
        <v>0</v>
      </c>
      <c r="S318" s="123" t="s">
        <v>176</v>
      </c>
      <c r="T318" s="127" t="s">
        <v>24</v>
      </c>
      <c r="U318" s="127" t="s">
        <v>939</v>
      </c>
      <c r="V318" s="127" t="s">
        <v>115</v>
      </c>
      <c r="W318" s="127"/>
      <c r="X318" s="127"/>
      <c r="Y318" s="127"/>
      <c r="Z318" s="127" t="s">
        <v>115</v>
      </c>
      <c r="AA318" s="127" t="s">
        <v>115</v>
      </c>
      <c r="AB318" s="127" t="s">
        <v>115</v>
      </c>
      <c r="AC318" s="127" t="s">
        <v>115</v>
      </c>
      <c r="AD318" s="127" t="s">
        <v>115</v>
      </c>
      <c r="AE318" s="127" t="s">
        <v>115</v>
      </c>
      <c r="AF318" s="127" t="s">
        <v>115</v>
      </c>
      <c r="AG318" s="127"/>
      <c r="AH318" s="123">
        <v>78</v>
      </c>
      <c r="AI318" s="123">
        <v>0</v>
      </c>
      <c r="AJ318" s="123">
        <v>78</v>
      </c>
      <c r="AK318" s="123">
        <v>0</v>
      </c>
      <c r="AL318" s="123">
        <v>0</v>
      </c>
      <c r="AN318" s="123">
        <f t="shared" si="4"/>
        <v>78</v>
      </c>
      <c r="AO318" s="123" t="s">
        <v>188</v>
      </c>
    </row>
    <row r="319" spans="1:44" x14ac:dyDescent="0.2">
      <c r="A319" s="123" t="s">
        <v>3055</v>
      </c>
      <c r="B319" s="123" t="s">
        <v>3054</v>
      </c>
      <c r="C319" s="123">
        <v>2</v>
      </c>
      <c r="D319" s="123">
        <v>1</v>
      </c>
      <c r="E319" s="123" t="s">
        <v>176</v>
      </c>
      <c r="F319" s="125">
        <v>43566</v>
      </c>
      <c r="G319" s="125" t="s">
        <v>4027</v>
      </c>
      <c r="H319" s="125" t="s">
        <v>4752</v>
      </c>
      <c r="I319" s="171">
        <v>7.4999999999999997E-2</v>
      </c>
      <c r="J319" s="173">
        <v>1.25E-3</v>
      </c>
      <c r="K319" s="129">
        <v>108</v>
      </c>
      <c r="M319" s="123" t="s">
        <v>3051</v>
      </c>
      <c r="N319" s="123" t="s">
        <v>102</v>
      </c>
      <c r="O319" s="123" t="s">
        <v>23</v>
      </c>
      <c r="P319" s="123">
        <v>0</v>
      </c>
      <c r="Q319" s="123">
        <v>0</v>
      </c>
      <c r="R319" s="123">
        <v>0</v>
      </c>
      <c r="T319" s="127" t="s">
        <v>115</v>
      </c>
      <c r="U319" s="127" t="s">
        <v>115</v>
      </c>
      <c r="V319" s="127" t="s">
        <v>115</v>
      </c>
      <c r="W319" s="127"/>
      <c r="X319" s="127"/>
      <c r="Y319" s="127"/>
      <c r="Z319" s="127" t="s">
        <v>115</v>
      </c>
      <c r="AA319" s="127" t="s">
        <v>115</v>
      </c>
      <c r="AB319" s="127" t="s">
        <v>115</v>
      </c>
      <c r="AC319" s="127" t="s">
        <v>115</v>
      </c>
      <c r="AD319" s="127" t="s">
        <v>115</v>
      </c>
      <c r="AE319" s="127" t="s">
        <v>115</v>
      </c>
      <c r="AF319" s="127" t="s">
        <v>115</v>
      </c>
      <c r="AG319" s="127"/>
      <c r="AH319" s="123">
        <v>26</v>
      </c>
      <c r="AI319" s="123">
        <v>10</v>
      </c>
      <c r="AJ319" s="123">
        <v>0</v>
      </c>
      <c r="AK319" s="123">
        <v>36</v>
      </c>
      <c r="AL319" s="123">
        <v>0</v>
      </c>
      <c r="AN319" s="123">
        <f t="shared" si="4"/>
        <v>36</v>
      </c>
      <c r="AO319" s="123" t="s">
        <v>188</v>
      </c>
    </row>
    <row r="320" spans="1:44" x14ac:dyDescent="0.2">
      <c r="A320" s="123" t="s">
        <v>3059</v>
      </c>
      <c r="B320" s="123" t="s">
        <v>3060</v>
      </c>
      <c r="C320" s="123">
        <v>4</v>
      </c>
      <c r="D320" s="123">
        <v>1</v>
      </c>
      <c r="E320" s="123" t="s">
        <v>176</v>
      </c>
      <c r="F320" s="125">
        <v>43566</v>
      </c>
      <c r="G320" s="125" t="s">
        <v>4027</v>
      </c>
      <c r="H320" s="125" t="s">
        <v>4752</v>
      </c>
      <c r="I320" s="171">
        <v>1.8055555555555557E-2</v>
      </c>
      <c r="J320" s="173">
        <v>3.0092592592592595E-4</v>
      </c>
      <c r="K320" s="129">
        <v>26</v>
      </c>
      <c r="M320" s="123" t="s">
        <v>3051</v>
      </c>
      <c r="N320" s="123" t="s">
        <v>102</v>
      </c>
      <c r="O320" s="123" t="s">
        <v>23</v>
      </c>
      <c r="P320" s="123" t="s">
        <v>24</v>
      </c>
      <c r="Q320" s="123" t="s">
        <v>176</v>
      </c>
      <c r="R320" s="123">
        <v>0</v>
      </c>
      <c r="T320" s="127" t="s">
        <v>115</v>
      </c>
      <c r="U320" s="127" t="s">
        <v>115</v>
      </c>
      <c r="V320" s="127" t="s">
        <v>115</v>
      </c>
      <c r="W320" s="127"/>
      <c r="X320" s="127"/>
      <c r="Y320" s="127"/>
      <c r="Z320" s="127" t="s">
        <v>115</v>
      </c>
      <c r="AA320" s="127" t="s">
        <v>115</v>
      </c>
      <c r="AB320" s="127" t="s">
        <v>115</v>
      </c>
      <c r="AC320" s="127" t="s">
        <v>115</v>
      </c>
      <c r="AD320" s="127" t="s">
        <v>115</v>
      </c>
      <c r="AE320" s="127" t="s">
        <v>115</v>
      </c>
      <c r="AF320" s="127" t="s">
        <v>115</v>
      </c>
      <c r="AG320" s="127"/>
      <c r="AH320" s="123">
        <v>0</v>
      </c>
      <c r="AI320" s="123">
        <v>26</v>
      </c>
      <c r="AJ320" s="123">
        <v>0</v>
      </c>
      <c r="AK320" s="123">
        <v>26</v>
      </c>
      <c r="AL320" s="123">
        <v>0</v>
      </c>
      <c r="AN320" s="123">
        <f t="shared" si="4"/>
        <v>26</v>
      </c>
      <c r="AO320" s="123" t="s">
        <v>188</v>
      </c>
    </row>
    <row r="321" spans="1:44" x14ac:dyDescent="0.2">
      <c r="A321" s="123" t="s">
        <v>3063</v>
      </c>
      <c r="B321" s="123" t="s">
        <v>3064</v>
      </c>
      <c r="C321" s="123">
        <v>6</v>
      </c>
      <c r="D321" s="123">
        <v>1</v>
      </c>
      <c r="E321" s="123" t="s">
        <v>176</v>
      </c>
      <c r="F321" s="125">
        <v>43566</v>
      </c>
      <c r="G321" s="125" t="s">
        <v>4027</v>
      </c>
      <c r="H321" s="125" t="s">
        <v>4752</v>
      </c>
      <c r="I321" s="171">
        <v>6.2499999999999995E-3</v>
      </c>
      <c r="J321" s="173">
        <v>1.0416666666666667E-4</v>
      </c>
      <c r="K321" s="129">
        <v>9</v>
      </c>
      <c r="M321" s="123" t="s">
        <v>3051</v>
      </c>
      <c r="N321" s="123" t="s">
        <v>102</v>
      </c>
      <c r="O321" s="123" t="s">
        <v>23</v>
      </c>
      <c r="P321" s="123" t="s">
        <v>24</v>
      </c>
      <c r="Q321" s="123" t="s">
        <v>24</v>
      </c>
      <c r="R321" s="123">
        <v>0</v>
      </c>
      <c r="T321" s="127" t="s">
        <v>115</v>
      </c>
      <c r="U321" s="127" t="s">
        <v>115</v>
      </c>
      <c r="V321" s="127" t="s">
        <v>115</v>
      </c>
      <c r="W321" s="127"/>
      <c r="X321" s="127"/>
      <c r="Y321" s="127"/>
      <c r="Z321" s="127" t="s">
        <v>115</v>
      </c>
      <c r="AA321" s="127" t="s">
        <v>115</v>
      </c>
      <c r="AB321" s="127" t="s">
        <v>115</v>
      </c>
      <c r="AC321" s="127" t="s">
        <v>115</v>
      </c>
      <c r="AD321" s="127" t="s">
        <v>115</v>
      </c>
      <c r="AE321" s="127" t="s">
        <v>115</v>
      </c>
      <c r="AF321" s="127" t="s">
        <v>115</v>
      </c>
      <c r="AG321" s="127"/>
      <c r="AH321" s="123">
        <v>0</v>
      </c>
      <c r="AI321" s="123">
        <v>9</v>
      </c>
      <c r="AJ321" s="123">
        <v>0</v>
      </c>
      <c r="AK321" s="123">
        <v>9</v>
      </c>
      <c r="AL321" s="123">
        <v>0</v>
      </c>
      <c r="AN321" s="123">
        <f t="shared" si="4"/>
        <v>9</v>
      </c>
      <c r="AO321" s="123" t="s">
        <v>188</v>
      </c>
    </row>
    <row r="322" spans="1:44" x14ac:dyDescent="0.2">
      <c r="A322" s="123" t="s">
        <v>3013</v>
      </c>
      <c r="B322" s="123" t="s">
        <v>3014</v>
      </c>
      <c r="C322" s="123">
        <v>1</v>
      </c>
      <c r="D322" s="123">
        <v>2</v>
      </c>
      <c r="E322" s="123" t="s">
        <v>2487</v>
      </c>
      <c r="F322" s="125">
        <v>43564</v>
      </c>
      <c r="G322" s="125" t="s">
        <v>4027</v>
      </c>
      <c r="H322" s="125" t="s">
        <v>4752</v>
      </c>
      <c r="I322" s="171">
        <v>2.7083333333333334E-2</v>
      </c>
      <c r="J322" s="173">
        <v>4.5138888888888892E-4</v>
      </c>
      <c r="K322" s="129">
        <v>39</v>
      </c>
      <c r="M322" s="123" t="s">
        <v>24</v>
      </c>
      <c r="N322" s="123" t="s">
        <v>102</v>
      </c>
      <c r="O322" s="123" t="s">
        <v>115</v>
      </c>
      <c r="P322" s="123">
        <v>1</v>
      </c>
      <c r="Q322" s="123">
        <v>0</v>
      </c>
      <c r="R322" s="123">
        <v>0</v>
      </c>
      <c r="S322" s="123" t="s">
        <v>598</v>
      </c>
      <c r="T322" s="127" t="s">
        <v>2801</v>
      </c>
      <c r="U322" s="127" t="s">
        <v>122</v>
      </c>
      <c r="V322" s="127" t="s">
        <v>115</v>
      </c>
      <c r="W322" s="127"/>
      <c r="X322" s="127"/>
      <c r="Y322" s="127"/>
      <c r="Z322" s="127" t="s">
        <v>115</v>
      </c>
      <c r="AA322" s="127" t="s">
        <v>115</v>
      </c>
      <c r="AB322" s="127" t="s">
        <v>115</v>
      </c>
      <c r="AC322" s="127" t="s">
        <v>115</v>
      </c>
      <c r="AD322" s="127" t="s">
        <v>115</v>
      </c>
      <c r="AE322" s="127" t="s">
        <v>115</v>
      </c>
      <c r="AF322" s="127" t="s">
        <v>115</v>
      </c>
      <c r="AG322" s="127"/>
      <c r="AH322" s="123">
        <v>0</v>
      </c>
      <c r="AI322" s="123">
        <v>0</v>
      </c>
      <c r="AJ322" s="123">
        <v>0</v>
      </c>
      <c r="AK322" s="123">
        <v>0</v>
      </c>
      <c r="AL322" s="123">
        <v>3</v>
      </c>
      <c r="AN322" s="123">
        <f t="shared" ref="AN322:AN385" si="5">SUM(AH322+AI322+AL322)</f>
        <v>3</v>
      </c>
      <c r="AP322" s="123" t="s">
        <v>4809</v>
      </c>
    </row>
    <row r="323" spans="1:44" x14ac:dyDescent="0.2">
      <c r="A323" s="123" t="s">
        <v>3016</v>
      </c>
      <c r="B323" s="123" t="s">
        <v>3017</v>
      </c>
      <c r="C323" s="123">
        <v>2</v>
      </c>
      <c r="D323" s="123">
        <v>1</v>
      </c>
      <c r="E323" s="123" t="s">
        <v>2487</v>
      </c>
      <c r="F323" s="125">
        <v>43564</v>
      </c>
      <c r="G323" s="125" t="s">
        <v>4027</v>
      </c>
      <c r="H323" s="125" t="s">
        <v>4752</v>
      </c>
      <c r="I323" s="171">
        <v>1.5972222222222224E-2</v>
      </c>
      <c r="J323" s="173">
        <v>2.6620370370370372E-4</v>
      </c>
      <c r="K323" s="129">
        <v>23</v>
      </c>
      <c r="M323" s="123" t="s">
        <v>24</v>
      </c>
      <c r="N323" s="123" t="s">
        <v>107</v>
      </c>
      <c r="O323" s="123" t="s">
        <v>115</v>
      </c>
      <c r="P323" s="123">
        <v>0</v>
      </c>
      <c r="Q323" s="123">
        <v>0</v>
      </c>
      <c r="R323" s="123">
        <v>0</v>
      </c>
      <c r="S323" s="123" t="s">
        <v>598</v>
      </c>
      <c r="T323" s="127" t="s">
        <v>2801</v>
      </c>
      <c r="U323" s="127" t="s">
        <v>115</v>
      </c>
      <c r="V323" s="127" t="s">
        <v>115</v>
      </c>
      <c r="W323" s="127"/>
      <c r="X323" s="127"/>
      <c r="Y323" s="127"/>
      <c r="Z323" s="127" t="s">
        <v>115</v>
      </c>
      <c r="AA323" s="127" t="s">
        <v>115</v>
      </c>
      <c r="AB323" s="127" t="s">
        <v>115</v>
      </c>
      <c r="AC323" s="127" t="s">
        <v>115</v>
      </c>
      <c r="AD323" s="127" t="s">
        <v>115</v>
      </c>
      <c r="AE323" s="127" t="s">
        <v>115</v>
      </c>
      <c r="AF323" s="127" t="s">
        <v>115</v>
      </c>
      <c r="AG323" s="127"/>
      <c r="AH323" s="123">
        <v>0</v>
      </c>
      <c r="AI323" s="123">
        <v>0</v>
      </c>
      <c r="AJ323" s="123">
        <v>0</v>
      </c>
      <c r="AK323" s="123">
        <v>0</v>
      </c>
      <c r="AL323" s="123">
        <v>0</v>
      </c>
      <c r="AN323" s="123">
        <f t="shared" si="5"/>
        <v>0</v>
      </c>
      <c r="AP323" s="123" t="s">
        <v>3018</v>
      </c>
    </row>
    <row r="324" spans="1:44" x14ac:dyDescent="0.2">
      <c r="A324" s="123" t="s">
        <v>3372</v>
      </c>
      <c r="B324" s="123" t="s">
        <v>3373</v>
      </c>
      <c r="C324" s="123">
        <v>9</v>
      </c>
      <c r="D324" s="123">
        <v>1</v>
      </c>
      <c r="E324" s="123" t="s">
        <v>3171</v>
      </c>
      <c r="F324" s="125">
        <v>43577</v>
      </c>
      <c r="G324" s="125" t="s">
        <v>4027</v>
      </c>
      <c r="H324" s="125" t="s">
        <v>4752</v>
      </c>
      <c r="I324" s="171">
        <v>3.472222222222222E-3</v>
      </c>
      <c r="J324" s="173">
        <v>5.7870370370370366E-5</v>
      </c>
      <c r="K324" s="129">
        <v>5</v>
      </c>
      <c r="L324" s="123" t="s">
        <v>101</v>
      </c>
      <c r="M324" s="123" t="s">
        <v>24</v>
      </c>
      <c r="N324" s="123" t="s">
        <v>102</v>
      </c>
      <c r="O324" s="123" t="s">
        <v>115</v>
      </c>
      <c r="P324" s="123" t="s">
        <v>24</v>
      </c>
      <c r="Q324" s="123">
        <v>0</v>
      </c>
      <c r="R324" s="123">
        <v>0</v>
      </c>
      <c r="T324" s="127" t="s">
        <v>115</v>
      </c>
      <c r="U324" s="127" t="s">
        <v>115</v>
      </c>
      <c r="V324" s="127" t="s">
        <v>115</v>
      </c>
      <c r="W324" s="127"/>
      <c r="X324" s="127"/>
      <c r="Y324" s="127"/>
      <c r="Z324" s="127" t="s">
        <v>115</v>
      </c>
      <c r="AA324" s="127" t="s">
        <v>115</v>
      </c>
      <c r="AB324" s="127" t="s">
        <v>115</v>
      </c>
      <c r="AC324" s="127" t="s">
        <v>115</v>
      </c>
      <c r="AD324" s="127" t="s">
        <v>115</v>
      </c>
      <c r="AE324" s="127" t="s">
        <v>115</v>
      </c>
      <c r="AF324" s="127" t="s">
        <v>115</v>
      </c>
      <c r="AG324" s="127" t="s">
        <v>115</v>
      </c>
      <c r="AH324" s="123">
        <v>0</v>
      </c>
      <c r="AI324" s="123">
        <v>0</v>
      </c>
      <c r="AJ324" s="123">
        <v>0</v>
      </c>
      <c r="AK324" s="123">
        <v>0</v>
      </c>
      <c r="AL324" s="123">
        <v>5</v>
      </c>
      <c r="AN324" s="123">
        <f t="shared" si="5"/>
        <v>5</v>
      </c>
      <c r="AO324" s="123" t="s">
        <v>188</v>
      </c>
    </row>
    <row r="325" spans="1:44" x14ac:dyDescent="0.2">
      <c r="A325" s="123" t="s">
        <v>3676</v>
      </c>
      <c r="B325" s="123" t="s">
        <v>3675</v>
      </c>
      <c r="C325" s="123">
        <v>21</v>
      </c>
      <c r="D325" s="123">
        <v>1</v>
      </c>
      <c r="E325" s="123" t="s">
        <v>2487</v>
      </c>
      <c r="F325" s="125">
        <v>43585</v>
      </c>
      <c r="G325" s="125" t="s">
        <v>4027</v>
      </c>
      <c r="H325" s="125" t="s">
        <v>4752</v>
      </c>
      <c r="I325" s="171">
        <v>3.3333333333333333E-2</v>
      </c>
      <c r="J325" s="173">
        <v>5.5555555555555556E-4</v>
      </c>
      <c r="K325" s="129">
        <v>48</v>
      </c>
      <c r="L325" s="123" t="s">
        <v>3626</v>
      </c>
      <c r="M325" s="123" t="s">
        <v>344</v>
      </c>
      <c r="N325" s="123" t="s">
        <v>102</v>
      </c>
      <c r="O325" s="123" t="s">
        <v>115</v>
      </c>
      <c r="P325" s="123">
        <v>0</v>
      </c>
      <c r="Q325" s="123">
        <v>0</v>
      </c>
      <c r="R325" s="123">
        <v>0</v>
      </c>
      <c r="T325" s="127" t="s">
        <v>115</v>
      </c>
      <c r="U325" s="127" t="s">
        <v>115</v>
      </c>
      <c r="V325" s="127" t="s">
        <v>115</v>
      </c>
      <c r="W325" s="127"/>
      <c r="X325" s="127"/>
      <c r="Y325" s="127"/>
      <c r="Z325" s="127" t="s">
        <v>115</v>
      </c>
      <c r="AA325" s="127" t="s">
        <v>115</v>
      </c>
      <c r="AB325" s="127" t="s">
        <v>115</v>
      </c>
      <c r="AC325" s="127" t="s">
        <v>115</v>
      </c>
      <c r="AD325" s="127" t="s">
        <v>115</v>
      </c>
      <c r="AE325" s="127" t="s">
        <v>115</v>
      </c>
      <c r="AF325" s="127" t="s">
        <v>115</v>
      </c>
      <c r="AG325" s="127" t="s">
        <v>115</v>
      </c>
      <c r="AH325" s="123">
        <v>0</v>
      </c>
      <c r="AI325" s="123">
        <v>0</v>
      </c>
      <c r="AJ325" s="123">
        <v>0</v>
      </c>
      <c r="AK325" s="123">
        <v>0</v>
      </c>
      <c r="AL325" s="123">
        <v>30</v>
      </c>
      <c r="AN325" s="123">
        <f t="shared" si="5"/>
        <v>30</v>
      </c>
      <c r="AO325" s="123" t="s">
        <v>188</v>
      </c>
    </row>
    <row r="326" spans="1:44" x14ac:dyDescent="0.2">
      <c r="A326" s="123" t="s">
        <v>2827</v>
      </c>
      <c r="B326" s="123" t="s">
        <v>2828</v>
      </c>
      <c r="C326" s="123">
        <v>1</v>
      </c>
      <c r="D326" s="123">
        <v>1</v>
      </c>
      <c r="E326" s="123" t="s">
        <v>2781</v>
      </c>
      <c r="F326" s="125">
        <v>43556</v>
      </c>
      <c r="G326" s="125" t="s">
        <v>4027</v>
      </c>
      <c r="H326" s="125" t="s">
        <v>4752</v>
      </c>
      <c r="I326" s="171">
        <v>2.2916666666666669E-2</v>
      </c>
      <c r="J326" s="173">
        <v>3.8194444444444446E-4</v>
      </c>
      <c r="K326" s="129">
        <v>33</v>
      </c>
      <c r="M326" s="123" t="s">
        <v>64</v>
      </c>
      <c r="N326" s="123" t="s">
        <v>102</v>
      </c>
      <c r="O326" s="123" t="s">
        <v>115</v>
      </c>
      <c r="P326" s="123">
        <v>1</v>
      </c>
      <c r="Q326" s="123">
        <v>0</v>
      </c>
      <c r="R326" s="123">
        <v>0</v>
      </c>
      <c r="S326" s="123" t="s">
        <v>176</v>
      </c>
      <c r="T326" s="127" t="s">
        <v>4790</v>
      </c>
      <c r="U326" s="127" t="s">
        <v>122</v>
      </c>
      <c r="V326" s="127" t="s">
        <v>115</v>
      </c>
      <c r="W326" s="127"/>
      <c r="X326" s="127"/>
      <c r="Y326" s="127"/>
      <c r="Z326" s="127" t="s">
        <v>115</v>
      </c>
      <c r="AA326" s="127" t="s">
        <v>115</v>
      </c>
      <c r="AB326" s="127" t="s">
        <v>115</v>
      </c>
      <c r="AC326" s="127" t="s">
        <v>115</v>
      </c>
      <c r="AD326" s="127" t="s">
        <v>115</v>
      </c>
      <c r="AE326" s="127" t="s">
        <v>115</v>
      </c>
      <c r="AF326" s="127" t="s">
        <v>115</v>
      </c>
      <c r="AG326" s="127"/>
      <c r="AH326" s="123">
        <v>0</v>
      </c>
      <c r="AI326" s="123">
        <v>0</v>
      </c>
      <c r="AJ326" s="123">
        <v>0</v>
      </c>
      <c r="AK326" s="123">
        <v>0</v>
      </c>
      <c r="AL326" s="123">
        <v>15</v>
      </c>
      <c r="AN326" s="123">
        <f t="shared" si="5"/>
        <v>15</v>
      </c>
      <c r="AO326" s="123" t="s">
        <v>188</v>
      </c>
    </row>
    <row r="327" spans="1:44" x14ac:dyDescent="0.2">
      <c r="A327" s="123" t="s">
        <v>2834</v>
      </c>
      <c r="B327" s="123" t="s">
        <v>2835</v>
      </c>
      <c r="C327" s="123">
        <v>4</v>
      </c>
      <c r="D327" s="123">
        <v>1</v>
      </c>
      <c r="E327" s="123" t="s">
        <v>2781</v>
      </c>
      <c r="F327" s="125">
        <v>43556</v>
      </c>
      <c r="G327" s="125" t="s">
        <v>4027</v>
      </c>
      <c r="H327" s="125" t="s">
        <v>4752</v>
      </c>
      <c r="I327" s="171">
        <v>4.1666666666666666E-3</v>
      </c>
      <c r="J327" s="173">
        <v>6.9444444444444444E-5</v>
      </c>
      <c r="K327" s="129">
        <v>6</v>
      </c>
      <c r="M327" s="123" t="s">
        <v>64</v>
      </c>
      <c r="N327" s="123" t="s">
        <v>102</v>
      </c>
      <c r="O327" s="123" t="s">
        <v>115</v>
      </c>
      <c r="P327" s="123">
        <v>0</v>
      </c>
      <c r="Q327" s="123">
        <v>0</v>
      </c>
      <c r="R327" s="123">
        <v>0</v>
      </c>
      <c r="T327" s="127" t="s">
        <v>115</v>
      </c>
      <c r="U327" s="127" t="s">
        <v>115</v>
      </c>
      <c r="V327" s="127" t="s">
        <v>115</v>
      </c>
      <c r="W327" s="127"/>
      <c r="X327" s="127"/>
      <c r="Y327" s="127"/>
      <c r="Z327" s="127" t="s">
        <v>115</v>
      </c>
      <c r="AA327" s="127" t="s">
        <v>115</v>
      </c>
      <c r="AB327" s="127" t="s">
        <v>115</v>
      </c>
      <c r="AC327" s="127" t="s">
        <v>115</v>
      </c>
      <c r="AD327" s="127" t="s">
        <v>115</v>
      </c>
      <c r="AE327" s="127" t="s">
        <v>115</v>
      </c>
      <c r="AF327" s="127" t="s">
        <v>115</v>
      </c>
      <c r="AG327" s="127"/>
      <c r="AH327" s="123">
        <v>0</v>
      </c>
      <c r="AI327" s="123">
        <v>0</v>
      </c>
      <c r="AJ327" s="123">
        <v>0</v>
      </c>
      <c r="AK327" s="123">
        <v>0</v>
      </c>
      <c r="AL327" s="123">
        <v>0</v>
      </c>
      <c r="AN327" s="123">
        <f t="shared" si="5"/>
        <v>0</v>
      </c>
      <c r="AO327" s="123" t="s">
        <v>188</v>
      </c>
    </row>
    <row r="328" spans="1:44" x14ac:dyDescent="0.2">
      <c r="A328" s="123" t="s">
        <v>2922</v>
      </c>
      <c r="B328" s="123" t="s">
        <v>2923</v>
      </c>
      <c r="C328" s="123">
        <v>5</v>
      </c>
      <c r="D328" s="123">
        <v>1</v>
      </c>
      <c r="E328" s="123" t="s">
        <v>2462</v>
      </c>
      <c r="F328" s="125">
        <v>43559</v>
      </c>
      <c r="G328" s="125" t="s">
        <v>4027</v>
      </c>
      <c r="H328" s="125" t="s">
        <v>4752</v>
      </c>
      <c r="I328" s="171">
        <v>1.5277777777777777E-2</v>
      </c>
      <c r="J328" s="173">
        <v>2.5462962962962961E-4</v>
      </c>
      <c r="K328" s="129">
        <v>22</v>
      </c>
      <c r="M328" s="123" t="s">
        <v>64</v>
      </c>
      <c r="N328" s="123" t="s">
        <v>102</v>
      </c>
      <c r="O328" s="123" t="s">
        <v>115</v>
      </c>
      <c r="P328" s="123">
        <v>1</v>
      </c>
      <c r="Q328" s="123">
        <v>0</v>
      </c>
      <c r="R328" s="123">
        <v>0</v>
      </c>
      <c r="S328" s="123" t="s">
        <v>176</v>
      </c>
      <c r="T328" s="127" t="s">
        <v>24</v>
      </c>
      <c r="U328" s="127" t="s">
        <v>122</v>
      </c>
      <c r="V328" s="127" t="s">
        <v>115</v>
      </c>
      <c r="W328" s="127"/>
      <c r="X328" s="127"/>
      <c r="Y328" s="127"/>
      <c r="Z328" s="127" t="s">
        <v>115</v>
      </c>
      <c r="AA328" s="127" t="s">
        <v>115</v>
      </c>
      <c r="AB328" s="127" t="s">
        <v>115</v>
      </c>
      <c r="AC328" s="127" t="s">
        <v>115</v>
      </c>
      <c r="AD328" s="127" t="s">
        <v>115</v>
      </c>
      <c r="AE328" s="127" t="s">
        <v>115</v>
      </c>
      <c r="AF328" s="127" t="s">
        <v>115</v>
      </c>
      <c r="AG328" s="127"/>
      <c r="AH328" s="123">
        <v>0</v>
      </c>
      <c r="AI328" s="123">
        <v>0</v>
      </c>
      <c r="AJ328" s="123">
        <v>0</v>
      </c>
      <c r="AK328" s="123">
        <v>0</v>
      </c>
      <c r="AL328" s="123">
        <v>7</v>
      </c>
      <c r="AN328" s="123">
        <f t="shared" si="5"/>
        <v>7</v>
      </c>
      <c r="AO328" s="123" t="s">
        <v>188</v>
      </c>
    </row>
    <row r="329" spans="1:44" x14ac:dyDescent="0.2">
      <c r="A329" s="123" t="s">
        <v>2916</v>
      </c>
      <c r="B329" s="123" t="s">
        <v>2917</v>
      </c>
      <c r="C329" s="123">
        <v>2</v>
      </c>
      <c r="D329" s="123">
        <v>1</v>
      </c>
      <c r="E329" s="123" t="s">
        <v>2462</v>
      </c>
      <c r="F329" s="125">
        <v>43559</v>
      </c>
      <c r="G329" s="125" t="s">
        <v>4027</v>
      </c>
      <c r="H329" s="125" t="s">
        <v>4752</v>
      </c>
      <c r="I329" s="171">
        <v>0.10625</v>
      </c>
      <c r="J329" s="173">
        <v>1.7708333333333332E-3</v>
      </c>
      <c r="K329" s="129">
        <v>153</v>
      </c>
      <c r="M329" s="123" t="s">
        <v>64</v>
      </c>
      <c r="N329" s="123" t="s">
        <v>102</v>
      </c>
      <c r="O329" s="123" t="s">
        <v>115</v>
      </c>
      <c r="P329" s="123">
        <v>4</v>
      </c>
      <c r="Q329" s="123">
        <v>0</v>
      </c>
      <c r="R329" s="123">
        <v>0</v>
      </c>
      <c r="S329" s="123" t="s">
        <v>176</v>
      </c>
      <c r="T329" s="127" t="s">
        <v>24</v>
      </c>
      <c r="U329" s="127" t="s">
        <v>122</v>
      </c>
      <c r="V329" s="127" t="s">
        <v>115</v>
      </c>
      <c r="W329" s="127"/>
      <c r="X329" s="127"/>
      <c r="Y329" s="127"/>
      <c r="Z329" s="127" t="s">
        <v>115</v>
      </c>
      <c r="AA329" s="127" t="s">
        <v>115</v>
      </c>
      <c r="AB329" s="127" t="s">
        <v>115</v>
      </c>
      <c r="AC329" s="127" t="s">
        <v>115</v>
      </c>
      <c r="AD329" s="127" t="s">
        <v>115</v>
      </c>
      <c r="AE329" s="127" t="s">
        <v>115</v>
      </c>
      <c r="AF329" s="127" t="s">
        <v>115</v>
      </c>
      <c r="AG329" s="127"/>
      <c r="AH329" s="123">
        <v>0</v>
      </c>
      <c r="AI329" s="123">
        <v>0</v>
      </c>
      <c r="AJ329" s="123">
        <v>0</v>
      </c>
      <c r="AK329" s="123">
        <v>0</v>
      </c>
      <c r="AL329" s="123">
        <v>153</v>
      </c>
      <c r="AN329" s="123">
        <f t="shared" si="5"/>
        <v>153</v>
      </c>
    </row>
    <row r="330" spans="1:44" x14ac:dyDescent="0.2">
      <c r="A330" s="123" t="s">
        <v>2914</v>
      </c>
      <c r="B330" s="123" t="s">
        <v>2915</v>
      </c>
      <c r="C330" s="123">
        <v>1</v>
      </c>
      <c r="D330" s="123">
        <v>1</v>
      </c>
      <c r="E330" s="123" t="s">
        <v>2462</v>
      </c>
      <c r="F330" s="125">
        <v>43559</v>
      </c>
      <c r="G330" s="125" t="s">
        <v>4027</v>
      </c>
      <c r="H330" s="125" t="s">
        <v>4752</v>
      </c>
      <c r="I330" s="171">
        <v>2.1527777777777781E-2</v>
      </c>
      <c r="J330" s="173">
        <v>3.5879629629629635E-4</v>
      </c>
      <c r="K330" s="129">
        <v>31</v>
      </c>
      <c r="M330" s="123" t="s">
        <v>64</v>
      </c>
      <c r="N330" s="123" t="s">
        <v>102</v>
      </c>
      <c r="O330" s="123" t="s">
        <v>115</v>
      </c>
      <c r="P330" s="123">
        <v>0</v>
      </c>
      <c r="Q330" s="123">
        <v>0</v>
      </c>
      <c r="R330" s="123">
        <v>0</v>
      </c>
      <c r="T330" s="127" t="s">
        <v>115</v>
      </c>
      <c r="U330" s="127" t="s">
        <v>115</v>
      </c>
      <c r="V330" s="127" t="s">
        <v>115</v>
      </c>
      <c r="W330" s="127"/>
      <c r="X330" s="127"/>
      <c r="Y330" s="127"/>
      <c r="Z330" s="127" t="s">
        <v>115</v>
      </c>
      <c r="AA330" s="127" t="s">
        <v>115</v>
      </c>
      <c r="AB330" s="127" t="s">
        <v>115</v>
      </c>
      <c r="AC330" s="127" t="s">
        <v>115</v>
      </c>
      <c r="AD330" s="127" t="s">
        <v>115</v>
      </c>
      <c r="AE330" s="127" t="s">
        <v>115</v>
      </c>
      <c r="AF330" s="127" t="s">
        <v>115</v>
      </c>
      <c r="AG330" s="127"/>
      <c r="AH330" s="123">
        <v>0</v>
      </c>
      <c r="AI330" s="123">
        <v>0</v>
      </c>
      <c r="AJ330" s="123">
        <v>0</v>
      </c>
      <c r="AK330" s="123">
        <v>0</v>
      </c>
      <c r="AL330" s="123">
        <v>31</v>
      </c>
      <c r="AN330" s="123">
        <f t="shared" si="5"/>
        <v>31</v>
      </c>
      <c r="AO330" s="123" t="s">
        <v>188</v>
      </c>
    </row>
    <row r="331" spans="1:44" x14ac:dyDescent="0.2">
      <c r="A331" s="123" t="s">
        <v>2920</v>
      </c>
      <c r="B331" s="123" t="s">
        <v>2921</v>
      </c>
      <c r="C331" s="123">
        <v>4</v>
      </c>
      <c r="D331" s="123">
        <v>1</v>
      </c>
      <c r="E331" s="123" t="s">
        <v>2462</v>
      </c>
      <c r="F331" s="125">
        <v>43559</v>
      </c>
      <c r="G331" s="125" t="s">
        <v>4027</v>
      </c>
      <c r="H331" s="125" t="s">
        <v>4752</v>
      </c>
      <c r="I331" s="171">
        <v>1.6666666666666666E-2</v>
      </c>
      <c r="J331" s="173">
        <v>2.7777777777777778E-4</v>
      </c>
      <c r="K331" s="129">
        <v>24</v>
      </c>
      <c r="M331" s="123" t="s">
        <v>64</v>
      </c>
      <c r="N331" s="123" t="s">
        <v>102</v>
      </c>
      <c r="O331" s="123" t="s">
        <v>115</v>
      </c>
      <c r="P331" s="123">
        <v>0</v>
      </c>
      <c r="Q331" s="123">
        <v>0</v>
      </c>
      <c r="R331" s="123">
        <v>0</v>
      </c>
      <c r="T331" s="127" t="s">
        <v>115</v>
      </c>
      <c r="U331" s="127" t="s">
        <v>115</v>
      </c>
      <c r="V331" s="127" t="s">
        <v>115</v>
      </c>
      <c r="W331" s="127"/>
      <c r="X331" s="127"/>
      <c r="Y331" s="127"/>
      <c r="Z331" s="127" t="s">
        <v>115</v>
      </c>
      <c r="AA331" s="127" t="s">
        <v>115</v>
      </c>
      <c r="AB331" s="127" t="s">
        <v>115</v>
      </c>
      <c r="AC331" s="127" t="s">
        <v>115</v>
      </c>
      <c r="AD331" s="127" t="s">
        <v>115</v>
      </c>
      <c r="AE331" s="127" t="s">
        <v>115</v>
      </c>
      <c r="AF331" s="127" t="s">
        <v>115</v>
      </c>
      <c r="AG331" s="127"/>
      <c r="AH331" s="123">
        <v>0</v>
      </c>
      <c r="AI331" s="123">
        <v>0</v>
      </c>
      <c r="AJ331" s="123">
        <v>0</v>
      </c>
      <c r="AK331" s="123">
        <v>0</v>
      </c>
      <c r="AL331" s="123">
        <v>24</v>
      </c>
      <c r="AN331" s="123">
        <f t="shared" si="5"/>
        <v>24</v>
      </c>
      <c r="AO331" s="123" t="s">
        <v>188</v>
      </c>
    </row>
    <row r="332" spans="1:44" x14ac:dyDescent="0.2">
      <c r="A332" s="123" t="s">
        <v>2918</v>
      </c>
      <c r="B332" s="123" t="s">
        <v>2919</v>
      </c>
      <c r="C332" s="123">
        <v>3</v>
      </c>
      <c r="D332" s="123">
        <v>1</v>
      </c>
      <c r="E332" s="123" t="s">
        <v>2462</v>
      </c>
      <c r="F332" s="125">
        <v>43559</v>
      </c>
      <c r="G332" s="125" t="s">
        <v>4027</v>
      </c>
      <c r="H332" s="125" t="s">
        <v>4752</v>
      </c>
      <c r="I332" s="171">
        <v>7.6388888888888886E-3</v>
      </c>
      <c r="J332" s="173">
        <v>1.273148148148148E-4</v>
      </c>
      <c r="K332" s="129">
        <v>11</v>
      </c>
      <c r="M332" s="123" t="s">
        <v>64</v>
      </c>
      <c r="N332" s="123" t="s">
        <v>102</v>
      </c>
      <c r="O332" s="123" t="s">
        <v>23</v>
      </c>
      <c r="P332" s="123">
        <v>0</v>
      </c>
      <c r="Q332" s="123">
        <v>0</v>
      </c>
      <c r="R332" s="123">
        <v>0</v>
      </c>
      <c r="T332" s="127" t="s">
        <v>115</v>
      </c>
      <c r="V332" s="127" t="s">
        <v>115</v>
      </c>
      <c r="W332" s="127"/>
      <c r="X332" s="127"/>
      <c r="Y332" s="127"/>
      <c r="Z332" s="127" t="s">
        <v>115</v>
      </c>
      <c r="AA332" s="127" t="s">
        <v>115</v>
      </c>
      <c r="AB332" s="127" t="s">
        <v>115</v>
      </c>
      <c r="AC332" s="127" t="s">
        <v>115</v>
      </c>
      <c r="AD332" s="127" t="s">
        <v>115</v>
      </c>
      <c r="AE332" s="127" t="s">
        <v>115</v>
      </c>
      <c r="AF332" s="127" t="s">
        <v>115</v>
      </c>
      <c r="AG332" s="127"/>
      <c r="AH332" s="123">
        <v>3</v>
      </c>
      <c r="AI332" s="123">
        <v>0</v>
      </c>
      <c r="AJ332" s="123">
        <v>0</v>
      </c>
      <c r="AK332" s="123">
        <v>3</v>
      </c>
      <c r="AL332" s="123">
        <v>0</v>
      </c>
      <c r="AN332" s="123">
        <f t="shared" si="5"/>
        <v>3</v>
      </c>
      <c r="AO332" s="123" t="s">
        <v>2374</v>
      </c>
      <c r="AQ332" s="123">
        <v>1</v>
      </c>
      <c r="AR332" s="123">
        <v>0</v>
      </c>
    </row>
    <row r="333" spans="1:44" x14ac:dyDescent="0.2">
      <c r="A333" s="123" t="s">
        <v>3137</v>
      </c>
      <c r="B333" s="123" t="s">
        <v>3138</v>
      </c>
      <c r="C333" s="123">
        <v>1</v>
      </c>
      <c r="D333" s="123">
        <v>1</v>
      </c>
      <c r="E333" s="123" t="s">
        <v>2462</v>
      </c>
      <c r="F333" s="125">
        <v>43571</v>
      </c>
      <c r="G333" s="125" t="s">
        <v>4027</v>
      </c>
      <c r="H333" s="125" t="s">
        <v>4752</v>
      </c>
      <c r="I333" s="171">
        <v>4.7222222222222221E-2</v>
      </c>
      <c r="J333" s="173">
        <v>7.8703703703703705E-4</v>
      </c>
      <c r="K333" s="129">
        <v>68</v>
      </c>
      <c r="L333" s="123" t="s">
        <v>1278</v>
      </c>
      <c r="M333" s="123" t="s">
        <v>64</v>
      </c>
      <c r="N333" s="123" t="s">
        <v>102</v>
      </c>
      <c r="O333" s="123" t="s">
        <v>23</v>
      </c>
      <c r="P333" s="123">
        <v>1</v>
      </c>
      <c r="Q333" s="123">
        <v>0</v>
      </c>
      <c r="R333" s="123">
        <v>1</v>
      </c>
      <c r="S333" s="123" t="s">
        <v>14</v>
      </c>
      <c r="T333" s="127" t="s">
        <v>3139</v>
      </c>
      <c r="U333" s="127" t="s">
        <v>122</v>
      </c>
      <c r="V333" s="127" t="s">
        <v>1035</v>
      </c>
      <c r="W333" s="127" t="s">
        <v>23</v>
      </c>
      <c r="X333" s="127" t="s">
        <v>3997</v>
      </c>
      <c r="Y333" s="127" t="s">
        <v>4006</v>
      </c>
      <c r="Z333" s="123" t="s">
        <v>2825</v>
      </c>
      <c r="AA333" s="123">
        <v>70</v>
      </c>
      <c r="AB333" s="123">
        <v>1</v>
      </c>
      <c r="AC333" s="123">
        <v>63.735900000000001</v>
      </c>
      <c r="AD333" s="123">
        <v>148.89832000000001</v>
      </c>
      <c r="AE333" s="127" t="s">
        <v>115</v>
      </c>
      <c r="AF333" s="127" t="s">
        <v>115</v>
      </c>
      <c r="AG333" s="127"/>
      <c r="AH333" s="123">
        <v>0</v>
      </c>
      <c r="AI333" s="123">
        <v>0</v>
      </c>
      <c r="AJ333" s="123">
        <v>0</v>
      </c>
      <c r="AK333" s="123">
        <v>0</v>
      </c>
      <c r="AL333" s="123">
        <v>33</v>
      </c>
      <c r="AN333" s="123">
        <f t="shared" si="5"/>
        <v>33</v>
      </c>
      <c r="AO333" s="123" t="s">
        <v>188</v>
      </c>
      <c r="AP333" s="123" t="s">
        <v>4819</v>
      </c>
    </row>
    <row r="334" spans="1:44" x14ac:dyDescent="0.2">
      <c r="A334" s="123" t="s">
        <v>3141</v>
      </c>
      <c r="B334" s="123" t="s">
        <v>3142</v>
      </c>
      <c r="C334" s="123">
        <v>2</v>
      </c>
      <c r="D334" s="123">
        <v>1</v>
      </c>
      <c r="E334" s="123" t="s">
        <v>2462</v>
      </c>
      <c r="F334" s="125">
        <v>43571</v>
      </c>
      <c r="G334" s="125" t="s">
        <v>4027</v>
      </c>
      <c r="H334" s="125" t="s">
        <v>4752</v>
      </c>
      <c r="I334" s="171">
        <v>2.6388888888888889E-2</v>
      </c>
      <c r="J334" s="173">
        <v>4.3981481481481481E-4</v>
      </c>
      <c r="K334" s="129">
        <v>38</v>
      </c>
      <c r="L334" s="123" t="s">
        <v>1278</v>
      </c>
      <c r="M334" s="123" t="s">
        <v>64</v>
      </c>
      <c r="N334" s="123" t="s">
        <v>102</v>
      </c>
      <c r="O334" s="123" t="s">
        <v>23</v>
      </c>
      <c r="P334" s="123">
        <v>0</v>
      </c>
      <c r="Q334" s="123">
        <v>0</v>
      </c>
      <c r="R334" s="123">
        <v>0</v>
      </c>
      <c r="T334" s="127" t="s">
        <v>115</v>
      </c>
      <c r="U334" s="127" t="s">
        <v>115</v>
      </c>
      <c r="V334" s="127" t="s">
        <v>115</v>
      </c>
      <c r="W334" s="127"/>
      <c r="X334" s="127"/>
      <c r="Y334" s="127"/>
      <c r="Z334" s="127" t="s">
        <v>115</v>
      </c>
      <c r="AA334" s="127" t="s">
        <v>115</v>
      </c>
      <c r="AB334" s="127" t="s">
        <v>115</v>
      </c>
      <c r="AC334" s="127" t="s">
        <v>115</v>
      </c>
      <c r="AD334" s="127" t="s">
        <v>115</v>
      </c>
      <c r="AE334" s="127" t="s">
        <v>115</v>
      </c>
      <c r="AF334" s="127" t="s">
        <v>115</v>
      </c>
      <c r="AG334" s="127"/>
      <c r="AH334" s="123">
        <v>26</v>
      </c>
      <c r="AI334" s="123">
        <v>12</v>
      </c>
      <c r="AJ334" s="123">
        <v>26</v>
      </c>
      <c r="AK334" s="123">
        <v>12</v>
      </c>
      <c r="AL334" s="123">
        <v>0</v>
      </c>
      <c r="AN334" s="123">
        <f t="shared" si="5"/>
        <v>38</v>
      </c>
      <c r="AO334" s="123" t="s">
        <v>188</v>
      </c>
    </row>
    <row r="335" spans="1:44" x14ac:dyDescent="0.2">
      <c r="A335" s="123" t="s">
        <v>3245</v>
      </c>
      <c r="B335" s="123" t="s">
        <v>3246</v>
      </c>
      <c r="C335" s="123">
        <v>1</v>
      </c>
      <c r="D335" s="123">
        <v>2</v>
      </c>
      <c r="E335" s="123" t="s">
        <v>2462</v>
      </c>
      <c r="F335" s="125">
        <v>43573</v>
      </c>
      <c r="G335" s="125" t="s">
        <v>4027</v>
      </c>
      <c r="H335" s="125" t="s">
        <v>4752</v>
      </c>
      <c r="I335" s="171">
        <v>9.7222222222222224E-2</v>
      </c>
      <c r="J335" s="173">
        <v>1.6203703703703703E-3</v>
      </c>
      <c r="K335" s="129">
        <v>140</v>
      </c>
      <c r="L335" s="123" t="s">
        <v>398</v>
      </c>
      <c r="M335" s="123" t="s">
        <v>64</v>
      </c>
      <c r="N335" s="123" t="s">
        <v>102</v>
      </c>
      <c r="O335" s="123" t="s">
        <v>23</v>
      </c>
      <c r="P335" s="123">
        <v>1</v>
      </c>
      <c r="Q335" s="123">
        <v>1</v>
      </c>
      <c r="R335" s="123">
        <v>1</v>
      </c>
      <c r="S335" s="123" t="s">
        <v>176</v>
      </c>
      <c r="T335" s="127" t="s">
        <v>3247</v>
      </c>
      <c r="U335" s="127" t="s">
        <v>2061</v>
      </c>
      <c r="V335" s="127" t="s">
        <v>1035</v>
      </c>
      <c r="W335" s="127" t="s">
        <v>23</v>
      </c>
      <c r="X335" s="127" t="s">
        <v>3997</v>
      </c>
      <c r="Y335" s="127" t="s">
        <v>4006</v>
      </c>
      <c r="Z335" s="127" t="s">
        <v>2825</v>
      </c>
      <c r="AA335" s="123">
        <v>70</v>
      </c>
      <c r="AB335" s="127" t="s">
        <v>3026</v>
      </c>
      <c r="AC335" s="123">
        <v>63.735770000000002</v>
      </c>
      <c r="AD335" s="123">
        <v>148.89865</v>
      </c>
      <c r="AE335" s="123">
        <v>63.735770000000002</v>
      </c>
      <c r="AF335" s="123">
        <v>148.89854</v>
      </c>
      <c r="AG335" s="127" t="s">
        <v>115</v>
      </c>
      <c r="AH335" s="123">
        <v>0</v>
      </c>
      <c r="AI335" s="123">
        <v>10</v>
      </c>
      <c r="AJ335" s="123">
        <v>10</v>
      </c>
      <c r="AK335" s="123">
        <v>0</v>
      </c>
      <c r="AL335" s="123">
        <v>0</v>
      </c>
      <c r="AN335" s="123">
        <f t="shared" si="5"/>
        <v>10</v>
      </c>
      <c r="AO335" s="123" t="s">
        <v>188</v>
      </c>
      <c r="AP335" s="123" t="s">
        <v>3248</v>
      </c>
    </row>
    <row r="336" spans="1:44" x14ac:dyDescent="0.2">
      <c r="A336" s="123" t="s">
        <v>3245</v>
      </c>
      <c r="B336" s="123" t="s">
        <v>3246</v>
      </c>
      <c r="C336" s="123">
        <v>1</v>
      </c>
      <c r="D336" s="123">
        <v>3</v>
      </c>
      <c r="E336" s="123" t="s">
        <v>2462</v>
      </c>
      <c r="F336" s="125">
        <v>43573</v>
      </c>
      <c r="G336" s="125" t="s">
        <v>4027</v>
      </c>
      <c r="H336" s="125" t="s">
        <v>4752</v>
      </c>
      <c r="I336" s="171">
        <v>9.7222222222222224E-2</v>
      </c>
      <c r="J336" s="173">
        <v>1.6203703703703703E-3</v>
      </c>
      <c r="K336" s="129">
        <v>140</v>
      </c>
      <c r="L336" s="123" t="s">
        <v>398</v>
      </c>
      <c r="M336" s="123" t="s">
        <v>64</v>
      </c>
      <c r="N336" s="123" t="s">
        <v>102</v>
      </c>
      <c r="O336" s="123" t="s">
        <v>23</v>
      </c>
      <c r="P336" s="123">
        <v>1</v>
      </c>
      <c r="Q336" s="123">
        <v>1</v>
      </c>
      <c r="R336" s="123">
        <v>0</v>
      </c>
      <c r="S336" s="123" t="s">
        <v>176</v>
      </c>
      <c r="T336" s="127" t="s">
        <v>3247</v>
      </c>
      <c r="U336" s="127" t="s">
        <v>2061</v>
      </c>
      <c r="V336" s="127" t="s">
        <v>115</v>
      </c>
      <c r="W336" s="127"/>
      <c r="X336" s="127"/>
      <c r="Y336" s="127"/>
      <c r="Z336" s="127" t="s">
        <v>115</v>
      </c>
      <c r="AA336" s="127" t="s">
        <v>115</v>
      </c>
      <c r="AB336" s="127" t="s">
        <v>115</v>
      </c>
      <c r="AC336" s="127" t="s">
        <v>115</v>
      </c>
      <c r="AD336" s="127" t="s">
        <v>115</v>
      </c>
      <c r="AE336" s="123">
        <v>63.735770000000002</v>
      </c>
      <c r="AF336" s="123">
        <v>148.89865</v>
      </c>
      <c r="AG336" s="127" t="s">
        <v>115</v>
      </c>
      <c r="AH336" s="123">
        <v>0</v>
      </c>
      <c r="AI336" s="123">
        <v>0</v>
      </c>
      <c r="AJ336" s="123">
        <v>0</v>
      </c>
      <c r="AK336" s="123">
        <v>0</v>
      </c>
      <c r="AL336" s="123">
        <v>10</v>
      </c>
      <c r="AN336" s="123">
        <f t="shared" si="5"/>
        <v>10</v>
      </c>
      <c r="AO336" s="123" t="s">
        <v>188</v>
      </c>
      <c r="AP336" s="123" t="s">
        <v>3249</v>
      </c>
    </row>
    <row r="337" spans="1:42" x14ac:dyDescent="0.2">
      <c r="A337" s="123" t="s">
        <v>3255</v>
      </c>
      <c r="B337" s="123" t="s">
        <v>3256</v>
      </c>
      <c r="C337" s="123">
        <v>4</v>
      </c>
      <c r="D337" s="123">
        <v>1</v>
      </c>
      <c r="E337" s="123" t="s">
        <v>2462</v>
      </c>
      <c r="F337" s="125">
        <v>43573</v>
      </c>
      <c r="G337" s="125" t="s">
        <v>4027</v>
      </c>
      <c r="H337" s="125" t="s">
        <v>4752</v>
      </c>
      <c r="I337" s="171">
        <v>2.2916666666666669E-2</v>
      </c>
      <c r="J337" s="173">
        <v>3.8194444444444446E-4</v>
      </c>
      <c r="K337" s="129">
        <v>33</v>
      </c>
      <c r="L337" s="123" t="s">
        <v>398</v>
      </c>
      <c r="M337" s="123" t="s">
        <v>64</v>
      </c>
      <c r="N337" s="123" t="s">
        <v>102</v>
      </c>
      <c r="O337" s="123" t="s">
        <v>3257</v>
      </c>
      <c r="P337" s="123">
        <v>1</v>
      </c>
      <c r="Q337" s="123" t="s">
        <v>24</v>
      </c>
      <c r="R337" s="123">
        <v>0</v>
      </c>
      <c r="S337" s="123" t="s">
        <v>176</v>
      </c>
      <c r="T337" s="127" t="s">
        <v>24</v>
      </c>
      <c r="U337" s="127" t="s">
        <v>3258</v>
      </c>
      <c r="V337" s="127" t="s">
        <v>115</v>
      </c>
      <c r="W337" s="127"/>
      <c r="X337" s="127"/>
      <c r="Y337" s="127"/>
      <c r="Z337" s="127" t="s">
        <v>115</v>
      </c>
      <c r="AA337" s="127" t="s">
        <v>115</v>
      </c>
      <c r="AB337" s="127" t="s">
        <v>115</v>
      </c>
      <c r="AC337" s="127" t="s">
        <v>115</v>
      </c>
      <c r="AD337" s="127" t="s">
        <v>115</v>
      </c>
      <c r="AE337" s="127" t="s">
        <v>115</v>
      </c>
      <c r="AF337" s="127" t="s">
        <v>115</v>
      </c>
      <c r="AG337" s="127" t="s">
        <v>115</v>
      </c>
      <c r="AH337" s="123">
        <v>0</v>
      </c>
      <c r="AI337" s="123">
        <v>0</v>
      </c>
      <c r="AJ337" s="123">
        <v>0</v>
      </c>
      <c r="AK337" s="123">
        <v>0</v>
      </c>
      <c r="AL337" s="123">
        <v>2</v>
      </c>
      <c r="AN337" s="123">
        <f t="shared" si="5"/>
        <v>2</v>
      </c>
      <c r="AP337" s="123" t="s">
        <v>3259</v>
      </c>
    </row>
    <row r="338" spans="1:42" x14ac:dyDescent="0.2">
      <c r="A338" s="123" t="s">
        <v>3245</v>
      </c>
      <c r="B338" s="123" t="s">
        <v>3246</v>
      </c>
      <c r="C338" s="123">
        <v>1</v>
      </c>
      <c r="D338" s="123">
        <v>1</v>
      </c>
      <c r="E338" s="123" t="s">
        <v>2462</v>
      </c>
      <c r="F338" s="125">
        <v>43573</v>
      </c>
      <c r="G338" s="125" t="s">
        <v>4027</v>
      </c>
      <c r="H338" s="125" t="s">
        <v>4752</v>
      </c>
      <c r="I338" s="171">
        <v>9.7222222222222224E-2</v>
      </c>
      <c r="J338" s="173">
        <v>1.6203703703703703E-3</v>
      </c>
      <c r="K338" s="129">
        <v>140</v>
      </c>
      <c r="L338" s="123" t="s">
        <v>398</v>
      </c>
      <c r="M338" s="123" t="s">
        <v>64</v>
      </c>
      <c r="N338" s="123" t="s">
        <v>102</v>
      </c>
      <c r="O338" s="123" t="s">
        <v>115</v>
      </c>
      <c r="P338" s="123">
        <v>1</v>
      </c>
      <c r="R338" s="123">
        <v>1</v>
      </c>
      <c r="S338" s="123" t="s">
        <v>14</v>
      </c>
      <c r="T338" s="127" t="s">
        <v>3250</v>
      </c>
      <c r="U338" s="127" t="s">
        <v>122</v>
      </c>
      <c r="V338" s="127" t="s">
        <v>1035</v>
      </c>
      <c r="W338" s="127" t="s">
        <v>23</v>
      </c>
      <c r="X338" s="127" t="s">
        <v>3997</v>
      </c>
      <c r="Y338" s="127" t="s">
        <v>4006</v>
      </c>
      <c r="Z338" s="127" t="s">
        <v>2850</v>
      </c>
      <c r="AA338" s="123">
        <v>120</v>
      </c>
      <c r="AB338" s="123">
        <v>2</v>
      </c>
      <c r="AC338" s="123">
        <v>63.735770000000002</v>
      </c>
      <c r="AD338" s="123">
        <v>148.89854</v>
      </c>
      <c r="AE338" s="127" t="s">
        <v>115</v>
      </c>
      <c r="AF338" s="127" t="s">
        <v>115</v>
      </c>
      <c r="AG338" s="127" t="s">
        <v>115</v>
      </c>
      <c r="AH338" s="123">
        <v>0</v>
      </c>
      <c r="AI338" s="123">
        <v>0</v>
      </c>
      <c r="AJ338" s="123">
        <v>0</v>
      </c>
      <c r="AK338" s="123">
        <v>0</v>
      </c>
      <c r="AL338" s="123">
        <v>10</v>
      </c>
      <c r="AN338" s="123">
        <f t="shared" si="5"/>
        <v>10</v>
      </c>
    </row>
    <row r="339" spans="1:42" x14ac:dyDescent="0.2">
      <c r="A339" s="123" t="s">
        <v>3482</v>
      </c>
      <c r="B339" s="123" t="s">
        <v>3483</v>
      </c>
      <c r="C339" s="123">
        <v>14</v>
      </c>
      <c r="D339" s="123">
        <v>1</v>
      </c>
      <c r="E339" s="123" t="s">
        <v>2462</v>
      </c>
      <c r="F339" s="125">
        <v>43579</v>
      </c>
      <c r="G339" s="125" t="s">
        <v>4027</v>
      </c>
      <c r="H339" s="125" t="s">
        <v>4752</v>
      </c>
      <c r="I339" s="171">
        <v>4.8611111111111112E-2</v>
      </c>
      <c r="J339" s="173">
        <v>8.1018518518518516E-4</v>
      </c>
      <c r="K339" s="129">
        <v>70</v>
      </c>
      <c r="L339" s="123" t="s">
        <v>101</v>
      </c>
      <c r="M339" s="123" t="s">
        <v>64</v>
      </c>
      <c r="N339" s="123" t="s">
        <v>102</v>
      </c>
      <c r="O339" s="123" t="s">
        <v>115</v>
      </c>
      <c r="P339" s="123">
        <v>1</v>
      </c>
      <c r="Q339" s="123">
        <v>0</v>
      </c>
      <c r="R339" s="123">
        <v>0</v>
      </c>
      <c r="S339" s="123" t="s">
        <v>176</v>
      </c>
      <c r="T339" s="127" t="s">
        <v>24</v>
      </c>
      <c r="U339" s="127" t="s">
        <v>122</v>
      </c>
      <c r="V339" s="127" t="s">
        <v>115</v>
      </c>
      <c r="W339" s="127"/>
      <c r="X339" s="127"/>
      <c r="Y339" s="127"/>
      <c r="Z339" s="127" t="s">
        <v>115</v>
      </c>
      <c r="AA339" s="127" t="s">
        <v>115</v>
      </c>
      <c r="AB339" s="127" t="s">
        <v>115</v>
      </c>
      <c r="AC339" s="127" t="s">
        <v>115</v>
      </c>
      <c r="AD339" s="127" t="s">
        <v>115</v>
      </c>
      <c r="AE339" s="127" t="s">
        <v>115</v>
      </c>
      <c r="AF339" s="127" t="s">
        <v>115</v>
      </c>
      <c r="AG339" s="127" t="s">
        <v>115</v>
      </c>
      <c r="AH339" s="123">
        <v>0</v>
      </c>
      <c r="AI339" s="123">
        <v>0</v>
      </c>
      <c r="AJ339" s="123">
        <v>0</v>
      </c>
      <c r="AK339" s="123">
        <v>0</v>
      </c>
      <c r="AL339" s="123">
        <v>61</v>
      </c>
      <c r="AN339" s="123">
        <f t="shared" si="5"/>
        <v>61</v>
      </c>
      <c r="AO339" s="123" t="s">
        <v>188</v>
      </c>
    </row>
    <row r="340" spans="1:42" x14ac:dyDescent="0.2">
      <c r="A340" s="123" t="s">
        <v>3484</v>
      </c>
      <c r="B340" s="123" t="s">
        <v>3485</v>
      </c>
      <c r="C340" s="123">
        <v>15</v>
      </c>
      <c r="D340" s="123">
        <v>1</v>
      </c>
      <c r="E340" s="123" t="s">
        <v>2462</v>
      </c>
      <c r="F340" s="125">
        <v>43579</v>
      </c>
      <c r="G340" s="125" t="s">
        <v>4027</v>
      </c>
      <c r="H340" s="125" t="s">
        <v>4752</v>
      </c>
      <c r="I340" s="171">
        <v>2.4999999999999998E-2</v>
      </c>
      <c r="J340" s="173">
        <v>4.1666666666666669E-4</v>
      </c>
      <c r="K340" s="129">
        <v>36</v>
      </c>
      <c r="L340" s="123" t="s">
        <v>101</v>
      </c>
      <c r="M340" s="123" t="s">
        <v>64</v>
      </c>
      <c r="N340" s="123" t="s">
        <v>102</v>
      </c>
      <c r="O340" s="123" t="s">
        <v>115</v>
      </c>
      <c r="P340" s="123">
        <v>1</v>
      </c>
      <c r="Q340" s="123">
        <v>0</v>
      </c>
      <c r="R340" s="123">
        <v>0</v>
      </c>
      <c r="S340" s="123" t="s">
        <v>176</v>
      </c>
      <c r="T340" s="127" t="s">
        <v>24</v>
      </c>
      <c r="U340" s="127" t="s">
        <v>122</v>
      </c>
      <c r="V340" s="127" t="s">
        <v>115</v>
      </c>
      <c r="W340" s="127"/>
      <c r="X340" s="127"/>
      <c r="Y340" s="127"/>
      <c r="Z340" s="127" t="s">
        <v>115</v>
      </c>
      <c r="AA340" s="127" t="s">
        <v>115</v>
      </c>
      <c r="AB340" s="127" t="s">
        <v>115</v>
      </c>
      <c r="AC340" s="127" t="s">
        <v>115</v>
      </c>
      <c r="AD340" s="127" t="s">
        <v>115</v>
      </c>
      <c r="AE340" s="127" t="s">
        <v>115</v>
      </c>
      <c r="AF340" s="127" t="s">
        <v>115</v>
      </c>
      <c r="AG340" s="127" t="s">
        <v>115</v>
      </c>
      <c r="AH340" s="123">
        <v>0</v>
      </c>
      <c r="AI340" s="123">
        <v>0</v>
      </c>
      <c r="AJ340" s="123">
        <v>0</v>
      </c>
      <c r="AK340" s="123">
        <v>0</v>
      </c>
      <c r="AL340" s="123">
        <v>36</v>
      </c>
      <c r="AN340" s="123">
        <f t="shared" si="5"/>
        <v>36</v>
      </c>
      <c r="AO340" s="123" t="s">
        <v>188</v>
      </c>
    </row>
    <row r="341" spans="1:42" x14ac:dyDescent="0.2">
      <c r="A341" s="123" t="s">
        <v>3465</v>
      </c>
      <c r="B341" s="123" t="s">
        <v>3466</v>
      </c>
      <c r="C341" s="123">
        <v>6</v>
      </c>
      <c r="D341" s="123">
        <v>1</v>
      </c>
      <c r="E341" s="123" t="s">
        <v>2462</v>
      </c>
      <c r="F341" s="125">
        <v>43579</v>
      </c>
      <c r="G341" s="125" t="s">
        <v>4027</v>
      </c>
      <c r="H341" s="125" t="s">
        <v>4752</v>
      </c>
      <c r="I341" s="171">
        <v>2.1527777777777781E-2</v>
      </c>
      <c r="J341" s="173">
        <v>3.5879629629629635E-4</v>
      </c>
      <c r="K341" s="129">
        <v>31</v>
      </c>
      <c r="L341" s="123" t="s">
        <v>101</v>
      </c>
      <c r="M341" s="123" t="s">
        <v>64</v>
      </c>
      <c r="N341" s="123" t="s">
        <v>102</v>
      </c>
      <c r="O341" s="123" t="s">
        <v>115</v>
      </c>
      <c r="P341" s="123">
        <v>1</v>
      </c>
      <c r="Q341" s="123">
        <v>0</v>
      </c>
      <c r="R341" s="123">
        <v>0</v>
      </c>
      <c r="S341" s="123" t="s">
        <v>176</v>
      </c>
      <c r="T341" s="127" t="s">
        <v>24</v>
      </c>
      <c r="U341" s="127" t="s">
        <v>122</v>
      </c>
      <c r="V341" s="127" t="s">
        <v>115</v>
      </c>
      <c r="W341" s="127"/>
      <c r="X341" s="127"/>
      <c r="Y341" s="127"/>
      <c r="Z341" s="127" t="s">
        <v>115</v>
      </c>
      <c r="AA341" s="127" t="s">
        <v>115</v>
      </c>
      <c r="AB341" s="127" t="s">
        <v>115</v>
      </c>
      <c r="AC341" s="127" t="s">
        <v>115</v>
      </c>
      <c r="AD341" s="127" t="s">
        <v>115</v>
      </c>
      <c r="AE341" s="127" t="s">
        <v>115</v>
      </c>
      <c r="AF341" s="127" t="s">
        <v>115</v>
      </c>
      <c r="AG341" s="127" t="s">
        <v>115</v>
      </c>
      <c r="AH341" s="123">
        <v>0</v>
      </c>
      <c r="AI341" s="123">
        <v>0</v>
      </c>
      <c r="AJ341" s="123">
        <v>0</v>
      </c>
      <c r="AK341" s="123">
        <v>0</v>
      </c>
      <c r="AL341" s="123">
        <v>31</v>
      </c>
      <c r="AN341" s="123">
        <f t="shared" si="5"/>
        <v>31</v>
      </c>
      <c r="AO341" s="123" t="s">
        <v>188</v>
      </c>
    </row>
    <row r="342" spans="1:42" x14ac:dyDescent="0.2">
      <c r="A342" s="123" t="s">
        <v>3460</v>
      </c>
      <c r="B342" s="123" t="s">
        <v>3461</v>
      </c>
      <c r="C342" s="123">
        <v>4</v>
      </c>
      <c r="D342" s="123">
        <v>1</v>
      </c>
      <c r="E342" s="123" t="s">
        <v>2462</v>
      </c>
      <c r="F342" s="125">
        <v>43579</v>
      </c>
      <c r="G342" s="125" t="s">
        <v>4027</v>
      </c>
      <c r="H342" s="125" t="s">
        <v>4752</v>
      </c>
      <c r="I342" s="171">
        <v>4.9999999999999996E-2</v>
      </c>
      <c r="J342" s="173">
        <v>8.3333333333333339E-4</v>
      </c>
      <c r="K342" s="129">
        <v>72</v>
      </c>
      <c r="L342" s="123" t="s">
        <v>101</v>
      </c>
      <c r="M342" s="123" t="s">
        <v>64</v>
      </c>
      <c r="N342" s="123" t="s">
        <v>102</v>
      </c>
      <c r="O342" s="123" t="s">
        <v>115</v>
      </c>
      <c r="P342" s="123">
        <v>0</v>
      </c>
      <c r="Q342" s="123">
        <v>0</v>
      </c>
      <c r="R342" s="123">
        <v>0</v>
      </c>
      <c r="T342" s="127" t="s">
        <v>115</v>
      </c>
      <c r="U342" s="127" t="s">
        <v>115</v>
      </c>
      <c r="V342" s="127" t="s">
        <v>115</v>
      </c>
      <c r="W342" s="127"/>
      <c r="X342" s="127"/>
      <c r="Y342" s="127"/>
      <c r="Z342" s="127" t="s">
        <v>115</v>
      </c>
      <c r="AA342" s="127" t="s">
        <v>115</v>
      </c>
      <c r="AB342" s="127" t="s">
        <v>115</v>
      </c>
      <c r="AC342" s="127" t="s">
        <v>115</v>
      </c>
      <c r="AD342" s="127" t="s">
        <v>115</v>
      </c>
      <c r="AE342" s="127" t="s">
        <v>115</v>
      </c>
      <c r="AF342" s="127" t="s">
        <v>115</v>
      </c>
      <c r="AG342" s="127" t="s">
        <v>115</v>
      </c>
      <c r="AH342" s="123">
        <v>0</v>
      </c>
      <c r="AI342" s="123">
        <v>0</v>
      </c>
      <c r="AJ342" s="123">
        <v>0</v>
      </c>
      <c r="AK342" s="123">
        <v>0</v>
      </c>
      <c r="AL342" s="123">
        <v>56</v>
      </c>
      <c r="AN342" s="123">
        <f t="shared" si="5"/>
        <v>56</v>
      </c>
      <c r="AO342" s="123" t="s">
        <v>188</v>
      </c>
    </row>
    <row r="343" spans="1:42" x14ac:dyDescent="0.2">
      <c r="A343" s="123" t="s">
        <v>3462</v>
      </c>
      <c r="B343" s="123" t="s">
        <v>3463</v>
      </c>
      <c r="C343" s="123">
        <v>5</v>
      </c>
      <c r="D343" s="123">
        <v>1</v>
      </c>
      <c r="E343" s="123" t="s">
        <v>2462</v>
      </c>
      <c r="F343" s="125">
        <v>43579</v>
      </c>
      <c r="G343" s="125" t="s">
        <v>4027</v>
      </c>
      <c r="H343" s="125" t="s">
        <v>4752</v>
      </c>
      <c r="I343" s="171">
        <v>7.4305555555555555E-2</v>
      </c>
      <c r="J343" s="173">
        <v>1.2384259259259258E-3</v>
      </c>
      <c r="K343" s="129">
        <v>107</v>
      </c>
      <c r="L343" s="123" t="s">
        <v>101</v>
      </c>
      <c r="M343" s="123" t="s">
        <v>64</v>
      </c>
      <c r="N343" s="123" t="s">
        <v>102</v>
      </c>
      <c r="O343" s="123" t="s">
        <v>115</v>
      </c>
      <c r="P343" s="123">
        <v>0</v>
      </c>
      <c r="Q343" s="123">
        <v>0</v>
      </c>
      <c r="R343" s="123">
        <v>0</v>
      </c>
      <c r="T343" s="127" t="s">
        <v>115</v>
      </c>
      <c r="U343" s="127" t="s">
        <v>115</v>
      </c>
      <c r="V343" s="127" t="s">
        <v>115</v>
      </c>
      <c r="W343" s="127"/>
      <c r="X343" s="127"/>
      <c r="Y343" s="127"/>
      <c r="Z343" s="127" t="s">
        <v>115</v>
      </c>
      <c r="AA343" s="127" t="s">
        <v>115</v>
      </c>
      <c r="AB343" s="127" t="s">
        <v>115</v>
      </c>
      <c r="AC343" s="127" t="s">
        <v>115</v>
      </c>
      <c r="AD343" s="127" t="s">
        <v>115</v>
      </c>
      <c r="AE343" s="127" t="s">
        <v>115</v>
      </c>
      <c r="AF343" s="127" t="s">
        <v>115</v>
      </c>
      <c r="AG343" s="127" t="s">
        <v>115</v>
      </c>
      <c r="AH343" s="123">
        <v>20</v>
      </c>
      <c r="AI343" s="123">
        <v>0</v>
      </c>
      <c r="AJ343" s="123">
        <v>10</v>
      </c>
      <c r="AK343" s="123">
        <v>10</v>
      </c>
      <c r="AL343" s="123">
        <v>0</v>
      </c>
      <c r="AN343" s="123">
        <f t="shared" si="5"/>
        <v>20</v>
      </c>
      <c r="AO343" s="123" t="s">
        <v>188</v>
      </c>
      <c r="AP343" s="123" t="s">
        <v>3464</v>
      </c>
    </row>
    <row r="344" spans="1:42" x14ac:dyDescent="0.2">
      <c r="A344" s="123" t="s">
        <v>2830</v>
      </c>
      <c r="B344" s="123" t="s">
        <v>2831</v>
      </c>
      <c r="C344" s="123">
        <v>2</v>
      </c>
      <c r="D344" s="123">
        <v>1</v>
      </c>
      <c r="E344" s="123" t="s">
        <v>2781</v>
      </c>
      <c r="F344" s="125">
        <v>43556</v>
      </c>
      <c r="G344" s="125" t="s">
        <v>4027</v>
      </c>
      <c r="H344" s="125" t="s">
        <v>4752</v>
      </c>
      <c r="I344" s="171">
        <v>8.3333333333333332E-3</v>
      </c>
      <c r="J344" s="173">
        <v>1.3888888888888889E-4</v>
      </c>
      <c r="K344" s="129">
        <v>12</v>
      </c>
      <c r="M344" s="123" t="s">
        <v>64</v>
      </c>
      <c r="N344" s="123" t="s">
        <v>102</v>
      </c>
      <c r="O344" s="123" t="s">
        <v>115</v>
      </c>
      <c r="P344" s="123" t="s">
        <v>24</v>
      </c>
      <c r="Q344" s="123">
        <v>0</v>
      </c>
      <c r="R344" s="123">
        <v>0</v>
      </c>
      <c r="T344" s="127" t="s">
        <v>115</v>
      </c>
      <c r="U344" s="127" t="s">
        <v>115</v>
      </c>
      <c r="V344" s="127" t="s">
        <v>115</v>
      </c>
      <c r="W344" s="127"/>
      <c r="X344" s="127"/>
      <c r="Y344" s="127"/>
      <c r="Z344" s="127" t="s">
        <v>115</v>
      </c>
      <c r="AA344" s="127" t="s">
        <v>115</v>
      </c>
      <c r="AB344" s="127" t="s">
        <v>115</v>
      </c>
      <c r="AC344" s="127" t="s">
        <v>115</v>
      </c>
      <c r="AD344" s="127" t="s">
        <v>115</v>
      </c>
      <c r="AE344" s="127" t="s">
        <v>115</v>
      </c>
      <c r="AF344" s="127" t="s">
        <v>115</v>
      </c>
      <c r="AG344" s="127"/>
      <c r="AH344" s="123">
        <v>0</v>
      </c>
      <c r="AI344" s="123">
        <v>0</v>
      </c>
      <c r="AJ344" s="123">
        <v>0</v>
      </c>
      <c r="AK344" s="123">
        <v>0</v>
      </c>
      <c r="AL344" s="123">
        <v>10</v>
      </c>
      <c r="AN344" s="123">
        <f t="shared" si="5"/>
        <v>10</v>
      </c>
      <c r="AO344" s="123" t="s">
        <v>188</v>
      </c>
    </row>
    <row r="345" spans="1:42" x14ac:dyDescent="0.2">
      <c r="A345" s="123" t="s">
        <v>2832</v>
      </c>
      <c r="B345" s="123" t="s">
        <v>2833</v>
      </c>
      <c r="C345" s="123">
        <v>3</v>
      </c>
      <c r="D345" s="123">
        <v>1</v>
      </c>
      <c r="E345" s="123" t="s">
        <v>2781</v>
      </c>
      <c r="F345" s="125">
        <v>43556</v>
      </c>
      <c r="G345" s="125" t="s">
        <v>4027</v>
      </c>
      <c r="H345" s="125" t="s">
        <v>4752</v>
      </c>
      <c r="I345" s="171">
        <v>1.1111111111111112E-2</v>
      </c>
      <c r="J345" s="173">
        <v>1.8518518518518518E-4</v>
      </c>
      <c r="K345" s="129">
        <v>16</v>
      </c>
      <c r="M345" s="123" t="s">
        <v>64</v>
      </c>
      <c r="N345" s="123" t="s">
        <v>102</v>
      </c>
      <c r="O345" s="123" t="s">
        <v>115</v>
      </c>
      <c r="P345" s="123" t="s">
        <v>24</v>
      </c>
      <c r="Q345" s="123">
        <v>0</v>
      </c>
      <c r="R345" s="123">
        <v>0</v>
      </c>
      <c r="T345" s="127" t="s">
        <v>115</v>
      </c>
      <c r="U345" s="127" t="s">
        <v>115</v>
      </c>
      <c r="V345" s="127" t="s">
        <v>115</v>
      </c>
      <c r="W345" s="127"/>
      <c r="X345" s="127"/>
      <c r="Y345" s="127"/>
      <c r="Z345" s="127" t="s">
        <v>115</v>
      </c>
      <c r="AA345" s="127" t="s">
        <v>115</v>
      </c>
      <c r="AB345" s="127" t="s">
        <v>115</v>
      </c>
      <c r="AC345" s="127" t="s">
        <v>115</v>
      </c>
      <c r="AD345" s="127" t="s">
        <v>115</v>
      </c>
      <c r="AE345" s="127" t="s">
        <v>115</v>
      </c>
      <c r="AF345" s="127" t="s">
        <v>115</v>
      </c>
      <c r="AG345" s="127"/>
      <c r="AH345" s="123">
        <v>0</v>
      </c>
      <c r="AI345" s="123">
        <v>0</v>
      </c>
      <c r="AJ345" s="123">
        <v>0</v>
      </c>
      <c r="AK345" s="123">
        <v>0</v>
      </c>
      <c r="AL345" s="123">
        <v>16</v>
      </c>
      <c r="AN345" s="123">
        <f t="shared" si="5"/>
        <v>16</v>
      </c>
      <c r="AO345" s="123" t="s">
        <v>188</v>
      </c>
    </row>
    <row r="346" spans="1:42" x14ac:dyDescent="0.2">
      <c r="A346" s="123" t="s">
        <v>2924</v>
      </c>
      <c r="B346" s="123" t="s">
        <v>2925</v>
      </c>
      <c r="C346" s="123">
        <v>6</v>
      </c>
      <c r="D346" s="123">
        <v>1</v>
      </c>
      <c r="E346" s="123" t="s">
        <v>2462</v>
      </c>
      <c r="F346" s="125">
        <v>43559</v>
      </c>
      <c r="G346" s="125" t="s">
        <v>4027</v>
      </c>
      <c r="H346" s="125" t="s">
        <v>4752</v>
      </c>
      <c r="I346" s="171">
        <v>2.9861111111111113E-2</v>
      </c>
      <c r="J346" s="173">
        <v>4.9768518518518521E-4</v>
      </c>
      <c r="K346" s="129">
        <v>43</v>
      </c>
      <c r="M346" s="123" t="s">
        <v>64</v>
      </c>
      <c r="N346" s="123" t="s">
        <v>102</v>
      </c>
      <c r="O346" s="123" t="s">
        <v>115</v>
      </c>
      <c r="P346" s="123" t="s">
        <v>24</v>
      </c>
      <c r="Q346" s="123">
        <v>0</v>
      </c>
      <c r="R346" s="123">
        <v>0</v>
      </c>
      <c r="T346" s="127" t="s">
        <v>115</v>
      </c>
      <c r="U346" s="127" t="s">
        <v>115</v>
      </c>
      <c r="V346" s="127" t="s">
        <v>115</v>
      </c>
      <c r="W346" s="127"/>
      <c r="X346" s="127"/>
      <c r="Y346" s="127"/>
      <c r="Z346" s="127" t="s">
        <v>115</v>
      </c>
      <c r="AA346" s="127" t="s">
        <v>115</v>
      </c>
      <c r="AB346" s="127" t="s">
        <v>115</v>
      </c>
      <c r="AC346" s="127" t="s">
        <v>115</v>
      </c>
      <c r="AD346" s="127" t="s">
        <v>115</v>
      </c>
      <c r="AE346" s="127" t="s">
        <v>115</v>
      </c>
      <c r="AF346" s="127" t="s">
        <v>115</v>
      </c>
      <c r="AG346" s="127"/>
      <c r="AH346" s="123">
        <v>0</v>
      </c>
      <c r="AI346" s="123">
        <v>0</v>
      </c>
      <c r="AJ346" s="123">
        <v>0</v>
      </c>
      <c r="AK346" s="123">
        <v>0</v>
      </c>
      <c r="AL346" s="123">
        <v>38</v>
      </c>
      <c r="AN346" s="123">
        <f t="shared" si="5"/>
        <v>38</v>
      </c>
      <c r="AO346" s="123" t="s">
        <v>188</v>
      </c>
    </row>
    <row r="347" spans="1:42" x14ac:dyDescent="0.2">
      <c r="A347" s="123" t="s">
        <v>3506</v>
      </c>
      <c r="B347" s="123" t="s">
        <v>3507</v>
      </c>
      <c r="C347" s="123">
        <v>26</v>
      </c>
      <c r="D347" s="123">
        <v>1</v>
      </c>
      <c r="E347" s="123" t="s">
        <v>2462</v>
      </c>
      <c r="F347" s="125">
        <v>43579</v>
      </c>
      <c r="G347" s="125" t="s">
        <v>4027</v>
      </c>
      <c r="H347" s="125" t="s">
        <v>4752</v>
      </c>
      <c r="I347" s="171">
        <v>1.1111111111111112E-2</v>
      </c>
      <c r="J347" s="173">
        <v>1.8518518518518518E-4</v>
      </c>
      <c r="K347" s="129">
        <v>16</v>
      </c>
      <c r="L347" s="123" t="s">
        <v>101</v>
      </c>
      <c r="M347" s="123" t="s">
        <v>64</v>
      </c>
      <c r="N347" s="123" t="s">
        <v>102</v>
      </c>
      <c r="O347" s="123" t="s">
        <v>115</v>
      </c>
      <c r="P347" s="123" t="s">
        <v>24</v>
      </c>
      <c r="Q347" s="123">
        <v>0</v>
      </c>
      <c r="R347" s="123">
        <v>0</v>
      </c>
      <c r="T347" s="127" t="s">
        <v>115</v>
      </c>
      <c r="U347" s="127" t="s">
        <v>115</v>
      </c>
      <c r="V347" s="127" t="s">
        <v>115</v>
      </c>
      <c r="W347" s="127"/>
      <c r="X347" s="127"/>
      <c r="Y347" s="127"/>
      <c r="Z347" s="127" t="s">
        <v>115</v>
      </c>
      <c r="AA347" s="127" t="s">
        <v>115</v>
      </c>
      <c r="AB347" s="127" t="s">
        <v>115</v>
      </c>
      <c r="AC347" s="127" t="s">
        <v>115</v>
      </c>
      <c r="AD347" s="127" t="s">
        <v>115</v>
      </c>
      <c r="AE347" s="127" t="s">
        <v>115</v>
      </c>
      <c r="AF347" s="127" t="s">
        <v>115</v>
      </c>
      <c r="AG347" s="127" t="s">
        <v>115</v>
      </c>
      <c r="AH347" s="123">
        <v>0</v>
      </c>
      <c r="AI347" s="123">
        <v>0</v>
      </c>
      <c r="AJ347" s="123">
        <v>0</v>
      </c>
      <c r="AK347" s="123">
        <v>0</v>
      </c>
      <c r="AL347" s="123">
        <v>16</v>
      </c>
      <c r="AN347" s="123">
        <f t="shared" si="5"/>
        <v>16</v>
      </c>
      <c r="AO347" s="123" t="s">
        <v>188</v>
      </c>
    </row>
    <row r="348" spans="1:42" x14ac:dyDescent="0.2">
      <c r="A348" s="123" t="s">
        <v>3508</v>
      </c>
      <c r="B348" s="123" t="s">
        <v>3509</v>
      </c>
      <c r="C348" s="123">
        <v>27</v>
      </c>
      <c r="D348" s="123">
        <v>1</v>
      </c>
      <c r="E348" s="123" t="s">
        <v>2462</v>
      </c>
      <c r="F348" s="125">
        <v>43579</v>
      </c>
      <c r="G348" s="125" t="s">
        <v>4027</v>
      </c>
      <c r="H348" s="125" t="s">
        <v>4752</v>
      </c>
      <c r="I348" s="171">
        <v>2.0833333333333332E-2</v>
      </c>
      <c r="J348" s="173">
        <v>3.4722222222222224E-4</v>
      </c>
      <c r="K348" s="129">
        <v>30</v>
      </c>
      <c r="L348" s="123" t="s">
        <v>101</v>
      </c>
      <c r="M348" s="123" t="s">
        <v>64</v>
      </c>
      <c r="N348" s="123" t="s">
        <v>102</v>
      </c>
      <c r="O348" s="123" t="s">
        <v>23</v>
      </c>
      <c r="P348" s="123" t="s">
        <v>24</v>
      </c>
      <c r="Q348" s="123" t="s">
        <v>24</v>
      </c>
      <c r="R348" s="123">
        <v>0</v>
      </c>
      <c r="T348" s="127" t="s">
        <v>115</v>
      </c>
      <c r="U348" s="127" t="s">
        <v>115</v>
      </c>
      <c r="V348" s="127" t="s">
        <v>115</v>
      </c>
      <c r="W348" s="127"/>
      <c r="X348" s="127"/>
      <c r="Y348" s="127"/>
      <c r="Z348" s="127" t="s">
        <v>115</v>
      </c>
      <c r="AA348" s="127" t="s">
        <v>115</v>
      </c>
      <c r="AB348" s="127" t="s">
        <v>115</v>
      </c>
      <c r="AC348" s="127" t="s">
        <v>115</v>
      </c>
      <c r="AD348" s="127" t="s">
        <v>115</v>
      </c>
      <c r="AE348" s="127" t="s">
        <v>115</v>
      </c>
      <c r="AF348" s="127" t="s">
        <v>115</v>
      </c>
      <c r="AG348" s="127" t="s">
        <v>115</v>
      </c>
      <c r="AH348" s="123">
        <v>30</v>
      </c>
      <c r="AI348" s="123">
        <v>0</v>
      </c>
      <c r="AJ348" s="123">
        <v>30</v>
      </c>
      <c r="AK348" s="123">
        <v>0</v>
      </c>
      <c r="AL348" s="123">
        <v>0</v>
      </c>
      <c r="AN348" s="123">
        <f t="shared" si="5"/>
        <v>30</v>
      </c>
      <c r="AO348" s="123" t="s">
        <v>165</v>
      </c>
      <c r="AP348" s="123" t="s">
        <v>3510</v>
      </c>
    </row>
    <row r="349" spans="1:42" x14ac:dyDescent="0.2">
      <c r="A349" s="123" t="s">
        <v>3511</v>
      </c>
      <c r="B349" s="123" t="s">
        <v>3512</v>
      </c>
      <c r="C349" s="123">
        <v>28</v>
      </c>
      <c r="D349" s="123">
        <v>1</v>
      </c>
      <c r="E349" s="123" t="s">
        <v>2462</v>
      </c>
      <c r="F349" s="125">
        <v>43579</v>
      </c>
      <c r="G349" s="125" t="s">
        <v>4027</v>
      </c>
      <c r="H349" s="125" t="s">
        <v>4752</v>
      </c>
      <c r="I349" s="171">
        <v>1.1805555555555555E-2</v>
      </c>
      <c r="J349" s="173">
        <v>1.9675925925925926E-4</v>
      </c>
      <c r="K349" s="129">
        <v>17</v>
      </c>
      <c r="L349" s="123" t="s">
        <v>101</v>
      </c>
      <c r="M349" s="123" t="s">
        <v>64</v>
      </c>
      <c r="N349" s="123" t="s">
        <v>102</v>
      </c>
      <c r="O349" s="123" t="s">
        <v>23</v>
      </c>
      <c r="P349" s="123" t="s">
        <v>24</v>
      </c>
      <c r="Q349" s="123">
        <v>0</v>
      </c>
      <c r="R349" s="123">
        <v>0</v>
      </c>
      <c r="T349" s="127" t="s">
        <v>115</v>
      </c>
      <c r="U349" s="127" t="s">
        <v>115</v>
      </c>
      <c r="V349" s="127" t="s">
        <v>115</v>
      </c>
      <c r="W349" s="127"/>
      <c r="X349" s="127"/>
      <c r="Y349" s="127"/>
      <c r="Z349" s="127" t="s">
        <v>115</v>
      </c>
      <c r="AA349" s="127" t="s">
        <v>115</v>
      </c>
      <c r="AB349" s="127" t="s">
        <v>115</v>
      </c>
      <c r="AC349" s="127" t="s">
        <v>115</v>
      </c>
      <c r="AD349" s="127" t="s">
        <v>115</v>
      </c>
      <c r="AE349" s="127" t="s">
        <v>115</v>
      </c>
      <c r="AF349" s="127" t="s">
        <v>115</v>
      </c>
      <c r="AG349" s="127" t="s">
        <v>115</v>
      </c>
      <c r="AH349" s="123">
        <v>14</v>
      </c>
      <c r="AI349" s="123">
        <v>0</v>
      </c>
      <c r="AJ349" s="123">
        <v>14</v>
      </c>
      <c r="AK349" s="123">
        <v>0</v>
      </c>
      <c r="AL349" s="123">
        <v>0</v>
      </c>
      <c r="AN349" s="123">
        <f t="shared" si="5"/>
        <v>14</v>
      </c>
      <c r="AO349" s="123" t="s">
        <v>188</v>
      </c>
    </row>
    <row r="350" spans="1:42" x14ac:dyDescent="0.2">
      <c r="A350" s="123" t="s">
        <v>3617</v>
      </c>
      <c r="B350" s="123" t="s">
        <v>3618</v>
      </c>
      <c r="C350" s="123">
        <v>1</v>
      </c>
      <c r="D350" s="123">
        <v>1</v>
      </c>
      <c r="E350" s="123" t="s">
        <v>791</v>
      </c>
      <c r="F350" s="125">
        <v>43581</v>
      </c>
      <c r="G350" s="125" t="s">
        <v>4027</v>
      </c>
      <c r="H350" s="125" t="s">
        <v>4752</v>
      </c>
      <c r="I350" s="171">
        <v>3.6111111111111115E-2</v>
      </c>
      <c r="J350" s="173">
        <v>6.018518518518519E-4</v>
      </c>
      <c r="K350" s="129">
        <v>52</v>
      </c>
      <c r="M350" s="123" t="s">
        <v>64</v>
      </c>
      <c r="N350" s="123" t="s">
        <v>102</v>
      </c>
      <c r="O350" s="123" t="s">
        <v>23</v>
      </c>
      <c r="P350" s="123" t="s">
        <v>24</v>
      </c>
      <c r="Q350" s="123" t="s">
        <v>24</v>
      </c>
      <c r="R350" s="123">
        <v>0</v>
      </c>
      <c r="T350" s="127" t="s">
        <v>115</v>
      </c>
      <c r="U350" s="127" t="s">
        <v>115</v>
      </c>
      <c r="V350" s="127" t="s">
        <v>115</v>
      </c>
      <c r="W350" s="127"/>
      <c r="X350" s="127"/>
      <c r="Y350" s="127"/>
      <c r="Z350" s="127" t="s">
        <v>115</v>
      </c>
      <c r="AA350" s="127" t="s">
        <v>115</v>
      </c>
      <c r="AB350" s="127" t="s">
        <v>115</v>
      </c>
      <c r="AC350" s="127" t="s">
        <v>115</v>
      </c>
      <c r="AD350" s="127" t="s">
        <v>115</v>
      </c>
      <c r="AE350" s="127" t="s">
        <v>115</v>
      </c>
      <c r="AF350" s="127" t="s">
        <v>115</v>
      </c>
      <c r="AG350" s="127" t="s">
        <v>115</v>
      </c>
      <c r="AH350" s="123">
        <v>46</v>
      </c>
      <c r="AI350" s="123">
        <v>0</v>
      </c>
      <c r="AJ350" s="123">
        <v>46</v>
      </c>
      <c r="AK350" s="123">
        <v>0</v>
      </c>
      <c r="AL350" s="123">
        <v>0</v>
      </c>
      <c r="AN350" s="123">
        <f t="shared" si="5"/>
        <v>46</v>
      </c>
      <c r="AO350" s="123" t="s">
        <v>188</v>
      </c>
    </row>
    <row r="351" spans="1:42" x14ac:dyDescent="0.2">
      <c r="A351" s="123" t="s">
        <v>3090</v>
      </c>
      <c r="B351" s="123" t="s">
        <v>4815</v>
      </c>
      <c r="C351" s="123">
        <v>9</v>
      </c>
      <c r="D351" s="123">
        <v>1</v>
      </c>
      <c r="E351" s="123" t="s">
        <v>2601</v>
      </c>
      <c r="F351" s="125">
        <v>43570</v>
      </c>
      <c r="G351" s="125" t="s">
        <v>4027</v>
      </c>
      <c r="H351" s="125" t="s">
        <v>4752</v>
      </c>
      <c r="I351" s="171">
        <v>8.2638888888888887E-2</v>
      </c>
      <c r="J351" s="173">
        <v>1.3773148148148147E-3</v>
      </c>
      <c r="K351" s="129">
        <v>119</v>
      </c>
      <c r="L351" s="123" t="s">
        <v>101</v>
      </c>
      <c r="M351" s="123" t="s">
        <v>177</v>
      </c>
      <c r="N351" s="123" t="s">
        <v>111</v>
      </c>
      <c r="O351" s="123" t="s">
        <v>23</v>
      </c>
      <c r="P351" s="123">
        <v>0</v>
      </c>
      <c r="Q351" s="123">
        <v>0</v>
      </c>
      <c r="R351" s="123">
        <v>1</v>
      </c>
      <c r="S351" s="123" t="s">
        <v>598</v>
      </c>
      <c r="T351" s="127" t="s">
        <v>3089</v>
      </c>
      <c r="V351" s="127" t="s">
        <v>2088</v>
      </c>
      <c r="W351" s="127" t="s">
        <v>23</v>
      </c>
      <c r="X351" s="127" t="s">
        <v>3997</v>
      </c>
      <c r="Y351" s="127" t="s">
        <v>4021</v>
      </c>
      <c r="Z351" s="123" t="s">
        <v>2551</v>
      </c>
      <c r="AA351" s="123">
        <v>0</v>
      </c>
      <c r="AB351" s="123">
        <v>40</v>
      </c>
      <c r="AC351" s="123">
        <v>63.724319999999999</v>
      </c>
      <c r="AD351" s="123">
        <v>148.9547</v>
      </c>
      <c r="AE351" s="127" t="s">
        <v>115</v>
      </c>
      <c r="AF351" s="127" t="s">
        <v>115</v>
      </c>
      <c r="AG351" s="127"/>
      <c r="AH351" s="123">
        <v>0</v>
      </c>
      <c r="AI351" s="123">
        <v>0</v>
      </c>
      <c r="AJ351" s="123">
        <v>0</v>
      </c>
      <c r="AK351" s="123">
        <v>0</v>
      </c>
      <c r="AL351" s="123">
        <v>0</v>
      </c>
      <c r="AN351" s="123">
        <f t="shared" si="5"/>
        <v>0</v>
      </c>
      <c r="AP351" s="123" t="s">
        <v>3092</v>
      </c>
    </row>
    <row r="352" spans="1:42" x14ac:dyDescent="0.2">
      <c r="A352" s="123" t="s">
        <v>3084</v>
      </c>
      <c r="B352" s="123" t="s">
        <v>4816</v>
      </c>
      <c r="C352" s="123">
        <v>7</v>
      </c>
      <c r="D352" s="123">
        <v>1</v>
      </c>
      <c r="E352" s="123" t="s">
        <v>2601</v>
      </c>
      <c r="F352" s="125">
        <v>43570</v>
      </c>
      <c r="G352" s="125" t="s">
        <v>4027</v>
      </c>
      <c r="H352" s="125" t="s">
        <v>4752</v>
      </c>
      <c r="I352" s="171">
        <v>3.7499999999999999E-2</v>
      </c>
      <c r="J352" s="173">
        <v>6.2500000000000001E-4</v>
      </c>
      <c r="K352" s="129">
        <v>54</v>
      </c>
      <c r="L352" s="123" t="s">
        <v>101</v>
      </c>
      <c r="M352" s="123" t="s">
        <v>177</v>
      </c>
      <c r="N352" s="123" t="s">
        <v>102</v>
      </c>
      <c r="O352" s="123" t="s">
        <v>115</v>
      </c>
      <c r="P352" s="123">
        <v>1</v>
      </c>
      <c r="Q352" s="123">
        <v>0</v>
      </c>
      <c r="R352" s="123">
        <v>0</v>
      </c>
      <c r="S352" s="123" t="s">
        <v>598</v>
      </c>
      <c r="T352" s="127" t="s">
        <v>2506</v>
      </c>
      <c r="U352" s="127" t="s">
        <v>122</v>
      </c>
      <c r="V352" s="127" t="s">
        <v>115</v>
      </c>
      <c r="W352" s="127"/>
      <c r="X352" s="127"/>
      <c r="Y352" s="127"/>
      <c r="Z352" s="127" t="s">
        <v>115</v>
      </c>
      <c r="AA352" s="127" t="s">
        <v>115</v>
      </c>
      <c r="AB352" s="127" t="s">
        <v>115</v>
      </c>
      <c r="AC352" s="127" t="s">
        <v>115</v>
      </c>
      <c r="AD352" s="127" t="s">
        <v>115</v>
      </c>
      <c r="AE352" s="127" t="s">
        <v>115</v>
      </c>
      <c r="AF352" s="127" t="s">
        <v>115</v>
      </c>
      <c r="AG352" s="127"/>
      <c r="AH352" s="123">
        <v>0</v>
      </c>
      <c r="AI352" s="123">
        <v>0</v>
      </c>
      <c r="AJ352" s="123">
        <v>0</v>
      </c>
      <c r="AK352" s="123">
        <v>0</v>
      </c>
      <c r="AL352" s="123">
        <v>5</v>
      </c>
      <c r="AN352" s="123">
        <f t="shared" si="5"/>
        <v>5</v>
      </c>
      <c r="AO352" s="123" t="s">
        <v>188</v>
      </c>
      <c r="AP352" s="123" t="s">
        <v>3086</v>
      </c>
    </row>
    <row r="353" spans="1:44" x14ac:dyDescent="0.2">
      <c r="A353" s="123" t="s">
        <v>3087</v>
      </c>
      <c r="B353" s="123" t="s">
        <v>4817</v>
      </c>
      <c r="C353" s="123">
        <v>8</v>
      </c>
      <c r="D353" s="123">
        <v>1</v>
      </c>
      <c r="E353" s="123" t="s">
        <v>2601</v>
      </c>
      <c r="F353" s="125">
        <v>43570</v>
      </c>
      <c r="G353" s="125" t="s">
        <v>4027</v>
      </c>
      <c r="H353" s="125" t="s">
        <v>4752</v>
      </c>
      <c r="I353" s="171">
        <v>5.5555555555555558E-3</v>
      </c>
      <c r="J353" s="173">
        <v>9.2592592592592588E-5</v>
      </c>
      <c r="K353" s="129">
        <v>8</v>
      </c>
      <c r="L353" s="123" t="s">
        <v>101</v>
      </c>
      <c r="M353" s="123" t="s">
        <v>177</v>
      </c>
      <c r="N353" s="123" t="s">
        <v>102</v>
      </c>
      <c r="O353" s="123" t="s">
        <v>115</v>
      </c>
      <c r="P353" s="123">
        <v>1</v>
      </c>
      <c r="Q353" s="123">
        <v>0</v>
      </c>
      <c r="R353" s="123">
        <v>0</v>
      </c>
      <c r="S353" s="123" t="s">
        <v>598</v>
      </c>
      <c r="T353" s="127" t="s">
        <v>3089</v>
      </c>
      <c r="U353" s="127" t="s">
        <v>122</v>
      </c>
      <c r="V353" s="127" t="s">
        <v>115</v>
      </c>
      <c r="W353" s="127"/>
      <c r="X353" s="127"/>
      <c r="Y353" s="127"/>
      <c r="Z353" s="127" t="s">
        <v>115</v>
      </c>
      <c r="AA353" s="127" t="s">
        <v>115</v>
      </c>
      <c r="AB353" s="127" t="s">
        <v>115</v>
      </c>
      <c r="AC353" s="127" t="s">
        <v>115</v>
      </c>
      <c r="AD353" s="127" t="s">
        <v>115</v>
      </c>
      <c r="AE353" s="127" t="s">
        <v>115</v>
      </c>
      <c r="AF353" s="127" t="s">
        <v>115</v>
      </c>
      <c r="AG353" s="127"/>
      <c r="AH353" s="123">
        <v>0</v>
      </c>
      <c r="AI353" s="123">
        <v>0</v>
      </c>
      <c r="AJ353" s="123">
        <v>0</v>
      </c>
      <c r="AK353" s="123">
        <v>0</v>
      </c>
      <c r="AL353" s="123">
        <v>8</v>
      </c>
      <c r="AN353" s="123">
        <f t="shared" si="5"/>
        <v>8</v>
      </c>
    </row>
    <row r="354" spans="1:44" x14ac:dyDescent="0.2">
      <c r="A354" s="123" t="s">
        <v>3450</v>
      </c>
      <c r="B354" s="123" t="s">
        <v>4828</v>
      </c>
      <c r="C354" s="123">
        <v>12</v>
      </c>
      <c r="D354" s="123">
        <v>1</v>
      </c>
      <c r="E354" s="123" t="s">
        <v>2601</v>
      </c>
      <c r="F354" s="125">
        <v>43579</v>
      </c>
      <c r="G354" s="125" t="s">
        <v>4027</v>
      </c>
      <c r="H354" s="125" t="s">
        <v>4752</v>
      </c>
      <c r="I354" s="171">
        <v>8.3333333333333332E-3</v>
      </c>
      <c r="J354" s="173">
        <v>1.3888888888888889E-4</v>
      </c>
      <c r="K354" s="129">
        <v>12</v>
      </c>
      <c r="L354" s="123" t="s">
        <v>101</v>
      </c>
      <c r="M354" s="123" t="s">
        <v>177</v>
      </c>
      <c r="N354" s="123" t="s">
        <v>102</v>
      </c>
      <c r="O354" s="123" t="s">
        <v>23</v>
      </c>
      <c r="P354" s="123">
        <v>1</v>
      </c>
      <c r="Q354" s="123" t="s">
        <v>24</v>
      </c>
      <c r="R354" s="123">
        <v>0</v>
      </c>
      <c r="S354" s="123" t="s">
        <v>176</v>
      </c>
      <c r="T354" s="127" t="s">
        <v>24</v>
      </c>
      <c r="U354" s="127" t="s">
        <v>1940</v>
      </c>
      <c r="V354" s="127" t="s">
        <v>115</v>
      </c>
      <c r="W354" s="127"/>
      <c r="X354" s="127"/>
      <c r="Y354" s="127"/>
      <c r="Z354" s="127" t="s">
        <v>115</v>
      </c>
      <c r="AA354" s="127" t="s">
        <v>115</v>
      </c>
      <c r="AB354" s="127" t="s">
        <v>115</v>
      </c>
      <c r="AC354" s="127" t="s">
        <v>115</v>
      </c>
      <c r="AD354" s="127" t="s">
        <v>115</v>
      </c>
      <c r="AE354" s="127" t="s">
        <v>115</v>
      </c>
      <c r="AF354" s="127" t="s">
        <v>115</v>
      </c>
      <c r="AG354" s="127" t="s">
        <v>115</v>
      </c>
      <c r="AH354" s="123">
        <v>12</v>
      </c>
      <c r="AI354" s="123">
        <v>0</v>
      </c>
      <c r="AJ354" s="123">
        <v>12</v>
      </c>
      <c r="AK354" s="123">
        <v>0</v>
      </c>
      <c r="AL354" s="123">
        <v>0</v>
      </c>
      <c r="AN354" s="123">
        <f t="shared" si="5"/>
        <v>12</v>
      </c>
      <c r="AO354" s="123" t="s">
        <v>2374</v>
      </c>
      <c r="AQ354" s="123">
        <v>2</v>
      </c>
      <c r="AR354" s="123">
        <v>0</v>
      </c>
    </row>
    <row r="355" spans="1:44" x14ac:dyDescent="0.2">
      <c r="A355" s="123" t="s">
        <v>3437</v>
      </c>
      <c r="B355" s="123" t="s">
        <v>4831</v>
      </c>
      <c r="C355" s="123">
        <v>5</v>
      </c>
      <c r="D355" s="123">
        <v>1</v>
      </c>
      <c r="E355" s="123" t="s">
        <v>2601</v>
      </c>
      <c r="F355" s="125">
        <v>43579</v>
      </c>
      <c r="G355" s="125" t="s">
        <v>4027</v>
      </c>
      <c r="H355" s="125" t="s">
        <v>4752</v>
      </c>
      <c r="I355" s="171">
        <v>1.6666666666666666E-2</v>
      </c>
      <c r="J355" s="173">
        <v>2.7777777777777778E-4</v>
      </c>
      <c r="K355" s="129">
        <v>24</v>
      </c>
      <c r="L355" s="123" t="s">
        <v>101</v>
      </c>
      <c r="M355" s="123" t="s">
        <v>177</v>
      </c>
      <c r="N355" s="123" t="s">
        <v>102</v>
      </c>
      <c r="O355" s="123" t="s">
        <v>115</v>
      </c>
      <c r="P355" s="123">
        <v>1</v>
      </c>
      <c r="Q355" s="123">
        <v>0</v>
      </c>
      <c r="R355" s="123">
        <v>0</v>
      </c>
      <c r="S355" s="123" t="s">
        <v>176</v>
      </c>
      <c r="T355" s="127" t="s">
        <v>24</v>
      </c>
      <c r="U355" s="127" t="s">
        <v>115</v>
      </c>
      <c r="V355" s="127" t="s">
        <v>115</v>
      </c>
      <c r="W355" s="127"/>
      <c r="X355" s="127"/>
      <c r="Y355" s="127"/>
      <c r="Z355" s="127" t="s">
        <v>115</v>
      </c>
      <c r="AA355" s="127" t="s">
        <v>115</v>
      </c>
      <c r="AB355" s="127" t="s">
        <v>115</v>
      </c>
      <c r="AC355" s="127" t="s">
        <v>115</v>
      </c>
      <c r="AD355" s="127" t="s">
        <v>115</v>
      </c>
      <c r="AE355" s="127" t="s">
        <v>115</v>
      </c>
      <c r="AF355" s="127" t="s">
        <v>115</v>
      </c>
      <c r="AG355" s="127" t="s">
        <v>115</v>
      </c>
      <c r="AH355" s="123">
        <v>0</v>
      </c>
      <c r="AI355" s="123">
        <v>0</v>
      </c>
      <c r="AJ355" s="123">
        <v>0</v>
      </c>
      <c r="AK355" s="123">
        <v>0</v>
      </c>
      <c r="AL355" s="123">
        <v>24</v>
      </c>
      <c r="AN355" s="123">
        <f t="shared" si="5"/>
        <v>24</v>
      </c>
      <c r="AO355" s="123" t="s">
        <v>188</v>
      </c>
    </row>
    <row r="356" spans="1:44" x14ac:dyDescent="0.2">
      <c r="A356" s="123" t="s">
        <v>3452</v>
      </c>
      <c r="B356" s="123" t="s">
        <v>4860</v>
      </c>
      <c r="C356" s="123">
        <v>13</v>
      </c>
      <c r="D356" s="123">
        <v>1</v>
      </c>
      <c r="E356" s="123" t="s">
        <v>2601</v>
      </c>
      <c r="F356" s="125">
        <v>43579</v>
      </c>
      <c r="G356" s="125" t="s">
        <v>4027</v>
      </c>
      <c r="H356" s="125" t="s">
        <v>4752</v>
      </c>
      <c r="I356" s="171">
        <v>1.7361111111111112E-2</v>
      </c>
      <c r="J356" s="173">
        <v>2.8935185185185189E-4</v>
      </c>
      <c r="K356" s="129">
        <v>25</v>
      </c>
      <c r="L356" s="123" t="s">
        <v>101</v>
      </c>
      <c r="M356" s="123" t="s">
        <v>177</v>
      </c>
      <c r="N356" s="123" t="s">
        <v>102</v>
      </c>
      <c r="O356" s="123" t="s">
        <v>115</v>
      </c>
      <c r="P356" s="123" t="s">
        <v>24</v>
      </c>
      <c r="Q356" s="123">
        <v>0</v>
      </c>
      <c r="R356" s="123">
        <v>0</v>
      </c>
      <c r="T356" s="127" t="s">
        <v>115</v>
      </c>
      <c r="U356" s="127" t="s">
        <v>115</v>
      </c>
      <c r="V356" s="127" t="s">
        <v>115</v>
      </c>
      <c r="W356" s="127"/>
      <c r="X356" s="127"/>
      <c r="Y356" s="127"/>
      <c r="Z356" s="127" t="s">
        <v>115</v>
      </c>
      <c r="AA356" s="127" t="s">
        <v>115</v>
      </c>
      <c r="AB356" s="127" t="s">
        <v>115</v>
      </c>
      <c r="AC356" s="127" t="s">
        <v>115</v>
      </c>
      <c r="AD356" s="127" t="s">
        <v>115</v>
      </c>
      <c r="AE356" s="127" t="s">
        <v>115</v>
      </c>
      <c r="AF356" s="127" t="s">
        <v>115</v>
      </c>
      <c r="AG356" s="127" t="s">
        <v>115</v>
      </c>
      <c r="AH356" s="123">
        <v>0</v>
      </c>
      <c r="AI356" s="123">
        <v>0</v>
      </c>
      <c r="AJ356" s="123">
        <v>0</v>
      </c>
      <c r="AK356" s="123">
        <v>0</v>
      </c>
      <c r="AL356" s="123">
        <v>20</v>
      </c>
      <c r="AN356" s="123">
        <f t="shared" si="5"/>
        <v>20</v>
      </c>
      <c r="AO356" s="123" t="s">
        <v>188</v>
      </c>
    </row>
    <row r="357" spans="1:44" x14ac:dyDescent="0.2">
      <c r="A357" s="123" t="s">
        <v>2777</v>
      </c>
      <c r="B357" s="123" t="s">
        <v>2778</v>
      </c>
      <c r="C357" s="123">
        <v>1</v>
      </c>
      <c r="D357" s="123">
        <v>1</v>
      </c>
      <c r="E357" s="123" t="s">
        <v>2487</v>
      </c>
      <c r="F357" s="125">
        <v>43556</v>
      </c>
      <c r="G357" s="125" t="s">
        <v>4027</v>
      </c>
      <c r="H357" s="125" t="s">
        <v>4752</v>
      </c>
      <c r="I357" s="171">
        <v>4.1666666666666666E-3</v>
      </c>
      <c r="J357" s="173">
        <v>6.9444444444444444E-5</v>
      </c>
      <c r="K357" s="129">
        <v>6</v>
      </c>
      <c r="L357" s="123" t="s">
        <v>2028</v>
      </c>
      <c r="M357" s="123" t="s">
        <v>2488</v>
      </c>
      <c r="N357" s="123" t="s">
        <v>107</v>
      </c>
      <c r="O357" s="123" t="s">
        <v>23</v>
      </c>
      <c r="P357" s="123">
        <v>1</v>
      </c>
      <c r="Q357" s="123" t="s">
        <v>24</v>
      </c>
      <c r="R357" s="123">
        <v>0</v>
      </c>
      <c r="S357" s="123" t="s">
        <v>176</v>
      </c>
      <c r="T357" s="127" t="s">
        <v>24</v>
      </c>
      <c r="U357" s="127" t="s">
        <v>487</v>
      </c>
      <c r="V357" s="127" t="s">
        <v>115</v>
      </c>
      <c r="W357" s="127"/>
      <c r="X357" s="127"/>
      <c r="Y357" s="127"/>
      <c r="Z357" s="127" t="s">
        <v>115</v>
      </c>
      <c r="AA357" s="127" t="s">
        <v>115</v>
      </c>
      <c r="AB357" s="127" t="s">
        <v>115</v>
      </c>
      <c r="AC357" s="127" t="s">
        <v>115</v>
      </c>
      <c r="AD357" s="127" t="s">
        <v>115</v>
      </c>
      <c r="AE357" s="127" t="s">
        <v>115</v>
      </c>
      <c r="AF357" s="127" t="s">
        <v>115</v>
      </c>
      <c r="AG357" s="127"/>
      <c r="AH357" s="123">
        <v>0</v>
      </c>
      <c r="AI357" s="123">
        <v>0</v>
      </c>
      <c r="AJ357" s="123">
        <v>0</v>
      </c>
      <c r="AK357" s="123">
        <v>0</v>
      </c>
      <c r="AL357" s="123">
        <v>0</v>
      </c>
      <c r="AN357" s="123">
        <f t="shared" si="5"/>
        <v>0</v>
      </c>
      <c r="AP357" s="123" t="s">
        <v>2480</v>
      </c>
    </row>
    <row r="358" spans="1:44" x14ac:dyDescent="0.2">
      <c r="A358" s="123" t="s">
        <v>3013</v>
      </c>
      <c r="B358" s="123" t="s">
        <v>3014</v>
      </c>
      <c r="C358" s="123">
        <v>1</v>
      </c>
      <c r="D358" s="123">
        <v>1</v>
      </c>
      <c r="E358" s="123" t="s">
        <v>2487</v>
      </c>
      <c r="F358" s="125">
        <v>43564</v>
      </c>
      <c r="G358" s="125" t="s">
        <v>4027</v>
      </c>
      <c r="H358" s="125" t="s">
        <v>4752</v>
      </c>
      <c r="I358" s="171">
        <v>2.7083333333333334E-2</v>
      </c>
      <c r="J358" s="173">
        <v>4.5138888888888892E-4</v>
      </c>
      <c r="K358" s="129">
        <v>39</v>
      </c>
      <c r="M358" s="123" t="s">
        <v>2488</v>
      </c>
      <c r="N358" s="123" t="s">
        <v>102</v>
      </c>
      <c r="O358" s="123" t="s">
        <v>115</v>
      </c>
      <c r="P358" s="123">
        <v>1</v>
      </c>
      <c r="Q358" s="123">
        <v>0</v>
      </c>
      <c r="R358" s="123">
        <v>1</v>
      </c>
      <c r="S358" s="123" t="s">
        <v>598</v>
      </c>
      <c r="T358" s="127" t="s">
        <v>2506</v>
      </c>
      <c r="U358" s="127" t="s">
        <v>122</v>
      </c>
      <c r="V358" s="127" t="s">
        <v>2088</v>
      </c>
      <c r="W358" s="127" t="s">
        <v>23</v>
      </c>
      <c r="X358" s="127" t="s">
        <v>3997</v>
      </c>
      <c r="Y358" s="127" t="s">
        <v>4021</v>
      </c>
      <c r="Z358" s="123" t="s">
        <v>2825</v>
      </c>
      <c r="AA358" s="123">
        <v>95</v>
      </c>
      <c r="AB358" s="123">
        <v>1</v>
      </c>
      <c r="AC358" s="123">
        <v>63.71951</v>
      </c>
      <c r="AD358" s="123">
        <v>148.98781</v>
      </c>
      <c r="AE358" s="127" t="s">
        <v>115</v>
      </c>
      <c r="AF358" s="127" t="s">
        <v>115</v>
      </c>
      <c r="AG358" s="127"/>
      <c r="AH358" s="123">
        <v>0</v>
      </c>
      <c r="AI358" s="123">
        <v>0</v>
      </c>
      <c r="AJ358" s="123">
        <v>0</v>
      </c>
      <c r="AK358" s="123">
        <v>0</v>
      </c>
      <c r="AL358" s="123">
        <v>5</v>
      </c>
      <c r="AN358" s="123">
        <f t="shared" si="5"/>
        <v>5</v>
      </c>
      <c r="AO358" s="123" t="s">
        <v>188</v>
      </c>
      <c r="AP358" s="123" t="s">
        <v>3015</v>
      </c>
    </row>
    <row r="359" spans="1:44" x14ac:dyDescent="0.2">
      <c r="A359" s="123" t="s">
        <v>3040</v>
      </c>
      <c r="B359" s="123" t="s">
        <v>3041</v>
      </c>
      <c r="C359" s="123">
        <v>11</v>
      </c>
      <c r="D359" s="123">
        <v>1</v>
      </c>
      <c r="E359" s="123" t="s">
        <v>2487</v>
      </c>
      <c r="F359" s="125">
        <v>43564</v>
      </c>
      <c r="G359" s="125" t="s">
        <v>4027</v>
      </c>
      <c r="H359" s="125" t="s">
        <v>4752</v>
      </c>
      <c r="I359" s="171">
        <v>9.7222222222222224E-3</v>
      </c>
      <c r="J359" s="173">
        <v>1.6203703703703703E-4</v>
      </c>
      <c r="K359" s="129">
        <v>14</v>
      </c>
      <c r="M359" s="123" t="s">
        <v>2488</v>
      </c>
      <c r="N359" s="123" t="s">
        <v>107</v>
      </c>
      <c r="O359" s="123" t="s">
        <v>115</v>
      </c>
      <c r="P359" s="123">
        <v>1</v>
      </c>
      <c r="Q359" s="123">
        <v>0</v>
      </c>
      <c r="R359" s="123">
        <v>0</v>
      </c>
      <c r="S359" s="123" t="s">
        <v>598</v>
      </c>
      <c r="T359" s="127" t="s">
        <v>2801</v>
      </c>
      <c r="U359" s="127" t="s">
        <v>122</v>
      </c>
      <c r="V359" s="127" t="s">
        <v>115</v>
      </c>
      <c r="W359" s="127"/>
      <c r="X359" s="127"/>
      <c r="Y359" s="127"/>
      <c r="Z359" s="127" t="s">
        <v>115</v>
      </c>
      <c r="AA359" s="127" t="s">
        <v>115</v>
      </c>
      <c r="AB359" s="127" t="s">
        <v>115</v>
      </c>
      <c r="AC359" s="127" t="s">
        <v>115</v>
      </c>
      <c r="AD359" s="127" t="s">
        <v>115</v>
      </c>
      <c r="AE359" s="127" t="s">
        <v>115</v>
      </c>
      <c r="AF359" s="127" t="s">
        <v>115</v>
      </c>
      <c r="AG359" s="127"/>
      <c r="AH359" s="123">
        <v>0</v>
      </c>
      <c r="AI359" s="123">
        <v>0</v>
      </c>
      <c r="AJ359" s="123">
        <v>0</v>
      </c>
      <c r="AK359" s="123">
        <v>0</v>
      </c>
      <c r="AL359" s="123">
        <v>0</v>
      </c>
      <c r="AN359" s="123">
        <f t="shared" si="5"/>
        <v>0</v>
      </c>
      <c r="AP359" s="123" t="s">
        <v>2405</v>
      </c>
    </row>
    <row r="360" spans="1:44" x14ac:dyDescent="0.2">
      <c r="A360" s="123" t="s">
        <v>3218</v>
      </c>
      <c r="B360" s="123" t="s">
        <v>3219</v>
      </c>
      <c r="C360" s="123">
        <v>16</v>
      </c>
      <c r="D360" s="123">
        <v>1</v>
      </c>
      <c r="E360" s="123" t="s">
        <v>2487</v>
      </c>
      <c r="F360" s="125">
        <v>43572</v>
      </c>
      <c r="G360" s="125" t="s">
        <v>4027</v>
      </c>
      <c r="H360" s="125" t="s">
        <v>4752</v>
      </c>
      <c r="I360" s="171">
        <v>1.1111111111111112E-2</v>
      </c>
      <c r="J360" s="173">
        <v>1.8518518518518518E-4</v>
      </c>
      <c r="K360" s="129">
        <v>16</v>
      </c>
      <c r="L360" s="123" t="s">
        <v>3187</v>
      </c>
      <c r="M360" s="123" t="s">
        <v>2488</v>
      </c>
      <c r="N360" s="123" t="s">
        <v>102</v>
      </c>
      <c r="O360" s="123" t="s">
        <v>23</v>
      </c>
      <c r="P360" s="123">
        <v>1</v>
      </c>
      <c r="Q360" s="123" t="s">
        <v>24</v>
      </c>
      <c r="R360" s="123">
        <v>0</v>
      </c>
      <c r="S360" s="123" t="s">
        <v>176</v>
      </c>
      <c r="T360" s="127" t="s">
        <v>24</v>
      </c>
      <c r="U360" s="127" t="s">
        <v>709</v>
      </c>
      <c r="V360" s="127" t="s">
        <v>115</v>
      </c>
      <c r="W360" s="127"/>
      <c r="X360" s="127"/>
      <c r="Y360" s="127"/>
      <c r="Z360" s="127" t="s">
        <v>115</v>
      </c>
      <c r="AA360" s="127" t="s">
        <v>115</v>
      </c>
      <c r="AB360" s="127" t="s">
        <v>115</v>
      </c>
      <c r="AC360" s="127" t="s">
        <v>115</v>
      </c>
      <c r="AD360" s="127" t="s">
        <v>115</v>
      </c>
      <c r="AE360" s="127" t="s">
        <v>115</v>
      </c>
      <c r="AF360" s="127" t="s">
        <v>115</v>
      </c>
      <c r="AG360" s="127"/>
      <c r="AH360" s="123">
        <v>8</v>
      </c>
      <c r="AI360" s="123">
        <v>0</v>
      </c>
      <c r="AJ360" s="123">
        <v>8</v>
      </c>
      <c r="AK360" s="123">
        <v>0</v>
      </c>
      <c r="AL360" s="123">
        <v>8</v>
      </c>
      <c r="AN360" s="123">
        <f t="shared" si="5"/>
        <v>16</v>
      </c>
      <c r="AO360" s="123" t="s">
        <v>2374</v>
      </c>
      <c r="AQ360" s="123">
        <v>1</v>
      </c>
      <c r="AR360" s="123">
        <v>0</v>
      </c>
    </row>
    <row r="361" spans="1:44" x14ac:dyDescent="0.2">
      <c r="A361" s="123" t="s">
        <v>3200</v>
      </c>
      <c r="B361" s="123" t="s">
        <v>3201</v>
      </c>
      <c r="C361" s="123">
        <v>8</v>
      </c>
      <c r="D361" s="123">
        <v>1</v>
      </c>
      <c r="E361" s="123" t="s">
        <v>2487</v>
      </c>
      <c r="F361" s="125">
        <v>43572</v>
      </c>
      <c r="G361" s="125" t="s">
        <v>4027</v>
      </c>
      <c r="H361" s="125" t="s">
        <v>4752</v>
      </c>
      <c r="I361" s="171">
        <v>5.8333333333333327E-2</v>
      </c>
      <c r="J361" s="173">
        <v>9.7222222222222209E-4</v>
      </c>
      <c r="K361" s="129">
        <v>84</v>
      </c>
      <c r="L361" s="123" t="s">
        <v>3187</v>
      </c>
      <c r="M361" s="123" t="s">
        <v>2488</v>
      </c>
      <c r="N361" s="123" t="s">
        <v>102</v>
      </c>
      <c r="O361" s="123" t="s">
        <v>115</v>
      </c>
      <c r="P361" s="123">
        <v>1</v>
      </c>
      <c r="Q361" s="123" t="s">
        <v>24</v>
      </c>
      <c r="R361" s="123">
        <v>0</v>
      </c>
      <c r="S361" s="123" t="s">
        <v>176</v>
      </c>
      <c r="T361" s="127" t="s">
        <v>24</v>
      </c>
      <c r="U361" s="127" t="s">
        <v>709</v>
      </c>
      <c r="V361" s="127" t="s">
        <v>115</v>
      </c>
      <c r="W361" s="127"/>
      <c r="X361" s="127"/>
      <c r="Y361" s="127"/>
      <c r="Z361" s="127" t="s">
        <v>115</v>
      </c>
      <c r="AA361" s="127" t="s">
        <v>115</v>
      </c>
      <c r="AB361" s="127" t="s">
        <v>115</v>
      </c>
      <c r="AC361" s="127" t="s">
        <v>115</v>
      </c>
      <c r="AD361" s="127" t="s">
        <v>115</v>
      </c>
      <c r="AE361" s="127" t="s">
        <v>115</v>
      </c>
      <c r="AF361" s="127" t="s">
        <v>115</v>
      </c>
      <c r="AG361" s="127"/>
      <c r="AH361" s="123">
        <v>56</v>
      </c>
      <c r="AI361" s="123">
        <v>0</v>
      </c>
      <c r="AJ361" s="123">
        <v>56</v>
      </c>
      <c r="AK361" s="123">
        <v>0</v>
      </c>
      <c r="AL361" s="123">
        <v>17</v>
      </c>
      <c r="AN361" s="123">
        <f t="shared" si="5"/>
        <v>73</v>
      </c>
      <c r="AQ361" s="123">
        <v>9</v>
      </c>
      <c r="AR361" s="123">
        <v>0</v>
      </c>
    </row>
    <row r="362" spans="1:44" x14ac:dyDescent="0.2">
      <c r="A362" s="123" t="s">
        <v>3220</v>
      </c>
      <c r="B362" s="123" t="s">
        <v>3221</v>
      </c>
      <c r="C362" s="123">
        <v>17</v>
      </c>
      <c r="D362" s="123">
        <v>1</v>
      </c>
      <c r="E362" s="123" t="s">
        <v>2487</v>
      </c>
      <c r="F362" s="125">
        <v>43572</v>
      </c>
      <c r="G362" s="125" t="s">
        <v>4027</v>
      </c>
      <c r="H362" s="125" t="s">
        <v>4752</v>
      </c>
      <c r="I362" s="171">
        <v>2.8472222222222222E-2</v>
      </c>
      <c r="J362" s="173">
        <v>4.7453703703703704E-4</v>
      </c>
      <c r="K362" s="129">
        <v>41</v>
      </c>
      <c r="L362" s="123" t="s">
        <v>3187</v>
      </c>
      <c r="M362" s="123" t="s">
        <v>2488</v>
      </c>
      <c r="N362" s="123" t="s">
        <v>102</v>
      </c>
      <c r="O362" s="123" t="s">
        <v>23</v>
      </c>
      <c r="P362" s="123">
        <v>2</v>
      </c>
      <c r="Q362" s="123">
        <v>1</v>
      </c>
      <c r="R362" s="123">
        <v>0</v>
      </c>
      <c r="S362" s="123" t="s">
        <v>176</v>
      </c>
      <c r="T362" s="127" t="s">
        <v>24</v>
      </c>
      <c r="U362" s="127" t="s">
        <v>709</v>
      </c>
      <c r="V362" s="127" t="s">
        <v>115</v>
      </c>
      <c r="W362" s="127"/>
      <c r="X362" s="127"/>
      <c r="Y362" s="127"/>
      <c r="Z362" s="127" t="s">
        <v>115</v>
      </c>
      <c r="AA362" s="127" t="s">
        <v>115</v>
      </c>
      <c r="AB362" s="127" t="s">
        <v>115</v>
      </c>
      <c r="AC362" s="127" t="s">
        <v>115</v>
      </c>
      <c r="AD362" s="127" t="s">
        <v>115</v>
      </c>
      <c r="AE362" s="123">
        <v>63.720469999999999</v>
      </c>
      <c r="AF362" s="123">
        <v>148.98471000000001</v>
      </c>
      <c r="AG362" s="127" t="s">
        <v>3223</v>
      </c>
      <c r="AH362" s="123">
        <v>41</v>
      </c>
      <c r="AI362" s="123">
        <v>0</v>
      </c>
      <c r="AJ362" s="123">
        <v>41</v>
      </c>
      <c r="AK362" s="123">
        <v>0</v>
      </c>
      <c r="AL362" s="123">
        <v>0</v>
      </c>
      <c r="AN362" s="123">
        <f t="shared" si="5"/>
        <v>41</v>
      </c>
      <c r="AO362" s="123" t="s">
        <v>3224</v>
      </c>
      <c r="AP362" s="123" t="s">
        <v>3225</v>
      </c>
      <c r="AQ362" s="123">
        <v>10</v>
      </c>
      <c r="AR362" s="123">
        <v>0</v>
      </c>
    </row>
    <row r="363" spans="1:44" x14ac:dyDescent="0.2">
      <c r="A363" s="123" t="s">
        <v>3226</v>
      </c>
      <c r="B363" s="123" t="s">
        <v>3227</v>
      </c>
      <c r="C363" s="123">
        <v>18</v>
      </c>
      <c r="D363" s="123">
        <v>1</v>
      </c>
      <c r="E363" s="123" t="s">
        <v>2487</v>
      </c>
      <c r="F363" s="125">
        <v>43572</v>
      </c>
      <c r="G363" s="125" t="s">
        <v>4027</v>
      </c>
      <c r="H363" s="125" t="s">
        <v>4752</v>
      </c>
      <c r="I363" s="171">
        <v>5.2083333333333336E-2</v>
      </c>
      <c r="J363" s="173">
        <v>8.6805555555555551E-4</v>
      </c>
      <c r="K363" s="129">
        <v>75</v>
      </c>
      <c r="L363" s="123" t="s">
        <v>3187</v>
      </c>
      <c r="M363" s="123" t="s">
        <v>2488</v>
      </c>
      <c r="N363" s="123" t="s">
        <v>102</v>
      </c>
      <c r="O363" s="123" t="s">
        <v>23</v>
      </c>
      <c r="P363" s="123">
        <v>1</v>
      </c>
      <c r="Q363" s="123">
        <v>0</v>
      </c>
      <c r="R363" s="123">
        <v>0</v>
      </c>
      <c r="S363" s="123" t="s">
        <v>598</v>
      </c>
      <c r="T363" s="127" t="s">
        <v>598</v>
      </c>
      <c r="U363" s="127" t="s">
        <v>1035</v>
      </c>
      <c r="V363" s="127" t="s">
        <v>115</v>
      </c>
      <c r="W363" s="127"/>
      <c r="X363" s="127"/>
      <c r="Y363" s="127"/>
      <c r="Z363" s="127" t="s">
        <v>115</v>
      </c>
      <c r="AA363" s="127" t="s">
        <v>115</v>
      </c>
      <c r="AB363" s="127" t="s">
        <v>115</v>
      </c>
      <c r="AC363" s="127" t="s">
        <v>115</v>
      </c>
      <c r="AD363" s="127" t="s">
        <v>115</v>
      </c>
      <c r="AE363" s="127" t="s">
        <v>115</v>
      </c>
      <c r="AF363" s="127" t="s">
        <v>115</v>
      </c>
      <c r="AG363" s="127" t="s">
        <v>115</v>
      </c>
      <c r="AH363" s="123">
        <v>56</v>
      </c>
      <c r="AI363" s="123">
        <v>2</v>
      </c>
      <c r="AJ363" s="123">
        <v>56</v>
      </c>
      <c r="AK363" s="123">
        <v>2</v>
      </c>
      <c r="AL363" s="123">
        <v>0</v>
      </c>
      <c r="AN363" s="123">
        <f t="shared" si="5"/>
        <v>58</v>
      </c>
      <c r="AO363" s="123" t="s">
        <v>123</v>
      </c>
      <c r="AQ363" s="123">
        <v>2</v>
      </c>
      <c r="AR363" s="123">
        <v>1</v>
      </c>
    </row>
    <row r="364" spans="1:44" x14ac:dyDescent="0.2">
      <c r="A364" s="123" t="s">
        <v>3202</v>
      </c>
      <c r="B364" s="123" t="s">
        <v>3203</v>
      </c>
      <c r="C364" s="123">
        <v>9</v>
      </c>
      <c r="D364" s="123">
        <v>1</v>
      </c>
      <c r="E364" s="123" t="s">
        <v>2487</v>
      </c>
      <c r="F364" s="125">
        <v>43572</v>
      </c>
      <c r="G364" s="125" t="s">
        <v>4027</v>
      </c>
      <c r="H364" s="125" t="s">
        <v>4752</v>
      </c>
      <c r="I364" s="171">
        <v>2.7777777777777779E-3</v>
      </c>
      <c r="J364" s="173">
        <v>4.6296296296296294E-5</v>
      </c>
      <c r="K364" s="129">
        <v>4</v>
      </c>
      <c r="L364" s="123" t="s">
        <v>3187</v>
      </c>
      <c r="M364" s="123" t="s">
        <v>2488</v>
      </c>
      <c r="N364" s="123" t="s">
        <v>102</v>
      </c>
      <c r="O364" s="123" t="s">
        <v>115</v>
      </c>
      <c r="P364" s="123">
        <v>1</v>
      </c>
      <c r="Q364" s="123">
        <v>0</v>
      </c>
      <c r="R364" s="123">
        <v>0</v>
      </c>
      <c r="S364" s="123" t="s">
        <v>598</v>
      </c>
      <c r="T364" s="127" t="s">
        <v>2801</v>
      </c>
      <c r="U364" s="127" t="s">
        <v>122</v>
      </c>
      <c r="V364" s="127" t="s">
        <v>115</v>
      </c>
      <c r="W364" s="127"/>
      <c r="X364" s="127"/>
      <c r="Y364" s="127"/>
      <c r="Z364" s="127" t="s">
        <v>115</v>
      </c>
      <c r="AA364" s="127" t="s">
        <v>115</v>
      </c>
      <c r="AB364" s="127" t="s">
        <v>115</v>
      </c>
      <c r="AC364" s="127" t="s">
        <v>115</v>
      </c>
      <c r="AD364" s="127" t="s">
        <v>115</v>
      </c>
      <c r="AE364" s="127" t="s">
        <v>115</v>
      </c>
      <c r="AF364" s="127" t="s">
        <v>115</v>
      </c>
      <c r="AG364" s="127"/>
      <c r="AH364" s="123">
        <v>0</v>
      </c>
      <c r="AI364" s="123">
        <v>0</v>
      </c>
      <c r="AJ364" s="123">
        <v>0</v>
      </c>
      <c r="AK364" s="123">
        <v>0</v>
      </c>
      <c r="AL364" s="123">
        <v>0</v>
      </c>
      <c r="AN364" s="123">
        <f t="shared" si="5"/>
        <v>0</v>
      </c>
      <c r="AP364" s="123" t="s">
        <v>3204</v>
      </c>
    </row>
    <row r="365" spans="1:44" x14ac:dyDescent="0.2">
      <c r="A365" s="123" t="s">
        <v>3190</v>
      </c>
      <c r="B365" s="123" t="s">
        <v>3191</v>
      </c>
      <c r="C365" s="123">
        <v>3</v>
      </c>
      <c r="D365" s="123">
        <v>1</v>
      </c>
      <c r="E365" s="123" t="s">
        <v>2487</v>
      </c>
      <c r="F365" s="125">
        <v>43572</v>
      </c>
      <c r="G365" s="125" t="s">
        <v>4027</v>
      </c>
      <c r="H365" s="125" t="s">
        <v>4752</v>
      </c>
      <c r="I365" s="171">
        <v>2.2222222222222223E-2</v>
      </c>
      <c r="J365" s="173">
        <v>3.7037037037037035E-4</v>
      </c>
      <c r="K365" s="129">
        <v>32</v>
      </c>
      <c r="L365" s="123" t="s">
        <v>3187</v>
      </c>
      <c r="M365" s="123" t="s">
        <v>2488</v>
      </c>
      <c r="N365" s="123" t="s">
        <v>107</v>
      </c>
      <c r="O365" s="123" t="s">
        <v>115</v>
      </c>
      <c r="P365" s="123">
        <v>1</v>
      </c>
      <c r="Q365" s="123">
        <v>0</v>
      </c>
      <c r="R365" s="123">
        <v>0</v>
      </c>
      <c r="S365" s="123" t="s">
        <v>598</v>
      </c>
      <c r="T365" s="127" t="s">
        <v>2801</v>
      </c>
      <c r="U365" s="127" t="s">
        <v>2383</v>
      </c>
      <c r="V365" s="127" t="s">
        <v>115</v>
      </c>
      <c r="W365" s="127"/>
      <c r="X365" s="127"/>
      <c r="Y365" s="127"/>
      <c r="Z365" s="127" t="s">
        <v>115</v>
      </c>
      <c r="AA365" s="127" t="s">
        <v>115</v>
      </c>
      <c r="AB365" s="127" t="s">
        <v>115</v>
      </c>
      <c r="AC365" s="127" t="s">
        <v>115</v>
      </c>
      <c r="AD365" s="127" t="s">
        <v>115</v>
      </c>
      <c r="AE365" s="127" t="s">
        <v>115</v>
      </c>
      <c r="AF365" s="127" t="s">
        <v>115</v>
      </c>
      <c r="AG365" s="127"/>
      <c r="AH365" s="123">
        <v>0</v>
      </c>
      <c r="AI365" s="123">
        <v>0</v>
      </c>
      <c r="AJ365" s="123">
        <v>0</v>
      </c>
      <c r="AK365" s="123">
        <v>0</v>
      </c>
      <c r="AL365" s="123">
        <v>0</v>
      </c>
      <c r="AN365" s="123">
        <f t="shared" si="5"/>
        <v>0</v>
      </c>
      <c r="AP365" s="123" t="s">
        <v>2480</v>
      </c>
    </row>
    <row r="366" spans="1:44" x14ac:dyDescent="0.2">
      <c r="A366" s="123" t="s">
        <v>3194</v>
      </c>
      <c r="B366" s="123" t="s">
        <v>3195</v>
      </c>
      <c r="C366" s="123">
        <v>5</v>
      </c>
      <c r="D366" s="123">
        <v>1</v>
      </c>
      <c r="E366" s="123" t="s">
        <v>2487</v>
      </c>
      <c r="F366" s="125">
        <v>43572</v>
      </c>
      <c r="G366" s="125" t="s">
        <v>4027</v>
      </c>
      <c r="H366" s="125" t="s">
        <v>4752</v>
      </c>
      <c r="I366" s="171">
        <v>6.2499999999999995E-3</v>
      </c>
      <c r="J366" s="173">
        <v>1.0416666666666667E-4</v>
      </c>
      <c r="K366" s="129">
        <v>9</v>
      </c>
      <c r="L366" s="123" t="s">
        <v>3187</v>
      </c>
      <c r="M366" s="123" t="s">
        <v>2488</v>
      </c>
      <c r="N366" s="123" t="s">
        <v>102</v>
      </c>
      <c r="O366" s="123" t="s">
        <v>115</v>
      </c>
      <c r="P366" s="123">
        <v>1</v>
      </c>
      <c r="Q366" s="123">
        <v>0</v>
      </c>
      <c r="R366" s="123">
        <v>0</v>
      </c>
      <c r="S366" s="123" t="s">
        <v>14</v>
      </c>
      <c r="T366" s="127" t="s">
        <v>14</v>
      </c>
      <c r="U366" s="127" t="s">
        <v>122</v>
      </c>
      <c r="V366" s="127" t="s">
        <v>115</v>
      </c>
      <c r="W366" s="127"/>
      <c r="X366" s="127"/>
      <c r="Y366" s="127"/>
      <c r="Z366" s="127" t="s">
        <v>115</v>
      </c>
      <c r="AA366" s="127" t="s">
        <v>115</v>
      </c>
      <c r="AB366" s="127" t="s">
        <v>115</v>
      </c>
      <c r="AC366" s="127" t="s">
        <v>115</v>
      </c>
      <c r="AD366" s="127" t="s">
        <v>115</v>
      </c>
      <c r="AE366" s="127" t="s">
        <v>115</v>
      </c>
      <c r="AF366" s="127" t="s">
        <v>115</v>
      </c>
      <c r="AG366" s="127"/>
      <c r="AH366" s="123">
        <v>0</v>
      </c>
      <c r="AI366" s="123">
        <v>0</v>
      </c>
      <c r="AJ366" s="123">
        <v>0</v>
      </c>
      <c r="AK366" s="123">
        <v>0</v>
      </c>
      <c r="AL366" s="123">
        <v>9</v>
      </c>
      <c r="AN366" s="123">
        <f t="shared" si="5"/>
        <v>9</v>
      </c>
    </row>
    <row r="367" spans="1:44" x14ac:dyDescent="0.2">
      <c r="A367" s="123" t="s">
        <v>3205</v>
      </c>
      <c r="B367" s="123" t="s">
        <v>3206</v>
      </c>
      <c r="C367" s="123">
        <v>10</v>
      </c>
      <c r="D367" s="123">
        <v>1</v>
      </c>
      <c r="E367" s="123" t="s">
        <v>2487</v>
      </c>
      <c r="F367" s="125">
        <v>43572</v>
      </c>
      <c r="G367" s="125" t="s">
        <v>4027</v>
      </c>
      <c r="H367" s="125" t="s">
        <v>4752</v>
      </c>
      <c r="I367" s="171">
        <v>1.1805555555555555E-2</v>
      </c>
      <c r="J367" s="173">
        <v>1.9675925925925926E-4</v>
      </c>
      <c r="K367" s="129">
        <v>17</v>
      </c>
      <c r="L367" s="123" t="s">
        <v>3187</v>
      </c>
      <c r="M367" s="123" t="s">
        <v>2488</v>
      </c>
      <c r="N367" s="123" t="s">
        <v>107</v>
      </c>
      <c r="O367" s="123" t="s">
        <v>115</v>
      </c>
      <c r="P367" s="123">
        <v>0</v>
      </c>
      <c r="Q367" s="123">
        <v>0</v>
      </c>
      <c r="R367" s="123">
        <v>0</v>
      </c>
      <c r="S367" s="123" t="s">
        <v>598</v>
      </c>
      <c r="T367" s="127" t="s">
        <v>2801</v>
      </c>
      <c r="U367" s="127" t="s">
        <v>115</v>
      </c>
      <c r="V367" s="127" t="s">
        <v>115</v>
      </c>
      <c r="W367" s="127"/>
      <c r="X367" s="127"/>
      <c r="Y367" s="127"/>
      <c r="Z367" s="127" t="s">
        <v>115</v>
      </c>
      <c r="AA367" s="127" t="s">
        <v>115</v>
      </c>
      <c r="AB367" s="127" t="s">
        <v>115</v>
      </c>
      <c r="AC367" s="127" t="s">
        <v>115</v>
      </c>
      <c r="AD367" s="127" t="s">
        <v>115</v>
      </c>
      <c r="AE367" s="127" t="s">
        <v>115</v>
      </c>
      <c r="AF367" s="127" t="s">
        <v>115</v>
      </c>
      <c r="AG367" s="127"/>
      <c r="AH367" s="123">
        <v>0</v>
      </c>
      <c r="AI367" s="123">
        <v>0</v>
      </c>
      <c r="AJ367" s="123">
        <v>0</v>
      </c>
      <c r="AK367" s="123">
        <v>0</v>
      </c>
      <c r="AL367" s="123">
        <v>0</v>
      </c>
      <c r="AN367" s="123">
        <f t="shared" si="5"/>
        <v>0</v>
      </c>
    </row>
    <row r="368" spans="1:44" x14ac:dyDescent="0.2">
      <c r="A368" s="123" t="s">
        <v>3207</v>
      </c>
      <c r="B368" s="123" t="s">
        <v>3208</v>
      </c>
      <c r="C368" s="123">
        <v>11</v>
      </c>
      <c r="D368" s="123">
        <v>1</v>
      </c>
      <c r="E368" s="123" t="s">
        <v>2487</v>
      </c>
      <c r="F368" s="125">
        <v>43572</v>
      </c>
      <c r="G368" s="125" t="s">
        <v>4027</v>
      </c>
      <c r="H368" s="125" t="s">
        <v>4752</v>
      </c>
      <c r="I368" s="171">
        <v>1.8749999999999999E-2</v>
      </c>
      <c r="J368" s="173">
        <v>3.1250000000000001E-4</v>
      </c>
      <c r="K368" s="129">
        <v>27</v>
      </c>
      <c r="L368" s="123" t="s">
        <v>3187</v>
      </c>
      <c r="M368" s="123" t="s">
        <v>2488</v>
      </c>
      <c r="N368" s="123" t="s">
        <v>107</v>
      </c>
      <c r="O368" s="123" t="s">
        <v>115</v>
      </c>
      <c r="P368" s="123">
        <v>0</v>
      </c>
      <c r="Q368" s="123">
        <v>0</v>
      </c>
      <c r="R368" s="123">
        <v>0</v>
      </c>
      <c r="S368" s="123" t="s">
        <v>598</v>
      </c>
      <c r="T368" s="127" t="s">
        <v>2801</v>
      </c>
      <c r="U368" s="127" t="s">
        <v>115</v>
      </c>
      <c r="V368" s="127" t="s">
        <v>115</v>
      </c>
      <c r="W368" s="127"/>
      <c r="X368" s="127"/>
      <c r="Y368" s="127"/>
      <c r="Z368" s="127" t="s">
        <v>115</v>
      </c>
      <c r="AA368" s="127" t="s">
        <v>115</v>
      </c>
      <c r="AB368" s="127" t="s">
        <v>115</v>
      </c>
      <c r="AC368" s="127" t="s">
        <v>115</v>
      </c>
      <c r="AD368" s="127" t="s">
        <v>115</v>
      </c>
      <c r="AE368" s="127" t="s">
        <v>115</v>
      </c>
      <c r="AF368" s="127" t="s">
        <v>115</v>
      </c>
      <c r="AG368" s="127"/>
      <c r="AH368" s="123">
        <v>0</v>
      </c>
      <c r="AI368" s="123">
        <v>0</v>
      </c>
      <c r="AJ368" s="123">
        <v>0</v>
      </c>
      <c r="AK368" s="123">
        <v>0</v>
      </c>
      <c r="AL368" s="123">
        <v>0</v>
      </c>
      <c r="AN368" s="123">
        <f t="shared" si="5"/>
        <v>0</v>
      </c>
    </row>
    <row r="369" spans="1:44" x14ac:dyDescent="0.2">
      <c r="A369" s="123" t="s">
        <v>3209</v>
      </c>
      <c r="B369" s="123" t="s">
        <v>3210</v>
      </c>
      <c r="C369" s="123">
        <v>12</v>
      </c>
      <c r="D369" s="123">
        <v>1</v>
      </c>
      <c r="E369" s="123" t="s">
        <v>2487</v>
      </c>
      <c r="F369" s="125">
        <v>43572</v>
      </c>
      <c r="G369" s="125" t="s">
        <v>4027</v>
      </c>
      <c r="H369" s="125" t="s">
        <v>4752</v>
      </c>
      <c r="I369" s="171">
        <v>7.7083333333333337E-2</v>
      </c>
      <c r="J369" s="173">
        <v>1.2847222222222223E-3</v>
      </c>
      <c r="K369" s="129">
        <v>111</v>
      </c>
      <c r="L369" s="123" t="s">
        <v>3187</v>
      </c>
      <c r="M369" s="123" t="s">
        <v>2488</v>
      </c>
      <c r="N369" s="123" t="s">
        <v>1626</v>
      </c>
      <c r="O369" s="123" t="s">
        <v>23</v>
      </c>
      <c r="P369" s="123">
        <v>0</v>
      </c>
      <c r="Q369" s="123">
        <v>0</v>
      </c>
      <c r="R369" s="123">
        <v>0</v>
      </c>
      <c r="S369" s="123" t="s">
        <v>598</v>
      </c>
      <c r="T369" s="127" t="s">
        <v>2801</v>
      </c>
      <c r="U369" s="127" t="s">
        <v>115</v>
      </c>
      <c r="V369" s="127" t="s">
        <v>115</v>
      </c>
      <c r="W369" s="127"/>
      <c r="X369" s="127"/>
      <c r="Y369" s="127"/>
      <c r="Z369" s="127" t="s">
        <v>115</v>
      </c>
      <c r="AA369" s="127" t="s">
        <v>115</v>
      </c>
      <c r="AB369" s="127" t="s">
        <v>115</v>
      </c>
      <c r="AC369" s="127" t="s">
        <v>115</v>
      </c>
      <c r="AD369" s="127" t="s">
        <v>115</v>
      </c>
      <c r="AE369" s="127" t="s">
        <v>115</v>
      </c>
      <c r="AF369" s="127" t="s">
        <v>115</v>
      </c>
      <c r="AG369" s="127"/>
      <c r="AH369" s="123">
        <v>25</v>
      </c>
      <c r="AI369" s="123">
        <v>0</v>
      </c>
      <c r="AJ369" s="123">
        <v>25</v>
      </c>
      <c r="AK369" s="123">
        <v>0</v>
      </c>
      <c r="AL369" s="123">
        <v>0</v>
      </c>
      <c r="AN369" s="123">
        <f t="shared" si="5"/>
        <v>25</v>
      </c>
      <c r="AP369" s="123" t="s">
        <v>3211</v>
      </c>
    </row>
    <row r="370" spans="1:44" x14ac:dyDescent="0.2">
      <c r="A370" s="123" t="s">
        <v>3216</v>
      </c>
      <c r="B370" s="123" t="s">
        <v>3217</v>
      </c>
      <c r="C370" s="123">
        <v>15</v>
      </c>
      <c r="D370" s="123">
        <v>1</v>
      </c>
      <c r="E370" s="123" t="s">
        <v>2487</v>
      </c>
      <c r="F370" s="125">
        <v>43572</v>
      </c>
      <c r="G370" s="125" t="s">
        <v>4027</v>
      </c>
      <c r="H370" s="125" t="s">
        <v>4752</v>
      </c>
      <c r="I370" s="171">
        <v>3.1944444444444449E-2</v>
      </c>
      <c r="J370" s="173">
        <v>5.3240740740740744E-4</v>
      </c>
      <c r="K370" s="129">
        <v>46</v>
      </c>
      <c r="L370" s="123" t="s">
        <v>3187</v>
      </c>
      <c r="M370" s="123" t="s">
        <v>2488</v>
      </c>
      <c r="N370" s="123" t="s">
        <v>102</v>
      </c>
      <c r="O370" s="123" t="s">
        <v>23</v>
      </c>
      <c r="P370" s="123">
        <v>0</v>
      </c>
      <c r="Q370" s="123">
        <v>0</v>
      </c>
      <c r="R370" s="123">
        <v>0</v>
      </c>
      <c r="T370" s="127" t="s">
        <v>115</v>
      </c>
      <c r="U370" s="127" t="s">
        <v>115</v>
      </c>
      <c r="V370" s="127" t="s">
        <v>115</v>
      </c>
      <c r="W370" s="127"/>
      <c r="X370" s="127"/>
      <c r="Y370" s="127"/>
      <c r="Z370" s="127" t="s">
        <v>115</v>
      </c>
      <c r="AA370" s="127" t="s">
        <v>115</v>
      </c>
      <c r="AB370" s="127" t="s">
        <v>115</v>
      </c>
      <c r="AC370" s="127" t="s">
        <v>115</v>
      </c>
      <c r="AD370" s="127" t="s">
        <v>115</v>
      </c>
      <c r="AE370" s="127" t="s">
        <v>115</v>
      </c>
      <c r="AF370" s="127" t="s">
        <v>115</v>
      </c>
      <c r="AG370" s="127"/>
      <c r="AH370" s="123">
        <v>13</v>
      </c>
      <c r="AI370" s="123">
        <v>0</v>
      </c>
      <c r="AJ370" s="123">
        <v>11</v>
      </c>
      <c r="AK370" s="123">
        <v>2</v>
      </c>
      <c r="AL370" s="123">
        <v>21</v>
      </c>
      <c r="AN370" s="123">
        <f t="shared" si="5"/>
        <v>34</v>
      </c>
      <c r="AO370" s="123" t="s">
        <v>2374</v>
      </c>
      <c r="AQ370" s="123">
        <v>2</v>
      </c>
    </row>
    <row r="371" spans="1:44" x14ac:dyDescent="0.2">
      <c r="A371" s="123" t="s">
        <v>3196</v>
      </c>
      <c r="B371" s="123" t="s">
        <v>3197</v>
      </c>
      <c r="C371" s="123">
        <v>6</v>
      </c>
      <c r="D371" s="123">
        <v>1</v>
      </c>
      <c r="E371" s="123" t="s">
        <v>2487</v>
      </c>
      <c r="F371" s="125">
        <v>43572</v>
      </c>
      <c r="G371" s="125" t="s">
        <v>4027</v>
      </c>
      <c r="H371" s="125" t="s">
        <v>4752</v>
      </c>
      <c r="I371" s="171">
        <v>1.2499999999999999E-2</v>
      </c>
      <c r="J371" s="173">
        <v>2.0833333333333335E-4</v>
      </c>
      <c r="K371" s="129">
        <v>18</v>
      </c>
      <c r="L371" s="123" t="s">
        <v>3187</v>
      </c>
      <c r="M371" s="123" t="s">
        <v>2488</v>
      </c>
      <c r="N371" s="123" t="s">
        <v>102</v>
      </c>
      <c r="O371" s="123" t="s">
        <v>115</v>
      </c>
      <c r="P371" s="123">
        <v>0</v>
      </c>
      <c r="Q371" s="123">
        <v>0</v>
      </c>
      <c r="R371" s="123">
        <v>0</v>
      </c>
      <c r="T371" s="127" t="s">
        <v>115</v>
      </c>
      <c r="U371" s="127" t="s">
        <v>115</v>
      </c>
      <c r="V371" s="127" t="s">
        <v>115</v>
      </c>
      <c r="W371" s="127"/>
      <c r="X371" s="127"/>
      <c r="Y371" s="127"/>
      <c r="Z371" s="127" t="s">
        <v>115</v>
      </c>
      <c r="AA371" s="127" t="s">
        <v>115</v>
      </c>
      <c r="AB371" s="127" t="s">
        <v>115</v>
      </c>
      <c r="AC371" s="127" t="s">
        <v>115</v>
      </c>
      <c r="AD371" s="127" t="s">
        <v>115</v>
      </c>
      <c r="AE371" s="127" t="s">
        <v>115</v>
      </c>
      <c r="AF371" s="127" t="s">
        <v>115</v>
      </c>
      <c r="AG371" s="127"/>
      <c r="AH371" s="123">
        <v>0</v>
      </c>
      <c r="AI371" s="123">
        <v>0</v>
      </c>
      <c r="AJ371" s="123">
        <v>0</v>
      </c>
      <c r="AK371" s="123">
        <v>0</v>
      </c>
      <c r="AL371" s="123">
        <v>18</v>
      </c>
      <c r="AN371" s="123">
        <f t="shared" si="5"/>
        <v>18</v>
      </c>
    </row>
    <row r="372" spans="1:44" x14ac:dyDescent="0.2">
      <c r="A372" s="123" t="s">
        <v>3293</v>
      </c>
      <c r="B372" s="123" t="s">
        <v>3294</v>
      </c>
      <c r="C372" s="123">
        <v>5</v>
      </c>
      <c r="D372" s="123">
        <v>1</v>
      </c>
      <c r="E372" s="123" t="s">
        <v>2487</v>
      </c>
      <c r="F372" s="125">
        <v>43574</v>
      </c>
      <c r="G372" s="125" t="s">
        <v>4027</v>
      </c>
      <c r="H372" s="125" t="s">
        <v>4752</v>
      </c>
      <c r="I372" s="171">
        <v>1.9444444444444445E-2</v>
      </c>
      <c r="J372" s="173">
        <v>3.2407407407407406E-4</v>
      </c>
      <c r="K372" s="129">
        <v>28</v>
      </c>
      <c r="L372" s="123" t="s">
        <v>101</v>
      </c>
      <c r="M372" s="123" t="s">
        <v>2488</v>
      </c>
      <c r="N372" s="123" t="s">
        <v>107</v>
      </c>
      <c r="O372" s="123" t="s">
        <v>23</v>
      </c>
      <c r="P372" s="123">
        <v>1</v>
      </c>
      <c r="Q372" s="123" t="s">
        <v>24</v>
      </c>
      <c r="R372" s="123">
        <v>0</v>
      </c>
      <c r="S372" s="123" t="s">
        <v>176</v>
      </c>
      <c r="T372" s="127" t="s">
        <v>24</v>
      </c>
      <c r="U372" s="127" t="s">
        <v>487</v>
      </c>
      <c r="V372" s="127" t="s">
        <v>115</v>
      </c>
      <c r="W372" s="127"/>
      <c r="X372" s="127"/>
      <c r="Y372" s="127"/>
      <c r="Z372" s="127" t="s">
        <v>115</v>
      </c>
      <c r="AA372" s="127" t="s">
        <v>115</v>
      </c>
      <c r="AB372" s="127" t="s">
        <v>115</v>
      </c>
      <c r="AC372" s="127" t="s">
        <v>115</v>
      </c>
      <c r="AD372" s="127" t="s">
        <v>115</v>
      </c>
      <c r="AE372" s="127" t="s">
        <v>115</v>
      </c>
      <c r="AF372" s="127" t="s">
        <v>115</v>
      </c>
      <c r="AG372" s="127" t="s">
        <v>115</v>
      </c>
      <c r="AH372" s="123">
        <v>0</v>
      </c>
      <c r="AI372" s="123">
        <v>0</v>
      </c>
      <c r="AJ372" s="123">
        <v>0</v>
      </c>
      <c r="AK372" s="123">
        <v>0</v>
      </c>
      <c r="AL372" s="123">
        <v>0</v>
      </c>
      <c r="AN372" s="123">
        <f t="shared" si="5"/>
        <v>0</v>
      </c>
      <c r="AP372" s="123" t="s">
        <v>2480</v>
      </c>
    </row>
    <row r="373" spans="1:44" x14ac:dyDescent="0.2">
      <c r="A373" s="123" t="s">
        <v>3291</v>
      </c>
      <c r="B373" s="123" t="s">
        <v>3292</v>
      </c>
      <c r="C373" s="123">
        <v>4</v>
      </c>
      <c r="D373" s="123">
        <v>1</v>
      </c>
      <c r="E373" s="123" t="s">
        <v>2487</v>
      </c>
      <c r="F373" s="125">
        <v>43574</v>
      </c>
      <c r="G373" s="125" t="s">
        <v>4027</v>
      </c>
      <c r="H373" s="125" t="s">
        <v>4752</v>
      </c>
      <c r="I373" s="171">
        <v>2.013888888888889E-2</v>
      </c>
      <c r="J373" s="173">
        <v>3.3564814814814812E-4</v>
      </c>
      <c r="K373" s="129">
        <v>29</v>
      </c>
      <c r="L373" s="123" t="s">
        <v>101</v>
      </c>
      <c r="M373" s="123" t="s">
        <v>2488</v>
      </c>
      <c r="N373" s="123" t="s">
        <v>102</v>
      </c>
      <c r="O373" s="123" t="s">
        <v>23</v>
      </c>
      <c r="P373" s="123">
        <v>1</v>
      </c>
      <c r="Q373" s="123" t="s">
        <v>24</v>
      </c>
      <c r="R373" s="123">
        <v>0</v>
      </c>
      <c r="S373" s="123" t="s">
        <v>176</v>
      </c>
      <c r="T373" s="127" t="s">
        <v>24</v>
      </c>
      <c r="U373" s="127" t="s">
        <v>2061</v>
      </c>
      <c r="Z373" s="127" t="s">
        <v>115</v>
      </c>
      <c r="AA373" s="127" t="s">
        <v>115</v>
      </c>
      <c r="AB373" s="127" t="s">
        <v>115</v>
      </c>
      <c r="AC373" s="127" t="s">
        <v>115</v>
      </c>
      <c r="AD373" s="127" t="s">
        <v>115</v>
      </c>
      <c r="AE373" s="127" t="s">
        <v>115</v>
      </c>
      <c r="AF373" s="127" t="s">
        <v>115</v>
      </c>
      <c r="AG373" s="127" t="s">
        <v>115</v>
      </c>
      <c r="AH373" s="123">
        <v>0</v>
      </c>
      <c r="AI373" s="123">
        <v>25</v>
      </c>
      <c r="AJ373" s="123">
        <v>25</v>
      </c>
      <c r="AK373" s="123">
        <v>0</v>
      </c>
      <c r="AL373" s="123">
        <v>0</v>
      </c>
      <c r="AN373" s="123">
        <f t="shared" si="5"/>
        <v>25</v>
      </c>
      <c r="AO373" s="123" t="s">
        <v>188</v>
      </c>
    </row>
    <row r="374" spans="1:44" x14ac:dyDescent="0.2">
      <c r="A374" s="123" t="s">
        <v>3287</v>
      </c>
      <c r="B374" s="123" t="s">
        <v>3288</v>
      </c>
      <c r="C374" s="123">
        <v>2</v>
      </c>
      <c r="D374" s="123">
        <v>1</v>
      </c>
      <c r="E374" s="123" t="s">
        <v>2487</v>
      </c>
      <c r="F374" s="125">
        <v>43574</v>
      </c>
      <c r="G374" s="125" t="s">
        <v>4027</v>
      </c>
      <c r="H374" s="125" t="s">
        <v>4752</v>
      </c>
      <c r="I374" s="171">
        <v>1.5277777777777777E-2</v>
      </c>
      <c r="J374" s="173">
        <v>2.5462962962962961E-4</v>
      </c>
      <c r="K374" s="129">
        <v>22</v>
      </c>
      <c r="L374" s="123" t="s">
        <v>101</v>
      </c>
      <c r="M374" s="123" t="s">
        <v>2488</v>
      </c>
      <c r="N374" s="123" t="s">
        <v>102</v>
      </c>
      <c r="O374" s="123" t="s">
        <v>516</v>
      </c>
      <c r="P374" s="123">
        <v>0</v>
      </c>
      <c r="Q374" s="123">
        <v>0</v>
      </c>
      <c r="R374" s="123">
        <v>0</v>
      </c>
      <c r="T374" s="127" t="s">
        <v>115</v>
      </c>
      <c r="U374" s="127" t="s">
        <v>115</v>
      </c>
      <c r="V374" s="127" t="s">
        <v>115</v>
      </c>
      <c r="W374" s="127"/>
      <c r="X374" s="127"/>
      <c r="Y374" s="127"/>
      <c r="Z374" s="127" t="s">
        <v>115</v>
      </c>
      <c r="AA374" s="127" t="s">
        <v>115</v>
      </c>
      <c r="AB374" s="127" t="s">
        <v>115</v>
      </c>
      <c r="AC374" s="127" t="s">
        <v>115</v>
      </c>
      <c r="AD374" s="127" t="s">
        <v>115</v>
      </c>
      <c r="AE374" s="127" t="s">
        <v>115</v>
      </c>
      <c r="AF374" s="127" t="s">
        <v>115</v>
      </c>
      <c r="AG374" s="127" t="s">
        <v>115</v>
      </c>
      <c r="AH374" s="123">
        <v>22</v>
      </c>
      <c r="AI374" s="123">
        <v>0</v>
      </c>
      <c r="AJ374" s="123">
        <v>0</v>
      </c>
      <c r="AK374" s="123">
        <v>22</v>
      </c>
      <c r="AL374" s="123">
        <v>0</v>
      </c>
      <c r="AN374" s="123">
        <f t="shared" si="5"/>
        <v>22</v>
      </c>
      <c r="AO374" s="123" t="s">
        <v>2374</v>
      </c>
      <c r="AQ374" s="123">
        <v>2</v>
      </c>
      <c r="AR374" s="123">
        <v>0</v>
      </c>
    </row>
    <row r="375" spans="1:44" x14ac:dyDescent="0.2">
      <c r="A375" s="123" t="s">
        <v>3635</v>
      </c>
      <c r="B375" s="123" t="s">
        <v>3641</v>
      </c>
      <c r="C375" s="123">
        <v>6</v>
      </c>
      <c r="D375" s="123">
        <v>1</v>
      </c>
      <c r="E375" s="123" t="s">
        <v>2487</v>
      </c>
      <c r="F375" s="125">
        <v>43585</v>
      </c>
      <c r="G375" s="125" t="s">
        <v>4027</v>
      </c>
      <c r="H375" s="125" t="s">
        <v>4752</v>
      </c>
      <c r="I375" s="171">
        <v>3.472222222222222E-3</v>
      </c>
      <c r="J375" s="173">
        <v>5.7870370370370366E-5</v>
      </c>
      <c r="K375" s="129">
        <v>5</v>
      </c>
      <c r="L375" s="123" t="s">
        <v>3626</v>
      </c>
      <c r="M375" s="123" t="s">
        <v>2488</v>
      </c>
      <c r="N375" s="123" t="s">
        <v>102</v>
      </c>
      <c r="O375" s="123" t="s">
        <v>115</v>
      </c>
      <c r="P375" s="123">
        <v>0</v>
      </c>
      <c r="Q375" s="123">
        <v>0</v>
      </c>
      <c r="R375" s="123">
        <v>1</v>
      </c>
      <c r="S375" s="123" t="s">
        <v>176</v>
      </c>
      <c r="T375" s="127" t="s">
        <v>24</v>
      </c>
      <c r="U375" s="127" t="s">
        <v>24</v>
      </c>
      <c r="V375" s="127" t="s">
        <v>2088</v>
      </c>
      <c r="W375" s="127" t="s">
        <v>23</v>
      </c>
      <c r="X375" s="127" t="s">
        <v>3997</v>
      </c>
      <c r="Y375" s="127" t="s">
        <v>4021</v>
      </c>
      <c r="Z375" s="127" t="s">
        <v>2457</v>
      </c>
      <c r="AA375" s="123">
        <v>50</v>
      </c>
      <c r="AB375" s="127" t="s">
        <v>176</v>
      </c>
      <c r="AC375" s="123">
        <v>63.720140000000001</v>
      </c>
      <c r="AD375" s="123">
        <v>148.98885999999999</v>
      </c>
      <c r="AE375" s="127" t="s">
        <v>115</v>
      </c>
      <c r="AF375" s="127" t="s">
        <v>115</v>
      </c>
      <c r="AG375" s="127" t="s">
        <v>115</v>
      </c>
      <c r="AH375" s="123">
        <v>0</v>
      </c>
      <c r="AI375" s="123">
        <v>0</v>
      </c>
      <c r="AJ375" s="123">
        <v>0</v>
      </c>
      <c r="AK375" s="123">
        <v>0</v>
      </c>
      <c r="AL375" s="123">
        <v>0</v>
      </c>
      <c r="AN375" s="123">
        <f t="shared" si="5"/>
        <v>0</v>
      </c>
      <c r="AP375" s="123" t="s">
        <v>3636</v>
      </c>
    </row>
    <row r="376" spans="1:44" x14ac:dyDescent="0.2">
      <c r="A376" s="123" t="s">
        <v>3661</v>
      </c>
      <c r="B376" s="123" t="s">
        <v>3660</v>
      </c>
      <c r="C376" s="123">
        <v>15</v>
      </c>
      <c r="D376" s="123">
        <v>1</v>
      </c>
      <c r="E376" s="123" t="s">
        <v>2487</v>
      </c>
      <c r="F376" s="125">
        <v>43585</v>
      </c>
      <c r="G376" s="125" t="s">
        <v>4027</v>
      </c>
      <c r="H376" s="125" t="s">
        <v>4752</v>
      </c>
      <c r="I376" s="171">
        <v>0.15416666666666667</v>
      </c>
      <c r="J376" s="173">
        <v>2.5694444444444445E-3</v>
      </c>
      <c r="K376" s="129">
        <v>222</v>
      </c>
      <c r="L376" s="123" t="s">
        <v>3626</v>
      </c>
      <c r="M376" s="123" t="s">
        <v>2488</v>
      </c>
      <c r="N376" s="123" t="s">
        <v>102</v>
      </c>
      <c r="O376" s="123" t="s">
        <v>115</v>
      </c>
      <c r="P376" s="123">
        <v>1</v>
      </c>
      <c r="Q376" s="123">
        <v>0</v>
      </c>
      <c r="R376" s="123">
        <v>0</v>
      </c>
      <c r="S376" s="123" t="s">
        <v>176</v>
      </c>
      <c r="T376" s="127" t="s">
        <v>24</v>
      </c>
      <c r="U376" s="127" t="s">
        <v>122</v>
      </c>
      <c r="V376" s="127" t="s">
        <v>115</v>
      </c>
      <c r="W376" s="127"/>
      <c r="X376" s="127"/>
      <c r="Y376" s="127"/>
      <c r="Z376" s="127" t="s">
        <v>115</v>
      </c>
      <c r="AA376" s="127" t="s">
        <v>115</v>
      </c>
      <c r="AB376" s="127" t="s">
        <v>115</v>
      </c>
      <c r="AC376" s="127" t="s">
        <v>115</v>
      </c>
      <c r="AD376" s="127" t="s">
        <v>115</v>
      </c>
      <c r="AE376" s="127" t="s">
        <v>115</v>
      </c>
      <c r="AF376" s="127" t="s">
        <v>115</v>
      </c>
      <c r="AG376" s="127" t="s">
        <v>115</v>
      </c>
      <c r="AH376" s="123">
        <v>0</v>
      </c>
      <c r="AI376" s="123">
        <v>0</v>
      </c>
      <c r="AJ376" s="123">
        <v>0</v>
      </c>
      <c r="AK376" s="123">
        <v>0</v>
      </c>
      <c r="AL376" s="123">
        <v>54</v>
      </c>
      <c r="AN376" s="123">
        <f t="shared" si="5"/>
        <v>54</v>
      </c>
    </row>
    <row r="377" spans="1:44" x14ac:dyDescent="0.2">
      <c r="A377" s="123" t="s">
        <v>3668</v>
      </c>
      <c r="B377" s="123" t="s">
        <v>3665</v>
      </c>
      <c r="C377" s="123">
        <v>17</v>
      </c>
      <c r="D377" s="123">
        <v>1</v>
      </c>
      <c r="E377" s="123" t="s">
        <v>2487</v>
      </c>
      <c r="F377" s="125">
        <v>43585</v>
      </c>
      <c r="G377" s="125" t="s">
        <v>4027</v>
      </c>
      <c r="H377" s="125" t="s">
        <v>4752</v>
      </c>
      <c r="I377" s="171">
        <v>1.8055555555555557E-2</v>
      </c>
      <c r="J377" s="173">
        <v>3.0092592592592595E-4</v>
      </c>
      <c r="K377" s="129">
        <v>26</v>
      </c>
      <c r="L377" s="123" t="s">
        <v>3626</v>
      </c>
      <c r="M377" s="123" t="s">
        <v>2488</v>
      </c>
      <c r="N377" s="123" t="s">
        <v>102</v>
      </c>
      <c r="O377" s="123" t="s">
        <v>115</v>
      </c>
      <c r="P377" s="123">
        <v>1</v>
      </c>
      <c r="Q377" s="123">
        <v>0</v>
      </c>
      <c r="R377" s="123">
        <v>0</v>
      </c>
      <c r="S377" s="123" t="s">
        <v>176</v>
      </c>
      <c r="T377" s="127" t="s">
        <v>24</v>
      </c>
      <c r="U377" s="127" t="s">
        <v>122</v>
      </c>
      <c r="V377" s="127" t="s">
        <v>115</v>
      </c>
      <c r="W377" s="127"/>
      <c r="X377" s="127"/>
      <c r="Y377" s="127"/>
      <c r="Z377" s="127" t="s">
        <v>115</v>
      </c>
      <c r="AA377" s="127" t="s">
        <v>115</v>
      </c>
      <c r="AB377" s="127" t="s">
        <v>115</v>
      </c>
      <c r="AC377" s="127" t="s">
        <v>115</v>
      </c>
      <c r="AD377" s="127" t="s">
        <v>115</v>
      </c>
      <c r="AE377" s="127" t="s">
        <v>115</v>
      </c>
      <c r="AF377" s="127" t="s">
        <v>115</v>
      </c>
      <c r="AG377" s="127" t="s">
        <v>115</v>
      </c>
      <c r="AH377" s="123">
        <v>0</v>
      </c>
      <c r="AI377" s="123">
        <v>0</v>
      </c>
      <c r="AJ377" s="123">
        <v>0</v>
      </c>
      <c r="AK377" s="123">
        <v>0</v>
      </c>
      <c r="AL377" s="123">
        <v>26</v>
      </c>
      <c r="AN377" s="123">
        <f t="shared" si="5"/>
        <v>26</v>
      </c>
      <c r="AO377" s="123" t="s">
        <v>188</v>
      </c>
    </row>
    <row r="378" spans="1:44" x14ac:dyDescent="0.2">
      <c r="A378" s="123" t="s">
        <v>3634</v>
      </c>
      <c r="B378" s="123" t="s">
        <v>3640</v>
      </c>
      <c r="C378" s="123">
        <v>5</v>
      </c>
      <c r="D378" s="123">
        <v>1</v>
      </c>
      <c r="E378" s="123" t="s">
        <v>2487</v>
      </c>
      <c r="F378" s="125">
        <v>43585</v>
      </c>
      <c r="G378" s="125" t="s">
        <v>4027</v>
      </c>
      <c r="H378" s="125" t="s">
        <v>4752</v>
      </c>
      <c r="I378" s="171">
        <v>4.9999999999999996E-2</v>
      </c>
      <c r="J378" s="173">
        <v>8.3333333333333339E-4</v>
      </c>
      <c r="K378" s="129">
        <v>72</v>
      </c>
      <c r="L378" s="123" t="s">
        <v>3626</v>
      </c>
      <c r="M378" s="123" t="s">
        <v>2488</v>
      </c>
      <c r="N378" s="123" t="s">
        <v>102</v>
      </c>
      <c r="O378" s="123" t="s">
        <v>115</v>
      </c>
      <c r="P378" s="123">
        <v>2</v>
      </c>
      <c r="Q378" s="123">
        <v>0</v>
      </c>
      <c r="R378" s="123">
        <v>0</v>
      </c>
      <c r="S378" s="123" t="s">
        <v>176</v>
      </c>
      <c r="T378" s="127" t="s">
        <v>24</v>
      </c>
      <c r="U378" s="127" t="s">
        <v>122</v>
      </c>
      <c r="V378" s="127" t="s">
        <v>115</v>
      </c>
      <c r="W378" s="127"/>
      <c r="X378" s="127"/>
      <c r="Y378" s="127"/>
      <c r="Z378" s="127" t="s">
        <v>115</v>
      </c>
      <c r="AA378" s="127" t="s">
        <v>115</v>
      </c>
      <c r="AB378" s="127" t="s">
        <v>115</v>
      </c>
      <c r="AC378" s="127" t="s">
        <v>115</v>
      </c>
      <c r="AD378" s="127" t="s">
        <v>115</v>
      </c>
      <c r="AE378" s="127" t="s">
        <v>115</v>
      </c>
      <c r="AF378" s="127" t="s">
        <v>115</v>
      </c>
      <c r="AG378" s="127" t="s">
        <v>115</v>
      </c>
      <c r="AH378" s="123">
        <v>0</v>
      </c>
      <c r="AI378" s="123">
        <v>0</v>
      </c>
      <c r="AJ378" s="123">
        <v>0</v>
      </c>
      <c r="AK378" s="123">
        <v>0</v>
      </c>
      <c r="AL378" s="123">
        <v>24</v>
      </c>
      <c r="AN378" s="123">
        <f t="shared" si="5"/>
        <v>24</v>
      </c>
      <c r="AO378" s="123" t="s">
        <v>188</v>
      </c>
    </row>
    <row r="379" spans="1:44" x14ac:dyDescent="0.2">
      <c r="A379" s="123" t="s">
        <v>3683</v>
      </c>
      <c r="B379" s="123" t="s">
        <v>3681</v>
      </c>
      <c r="C379" s="123">
        <v>24</v>
      </c>
      <c r="D379" s="123">
        <v>1</v>
      </c>
      <c r="E379" s="123" t="s">
        <v>2487</v>
      </c>
      <c r="F379" s="125">
        <v>43585</v>
      </c>
      <c r="G379" s="125" t="s">
        <v>4027</v>
      </c>
      <c r="H379" s="125" t="s">
        <v>4752</v>
      </c>
      <c r="I379" s="171">
        <v>7.9861111111111105E-2</v>
      </c>
      <c r="J379" s="173">
        <v>1.3310185185185185E-3</v>
      </c>
      <c r="K379" s="129">
        <v>115</v>
      </c>
      <c r="L379" s="123" t="s">
        <v>3626</v>
      </c>
      <c r="M379" s="123" t="s">
        <v>2488</v>
      </c>
      <c r="N379" s="123" t="s">
        <v>111</v>
      </c>
      <c r="O379" s="123" t="s">
        <v>23</v>
      </c>
      <c r="P379" s="123">
        <v>0</v>
      </c>
      <c r="Q379" s="123">
        <v>0</v>
      </c>
      <c r="R379" s="123">
        <v>1</v>
      </c>
      <c r="S379" s="123" t="s">
        <v>598</v>
      </c>
      <c r="T379" s="127" t="s">
        <v>2801</v>
      </c>
      <c r="U379" s="127" t="s">
        <v>115</v>
      </c>
      <c r="V379" s="127" t="s">
        <v>3599</v>
      </c>
      <c r="W379" s="127" t="s">
        <v>23</v>
      </c>
      <c r="X379" s="127" t="s">
        <v>3997</v>
      </c>
      <c r="Y379" s="127" t="s">
        <v>4006</v>
      </c>
      <c r="Z379" s="127" t="s">
        <v>2912</v>
      </c>
      <c r="AA379" s="123">
        <v>175</v>
      </c>
      <c r="AB379" s="123">
        <v>12</v>
      </c>
      <c r="AC379" s="123">
        <v>63.720010000000002</v>
      </c>
      <c r="AD379" s="123">
        <v>148.98734999999999</v>
      </c>
      <c r="AE379" s="127" t="s">
        <v>115</v>
      </c>
      <c r="AF379" s="127" t="s">
        <v>115</v>
      </c>
      <c r="AG379" s="127" t="s">
        <v>115</v>
      </c>
      <c r="AH379" s="123">
        <v>0</v>
      </c>
      <c r="AI379" s="123">
        <v>0</v>
      </c>
      <c r="AJ379" s="123">
        <v>0</v>
      </c>
      <c r="AK379" s="123">
        <v>0</v>
      </c>
      <c r="AL379" s="123">
        <v>0</v>
      </c>
      <c r="AN379" s="123">
        <f t="shared" si="5"/>
        <v>0</v>
      </c>
      <c r="AP379" s="123" t="s">
        <v>3611</v>
      </c>
    </row>
    <row r="380" spans="1:44" x14ac:dyDescent="0.2">
      <c r="A380" s="123" t="s">
        <v>3661</v>
      </c>
      <c r="B380" s="123" t="s">
        <v>3660</v>
      </c>
      <c r="C380" s="123">
        <v>15</v>
      </c>
      <c r="D380" s="123">
        <v>2</v>
      </c>
      <c r="E380" s="123" t="s">
        <v>2487</v>
      </c>
      <c r="F380" s="125">
        <v>43585</v>
      </c>
      <c r="G380" s="125" t="s">
        <v>4027</v>
      </c>
      <c r="H380" s="125" t="s">
        <v>4752</v>
      </c>
      <c r="I380" s="171">
        <v>0.15416666666666667</v>
      </c>
      <c r="J380" s="173">
        <v>2.5694444444444445E-3</v>
      </c>
      <c r="K380" s="129">
        <v>222</v>
      </c>
      <c r="L380" s="123" t="s">
        <v>3626</v>
      </c>
      <c r="M380" s="123" t="s">
        <v>2488</v>
      </c>
      <c r="N380" s="123" t="s">
        <v>102</v>
      </c>
      <c r="O380" s="123" t="s">
        <v>115</v>
      </c>
      <c r="P380" s="123">
        <v>1</v>
      </c>
      <c r="Q380" s="123">
        <v>0</v>
      </c>
      <c r="R380" s="123">
        <v>1</v>
      </c>
      <c r="S380" s="123" t="s">
        <v>598</v>
      </c>
      <c r="T380" s="127" t="s">
        <v>2437</v>
      </c>
      <c r="U380" s="127" t="s">
        <v>122</v>
      </c>
      <c r="V380" s="127" t="s">
        <v>2141</v>
      </c>
      <c r="W380" s="127" t="s">
        <v>23</v>
      </c>
      <c r="X380" s="127" t="s">
        <v>3997</v>
      </c>
      <c r="Y380" s="127" t="s">
        <v>4020</v>
      </c>
      <c r="Z380" s="127" t="s">
        <v>3653</v>
      </c>
      <c r="AA380" s="123">
        <v>220</v>
      </c>
      <c r="AB380" s="123">
        <v>4</v>
      </c>
      <c r="AC380" s="123">
        <v>63.720669999999998</v>
      </c>
      <c r="AD380" s="123">
        <v>148.98961</v>
      </c>
      <c r="AE380" s="127" t="s">
        <v>115</v>
      </c>
      <c r="AF380" s="127" t="s">
        <v>115</v>
      </c>
      <c r="AG380" s="127" t="s">
        <v>115</v>
      </c>
      <c r="AH380" s="123">
        <v>0</v>
      </c>
      <c r="AI380" s="123">
        <v>0</v>
      </c>
      <c r="AJ380" s="123">
        <v>0</v>
      </c>
      <c r="AK380" s="123">
        <v>0</v>
      </c>
      <c r="AL380" s="123">
        <v>168</v>
      </c>
      <c r="AN380" s="123">
        <f t="shared" si="5"/>
        <v>168</v>
      </c>
      <c r="AO380" s="123" t="s">
        <v>188</v>
      </c>
      <c r="AP380" s="123" t="s">
        <v>3663</v>
      </c>
    </row>
    <row r="381" spans="1:44" x14ac:dyDescent="0.2">
      <c r="A381" s="123" t="s">
        <v>3678</v>
      </c>
      <c r="B381" s="123" t="s">
        <v>3677</v>
      </c>
      <c r="C381" s="123">
        <v>22</v>
      </c>
      <c r="D381" s="123">
        <v>1</v>
      </c>
      <c r="E381" s="123" t="s">
        <v>2487</v>
      </c>
      <c r="F381" s="125">
        <v>43585</v>
      </c>
      <c r="G381" s="125" t="s">
        <v>4027</v>
      </c>
      <c r="H381" s="125" t="s">
        <v>4752</v>
      </c>
      <c r="I381" s="171">
        <v>2.4305555555555556E-2</v>
      </c>
      <c r="J381" s="173">
        <v>4.0509259259259258E-4</v>
      </c>
      <c r="K381" s="129">
        <v>35</v>
      </c>
      <c r="L381" s="123" t="s">
        <v>3626</v>
      </c>
      <c r="M381" s="123" t="s">
        <v>2488</v>
      </c>
      <c r="N381" s="123" t="s">
        <v>107</v>
      </c>
      <c r="O381" s="123" t="s">
        <v>115</v>
      </c>
      <c r="P381" s="123">
        <v>1</v>
      </c>
      <c r="Q381" s="123">
        <v>0</v>
      </c>
      <c r="R381" s="123">
        <v>0</v>
      </c>
      <c r="S381" s="123" t="s">
        <v>598</v>
      </c>
      <c r="T381" s="127" t="s">
        <v>2801</v>
      </c>
      <c r="U381" s="127" t="s">
        <v>122</v>
      </c>
      <c r="V381" s="127" t="s">
        <v>115</v>
      </c>
      <c r="W381" s="127"/>
      <c r="X381" s="127"/>
      <c r="Y381" s="127"/>
      <c r="Z381" s="127" t="s">
        <v>115</v>
      </c>
      <c r="AA381" s="127" t="s">
        <v>115</v>
      </c>
      <c r="AB381" s="127" t="s">
        <v>115</v>
      </c>
      <c r="AC381" s="127" t="s">
        <v>115</v>
      </c>
      <c r="AD381" s="127" t="s">
        <v>115</v>
      </c>
      <c r="AE381" s="127" t="s">
        <v>115</v>
      </c>
      <c r="AF381" s="127" t="s">
        <v>115</v>
      </c>
      <c r="AG381" s="127" t="s">
        <v>115</v>
      </c>
      <c r="AH381" s="123">
        <v>0</v>
      </c>
      <c r="AI381" s="123">
        <v>0</v>
      </c>
      <c r="AJ381" s="123">
        <v>0</v>
      </c>
      <c r="AK381" s="123">
        <v>0</v>
      </c>
      <c r="AL381" s="123">
        <v>0</v>
      </c>
      <c r="AN381" s="123">
        <f t="shared" si="5"/>
        <v>0</v>
      </c>
      <c r="AP381" s="123" t="s">
        <v>2480</v>
      </c>
    </row>
    <row r="382" spans="1:44" x14ac:dyDescent="0.2">
      <c r="A382" s="123" t="s">
        <v>3634</v>
      </c>
      <c r="B382" s="123" t="s">
        <v>3640</v>
      </c>
      <c r="C382" s="123">
        <v>5</v>
      </c>
      <c r="D382" s="123">
        <v>2</v>
      </c>
      <c r="E382" s="123" t="s">
        <v>2487</v>
      </c>
      <c r="F382" s="125">
        <v>43585</v>
      </c>
      <c r="G382" s="125" t="s">
        <v>4027</v>
      </c>
      <c r="H382" s="125" t="s">
        <v>4752</v>
      </c>
      <c r="I382" s="171">
        <v>4.9999999999999996E-2</v>
      </c>
      <c r="J382" s="173">
        <v>8.3333333333333339E-4</v>
      </c>
      <c r="K382" s="129">
        <v>72</v>
      </c>
      <c r="L382" s="123" t="s">
        <v>3626</v>
      </c>
      <c r="M382" s="123" t="s">
        <v>2488</v>
      </c>
      <c r="N382" s="123" t="s">
        <v>102</v>
      </c>
      <c r="O382" s="123" t="s">
        <v>115</v>
      </c>
      <c r="P382" s="123">
        <v>1</v>
      </c>
      <c r="Q382" s="123">
        <v>0</v>
      </c>
      <c r="R382" s="123">
        <v>0</v>
      </c>
      <c r="S382" s="123" t="s">
        <v>14</v>
      </c>
      <c r="T382" s="127" t="s">
        <v>14</v>
      </c>
      <c r="U382" s="127" t="s">
        <v>122</v>
      </c>
      <c r="V382" s="127" t="s">
        <v>115</v>
      </c>
      <c r="W382" s="127"/>
      <c r="X382" s="127"/>
      <c r="Y382" s="127"/>
      <c r="Z382" s="127" t="s">
        <v>115</v>
      </c>
      <c r="AA382" s="127" t="s">
        <v>115</v>
      </c>
      <c r="AB382" s="127" t="s">
        <v>115</v>
      </c>
      <c r="AC382" s="127" t="s">
        <v>115</v>
      </c>
      <c r="AD382" s="127" t="s">
        <v>115</v>
      </c>
      <c r="AE382" s="127" t="s">
        <v>115</v>
      </c>
      <c r="AF382" s="127" t="s">
        <v>115</v>
      </c>
      <c r="AG382" s="127" t="s">
        <v>115</v>
      </c>
      <c r="AH382" s="123">
        <v>0</v>
      </c>
      <c r="AI382" s="123">
        <v>0</v>
      </c>
      <c r="AJ382" s="123">
        <v>0</v>
      </c>
      <c r="AK382" s="123">
        <v>0</v>
      </c>
      <c r="AL382" s="123">
        <v>24</v>
      </c>
      <c r="AN382" s="123">
        <f t="shared" si="5"/>
        <v>24</v>
      </c>
      <c r="AO382" s="123" t="s">
        <v>188</v>
      </c>
    </row>
    <row r="383" spans="1:44" x14ac:dyDescent="0.2">
      <c r="A383" s="123" t="s">
        <v>3657</v>
      </c>
      <c r="B383" s="123" t="s">
        <v>3655</v>
      </c>
      <c r="C383" s="123">
        <v>13</v>
      </c>
      <c r="D383" s="123">
        <v>1</v>
      </c>
      <c r="E383" s="123" t="s">
        <v>2487</v>
      </c>
      <c r="F383" s="125">
        <v>43585</v>
      </c>
      <c r="G383" s="125" t="s">
        <v>4027</v>
      </c>
      <c r="H383" s="125" t="s">
        <v>4752</v>
      </c>
      <c r="I383" s="171">
        <v>4.1666666666666666E-3</v>
      </c>
      <c r="J383" s="173">
        <v>6.9444444444444444E-5</v>
      </c>
      <c r="K383" s="129">
        <v>6</v>
      </c>
      <c r="L383" s="123" t="s">
        <v>3626</v>
      </c>
      <c r="M383" s="123" t="s">
        <v>2488</v>
      </c>
      <c r="N383" s="123" t="s">
        <v>102</v>
      </c>
      <c r="O383" s="123" t="s">
        <v>115</v>
      </c>
      <c r="P383" s="123">
        <v>0</v>
      </c>
      <c r="Q383" s="123">
        <v>0</v>
      </c>
      <c r="R383" s="123">
        <v>0</v>
      </c>
      <c r="T383" s="127" t="s">
        <v>115</v>
      </c>
      <c r="U383" s="127" t="s">
        <v>115</v>
      </c>
      <c r="V383" s="127" t="s">
        <v>115</v>
      </c>
      <c r="W383" s="127"/>
      <c r="X383" s="127"/>
      <c r="Y383" s="127"/>
      <c r="Z383" s="127" t="s">
        <v>115</v>
      </c>
      <c r="AA383" s="127" t="s">
        <v>115</v>
      </c>
      <c r="AB383" s="127" t="s">
        <v>115</v>
      </c>
      <c r="AC383" s="127" t="s">
        <v>115</v>
      </c>
      <c r="AD383" s="127" t="s">
        <v>115</v>
      </c>
      <c r="AE383" s="127" t="s">
        <v>115</v>
      </c>
      <c r="AF383" s="127" t="s">
        <v>115</v>
      </c>
      <c r="AG383" s="127" t="s">
        <v>115</v>
      </c>
      <c r="AH383" s="123">
        <v>0</v>
      </c>
      <c r="AI383" s="123">
        <v>0</v>
      </c>
      <c r="AJ383" s="123">
        <v>0</v>
      </c>
      <c r="AK383" s="123">
        <v>0</v>
      </c>
      <c r="AL383" s="123">
        <v>6</v>
      </c>
      <c r="AN383" s="123">
        <f t="shared" si="5"/>
        <v>6</v>
      </c>
      <c r="AO383" s="123" t="s">
        <v>188</v>
      </c>
    </row>
    <row r="384" spans="1:44" x14ac:dyDescent="0.2">
      <c r="A384" s="123" t="s">
        <v>3680</v>
      </c>
      <c r="B384" s="123" t="s">
        <v>3679</v>
      </c>
      <c r="C384" s="123">
        <v>23</v>
      </c>
      <c r="D384" s="123">
        <v>1</v>
      </c>
      <c r="E384" s="123" t="s">
        <v>2487</v>
      </c>
      <c r="F384" s="125">
        <v>43585</v>
      </c>
      <c r="G384" s="125" t="s">
        <v>4027</v>
      </c>
      <c r="H384" s="125" t="s">
        <v>4752</v>
      </c>
      <c r="I384" s="171">
        <v>1.6666666666666666E-2</v>
      </c>
      <c r="J384" s="173">
        <v>2.7777777777777778E-4</v>
      </c>
      <c r="K384" s="129">
        <v>24</v>
      </c>
      <c r="L384" s="123" t="s">
        <v>3626</v>
      </c>
      <c r="M384" s="123" t="s">
        <v>2488</v>
      </c>
      <c r="N384" s="123" t="s">
        <v>107</v>
      </c>
      <c r="O384" s="123" t="s">
        <v>115</v>
      </c>
      <c r="P384" s="123">
        <v>0</v>
      </c>
      <c r="Q384" s="123">
        <v>0</v>
      </c>
      <c r="R384" s="123">
        <v>0</v>
      </c>
      <c r="S384" s="123" t="s">
        <v>598</v>
      </c>
      <c r="T384" s="127" t="s">
        <v>2801</v>
      </c>
      <c r="U384" s="127" t="s">
        <v>115</v>
      </c>
      <c r="V384" s="127" t="s">
        <v>115</v>
      </c>
      <c r="W384" s="127"/>
      <c r="X384" s="127"/>
      <c r="Y384" s="127"/>
      <c r="Z384" s="127" t="s">
        <v>115</v>
      </c>
      <c r="AA384" s="127" t="s">
        <v>115</v>
      </c>
      <c r="AB384" s="127" t="s">
        <v>115</v>
      </c>
      <c r="AC384" s="127" t="s">
        <v>115</v>
      </c>
      <c r="AD384" s="127" t="s">
        <v>115</v>
      </c>
      <c r="AE384" s="127" t="s">
        <v>115</v>
      </c>
      <c r="AF384" s="127" t="s">
        <v>115</v>
      </c>
      <c r="AG384" s="127" t="s">
        <v>115</v>
      </c>
      <c r="AH384" s="123">
        <v>0</v>
      </c>
      <c r="AI384" s="123">
        <v>0</v>
      </c>
      <c r="AJ384" s="123">
        <v>0</v>
      </c>
      <c r="AK384" s="123">
        <v>0</v>
      </c>
      <c r="AL384" s="123">
        <v>0</v>
      </c>
      <c r="AN384" s="123">
        <f t="shared" si="5"/>
        <v>0</v>
      </c>
      <c r="AP384" s="123" t="s">
        <v>3682</v>
      </c>
    </row>
    <row r="385" spans="1:44" x14ac:dyDescent="0.2">
      <c r="A385" s="123" t="s">
        <v>3632</v>
      </c>
      <c r="B385" s="123" t="s">
        <v>3638</v>
      </c>
      <c r="C385" s="123">
        <v>3</v>
      </c>
      <c r="D385" s="123">
        <v>1</v>
      </c>
      <c r="E385" s="123" t="s">
        <v>2487</v>
      </c>
      <c r="F385" s="125">
        <v>43585</v>
      </c>
      <c r="G385" s="125" t="s">
        <v>4027</v>
      </c>
      <c r="H385" s="125" t="s">
        <v>4752</v>
      </c>
      <c r="I385" s="171">
        <v>2.013888888888889E-2</v>
      </c>
      <c r="J385" s="173">
        <v>3.3564814814814812E-4</v>
      </c>
      <c r="K385" s="129">
        <v>29</v>
      </c>
      <c r="L385" s="123" t="s">
        <v>3626</v>
      </c>
      <c r="M385" s="123" t="s">
        <v>2488</v>
      </c>
      <c r="N385" s="123" t="s">
        <v>102</v>
      </c>
      <c r="O385" s="123" t="s">
        <v>115</v>
      </c>
      <c r="P385" s="123">
        <v>0</v>
      </c>
      <c r="Q385" s="123">
        <v>0</v>
      </c>
      <c r="R385" s="123">
        <v>0</v>
      </c>
      <c r="T385" s="127" t="s">
        <v>115</v>
      </c>
      <c r="U385" s="127" t="s">
        <v>115</v>
      </c>
      <c r="V385" s="127" t="s">
        <v>115</v>
      </c>
      <c r="W385" s="127"/>
      <c r="X385" s="127"/>
      <c r="Y385" s="127"/>
      <c r="Z385" s="127" t="s">
        <v>115</v>
      </c>
      <c r="AA385" s="127" t="s">
        <v>115</v>
      </c>
      <c r="AB385" s="127" t="s">
        <v>115</v>
      </c>
      <c r="AC385" s="127" t="s">
        <v>115</v>
      </c>
      <c r="AD385" s="127" t="s">
        <v>115</v>
      </c>
      <c r="AE385" s="127" t="s">
        <v>115</v>
      </c>
      <c r="AF385" s="127" t="s">
        <v>115</v>
      </c>
      <c r="AG385" s="127" t="s">
        <v>115</v>
      </c>
      <c r="AH385" s="123">
        <v>0</v>
      </c>
      <c r="AI385" s="123">
        <v>0</v>
      </c>
      <c r="AJ385" s="123">
        <v>0</v>
      </c>
      <c r="AK385" s="123">
        <v>0</v>
      </c>
      <c r="AL385" s="123">
        <v>29</v>
      </c>
      <c r="AN385" s="123">
        <f t="shared" si="5"/>
        <v>29</v>
      </c>
      <c r="AO385" s="123" t="s">
        <v>188</v>
      </c>
    </row>
    <row r="386" spans="1:44" x14ac:dyDescent="0.2">
      <c r="A386" s="123" t="s">
        <v>3633</v>
      </c>
      <c r="B386" s="123" t="s">
        <v>3639</v>
      </c>
      <c r="C386" s="123">
        <v>4</v>
      </c>
      <c r="D386" s="123">
        <v>1</v>
      </c>
      <c r="E386" s="123" t="s">
        <v>2487</v>
      </c>
      <c r="F386" s="125">
        <v>43585</v>
      </c>
      <c r="G386" s="125" t="s">
        <v>4027</v>
      </c>
      <c r="H386" s="125" t="s">
        <v>4752</v>
      </c>
      <c r="I386" s="171">
        <v>1.4583333333333332E-2</v>
      </c>
      <c r="J386" s="173">
        <v>2.4305555555555552E-4</v>
      </c>
      <c r="K386" s="129">
        <v>21</v>
      </c>
      <c r="L386" s="123" t="s">
        <v>3626</v>
      </c>
      <c r="M386" s="123" t="s">
        <v>2488</v>
      </c>
      <c r="N386" s="123" t="s">
        <v>102</v>
      </c>
      <c r="O386" s="123" t="s">
        <v>115</v>
      </c>
      <c r="P386" s="123">
        <v>0</v>
      </c>
      <c r="Q386" s="123">
        <v>0</v>
      </c>
      <c r="R386" s="123">
        <v>0</v>
      </c>
      <c r="T386" s="127" t="s">
        <v>115</v>
      </c>
      <c r="U386" s="127" t="s">
        <v>115</v>
      </c>
      <c r="V386" s="127" t="s">
        <v>115</v>
      </c>
      <c r="W386" s="127"/>
      <c r="X386" s="127"/>
      <c r="Y386" s="127"/>
      <c r="Z386" s="127" t="s">
        <v>115</v>
      </c>
      <c r="AA386" s="127" t="s">
        <v>115</v>
      </c>
      <c r="AB386" s="127" t="s">
        <v>115</v>
      </c>
      <c r="AC386" s="127" t="s">
        <v>115</v>
      </c>
      <c r="AD386" s="127" t="s">
        <v>115</v>
      </c>
      <c r="AE386" s="127" t="s">
        <v>115</v>
      </c>
      <c r="AF386" s="127" t="s">
        <v>115</v>
      </c>
      <c r="AG386" s="127" t="s">
        <v>115</v>
      </c>
      <c r="AH386" s="123">
        <v>0</v>
      </c>
      <c r="AI386" s="123">
        <v>0</v>
      </c>
      <c r="AJ386" s="123">
        <v>0</v>
      </c>
      <c r="AK386" s="123">
        <v>0</v>
      </c>
      <c r="AL386" s="123">
        <v>21</v>
      </c>
      <c r="AN386" s="123">
        <f t="shared" ref="AN386:AN449" si="6">SUM(AH386+AI386+AL386)</f>
        <v>21</v>
      </c>
      <c r="AO386" s="123" t="s">
        <v>188</v>
      </c>
    </row>
    <row r="387" spans="1:44" x14ac:dyDescent="0.2">
      <c r="A387" s="123" t="s">
        <v>3643</v>
      </c>
      <c r="B387" s="123" t="s">
        <v>3642</v>
      </c>
      <c r="C387" s="123">
        <v>7</v>
      </c>
      <c r="D387" s="123">
        <v>1</v>
      </c>
      <c r="E387" s="123" t="s">
        <v>2487</v>
      </c>
      <c r="F387" s="125">
        <v>43585</v>
      </c>
      <c r="G387" s="125" t="s">
        <v>4027</v>
      </c>
      <c r="H387" s="125" t="s">
        <v>4752</v>
      </c>
      <c r="I387" s="171">
        <v>2.013888888888889E-2</v>
      </c>
      <c r="J387" s="173">
        <v>3.3564814814814812E-4</v>
      </c>
      <c r="K387" s="129">
        <v>29</v>
      </c>
      <c r="L387" s="123" t="s">
        <v>3626</v>
      </c>
      <c r="M387" s="123" t="s">
        <v>2488</v>
      </c>
      <c r="N387" s="123" t="s">
        <v>102</v>
      </c>
      <c r="O387" s="123" t="s">
        <v>115</v>
      </c>
      <c r="P387" s="123">
        <v>0</v>
      </c>
      <c r="Q387" s="123">
        <v>0</v>
      </c>
      <c r="R387" s="123">
        <v>0</v>
      </c>
      <c r="T387" s="127" t="s">
        <v>115</v>
      </c>
      <c r="U387" s="127" t="s">
        <v>115</v>
      </c>
      <c r="V387" s="127" t="s">
        <v>115</v>
      </c>
      <c r="W387" s="127"/>
      <c r="X387" s="127"/>
      <c r="Y387" s="127"/>
      <c r="Z387" s="127" t="s">
        <v>115</v>
      </c>
      <c r="AA387" s="127" t="s">
        <v>115</v>
      </c>
      <c r="AB387" s="127" t="s">
        <v>115</v>
      </c>
      <c r="AC387" s="127" t="s">
        <v>115</v>
      </c>
      <c r="AD387" s="127" t="s">
        <v>115</v>
      </c>
      <c r="AE387" s="127" t="s">
        <v>115</v>
      </c>
      <c r="AF387" s="127" t="s">
        <v>115</v>
      </c>
      <c r="AG387" s="127" t="s">
        <v>115</v>
      </c>
      <c r="AH387" s="123">
        <v>0</v>
      </c>
      <c r="AI387" s="123">
        <v>0</v>
      </c>
      <c r="AJ387" s="123">
        <v>0</v>
      </c>
      <c r="AK387" s="123">
        <v>0</v>
      </c>
      <c r="AL387" s="123">
        <v>29</v>
      </c>
      <c r="AN387" s="123">
        <f t="shared" si="6"/>
        <v>29</v>
      </c>
      <c r="AO387" s="123" t="s">
        <v>188</v>
      </c>
    </row>
    <row r="388" spans="1:44" x14ac:dyDescent="0.2">
      <c r="A388" s="123" t="s">
        <v>3645</v>
      </c>
      <c r="B388" s="123" t="s">
        <v>3644</v>
      </c>
      <c r="C388" s="123">
        <v>8</v>
      </c>
      <c r="D388" s="123">
        <v>1</v>
      </c>
      <c r="E388" s="123" t="s">
        <v>2487</v>
      </c>
      <c r="F388" s="125">
        <v>43585</v>
      </c>
      <c r="G388" s="125" t="s">
        <v>4027</v>
      </c>
      <c r="H388" s="125" t="s">
        <v>4752</v>
      </c>
      <c r="I388" s="171">
        <v>4.2361111111111106E-2</v>
      </c>
      <c r="J388" s="173">
        <v>7.0601851851851847E-4</v>
      </c>
      <c r="K388" s="129">
        <v>61</v>
      </c>
      <c r="L388" s="123" t="s">
        <v>3626</v>
      </c>
      <c r="M388" s="123" t="s">
        <v>2488</v>
      </c>
      <c r="N388" s="123" t="s">
        <v>102</v>
      </c>
      <c r="O388" s="123" t="s">
        <v>115</v>
      </c>
      <c r="P388" s="123">
        <v>0</v>
      </c>
      <c r="Q388" s="123">
        <v>0</v>
      </c>
      <c r="R388" s="123">
        <v>0</v>
      </c>
      <c r="T388" s="127" t="s">
        <v>115</v>
      </c>
      <c r="U388" s="127" t="s">
        <v>115</v>
      </c>
      <c r="V388" s="127" t="s">
        <v>115</v>
      </c>
      <c r="W388" s="127"/>
      <c r="X388" s="127"/>
      <c r="Y388" s="127"/>
      <c r="Z388" s="127" t="s">
        <v>115</v>
      </c>
      <c r="AA388" s="127" t="s">
        <v>115</v>
      </c>
      <c r="AB388" s="127" t="s">
        <v>115</v>
      </c>
      <c r="AC388" s="127" t="s">
        <v>115</v>
      </c>
      <c r="AD388" s="127" t="s">
        <v>115</v>
      </c>
      <c r="AE388" s="127" t="s">
        <v>115</v>
      </c>
      <c r="AF388" s="127" t="s">
        <v>115</v>
      </c>
      <c r="AG388" s="127" t="s">
        <v>115</v>
      </c>
      <c r="AH388" s="123">
        <v>0</v>
      </c>
      <c r="AI388" s="123">
        <v>0</v>
      </c>
      <c r="AJ388" s="123">
        <v>0</v>
      </c>
      <c r="AK388" s="123">
        <v>0</v>
      </c>
      <c r="AL388" s="123">
        <v>58</v>
      </c>
      <c r="AN388" s="123">
        <f t="shared" si="6"/>
        <v>58</v>
      </c>
      <c r="AO388" s="123" t="s">
        <v>188</v>
      </c>
    </row>
    <row r="389" spans="1:44" x14ac:dyDescent="0.2">
      <c r="A389" s="123" t="s">
        <v>3185</v>
      </c>
      <c r="B389" s="123" t="s">
        <v>3186</v>
      </c>
      <c r="C389" s="123">
        <v>1</v>
      </c>
      <c r="D389" s="123">
        <v>1</v>
      </c>
      <c r="E389" s="123" t="s">
        <v>2487</v>
      </c>
      <c r="F389" s="125">
        <v>43572</v>
      </c>
      <c r="G389" s="125" t="s">
        <v>4027</v>
      </c>
      <c r="H389" s="125" t="s">
        <v>4752</v>
      </c>
      <c r="I389" s="171">
        <v>3.3333333333333333E-2</v>
      </c>
      <c r="J389" s="173">
        <v>5.5555555555555556E-4</v>
      </c>
      <c r="K389" s="129">
        <v>48</v>
      </c>
      <c r="L389" s="123" t="s">
        <v>3187</v>
      </c>
      <c r="M389" s="123" t="s">
        <v>2488</v>
      </c>
      <c r="N389" s="123" t="s">
        <v>102</v>
      </c>
      <c r="O389" s="123" t="s">
        <v>23</v>
      </c>
      <c r="P389" s="123" t="s">
        <v>24</v>
      </c>
      <c r="Q389" s="123" t="s">
        <v>24</v>
      </c>
      <c r="R389" s="123">
        <v>0</v>
      </c>
      <c r="T389" s="127" t="s">
        <v>115</v>
      </c>
      <c r="U389" s="127" t="s">
        <v>115</v>
      </c>
      <c r="V389" s="127" t="s">
        <v>115</v>
      </c>
      <c r="W389" s="127"/>
      <c r="X389" s="127"/>
      <c r="Y389" s="127"/>
      <c r="Z389" s="127" t="s">
        <v>115</v>
      </c>
      <c r="AA389" s="127" t="s">
        <v>115</v>
      </c>
      <c r="AB389" s="127" t="s">
        <v>115</v>
      </c>
      <c r="AC389" s="127" t="s">
        <v>115</v>
      </c>
      <c r="AD389" s="127" t="s">
        <v>115</v>
      </c>
      <c r="AE389" s="127" t="s">
        <v>115</v>
      </c>
      <c r="AF389" s="127" t="s">
        <v>115</v>
      </c>
      <c r="AG389" s="127"/>
      <c r="AH389" s="123">
        <v>14</v>
      </c>
      <c r="AI389" s="123">
        <v>24</v>
      </c>
      <c r="AJ389" s="123">
        <v>14</v>
      </c>
      <c r="AK389" s="123">
        <v>24</v>
      </c>
      <c r="AL389" s="123">
        <v>0</v>
      </c>
      <c r="AN389" s="123">
        <f t="shared" si="6"/>
        <v>38</v>
      </c>
      <c r="AO389" s="123" t="s">
        <v>165</v>
      </c>
      <c r="AQ389" s="123">
        <v>8</v>
      </c>
      <c r="AR389" s="123">
        <v>0</v>
      </c>
    </row>
    <row r="390" spans="1:44" x14ac:dyDescent="0.2">
      <c r="A390" s="123" t="s">
        <v>3212</v>
      </c>
      <c r="B390" s="123" t="s">
        <v>3213</v>
      </c>
      <c r="C390" s="123">
        <v>13</v>
      </c>
      <c r="D390" s="123">
        <v>1</v>
      </c>
      <c r="E390" s="123" t="s">
        <v>2487</v>
      </c>
      <c r="F390" s="125">
        <v>43572</v>
      </c>
      <c r="G390" s="125" t="s">
        <v>4027</v>
      </c>
      <c r="H390" s="125" t="s">
        <v>4752</v>
      </c>
      <c r="I390" s="171">
        <v>4.7916666666666663E-2</v>
      </c>
      <c r="J390" s="173">
        <v>7.9861111111111105E-4</v>
      </c>
      <c r="K390" s="129">
        <v>69</v>
      </c>
      <c r="L390" s="123" t="s">
        <v>3187</v>
      </c>
      <c r="M390" s="123" t="s">
        <v>2488</v>
      </c>
      <c r="N390" s="123" t="s">
        <v>102</v>
      </c>
      <c r="O390" s="123" t="s">
        <v>23</v>
      </c>
      <c r="P390" s="123" t="s">
        <v>24</v>
      </c>
      <c r="Q390" s="123" t="s">
        <v>24</v>
      </c>
      <c r="R390" s="123">
        <v>0</v>
      </c>
      <c r="T390" s="127" t="s">
        <v>115</v>
      </c>
      <c r="U390" s="127" t="s">
        <v>115</v>
      </c>
      <c r="V390" s="127" t="s">
        <v>115</v>
      </c>
      <c r="W390" s="127"/>
      <c r="X390" s="127"/>
      <c r="Y390" s="127"/>
      <c r="Z390" s="127" t="s">
        <v>115</v>
      </c>
      <c r="AA390" s="127" t="s">
        <v>115</v>
      </c>
      <c r="AB390" s="127" t="s">
        <v>115</v>
      </c>
      <c r="AC390" s="127" t="s">
        <v>115</v>
      </c>
      <c r="AD390" s="127" t="s">
        <v>115</v>
      </c>
      <c r="AE390" s="127" t="s">
        <v>115</v>
      </c>
      <c r="AF390" s="127" t="s">
        <v>115</v>
      </c>
      <c r="AG390" s="127"/>
      <c r="AH390" s="123">
        <v>46</v>
      </c>
      <c r="AI390" s="123">
        <v>15</v>
      </c>
      <c r="AJ390" s="123">
        <v>46</v>
      </c>
      <c r="AK390" s="123">
        <v>15</v>
      </c>
      <c r="AL390" s="123">
        <v>0</v>
      </c>
      <c r="AN390" s="123">
        <f t="shared" si="6"/>
        <v>61</v>
      </c>
    </row>
    <row r="391" spans="1:44" x14ac:dyDescent="0.2">
      <c r="A391" s="123" t="s">
        <v>3214</v>
      </c>
      <c r="B391" s="123" t="s">
        <v>3215</v>
      </c>
      <c r="C391" s="123">
        <v>14</v>
      </c>
      <c r="D391" s="123">
        <v>1</v>
      </c>
      <c r="E391" s="123" t="s">
        <v>2487</v>
      </c>
      <c r="F391" s="125">
        <v>43572</v>
      </c>
      <c r="G391" s="125" t="s">
        <v>4027</v>
      </c>
      <c r="H391" s="125" t="s">
        <v>4752</v>
      </c>
      <c r="I391" s="171">
        <v>6.5277777777777782E-2</v>
      </c>
      <c r="J391" s="173">
        <v>1.0879629629629629E-3</v>
      </c>
      <c r="K391" s="129">
        <v>94</v>
      </c>
      <c r="L391" s="123" t="s">
        <v>3187</v>
      </c>
      <c r="M391" s="123" t="s">
        <v>2488</v>
      </c>
      <c r="N391" s="123" t="s">
        <v>102</v>
      </c>
      <c r="O391" s="123" t="s">
        <v>23</v>
      </c>
      <c r="P391" s="123" t="s">
        <v>24</v>
      </c>
      <c r="Q391" s="123" t="s">
        <v>24</v>
      </c>
      <c r="R391" s="123">
        <v>0</v>
      </c>
      <c r="T391" s="127" t="s">
        <v>115</v>
      </c>
      <c r="U391" s="127" t="s">
        <v>115</v>
      </c>
      <c r="V391" s="127" t="s">
        <v>115</v>
      </c>
      <c r="W391" s="127"/>
      <c r="X391" s="127"/>
      <c r="Y391" s="127"/>
      <c r="Z391" s="127" t="s">
        <v>115</v>
      </c>
      <c r="AA391" s="127" t="s">
        <v>115</v>
      </c>
      <c r="AB391" s="127" t="s">
        <v>115</v>
      </c>
      <c r="AC391" s="127" t="s">
        <v>115</v>
      </c>
      <c r="AD391" s="127" t="s">
        <v>115</v>
      </c>
      <c r="AE391" s="127" t="s">
        <v>115</v>
      </c>
      <c r="AF391" s="127" t="s">
        <v>115</v>
      </c>
      <c r="AG391" s="127"/>
      <c r="AH391" s="123">
        <v>77</v>
      </c>
      <c r="AI391" s="123">
        <v>0</v>
      </c>
      <c r="AJ391" s="123">
        <v>77</v>
      </c>
      <c r="AK391" s="123">
        <v>0</v>
      </c>
      <c r="AL391" s="123">
        <v>17</v>
      </c>
      <c r="AN391" s="123">
        <f t="shared" si="6"/>
        <v>94</v>
      </c>
      <c r="AO391" s="123" t="s">
        <v>188</v>
      </c>
    </row>
    <row r="392" spans="1:44" x14ac:dyDescent="0.2">
      <c r="A392" s="123" t="s">
        <v>3188</v>
      </c>
      <c r="B392" s="123" t="s">
        <v>3189</v>
      </c>
      <c r="C392" s="123">
        <v>2</v>
      </c>
      <c r="D392" s="123">
        <v>1</v>
      </c>
      <c r="E392" s="123" t="s">
        <v>2487</v>
      </c>
      <c r="F392" s="125">
        <v>43572</v>
      </c>
      <c r="G392" s="125" t="s">
        <v>4027</v>
      </c>
      <c r="H392" s="125" t="s">
        <v>4752</v>
      </c>
      <c r="I392" s="171">
        <v>2.5694444444444447E-2</v>
      </c>
      <c r="J392" s="173">
        <v>4.2824074074074075E-4</v>
      </c>
      <c r="K392" s="129">
        <v>37</v>
      </c>
      <c r="L392" s="123" t="s">
        <v>3187</v>
      </c>
      <c r="M392" s="123" t="s">
        <v>2488</v>
      </c>
      <c r="N392" s="123" t="s">
        <v>102</v>
      </c>
      <c r="O392" s="123" t="s">
        <v>23</v>
      </c>
      <c r="P392" s="123" t="s">
        <v>24</v>
      </c>
      <c r="Q392" s="123" t="s">
        <v>24</v>
      </c>
      <c r="R392" s="123">
        <v>0</v>
      </c>
      <c r="T392" s="127" t="s">
        <v>115</v>
      </c>
      <c r="U392" s="127" t="s">
        <v>115</v>
      </c>
      <c r="V392" s="127" t="s">
        <v>115</v>
      </c>
      <c r="W392" s="127"/>
      <c r="X392" s="127"/>
      <c r="Y392" s="127"/>
      <c r="Z392" s="127" t="s">
        <v>115</v>
      </c>
      <c r="AA392" s="127" t="s">
        <v>115</v>
      </c>
      <c r="AB392" s="127" t="s">
        <v>115</v>
      </c>
      <c r="AC392" s="127" t="s">
        <v>115</v>
      </c>
      <c r="AD392" s="127" t="s">
        <v>115</v>
      </c>
      <c r="AE392" s="127" t="s">
        <v>115</v>
      </c>
      <c r="AF392" s="127" t="s">
        <v>115</v>
      </c>
      <c r="AG392" s="127"/>
      <c r="AH392" s="123">
        <v>26</v>
      </c>
      <c r="AI392" s="123">
        <v>0</v>
      </c>
      <c r="AJ392" s="123">
        <v>26</v>
      </c>
      <c r="AK392" s="123">
        <v>0</v>
      </c>
      <c r="AL392" s="123">
        <v>0</v>
      </c>
      <c r="AN392" s="123">
        <f t="shared" si="6"/>
        <v>26</v>
      </c>
      <c r="AO392" s="123" t="s">
        <v>165</v>
      </c>
      <c r="AQ392" s="123">
        <v>4</v>
      </c>
      <c r="AR392" s="123">
        <v>0</v>
      </c>
    </row>
    <row r="393" spans="1:44" x14ac:dyDescent="0.2">
      <c r="A393" s="123" t="s">
        <v>3192</v>
      </c>
      <c r="B393" s="123" t="s">
        <v>3193</v>
      </c>
      <c r="C393" s="123">
        <v>4</v>
      </c>
      <c r="D393" s="123">
        <v>1</v>
      </c>
      <c r="E393" s="123" t="s">
        <v>2487</v>
      </c>
      <c r="F393" s="125">
        <v>43572</v>
      </c>
      <c r="G393" s="125" t="s">
        <v>4027</v>
      </c>
      <c r="H393" s="125" t="s">
        <v>4752</v>
      </c>
      <c r="I393" s="171">
        <v>1.3888888888888888E-2</v>
      </c>
      <c r="J393" s="173">
        <v>2.3148148148148146E-4</v>
      </c>
      <c r="K393" s="129">
        <v>20</v>
      </c>
      <c r="L393" s="123" t="s">
        <v>3187</v>
      </c>
      <c r="M393" s="123" t="s">
        <v>2488</v>
      </c>
      <c r="N393" s="123" t="s">
        <v>102</v>
      </c>
      <c r="O393" s="123" t="s">
        <v>115</v>
      </c>
      <c r="P393" s="123" t="s">
        <v>24</v>
      </c>
      <c r="Q393" s="123">
        <v>0</v>
      </c>
      <c r="R393" s="123">
        <v>0</v>
      </c>
      <c r="T393" s="127" t="s">
        <v>115</v>
      </c>
      <c r="U393" s="127" t="s">
        <v>115</v>
      </c>
      <c r="V393" s="127" t="s">
        <v>115</v>
      </c>
      <c r="W393" s="127"/>
      <c r="X393" s="127"/>
      <c r="Y393" s="127"/>
      <c r="Z393" s="127" t="s">
        <v>115</v>
      </c>
      <c r="AA393" s="127" t="s">
        <v>115</v>
      </c>
      <c r="AB393" s="127" t="s">
        <v>115</v>
      </c>
      <c r="AC393" s="127" t="s">
        <v>115</v>
      </c>
      <c r="AD393" s="127" t="s">
        <v>115</v>
      </c>
      <c r="AE393" s="127" t="s">
        <v>115</v>
      </c>
      <c r="AF393" s="127" t="s">
        <v>115</v>
      </c>
      <c r="AG393" s="127"/>
      <c r="AH393" s="123">
        <v>0</v>
      </c>
      <c r="AI393" s="123">
        <v>0</v>
      </c>
      <c r="AJ393" s="123">
        <v>0</v>
      </c>
      <c r="AK393" s="123">
        <v>0</v>
      </c>
      <c r="AL393" s="123">
        <v>20</v>
      </c>
      <c r="AN393" s="123">
        <f t="shared" si="6"/>
        <v>20</v>
      </c>
    </row>
    <row r="394" spans="1:44" x14ac:dyDescent="0.2">
      <c r="A394" s="123" t="s">
        <v>3289</v>
      </c>
      <c r="B394" s="123" t="s">
        <v>3290</v>
      </c>
      <c r="C394" s="123">
        <v>3</v>
      </c>
      <c r="D394" s="123">
        <v>1</v>
      </c>
      <c r="E394" s="123" t="s">
        <v>2487</v>
      </c>
      <c r="F394" s="125">
        <v>43574</v>
      </c>
      <c r="G394" s="125" t="s">
        <v>4027</v>
      </c>
      <c r="H394" s="125" t="s">
        <v>4752</v>
      </c>
      <c r="I394" s="171">
        <v>1.0416666666666666E-2</v>
      </c>
      <c r="J394" s="173">
        <v>1.7361111111111112E-4</v>
      </c>
      <c r="K394" s="129">
        <v>15</v>
      </c>
      <c r="L394" s="123" t="s">
        <v>101</v>
      </c>
      <c r="M394" s="123" t="s">
        <v>2488</v>
      </c>
      <c r="N394" s="123" t="s">
        <v>102</v>
      </c>
      <c r="O394" s="123" t="s">
        <v>23</v>
      </c>
      <c r="P394" s="123" t="s">
        <v>24</v>
      </c>
      <c r="Q394" s="123" t="s">
        <v>24</v>
      </c>
      <c r="R394" s="123">
        <v>0</v>
      </c>
      <c r="T394" s="127" t="s">
        <v>115</v>
      </c>
      <c r="U394" s="127" t="s">
        <v>115</v>
      </c>
      <c r="V394" s="127" t="s">
        <v>115</v>
      </c>
      <c r="W394" s="127"/>
      <c r="X394" s="127"/>
      <c r="Y394" s="127"/>
      <c r="Z394" s="127" t="s">
        <v>115</v>
      </c>
      <c r="AA394" s="127" t="s">
        <v>115</v>
      </c>
      <c r="AB394" s="127" t="s">
        <v>115</v>
      </c>
      <c r="AC394" s="127" t="s">
        <v>115</v>
      </c>
      <c r="AD394" s="127" t="s">
        <v>115</v>
      </c>
      <c r="AE394" s="127" t="s">
        <v>115</v>
      </c>
      <c r="AF394" s="127" t="s">
        <v>115</v>
      </c>
      <c r="AG394" s="127" t="s">
        <v>115</v>
      </c>
      <c r="AH394" s="123">
        <v>0</v>
      </c>
      <c r="AI394" s="123">
        <v>15</v>
      </c>
      <c r="AJ394" s="123">
        <v>15</v>
      </c>
      <c r="AK394" s="123">
        <v>0</v>
      </c>
      <c r="AL394" s="123">
        <v>0</v>
      </c>
      <c r="AN394" s="123">
        <f t="shared" si="6"/>
        <v>15</v>
      </c>
      <c r="AO394" s="123" t="s">
        <v>188</v>
      </c>
    </row>
    <row r="395" spans="1:44" x14ac:dyDescent="0.2">
      <c r="A395" s="123" t="s">
        <v>3629</v>
      </c>
      <c r="B395" s="123" t="s">
        <v>3630</v>
      </c>
      <c r="C395" s="123">
        <v>1</v>
      </c>
      <c r="D395" s="123">
        <v>1</v>
      </c>
      <c r="E395" s="123" t="s">
        <v>2487</v>
      </c>
      <c r="F395" s="125">
        <v>43585</v>
      </c>
      <c r="G395" s="125" t="s">
        <v>4027</v>
      </c>
      <c r="H395" s="125" t="s">
        <v>4752</v>
      </c>
      <c r="I395" s="171">
        <v>8.3333333333333332E-3</v>
      </c>
      <c r="J395" s="173">
        <v>1.3888888888888889E-4</v>
      </c>
      <c r="K395" s="129">
        <v>12</v>
      </c>
      <c r="L395" s="123" t="s">
        <v>3626</v>
      </c>
      <c r="M395" s="123" t="s">
        <v>2488</v>
      </c>
      <c r="N395" s="123" t="s">
        <v>102</v>
      </c>
      <c r="O395" s="123" t="s">
        <v>115</v>
      </c>
      <c r="P395" s="123" t="s">
        <v>24</v>
      </c>
      <c r="Q395" s="123">
        <v>0</v>
      </c>
      <c r="R395" s="123">
        <v>0</v>
      </c>
      <c r="T395" s="127" t="s">
        <v>115</v>
      </c>
      <c r="U395" s="127" t="s">
        <v>115</v>
      </c>
      <c r="V395" s="127" t="s">
        <v>115</v>
      </c>
      <c r="W395" s="127"/>
      <c r="X395" s="127"/>
      <c r="Y395" s="127"/>
      <c r="Z395" s="127" t="s">
        <v>115</v>
      </c>
      <c r="AA395" s="127" t="s">
        <v>115</v>
      </c>
      <c r="AB395" s="127" t="s">
        <v>115</v>
      </c>
      <c r="AC395" s="127" t="s">
        <v>115</v>
      </c>
      <c r="AD395" s="127" t="s">
        <v>115</v>
      </c>
      <c r="AE395" s="127" t="s">
        <v>115</v>
      </c>
      <c r="AF395" s="127" t="s">
        <v>115</v>
      </c>
      <c r="AG395" s="127" t="s">
        <v>115</v>
      </c>
      <c r="AH395" s="123">
        <v>0</v>
      </c>
      <c r="AI395" s="123">
        <v>0</v>
      </c>
      <c r="AJ395" s="123">
        <v>0</v>
      </c>
      <c r="AK395" s="123">
        <v>0</v>
      </c>
      <c r="AL395" s="123">
        <v>12</v>
      </c>
      <c r="AN395" s="123">
        <f t="shared" si="6"/>
        <v>12</v>
      </c>
      <c r="AO395" s="123" t="s">
        <v>188</v>
      </c>
    </row>
    <row r="396" spans="1:44" x14ac:dyDescent="0.2">
      <c r="A396" s="123" t="s">
        <v>3659</v>
      </c>
      <c r="B396" s="123" t="s">
        <v>3658</v>
      </c>
      <c r="C396" s="123">
        <v>14</v>
      </c>
      <c r="D396" s="123">
        <v>1</v>
      </c>
      <c r="E396" s="123" t="s">
        <v>2487</v>
      </c>
      <c r="F396" s="125">
        <v>43585</v>
      </c>
      <c r="G396" s="125" t="s">
        <v>4027</v>
      </c>
      <c r="H396" s="125" t="s">
        <v>4752</v>
      </c>
      <c r="I396" s="171">
        <v>4.2361111111111106E-2</v>
      </c>
      <c r="J396" s="173">
        <v>7.175925925925927E-4</v>
      </c>
      <c r="K396" s="129">
        <v>62</v>
      </c>
      <c r="L396" s="123" t="s">
        <v>3626</v>
      </c>
      <c r="M396" s="123" t="s">
        <v>2488</v>
      </c>
      <c r="N396" s="123" t="s">
        <v>102</v>
      </c>
      <c r="O396" s="123" t="s">
        <v>115</v>
      </c>
      <c r="P396" s="123" t="s">
        <v>24</v>
      </c>
      <c r="Q396" s="123">
        <v>0</v>
      </c>
      <c r="R396" s="123">
        <v>0</v>
      </c>
      <c r="T396" s="127" t="s">
        <v>115</v>
      </c>
      <c r="U396" s="127" t="s">
        <v>115</v>
      </c>
      <c r="V396" s="127" t="s">
        <v>115</v>
      </c>
      <c r="W396" s="127"/>
      <c r="X396" s="127"/>
      <c r="Y396" s="127"/>
      <c r="Z396" s="127" t="s">
        <v>115</v>
      </c>
      <c r="AA396" s="127" t="s">
        <v>115</v>
      </c>
      <c r="AB396" s="127" t="s">
        <v>115</v>
      </c>
      <c r="AC396" s="127" t="s">
        <v>115</v>
      </c>
      <c r="AD396" s="127" t="s">
        <v>115</v>
      </c>
      <c r="AE396" s="127" t="s">
        <v>115</v>
      </c>
      <c r="AF396" s="127" t="s">
        <v>115</v>
      </c>
      <c r="AG396" s="127" t="s">
        <v>115</v>
      </c>
      <c r="AH396" s="123">
        <v>0</v>
      </c>
      <c r="AI396" s="123">
        <v>0</v>
      </c>
      <c r="AJ396" s="123">
        <v>0</v>
      </c>
      <c r="AK396" s="123">
        <v>0</v>
      </c>
      <c r="AL396" s="123">
        <v>61</v>
      </c>
      <c r="AN396" s="123">
        <f t="shared" si="6"/>
        <v>61</v>
      </c>
      <c r="AO396" s="123" t="s">
        <v>188</v>
      </c>
    </row>
    <row r="397" spans="1:44" x14ac:dyDescent="0.2">
      <c r="A397" s="123" t="s">
        <v>3664</v>
      </c>
      <c r="B397" s="123" t="s">
        <v>3662</v>
      </c>
      <c r="C397" s="123">
        <v>16</v>
      </c>
      <c r="D397" s="123">
        <v>1</v>
      </c>
      <c r="E397" s="123" t="s">
        <v>2487</v>
      </c>
      <c r="F397" s="125">
        <v>43585</v>
      </c>
      <c r="G397" s="125" t="s">
        <v>4027</v>
      </c>
      <c r="H397" s="125" t="s">
        <v>4752</v>
      </c>
      <c r="I397" s="171">
        <v>9.7222222222222224E-3</v>
      </c>
      <c r="J397" s="173">
        <v>1.6782407407407406E-3</v>
      </c>
      <c r="K397" s="129">
        <v>145</v>
      </c>
      <c r="L397" s="123" t="s">
        <v>3626</v>
      </c>
      <c r="M397" s="123" t="s">
        <v>2488</v>
      </c>
      <c r="N397" s="123" t="s">
        <v>102</v>
      </c>
      <c r="O397" s="123" t="s">
        <v>23</v>
      </c>
      <c r="P397" s="123" t="s">
        <v>24</v>
      </c>
      <c r="Q397" s="123">
        <v>0</v>
      </c>
      <c r="R397" s="123">
        <v>0</v>
      </c>
      <c r="T397" s="127" t="s">
        <v>115</v>
      </c>
      <c r="U397" s="127" t="s">
        <v>115</v>
      </c>
      <c r="V397" s="127" t="s">
        <v>115</v>
      </c>
      <c r="W397" s="127"/>
      <c r="X397" s="127"/>
      <c r="Y397" s="127"/>
      <c r="Z397" s="127" t="s">
        <v>115</v>
      </c>
      <c r="AA397" s="127" t="s">
        <v>115</v>
      </c>
      <c r="AB397" s="127" t="s">
        <v>115</v>
      </c>
      <c r="AC397" s="127" t="s">
        <v>115</v>
      </c>
      <c r="AD397" s="127" t="s">
        <v>115</v>
      </c>
      <c r="AE397" s="127" t="s">
        <v>115</v>
      </c>
      <c r="AF397" s="127" t="s">
        <v>115</v>
      </c>
      <c r="AG397" s="127" t="s">
        <v>115</v>
      </c>
      <c r="AH397" s="123">
        <v>0</v>
      </c>
      <c r="AI397" s="123">
        <v>14</v>
      </c>
      <c r="AJ397" s="123">
        <v>0</v>
      </c>
      <c r="AK397" s="123">
        <v>14</v>
      </c>
      <c r="AL397" s="123">
        <v>0</v>
      </c>
      <c r="AN397" s="123">
        <f t="shared" si="6"/>
        <v>14</v>
      </c>
      <c r="AO397" s="123" t="s">
        <v>3666</v>
      </c>
      <c r="AP397" s="123" t="s">
        <v>3667</v>
      </c>
    </row>
    <row r="398" spans="1:44" x14ac:dyDescent="0.2">
      <c r="A398" s="123" t="s">
        <v>3670</v>
      </c>
      <c r="B398" s="123" t="s">
        <v>3669</v>
      </c>
      <c r="C398" s="123">
        <v>18</v>
      </c>
      <c r="D398" s="123">
        <v>1</v>
      </c>
      <c r="E398" s="123" t="s">
        <v>2487</v>
      </c>
      <c r="F398" s="125">
        <v>43585</v>
      </c>
      <c r="G398" s="125" t="s">
        <v>4027</v>
      </c>
      <c r="H398" s="125" t="s">
        <v>4752</v>
      </c>
      <c r="I398" s="171">
        <v>1.7361111111111112E-2</v>
      </c>
      <c r="J398" s="173">
        <v>2.8935185185185189E-4</v>
      </c>
      <c r="K398" s="129">
        <v>25</v>
      </c>
      <c r="L398" s="123" t="s">
        <v>3626</v>
      </c>
      <c r="M398" s="123" t="s">
        <v>2488</v>
      </c>
      <c r="N398" s="123" t="s">
        <v>102</v>
      </c>
      <c r="O398" s="123" t="s">
        <v>115</v>
      </c>
      <c r="P398" s="123" t="s">
        <v>24</v>
      </c>
      <c r="Q398" s="123">
        <v>0</v>
      </c>
      <c r="R398" s="123">
        <v>0</v>
      </c>
      <c r="T398" s="127" t="s">
        <v>115</v>
      </c>
      <c r="U398" s="127" t="s">
        <v>115</v>
      </c>
      <c r="V398" s="127" t="s">
        <v>115</v>
      </c>
      <c r="W398" s="127"/>
      <c r="X398" s="127"/>
      <c r="Y398" s="127"/>
      <c r="Z398" s="127" t="s">
        <v>115</v>
      </c>
      <c r="AA398" s="127" t="s">
        <v>115</v>
      </c>
      <c r="AB398" s="127" t="s">
        <v>115</v>
      </c>
      <c r="AC398" s="127" t="s">
        <v>115</v>
      </c>
      <c r="AD398" s="127" t="s">
        <v>115</v>
      </c>
      <c r="AE398" s="127" t="s">
        <v>115</v>
      </c>
      <c r="AF398" s="127" t="s">
        <v>115</v>
      </c>
      <c r="AG398" s="127" t="s">
        <v>115</v>
      </c>
      <c r="AH398" s="123">
        <v>0</v>
      </c>
      <c r="AI398" s="123">
        <v>0</v>
      </c>
      <c r="AJ398" s="123">
        <v>0</v>
      </c>
      <c r="AK398" s="123">
        <v>0</v>
      </c>
      <c r="AL398" s="123">
        <v>25</v>
      </c>
      <c r="AN398" s="123">
        <f t="shared" si="6"/>
        <v>25</v>
      </c>
      <c r="AO398" s="123" t="s">
        <v>188</v>
      </c>
    </row>
    <row r="399" spans="1:44" x14ac:dyDescent="0.2">
      <c r="A399" s="123" t="s">
        <v>3672</v>
      </c>
      <c r="B399" s="123" t="s">
        <v>3671</v>
      </c>
      <c r="C399" s="123">
        <v>19</v>
      </c>
      <c r="D399" s="123">
        <v>1</v>
      </c>
      <c r="E399" s="123" t="s">
        <v>2487</v>
      </c>
      <c r="F399" s="125">
        <v>43585</v>
      </c>
      <c r="G399" s="125" t="s">
        <v>4027</v>
      </c>
      <c r="H399" s="125" t="s">
        <v>4752</v>
      </c>
      <c r="I399" s="171">
        <v>5.5555555555555558E-3</v>
      </c>
      <c r="J399" s="173">
        <v>9.2592592592592588E-5</v>
      </c>
      <c r="K399" s="129">
        <v>8</v>
      </c>
      <c r="L399" s="123" t="s">
        <v>3626</v>
      </c>
      <c r="M399" s="123" t="s">
        <v>2488</v>
      </c>
      <c r="N399" s="123" t="s">
        <v>102</v>
      </c>
      <c r="O399" s="123" t="s">
        <v>115</v>
      </c>
      <c r="P399" s="123" t="s">
        <v>24</v>
      </c>
      <c r="Q399" s="123">
        <v>0</v>
      </c>
      <c r="R399" s="123">
        <v>0</v>
      </c>
      <c r="T399" s="127" t="s">
        <v>115</v>
      </c>
      <c r="U399" s="127" t="s">
        <v>115</v>
      </c>
      <c r="V399" s="127" t="s">
        <v>115</v>
      </c>
      <c r="W399" s="127"/>
      <c r="X399" s="127"/>
      <c r="Y399" s="127"/>
      <c r="Z399" s="127" t="s">
        <v>115</v>
      </c>
      <c r="AA399" s="127" t="s">
        <v>115</v>
      </c>
      <c r="AB399" s="127" t="s">
        <v>115</v>
      </c>
      <c r="AC399" s="127" t="s">
        <v>115</v>
      </c>
      <c r="AD399" s="127" t="s">
        <v>115</v>
      </c>
      <c r="AE399" s="127" t="s">
        <v>115</v>
      </c>
      <c r="AF399" s="127" t="s">
        <v>115</v>
      </c>
      <c r="AG399" s="127" t="s">
        <v>115</v>
      </c>
      <c r="AH399" s="123">
        <v>0</v>
      </c>
      <c r="AI399" s="123">
        <v>0</v>
      </c>
      <c r="AJ399" s="123">
        <v>0</v>
      </c>
      <c r="AK399" s="123">
        <v>0</v>
      </c>
      <c r="AL399" s="123">
        <v>8</v>
      </c>
      <c r="AN399" s="123">
        <f t="shared" si="6"/>
        <v>8</v>
      </c>
      <c r="AO399" s="123" t="s">
        <v>188</v>
      </c>
    </row>
    <row r="400" spans="1:44" x14ac:dyDescent="0.2">
      <c r="A400" s="123" t="s">
        <v>3631</v>
      </c>
      <c r="B400" s="123" t="s">
        <v>3637</v>
      </c>
      <c r="C400" s="123">
        <v>2</v>
      </c>
      <c r="D400" s="123">
        <v>1</v>
      </c>
      <c r="E400" s="123" t="s">
        <v>2487</v>
      </c>
      <c r="F400" s="125">
        <v>43585</v>
      </c>
      <c r="G400" s="125" t="s">
        <v>4027</v>
      </c>
      <c r="H400" s="125" t="s">
        <v>4752</v>
      </c>
      <c r="I400" s="171">
        <v>4.027777777777778E-2</v>
      </c>
      <c r="J400" s="173">
        <v>6.7129629629629625E-4</v>
      </c>
      <c r="K400" s="129">
        <v>58</v>
      </c>
      <c r="L400" s="123" t="s">
        <v>3626</v>
      </c>
      <c r="M400" s="123" t="s">
        <v>2488</v>
      </c>
      <c r="N400" s="123" t="s">
        <v>102</v>
      </c>
      <c r="O400" s="123" t="s">
        <v>115</v>
      </c>
      <c r="P400" s="123" t="s">
        <v>24</v>
      </c>
      <c r="Q400" s="123">
        <v>0</v>
      </c>
      <c r="R400" s="123">
        <v>0</v>
      </c>
      <c r="T400" s="127" t="s">
        <v>115</v>
      </c>
      <c r="U400" s="127" t="s">
        <v>115</v>
      </c>
      <c r="V400" s="127" t="s">
        <v>115</v>
      </c>
      <c r="W400" s="127"/>
      <c r="X400" s="127"/>
      <c r="Y400" s="127"/>
      <c r="Z400" s="127" t="s">
        <v>115</v>
      </c>
      <c r="AA400" s="127" t="s">
        <v>115</v>
      </c>
      <c r="AB400" s="127" t="s">
        <v>115</v>
      </c>
      <c r="AC400" s="127" t="s">
        <v>115</v>
      </c>
      <c r="AD400" s="127" t="s">
        <v>115</v>
      </c>
      <c r="AE400" s="127" t="s">
        <v>115</v>
      </c>
      <c r="AF400" s="127" t="s">
        <v>115</v>
      </c>
      <c r="AG400" s="127" t="s">
        <v>115</v>
      </c>
      <c r="AH400" s="123">
        <v>0</v>
      </c>
      <c r="AI400" s="123">
        <v>0</v>
      </c>
      <c r="AJ400" s="123">
        <v>0</v>
      </c>
      <c r="AK400" s="123">
        <v>0</v>
      </c>
      <c r="AL400" s="123">
        <v>58</v>
      </c>
      <c r="AN400" s="123">
        <f t="shared" si="6"/>
        <v>58</v>
      </c>
      <c r="AO400" s="123" t="s">
        <v>188</v>
      </c>
    </row>
    <row r="401" spans="1:44" x14ac:dyDescent="0.2">
      <c r="A401" s="123" t="s">
        <v>3674</v>
      </c>
      <c r="B401" s="123" t="s">
        <v>3673</v>
      </c>
      <c r="C401" s="123">
        <v>20</v>
      </c>
      <c r="D401" s="123">
        <v>1</v>
      </c>
      <c r="E401" s="123" t="s">
        <v>2487</v>
      </c>
      <c r="F401" s="125">
        <v>43585</v>
      </c>
      <c r="G401" s="125" t="s">
        <v>4027</v>
      </c>
      <c r="H401" s="125" t="s">
        <v>4752</v>
      </c>
      <c r="I401" s="171">
        <v>7.6388888888888886E-3</v>
      </c>
      <c r="J401" s="173">
        <v>1.273148148148148E-4</v>
      </c>
      <c r="K401" s="129">
        <v>11</v>
      </c>
      <c r="L401" s="123" t="s">
        <v>3626</v>
      </c>
      <c r="M401" s="123" t="s">
        <v>2488</v>
      </c>
      <c r="N401" s="123" t="s">
        <v>102</v>
      </c>
      <c r="O401" s="123" t="s">
        <v>23</v>
      </c>
      <c r="P401" s="123" t="s">
        <v>24</v>
      </c>
      <c r="Q401" s="123">
        <v>0</v>
      </c>
      <c r="R401" s="123">
        <v>0</v>
      </c>
      <c r="T401" s="127" t="s">
        <v>115</v>
      </c>
      <c r="U401" s="127" t="s">
        <v>115</v>
      </c>
      <c r="V401" s="127" t="s">
        <v>115</v>
      </c>
      <c r="W401" s="127"/>
      <c r="X401" s="127"/>
      <c r="Y401" s="127"/>
      <c r="Z401" s="127" t="s">
        <v>115</v>
      </c>
      <c r="AA401" s="127" t="s">
        <v>115</v>
      </c>
      <c r="AB401" s="127" t="s">
        <v>115</v>
      </c>
      <c r="AC401" s="127" t="s">
        <v>115</v>
      </c>
      <c r="AD401" s="127" t="s">
        <v>115</v>
      </c>
      <c r="AE401" s="127" t="s">
        <v>115</v>
      </c>
      <c r="AF401" s="127" t="s">
        <v>115</v>
      </c>
      <c r="AG401" s="127" t="s">
        <v>115</v>
      </c>
      <c r="AH401" s="123">
        <v>0</v>
      </c>
      <c r="AI401" s="123">
        <v>9</v>
      </c>
      <c r="AJ401" s="123">
        <v>0</v>
      </c>
      <c r="AK401" s="123">
        <v>9</v>
      </c>
      <c r="AL401" s="123">
        <v>0</v>
      </c>
      <c r="AN401" s="123">
        <f t="shared" si="6"/>
        <v>9</v>
      </c>
      <c r="AO401" s="123" t="s">
        <v>3666</v>
      </c>
    </row>
    <row r="402" spans="1:44" x14ac:dyDescent="0.2">
      <c r="A402" s="123" t="s">
        <v>2876</v>
      </c>
      <c r="B402" s="123" t="s">
        <v>2877</v>
      </c>
      <c r="C402" s="123">
        <v>10</v>
      </c>
      <c r="D402" s="123">
        <v>1</v>
      </c>
      <c r="E402" s="123" t="s">
        <v>324</v>
      </c>
      <c r="F402" s="125">
        <v>43558</v>
      </c>
      <c r="G402" s="125" t="s">
        <v>4027</v>
      </c>
      <c r="H402" s="125" t="s">
        <v>4752</v>
      </c>
      <c r="I402" s="171">
        <v>4.4444444444444446E-2</v>
      </c>
      <c r="J402" s="173">
        <v>7.407407407407407E-4</v>
      </c>
      <c r="K402" s="129">
        <v>64</v>
      </c>
      <c r="M402" s="123" t="s">
        <v>325</v>
      </c>
      <c r="N402" s="123" t="s">
        <v>102</v>
      </c>
      <c r="O402" s="123" t="s">
        <v>2878</v>
      </c>
      <c r="P402" s="123">
        <v>1</v>
      </c>
      <c r="Q402" s="123" t="s">
        <v>24</v>
      </c>
      <c r="R402" s="123">
        <v>0</v>
      </c>
      <c r="S402" s="123" t="s">
        <v>176</v>
      </c>
      <c r="T402" s="127" t="s">
        <v>24</v>
      </c>
      <c r="U402" s="127" t="s">
        <v>2063</v>
      </c>
      <c r="V402" s="127" t="s">
        <v>115</v>
      </c>
      <c r="W402" s="127"/>
      <c r="X402" s="127"/>
      <c r="Y402" s="127"/>
      <c r="Z402" s="127" t="s">
        <v>115</v>
      </c>
      <c r="AA402" s="127" t="s">
        <v>115</v>
      </c>
      <c r="AB402" s="127" t="s">
        <v>115</v>
      </c>
      <c r="AC402" s="127" t="s">
        <v>115</v>
      </c>
      <c r="AD402" s="127" t="s">
        <v>115</v>
      </c>
      <c r="AE402" s="127" t="s">
        <v>115</v>
      </c>
      <c r="AF402" s="127" t="s">
        <v>115</v>
      </c>
      <c r="AG402" s="127"/>
      <c r="AH402" s="123">
        <v>30</v>
      </c>
      <c r="AI402" s="123">
        <v>0</v>
      </c>
      <c r="AJ402" s="123">
        <v>0</v>
      </c>
      <c r="AK402" s="123">
        <v>30</v>
      </c>
      <c r="AL402" s="123">
        <v>0</v>
      </c>
      <c r="AN402" s="123">
        <f t="shared" si="6"/>
        <v>30</v>
      </c>
      <c r="AO402" s="123" t="s">
        <v>188</v>
      </c>
    </row>
    <row r="403" spans="1:44" x14ac:dyDescent="0.2">
      <c r="A403" s="123" t="s">
        <v>2874</v>
      </c>
      <c r="B403" s="123" t="s">
        <v>2875</v>
      </c>
      <c r="C403" s="123">
        <v>9</v>
      </c>
      <c r="D403" s="123">
        <v>1</v>
      </c>
      <c r="E403" s="123" t="s">
        <v>324</v>
      </c>
      <c r="F403" s="125">
        <v>43558</v>
      </c>
      <c r="G403" s="125" t="s">
        <v>4027</v>
      </c>
      <c r="H403" s="125" t="s">
        <v>4752</v>
      </c>
      <c r="I403" s="171">
        <v>1.3888888888888888E-2</v>
      </c>
      <c r="J403" s="173">
        <v>2.3148148148148146E-4</v>
      </c>
      <c r="K403" s="129">
        <v>20</v>
      </c>
      <c r="M403" s="123" t="s">
        <v>325</v>
      </c>
      <c r="N403" s="123" t="s">
        <v>102</v>
      </c>
      <c r="O403" s="123" t="s">
        <v>23</v>
      </c>
      <c r="P403" s="123">
        <v>1</v>
      </c>
      <c r="Q403" s="123" t="s">
        <v>24</v>
      </c>
      <c r="R403" s="123">
        <v>0</v>
      </c>
      <c r="S403" s="123" t="s">
        <v>176</v>
      </c>
      <c r="T403" s="127" t="s">
        <v>24</v>
      </c>
      <c r="U403" s="127" t="s">
        <v>487</v>
      </c>
      <c r="V403" s="127" t="s">
        <v>115</v>
      </c>
      <c r="W403" s="127"/>
      <c r="X403" s="127"/>
      <c r="Y403" s="127"/>
      <c r="Z403" s="127" t="s">
        <v>115</v>
      </c>
      <c r="AA403" s="127" t="s">
        <v>115</v>
      </c>
      <c r="AB403" s="127" t="s">
        <v>115</v>
      </c>
      <c r="AC403" s="127" t="s">
        <v>115</v>
      </c>
      <c r="AD403" s="127" t="s">
        <v>115</v>
      </c>
      <c r="AE403" s="127" t="s">
        <v>115</v>
      </c>
      <c r="AF403" s="127" t="s">
        <v>115</v>
      </c>
      <c r="AG403" s="127"/>
      <c r="AH403" s="123">
        <v>6</v>
      </c>
      <c r="AI403" s="123">
        <v>0</v>
      </c>
      <c r="AJ403" s="123">
        <v>0</v>
      </c>
      <c r="AK403" s="123">
        <v>6</v>
      </c>
      <c r="AL403" s="123">
        <v>0</v>
      </c>
      <c r="AN403" s="123">
        <f t="shared" si="6"/>
        <v>6</v>
      </c>
      <c r="AO403" s="123" t="s">
        <v>188</v>
      </c>
    </row>
    <row r="404" spans="1:44" x14ac:dyDescent="0.2">
      <c r="A404" s="123" t="s">
        <v>2857</v>
      </c>
      <c r="B404" s="123" t="s">
        <v>2858</v>
      </c>
      <c r="C404" s="123">
        <v>1</v>
      </c>
      <c r="D404" s="123">
        <v>1</v>
      </c>
      <c r="E404" s="123" t="s">
        <v>324</v>
      </c>
      <c r="F404" s="125">
        <v>43558</v>
      </c>
      <c r="G404" s="125" t="s">
        <v>4027</v>
      </c>
      <c r="H404" s="125" t="s">
        <v>4752</v>
      </c>
      <c r="I404" s="171">
        <v>3.7499999999999999E-2</v>
      </c>
      <c r="J404" s="173">
        <v>6.2500000000000001E-4</v>
      </c>
      <c r="K404" s="129">
        <v>54</v>
      </c>
      <c r="M404" s="123" t="s">
        <v>325</v>
      </c>
      <c r="N404" s="123" t="s">
        <v>1626</v>
      </c>
      <c r="O404" s="123" t="s">
        <v>23</v>
      </c>
      <c r="P404" s="123">
        <v>1</v>
      </c>
      <c r="Q404" s="123" t="s">
        <v>24</v>
      </c>
      <c r="R404" s="123">
        <v>0</v>
      </c>
      <c r="S404" s="123" t="s">
        <v>176</v>
      </c>
      <c r="T404" s="127" t="s">
        <v>24</v>
      </c>
      <c r="U404" s="127" t="s">
        <v>487</v>
      </c>
      <c r="V404" s="127" t="s">
        <v>115</v>
      </c>
      <c r="W404" s="127"/>
      <c r="X404" s="127"/>
      <c r="Y404" s="127"/>
      <c r="Z404" s="127" t="s">
        <v>115</v>
      </c>
      <c r="AA404" s="127" t="s">
        <v>115</v>
      </c>
      <c r="AB404" s="127" t="s">
        <v>115</v>
      </c>
      <c r="AC404" s="127" t="s">
        <v>115</v>
      </c>
      <c r="AD404" s="127" t="s">
        <v>115</v>
      </c>
      <c r="AE404" s="127" t="s">
        <v>115</v>
      </c>
      <c r="AF404" s="127" t="s">
        <v>115</v>
      </c>
      <c r="AG404" s="127"/>
      <c r="AH404" s="123">
        <v>25</v>
      </c>
      <c r="AI404" s="123">
        <v>0</v>
      </c>
      <c r="AJ404" s="123">
        <v>0</v>
      </c>
      <c r="AK404" s="123">
        <v>25</v>
      </c>
      <c r="AL404" s="123">
        <v>0</v>
      </c>
      <c r="AN404" s="123">
        <f t="shared" si="6"/>
        <v>25</v>
      </c>
      <c r="AO404" s="123" t="s">
        <v>188</v>
      </c>
    </row>
    <row r="405" spans="1:44" x14ac:dyDescent="0.2">
      <c r="A405" s="123" t="s">
        <v>2897</v>
      </c>
      <c r="B405" s="123" t="s">
        <v>2898</v>
      </c>
      <c r="C405" s="123">
        <v>18</v>
      </c>
      <c r="D405" s="123">
        <v>1</v>
      </c>
      <c r="E405" s="123" t="s">
        <v>324</v>
      </c>
      <c r="F405" s="125">
        <v>43558</v>
      </c>
      <c r="G405" s="125" t="s">
        <v>4027</v>
      </c>
      <c r="H405" s="125" t="s">
        <v>4752</v>
      </c>
      <c r="I405" s="171">
        <v>1.1111111111111112E-2</v>
      </c>
      <c r="J405" s="173">
        <v>1.8518518518518518E-4</v>
      </c>
      <c r="K405" s="129">
        <v>16</v>
      </c>
      <c r="M405" s="123" t="s">
        <v>325</v>
      </c>
      <c r="N405" s="123" t="s">
        <v>102</v>
      </c>
      <c r="O405" s="123" t="s">
        <v>23</v>
      </c>
      <c r="P405" s="123">
        <v>1</v>
      </c>
      <c r="Q405" s="123">
        <v>1</v>
      </c>
      <c r="R405" s="123">
        <v>0</v>
      </c>
      <c r="S405" s="123" t="s">
        <v>176</v>
      </c>
      <c r="T405" s="127" t="s">
        <v>24</v>
      </c>
      <c r="U405" s="127" t="s">
        <v>2899</v>
      </c>
      <c r="V405" s="127" t="s">
        <v>115</v>
      </c>
      <c r="W405" s="127"/>
      <c r="X405" s="127"/>
      <c r="Y405" s="127"/>
      <c r="Z405" s="127" t="s">
        <v>115</v>
      </c>
      <c r="AA405" s="127" t="s">
        <v>115</v>
      </c>
      <c r="AB405" s="127" t="s">
        <v>115</v>
      </c>
      <c r="AC405" s="127" t="s">
        <v>115</v>
      </c>
      <c r="AD405" s="127" t="s">
        <v>115</v>
      </c>
      <c r="AE405" s="127" t="s">
        <v>2900</v>
      </c>
      <c r="AF405" s="127" t="s">
        <v>2900</v>
      </c>
      <c r="AG405" s="127"/>
      <c r="AH405" s="123">
        <v>13</v>
      </c>
      <c r="AI405" s="123">
        <v>0</v>
      </c>
      <c r="AJ405" s="123">
        <v>0</v>
      </c>
      <c r="AK405" s="123">
        <v>13</v>
      </c>
      <c r="AL405" s="123">
        <v>0</v>
      </c>
      <c r="AN405" s="123">
        <f t="shared" si="6"/>
        <v>13</v>
      </c>
      <c r="AO405" s="123" t="s">
        <v>188</v>
      </c>
    </row>
    <row r="406" spans="1:44" x14ac:dyDescent="0.2">
      <c r="A406" s="123" t="s">
        <v>2879</v>
      </c>
      <c r="B406" s="123" t="s">
        <v>2880</v>
      </c>
      <c r="C406" s="123">
        <v>11</v>
      </c>
      <c r="D406" s="123">
        <v>1</v>
      </c>
      <c r="E406" s="123" t="s">
        <v>324</v>
      </c>
      <c r="F406" s="125">
        <v>43558</v>
      </c>
      <c r="G406" s="125" t="s">
        <v>4027</v>
      </c>
      <c r="H406" s="125" t="s">
        <v>4752</v>
      </c>
      <c r="I406" s="171">
        <v>7.4999999999999997E-2</v>
      </c>
      <c r="J406" s="173">
        <v>1.25E-3</v>
      </c>
      <c r="K406" s="129">
        <v>108</v>
      </c>
      <c r="M406" s="123" t="s">
        <v>325</v>
      </c>
      <c r="N406" s="123" t="s">
        <v>102</v>
      </c>
      <c r="O406" s="123" t="s">
        <v>23</v>
      </c>
      <c r="P406" s="123">
        <v>1</v>
      </c>
      <c r="Q406" s="123" t="s">
        <v>24</v>
      </c>
      <c r="R406" s="123">
        <v>0</v>
      </c>
      <c r="S406" s="123" t="s">
        <v>176</v>
      </c>
      <c r="T406" s="127" t="s">
        <v>24</v>
      </c>
      <c r="U406" s="127" t="s">
        <v>2068</v>
      </c>
      <c r="V406" s="127" t="s">
        <v>115</v>
      </c>
      <c r="W406" s="127"/>
      <c r="X406" s="127"/>
      <c r="Y406" s="127"/>
      <c r="Z406" s="127" t="s">
        <v>115</v>
      </c>
      <c r="AA406" s="127" t="s">
        <v>115</v>
      </c>
      <c r="AB406" s="127" t="s">
        <v>115</v>
      </c>
      <c r="AC406" s="127" t="s">
        <v>115</v>
      </c>
      <c r="AD406" s="127" t="s">
        <v>115</v>
      </c>
      <c r="AE406" s="127" t="s">
        <v>115</v>
      </c>
      <c r="AF406" s="127" t="s">
        <v>115</v>
      </c>
      <c r="AG406" s="127"/>
      <c r="AH406" s="123">
        <v>13</v>
      </c>
      <c r="AI406" s="123">
        <v>28</v>
      </c>
      <c r="AJ406" s="123">
        <v>13</v>
      </c>
      <c r="AK406" s="123">
        <v>28</v>
      </c>
      <c r="AL406" s="123">
        <v>0</v>
      </c>
      <c r="AN406" s="123">
        <f t="shared" si="6"/>
        <v>41</v>
      </c>
      <c r="AO406" s="123" t="s">
        <v>2374</v>
      </c>
      <c r="AP406" s="123" t="s">
        <v>4804</v>
      </c>
      <c r="AQ406" s="123">
        <v>2</v>
      </c>
      <c r="AR406" s="123">
        <v>0</v>
      </c>
    </row>
    <row r="407" spans="1:44" x14ac:dyDescent="0.2">
      <c r="A407" s="123" t="s">
        <v>2888</v>
      </c>
      <c r="B407" s="123" t="s">
        <v>2889</v>
      </c>
      <c r="C407" s="123">
        <v>15</v>
      </c>
      <c r="D407" s="123">
        <v>1</v>
      </c>
      <c r="E407" s="123" t="s">
        <v>324</v>
      </c>
      <c r="F407" s="125">
        <v>43558</v>
      </c>
      <c r="G407" s="125" t="s">
        <v>4027</v>
      </c>
      <c r="H407" s="125" t="s">
        <v>4752</v>
      </c>
      <c r="I407" s="171">
        <v>6.1111111111111116E-2</v>
      </c>
      <c r="J407" s="173">
        <v>1.0185185185185186E-3</v>
      </c>
      <c r="K407" s="129">
        <v>88</v>
      </c>
      <c r="M407" s="123" t="s">
        <v>325</v>
      </c>
      <c r="N407" s="123" t="s">
        <v>102</v>
      </c>
      <c r="O407" s="123" t="s">
        <v>23</v>
      </c>
      <c r="P407" s="123">
        <v>1</v>
      </c>
      <c r="Q407" s="123">
        <v>1</v>
      </c>
      <c r="R407" s="123">
        <v>0</v>
      </c>
      <c r="S407" s="123" t="s">
        <v>176</v>
      </c>
      <c r="T407" s="127" t="s">
        <v>24</v>
      </c>
      <c r="U407" s="127" t="s">
        <v>2890</v>
      </c>
      <c r="Z407" s="127" t="s">
        <v>115</v>
      </c>
      <c r="AA407" s="127" t="s">
        <v>115</v>
      </c>
      <c r="AB407" s="127" t="s">
        <v>115</v>
      </c>
      <c r="AC407" s="127" t="s">
        <v>115</v>
      </c>
      <c r="AD407" s="127" t="s">
        <v>115</v>
      </c>
      <c r="AE407" s="123">
        <v>63.72354</v>
      </c>
      <c r="AF407" s="123">
        <v>148.88695000000001</v>
      </c>
      <c r="AH407" s="123">
        <v>75</v>
      </c>
      <c r="AI407" s="123">
        <v>0</v>
      </c>
      <c r="AJ407" s="123">
        <v>75</v>
      </c>
      <c r="AK407" s="123">
        <v>0</v>
      </c>
      <c r="AL407" s="123">
        <v>0</v>
      </c>
      <c r="AN407" s="123">
        <f t="shared" si="6"/>
        <v>75</v>
      </c>
      <c r="AO407" s="123" t="s">
        <v>2374</v>
      </c>
      <c r="AP407" s="123" t="s">
        <v>4805</v>
      </c>
      <c r="AQ407" s="123">
        <v>8</v>
      </c>
      <c r="AR407" s="123">
        <v>0</v>
      </c>
    </row>
    <row r="408" spans="1:44" x14ac:dyDescent="0.2">
      <c r="A408" s="123" t="s">
        <v>2863</v>
      </c>
      <c r="B408" s="123" t="s">
        <v>2864</v>
      </c>
      <c r="C408" s="123">
        <v>4</v>
      </c>
      <c r="D408" s="123">
        <v>1</v>
      </c>
      <c r="E408" s="123" t="s">
        <v>324</v>
      </c>
      <c r="F408" s="125">
        <v>43558</v>
      </c>
      <c r="G408" s="125" t="s">
        <v>4027</v>
      </c>
      <c r="H408" s="125" t="s">
        <v>4752</v>
      </c>
      <c r="I408" s="171">
        <v>2.5694444444444447E-2</v>
      </c>
      <c r="J408" s="173">
        <v>4.2824074074074075E-4</v>
      </c>
      <c r="K408" s="129">
        <v>37</v>
      </c>
      <c r="M408" s="123" t="s">
        <v>325</v>
      </c>
      <c r="N408" s="123" t="s">
        <v>102</v>
      </c>
      <c r="O408" s="123" t="s">
        <v>23</v>
      </c>
      <c r="P408" s="123">
        <v>1</v>
      </c>
      <c r="Q408" s="123" t="s">
        <v>24</v>
      </c>
      <c r="R408" s="123">
        <v>0</v>
      </c>
      <c r="S408" s="123" t="s">
        <v>176</v>
      </c>
      <c r="T408" s="127" t="s">
        <v>24</v>
      </c>
      <c r="U408" s="127" t="s">
        <v>2865</v>
      </c>
      <c r="V408" s="127" t="s">
        <v>115</v>
      </c>
      <c r="W408" s="127"/>
      <c r="X408" s="127"/>
      <c r="Y408" s="127"/>
      <c r="Z408" s="127" t="s">
        <v>115</v>
      </c>
      <c r="AA408" s="127" t="s">
        <v>115</v>
      </c>
      <c r="AB408" s="127" t="s">
        <v>115</v>
      </c>
      <c r="AC408" s="127" t="s">
        <v>115</v>
      </c>
      <c r="AD408" s="127" t="s">
        <v>115</v>
      </c>
      <c r="AE408" s="127" t="s">
        <v>115</v>
      </c>
      <c r="AF408" s="127" t="s">
        <v>115</v>
      </c>
      <c r="AG408" s="127"/>
      <c r="AH408" s="123">
        <v>13</v>
      </c>
      <c r="AI408" s="123">
        <v>0</v>
      </c>
      <c r="AJ408" s="123">
        <v>0</v>
      </c>
      <c r="AK408" s="123">
        <v>13</v>
      </c>
      <c r="AL408" s="123">
        <v>0</v>
      </c>
      <c r="AN408" s="123">
        <f t="shared" si="6"/>
        <v>13</v>
      </c>
      <c r="AO408" s="123" t="s">
        <v>188</v>
      </c>
    </row>
    <row r="409" spans="1:44" x14ac:dyDescent="0.2">
      <c r="A409" s="123" t="s">
        <v>2868</v>
      </c>
      <c r="B409" s="123" t="s">
        <v>2869</v>
      </c>
      <c r="C409" s="123">
        <v>6</v>
      </c>
      <c r="D409" s="123">
        <v>1</v>
      </c>
      <c r="E409" s="123" t="s">
        <v>324</v>
      </c>
      <c r="F409" s="125">
        <v>43558</v>
      </c>
      <c r="G409" s="125" t="s">
        <v>4027</v>
      </c>
      <c r="H409" s="125" t="s">
        <v>4752</v>
      </c>
      <c r="I409" s="171">
        <v>2.6388888888888889E-2</v>
      </c>
      <c r="J409" s="173">
        <v>4.3981481481481481E-4</v>
      </c>
      <c r="K409" s="129">
        <v>38</v>
      </c>
      <c r="M409" s="123" t="s">
        <v>325</v>
      </c>
      <c r="N409" s="123" t="s">
        <v>102</v>
      </c>
      <c r="O409" s="123" t="s">
        <v>23</v>
      </c>
      <c r="P409" s="123">
        <v>1</v>
      </c>
      <c r="Q409" s="123" t="s">
        <v>24</v>
      </c>
      <c r="R409" s="123">
        <v>0</v>
      </c>
      <c r="S409" s="123" t="s">
        <v>176</v>
      </c>
      <c r="T409" s="127" t="s">
        <v>24</v>
      </c>
      <c r="U409" s="127" t="s">
        <v>2383</v>
      </c>
      <c r="V409" s="127" t="s">
        <v>115</v>
      </c>
      <c r="W409" s="127"/>
      <c r="X409" s="127"/>
      <c r="Y409" s="127"/>
      <c r="Z409" s="127" t="s">
        <v>115</v>
      </c>
      <c r="AA409" s="127" t="s">
        <v>115</v>
      </c>
      <c r="AB409" s="127" t="s">
        <v>115</v>
      </c>
      <c r="AC409" s="127" t="s">
        <v>115</v>
      </c>
      <c r="AD409" s="127" t="s">
        <v>115</v>
      </c>
      <c r="AE409" s="127" t="s">
        <v>115</v>
      </c>
      <c r="AF409" s="127" t="s">
        <v>115</v>
      </c>
      <c r="AG409" s="127"/>
      <c r="AH409" s="123">
        <v>13</v>
      </c>
      <c r="AI409" s="123">
        <v>0</v>
      </c>
      <c r="AJ409" s="123">
        <v>0</v>
      </c>
      <c r="AK409" s="123">
        <v>13</v>
      </c>
      <c r="AL409" s="123">
        <v>0</v>
      </c>
      <c r="AN409" s="123">
        <f t="shared" si="6"/>
        <v>13</v>
      </c>
      <c r="AO409" s="123" t="s">
        <v>188</v>
      </c>
    </row>
    <row r="410" spans="1:44" x14ac:dyDescent="0.2">
      <c r="A410" s="123" t="s">
        <v>2888</v>
      </c>
      <c r="B410" s="123" t="s">
        <v>2889</v>
      </c>
      <c r="C410" s="123">
        <v>15</v>
      </c>
      <c r="D410" s="123">
        <v>1</v>
      </c>
      <c r="E410" s="123" t="s">
        <v>324</v>
      </c>
      <c r="F410" s="125">
        <v>43558</v>
      </c>
      <c r="G410" s="125" t="s">
        <v>4027</v>
      </c>
      <c r="H410" s="125" t="s">
        <v>4752</v>
      </c>
      <c r="I410" s="171">
        <v>6.1111111111111116E-2</v>
      </c>
      <c r="J410" s="173">
        <v>1.1342592592592591E-3</v>
      </c>
      <c r="K410" s="129">
        <v>98</v>
      </c>
      <c r="M410" s="123" t="s">
        <v>325</v>
      </c>
      <c r="N410" s="123" t="s">
        <v>102</v>
      </c>
      <c r="O410" s="123" t="s">
        <v>23</v>
      </c>
      <c r="P410" s="123">
        <v>1</v>
      </c>
      <c r="Q410" s="123">
        <v>1</v>
      </c>
      <c r="R410" s="123">
        <v>0</v>
      </c>
      <c r="S410" s="123" t="s">
        <v>176</v>
      </c>
      <c r="T410" s="127" t="s">
        <v>24</v>
      </c>
      <c r="U410" s="127" t="s">
        <v>2189</v>
      </c>
      <c r="V410" s="127" t="s">
        <v>115</v>
      </c>
      <c r="W410" s="127"/>
      <c r="X410" s="127"/>
      <c r="Y410" s="127"/>
      <c r="Z410" s="127" t="s">
        <v>115</v>
      </c>
      <c r="AA410" s="127" t="s">
        <v>115</v>
      </c>
      <c r="AB410" s="127" t="s">
        <v>115</v>
      </c>
      <c r="AC410" s="127" t="s">
        <v>115</v>
      </c>
      <c r="AD410" s="127" t="s">
        <v>115</v>
      </c>
      <c r="AE410" s="123">
        <v>63.72354</v>
      </c>
      <c r="AF410" s="123">
        <v>148.88695000000001</v>
      </c>
      <c r="AH410" s="123">
        <v>75</v>
      </c>
      <c r="AI410" s="123">
        <v>0</v>
      </c>
      <c r="AJ410" s="123">
        <v>75</v>
      </c>
      <c r="AK410" s="123">
        <v>0</v>
      </c>
      <c r="AL410" s="123">
        <v>0</v>
      </c>
      <c r="AN410" s="123">
        <f t="shared" si="6"/>
        <v>75</v>
      </c>
      <c r="AO410" s="123" t="s">
        <v>2374</v>
      </c>
      <c r="AP410" s="123" t="s">
        <v>2891</v>
      </c>
      <c r="AQ410" s="123">
        <v>8</v>
      </c>
      <c r="AR410" s="123">
        <v>0</v>
      </c>
    </row>
    <row r="411" spans="1:44" x14ac:dyDescent="0.2">
      <c r="A411" s="123" t="s">
        <v>2893</v>
      </c>
      <c r="B411" s="123" t="s">
        <v>2894</v>
      </c>
      <c r="C411" s="123">
        <v>16</v>
      </c>
      <c r="D411" s="123">
        <v>1</v>
      </c>
      <c r="E411" s="123" t="s">
        <v>324</v>
      </c>
      <c r="F411" s="125">
        <v>43558</v>
      </c>
      <c r="G411" s="125" t="s">
        <v>4027</v>
      </c>
      <c r="H411" s="125" t="s">
        <v>4752</v>
      </c>
      <c r="I411" s="171">
        <v>1.1111111111111112E-2</v>
      </c>
      <c r="J411" s="173">
        <v>1.8518518518518518E-4</v>
      </c>
      <c r="K411" s="129">
        <v>16</v>
      </c>
      <c r="M411" s="123" t="s">
        <v>325</v>
      </c>
      <c r="N411" s="123" t="s">
        <v>102</v>
      </c>
      <c r="O411" s="123" t="s">
        <v>23</v>
      </c>
      <c r="P411" s="123">
        <v>1</v>
      </c>
      <c r="Q411" s="123" t="s">
        <v>24</v>
      </c>
      <c r="R411" s="123">
        <v>0</v>
      </c>
      <c r="S411" s="123" t="s">
        <v>176</v>
      </c>
      <c r="T411" s="127" t="s">
        <v>24</v>
      </c>
      <c r="U411" s="127" t="s">
        <v>2189</v>
      </c>
      <c r="V411" s="127" t="s">
        <v>115</v>
      </c>
      <c r="W411" s="127"/>
      <c r="X411" s="127"/>
      <c r="Y411" s="127"/>
      <c r="Z411" s="127" t="s">
        <v>115</v>
      </c>
      <c r="AA411" s="127" t="s">
        <v>115</v>
      </c>
      <c r="AB411" s="127" t="s">
        <v>115</v>
      </c>
      <c r="AC411" s="127" t="s">
        <v>115</v>
      </c>
      <c r="AD411" s="127" t="s">
        <v>115</v>
      </c>
      <c r="AE411" s="127" t="s">
        <v>115</v>
      </c>
      <c r="AF411" s="127" t="s">
        <v>115</v>
      </c>
      <c r="AG411" s="127"/>
      <c r="AH411" s="123">
        <v>0</v>
      </c>
      <c r="AI411" s="123">
        <v>0</v>
      </c>
      <c r="AJ411" s="123">
        <v>0</v>
      </c>
      <c r="AK411" s="123">
        <v>0</v>
      </c>
      <c r="AL411" s="123">
        <v>0</v>
      </c>
      <c r="AN411" s="123">
        <f t="shared" si="6"/>
        <v>0</v>
      </c>
      <c r="AP411" s="123" t="s">
        <v>2405</v>
      </c>
    </row>
    <row r="412" spans="1:44" x14ac:dyDescent="0.2">
      <c r="A412" s="123" t="s">
        <v>2872</v>
      </c>
      <c r="B412" s="123" t="s">
        <v>2873</v>
      </c>
      <c r="C412" s="123">
        <v>8</v>
      </c>
      <c r="D412" s="123">
        <v>1</v>
      </c>
      <c r="E412" s="123" t="s">
        <v>324</v>
      </c>
      <c r="F412" s="125">
        <v>43558</v>
      </c>
      <c r="G412" s="125" t="s">
        <v>4027</v>
      </c>
      <c r="H412" s="125" t="s">
        <v>4752</v>
      </c>
      <c r="I412" s="171">
        <v>4.4444444444444446E-2</v>
      </c>
      <c r="J412" s="173">
        <v>7.407407407407407E-4</v>
      </c>
      <c r="K412" s="129">
        <v>64</v>
      </c>
      <c r="M412" s="123" t="s">
        <v>325</v>
      </c>
      <c r="N412" s="123" t="s">
        <v>102</v>
      </c>
      <c r="O412" s="123" t="s">
        <v>23</v>
      </c>
      <c r="P412" s="123">
        <v>2</v>
      </c>
      <c r="Q412" s="123">
        <v>1</v>
      </c>
      <c r="R412" s="123">
        <v>0</v>
      </c>
      <c r="S412" s="123" t="s">
        <v>176</v>
      </c>
      <c r="T412" s="127" t="s">
        <v>24</v>
      </c>
      <c r="U412" s="127" t="s">
        <v>487</v>
      </c>
      <c r="V412" s="127" t="s">
        <v>115</v>
      </c>
      <c r="W412" s="127"/>
      <c r="X412" s="127"/>
      <c r="Y412" s="127"/>
      <c r="Z412" s="127" t="s">
        <v>115</v>
      </c>
      <c r="AA412" s="127" t="s">
        <v>115</v>
      </c>
      <c r="AB412" s="127" t="s">
        <v>115</v>
      </c>
      <c r="AC412" s="127" t="s">
        <v>115</v>
      </c>
      <c r="AD412" s="127" t="s">
        <v>115</v>
      </c>
      <c r="AE412" s="123">
        <v>63.723619999999997</v>
      </c>
      <c r="AF412" s="123">
        <v>148.88756000000001</v>
      </c>
      <c r="AH412" s="123">
        <v>38</v>
      </c>
      <c r="AI412" s="123">
        <v>0</v>
      </c>
      <c r="AJ412" s="123">
        <v>0</v>
      </c>
      <c r="AK412" s="123">
        <v>38</v>
      </c>
      <c r="AL412" s="123">
        <v>0</v>
      </c>
      <c r="AN412" s="123">
        <f t="shared" si="6"/>
        <v>38</v>
      </c>
      <c r="AO412" s="123" t="s">
        <v>2374</v>
      </c>
      <c r="AQ412" s="123">
        <v>2</v>
      </c>
      <c r="AR412" s="123">
        <v>0</v>
      </c>
    </row>
    <row r="413" spans="1:44" x14ac:dyDescent="0.2">
      <c r="A413" s="123" t="s">
        <v>2882</v>
      </c>
      <c r="B413" s="123" t="s">
        <v>2883</v>
      </c>
      <c r="C413" s="123">
        <v>12</v>
      </c>
      <c r="D413" s="123">
        <v>1</v>
      </c>
      <c r="E413" s="123" t="s">
        <v>324</v>
      </c>
      <c r="F413" s="125">
        <v>43558</v>
      </c>
      <c r="G413" s="125" t="s">
        <v>4027</v>
      </c>
      <c r="H413" s="125" t="s">
        <v>4752</v>
      </c>
      <c r="I413" s="171">
        <v>9.0277777777777787E-3</v>
      </c>
      <c r="J413" s="173">
        <v>1.5046296296296297E-4</v>
      </c>
      <c r="K413" s="129">
        <v>13</v>
      </c>
      <c r="M413" s="123" t="s">
        <v>325</v>
      </c>
      <c r="N413" s="123" t="s">
        <v>102</v>
      </c>
      <c r="O413" s="123" t="s">
        <v>23</v>
      </c>
      <c r="P413" s="123">
        <v>0</v>
      </c>
      <c r="Q413" s="123">
        <v>0</v>
      </c>
      <c r="R413" s="123">
        <v>0</v>
      </c>
      <c r="T413" s="127" t="s">
        <v>115</v>
      </c>
      <c r="U413" s="127" t="s">
        <v>115</v>
      </c>
      <c r="V413" s="127" t="s">
        <v>115</v>
      </c>
      <c r="W413" s="127"/>
      <c r="X413" s="127"/>
      <c r="Y413" s="127"/>
      <c r="Z413" s="127" t="s">
        <v>115</v>
      </c>
      <c r="AA413" s="127" t="s">
        <v>115</v>
      </c>
      <c r="AB413" s="127" t="s">
        <v>115</v>
      </c>
      <c r="AC413" s="127" t="s">
        <v>115</v>
      </c>
      <c r="AD413" s="127" t="s">
        <v>115</v>
      </c>
      <c r="AE413" s="127" t="s">
        <v>115</v>
      </c>
      <c r="AF413" s="127" t="s">
        <v>115</v>
      </c>
      <c r="AG413" s="127"/>
      <c r="AH413" s="123">
        <v>11</v>
      </c>
      <c r="AI413" s="123">
        <v>0</v>
      </c>
      <c r="AJ413" s="123">
        <v>5</v>
      </c>
      <c r="AK413" s="123">
        <v>6</v>
      </c>
      <c r="AL413" s="123">
        <v>0</v>
      </c>
      <c r="AN413" s="123">
        <f t="shared" si="6"/>
        <v>11</v>
      </c>
      <c r="AO413" s="123" t="s">
        <v>188</v>
      </c>
    </row>
    <row r="414" spans="1:44" x14ac:dyDescent="0.2">
      <c r="A414" s="123" t="s">
        <v>2895</v>
      </c>
      <c r="B414" s="123" t="s">
        <v>2896</v>
      </c>
      <c r="C414" s="123">
        <v>17</v>
      </c>
      <c r="D414" s="123">
        <v>1</v>
      </c>
      <c r="E414" s="123" t="s">
        <v>324</v>
      </c>
      <c r="F414" s="125">
        <v>43558</v>
      </c>
      <c r="G414" s="125" t="s">
        <v>4027</v>
      </c>
      <c r="H414" s="125" t="s">
        <v>4752</v>
      </c>
      <c r="I414" s="171">
        <v>1.5972222222222224E-2</v>
      </c>
      <c r="J414" s="173">
        <v>2.6620370370370372E-4</v>
      </c>
      <c r="K414" s="129">
        <v>23</v>
      </c>
      <c r="M414" s="123" t="s">
        <v>325</v>
      </c>
      <c r="N414" s="123" t="s">
        <v>102</v>
      </c>
      <c r="O414" s="123" t="s">
        <v>23</v>
      </c>
      <c r="P414" s="123">
        <v>0</v>
      </c>
      <c r="Q414" s="123">
        <v>0</v>
      </c>
      <c r="R414" s="123">
        <v>0</v>
      </c>
      <c r="T414" s="127" t="s">
        <v>115</v>
      </c>
      <c r="U414" s="127" t="s">
        <v>115</v>
      </c>
      <c r="V414" s="127" t="s">
        <v>115</v>
      </c>
      <c r="W414" s="127"/>
      <c r="X414" s="127"/>
      <c r="Y414" s="127"/>
      <c r="Z414" s="127" t="s">
        <v>115</v>
      </c>
      <c r="AA414" s="127" t="s">
        <v>115</v>
      </c>
      <c r="AB414" s="127" t="s">
        <v>115</v>
      </c>
      <c r="AC414" s="127" t="s">
        <v>115</v>
      </c>
      <c r="AD414" s="127" t="s">
        <v>115</v>
      </c>
      <c r="AE414" s="127" t="s">
        <v>115</v>
      </c>
      <c r="AF414" s="127" t="s">
        <v>115</v>
      </c>
      <c r="AG414" s="127"/>
      <c r="AH414" s="123">
        <v>23</v>
      </c>
      <c r="AI414" s="123">
        <v>0</v>
      </c>
      <c r="AJ414" s="123">
        <v>23</v>
      </c>
      <c r="AK414" s="123">
        <v>0</v>
      </c>
      <c r="AL414" s="123">
        <v>0</v>
      </c>
      <c r="AN414" s="123">
        <f t="shared" si="6"/>
        <v>23</v>
      </c>
      <c r="AO414" s="123" t="s">
        <v>188</v>
      </c>
    </row>
    <row r="415" spans="1:44" x14ac:dyDescent="0.2">
      <c r="A415" s="123" t="s">
        <v>2859</v>
      </c>
      <c r="B415" s="123" t="s">
        <v>2860</v>
      </c>
      <c r="C415" s="123">
        <v>2</v>
      </c>
      <c r="D415" s="123">
        <v>1</v>
      </c>
      <c r="E415" s="123" t="s">
        <v>324</v>
      </c>
      <c r="F415" s="125">
        <v>43558</v>
      </c>
      <c r="G415" s="125" t="s">
        <v>4027</v>
      </c>
      <c r="H415" s="125" t="s">
        <v>4752</v>
      </c>
      <c r="I415" s="171">
        <v>2.2916666666666669E-2</v>
      </c>
      <c r="J415" s="173">
        <v>3.8194444444444446E-4</v>
      </c>
      <c r="K415" s="129">
        <v>33</v>
      </c>
      <c r="M415" s="123" t="s">
        <v>325</v>
      </c>
      <c r="N415" s="123" t="s">
        <v>102</v>
      </c>
      <c r="O415" s="123" t="s">
        <v>23</v>
      </c>
      <c r="P415" s="123">
        <v>0</v>
      </c>
      <c r="Q415" s="123">
        <v>0</v>
      </c>
      <c r="R415" s="123">
        <v>0</v>
      </c>
      <c r="T415" s="127" t="s">
        <v>115</v>
      </c>
      <c r="U415" s="127" t="s">
        <v>115</v>
      </c>
      <c r="V415" s="127" t="s">
        <v>115</v>
      </c>
      <c r="W415" s="127"/>
      <c r="X415" s="127"/>
      <c r="Y415" s="127"/>
      <c r="Z415" s="127" t="s">
        <v>115</v>
      </c>
      <c r="AA415" s="127" t="s">
        <v>115</v>
      </c>
      <c r="AB415" s="127" t="s">
        <v>115</v>
      </c>
      <c r="AC415" s="127" t="s">
        <v>115</v>
      </c>
      <c r="AD415" s="127" t="s">
        <v>115</v>
      </c>
      <c r="AE415" s="127" t="s">
        <v>115</v>
      </c>
      <c r="AF415" s="127" t="s">
        <v>115</v>
      </c>
      <c r="AG415" s="127"/>
      <c r="AH415" s="123">
        <v>33</v>
      </c>
      <c r="AI415" s="123">
        <v>0</v>
      </c>
      <c r="AJ415" s="123">
        <v>0</v>
      </c>
      <c r="AK415" s="123">
        <v>33</v>
      </c>
      <c r="AL415" s="123">
        <v>0</v>
      </c>
      <c r="AN415" s="123">
        <f t="shared" si="6"/>
        <v>33</v>
      </c>
      <c r="AO415" s="123" t="s">
        <v>188</v>
      </c>
    </row>
    <row r="416" spans="1:44" x14ac:dyDescent="0.2">
      <c r="A416" s="123" t="s">
        <v>2903</v>
      </c>
      <c r="B416" s="123" t="s">
        <v>2904</v>
      </c>
      <c r="C416" s="123">
        <v>20</v>
      </c>
      <c r="D416" s="123">
        <v>1</v>
      </c>
      <c r="E416" s="123" t="s">
        <v>324</v>
      </c>
      <c r="F416" s="125">
        <v>43558</v>
      </c>
      <c r="G416" s="125" t="s">
        <v>4027</v>
      </c>
      <c r="H416" s="125" t="s">
        <v>4752</v>
      </c>
      <c r="I416" s="171">
        <v>1.5277777777777777E-2</v>
      </c>
      <c r="J416" s="173">
        <v>2.5462962962962961E-4</v>
      </c>
      <c r="K416" s="129">
        <v>22</v>
      </c>
      <c r="M416" s="123" t="s">
        <v>325</v>
      </c>
      <c r="N416" s="123" t="s">
        <v>102</v>
      </c>
      <c r="O416" s="123" t="s">
        <v>23</v>
      </c>
      <c r="P416" s="123">
        <v>0</v>
      </c>
      <c r="Q416" s="123">
        <v>0</v>
      </c>
      <c r="R416" s="123">
        <v>0</v>
      </c>
      <c r="T416" s="127" t="s">
        <v>115</v>
      </c>
      <c r="U416" s="127" t="s">
        <v>115</v>
      </c>
      <c r="V416" s="127" t="s">
        <v>115</v>
      </c>
      <c r="W416" s="127"/>
      <c r="X416" s="127"/>
      <c r="Y416" s="127"/>
      <c r="Z416" s="127" t="s">
        <v>115</v>
      </c>
      <c r="AA416" s="127" t="s">
        <v>115</v>
      </c>
      <c r="AB416" s="127" t="s">
        <v>115</v>
      </c>
      <c r="AC416" s="127" t="s">
        <v>115</v>
      </c>
      <c r="AD416" s="127" t="s">
        <v>115</v>
      </c>
      <c r="AE416" s="127" t="s">
        <v>115</v>
      </c>
      <c r="AF416" s="127" t="s">
        <v>115</v>
      </c>
      <c r="AG416" s="127"/>
      <c r="AH416" s="123">
        <v>21</v>
      </c>
      <c r="AI416" s="123">
        <v>0</v>
      </c>
      <c r="AJ416" s="123">
        <v>0</v>
      </c>
      <c r="AK416" s="123">
        <v>21</v>
      </c>
      <c r="AL416" s="123">
        <v>0</v>
      </c>
      <c r="AN416" s="123">
        <f t="shared" si="6"/>
        <v>21</v>
      </c>
      <c r="AO416" s="123" t="s">
        <v>188</v>
      </c>
    </row>
    <row r="417" spans="1:44" x14ac:dyDescent="0.2">
      <c r="A417" s="123" t="s">
        <v>2861</v>
      </c>
      <c r="B417" s="123" t="s">
        <v>2862</v>
      </c>
      <c r="C417" s="123">
        <v>3</v>
      </c>
      <c r="D417" s="123">
        <v>1</v>
      </c>
      <c r="E417" s="123" t="s">
        <v>324</v>
      </c>
      <c r="F417" s="125">
        <v>43558</v>
      </c>
      <c r="G417" s="125" t="s">
        <v>4027</v>
      </c>
      <c r="H417" s="125" t="s">
        <v>4752</v>
      </c>
      <c r="I417" s="171">
        <v>2.6388888888888889E-2</v>
      </c>
      <c r="J417" s="173">
        <v>4.3981481481481481E-4</v>
      </c>
      <c r="K417" s="129">
        <v>38</v>
      </c>
      <c r="M417" s="123" t="s">
        <v>325</v>
      </c>
      <c r="N417" s="123" t="s">
        <v>102</v>
      </c>
      <c r="O417" s="123" t="s">
        <v>23</v>
      </c>
      <c r="P417" s="123">
        <v>0</v>
      </c>
      <c r="Q417" s="123">
        <v>0</v>
      </c>
      <c r="R417" s="123">
        <v>0</v>
      </c>
      <c r="T417" s="127" t="s">
        <v>115</v>
      </c>
      <c r="U417" s="127" t="s">
        <v>115</v>
      </c>
      <c r="V417" s="127" t="s">
        <v>115</v>
      </c>
      <c r="W417" s="127"/>
      <c r="X417" s="127"/>
      <c r="Y417" s="127"/>
      <c r="Z417" s="127" t="s">
        <v>115</v>
      </c>
      <c r="AA417" s="127" t="s">
        <v>115</v>
      </c>
      <c r="AB417" s="127" t="s">
        <v>115</v>
      </c>
      <c r="AC417" s="127" t="s">
        <v>115</v>
      </c>
      <c r="AD417" s="127" t="s">
        <v>115</v>
      </c>
      <c r="AE417" s="127" t="s">
        <v>115</v>
      </c>
      <c r="AF417" s="127" t="s">
        <v>115</v>
      </c>
      <c r="AG417" s="127"/>
      <c r="AH417" s="123">
        <v>38</v>
      </c>
      <c r="AI417" s="123">
        <v>0</v>
      </c>
      <c r="AJ417" s="123">
        <v>17</v>
      </c>
      <c r="AK417" s="123">
        <v>21</v>
      </c>
      <c r="AL417" s="123">
        <v>0</v>
      </c>
      <c r="AN417" s="123">
        <f t="shared" si="6"/>
        <v>38</v>
      </c>
      <c r="AO417" s="123" t="s">
        <v>188</v>
      </c>
    </row>
    <row r="418" spans="1:44" x14ac:dyDescent="0.2">
      <c r="A418" s="123" t="s">
        <v>2866</v>
      </c>
      <c r="B418" s="123" t="s">
        <v>2867</v>
      </c>
      <c r="C418" s="123">
        <v>5</v>
      </c>
      <c r="D418" s="123">
        <v>1</v>
      </c>
      <c r="E418" s="123" t="s">
        <v>324</v>
      </c>
      <c r="F418" s="125">
        <v>43558</v>
      </c>
      <c r="G418" s="125" t="s">
        <v>4027</v>
      </c>
      <c r="H418" s="125" t="s">
        <v>4752</v>
      </c>
      <c r="I418" s="171">
        <v>5.5555555555555558E-3</v>
      </c>
      <c r="J418" s="173">
        <v>5.5555555555555558E-3</v>
      </c>
      <c r="K418" s="129">
        <v>480</v>
      </c>
      <c r="M418" s="123" t="s">
        <v>325</v>
      </c>
      <c r="N418" s="123" t="s">
        <v>102</v>
      </c>
      <c r="O418" s="123" t="s">
        <v>23</v>
      </c>
      <c r="P418" s="123">
        <v>0</v>
      </c>
      <c r="Q418" s="123">
        <v>0</v>
      </c>
      <c r="R418" s="123">
        <v>0</v>
      </c>
      <c r="T418" s="127" t="s">
        <v>115</v>
      </c>
      <c r="U418" s="127" t="s">
        <v>115</v>
      </c>
      <c r="V418" s="127" t="s">
        <v>115</v>
      </c>
      <c r="W418" s="127"/>
      <c r="X418" s="127"/>
      <c r="Y418" s="127"/>
      <c r="Z418" s="127" t="s">
        <v>115</v>
      </c>
      <c r="AA418" s="127" t="s">
        <v>115</v>
      </c>
      <c r="AB418" s="127" t="s">
        <v>115</v>
      </c>
      <c r="AC418" s="127" t="s">
        <v>115</v>
      </c>
      <c r="AD418" s="127" t="s">
        <v>115</v>
      </c>
      <c r="AE418" s="127" t="s">
        <v>115</v>
      </c>
      <c r="AF418" s="127" t="s">
        <v>115</v>
      </c>
      <c r="AG418" s="127"/>
      <c r="AH418" s="123">
        <v>8</v>
      </c>
      <c r="AI418" s="123">
        <v>0</v>
      </c>
      <c r="AJ418" s="123">
        <v>0</v>
      </c>
      <c r="AK418" s="123">
        <v>8</v>
      </c>
      <c r="AL418" s="123">
        <v>0</v>
      </c>
      <c r="AN418" s="123">
        <f t="shared" si="6"/>
        <v>8</v>
      </c>
      <c r="AO418" s="123" t="s">
        <v>188</v>
      </c>
    </row>
    <row r="419" spans="1:44" x14ac:dyDescent="0.2">
      <c r="A419" s="123" t="s">
        <v>2870</v>
      </c>
      <c r="B419" s="123" t="s">
        <v>2871</v>
      </c>
      <c r="C419" s="123">
        <v>7</v>
      </c>
      <c r="D419" s="123">
        <v>1</v>
      </c>
      <c r="E419" s="123" t="s">
        <v>324</v>
      </c>
      <c r="F419" s="125">
        <v>43558</v>
      </c>
      <c r="G419" s="125" t="s">
        <v>4027</v>
      </c>
      <c r="H419" s="125" t="s">
        <v>4752</v>
      </c>
      <c r="I419" s="171">
        <v>1.2499999999999999E-2</v>
      </c>
      <c r="J419" s="173">
        <v>2.0833333333333335E-4</v>
      </c>
      <c r="K419" s="129">
        <v>18</v>
      </c>
      <c r="M419" s="123" t="s">
        <v>325</v>
      </c>
      <c r="N419" s="123" t="s">
        <v>102</v>
      </c>
      <c r="O419" s="123" t="s">
        <v>23</v>
      </c>
      <c r="P419" s="123">
        <v>0</v>
      </c>
      <c r="Q419" s="123">
        <v>0</v>
      </c>
      <c r="R419" s="123">
        <v>0</v>
      </c>
      <c r="T419" s="127" t="s">
        <v>115</v>
      </c>
      <c r="U419" s="127" t="s">
        <v>115</v>
      </c>
      <c r="V419" s="127" t="s">
        <v>115</v>
      </c>
      <c r="W419" s="127"/>
      <c r="X419" s="127"/>
      <c r="Y419" s="127"/>
      <c r="Z419" s="127" t="s">
        <v>115</v>
      </c>
      <c r="AA419" s="127" t="s">
        <v>115</v>
      </c>
      <c r="AB419" s="127" t="s">
        <v>115</v>
      </c>
      <c r="AC419" s="127" t="s">
        <v>115</v>
      </c>
      <c r="AD419" s="127" t="s">
        <v>115</v>
      </c>
      <c r="AE419" s="127" t="s">
        <v>115</v>
      </c>
      <c r="AF419" s="127" t="s">
        <v>115</v>
      </c>
      <c r="AG419" s="127"/>
      <c r="AH419" s="123">
        <v>18</v>
      </c>
      <c r="AI419" s="123">
        <v>0</v>
      </c>
      <c r="AJ419" s="123">
        <v>18</v>
      </c>
      <c r="AK419" s="123">
        <v>0</v>
      </c>
      <c r="AL419" s="123">
        <v>0</v>
      </c>
      <c r="AN419" s="123">
        <f t="shared" si="6"/>
        <v>18</v>
      </c>
      <c r="AO419" s="123" t="s">
        <v>188</v>
      </c>
    </row>
    <row r="420" spans="1:44" x14ac:dyDescent="0.2">
      <c r="A420" s="123" t="s">
        <v>3011</v>
      </c>
      <c r="B420" s="123" t="s">
        <v>3012</v>
      </c>
      <c r="C420" s="123">
        <v>6</v>
      </c>
      <c r="D420" s="123">
        <v>1</v>
      </c>
      <c r="E420" s="123" t="s">
        <v>324</v>
      </c>
      <c r="F420" s="125">
        <v>43564</v>
      </c>
      <c r="G420" s="125" t="s">
        <v>4027</v>
      </c>
      <c r="H420" s="125" t="s">
        <v>4752</v>
      </c>
      <c r="I420" s="171">
        <v>2.5694444444444447E-2</v>
      </c>
      <c r="J420" s="173">
        <v>4.2824074074074075E-4</v>
      </c>
      <c r="K420" s="129">
        <v>37</v>
      </c>
      <c r="M420" s="123" t="s">
        <v>325</v>
      </c>
      <c r="N420" s="123" t="s">
        <v>102</v>
      </c>
      <c r="O420" s="123" t="s">
        <v>115</v>
      </c>
      <c r="P420" s="123">
        <v>1</v>
      </c>
      <c r="Q420" s="123">
        <v>0</v>
      </c>
      <c r="R420" s="123">
        <v>0</v>
      </c>
      <c r="S420" s="123" t="s">
        <v>176</v>
      </c>
      <c r="T420" s="127" t="s">
        <v>24</v>
      </c>
      <c r="U420" s="127" t="s">
        <v>115</v>
      </c>
      <c r="V420" s="127" t="s">
        <v>115</v>
      </c>
      <c r="W420" s="127"/>
      <c r="X420" s="127"/>
      <c r="Y420" s="127"/>
      <c r="Z420" s="127" t="s">
        <v>115</v>
      </c>
      <c r="AA420" s="127" t="s">
        <v>115</v>
      </c>
      <c r="AB420" s="127" t="s">
        <v>115</v>
      </c>
      <c r="AC420" s="127" t="s">
        <v>115</v>
      </c>
      <c r="AD420" s="127" t="s">
        <v>115</v>
      </c>
      <c r="AE420" s="127" t="s">
        <v>115</v>
      </c>
      <c r="AF420" s="127" t="s">
        <v>115</v>
      </c>
      <c r="AG420" s="127"/>
      <c r="AH420" s="123">
        <v>0</v>
      </c>
      <c r="AI420" s="123">
        <v>0</v>
      </c>
      <c r="AJ420" s="123">
        <v>0</v>
      </c>
      <c r="AK420" s="123">
        <v>0</v>
      </c>
      <c r="AL420" s="123">
        <v>15</v>
      </c>
      <c r="AN420" s="123">
        <f t="shared" si="6"/>
        <v>15</v>
      </c>
    </row>
    <row r="421" spans="1:44" x14ac:dyDescent="0.2">
      <c r="A421" s="123" t="s">
        <v>3002</v>
      </c>
      <c r="B421" s="123" t="s">
        <v>3004</v>
      </c>
      <c r="C421" s="123">
        <v>2</v>
      </c>
      <c r="D421" s="123">
        <v>1</v>
      </c>
      <c r="E421" s="123" t="s">
        <v>324</v>
      </c>
      <c r="F421" s="125">
        <v>43564</v>
      </c>
      <c r="G421" s="125" t="s">
        <v>4027</v>
      </c>
      <c r="H421" s="125" t="s">
        <v>4752</v>
      </c>
      <c r="I421" s="171">
        <v>6.6666666666666666E-2</v>
      </c>
      <c r="J421" s="173">
        <v>1.1111111111111111E-3</v>
      </c>
      <c r="K421" s="129">
        <v>96</v>
      </c>
      <c r="M421" s="123" t="s">
        <v>325</v>
      </c>
      <c r="N421" s="123" t="s">
        <v>102</v>
      </c>
      <c r="O421" s="123" t="s">
        <v>115</v>
      </c>
      <c r="P421" s="123">
        <v>0</v>
      </c>
      <c r="Q421" s="123">
        <v>0</v>
      </c>
      <c r="R421" s="123">
        <v>0</v>
      </c>
      <c r="T421" s="127" t="s">
        <v>115</v>
      </c>
      <c r="U421" s="127" t="s">
        <v>115</v>
      </c>
      <c r="V421" s="127" t="s">
        <v>115</v>
      </c>
      <c r="W421" s="127"/>
      <c r="X421" s="127"/>
      <c r="Y421" s="127"/>
      <c r="Z421" s="127" t="s">
        <v>115</v>
      </c>
      <c r="AA421" s="127" t="s">
        <v>115</v>
      </c>
      <c r="AB421" s="127" t="s">
        <v>115</v>
      </c>
      <c r="AC421" s="127" t="s">
        <v>115</v>
      </c>
      <c r="AD421" s="127" t="s">
        <v>115</v>
      </c>
      <c r="AE421" s="127" t="s">
        <v>115</v>
      </c>
      <c r="AF421" s="127" t="s">
        <v>115</v>
      </c>
      <c r="AG421" s="127"/>
      <c r="AH421" s="123">
        <v>108</v>
      </c>
      <c r="AI421" s="123">
        <v>0</v>
      </c>
      <c r="AJ421" s="123">
        <v>108</v>
      </c>
      <c r="AK421" s="123">
        <v>0</v>
      </c>
      <c r="AL421" s="123">
        <v>28</v>
      </c>
      <c r="AN421" s="123">
        <f t="shared" si="6"/>
        <v>136</v>
      </c>
      <c r="AO421" s="123" t="s">
        <v>188</v>
      </c>
    </row>
    <row r="422" spans="1:44" x14ac:dyDescent="0.2">
      <c r="A422" s="123" t="s">
        <v>3009</v>
      </c>
      <c r="B422" s="123" t="s">
        <v>3010</v>
      </c>
      <c r="C422" s="123">
        <v>5</v>
      </c>
      <c r="D422" s="123">
        <v>1</v>
      </c>
      <c r="E422" s="123" t="s">
        <v>324</v>
      </c>
      <c r="F422" s="125">
        <v>43564</v>
      </c>
      <c r="G422" s="125" t="s">
        <v>4027</v>
      </c>
      <c r="H422" s="125" t="s">
        <v>4752</v>
      </c>
      <c r="I422" s="171">
        <v>2.7083333333333334E-2</v>
      </c>
      <c r="J422" s="173">
        <v>4.5138888888888892E-4</v>
      </c>
      <c r="K422" s="129">
        <v>39</v>
      </c>
      <c r="M422" s="123" t="s">
        <v>325</v>
      </c>
      <c r="N422" s="123" t="s">
        <v>102</v>
      </c>
      <c r="O422" s="123" t="s">
        <v>115</v>
      </c>
      <c r="P422" s="123">
        <v>0</v>
      </c>
      <c r="Q422" s="123">
        <v>0</v>
      </c>
      <c r="R422" s="123">
        <v>0</v>
      </c>
      <c r="T422" s="127" t="s">
        <v>115</v>
      </c>
      <c r="U422" s="127" t="s">
        <v>115</v>
      </c>
      <c r="V422" s="127" t="s">
        <v>115</v>
      </c>
      <c r="W422" s="127"/>
      <c r="X422" s="127"/>
      <c r="Y422" s="127"/>
      <c r="Z422" s="127" t="s">
        <v>115</v>
      </c>
      <c r="AA422" s="127" t="s">
        <v>115</v>
      </c>
      <c r="AB422" s="127" t="s">
        <v>115</v>
      </c>
      <c r="AC422" s="127" t="s">
        <v>115</v>
      </c>
      <c r="AD422" s="127" t="s">
        <v>115</v>
      </c>
      <c r="AE422" s="127" t="s">
        <v>115</v>
      </c>
      <c r="AF422" s="127" t="s">
        <v>115</v>
      </c>
      <c r="AG422" s="127"/>
      <c r="AH422" s="123">
        <v>0</v>
      </c>
      <c r="AI422" s="123">
        <v>0</v>
      </c>
      <c r="AJ422" s="123">
        <v>0</v>
      </c>
      <c r="AK422" s="123">
        <v>0</v>
      </c>
      <c r="AL422" s="123">
        <v>36</v>
      </c>
      <c r="AN422" s="123">
        <f t="shared" si="6"/>
        <v>36</v>
      </c>
      <c r="AO422" s="123" t="s">
        <v>188</v>
      </c>
    </row>
    <row r="423" spans="1:44" x14ac:dyDescent="0.2">
      <c r="B423" s="123" t="s">
        <v>3116</v>
      </c>
      <c r="C423" s="123">
        <v>10</v>
      </c>
      <c r="D423" s="123">
        <v>1</v>
      </c>
      <c r="E423" s="123" t="s">
        <v>324</v>
      </c>
      <c r="F423" s="125">
        <v>43570</v>
      </c>
      <c r="G423" s="125" t="s">
        <v>4027</v>
      </c>
      <c r="H423" s="125" t="s">
        <v>4752</v>
      </c>
      <c r="I423" s="171">
        <v>4.1666666666666664E-2</v>
      </c>
      <c r="J423" s="173">
        <v>6.9444444444444447E-4</v>
      </c>
      <c r="K423" s="129">
        <v>60</v>
      </c>
      <c r="L423" s="123" t="s">
        <v>101</v>
      </c>
      <c r="M423" s="123" t="s">
        <v>325</v>
      </c>
      <c r="N423" s="123" t="s">
        <v>102</v>
      </c>
      <c r="O423" s="123" t="s">
        <v>115</v>
      </c>
      <c r="P423" s="123">
        <v>1</v>
      </c>
      <c r="Q423" s="123">
        <v>0</v>
      </c>
      <c r="R423" s="123">
        <v>0</v>
      </c>
      <c r="S423" s="123" t="s">
        <v>176</v>
      </c>
      <c r="T423" s="127" t="s">
        <v>24</v>
      </c>
      <c r="U423" s="127" t="s">
        <v>122</v>
      </c>
      <c r="V423" s="127" t="s">
        <v>115</v>
      </c>
      <c r="W423" s="127"/>
      <c r="X423" s="127"/>
      <c r="Y423" s="127"/>
      <c r="Z423" s="127" t="s">
        <v>115</v>
      </c>
      <c r="AA423" s="127" t="s">
        <v>115</v>
      </c>
      <c r="AB423" s="127" t="s">
        <v>115</v>
      </c>
      <c r="AC423" s="127" t="s">
        <v>115</v>
      </c>
      <c r="AD423" s="127" t="s">
        <v>115</v>
      </c>
      <c r="AE423" s="127" t="s">
        <v>115</v>
      </c>
      <c r="AF423" s="127" t="s">
        <v>115</v>
      </c>
      <c r="AG423" s="127"/>
      <c r="AH423" s="123">
        <v>0</v>
      </c>
      <c r="AI423" s="123">
        <v>0</v>
      </c>
      <c r="AJ423" s="123">
        <v>0</v>
      </c>
      <c r="AK423" s="123">
        <v>0</v>
      </c>
      <c r="AL423" s="123">
        <v>21</v>
      </c>
      <c r="AN423" s="123">
        <f t="shared" si="6"/>
        <v>21</v>
      </c>
      <c r="AO423" s="123" t="s">
        <v>188</v>
      </c>
    </row>
    <row r="424" spans="1:44" x14ac:dyDescent="0.2">
      <c r="A424" s="123" t="s">
        <v>3093</v>
      </c>
      <c r="B424" s="123" t="s">
        <v>3094</v>
      </c>
      <c r="C424" s="123">
        <v>1</v>
      </c>
      <c r="D424" s="123">
        <v>1</v>
      </c>
      <c r="E424" s="123" t="s">
        <v>324</v>
      </c>
      <c r="F424" s="125">
        <v>43570</v>
      </c>
      <c r="G424" s="125" t="s">
        <v>4027</v>
      </c>
      <c r="H424" s="125" t="s">
        <v>4752</v>
      </c>
      <c r="I424" s="171">
        <v>1.3194444444444444E-2</v>
      </c>
      <c r="J424" s="173">
        <v>2.199074074074074E-4</v>
      </c>
      <c r="K424" s="129">
        <v>19</v>
      </c>
      <c r="L424" s="123" t="s">
        <v>101</v>
      </c>
      <c r="M424" s="123" t="s">
        <v>325</v>
      </c>
      <c r="N424" s="123" t="s">
        <v>102</v>
      </c>
      <c r="O424" s="123" t="s">
        <v>115</v>
      </c>
      <c r="P424" s="123">
        <v>1</v>
      </c>
      <c r="Q424" s="123">
        <v>0</v>
      </c>
      <c r="R424" s="123">
        <v>0</v>
      </c>
      <c r="S424" s="123" t="s">
        <v>176</v>
      </c>
      <c r="T424" s="127" t="s">
        <v>24</v>
      </c>
      <c r="U424" s="127" t="s">
        <v>122</v>
      </c>
      <c r="V424" s="127" t="s">
        <v>115</v>
      </c>
      <c r="W424" s="127"/>
      <c r="X424" s="127"/>
      <c r="Y424" s="127"/>
      <c r="Z424" s="127" t="s">
        <v>115</v>
      </c>
      <c r="AA424" s="127" t="s">
        <v>115</v>
      </c>
      <c r="AB424" s="127" t="s">
        <v>115</v>
      </c>
      <c r="AC424" s="127" t="s">
        <v>115</v>
      </c>
      <c r="AD424" s="127" t="s">
        <v>115</v>
      </c>
      <c r="AE424" s="127" t="s">
        <v>115</v>
      </c>
      <c r="AF424" s="127" t="s">
        <v>115</v>
      </c>
      <c r="AG424" s="127"/>
      <c r="AH424" s="123">
        <v>0</v>
      </c>
      <c r="AI424" s="123">
        <v>0</v>
      </c>
      <c r="AJ424" s="123">
        <v>0</v>
      </c>
      <c r="AK424" s="123">
        <v>0</v>
      </c>
      <c r="AL424" s="123">
        <v>10</v>
      </c>
      <c r="AN424" s="123">
        <f t="shared" si="6"/>
        <v>10</v>
      </c>
      <c r="AO424" s="123" t="s">
        <v>188</v>
      </c>
    </row>
    <row r="425" spans="1:44" x14ac:dyDescent="0.2">
      <c r="A425" s="123" t="s">
        <v>3121</v>
      </c>
      <c r="B425" s="123" t="s">
        <v>3124</v>
      </c>
      <c r="C425" s="123">
        <v>14</v>
      </c>
      <c r="D425" s="123">
        <v>1</v>
      </c>
      <c r="E425" s="123" t="s">
        <v>324</v>
      </c>
      <c r="F425" s="125">
        <v>43570</v>
      </c>
      <c r="G425" s="125" t="s">
        <v>4027</v>
      </c>
      <c r="H425" s="125" t="s">
        <v>4752</v>
      </c>
      <c r="I425" s="171">
        <v>9.0972222222222218E-2</v>
      </c>
      <c r="J425" s="173">
        <v>1.5162037037037036E-3</v>
      </c>
      <c r="K425" s="129">
        <v>131</v>
      </c>
      <c r="L425" s="123" t="s">
        <v>101</v>
      </c>
      <c r="M425" s="123" t="s">
        <v>325</v>
      </c>
      <c r="N425" s="123" t="s">
        <v>102</v>
      </c>
      <c r="O425" s="123" t="s">
        <v>115</v>
      </c>
      <c r="P425" s="123">
        <v>1</v>
      </c>
      <c r="Q425" s="123">
        <v>0</v>
      </c>
      <c r="R425" s="123">
        <v>0</v>
      </c>
      <c r="S425" s="123" t="s">
        <v>176</v>
      </c>
      <c r="T425" s="127" t="s">
        <v>24</v>
      </c>
      <c r="U425" s="127" t="s">
        <v>122</v>
      </c>
      <c r="V425" s="127" t="s">
        <v>115</v>
      </c>
      <c r="W425" s="127"/>
      <c r="X425" s="127"/>
      <c r="Y425" s="127"/>
      <c r="Z425" s="127" t="s">
        <v>115</v>
      </c>
      <c r="AA425" s="127" t="s">
        <v>115</v>
      </c>
      <c r="AB425" s="127" t="s">
        <v>115</v>
      </c>
      <c r="AC425" s="127" t="s">
        <v>115</v>
      </c>
      <c r="AD425" s="127" t="s">
        <v>115</v>
      </c>
      <c r="AE425" s="127" t="s">
        <v>115</v>
      </c>
      <c r="AF425" s="127" t="s">
        <v>115</v>
      </c>
      <c r="AG425" s="127"/>
      <c r="AH425" s="123">
        <v>0</v>
      </c>
      <c r="AI425" s="123">
        <v>0</v>
      </c>
      <c r="AJ425" s="123">
        <v>0</v>
      </c>
      <c r="AK425" s="123">
        <v>0</v>
      </c>
      <c r="AL425" s="123">
        <v>29</v>
      </c>
      <c r="AN425" s="123">
        <f t="shared" si="6"/>
        <v>29</v>
      </c>
      <c r="AO425" s="123" t="s">
        <v>188</v>
      </c>
    </row>
    <row r="426" spans="1:44" x14ac:dyDescent="0.2">
      <c r="A426" s="123" t="s">
        <v>3095</v>
      </c>
      <c r="B426" s="123" t="s">
        <v>3096</v>
      </c>
      <c r="C426" s="123">
        <v>2</v>
      </c>
      <c r="D426" s="123">
        <v>1</v>
      </c>
      <c r="E426" s="123" t="s">
        <v>324</v>
      </c>
      <c r="F426" s="125">
        <v>43570</v>
      </c>
      <c r="G426" s="125" t="s">
        <v>4027</v>
      </c>
      <c r="H426" s="125" t="s">
        <v>4752</v>
      </c>
      <c r="I426" s="171">
        <v>9.7222222222222224E-2</v>
      </c>
      <c r="J426" s="173">
        <v>1.6203703703703703E-3</v>
      </c>
      <c r="K426" s="129">
        <v>140</v>
      </c>
      <c r="L426" s="123" t="s">
        <v>101</v>
      </c>
      <c r="M426" s="123" t="s">
        <v>325</v>
      </c>
      <c r="N426" s="123" t="s">
        <v>102</v>
      </c>
      <c r="O426" s="123" t="s">
        <v>115</v>
      </c>
      <c r="P426" s="123">
        <v>1</v>
      </c>
      <c r="Q426" s="123">
        <v>0</v>
      </c>
      <c r="R426" s="123">
        <v>0</v>
      </c>
      <c r="S426" s="123" t="s">
        <v>176</v>
      </c>
      <c r="T426" s="127" t="s">
        <v>24</v>
      </c>
      <c r="U426" s="127" t="s">
        <v>122</v>
      </c>
      <c r="V426" s="127" t="s">
        <v>115</v>
      </c>
      <c r="W426" s="127"/>
      <c r="X426" s="127"/>
      <c r="Y426" s="127"/>
      <c r="Z426" s="127" t="s">
        <v>115</v>
      </c>
      <c r="AA426" s="127" t="s">
        <v>115</v>
      </c>
      <c r="AB426" s="127" t="s">
        <v>115</v>
      </c>
      <c r="AC426" s="127" t="s">
        <v>115</v>
      </c>
      <c r="AD426" s="127" t="s">
        <v>115</v>
      </c>
      <c r="AE426" s="127" t="s">
        <v>115</v>
      </c>
      <c r="AF426" s="127" t="s">
        <v>115</v>
      </c>
      <c r="AG426" s="127"/>
      <c r="AH426" s="123">
        <v>0</v>
      </c>
      <c r="AI426" s="123">
        <v>0</v>
      </c>
      <c r="AJ426" s="123">
        <v>0</v>
      </c>
      <c r="AK426" s="123">
        <v>0</v>
      </c>
      <c r="AL426" s="123">
        <v>3</v>
      </c>
      <c r="AN426" s="123">
        <f t="shared" si="6"/>
        <v>3</v>
      </c>
      <c r="AO426" s="123" t="s">
        <v>188</v>
      </c>
    </row>
    <row r="427" spans="1:44" x14ac:dyDescent="0.2">
      <c r="A427" s="123" t="s">
        <v>3103</v>
      </c>
      <c r="B427" s="123" t="s">
        <v>3104</v>
      </c>
      <c r="C427" s="123">
        <v>5</v>
      </c>
      <c r="D427" s="123">
        <v>1</v>
      </c>
      <c r="E427" s="123" t="s">
        <v>324</v>
      </c>
      <c r="F427" s="125">
        <v>43570</v>
      </c>
      <c r="G427" s="125" t="s">
        <v>4027</v>
      </c>
      <c r="H427" s="125" t="s">
        <v>4752</v>
      </c>
      <c r="I427" s="171">
        <v>3.472222222222222E-3</v>
      </c>
      <c r="J427" s="173">
        <v>5.7870370370370366E-5</v>
      </c>
      <c r="K427" s="129">
        <v>5</v>
      </c>
      <c r="L427" s="123" t="s">
        <v>101</v>
      </c>
      <c r="M427" s="123" t="s">
        <v>325</v>
      </c>
      <c r="N427" s="123" t="s">
        <v>102</v>
      </c>
      <c r="O427" s="123" t="s">
        <v>115</v>
      </c>
      <c r="P427" s="123">
        <v>1</v>
      </c>
      <c r="Q427" s="123">
        <v>0</v>
      </c>
      <c r="R427" s="123">
        <v>0</v>
      </c>
      <c r="S427" s="123" t="s">
        <v>176</v>
      </c>
      <c r="T427" s="127" t="s">
        <v>24</v>
      </c>
      <c r="U427" s="127" t="s">
        <v>122</v>
      </c>
      <c r="V427" s="127" t="s">
        <v>115</v>
      </c>
      <c r="W427" s="127"/>
      <c r="X427" s="127"/>
      <c r="Y427" s="127"/>
      <c r="Z427" s="127" t="s">
        <v>115</v>
      </c>
      <c r="AA427" s="127" t="s">
        <v>115</v>
      </c>
      <c r="AB427" s="127" t="s">
        <v>115</v>
      </c>
      <c r="AC427" s="127" t="s">
        <v>115</v>
      </c>
      <c r="AD427" s="127" t="s">
        <v>115</v>
      </c>
      <c r="AE427" s="127" t="s">
        <v>115</v>
      </c>
      <c r="AF427" s="127" t="s">
        <v>115</v>
      </c>
      <c r="AG427" s="127"/>
      <c r="AH427" s="123">
        <v>0</v>
      </c>
      <c r="AI427" s="123">
        <v>0</v>
      </c>
      <c r="AJ427" s="123">
        <v>0</v>
      </c>
      <c r="AK427" s="123">
        <v>0</v>
      </c>
      <c r="AL427" s="123">
        <v>0</v>
      </c>
      <c r="AN427" s="123">
        <f t="shared" si="6"/>
        <v>0</v>
      </c>
      <c r="AP427" s="123" t="s">
        <v>2405</v>
      </c>
    </row>
    <row r="428" spans="1:44" x14ac:dyDescent="0.2">
      <c r="A428" s="123" t="s">
        <v>3097</v>
      </c>
      <c r="B428" s="123" t="s">
        <v>3098</v>
      </c>
      <c r="C428" s="123">
        <v>3</v>
      </c>
      <c r="D428" s="123">
        <v>1</v>
      </c>
      <c r="E428" s="123" t="s">
        <v>324</v>
      </c>
      <c r="F428" s="125">
        <v>43570</v>
      </c>
      <c r="G428" s="125" t="s">
        <v>4027</v>
      </c>
      <c r="H428" s="125" t="s">
        <v>4752</v>
      </c>
      <c r="I428" s="171">
        <v>6.25E-2</v>
      </c>
      <c r="J428" s="173">
        <v>1.0416666666666667E-3</v>
      </c>
      <c r="K428" s="129">
        <v>90</v>
      </c>
      <c r="L428" s="123" t="s">
        <v>101</v>
      </c>
      <c r="M428" s="123" t="s">
        <v>325</v>
      </c>
      <c r="N428" s="123" t="s">
        <v>102</v>
      </c>
      <c r="O428" s="123" t="s">
        <v>23</v>
      </c>
      <c r="P428" s="123">
        <v>1</v>
      </c>
      <c r="Q428" s="123" t="s">
        <v>24</v>
      </c>
      <c r="R428" s="123">
        <v>0</v>
      </c>
      <c r="S428" s="123" t="s">
        <v>176</v>
      </c>
      <c r="T428" s="127" t="s">
        <v>24</v>
      </c>
      <c r="U428" s="127" t="s">
        <v>709</v>
      </c>
      <c r="V428" s="127" t="s">
        <v>115</v>
      </c>
      <c r="W428" s="127"/>
      <c r="X428" s="127"/>
      <c r="Y428" s="127"/>
      <c r="Z428" s="127" t="s">
        <v>115</v>
      </c>
      <c r="AA428" s="127" t="s">
        <v>115</v>
      </c>
      <c r="AB428" s="127" t="s">
        <v>115</v>
      </c>
      <c r="AC428" s="127" t="s">
        <v>115</v>
      </c>
      <c r="AD428" s="127" t="s">
        <v>115</v>
      </c>
      <c r="AE428" s="127" t="s">
        <v>115</v>
      </c>
      <c r="AF428" s="127" t="s">
        <v>115</v>
      </c>
      <c r="AG428" s="127"/>
      <c r="AH428" s="123">
        <v>48</v>
      </c>
      <c r="AI428" s="123">
        <v>0</v>
      </c>
      <c r="AJ428" s="123">
        <v>48</v>
      </c>
      <c r="AK428" s="123">
        <v>0</v>
      </c>
      <c r="AL428" s="123">
        <v>0</v>
      </c>
      <c r="AN428" s="123">
        <f t="shared" si="6"/>
        <v>48</v>
      </c>
      <c r="AO428" s="123" t="s">
        <v>2374</v>
      </c>
      <c r="AQ428" s="123">
        <v>10</v>
      </c>
      <c r="AR428" s="123">
        <v>0</v>
      </c>
    </row>
    <row r="429" spans="1:44" x14ac:dyDescent="0.2">
      <c r="A429" s="123" t="s">
        <v>3113</v>
      </c>
      <c r="B429" s="123" t="s">
        <v>3114</v>
      </c>
      <c r="C429" s="123">
        <v>9</v>
      </c>
      <c r="D429" s="123">
        <v>1</v>
      </c>
      <c r="E429" s="123" t="s">
        <v>324</v>
      </c>
      <c r="F429" s="125">
        <v>43570</v>
      </c>
      <c r="G429" s="125" t="s">
        <v>4027</v>
      </c>
      <c r="H429" s="125" t="s">
        <v>4752</v>
      </c>
      <c r="I429" s="171">
        <v>2.1527777777777781E-2</v>
      </c>
      <c r="J429" s="173">
        <v>3.5879629629629635E-4</v>
      </c>
      <c r="K429" s="129">
        <v>31</v>
      </c>
      <c r="L429" s="123" t="s">
        <v>101</v>
      </c>
      <c r="M429" s="123" t="s">
        <v>325</v>
      </c>
      <c r="N429" s="123" t="s">
        <v>102</v>
      </c>
      <c r="O429" s="123" t="s">
        <v>23</v>
      </c>
      <c r="P429" s="123">
        <v>2</v>
      </c>
      <c r="Q429" s="123" t="s">
        <v>24</v>
      </c>
      <c r="R429" s="123">
        <v>0</v>
      </c>
      <c r="S429" s="123" t="s">
        <v>176</v>
      </c>
      <c r="T429" s="127" t="s">
        <v>24</v>
      </c>
      <c r="U429" s="127" t="s">
        <v>2068</v>
      </c>
      <c r="V429" s="127" t="s">
        <v>115</v>
      </c>
      <c r="W429" s="127"/>
      <c r="X429" s="127"/>
      <c r="Y429" s="127"/>
      <c r="Z429" s="127" t="s">
        <v>115</v>
      </c>
      <c r="AA429" s="127" t="s">
        <v>115</v>
      </c>
      <c r="AB429" s="127" t="s">
        <v>115</v>
      </c>
      <c r="AC429" s="127" t="s">
        <v>115</v>
      </c>
      <c r="AD429" s="127" t="s">
        <v>115</v>
      </c>
      <c r="AE429" s="127" t="s">
        <v>115</v>
      </c>
      <c r="AF429" s="127" t="s">
        <v>115</v>
      </c>
      <c r="AG429" s="127"/>
      <c r="AH429" s="123">
        <v>31</v>
      </c>
      <c r="AI429" s="123">
        <v>0</v>
      </c>
      <c r="AJ429" s="123">
        <v>0</v>
      </c>
      <c r="AK429" s="123">
        <v>31</v>
      </c>
      <c r="AL429" s="123">
        <v>0</v>
      </c>
      <c r="AN429" s="123">
        <f t="shared" si="6"/>
        <v>31</v>
      </c>
      <c r="AO429" s="123" t="s">
        <v>188</v>
      </c>
    </row>
    <row r="430" spans="1:44" x14ac:dyDescent="0.2">
      <c r="A430" s="123" t="s">
        <v>3097</v>
      </c>
      <c r="B430" s="123" t="s">
        <v>3098</v>
      </c>
      <c r="C430" s="123">
        <v>3</v>
      </c>
      <c r="D430" s="123">
        <v>2</v>
      </c>
      <c r="E430" s="123" t="s">
        <v>324</v>
      </c>
      <c r="F430" s="125">
        <v>43570</v>
      </c>
      <c r="G430" s="125" t="s">
        <v>4027</v>
      </c>
      <c r="H430" s="125" t="s">
        <v>4752</v>
      </c>
      <c r="I430" s="171">
        <v>6.25E-2</v>
      </c>
      <c r="J430" s="173">
        <v>1.0416666666666667E-3</v>
      </c>
      <c r="K430" s="129">
        <v>90</v>
      </c>
      <c r="L430" s="123" t="s">
        <v>101</v>
      </c>
      <c r="M430" s="123" t="s">
        <v>325</v>
      </c>
      <c r="N430" s="123" t="s">
        <v>102</v>
      </c>
      <c r="O430" s="123" t="s">
        <v>23</v>
      </c>
      <c r="P430" s="123">
        <v>1</v>
      </c>
      <c r="Q430" s="123">
        <v>0</v>
      </c>
      <c r="R430" s="123">
        <v>0</v>
      </c>
      <c r="S430" s="123" t="s">
        <v>112</v>
      </c>
      <c r="T430" s="127" t="s">
        <v>2466</v>
      </c>
      <c r="U430" s="127" t="s">
        <v>487</v>
      </c>
      <c r="V430" s="127" t="s">
        <v>115</v>
      </c>
      <c r="W430" s="127"/>
      <c r="X430" s="127"/>
      <c r="Y430" s="127"/>
      <c r="Z430" s="127" t="s">
        <v>115</v>
      </c>
      <c r="AA430" s="127" t="s">
        <v>115</v>
      </c>
      <c r="AB430" s="127" t="s">
        <v>115</v>
      </c>
      <c r="AC430" s="127" t="s">
        <v>115</v>
      </c>
      <c r="AD430" s="127" t="s">
        <v>115</v>
      </c>
      <c r="AE430" s="127" t="s">
        <v>115</v>
      </c>
      <c r="AF430" s="127" t="s">
        <v>115</v>
      </c>
      <c r="AG430" s="127"/>
      <c r="AH430" s="123">
        <v>0</v>
      </c>
      <c r="AI430" s="123">
        <v>7</v>
      </c>
      <c r="AJ430" s="123">
        <v>0</v>
      </c>
      <c r="AK430" s="123">
        <v>7</v>
      </c>
      <c r="AL430" s="123">
        <v>0</v>
      </c>
      <c r="AN430" s="123">
        <f t="shared" si="6"/>
        <v>7</v>
      </c>
      <c r="AO430" s="123" t="s">
        <v>188</v>
      </c>
      <c r="AP430" s="123" t="s">
        <v>3099</v>
      </c>
    </row>
    <row r="431" spans="1:44" x14ac:dyDescent="0.2">
      <c r="A431" s="123" t="s">
        <v>3130</v>
      </c>
      <c r="B431" s="123" t="s">
        <v>3133</v>
      </c>
      <c r="C431" s="123">
        <v>18</v>
      </c>
      <c r="D431" s="123">
        <v>1</v>
      </c>
      <c r="E431" s="123" t="s">
        <v>324</v>
      </c>
      <c r="F431" s="125">
        <v>43570</v>
      </c>
      <c r="G431" s="125" t="s">
        <v>4027</v>
      </c>
      <c r="H431" s="125" t="s">
        <v>4752</v>
      </c>
      <c r="I431" s="171">
        <v>3.0555555555555555E-2</v>
      </c>
      <c r="J431" s="173">
        <v>5.0925925925925921E-4</v>
      </c>
      <c r="K431" s="129">
        <v>44</v>
      </c>
      <c r="L431" s="123" t="s">
        <v>101</v>
      </c>
      <c r="M431" s="123" t="s">
        <v>325</v>
      </c>
      <c r="N431" s="123" t="s">
        <v>102</v>
      </c>
      <c r="O431" s="123" t="s">
        <v>115</v>
      </c>
      <c r="P431" s="123">
        <v>1</v>
      </c>
      <c r="Q431" s="123">
        <v>0</v>
      </c>
      <c r="R431" s="123">
        <v>0</v>
      </c>
      <c r="S431" s="123" t="s">
        <v>598</v>
      </c>
      <c r="T431" s="127" t="s">
        <v>2506</v>
      </c>
      <c r="U431" s="127" t="s">
        <v>122</v>
      </c>
      <c r="V431" s="127" t="s">
        <v>115</v>
      </c>
      <c r="W431" s="127"/>
      <c r="X431" s="127"/>
      <c r="Y431" s="127"/>
      <c r="Z431" s="127" t="s">
        <v>115</v>
      </c>
      <c r="AA431" s="127" t="s">
        <v>115</v>
      </c>
      <c r="AB431" s="127" t="s">
        <v>115</v>
      </c>
      <c r="AC431" s="127" t="s">
        <v>115</v>
      </c>
      <c r="AD431" s="127" t="s">
        <v>115</v>
      </c>
      <c r="AE431" s="127" t="s">
        <v>115</v>
      </c>
      <c r="AF431" s="127" t="s">
        <v>115</v>
      </c>
      <c r="AG431" s="127"/>
      <c r="AH431" s="123">
        <v>0</v>
      </c>
      <c r="AI431" s="123">
        <v>0</v>
      </c>
      <c r="AJ431" s="123">
        <v>0</v>
      </c>
      <c r="AK431" s="123">
        <v>0</v>
      </c>
      <c r="AL431" s="123">
        <v>44</v>
      </c>
      <c r="AN431" s="123">
        <f t="shared" si="6"/>
        <v>44</v>
      </c>
      <c r="AO431" s="123" t="s">
        <v>188</v>
      </c>
    </row>
    <row r="432" spans="1:44" x14ac:dyDescent="0.2">
      <c r="A432" s="123" t="s">
        <v>3107</v>
      </c>
      <c r="B432" s="123" t="s">
        <v>3108</v>
      </c>
      <c r="C432" s="123">
        <v>7</v>
      </c>
      <c r="D432" s="123">
        <v>1</v>
      </c>
      <c r="E432" s="123" t="s">
        <v>324</v>
      </c>
      <c r="F432" s="125">
        <v>43570</v>
      </c>
      <c r="G432" s="125" t="s">
        <v>4027</v>
      </c>
      <c r="H432" s="125" t="s">
        <v>4752</v>
      </c>
      <c r="I432" s="171">
        <v>2.7777777777777776E-2</v>
      </c>
      <c r="J432" s="173">
        <v>4.6296296296296294E-5</v>
      </c>
      <c r="K432" s="129">
        <v>4</v>
      </c>
      <c r="L432" s="123" t="s">
        <v>101</v>
      </c>
      <c r="M432" s="123" t="s">
        <v>325</v>
      </c>
      <c r="N432" s="123" t="s">
        <v>102</v>
      </c>
      <c r="O432" s="123" t="s">
        <v>115</v>
      </c>
      <c r="P432" s="123">
        <v>1</v>
      </c>
      <c r="Q432" s="123">
        <v>0</v>
      </c>
      <c r="R432" s="123">
        <v>0</v>
      </c>
      <c r="S432" s="123" t="s">
        <v>461</v>
      </c>
      <c r="T432" s="127" t="s">
        <v>2605</v>
      </c>
      <c r="U432" s="127" t="s">
        <v>122</v>
      </c>
      <c r="V432" s="127" t="s">
        <v>115</v>
      </c>
      <c r="W432" s="127"/>
      <c r="X432" s="127"/>
      <c r="Y432" s="127"/>
      <c r="Z432" s="127" t="s">
        <v>115</v>
      </c>
      <c r="AA432" s="127" t="s">
        <v>115</v>
      </c>
      <c r="AB432" s="127" t="s">
        <v>115</v>
      </c>
      <c r="AC432" s="127" t="s">
        <v>115</v>
      </c>
      <c r="AD432" s="127" t="s">
        <v>115</v>
      </c>
      <c r="AE432" s="127" t="s">
        <v>115</v>
      </c>
      <c r="AF432" s="127" t="s">
        <v>115</v>
      </c>
      <c r="AG432" s="127"/>
      <c r="AH432" s="123">
        <v>0</v>
      </c>
      <c r="AI432" s="123">
        <v>0</v>
      </c>
      <c r="AJ432" s="123">
        <v>0</v>
      </c>
      <c r="AK432" s="123">
        <v>0</v>
      </c>
      <c r="AL432" s="123">
        <v>40</v>
      </c>
      <c r="AN432" s="123">
        <f t="shared" si="6"/>
        <v>40</v>
      </c>
      <c r="AP432" s="123" t="s">
        <v>3109</v>
      </c>
    </row>
    <row r="433" spans="1:44" x14ac:dyDescent="0.2">
      <c r="A433" s="123" t="s">
        <v>3119</v>
      </c>
      <c r="B433" s="123" t="s">
        <v>3122</v>
      </c>
      <c r="C433" s="123">
        <v>13</v>
      </c>
      <c r="D433" s="123">
        <v>1</v>
      </c>
      <c r="E433" s="123" t="s">
        <v>324</v>
      </c>
      <c r="F433" s="125">
        <v>43570</v>
      </c>
      <c r="G433" s="125" t="s">
        <v>4027</v>
      </c>
      <c r="H433" s="125" t="s">
        <v>4752</v>
      </c>
      <c r="I433" s="171">
        <v>6.2499999999999995E-3</v>
      </c>
      <c r="J433" s="173">
        <v>1.0416666666666667E-4</v>
      </c>
      <c r="K433" s="129">
        <v>9</v>
      </c>
      <c r="L433" s="123" t="s">
        <v>101</v>
      </c>
      <c r="M433" s="123" t="s">
        <v>325</v>
      </c>
      <c r="N433" s="123" t="s">
        <v>102</v>
      </c>
      <c r="O433" s="123" t="s">
        <v>115</v>
      </c>
      <c r="P433" s="123">
        <v>0</v>
      </c>
      <c r="Q433" s="123">
        <v>0</v>
      </c>
      <c r="R433" s="123">
        <v>0</v>
      </c>
      <c r="T433" s="127" t="s">
        <v>115</v>
      </c>
      <c r="U433" s="127" t="s">
        <v>115</v>
      </c>
      <c r="V433" s="127" t="s">
        <v>115</v>
      </c>
      <c r="W433" s="127"/>
      <c r="X433" s="127"/>
      <c r="Y433" s="127"/>
      <c r="Z433" s="127" t="s">
        <v>115</v>
      </c>
      <c r="AA433" s="127" t="s">
        <v>115</v>
      </c>
      <c r="AB433" s="127" t="s">
        <v>115</v>
      </c>
      <c r="AC433" s="127" t="s">
        <v>115</v>
      </c>
      <c r="AD433" s="127" t="s">
        <v>115</v>
      </c>
      <c r="AE433" s="127" t="s">
        <v>115</v>
      </c>
      <c r="AF433" s="127" t="s">
        <v>115</v>
      </c>
      <c r="AG433" s="127"/>
      <c r="AH433" s="123">
        <v>0</v>
      </c>
      <c r="AI433" s="123">
        <v>0</v>
      </c>
      <c r="AJ433" s="123">
        <v>0</v>
      </c>
      <c r="AK433" s="123">
        <v>0</v>
      </c>
      <c r="AL433" s="123">
        <v>9</v>
      </c>
      <c r="AN433" s="123">
        <f t="shared" si="6"/>
        <v>9</v>
      </c>
      <c r="AO433" s="123" t="s">
        <v>188</v>
      </c>
    </row>
    <row r="434" spans="1:44" x14ac:dyDescent="0.2">
      <c r="A434" s="123" t="s">
        <v>3134</v>
      </c>
      <c r="B434" s="123" t="s">
        <v>3818</v>
      </c>
      <c r="C434" s="123">
        <v>20</v>
      </c>
      <c r="D434" s="123">
        <v>1</v>
      </c>
      <c r="E434" s="123" t="s">
        <v>324</v>
      </c>
      <c r="F434" s="125">
        <v>43570</v>
      </c>
      <c r="G434" s="125" t="s">
        <v>4027</v>
      </c>
      <c r="H434" s="125" t="s">
        <v>4752</v>
      </c>
      <c r="I434" s="171">
        <v>5.8333333333333327E-2</v>
      </c>
      <c r="J434" s="173">
        <v>9.7222222222222209E-4</v>
      </c>
      <c r="K434" s="129">
        <v>84</v>
      </c>
      <c r="L434" s="123" t="s">
        <v>101</v>
      </c>
      <c r="M434" s="123" t="s">
        <v>325</v>
      </c>
      <c r="N434" s="123" t="s">
        <v>102</v>
      </c>
      <c r="O434" s="123" t="s">
        <v>115</v>
      </c>
      <c r="P434" s="123">
        <v>0</v>
      </c>
      <c r="Q434" s="123">
        <v>0</v>
      </c>
      <c r="R434" s="123">
        <v>0</v>
      </c>
      <c r="T434" s="127" t="s">
        <v>115</v>
      </c>
      <c r="U434" s="127" t="s">
        <v>115</v>
      </c>
      <c r="V434" s="127" t="s">
        <v>115</v>
      </c>
      <c r="W434" s="127"/>
      <c r="X434" s="127"/>
      <c r="Y434" s="127"/>
      <c r="Z434" s="127" t="s">
        <v>115</v>
      </c>
      <c r="AA434" s="127" t="s">
        <v>115</v>
      </c>
      <c r="AB434" s="127" t="s">
        <v>115</v>
      </c>
      <c r="AC434" s="127" t="s">
        <v>115</v>
      </c>
      <c r="AD434" s="127" t="s">
        <v>115</v>
      </c>
      <c r="AE434" s="127" t="s">
        <v>115</v>
      </c>
      <c r="AF434" s="127" t="s">
        <v>115</v>
      </c>
      <c r="AG434" s="127"/>
      <c r="AH434" s="123">
        <v>0</v>
      </c>
      <c r="AI434" s="123">
        <v>0</v>
      </c>
      <c r="AJ434" s="123">
        <v>0</v>
      </c>
      <c r="AK434" s="123">
        <v>0</v>
      </c>
      <c r="AL434" s="123">
        <v>57</v>
      </c>
      <c r="AN434" s="123">
        <f t="shared" si="6"/>
        <v>57</v>
      </c>
      <c r="AO434" s="123" t="s">
        <v>188</v>
      </c>
    </row>
    <row r="435" spans="1:44" x14ac:dyDescent="0.2">
      <c r="A435" s="123" t="s">
        <v>3110</v>
      </c>
      <c r="B435" s="123" t="s">
        <v>3111</v>
      </c>
      <c r="C435" s="123">
        <v>8</v>
      </c>
      <c r="D435" s="123">
        <v>1</v>
      </c>
      <c r="E435" s="123" t="s">
        <v>324</v>
      </c>
      <c r="F435" s="125">
        <v>43570</v>
      </c>
      <c r="G435" s="125" t="s">
        <v>4027</v>
      </c>
      <c r="H435" s="125" t="s">
        <v>4752</v>
      </c>
      <c r="I435" s="171">
        <v>4.5833333333333337E-2</v>
      </c>
      <c r="J435" s="173">
        <v>7.6388888888888893E-4</v>
      </c>
      <c r="K435" s="129">
        <v>66</v>
      </c>
      <c r="L435" s="123" t="s">
        <v>101</v>
      </c>
      <c r="M435" s="123" t="s">
        <v>325</v>
      </c>
      <c r="N435" s="123" t="s">
        <v>107</v>
      </c>
      <c r="O435" s="123" t="s">
        <v>115</v>
      </c>
      <c r="P435" s="123">
        <v>0</v>
      </c>
      <c r="Q435" s="123">
        <v>0</v>
      </c>
      <c r="R435" s="123">
        <v>0</v>
      </c>
      <c r="S435" s="123" t="s">
        <v>461</v>
      </c>
      <c r="T435" s="127" t="s">
        <v>2605</v>
      </c>
      <c r="U435" s="127" t="s">
        <v>115</v>
      </c>
      <c r="V435" s="127" t="s">
        <v>115</v>
      </c>
      <c r="W435" s="127"/>
      <c r="X435" s="127"/>
      <c r="Y435" s="127"/>
      <c r="Z435" s="127" t="s">
        <v>115</v>
      </c>
      <c r="AA435" s="127" t="s">
        <v>115</v>
      </c>
      <c r="AB435" s="127" t="s">
        <v>115</v>
      </c>
      <c r="AC435" s="127" t="s">
        <v>115</v>
      </c>
      <c r="AD435" s="127" t="s">
        <v>115</v>
      </c>
      <c r="AE435" s="127" t="s">
        <v>115</v>
      </c>
      <c r="AF435" s="127" t="s">
        <v>115</v>
      </c>
      <c r="AG435" s="127"/>
      <c r="AH435" s="123">
        <v>0</v>
      </c>
      <c r="AI435" s="123">
        <v>0</v>
      </c>
      <c r="AJ435" s="123">
        <v>0</v>
      </c>
      <c r="AK435" s="123">
        <v>0</v>
      </c>
      <c r="AL435" s="123">
        <v>66</v>
      </c>
      <c r="AN435" s="123">
        <f t="shared" si="6"/>
        <v>66</v>
      </c>
      <c r="AP435" s="123" t="s">
        <v>3112</v>
      </c>
    </row>
    <row r="436" spans="1:44" x14ac:dyDescent="0.2">
      <c r="A436" s="123" t="s">
        <v>2884</v>
      </c>
      <c r="B436" s="123" t="s">
        <v>2885</v>
      </c>
      <c r="C436" s="123">
        <v>13</v>
      </c>
      <c r="D436" s="123">
        <v>1</v>
      </c>
      <c r="E436" s="123" t="s">
        <v>324</v>
      </c>
      <c r="F436" s="125">
        <v>43558</v>
      </c>
      <c r="G436" s="125" t="s">
        <v>4027</v>
      </c>
      <c r="H436" s="125" t="s">
        <v>4752</v>
      </c>
      <c r="I436" s="171">
        <v>1.1805555555555555E-2</v>
      </c>
      <c r="J436" s="173">
        <v>1.9675925925925926E-4</v>
      </c>
      <c r="K436" s="129">
        <v>17</v>
      </c>
      <c r="M436" s="123" t="s">
        <v>325</v>
      </c>
      <c r="N436" s="123" t="s">
        <v>102</v>
      </c>
      <c r="O436" s="123" t="s">
        <v>23</v>
      </c>
      <c r="P436" s="123" t="s">
        <v>24</v>
      </c>
      <c r="Q436" s="123" t="s">
        <v>24</v>
      </c>
      <c r="R436" s="123">
        <v>0</v>
      </c>
      <c r="T436" s="127" t="s">
        <v>115</v>
      </c>
      <c r="U436" s="127" t="s">
        <v>115</v>
      </c>
      <c r="V436" s="127" t="s">
        <v>115</v>
      </c>
      <c r="W436" s="127"/>
      <c r="X436" s="127"/>
      <c r="Y436" s="127"/>
      <c r="Z436" s="127" t="s">
        <v>115</v>
      </c>
      <c r="AA436" s="127" t="s">
        <v>115</v>
      </c>
      <c r="AB436" s="127" t="s">
        <v>115</v>
      </c>
      <c r="AC436" s="127" t="s">
        <v>115</v>
      </c>
      <c r="AD436" s="127" t="s">
        <v>115</v>
      </c>
      <c r="AE436" s="127" t="s">
        <v>115</v>
      </c>
      <c r="AF436" s="127" t="s">
        <v>115</v>
      </c>
      <c r="AG436" s="127"/>
      <c r="AH436" s="123">
        <v>12</v>
      </c>
      <c r="AI436" s="123">
        <v>0</v>
      </c>
      <c r="AJ436" s="123">
        <v>0</v>
      </c>
      <c r="AK436" s="123">
        <v>12</v>
      </c>
      <c r="AL436" s="123">
        <v>0</v>
      </c>
      <c r="AN436" s="123">
        <f t="shared" si="6"/>
        <v>12</v>
      </c>
      <c r="AO436" s="123" t="s">
        <v>188</v>
      </c>
    </row>
    <row r="437" spans="1:44" x14ac:dyDescent="0.2">
      <c r="A437" s="123" t="s">
        <v>2886</v>
      </c>
      <c r="B437" s="123" t="s">
        <v>2887</v>
      </c>
      <c r="C437" s="123">
        <v>14</v>
      </c>
      <c r="D437" s="123">
        <v>1</v>
      </c>
      <c r="E437" s="123" t="s">
        <v>324</v>
      </c>
      <c r="F437" s="125">
        <v>43558</v>
      </c>
      <c r="G437" s="125" t="s">
        <v>4027</v>
      </c>
      <c r="H437" s="125" t="s">
        <v>4752</v>
      </c>
      <c r="I437" s="171">
        <v>1.0416666666666666E-2</v>
      </c>
      <c r="J437" s="173">
        <v>1.7361111111111112E-4</v>
      </c>
      <c r="K437" s="129">
        <v>15</v>
      </c>
      <c r="M437" s="123" t="s">
        <v>325</v>
      </c>
      <c r="N437" s="123" t="s">
        <v>102</v>
      </c>
      <c r="O437" s="123" t="s">
        <v>23</v>
      </c>
      <c r="P437" s="123" t="s">
        <v>24</v>
      </c>
      <c r="Q437" s="123" t="s">
        <v>24</v>
      </c>
      <c r="R437" s="123">
        <v>0</v>
      </c>
      <c r="T437" s="127" t="s">
        <v>115</v>
      </c>
      <c r="U437" s="127" t="s">
        <v>115</v>
      </c>
      <c r="V437" s="127" t="s">
        <v>115</v>
      </c>
      <c r="W437" s="127"/>
      <c r="X437" s="127"/>
      <c r="Y437" s="127"/>
      <c r="Z437" s="127" t="s">
        <v>115</v>
      </c>
      <c r="AA437" s="127" t="s">
        <v>115</v>
      </c>
      <c r="AB437" s="127" t="s">
        <v>115</v>
      </c>
      <c r="AC437" s="127" t="s">
        <v>115</v>
      </c>
      <c r="AD437" s="127" t="s">
        <v>115</v>
      </c>
      <c r="AE437" s="127" t="s">
        <v>115</v>
      </c>
      <c r="AF437" s="127" t="s">
        <v>115</v>
      </c>
      <c r="AG437" s="127"/>
      <c r="AH437" s="123">
        <v>15</v>
      </c>
      <c r="AI437" s="123">
        <v>0</v>
      </c>
      <c r="AJ437" s="123">
        <v>0</v>
      </c>
      <c r="AK437" s="123">
        <v>15</v>
      </c>
      <c r="AL437" s="123">
        <v>0</v>
      </c>
      <c r="AN437" s="123">
        <f t="shared" si="6"/>
        <v>15</v>
      </c>
      <c r="AO437" s="123" t="s">
        <v>2374</v>
      </c>
      <c r="AQ437" s="123">
        <v>2</v>
      </c>
      <c r="AR437" s="123">
        <v>0</v>
      </c>
    </row>
    <row r="438" spans="1:44" x14ac:dyDescent="0.2">
      <c r="A438" s="123" t="s">
        <v>2901</v>
      </c>
      <c r="B438" s="123" t="s">
        <v>2902</v>
      </c>
      <c r="C438" s="123">
        <v>19</v>
      </c>
      <c r="D438" s="123">
        <v>1</v>
      </c>
      <c r="E438" s="123" t="s">
        <v>324</v>
      </c>
      <c r="F438" s="125">
        <v>43558</v>
      </c>
      <c r="G438" s="125" t="s">
        <v>4027</v>
      </c>
      <c r="H438" s="125" t="s">
        <v>4752</v>
      </c>
      <c r="I438" s="171">
        <v>1.8055555555555557E-2</v>
      </c>
      <c r="J438" s="173">
        <v>3.0092592592592595E-4</v>
      </c>
      <c r="K438" s="129">
        <v>26</v>
      </c>
      <c r="M438" s="123" t="s">
        <v>325</v>
      </c>
      <c r="N438" s="123" t="s">
        <v>102</v>
      </c>
      <c r="O438" s="123" t="s">
        <v>23</v>
      </c>
      <c r="P438" s="123" t="s">
        <v>24</v>
      </c>
      <c r="Q438" s="123" t="s">
        <v>24</v>
      </c>
      <c r="R438" s="123">
        <v>0</v>
      </c>
      <c r="T438" s="127" t="s">
        <v>115</v>
      </c>
      <c r="U438" s="127" t="s">
        <v>115</v>
      </c>
      <c r="V438" s="127" t="s">
        <v>115</v>
      </c>
      <c r="W438" s="127"/>
      <c r="X438" s="127"/>
      <c r="Y438" s="127"/>
      <c r="Z438" s="127" t="s">
        <v>115</v>
      </c>
      <c r="AA438" s="127" t="s">
        <v>115</v>
      </c>
      <c r="AB438" s="127" t="s">
        <v>115</v>
      </c>
      <c r="AC438" s="127" t="s">
        <v>115</v>
      </c>
      <c r="AD438" s="127" t="s">
        <v>115</v>
      </c>
      <c r="AE438" s="127" t="s">
        <v>115</v>
      </c>
      <c r="AF438" s="127" t="s">
        <v>115</v>
      </c>
      <c r="AG438" s="127"/>
      <c r="AH438" s="123">
        <v>21</v>
      </c>
      <c r="AI438" s="123">
        <v>0</v>
      </c>
      <c r="AJ438" s="123">
        <v>0</v>
      </c>
      <c r="AK438" s="123">
        <v>21</v>
      </c>
      <c r="AL438" s="123">
        <v>0</v>
      </c>
      <c r="AN438" s="123">
        <f t="shared" si="6"/>
        <v>21</v>
      </c>
      <c r="AO438" s="123" t="s">
        <v>188</v>
      </c>
    </row>
    <row r="439" spans="1:44" x14ac:dyDescent="0.2">
      <c r="A439" s="123" t="s">
        <v>3001</v>
      </c>
      <c r="B439" s="123" t="s">
        <v>3003</v>
      </c>
      <c r="C439" s="123">
        <v>1</v>
      </c>
      <c r="D439" s="123">
        <v>1</v>
      </c>
      <c r="E439" s="123" t="s">
        <v>324</v>
      </c>
      <c r="F439" s="125">
        <v>43564</v>
      </c>
      <c r="G439" s="125" t="s">
        <v>4027</v>
      </c>
      <c r="H439" s="125" t="s">
        <v>4752</v>
      </c>
      <c r="I439" s="171">
        <v>4.9999999999999996E-2</v>
      </c>
      <c r="J439" s="173">
        <v>8.3333333333333339E-4</v>
      </c>
      <c r="K439" s="129">
        <v>72</v>
      </c>
      <c r="L439" s="123" t="s">
        <v>101</v>
      </c>
      <c r="M439" s="123" t="s">
        <v>325</v>
      </c>
      <c r="N439" s="123" t="s">
        <v>102</v>
      </c>
      <c r="O439" s="123" t="s">
        <v>115</v>
      </c>
      <c r="P439" s="123" t="s">
        <v>24</v>
      </c>
      <c r="Q439" s="123">
        <v>0</v>
      </c>
      <c r="R439" s="123">
        <v>0</v>
      </c>
      <c r="T439" s="127" t="s">
        <v>115</v>
      </c>
      <c r="U439" s="127" t="s">
        <v>115</v>
      </c>
      <c r="V439" s="127" t="s">
        <v>115</v>
      </c>
      <c r="W439" s="127"/>
      <c r="X439" s="127"/>
      <c r="Y439" s="127"/>
      <c r="Z439" s="127" t="s">
        <v>115</v>
      </c>
      <c r="AA439" s="127" t="s">
        <v>115</v>
      </c>
      <c r="AB439" s="127" t="s">
        <v>115</v>
      </c>
      <c r="AC439" s="127" t="s">
        <v>115</v>
      </c>
      <c r="AD439" s="127" t="s">
        <v>115</v>
      </c>
      <c r="AE439" s="127" t="s">
        <v>115</v>
      </c>
      <c r="AF439" s="127" t="s">
        <v>115</v>
      </c>
      <c r="AG439" s="127"/>
      <c r="AH439" s="123">
        <v>0</v>
      </c>
      <c r="AI439" s="123">
        <v>0</v>
      </c>
      <c r="AJ439" s="123">
        <v>0</v>
      </c>
      <c r="AK439" s="123">
        <v>0</v>
      </c>
      <c r="AL439" s="123">
        <v>62</v>
      </c>
      <c r="AN439" s="123">
        <f t="shared" si="6"/>
        <v>62</v>
      </c>
      <c r="AO439" s="123" t="s">
        <v>188</v>
      </c>
    </row>
    <row r="440" spans="1:44" x14ac:dyDescent="0.2">
      <c r="A440" s="123" t="s">
        <v>3005</v>
      </c>
      <c r="B440" s="123" t="s">
        <v>3006</v>
      </c>
      <c r="C440" s="123">
        <v>3</v>
      </c>
      <c r="D440" s="123">
        <v>1</v>
      </c>
      <c r="E440" s="123" t="s">
        <v>324</v>
      </c>
      <c r="F440" s="125">
        <v>43564</v>
      </c>
      <c r="G440" s="125" t="s">
        <v>4027</v>
      </c>
      <c r="H440" s="125" t="s">
        <v>4752</v>
      </c>
      <c r="I440" s="171">
        <v>5.486111111111111E-2</v>
      </c>
      <c r="J440" s="173">
        <v>9.1435185185185185E-4</v>
      </c>
      <c r="K440" s="129">
        <v>79</v>
      </c>
      <c r="M440" s="123" t="s">
        <v>325</v>
      </c>
      <c r="N440" s="123" t="s">
        <v>102</v>
      </c>
      <c r="O440" s="123" t="s">
        <v>115</v>
      </c>
      <c r="P440" s="123" t="s">
        <v>24</v>
      </c>
      <c r="Q440" s="123">
        <v>0</v>
      </c>
      <c r="R440" s="123">
        <v>0</v>
      </c>
      <c r="T440" s="127" t="s">
        <v>115</v>
      </c>
      <c r="U440" s="127" t="s">
        <v>115</v>
      </c>
      <c r="V440" s="127" t="s">
        <v>115</v>
      </c>
      <c r="W440" s="127"/>
      <c r="X440" s="127"/>
      <c r="Y440" s="127"/>
      <c r="Z440" s="127" t="s">
        <v>115</v>
      </c>
      <c r="AA440" s="127" t="s">
        <v>115</v>
      </c>
      <c r="AB440" s="127" t="s">
        <v>115</v>
      </c>
      <c r="AC440" s="127" t="s">
        <v>115</v>
      </c>
      <c r="AD440" s="127" t="s">
        <v>115</v>
      </c>
      <c r="AE440" s="127" t="s">
        <v>115</v>
      </c>
      <c r="AF440" s="127" t="s">
        <v>115</v>
      </c>
      <c r="AG440" s="127"/>
      <c r="AH440" s="123">
        <v>0</v>
      </c>
      <c r="AI440" s="123">
        <v>0</v>
      </c>
      <c r="AJ440" s="123">
        <v>0</v>
      </c>
      <c r="AK440" s="123">
        <v>0</v>
      </c>
      <c r="AL440" s="123">
        <v>79</v>
      </c>
      <c r="AN440" s="123">
        <f t="shared" si="6"/>
        <v>79</v>
      </c>
      <c r="AO440" s="123" t="s">
        <v>188</v>
      </c>
    </row>
    <row r="441" spans="1:44" x14ac:dyDescent="0.2">
      <c r="A441" s="123" t="s">
        <v>3007</v>
      </c>
      <c r="B441" s="123" t="s">
        <v>3008</v>
      </c>
      <c r="C441" s="123">
        <v>4</v>
      </c>
      <c r="D441" s="123">
        <v>1</v>
      </c>
      <c r="E441" s="123" t="s">
        <v>324</v>
      </c>
      <c r="F441" s="125">
        <v>43564</v>
      </c>
      <c r="G441" s="125" t="s">
        <v>4027</v>
      </c>
      <c r="H441" s="125" t="s">
        <v>4752</v>
      </c>
      <c r="I441" s="171">
        <v>2.0833333333333332E-2</v>
      </c>
      <c r="J441" s="173">
        <v>3.4722222222222224E-4</v>
      </c>
      <c r="K441" s="129">
        <v>30</v>
      </c>
      <c r="M441" s="123" t="s">
        <v>325</v>
      </c>
      <c r="N441" s="123" t="s">
        <v>102</v>
      </c>
      <c r="O441" s="123" t="s">
        <v>115</v>
      </c>
      <c r="P441" s="123" t="s">
        <v>24</v>
      </c>
      <c r="Q441" s="123">
        <v>0</v>
      </c>
      <c r="R441" s="123">
        <v>0</v>
      </c>
      <c r="T441" s="127" t="s">
        <v>115</v>
      </c>
      <c r="U441" s="127" t="s">
        <v>115</v>
      </c>
      <c r="V441" s="127" t="s">
        <v>115</v>
      </c>
      <c r="W441" s="127"/>
      <c r="X441" s="127"/>
      <c r="Y441" s="127"/>
      <c r="Z441" s="127" t="s">
        <v>115</v>
      </c>
      <c r="AA441" s="127" t="s">
        <v>115</v>
      </c>
      <c r="AB441" s="127" t="s">
        <v>115</v>
      </c>
      <c r="AC441" s="127" t="s">
        <v>115</v>
      </c>
      <c r="AD441" s="127" t="s">
        <v>115</v>
      </c>
      <c r="AE441" s="127" t="s">
        <v>115</v>
      </c>
      <c r="AF441" s="127" t="s">
        <v>115</v>
      </c>
      <c r="AG441" s="127"/>
      <c r="AH441" s="123">
        <v>0</v>
      </c>
      <c r="AI441" s="123">
        <v>0</v>
      </c>
      <c r="AJ441" s="123">
        <v>0</v>
      </c>
      <c r="AK441" s="123">
        <v>0</v>
      </c>
      <c r="AL441" s="123">
        <v>30</v>
      </c>
      <c r="AN441" s="123">
        <f t="shared" si="6"/>
        <v>30</v>
      </c>
      <c r="AO441" s="123" t="s">
        <v>188</v>
      </c>
    </row>
    <row r="442" spans="1:44" x14ac:dyDescent="0.2">
      <c r="A442" s="123" t="s">
        <v>3115</v>
      </c>
      <c r="B442" s="123" t="s">
        <v>3118</v>
      </c>
      <c r="C442" s="123">
        <v>11</v>
      </c>
      <c r="D442" s="123">
        <v>1</v>
      </c>
      <c r="E442" s="123" t="s">
        <v>324</v>
      </c>
      <c r="F442" s="125">
        <v>43570</v>
      </c>
      <c r="G442" s="125" t="s">
        <v>4027</v>
      </c>
      <c r="H442" s="125" t="s">
        <v>4752</v>
      </c>
      <c r="I442" s="171">
        <v>1.3194444444444444E-2</v>
      </c>
      <c r="J442" s="173">
        <v>2.199074074074074E-4</v>
      </c>
      <c r="K442" s="129">
        <v>19</v>
      </c>
      <c r="L442" s="123" t="s">
        <v>101</v>
      </c>
      <c r="M442" s="123" t="s">
        <v>325</v>
      </c>
      <c r="N442" s="123" t="s">
        <v>102</v>
      </c>
      <c r="O442" s="123" t="s">
        <v>115</v>
      </c>
      <c r="P442" s="123" t="s">
        <v>24</v>
      </c>
      <c r="Q442" s="123">
        <v>0</v>
      </c>
      <c r="R442" s="123">
        <v>0</v>
      </c>
      <c r="T442" s="127" t="s">
        <v>115</v>
      </c>
      <c r="U442" s="127" t="s">
        <v>115</v>
      </c>
      <c r="V442" s="127" t="s">
        <v>115</v>
      </c>
      <c r="W442" s="127"/>
      <c r="X442" s="127"/>
      <c r="Y442" s="127"/>
      <c r="Z442" s="127" t="s">
        <v>115</v>
      </c>
      <c r="AA442" s="127" t="s">
        <v>115</v>
      </c>
      <c r="AB442" s="127" t="s">
        <v>115</v>
      </c>
      <c r="AC442" s="127" t="s">
        <v>115</v>
      </c>
      <c r="AD442" s="127" t="s">
        <v>115</v>
      </c>
      <c r="AE442" s="127" t="s">
        <v>115</v>
      </c>
      <c r="AF442" s="127" t="s">
        <v>115</v>
      </c>
      <c r="AG442" s="127"/>
      <c r="AH442" s="123">
        <v>0</v>
      </c>
      <c r="AI442" s="123">
        <v>0</v>
      </c>
      <c r="AJ442" s="123">
        <v>0</v>
      </c>
      <c r="AK442" s="123">
        <v>0</v>
      </c>
      <c r="AL442" s="123">
        <v>7</v>
      </c>
      <c r="AN442" s="123">
        <f t="shared" si="6"/>
        <v>7</v>
      </c>
      <c r="AO442" s="123" t="s">
        <v>188</v>
      </c>
    </row>
    <row r="443" spans="1:44" x14ac:dyDescent="0.2">
      <c r="A443" s="123" t="s">
        <v>3117</v>
      </c>
      <c r="B443" s="123" t="s">
        <v>3120</v>
      </c>
      <c r="C443" s="123">
        <v>12</v>
      </c>
      <c r="D443" s="123">
        <v>1</v>
      </c>
      <c r="E443" s="123" t="s">
        <v>324</v>
      </c>
      <c r="F443" s="125">
        <v>43570</v>
      </c>
      <c r="G443" s="125" t="s">
        <v>4027</v>
      </c>
      <c r="H443" s="125" t="s">
        <v>4752</v>
      </c>
      <c r="I443" s="171">
        <v>2.013888888888889E-2</v>
      </c>
      <c r="J443" s="173">
        <v>3.3564814814814812E-4</v>
      </c>
      <c r="K443" s="129">
        <v>29</v>
      </c>
      <c r="L443" s="123" t="s">
        <v>101</v>
      </c>
      <c r="M443" s="123" t="s">
        <v>325</v>
      </c>
      <c r="N443" s="123" t="s">
        <v>102</v>
      </c>
      <c r="O443" s="123" t="s">
        <v>115</v>
      </c>
      <c r="P443" s="123" t="s">
        <v>24</v>
      </c>
      <c r="Q443" s="123">
        <v>0</v>
      </c>
      <c r="R443" s="123">
        <v>0</v>
      </c>
      <c r="T443" s="127" t="s">
        <v>115</v>
      </c>
      <c r="U443" s="127" t="s">
        <v>115</v>
      </c>
      <c r="V443" s="127" t="s">
        <v>115</v>
      </c>
      <c r="W443" s="127"/>
      <c r="X443" s="127"/>
      <c r="Y443" s="127"/>
      <c r="Z443" s="127" t="s">
        <v>115</v>
      </c>
      <c r="AA443" s="127" t="s">
        <v>115</v>
      </c>
      <c r="AB443" s="127" t="s">
        <v>115</v>
      </c>
      <c r="AC443" s="127" t="s">
        <v>115</v>
      </c>
      <c r="AD443" s="127" t="s">
        <v>115</v>
      </c>
      <c r="AE443" s="127" t="s">
        <v>115</v>
      </c>
      <c r="AF443" s="127" t="s">
        <v>115</v>
      </c>
      <c r="AG443" s="127"/>
      <c r="AH443" s="123">
        <v>0</v>
      </c>
      <c r="AI443" s="123">
        <v>0</v>
      </c>
      <c r="AJ443" s="123">
        <v>0</v>
      </c>
      <c r="AK443" s="123">
        <v>0</v>
      </c>
      <c r="AL443" s="123">
        <v>10</v>
      </c>
      <c r="AN443" s="123">
        <f t="shared" si="6"/>
        <v>10</v>
      </c>
      <c r="AO443" s="123" t="s">
        <v>188</v>
      </c>
    </row>
    <row r="444" spans="1:44" x14ac:dyDescent="0.2">
      <c r="A444" s="123" t="s">
        <v>3123</v>
      </c>
      <c r="B444" s="123" t="s">
        <v>3126</v>
      </c>
      <c r="C444" s="123">
        <v>15</v>
      </c>
      <c r="D444" s="123">
        <v>1</v>
      </c>
      <c r="E444" s="123" t="s">
        <v>324</v>
      </c>
      <c r="F444" s="125">
        <v>43570</v>
      </c>
      <c r="G444" s="125" t="s">
        <v>4027</v>
      </c>
      <c r="H444" s="125" t="s">
        <v>4752</v>
      </c>
      <c r="I444" s="171">
        <v>7.8472222222222221E-2</v>
      </c>
      <c r="J444" s="173">
        <v>1.3078703703703705E-3</v>
      </c>
      <c r="K444" s="129">
        <v>113</v>
      </c>
      <c r="L444" s="123" t="s">
        <v>101</v>
      </c>
      <c r="M444" s="123" t="s">
        <v>325</v>
      </c>
      <c r="N444" s="123" t="s">
        <v>102</v>
      </c>
      <c r="O444" s="123" t="s">
        <v>115</v>
      </c>
      <c r="P444" s="123" t="s">
        <v>24</v>
      </c>
      <c r="Q444" s="123">
        <v>0</v>
      </c>
      <c r="R444" s="123">
        <v>0</v>
      </c>
      <c r="T444" s="127" t="s">
        <v>115</v>
      </c>
      <c r="U444" s="127" t="s">
        <v>115</v>
      </c>
      <c r="V444" s="127" t="s">
        <v>115</v>
      </c>
      <c r="W444" s="127"/>
      <c r="X444" s="127"/>
      <c r="Y444" s="127"/>
      <c r="Z444" s="127" t="s">
        <v>115</v>
      </c>
      <c r="AA444" s="127" t="s">
        <v>115</v>
      </c>
      <c r="AB444" s="127" t="s">
        <v>115</v>
      </c>
      <c r="AC444" s="127" t="s">
        <v>115</v>
      </c>
      <c r="AD444" s="127" t="s">
        <v>115</v>
      </c>
      <c r="AE444" s="127" t="s">
        <v>115</v>
      </c>
      <c r="AF444" s="127" t="s">
        <v>115</v>
      </c>
      <c r="AG444" s="127"/>
      <c r="AH444" s="123">
        <v>0</v>
      </c>
      <c r="AI444" s="123">
        <v>0</v>
      </c>
      <c r="AJ444" s="123">
        <v>0</v>
      </c>
      <c r="AK444" s="123">
        <v>0</v>
      </c>
      <c r="AL444" s="123">
        <v>71</v>
      </c>
      <c r="AN444" s="123">
        <f t="shared" si="6"/>
        <v>71</v>
      </c>
      <c r="AO444" s="123" t="s">
        <v>188</v>
      </c>
    </row>
    <row r="445" spans="1:44" x14ac:dyDescent="0.2">
      <c r="A445" s="123" t="s">
        <v>3125</v>
      </c>
      <c r="B445" s="123" t="s">
        <v>3128</v>
      </c>
      <c r="C445" s="123">
        <v>16</v>
      </c>
      <c r="D445" s="123">
        <v>1</v>
      </c>
      <c r="E445" s="123" t="s">
        <v>324</v>
      </c>
      <c r="F445" s="125">
        <v>43570</v>
      </c>
      <c r="G445" s="125" t="s">
        <v>4027</v>
      </c>
      <c r="H445" s="125" t="s">
        <v>4752</v>
      </c>
      <c r="I445" s="171">
        <v>3.2638888888888891E-2</v>
      </c>
      <c r="J445" s="173">
        <v>5.4398148148148144E-4</v>
      </c>
      <c r="K445" s="129">
        <v>47</v>
      </c>
      <c r="L445" s="123" t="s">
        <v>101</v>
      </c>
      <c r="M445" s="123" t="s">
        <v>325</v>
      </c>
      <c r="N445" s="123" t="s">
        <v>102</v>
      </c>
      <c r="O445" s="123" t="s">
        <v>115</v>
      </c>
      <c r="P445" s="123" t="s">
        <v>24</v>
      </c>
      <c r="Q445" s="123">
        <v>0</v>
      </c>
      <c r="R445" s="123">
        <v>0</v>
      </c>
      <c r="T445" s="127" t="s">
        <v>115</v>
      </c>
      <c r="U445" s="127" t="s">
        <v>115</v>
      </c>
      <c r="V445" s="127" t="s">
        <v>115</v>
      </c>
      <c r="W445" s="127"/>
      <c r="X445" s="127"/>
      <c r="Y445" s="127"/>
      <c r="Z445" s="127" t="s">
        <v>115</v>
      </c>
      <c r="AA445" s="127" t="s">
        <v>115</v>
      </c>
      <c r="AB445" s="127" t="s">
        <v>115</v>
      </c>
      <c r="AC445" s="127" t="s">
        <v>115</v>
      </c>
      <c r="AD445" s="127" t="s">
        <v>115</v>
      </c>
      <c r="AE445" s="127" t="s">
        <v>115</v>
      </c>
      <c r="AF445" s="127" t="s">
        <v>115</v>
      </c>
      <c r="AG445" s="127"/>
      <c r="AH445" s="123">
        <v>0</v>
      </c>
      <c r="AI445" s="123">
        <v>0</v>
      </c>
      <c r="AJ445" s="123">
        <v>0</v>
      </c>
      <c r="AK445" s="123">
        <v>0</v>
      </c>
      <c r="AL445" s="123">
        <v>47</v>
      </c>
      <c r="AN445" s="123">
        <f t="shared" si="6"/>
        <v>47</v>
      </c>
      <c r="AO445" s="123" t="s">
        <v>188</v>
      </c>
    </row>
    <row r="446" spans="1:44" x14ac:dyDescent="0.2">
      <c r="A446" s="123" t="s">
        <v>3127</v>
      </c>
      <c r="B446" s="123" t="s">
        <v>3131</v>
      </c>
      <c r="C446" s="123">
        <v>17</v>
      </c>
      <c r="D446" s="123">
        <v>1</v>
      </c>
      <c r="E446" s="123" t="s">
        <v>324</v>
      </c>
      <c r="F446" s="125">
        <v>43570</v>
      </c>
      <c r="G446" s="125" t="s">
        <v>4027</v>
      </c>
      <c r="H446" s="125" t="s">
        <v>4752</v>
      </c>
      <c r="I446" s="171">
        <v>2.1527777777777781E-2</v>
      </c>
      <c r="J446" s="173">
        <v>3.5879629629629635E-4</v>
      </c>
      <c r="K446" s="129">
        <v>31</v>
      </c>
      <c r="L446" s="123" t="s">
        <v>101</v>
      </c>
      <c r="M446" s="123" t="s">
        <v>325</v>
      </c>
      <c r="N446" s="123" t="s">
        <v>102</v>
      </c>
      <c r="O446" s="123" t="s">
        <v>23</v>
      </c>
      <c r="P446" s="123" t="s">
        <v>24</v>
      </c>
      <c r="Q446" s="123">
        <v>0</v>
      </c>
      <c r="R446" s="123">
        <v>0</v>
      </c>
      <c r="T446" s="127" t="s">
        <v>115</v>
      </c>
      <c r="U446" s="127" t="s">
        <v>115</v>
      </c>
      <c r="V446" s="127" t="s">
        <v>115</v>
      </c>
      <c r="W446" s="127"/>
      <c r="X446" s="127"/>
      <c r="Y446" s="127"/>
      <c r="Z446" s="127" t="s">
        <v>115</v>
      </c>
      <c r="AA446" s="127" t="s">
        <v>115</v>
      </c>
      <c r="AB446" s="127" t="s">
        <v>115</v>
      </c>
      <c r="AC446" s="127" t="s">
        <v>115</v>
      </c>
      <c r="AD446" s="127" t="s">
        <v>115</v>
      </c>
      <c r="AE446" s="127" t="s">
        <v>115</v>
      </c>
      <c r="AF446" s="127" t="s">
        <v>115</v>
      </c>
      <c r="AG446" s="127"/>
      <c r="AH446" s="123">
        <v>6</v>
      </c>
      <c r="AI446" s="123">
        <v>0</v>
      </c>
      <c r="AJ446" s="123">
        <v>6</v>
      </c>
      <c r="AK446" s="123">
        <v>0</v>
      </c>
      <c r="AL446" s="123">
        <v>0</v>
      </c>
      <c r="AN446" s="123">
        <f t="shared" si="6"/>
        <v>6</v>
      </c>
      <c r="AO446" s="123" t="s">
        <v>188</v>
      </c>
      <c r="AP446" s="123" t="s">
        <v>4856</v>
      </c>
    </row>
    <row r="447" spans="1:44" x14ac:dyDescent="0.2">
      <c r="A447" s="123" t="s">
        <v>3132</v>
      </c>
      <c r="B447" s="123" t="s">
        <v>3135</v>
      </c>
      <c r="C447" s="123">
        <v>19</v>
      </c>
      <c r="D447" s="123">
        <v>1</v>
      </c>
      <c r="E447" s="123" t="s">
        <v>324</v>
      </c>
      <c r="F447" s="125">
        <v>43570</v>
      </c>
      <c r="G447" s="125" t="s">
        <v>4027</v>
      </c>
      <c r="H447" s="125" t="s">
        <v>4752</v>
      </c>
      <c r="I447" s="171">
        <v>1.5277777777777777E-2</v>
      </c>
      <c r="J447" s="173">
        <v>2.5462962962962961E-4</v>
      </c>
      <c r="K447" s="129">
        <v>22</v>
      </c>
      <c r="L447" s="123" t="s">
        <v>101</v>
      </c>
      <c r="M447" s="123" t="s">
        <v>325</v>
      </c>
      <c r="N447" s="123" t="s">
        <v>102</v>
      </c>
      <c r="O447" s="123" t="s">
        <v>115</v>
      </c>
      <c r="P447" s="123" t="s">
        <v>24</v>
      </c>
      <c r="Q447" s="123">
        <v>0</v>
      </c>
      <c r="R447" s="123">
        <v>0</v>
      </c>
      <c r="T447" s="127" t="s">
        <v>115</v>
      </c>
      <c r="U447" s="127" t="s">
        <v>115</v>
      </c>
      <c r="V447" s="127" t="s">
        <v>115</v>
      </c>
      <c r="W447" s="127"/>
      <c r="X447" s="127"/>
      <c r="Y447" s="127"/>
      <c r="Z447" s="127" t="s">
        <v>115</v>
      </c>
      <c r="AA447" s="127" t="s">
        <v>115</v>
      </c>
      <c r="AB447" s="127" t="s">
        <v>115</v>
      </c>
      <c r="AC447" s="127" t="s">
        <v>115</v>
      </c>
      <c r="AD447" s="127" t="s">
        <v>115</v>
      </c>
      <c r="AE447" s="127" t="s">
        <v>115</v>
      </c>
      <c r="AF447" s="127" t="s">
        <v>115</v>
      </c>
      <c r="AG447" s="127"/>
      <c r="AH447" s="123">
        <v>0</v>
      </c>
      <c r="AI447" s="123">
        <v>0</v>
      </c>
      <c r="AJ447" s="123">
        <v>0</v>
      </c>
      <c r="AK447" s="123">
        <v>0</v>
      </c>
      <c r="AL447" s="123">
        <v>9</v>
      </c>
      <c r="AN447" s="123">
        <f t="shared" si="6"/>
        <v>9</v>
      </c>
      <c r="AO447" s="123" t="s">
        <v>188</v>
      </c>
    </row>
    <row r="448" spans="1:44" x14ac:dyDescent="0.2">
      <c r="A448" s="123" t="s">
        <v>3101</v>
      </c>
      <c r="B448" s="123" t="s">
        <v>3102</v>
      </c>
      <c r="C448" s="123">
        <v>4</v>
      </c>
      <c r="D448" s="123">
        <v>1</v>
      </c>
      <c r="E448" s="123" t="s">
        <v>324</v>
      </c>
      <c r="F448" s="125">
        <v>43570</v>
      </c>
      <c r="G448" s="125" t="s">
        <v>4027</v>
      </c>
      <c r="H448" s="125" t="s">
        <v>4752</v>
      </c>
      <c r="I448" s="171">
        <v>4.1666666666666664E-2</v>
      </c>
      <c r="J448" s="173">
        <v>6.9444444444444447E-4</v>
      </c>
      <c r="K448" s="129">
        <v>60</v>
      </c>
      <c r="L448" s="123" t="s">
        <v>101</v>
      </c>
      <c r="M448" s="123" t="s">
        <v>325</v>
      </c>
      <c r="N448" s="123" t="s">
        <v>102</v>
      </c>
      <c r="O448" s="123" t="s">
        <v>115</v>
      </c>
      <c r="P448" s="123" t="s">
        <v>24</v>
      </c>
      <c r="Q448" s="123">
        <v>0</v>
      </c>
      <c r="R448" s="123">
        <v>0</v>
      </c>
      <c r="T448" s="127" t="s">
        <v>115</v>
      </c>
      <c r="U448" s="127" t="s">
        <v>115</v>
      </c>
      <c r="V448" s="127" t="s">
        <v>115</v>
      </c>
      <c r="W448" s="127"/>
      <c r="X448" s="127"/>
      <c r="Y448" s="127"/>
      <c r="Z448" s="127" t="s">
        <v>115</v>
      </c>
      <c r="AA448" s="127" t="s">
        <v>115</v>
      </c>
      <c r="AB448" s="127" t="s">
        <v>115</v>
      </c>
      <c r="AC448" s="127" t="s">
        <v>115</v>
      </c>
      <c r="AD448" s="127" t="s">
        <v>115</v>
      </c>
      <c r="AE448" s="127" t="s">
        <v>115</v>
      </c>
      <c r="AF448" s="127" t="s">
        <v>115</v>
      </c>
      <c r="AG448" s="127"/>
      <c r="AH448" s="123">
        <v>0</v>
      </c>
      <c r="AI448" s="123">
        <v>0</v>
      </c>
      <c r="AJ448" s="123">
        <v>0</v>
      </c>
      <c r="AK448" s="123">
        <v>0</v>
      </c>
      <c r="AL448" s="123">
        <v>3</v>
      </c>
      <c r="AN448" s="123">
        <f t="shared" si="6"/>
        <v>3</v>
      </c>
      <c r="AO448" s="123" t="s">
        <v>188</v>
      </c>
    </row>
    <row r="449" spans="1:44" x14ac:dyDescent="0.2">
      <c r="A449" s="123" t="s">
        <v>3105</v>
      </c>
      <c r="B449" s="123" t="s">
        <v>3106</v>
      </c>
      <c r="C449" s="123">
        <v>6</v>
      </c>
      <c r="D449" s="123">
        <v>1</v>
      </c>
      <c r="E449" s="123" t="s">
        <v>324</v>
      </c>
      <c r="F449" s="125">
        <v>43570</v>
      </c>
      <c r="G449" s="125" t="s">
        <v>4027</v>
      </c>
      <c r="H449" s="125" t="s">
        <v>4752</v>
      </c>
      <c r="I449" s="171">
        <v>2.1527777777777781E-2</v>
      </c>
      <c r="J449" s="173">
        <v>3.5879629629629635E-4</v>
      </c>
      <c r="K449" s="129">
        <v>31</v>
      </c>
      <c r="L449" s="123" t="s">
        <v>101</v>
      </c>
      <c r="M449" s="123" t="s">
        <v>325</v>
      </c>
      <c r="N449" s="123" t="s">
        <v>102</v>
      </c>
      <c r="O449" s="123" t="s">
        <v>115</v>
      </c>
      <c r="P449" s="123" t="s">
        <v>24</v>
      </c>
      <c r="Q449" s="123">
        <v>0</v>
      </c>
      <c r="R449" s="123">
        <v>0</v>
      </c>
      <c r="T449" s="127" t="s">
        <v>115</v>
      </c>
      <c r="U449" s="127" t="s">
        <v>115</v>
      </c>
      <c r="V449" s="127" t="s">
        <v>115</v>
      </c>
      <c r="W449" s="127"/>
      <c r="X449" s="127"/>
      <c r="Y449" s="127"/>
      <c r="Z449" s="127" t="s">
        <v>115</v>
      </c>
      <c r="AA449" s="127" t="s">
        <v>115</v>
      </c>
      <c r="AB449" s="127" t="s">
        <v>115</v>
      </c>
      <c r="AC449" s="127" t="s">
        <v>115</v>
      </c>
      <c r="AD449" s="127" t="s">
        <v>115</v>
      </c>
      <c r="AE449" s="127" t="s">
        <v>115</v>
      </c>
      <c r="AF449" s="127" t="s">
        <v>115</v>
      </c>
      <c r="AG449" s="127"/>
      <c r="AH449" s="123">
        <v>0</v>
      </c>
      <c r="AI449" s="123">
        <v>0</v>
      </c>
      <c r="AJ449" s="123">
        <v>0</v>
      </c>
      <c r="AK449" s="123">
        <v>0</v>
      </c>
      <c r="AL449" s="123">
        <v>21</v>
      </c>
      <c r="AN449" s="123">
        <f t="shared" si="6"/>
        <v>21</v>
      </c>
      <c r="AO449" s="123" t="s">
        <v>188</v>
      </c>
    </row>
    <row r="450" spans="1:44" x14ac:dyDescent="0.2">
      <c r="A450" s="133" t="s">
        <v>119</v>
      </c>
      <c r="B450" s="133" t="s">
        <v>844</v>
      </c>
      <c r="C450" s="133">
        <v>6</v>
      </c>
      <c r="D450" s="133">
        <v>1</v>
      </c>
      <c r="E450" s="133" t="s">
        <v>834</v>
      </c>
      <c r="F450" s="138">
        <v>43340</v>
      </c>
      <c r="G450" s="138" t="s">
        <v>4031</v>
      </c>
      <c r="H450" s="138" t="s">
        <v>4724</v>
      </c>
      <c r="I450" s="148">
        <v>1.1111111111111112E-2</v>
      </c>
      <c r="J450" s="174">
        <v>1.8518518518518518E-4</v>
      </c>
      <c r="K450" s="139">
        <v>16</v>
      </c>
      <c r="L450" s="133" t="s">
        <v>101</v>
      </c>
      <c r="M450" s="133" t="s">
        <v>466</v>
      </c>
      <c r="N450" s="133" t="s">
        <v>102</v>
      </c>
      <c r="O450" s="133" t="s">
        <v>23</v>
      </c>
      <c r="P450" s="133">
        <v>1</v>
      </c>
      <c r="Q450" s="133"/>
      <c r="R450" s="133">
        <v>0</v>
      </c>
      <c r="S450" s="133" t="s">
        <v>112</v>
      </c>
      <c r="T450" s="133" t="s">
        <v>112</v>
      </c>
      <c r="U450" s="133" t="s">
        <v>343</v>
      </c>
      <c r="V450" s="133" t="s">
        <v>115</v>
      </c>
      <c r="W450" s="135" t="s">
        <v>115</v>
      </c>
      <c r="X450" s="135" t="s">
        <v>115</v>
      </c>
      <c r="Y450" s="135" t="s">
        <v>115</v>
      </c>
      <c r="Z450" s="133"/>
      <c r="AA450" s="133"/>
      <c r="AB450" s="133" t="s">
        <v>115</v>
      </c>
      <c r="AC450" s="134" t="s">
        <v>115</v>
      </c>
      <c r="AD450" s="134"/>
      <c r="AE450" s="133"/>
      <c r="AF450" s="133"/>
      <c r="AG450" s="133"/>
      <c r="AH450" s="133">
        <v>0</v>
      </c>
      <c r="AI450" s="133">
        <v>13</v>
      </c>
      <c r="AJ450" s="133">
        <v>0</v>
      </c>
      <c r="AK450" s="133">
        <v>13</v>
      </c>
      <c r="AL450" s="133">
        <v>0</v>
      </c>
      <c r="AM450" s="133">
        <v>0</v>
      </c>
      <c r="AN450" s="133">
        <f t="shared" ref="AN450:AN481" si="7">SUM(AJ450:AM450)</f>
        <v>13</v>
      </c>
      <c r="AO450" s="133" t="s">
        <v>117</v>
      </c>
      <c r="AP450" s="133" t="s">
        <v>120</v>
      </c>
      <c r="AQ450" s="133">
        <v>0</v>
      </c>
      <c r="AR450" s="133">
        <v>0</v>
      </c>
    </row>
    <row r="451" spans="1:44" x14ac:dyDescent="0.2">
      <c r="A451" s="133" t="s">
        <v>110</v>
      </c>
      <c r="B451" s="133" t="s">
        <v>843</v>
      </c>
      <c r="C451" s="133">
        <v>5</v>
      </c>
      <c r="D451" s="133">
        <v>1</v>
      </c>
      <c r="E451" s="133" t="s">
        <v>834</v>
      </c>
      <c r="F451" s="138">
        <v>43340</v>
      </c>
      <c r="G451" s="138" t="s">
        <v>4031</v>
      </c>
      <c r="H451" s="138" t="s">
        <v>4724</v>
      </c>
      <c r="I451" s="148">
        <v>4.6527777777777779E-2</v>
      </c>
      <c r="J451" s="174">
        <v>7.7546296296296304E-4</v>
      </c>
      <c r="K451" s="139">
        <v>67</v>
      </c>
      <c r="L451" s="133" t="s">
        <v>101</v>
      </c>
      <c r="M451" s="133" t="s">
        <v>466</v>
      </c>
      <c r="N451" s="133" t="s">
        <v>102</v>
      </c>
      <c r="O451" s="133" t="s">
        <v>23</v>
      </c>
      <c r="P451" s="133">
        <v>1</v>
      </c>
      <c r="Q451" s="133"/>
      <c r="R451" s="133">
        <v>0</v>
      </c>
      <c r="S451" s="133" t="s">
        <v>112</v>
      </c>
      <c r="T451" s="133" t="s">
        <v>112</v>
      </c>
      <c r="U451" s="133" t="s">
        <v>343</v>
      </c>
      <c r="V451" s="133" t="s">
        <v>115</v>
      </c>
      <c r="W451" s="135" t="s">
        <v>115</v>
      </c>
      <c r="X451" s="135" t="s">
        <v>115</v>
      </c>
      <c r="Y451" s="135" t="s">
        <v>115</v>
      </c>
      <c r="Z451" s="133"/>
      <c r="AA451" s="133"/>
      <c r="AB451" s="133" t="s">
        <v>115</v>
      </c>
      <c r="AC451" s="134" t="s">
        <v>115</v>
      </c>
      <c r="AD451" s="134"/>
      <c r="AE451" s="133"/>
      <c r="AF451" s="133"/>
      <c r="AG451" s="133"/>
      <c r="AH451" s="133">
        <v>0</v>
      </c>
      <c r="AI451" s="133">
        <v>18</v>
      </c>
      <c r="AJ451" s="133">
        <v>0</v>
      </c>
      <c r="AK451" s="133">
        <v>18</v>
      </c>
      <c r="AL451" s="133">
        <v>0</v>
      </c>
      <c r="AM451" s="133">
        <v>0</v>
      </c>
      <c r="AN451" s="133">
        <f t="shared" si="7"/>
        <v>18</v>
      </c>
      <c r="AO451" s="133" t="s">
        <v>117</v>
      </c>
      <c r="AP451" s="133" t="s">
        <v>118</v>
      </c>
      <c r="AQ451" s="133">
        <v>0</v>
      </c>
      <c r="AR451" s="133">
        <v>0</v>
      </c>
    </row>
    <row r="452" spans="1:44" x14ac:dyDescent="0.2">
      <c r="A452" s="133" t="s">
        <v>130</v>
      </c>
      <c r="B452" s="133" t="s">
        <v>837</v>
      </c>
      <c r="C452" s="133">
        <v>11</v>
      </c>
      <c r="D452" s="133">
        <v>1</v>
      </c>
      <c r="E452" s="133" t="s">
        <v>834</v>
      </c>
      <c r="F452" s="138">
        <v>43340</v>
      </c>
      <c r="G452" s="138" t="s">
        <v>4031</v>
      </c>
      <c r="H452" s="138" t="s">
        <v>4724</v>
      </c>
      <c r="I452" s="148">
        <v>2.2916666666666669E-2</v>
      </c>
      <c r="J452" s="174">
        <v>3.8194444444444446E-4</v>
      </c>
      <c r="K452" s="139">
        <v>33</v>
      </c>
      <c r="L452" s="133" t="s">
        <v>101</v>
      </c>
      <c r="M452" s="133" t="s">
        <v>466</v>
      </c>
      <c r="N452" s="133" t="s">
        <v>102</v>
      </c>
      <c r="O452" s="133" t="s">
        <v>23</v>
      </c>
      <c r="P452" s="133" t="s">
        <v>24</v>
      </c>
      <c r="Q452" s="133"/>
      <c r="R452" s="133">
        <v>1</v>
      </c>
      <c r="S452" s="133" t="s">
        <v>176</v>
      </c>
      <c r="T452" s="133" t="s">
        <v>176</v>
      </c>
      <c r="U452" s="133" t="s">
        <v>263</v>
      </c>
      <c r="V452" s="133" t="s">
        <v>2035</v>
      </c>
      <c r="W452" s="140" t="s">
        <v>23</v>
      </c>
      <c r="X452" s="140" t="s">
        <v>4004</v>
      </c>
      <c r="Y452" s="140" t="s">
        <v>4005</v>
      </c>
      <c r="Z452" s="133"/>
      <c r="AA452" s="133"/>
      <c r="AB452" s="133">
        <v>0</v>
      </c>
      <c r="AC452" s="134" t="s">
        <v>246</v>
      </c>
      <c r="AD452" s="134"/>
      <c r="AE452" s="133"/>
      <c r="AF452" s="133"/>
      <c r="AG452" s="133"/>
      <c r="AH452" s="133">
        <v>11</v>
      </c>
      <c r="AI452" s="133">
        <v>0</v>
      </c>
      <c r="AJ452" s="133">
        <v>11</v>
      </c>
      <c r="AK452" s="133">
        <v>0</v>
      </c>
      <c r="AL452" s="133">
        <v>0</v>
      </c>
      <c r="AM452" s="133">
        <v>0</v>
      </c>
      <c r="AN452" s="133">
        <f t="shared" si="7"/>
        <v>11</v>
      </c>
      <c r="AO452" s="133"/>
      <c r="AP452" s="133" t="s">
        <v>4874</v>
      </c>
      <c r="AQ452" s="133">
        <v>0</v>
      </c>
      <c r="AR452" s="133">
        <v>5</v>
      </c>
    </row>
    <row r="453" spans="1:44" x14ac:dyDescent="0.2">
      <c r="A453" s="133" t="s">
        <v>131</v>
      </c>
      <c r="B453" s="133" t="s">
        <v>838</v>
      </c>
      <c r="C453" s="133">
        <v>12</v>
      </c>
      <c r="D453" s="133">
        <v>1</v>
      </c>
      <c r="E453" s="133" t="s">
        <v>834</v>
      </c>
      <c r="F453" s="138">
        <v>43340</v>
      </c>
      <c r="G453" s="138" t="s">
        <v>4031</v>
      </c>
      <c r="H453" s="138" t="s">
        <v>4724</v>
      </c>
      <c r="I453" s="148">
        <v>4.0972222222222222E-2</v>
      </c>
      <c r="J453" s="174">
        <v>6.8287037037037025E-4</v>
      </c>
      <c r="K453" s="139">
        <v>59</v>
      </c>
      <c r="L453" s="133" t="s">
        <v>101</v>
      </c>
      <c r="M453" s="133" t="s">
        <v>466</v>
      </c>
      <c r="N453" s="133" t="s">
        <v>102</v>
      </c>
      <c r="O453" s="133" t="s">
        <v>23</v>
      </c>
      <c r="P453" s="133" t="s">
        <v>24</v>
      </c>
      <c r="Q453" s="133"/>
      <c r="R453" s="133">
        <v>0</v>
      </c>
      <c r="S453" s="133"/>
      <c r="T453" s="133" t="s">
        <v>115</v>
      </c>
      <c r="U453" s="133" t="s">
        <v>115</v>
      </c>
      <c r="V453" s="133" t="s">
        <v>115</v>
      </c>
      <c r="W453" s="135" t="s">
        <v>115</v>
      </c>
      <c r="X453" s="135" t="s">
        <v>115</v>
      </c>
      <c r="Y453" s="135" t="s">
        <v>115</v>
      </c>
      <c r="Z453" s="133"/>
      <c r="AA453" s="133"/>
      <c r="AB453" s="133" t="s">
        <v>115</v>
      </c>
      <c r="AC453" s="134" t="s">
        <v>115</v>
      </c>
      <c r="AD453" s="134"/>
      <c r="AE453" s="133"/>
      <c r="AF453" s="133"/>
      <c r="AG453" s="133"/>
      <c r="AH453" s="133">
        <f>SUM(19+17)</f>
        <v>36</v>
      </c>
      <c r="AI453" s="133">
        <v>0</v>
      </c>
      <c r="AJ453" s="133">
        <v>19</v>
      </c>
      <c r="AK453" s="133">
        <v>17</v>
      </c>
      <c r="AL453" s="133">
        <v>0</v>
      </c>
      <c r="AM453" s="133">
        <v>0</v>
      </c>
      <c r="AN453" s="133">
        <f t="shared" si="7"/>
        <v>36</v>
      </c>
      <c r="AO453" s="133" t="s">
        <v>16</v>
      </c>
      <c r="AP453" s="133" t="s">
        <v>132</v>
      </c>
      <c r="AQ453" s="133">
        <v>0</v>
      </c>
      <c r="AR453" s="133">
        <v>2</v>
      </c>
    </row>
    <row r="454" spans="1:44" x14ac:dyDescent="0.2">
      <c r="A454" s="135" t="s">
        <v>164</v>
      </c>
      <c r="B454" s="135" t="s">
        <v>852</v>
      </c>
      <c r="C454" s="135">
        <v>5</v>
      </c>
      <c r="D454" s="135">
        <v>1</v>
      </c>
      <c r="E454" s="135" t="s">
        <v>834</v>
      </c>
      <c r="F454" s="136">
        <v>43342</v>
      </c>
      <c r="G454" s="138" t="s">
        <v>4031</v>
      </c>
      <c r="H454" s="138" t="s">
        <v>4724</v>
      </c>
      <c r="I454" s="172">
        <v>1.8749999999999999E-2</v>
      </c>
      <c r="J454" s="175">
        <v>3.1250000000000001E-4</v>
      </c>
      <c r="K454" s="143">
        <v>27</v>
      </c>
      <c r="L454" s="135" t="s">
        <v>158</v>
      </c>
      <c r="M454" s="135" t="s">
        <v>466</v>
      </c>
      <c r="N454" s="135" t="s">
        <v>102</v>
      </c>
      <c r="O454" s="135" t="s">
        <v>23</v>
      </c>
      <c r="P454" s="135">
        <v>1</v>
      </c>
      <c r="Q454" s="135"/>
      <c r="R454" s="135">
        <v>1</v>
      </c>
      <c r="S454" s="133" t="s">
        <v>176</v>
      </c>
      <c r="T454" s="135" t="s">
        <v>176</v>
      </c>
      <c r="U454" s="135" t="s">
        <v>122</v>
      </c>
      <c r="V454" s="133" t="s">
        <v>2044</v>
      </c>
      <c r="W454" s="140" t="s">
        <v>23</v>
      </c>
      <c r="X454" s="140" t="s">
        <v>3997</v>
      </c>
      <c r="Y454" s="140" t="s">
        <v>4005</v>
      </c>
      <c r="Z454" s="133"/>
      <c r="AA454" s="133"/>
      <c r="AB454" s="135">
        <v>1</v>
      </c>
      <c r="AC454" s="137" t="s">
        <v>246</v>
      </c>
      <c r="AD454" s="137"/>
      <c r="AE454" s="133"/>
      <c r="AF454" s="133"/>
      <c r="AG454" s="133"/>
      <c r="AH454" s="135">
        <v>6</v>
      </c>
      <c r="AI454" s="135">
        <v>0</v>
      </c>
      <c r="AJ454" s="135">
        <v>0</v>
      </c>
      <c r="AK454" s="135">
        <v>6</v>
      </c>
      <c r="AL454" s="135">
        <v>11</v>
      </c>
      <c r="AM454" s="135">
        <v>0</v>
      </c>
      <c r="AN454" s="135">
        <f t="shared" si="7"/>
        <v>17</v>
      </c>
      <c r="AO454" s="135" t="s">
        <v>24</v>
      </c>
      <c r="AP454" s="135" t="s">
        <v>2047</v>
      </c>
      <c r="AQ454" s="135">
        <v>0</v>
      </c>
      <c r="AR454" s="135">
        <v>0</v>
      </c>
    </row>
    <row r="455" spans="1:44" x14ac:dyDescent="0.2">
      <c r="A455" s="133" t="s">
        <v>45</v>
      </c>
      <c r="B455" s="133" t="s">
        <v>231</v>
      </c>
      <c r="C455" s="133">
        <v>1</v>
      </c>
      <c r="D455" s="133">
        <v>1</v>
      </c>
      <c r="E455" s="133" t="s">
        <v>3171</v>
      </c>
      <c r="F455" s="138">
        <v>43343</v>
      </c>
      <c r="G455" s="138" t="s">
        <v>4031</v>
      </c>
      <c r="H455" s="138" t="s">
        <v>4724</v>
      </c>
      <c r="I455" s="148">
        <v>1.6666666666666666E-2</v>
      </c>
      <c r="J455" s="174">
        <v>2.7777777777777778E-4</v>
      </c>
      <c r="K455" s="139">
        <v>24</v>
      </c>
      <c r="L455" s="133"/>
      <c r="M455" s="133" t="s">
        <v>230</v>
      </c>
      <c r="N455" s="133" t="s">
        <v>102</v>
      </c>
      <c r="O455" s="133" t="s">
        <v>23</v>
      </c>
      <c r="P455" s="133" t="s">
        <v>24</v>
      </c>
      <c r="Q455" s="133"/>
      <c r="R455" s="133">
        <v>0</v>
      </c>
      <c r="S455" s="133"/>
      <c r="T455" s="133" t="s">
        <v>115</v>
      </c>
      <c r="U455" s="133" t="s">
        <v>115</v>
      </c>
      <c r="V455" s="133" t="s">
        <v>115</v>
      </c>
      <c r="W455" s="135" t="s">
        <v>115</v>
      </c>
      <c r="X455" s="135" t="s">
        <v>115</v>
      </c>
      <c r="Y455" s="135" t="s">
        <v>115</v>
      </c>
      <c r="Z455" s="135"/>
      <c r="AA455" s="135"/>
      <c r="AB455" s="133" t="s">
        <v>115</v>
      </c>
      <c r="AC455" s="134" t="s">
        <v>115</v>
      </c>
      <c r="AD455" s="134"/>
      <c r="AE455" s="135"/>
      <c r="AF455" s="135"/>
      <c r="AG455" s="135"/>
      <c r="AH455" s="133">
        <v>5</v>
      </c>
      <c r="AI455" s="133">
        <v>12</v>
      </c>
      <c r="AJ455" s="133">
        <v>12</v>
      </c>
      <c r="AK455" s="133">
        <v>5</v>
      </c>
      <c r="AL455" s="133">
        <v>0</v>
      </c>
      <c r="AM455" s="133">
        <v>0</v>
      </c>
      <c r="AN455" s="133">
        <f t="shared" si="7"/>
        <v>17</v>
      </c>
      <c r="AO455" s="133" t="s">
        <v>188</v>
      </c>
      <c r="AP455" s="133">
        <v>0</v>
      </c>
      <c r="AQ455" s="133">
        <v>0</v>
      </c>
      <c r="AR455" s="133"/>
    </row>
    <row r="456" spans="1:44" x14ac:dyDescent="0.2">
      <c r="A456" s="133" t="s">
        <v>48</v>
      </c>
      <c r="B456" s="133" t="s">
        <v>232</v>
      </c>
      <c r="C456" s="133">
        <v>2</v>
      </c>
      <c r="D456" s="133">
        <v>1</v>
      </c>
      <c r="E456" s="133" t="s">
        <v>3171</v>
      </c>
      <c r="F456" s="138">
        <v>43343</v>
      </c>
      <c r="G456" s="138" t="s">
        <v>4031</v>
      </c>
      <c r="H456" s="138" t="s">
        <v>4724</v>
      </c>
      <c r="I456" s="148">
        <v>1.3888888888888888E-2</v>
      </c>
      <c r="J456" s="174">
        <v>2.3148148148148146E-4</v>
      </c>
      <c r="K456" s="139">
        <v>20</v>
      </c>
      <c r="L456" s="133"/>
      <c r="M456" s="133" t="s">
        <v>230</v>
      </c>
      <c r="N456" s="133" t="s">
        <v>228</v>
      </c>
      <c r="O456" s="133" t="s">
        <v>23</v>
      </c>
      <c r="P456" s="133">
        <v>1</v>
      </c>
      <c r="Q456" s="133"/>
      <c r="R456" s="133">
        <v>0</v>
      </c>
      <c r="S456" s="133" t="s">
        <v>176</v>
      </c>
      <c r="T456" s="133" t="s">
        <v>176</v>
      </c>
      <c r="U456" s="133" t="s">
        <v>134</v>
      </c>
      <c r="V456" s="133" t="s">
        <v>115</v>
      </c>
      <c r="W456" s="135" t="s">
        <v>115</v>
      </c>
      <c r="X456" s="135" t="s">
        <v>115</v>
      </c>
      <c r="Y456" s="135" t="s">
        <v>115</v>
      </c>
      <c r="Z456" s="135"/>
      <c r="AA456" s="135"/>
      <c r="AB456" s="133" t="s">
        <v>115</v>
      </c>
      <c r="AC456" s="134" t="s">
        <v>115</v>
      </c>
      <c r="AD456" s="134"/>
      <c r="AE456" s="135"/>
      <c r="AF456" s="135"/>
      <c r="AG456" s="135"/>
      <c r="AH456" s="133">
        <v>0</v>
      </c>
      <c r="AI456" s="133">
        <v>2</v>
      </c>
      <c r="AJ456" s="133">
        <v>0</v>
      </c>
      <c r="AK456" s="133">
        <v>2</v>
      </c>
      <c r="AL456" s="133">
        <v>0</v>
      </c>
      <c r="AM456" s="133">
        <v>0</v>
      </c>
      <c r="AN456" s="133">
        <f t="shared" si="7"/>
        <v>2</v>
      </c>
      <c r="AO456" s="133"/>
      <c r="AP456" s="133" t="s">
        <v>229</v>
      </c>
      <c r="AQ456" s="133"/>
      <c r="AR456" s="133"/>
    </row>
    <row r="457" spans="1:44" x14ac:dyDescent="0.2">
      <c r="A457" s="133" t="s">
        <v>53</v>
      </c>
      <c r="B457" s="133" t="s">
        <v>233</v>
      </c>
      <c r="C457" s="133">
        <v>3</v>
      </c>
      <c r="D457" s="133">
        <v>1</v>
      </c>
      <c r="E457" s="133" t="s">
        <v>3171</v>
      </c>
      <c r="F457" s="138">
        <v>43343</v>
      </c>
      <c r="G457" s="138" t="s">
        <v>4031</v>
      </c>
      <c r="H457" s="138" t="s">
        <v>4724</v>
      </c>
      <c r="I457" s="148">
        <v>3.7499999999999999E-2</v>
      </c>
      <c r="J457" s="174">
        <v>6.2500000000000001E-4</v>
      </c>
      <c r="K457" s="139">
        <v>54</v>
      </c>
      <c r="L457" s="133"/>
      <c r="M457" s="133" t="s">
        <v>230</v>
      </c>
      <c r="N457" s="133" t="s">
        <v>102</v>
      </c>
      <c r="O457" s="133" t="s">
        <v>23</v>
      </c>
      <c r="P457" s="133">
        <v>1</v>
      </c>
      <c r="Q457" s="133"/>
      <c r="R457" s="133">
        <v>0</v>
      </c>
      <c r="S457" s="133" t="s">
        <v>598</v>
      </c>
      <c r="T457" s="133" t="s">
        <v>2117</v>
      </c>
      <c r="U457" s="133" t="s">
        <v>116</v>
      </c>
      <c r="V457" s="133" t="s">
        <v>115</v>
      </c>
      <c r="W457" s="135" t="s">
        <v>115</v>
      </c>
      <c r="X457" s="135" t="s">
        <v>115</v>
      </c>
      <c r="Y457" s="135" t="s">
        <v>115</v>
      </c>
      <c r="Z457" s="133"/>
      <c r="AA457" s="133"/>
      <c r="AB457" s="133" t="s">
        <v>115</v>
      </c>
      <c r="AC457" s="134" t="s">
        <v>115</v>
      </c>
      <c r="AD457" s="134"/>
      <c r="AE457" s="133"/>
      <c r="AF457" s="133"/>
      <c r="AG457" s="133"/>
      <c r="AH457" s="133">
        <v>4</v>
      </c>
      <c r="AI457" s="133">
        <v>28</v>
      </c>
      <c r="AJ457" s="133">
        <v>0</v>
      </c>
      <c r="AK457" s="133">
        <f>28+4</f>
        <v>32</v>
      </c>
      <c r="AL457" s="133">
        <v>0</v>
      </c>
      <c r="AM457" s="133">
        <v>0</v>
      </c>
      <c r="AN457" s="133">
        <f t="shared" si="7"/>
        <v>32</v>
      </c>
      <c r="AO457" s="133" t="s">
        <v>16</v>
      </c>
      <c r="AP457" s="133"/>
      <c r="AQ457" s="133">
        <v>0</v>
      </c>
      <c r="AR457" s="133">
        <v>1</v>
      </c>
    </row>
    <row r="458" spans="1:44" x14ac:dyDescent="0.2">
      <c r="A458" s="135" t="s">
        <v>65</v>
      </c>
      <c r="B458" s="135" t="s">
        <v>234</v>
      </c>
      <c r="C458" s="135">
        <v>4</v>
      </c>
      <c r="D458" s="135">
        <v>1</v>
      </c>
      <c r="E458" s="135" t="s">
        <v>3171</v>
      </c>
      <c r="F458" s="136">
        <v>43343</v>
      </c>
      <c r="G458" s="138" t="s">
        <v>4031</v>
      </c>
      <c r="H458" s="138" t="s">
        <v>4724</v>
      </c>
      <c r="I458" s="172">
        <v>9.0277777777777787E-3</v>
      </c>
      <c r="J458" s="175">
        <v>1.5046296296296297E-4</v>
      </c>
      <c r="K458" s="143">
        <v>13</v>
      </c>
      <c r="L458" s="135"/>
      <c r="M458" s="141" t="s">
        <v>230</v>
      </c>
      <c r="N458" s="135" t="s">
        <v>102</v>
      </c>
      <c r="O458" s="135" t="s">
        <v>115</v>
      </c>
      <c r="P458" s="135" t="s">
        <v>24</v>
      </c>
      <c r="Q458" s="135"/>
      <c r="R458" s="135">
        <v>0</v>
      </c>
      <c r="S458" s="133" t="s">
        <v>176</v>
      </c>
      <c r="T458" s="135" t="s">
        <v>176</v>
      </c>
      <c r="U458" s="135" t="s">
        <v>115</v>
      </c>
      <c r="V458" s="135" t="s">
        <v>115</v>
      </c>
      <c r="W458" s="135" t="s">
        <v>115</v>
      </c>
      <c r="X458" s="135" t="s">
        <v>115</v>
      </c>
      <c r="Y458" s="135" t="s">
        <v>115</v>
      </c>
      <c r="Z458" s="135"/>
      <c r="AA458" s="135"/>
      <c r="AB458" s="135" t="s">
        <v>115</v>
      </c>
      <c r="AC458" s="137" t="s">
        <v>115</v>
      </c>
      <c r="AD458" s="137"/>
      <c r="AE458" s="135"/>
      <c r="AF458" s="135"/>
      <c r="AG458" s="135"/>
      <c r="AH458" s="135">
        <v>0</v>
      </c>
      <c r="AI458" s="135">
        <v>0</v>
      </c>
      <c r="AJ458" s="135">
        <v>0</v>
      </c>
      <c r="AK458" s="135">
        <v>0</v>
      </c>
      <c r="AL458" s="135">
        <v>10</v>
      </c>
      <c r="AM458" s="135">
        <v>0</v>
      </c>
      <c r="AN458" s="135">
        <f t="shared" si="7"/>
        <v>10</v>
      </c>
      <c r="AO458" s="135" t="s">
        <v>24</v>
      </c>
      <c r="AP458" s="135"/>
      <c r="AQ458" s="135">
        <v>0</v>
      </c>
      <c r="AR458" s="135">
        <v>0</v>
      </c>
    </row>
    <row r="459" spans="1:44" x14ac:dyDescent="0.2">
      <c r="A459" s="135" t="s">
        <v>236</v>
      </c>
      <c r="B459" s="135" t="s">
        <v>237</v>
      </c>
      <c r="C459" s="135">
        <v>5</v>
      </c>
      <c r="D459" s="135">
        <v>1</v>
      </c>
      <c r="E459" s="135" t="s">
        <v>3171</v>
      </c>
      <c r="F459" s="136">
        <v>43343</v>
      </c>
      <c r="G459" s="138" t="s">
        <v>4031</v>
      </c>
      <c r="H459" s="138" t="s">
        <v>4724</v>
      </c>
      <c r="I459" s="172">
        <v>6.3888888888888884E-2</v>
      </c>
      <c r="J459" s="175">
        <v>1.0648148148148147E-3</v>
      </c>
      <c r="K459" s="143">
        <v>92</v>
      </c>
      <c r="L459" s="135"/>
      <c r="M459" s="141" t="s">
        <v>230</v>
      </c>
      <c r="N459" s="135" t="s">
        <v>102</v>
      </c>
      <c r="O459" s="135" t="s">
        <v>115</v>
      </c>
      <c r="P459" s="135">
        <v>1</v>
      </c>
      <c r="Q459" s="135"/>
      <c r="R459" s="135">
        <v>0</v>
      </c>
      <c r="S459" s="133" t="s">
        <v>176</v>
      </c>
      <c r="T459" s="135" t="s">
        <v>2121</v>
      </c>
      <c r="U459" s="135" t="s">
        <v>122</v>
      </c>
      <c r="V459" s="135" t="s">
        <v>115</v>
      </c>
      <c r="W459" s="135" t="s">
        <v>115</v>
      </c>
      <c r="X459" s="135" t="s">
        <v>115</v>
      </c>
      <c r="Y459" s="135" t="s">
        <v>115</v>
      </c>
      <c r="Z459" s="135"/>
      <c r="AA459" s="135"/>
      <c r="AB459" s="135" t="s">
        <v>115</v>
      </c>
      <c r="AC459" s="137" t="s">
        <v>115</v>
      </c>
      <c r="AD459" s="137"/>
      <c r="AE459" s="135"/>
      <c r="AF459" s="135"/>
      <c r="AG459" s="135"/>
      <c r="AH459" s="135">
        <v>0</v>
      </c>
      <c r="AI459" s="135">
        <v>0</v>
      </c>
      <c r="AJ459" s="135">
        <v>0</v>
      </c>
      <c r="AK459" s="135">
        <v>0</v>
      </c>
      <c r="AL459" s="135">
        <v>10</v>
      </c>
      <c r="AM459" s="135">
        <v>0</v>
      </c>
      <c r="AN459" s="135">
        <f t="shared" si="7"/>
        <v>10</v>
      </c>
      <c r="AO459" s="135" t="s">
        <v>24</v>
      </c>
      <c r="AP459" s="135" t="s">
        <v>235</v>
      </c>
      <c r="AQ459" s="135">
        <v>0</v>
      </c>
      <c r="AR459" s="135">
        <v>0</v>
      </c>
    </row>
    <row r="460" spans="1:44" x14ac:dyDescent="0.2">
      <c r="A460" s="135" t="s">
        <v>146</v>
      </c>
      <c r="B460" s="135" t="s">
        <v>145</v>
      </c>
      <c r="C460" s="135">
        <v>4</v>
      </c>
      <c r="D460" s="135">
        <v>1</v>
      </c>
      <c r="E460" s="135" t="s">
        <v>3171</v>
      </c>
      <c r="F460" s="136">
        <v>43341</v>
      </c>
      <c r="G460" s="138" t="s">
        <v>4031</v>
      </c>
      <c r="H460" s="138" t="s">
        <v>4724</v>
      </c>
      <c r="I460" s="172">
        <v>1.9444444444444445E-2</v>
      </c>
      <c r="J460" s="175">
        <v>3.2407407407407406E-4</v>
      </c>
      <c r="K460" s="143">
        <v>28</v>
      </c>
      <c r="L460" s="135" t="s">
        <v>101</v>
      </c>
      <c r="M460" s="135" t="s">
        <v>149</v>
      </c>
      <c r="N460" s="135" t="s">
        <v>102</v>
      </c>
      <c r="O460" s="135" t="s">
        <v>115</v>
      </c>
      <c r="P460" s="135" t="s">
        <v>24</v>
      </c>
      <c r="Q460" s="135"/>
      <c r="R460" s="135">
        <v>0</v>
      </c>
      <c r="S460" s="135"/>
      <c r="T460" s="135" t="s">
        <v>115</v>
      </c>
      <c r="U460" s="135" t="s">
        <v>115</v>
      </c>
      <c r="V460" s="135" t="s">
        <v>115</v>
      </c>
      <c r="W460" s="135" t="s">
        <v>115</v>
      </c>
      <c r="X460" s="135" t="s">
        <v>115</v>
      </c>
      <c r="Y460" s="135" t="s">
        <v>115</v>
      </c>
      <c r="Z460" s="133"/>
      <c r="AA460" s="133"/>
      <c r="AB460" s="135" t="s">
        <v>115</v>
      </c>
      <c r="AC460" s="137" t="s">
        <v>115</v>
      </c>
      <c r="AD460" s="137"/>
      <c r="AE460" s="133"/>
      <c r="AF460" s="133"/>
      <c r="AG460" s="133"/>
      <c r="AH460" s="135">
        <v>0</v>
      </c>
      <c r="AI460" s="135">
        <v>0</v>
      </c>
      <c r="AJ460" s="135">
        <v>0</v>
      </c>
      <c r="AK460" s="135">
        <v>0</v>
      </c>
      <c r="AL460" s="135">
        <v>15</v>
      </c>
      <c r="AM460" s="135">
        <v>0</v>
      </c>
      <c r="AN460" s="135">
        <f t="shared" si="7"/>
        <v>15</v>
      </c>
      <c r="AO460" s="135" t="s">
        <v>303</v>
      </c>
      <c r="AP460" s="135"/>
      <c r="AQ460" s="135">
        <v>0</v>
      </c>
      <c r="AR460" s="135">
        <v>0</v>
      </c>
    </row>
    <row r="461" spans="1:44" x14ac:dyDescent="0.2">
      <c r="A461" s="135" t="s">
        <v>147</v>
      </c>
      <c r="B461" s="135" t="s">
        <v>148</v>
      </c>
      <c r="C461" s="135">
        <v>5</v>
      </c>
      <c r="D461" s="135">
        <v>1</v>
      </c>
      <c r="E461" s="135" t="s">
        <v>3171</v>
      </c>
      <c r="F461" s="136">
        <v>43341</v>
      </c>
      <c r="G461" s="138" t="s">
        <v>4031</v>
      </c>
      <c r="H461" s="138" t="s">
        <v>4724</v>
      </c>
      <c r="I461" s="172">
        <v>8.819444444444445E-2</v>
      </c>
      <c r="J461" s="175">
        <v>1.4699074074074074E-3</v>
      </c>
      <c r="K461" s="143">
        <v>127</v>
      </c>
      <c r="L461" s="135" t="s">
        <v>101</v>
      </c>
      <c r="M461" s="135" t="s">
        <v>149</v>
      </c>
      <c r="N461" s="135" t="s">
        <v>102</v>
      </c>
      <c r="O461" s="135" t="s">
        <v>23</v>
      </c>
      <c r="P461" s="135">
        <v>1</v>
      </c>
      <c r="Q461" s="135"/>
      <c r="R461" s="135">
        <v>0</v>
      </c>
      <c r="S461" s="133" t="s">
        <v>176</v>
      </c>
      <c r="T461" s="135" t="s">
        <v>176</v>
      </c>
      <c r="U461" s="135" t="s">
        <v>263</v>
      </c>
      <c r="V461" s="135" t="s">
        <v>115</v>
      </c>
      <c r="W461" s="135" t="s">
        <v>115</v>
      </c>
      <c r="X461" s="135" t="s">
        <v>115</v>
      </c>
      <c r="Y461" s="135" t="s">
        <v>115</v>
      </c>
      <c r="Z461" s="135"/>
      <c r="AA461" s="135"/>
      <c r="AB461" s="135" t="s">
        <v>115</v>
      </c>
      <c r="AC461" s="137" t="s">
        <v>115</v>
      </c>
      <c r="AD461" s="137"/>
      <c r="AE461" s="135"/>
      <c r="AF461" s="135"/>
      <c r="AG461" s="135"/>
      <c r="AH461" s="135">
        <v>30</v>
      </c>
      <c r="AI461" s="135">
        <v>0</v>
      </c>
      <c r="AJ461" s="135">
        <v>20</v>
      </c>
      <c r="AK461" s="135">
        <v>10</v>
      </c>
      <c r="AL461" s="135">
        <v>71</v>
      </c>
      <c r="AM461" s="135">
        <v>0</v>
      </c>
      <c r="AN461" s="135">
        <f t="shared" si="7"/>
        <v>101</v>
      </c>
      <c r="AO461" s="135" t="s">
        <v>150</v>
      </c>
      <c r="AP461" s="135"/>
      <c r="AQ461" s="135">
        <v>0</v>
      </c>
      <c r="AR461" s="135">
        <v>9</v>
      </c>
    </row>
    <row r="462" spans="1:44" x14ac:dyDescent="0.2">
      <c r="A462" s="133" t="s">
        <v>147</v>
      </c>
      <c r="B462" s="133" t="s">
        <v>148</v>
      </c>
      <c r="C462" s="133">
        <v>5</v>
      </c>
      <c r="D462" s="133">
        <v>2</v>
      </c>
      <c r="E462" s="133" t="s">
        <v>3171</v>
      </c>
      <c r="F462" s="138">
        <v>43341</v>
      </c>
      <c r="G462" s="138" t="s">
        <v>4031</v>
      </c>
      <c r="H462" s="138" t="s">
        <v>4724</v>
      </c>
      <c r="I462" s="148">
        <v>8.819444444444445E-2</v>
      </c>
      <c r="J462" s="174">
        <v>1.4699074074074074E-3</v>
      </c>
      <c r="K462" s="139">
        <v>127</v>
      </c>
      <c r="L462" s="133" t="s">
        <v>101</v>
      </c>
      <c r="M462" s="133" t="s">
        <v>149</v>
      </c>
      <c r="N462" s="133" t="s">
        <v>102</v>
      </c>
      <c r="O462" s="133" t="s">
        <v>23</v>
      </c>
      <c r="P462" s="133">
        <v>1</v>
      </c>
      <c r="Q462" s="133"/>
      <c r="R462" s="133">
        <v>0</v>
      </c>
      <c r="S462" s="133" t="s">
        <v>176</v>
      </c>
      <c r="T462" s="133" t="s">
        <v>176</v>
      </c>
      <c r="U462" s="133" t="s">
        <v>2041</v>
      </c>
      <c r="V462" s="133" t="s">
        <v>115</v>
      </c>
      <c r="W462" s="135" t="s">
        <v>115</v>
      </c>
      <c r="X462" s="135" t="s">
        <v>115</v>
      </c>
      <c r="Y462" s="135" t="s">
        <v>115</v>
      </c>
      <c r="Z462" s="135"/>
      <c r="AA462" s="135"/>
      <c r="AB462" s="133" t="s">
        <v>115</v>
      </c>
      <c r="AC462" s="134" t="s">
        <v>115</v>
      </c>
      <c r="AD462" s="134"/>
      <c r="AE462" s="135"/>
      <c r="AF462" s="135"/>
      <c r="AG462" s="135"/>
      <c r="AH462" s="133">
        <v>0</v>
      </c>
      <c r="AI462" s="133">
        <v>0</v>
      </c>
      <c r="AJ462" s="133">
        <v>0</v>
      </c>
      <c r="AK462" s="133">
        <v>0</v>
      </c>
      <c r="AL462" s="133">
        <v>0</v>
      </c>
      <c r="AM462" s="133">
        <v>0</v>
      </c>
      <c r="AN462" s="133">
        <f t="shared" si="7"/>
        <v>0</v>
      </c>
      <c r="AO462" s="133" t="s">
        <v>150</v>
      </c>
      <c r="AP462" s="133"/>
      <c r="AQ462" s="133">
        <v>0</v>
      </c>
      <c r="AR462" s="133">
        <v>9</v>
      </c>
    </row>
    <row r="463" spans="1:44" x14ac:dyDescent="0.2">
      <c r="A463" s="135" t="s">
        <v>151</v>
      </c>
      <c r="B463" s="135" t="s">
        <v>152</v>
      </c>
      <c r="C463" s="135">
        <v>6</v>
      </c>
      <c r="D463" s="135">
        <v>1</v>
      </c>
      <c r="E463" s="135" t="s">
        <v>3171</v>
      </c>
      <c r="F463" s="136">
        <v>43341</v>
      </c>
      <c r="G463" s="138" t="s">
        <v>4031</v>
      </c>
      <c r="H463" s="138" t="s">
        <v>4724</v>
      </c>
      <c r="I463" s="172">
        <v>3.8194444444444441E-2</v>
      </c>
      <c r="J463" s="175">
        <v>6.3657407407407402E-4</v>
      </c>
      <c r="K463" s="143">
        <v>55</v>
      </c>
      <c r="L463" s="135" t="s">
        <v>101</v>
      </c>
      <c r="M463" s="135" t="s">
        <v>149</v>
      </c>
      <c r="N463" s="135" t="s">
        <v>187</v>
      </c>
      <c r="O463" s="135" t="s">
        <v>23</v>
      </c>
      <c r="P463" s="135">
        <v>3</v>
      </c>
      <c r="Q463" s="135"/>
      <c r="R463" s="135">
        <v>1</v>
      </c>
      <c r="S463" s="133" t="s">
        <v>14</v>
      </c>
      <c r="T463" s="135" t="s">
        <v>2128</v>
      </c>
      <c r="U463" s="135" t="s">
        <v>122</v>
      </c>
      <c r="V463" s="135" t="s">
        <v>3966</v>
      </c>
      <c r="W463" s="135" t="s">
        <v>23</v>
      </c>
      <c r="X463" s="135" t="s">
        <v>3999</v>
      </c>
      <c r="Y463" s="135" t="s">
        <v>4002</v>
      </c>
      <c r="Z463" s="133"/>
      <c r="AA463" s="133"/>
      <c r="AB463" s="135" t="s">
        <v>176</v>
      </c>
      <c r="AC463" s="137" t="s">
        <v>2045</v>
      </c>
      <c r="AD463" s="137"/>
      <c r="AE463" s="133"/>
      <c r="AF463" s="133"/>
      <c r="AG463" s="133"/>
      <c r="AH463" s="135">
        <v>0</v>
      </c>
      <c r="AI463" s="135">
        <v>0</v>
      </c>
      <c r="AJ463" s="135">
        <v>0</v>
      </c>
      <c r="AK463" s="135">
        <v>0</v>
      </c>
      <c r="AL463" s="135">
        <v>24</v>
      </c>
      <c r="AM463" s="135">
        <v>0</v>
      </c>
      <c r="AN463" s="135">
        <f t="shared" si="7"/>
        <v>24</v>
      </c>
      <c r="AO463" s="135" t="s">
        <v>303</v>
      </c>
      <c r="AP463" s="135" t="s">
        <v>4875</v>
      </c>
      <c r="AQ463" s="135"/>
      <c r="AR463" s="135"/>
    </row>
    <row r="464" spans="1:44" x14ac:dyDescent="0.2">
      <c r="A464" s="133" t="s">
        <v>154</v>
      </c>
      <c r="B464" s="133" t="s">
        <v>155</v>
      </c>
      <c r="C464" s="133">
        <v>7</v>
      </c>
      <c r="D464" s="133">
        <v>1</v>
      </c>
      <c r="E464" s="133" t="s">
        <v>3171</v>
      </c>
      <c r="F464" s="138">
        <v>43341</v>
      </c>
      <c r="G464" s="138" t="s">
        <v>4031</v>
      </c>
      <c r="H464" s="138" t="s">
        <v>4724</v>
      </c>
      <c r="I464" s="148">
        <v>1.3888888888888888E-2</v>
      </c>
      <c r="J464" s="174">
        <v>2.3148148148148146E-4</v>
      </c>
      <c r="K464" s="139">
        <v>20</v>
      </c>
      <c r="L464" s="133" t="s">
        <v>101</v>
      </c>
      <c r="M464" s="133" t="s">
        <v>149</v>
      </c>
      <c r="N464" s="133" t="s">
        <v>156</v>
      </c>
      <c r="O464" s="133" t="s">
        <v>23</v>
      </c>
      <c r="P464" s="133">
        <v>0</v>
      </c>
      <c r="Q464" s="133"/>
      <c r="R464" s="133">
        <v>1</v>
      </c>
      <c r="S464" s="133" t="s">
        <v>14</v>
      </c>
      <c r="T464" s="133" t="s">
        <v>2128</v>
      </c>
      <c r="U464" s="133" t="s">
        <v>122</v>
      </c>
      <c r="V464" s="133" t="s">
        <v>3965</v>
      </c>
      <c r="W464" s="135" t="s">
        <v>23</v>
      </c>
      <c r="X464" s="135" t="s">
        <v>3997</v>
      </c>
      <c r="Y464" s="135" t="s">
        <v>4002</v>
      </c>
      <c r="Z464" s="133"/>
      <c r="AA464" s="133"/>
      <c r="AB464" s="133" t="s">
        <v>176</v>
      </c>
      <c r="AC464" s="134" t="s">
        <v>2045</v>
      </c>
      <c r="AD464" s="134"/>
      <c r="AE464" s="133"/>
      <c r="AF464" s="133"/>
      <c r="AG464" s="133"/>
      <c r="AH464" s="133">
        <v>0</v>
      </c>
      <c r="AI464" s="133">
        <v>0</v>
      </c>
      <c r="AJ464" s="133">
        <v>0</v>
      </c>
      <c r="AK464" s="133">
        <v>0</v>
      </c>
      <c r="AL464" s="133">
        <v>0</v>
      </c>
      <c r="AM464" s="133">
        <v>0</v>
      </c>
      <c r="AN464" s="133">
        <f t="shared" si="7"/>
        <v>0</v>
      </c>
      <c r="AO464" s="133" t="s">
        <v>115</v>
      </c>
      <c r="AP464" s="133"/>
      <c r="AQ464" s="133"/>
      <c r="AR464" s="133"/>
    </row>
    <row r="465" spans="1:44" x14ac:dyDescent="0.2">
      <c r="A465" s="135" t="s">
        <v>124</v>
      </c>
      <c r="B465" s="135" t="s">
        <v>846</v>
      </c>
      <c r="C465" s="135">
        <v>8</v>
      </c>
      <c r="D465" s="135">
        <v>1</v>
      </c>
      <c r="E465" s="135" t="s">
        <v>834</v>
      </c>
      <c r="F465" s="136">
        <v>43340</v>
      </c>
      <c r="G465" s="138" t="s">
        <v>4031</v>
      </c>
      <c r="H465" s="138" t="s">
        <v>4724</v>
      </c>
      <c r="I465" s="172">
        <v>1.6666666666666666E-2</v>
      </c>
      <c r="J465" s="175">
        <v>2.7777777777777778E-4</v>
      </c>
      <c r="K465" s="143">
        <v>24</v>
      </c>
      <c r="L465" s="135" t="s">
        <v>101</v>
      </c>
      <c r="M465" s="135" t="s">
        <v>166</v>
      </c>
      <c r="N465" s="135" t="s">
        <v>102</v>
      </c>
      <c r="O465" s="135" t="s">
        <v>115</v>
      </c>
      <c r="P465" s="135">
        <v>1</v>
      </c>
      <c r="Q465" s="135"/>
      <c r="R465" s="135">
        <v>0</v>
      </c>
      <c r="S465" s="133" t="s">
        <v>112</v>
      </c>
      <c r="T465" s="135" t="s">
        <v>112</v>
      </c>
      <c r="U465" s="135" t="s">
        <v>122</v>
      </c>
      <c r="V465" s="135" t="s">
        <v>115</v>
      </c>
      <c r="W465" s="135" t="s">
        <v>115</v>
      </c>
      <c r="X465" s="135" t="s">
        <v>115</v>
      </c>
      <c r="Y465" s="135" t="s">
        <v>115</v>
      </c>
      <c r="Z465" s="135"/>
      <c r="AA465" s="135"/>
      <c r="AB465" s="135" t="s">
        <v>115</v>
      </c>
      <c r="AC465" s="137" t="s">
        <v>115</v>
      </c>
      <c r="AD465" s="137"/>
      <c r="AE465" s="135"/>
      <c r="AF465" s="135"/>
      <c r="AG465" s="135"/>
      <c r="AH465" s="135">
        <v>0</v>
      </c>
      <c r="AI465" s="135">
        <v>0</v>
      </c>
      <c r="AJ465" s="135">
        <v>0</v>
      </c>
      <c r="AK465" s="135">
        <v>0</v>
      </c>
      <c r="AL465" s="135">
        <v>10</v>
      </c>
      <c r="AM465" s="135">
        <v>0</v>
      </c>
      <c r="AN465" s="135">
        <f t="shared" si="7"/>
        <v>10</v>
      </c>
      <c r="AO465" s="135" t="s">
        <v>16</v>
      </c>
      <c r="AP465" s="135" t="s">
        <v>127</v>
      </c>
      <c r="AQ465" s="135"/>
      <c r="AR465" s="135">
        <v>8</v>
      </c>
    </row>
    <row r="466" spans="1:44" x14ac:dyDescent="0.2">
      <c r="A466" s="133" t="s">
        <v>128</v>
      </c>
      <c r="B466" s="133" t="s">
        <v>847</v>
      </c>
      <c r="C466" s="133">
        <v>9</v>
      </c>
      <c r="D466" s="133">
        <v>1</v>
      </c>
      <c r="E466" s="133" t="s">
        <v>834</v>
      </c>
      <c r="F466" s="138">
        <v>43340</v>
      </c>
      <c r="G466" s="138" t="s">
        <v>4031</v>
      </c>
      <c r="H466" s="138" t="s">
        <v>4724</v>
      </c>
      <c r="I466" s="148">
        <v>9.0277777777777787E-3</v>
      </c>
      <c r="J466" s="174">
        <v>1.5046296296296297E-4</v>
      </c>
      <c r="K466" s="139">
        <v>13</v>
      </c>
      <c r="L466" s="133" t="s">
        <v>101</v>
      </c>
      <c r="M466" s="133" t="s">
        <v>166</v>
      </c>
      <c r="N466" s="133" t="s">
        <v>102</v>
      </c>
      <c r="O466" s="133" t="s">
        <v>23</v>
      </c>
      <c r="P466" s="133" t="s">
        <v>24</v>
      </c>
      <c r="Q466" s="133"/>
      <c r="R466" s="133">
        <v>0</v>
      </c>
      <c r="S466" s="133" t="s">
        <v>176</v>
      </c>
      <c r="T466" s="133" t="s">
        <v>176</v>
      </c>
      <c r="U466" s="133" t="s">
        <v>116</v>
      </c>
      <c r="V466" s="133" t="s">
        <v>126</v>
      </c>
      <c r="W466" s="135" t="s">
        <v>115</v>
      </c>
      <c r="X466" s="135" t="s">
        <v>115</v>
      </c>
      <c r="Y466" s="135" t="s">
        <v>115</v>
      </c>
      <c r="Z466" s="133"/>
      <c r="AA466" s="133"/>
      <c r="AB466" s="133" t="s">
        <v>115</v>
      </c>
      <c r="AC466" s="134" t="s">
        <v>115</v>
      </c>
      <c r="AD466" s="134"/>
      <c r="AE466" s="133"/>
      <c r="AF466" s="133"/>
      <c r="AG466" s="133"/>
      <c r="AH466" s="133">
        <v>0</v>
      </c>
      <c r="AI466" s="133">
        <v>7</v>
      </c>
      <c r="AJ466" s="133">
        <v>0</v>
      </c>
      <c r="AK466" s="133">
        <v>7</v>
      </c>
      <c r="AL466" s="133">
        <v>0</v>
      </c>
      <c r="AM466" s="133">
        <v>0</v>
      </c>
      <c r="AN466" s="133">
        <f t="shared" si="7"/>
        <v>7</v>
      </c>
      <c r="AO466" s="133" t="s">
        <v>103</v>
      </c>
      <c r="AP466" s="133"/>
      <c r="AQ466" s="133">
        <v>0</v>
      </c>
      <c r="AR466" s="133">
        <v>0</v>
      </c>
    </row>
    <row r="467" spans="1:44" x14ac:dyDescent="0.2">
      <c r="A467" s="133" t="s">
        <v>161</v>
      </c>
      <c r="B467" s="133" t="s">
        <v>849</v>
      </c>
      <c r="C467" s="133">
        <v>2</v>
      </c>
      <c r="D467" s="133">
        <v>1</v>
      </c>
      <c r="E467" s="133" t="s">
        <v>834</v>
      </c>
      <c r="F467" s="138">
        <v>43342</v>
      </c>
      <c r="G467" s="138" t="s">
        <v>4031</v>
      </c>
      <c r="H467" s="138" t="s">
        <v>4724</v>
      </c>
      <c r="I467" s="148">
        <v>2.1527777777777781E-2</v>
      </c>
      <c r="J467" s="174">
        <v>3.5879629629629635E-4</v>
      </c>
      <c r="K467" s="139">
        <v>31</v>
      </c>
      <c r="L467" s="133" t="s">
        <v>158</v>
      </c>
      <c r="M467" s="133" t="s">
        <v>166</v>
      </c>
      <c r="N467" s="133" t="s">
        <v>102</v>
      </c>
      <c r="O467" s="133" t="s">
        <v>23</v>
      </c>
      <c r="P467" s="133">
        <v>1</v>
      </c>
      <c r="Q467" s="133"/>
      <c r="R467" s="133" t="s">
        <v>24</v>
      </c>
      <c r="S467" s="133" t="s">
        <v>112</v>
      </c>
      <c r="T467" s="133" t="s">
        <v>112</v>
      </c>
      <c r="U467" s="133" t="s">
        <v>160</v>
      </c>
      <c r="V467" s="133" t="s">
        <v>115</v>
      </c>
      <c r="W467" s="133"/>
      <c r="X467" s="133"/>
      <c r="Y467" s="133"/>
      <c r="Z467" s="133"/>
      <c r="AA467" s="133"/>
      <c r="AB467" s="133" t="s">
        <v>115</v>
      </c>
      <c r="AC467" s="134" t="s">
        <v>115</v>
      </c>
      <c r="AD467" s="134"/>
      <c r="AE467" s="133"/>
      <c r="AF467" s="133"/>
      <c r="AG467" s="133"/>
      <c r="AH467" s="133">
        <v>0</v>
      </c>
      <c r="AI467" s="133">
        <v>0</v>
      </c>
      <c r="AJ467" s="133">
        <v>0</v>
      </c>
      <c r="AK467" s="133">
        <v>0</v>
      </c>
      <c r="AL467" s="133">
        <v>0</v>
      </c>
      <c r="AM467" s="133">
        <v>0</v>
      </c>
      <c r="AN467" s="133">
        <f t="shared" si="7"/>
        <v>0</v>
      </c>
      <c r="AO467" s="133" t="s">
        <v>107</v>
      </c>
      <c r="AP467" s="133" t="s">
        <v>3990</v>
      </c>
      <c r="AQ467" s="133">
        <v>0</v>
      </c>
      <c r="AR467" s="133">
        <v>0</v>
      </c>
    </row>
    <row r="468" spans="1:44" x14ac:dyDescent="0.2">
      <c r="A468" s="133" t="s">
        <v>162</v>
      </c>
      <c r="B468" s="133" t="s">
        <v>850</v>
      </c>
      <c r="C468" s="133">
        <v>3</v>
      </c>
      <c r="D468" s="133">
        <v>1</v>
      </c>
      <c r="E468" s="133" t="s">
        <v>834</v>
      </c>
      <c r="F468" s="138">
        <v>43342</v>
      </c>
      <c r="G468" s="138" t="s">
        <v>4031</v>
      </c>
      <c r="H468" s="138" t="s">
        <v>4724</v>
      </c>
      <c r="I468" s="148">
        <v>8.3333333333333332E-3</v>
      </c>
      <c r="J468" s="174">
        <v>1.3888888888888889E-4</v>
      </c>
      <c r="K468" s="139">
        <v>12</v>
      </c>
      <c r="L468" s="133" t="s">
        <v>158</v>
      </c>
      <c r="M468" s="133" t="s">
        <v>166</v>
      </c>
      <c r="N468" s="133" t="s">
        <v>107</v>
      </c>
      <c r="O468" s="133" t="s">
        <v>23</v>
      </c>
      <c r="P468" s="133">
        <v>0</v>
      </c>
      <c r="Q468" s="133"/>
      <c r="R468" s="133">
        <v>0</v>
      </c>
      <c r="S468" s="133" t="s">
        <v>112</v>
      </c>
      <c r="T468" s="133" t="s">
        <v>112</v>
      </c>
      <c r="U468" s="133" t="s">
        <v>160</v>
      </c>
      <c r="V468" s="133" t="s">
        <v>115</v>
      </c>
      <c r="W468" s="135" t="s">
        <v>115</v>
      </c>
      <c r="X468" s="135" t="s">
        <v>115</v>
      </c>
      <c r="Y468" s="135" t="s">
        <v>115</v>
      </c>
      <c r="Z468" s="133"/>
      <c r="AA468" s="133"/>
      <c r="AB468" s="133" t="s">
        <v>115</v>
      </c>
      <c r="AC468" s="134" t="s">
        <v>115</v>
      </c>
      <c r="AD468" s="134"/>
      <c r="AE468" s="133"/>
      <c r="AF468" s="133"/>
      <c r="AG468" s="133"/>
      <c r="AH468" s="133">
        <v>0</v>
      </c>
      <c r="AI468" s="133">
        <v>0</v>
      </c>
      <c r="AJ468" s="133">
        <v>0</v>
      </c>
      <c r="AK468" s="133">
        <v>0</v>
      </c>
      <c r="AL468" s="133">
        <v>0</v>
      </c>
      <c r="AM468" s="133">
        <v>0</v>
      </c>
      <c r="AN468" s="133">
        <f t="shared" si="7"/>
        <v>0</v>
      </c>
      <c r="AO468" s="133" t="s">
        <v>107</v>
      </c>
      <c r="AP468" s="133" t="s">
        <v>3991</v>
      </c>
      <c r="AQ468" s="133"/>
      <c r="AR468" s="133"/>
    </row>
    <row r="469" spans="1:44" x14ac:dyDescent="0.2">
      <c r="A469" s="133" t="s">
        <v>163</v>
      </c>
      <c r="B469" s="133" t="s">
        <v>851</v>
      </c>
      <c r="C469" s="133">
        <v>4</v>
      </c>
      <c r="D469" s="133">
        <v>1</v>
      </c>
      <c r="E469" s="133" t="s">
        <v>834</v>
      </c>
      <c r="F469" s="138">
        <v>43342</v>
      </c>
      <c r="G469" s="138" t="s">
        <v>4031</v>
      </c>
      <c r="H469" s="138" t="s">
        <v>4724</v>
      </c>
      <c r="I469" s="148">
        <v>2.361111111111111E-2</v>
      </c>
      <c r="J469" s="174">
        <v>3.9351851851851852E-4</v>
      </c>
      <c r="K469" s="139">
        <v>34</v>
      </c>
      <c r="L469" s="133" t="s">
        <v>158</v>
      </c>
      <c r="M469" s="133" t="s">
        <v>166</v>
      </c>
      <c r="N469" s="133" t="s">
        <v>107</v>
      </c>
      <c r="O469" s="133" t="s">
        <v>23</v>
      </c>
      <c r="P469" s="133">
        <v>0</v>
      </c>
      <c r="Q469" s="133"/>
      <c r="R469" s="133">
        <v>0</v>
      </c>
      <c r="S469" s="133" t="s">
        <v>112</v>
      </c>
      <c r="T469" s="133" t="s">
        <v>112</v>
      </c>
      <c r="U469" s="133" t="s">
        <v>160</v>
      </c>
      <c r="V469" s="133" t="s">
        <v>115</v>
      </c>
      <c r="W469" s="135" t="s">
        <v>115</v>
      </c>
      <c r="X469" s="135" t="s">
        <v>115</v>
      </c>
      <c r="Y469" s="135" t="s">
        <v>115</v>
      </c>
      <c r="Z469" s="133"/>
      <c r="AA469" s="133"/>
      <c r="AB469" s="133" t="s">
        <v>115</v>
      </c>
      <c r="AC469" s="134" t="s">
        <v>115</v>
      </c>
      <c r="AD469" s="134"/>
      <c r="AE469" s="133"/>
      <c r="AF469" s="133"/>
      <c r="AG469" s="133"/>
      <c r="AH469" s="133">
        <v>0</v>
      </c>
      <c r="AI469" s="133">
        <v>0</v>
      </c>
      <c r="AJ469" s="133">
        <v>0</v>
      </c>
      <c r="AK469" s="133">
        <v>0</v>
      </c>
      <c r="AL469" s="133">
        <v>0</v>
      </c>
      <c r="AM469" s="133">
        <v>0</v>
      </c>
      <c r="AN469" s="133">
        <f t="shared" si="7"/>
        <v>0</v>
      </c>
      <c r="AO469" s="133" t="s">
        <v>107</v>
      </c>
      <c r="AP469" s="133" t="s">
        <v>3992</v>
      </c>
      <c r="AQ469" s="133"/>
      <c r="AR469" s="133"/>
    </row>
    <row r="470" spans="1:44" x14ac:dyDescent="0.2">
      <c r="A470" s="135" t="s">
        <v>167</v>
      </c>
      <c r="B470" s="135" t="s">
        <v>853</v>
      </c>
      <c r="C470" s="135">
        <v>6</v>
      </c>
      <c r="D470" s="135">
        <v>1</v>
      </c>
      <c r="E470" s="135" t="s">
        <v>834</v>
      </c>
      <c r="F470" s="136">
        <v>43342</v>
      </c>
      <c r="G470" s="138" t="s">
        <v>4031</v>
      </c>
      <c r="H470" s="138" t="s">
        <v>4724</v>
      </c>
      <c r="I470" s="172">
        <v>5.2083333333333336E-2</v>
      </c>
      <c r="J470" s="175">
        <v>8.6805555555555551E-4</v>
      </c>
      <c r="K470" s="143">
        <v>75</v>
      </c>
      <c r="L470" s="135" t="s">
        <v>158</v>
      </c>
      <c r="M470" s="135" t="s">
        <v>166</v>
      </c>
      <c r="N470" s="135" t="s">
        <v>102</v>
      </c>
      <c r="O470" s="135" t="s">
        <v>23</v>
      </c>
      <c r="P470" s="135">
        <v>1</v>
      </c>
      <c r="Q470" s="135"/>
      <c r="R470" s="135">
        <v>0</v>
      </c>
      <c r="S470" s="133" t="s">
        <v>176</v>
      </c>
      <c r="T470" s="135" t="s">
        <v>176</v>
      </c>
      <c r="U470" s="135" t="s">
        <v>487</v>
      </c>
      <c r="V470" s="135" t="s">
        <v>115</v>
      </c>
      <c r="W470" s="135" t="s">
        <v>115</v>
      </c>
      <c r="X470" s="135" t="s">
        <v>115</v>
      </c>
      <c r="Y470" s="135" t="s">
        <v>115</v>
      </c>
      <c r="Z470" s="133"/>
      <c r="AA470" s="133"/>
      <c r="AB470" s="135" t="s">
        <v>115</v>
      </c>
      <c r="AC470" s="137" t="s">
        <v>115</v>
      </c>
      <c r="AD470" s="137"/>
      <c r="AE470" s="133"/>
      <c r="AF470" s="133"/>
      <c r="AG470" s="133"/>
      <c r="AH470" s="135">
        <v>4</v>
      </c>
      <c r="AI470" s="135">
        <v>0</v>
      </c>
      <c r="AJ470" s="135">
        <v>0</v>
      </c>
      <c r="AK470" s="135">
        <v>4</v>
      </c>
      <c r="AL470" s="135">
        <v>26</v>
      </c>
      <c r="AM470" s="135">
        <v>0</v>
      </c>
      <c r="AN470" s="135">
        <f t="shared" si="7"/>
        <v>30</v>
      </c>
      <c r="AO470" s="135" t="s">
        <v>168</v>
      </c>
      <c r="AP470" s="135" t="s">
        <v>169</v>
      </c>
      <c r="AQ470" s="135">
        <v>1</v>
      </c>
      <c r="AR470" s="135">
        <v>0</v>
      </c>
    </row>
    <row r="471" spans="1:44" x14ac:dyDescent="0.2">
      <c r="A471" s="133" t="s">
        <v>167</v>
      </c>
      <c r="B471" s="133" t="s">
        <v>853</v>
      </c>
      <c r="C471" s="133">
        <v>6</v>
      </c>
      <c r="D471" s="133">
        <v>2</v>
      </c>
      <c r="E471" s="133" t="s">
        <v>834</v>
      </c>
      <c r="F471" s="138">
        <v>43342</v>
      </c>
      <c r="G471" s="138" t="s">
        <v>4031</v>
      </c>
      <c r="H471" s="138" t="s">
        <v>4724</v>
      </c>
      <c r="I471" s="148">
        <v>5.2083333333333336E-2</v>
      </c>
      <c r="J471" s="174">
        <v>8.6805555555555551E-4</v>
      </c>
      <c r="K471" s="139">
        <v>75</v>
      </c>
      <c r="L471" s="133" t="s">
        <v>158</v>
      </c>
      <c r="M471" s="133" t="s">
        <v>166</v>
      </c>
      <c r="N471" s="133" t="s">
        <v>102</v>
      </c>
      <c r="O471" s="133" t="s">
        <v>23</v>
      </c>
      <c r="P471" s="133">
        <v>1</v>
      </c>
      <c r="Q471" s="133"/>
      <c r="R471" s="133">
        <v>0</v>
      </c>
      <c r="S471" s="133" t="s">
        <v>3955</v>
      </c>
      <c r="T471" s="133" t="s">
        <v>2048</v>
      </c>
      <c r="U471" s="133" t="s">
        <v>122</v>
      </c>
      <c r="V471" s="133" t="s">
        <v>115</v>
      </c>
      <c r="W471" s="135" t="s">
        <v>115</v>
      </c>
      <c r="X471" s="135" t="s">
        <v>115</v>
      </c>
      <c r="Y471" s="135" t="s">
        <v>115</v>
      </c>
      <c r="Z471" s="133"/>
      <c r="AA471" s="133"/>
      <c r="AB471" s="133" t="s">
        <v>115</v>
      </c>
      <c r="AC471" s="134" t="s">
        <v>115</v>
      </c>
      <c r="AD471" s="134"/>
      <c r="AE471" s="133"/>
      <c r="AF471" s="133"/>
      <c r="AG471" s="133"/>
      <c r="AH471" s="133">
        <v>0</v>
      </c>
      <c r="AI471" s="133">
        <v>0</v>
      </c>
      <c r="AJ471" s="133">
        <v>0</v>
      </c>
      <c r="AK471" s="133">
        <v>0</v>
      </c>
      <c r="AL471" s="133">
        <v>0</v>
      </c>
      <c r="AM471" s="133">
        <v>0</v>
      </c>
      <c r="AN471" s="133">
        <f t="shared" si="7"/>
        <v>0</v>
      </c>
      <c r="AO471" s="133" t="s">
        <v>168</v>
      </c>
      <c r="AP471" s="133" t="s">
        <v>169</v>
      </c>
      <c r="AQ471" s="133">
        <v>1</v>
      </c>
      <c r="AR471" s="133">
        <v>0</v>
      </c>
    </row>
    <row r="472" spans="1:44" x14ac:dyDescent="0.2">
      <c r="A472" s="133" t="s">
        <v>170</v>
      </c>
      <c r="B472" s="133" t="s">
        <v>854</v>
      </c>
      <c r="C472" s="133">
        <v>7</v>
      </c>
      <c r="D472" s="133">
        <v>1</v>
      </c>
      <c r="E472" s="133" t="s">
        <v>834</v>
      </c>
      <c r="F472" s="138">
        <v>43342</v>
      </c>
      <c r="G472" s="138" t="s">
        <v>4031</v>
      </c>
      <c r="H472" s="138" t="s">
        <v>4724</v>
      </c>
      <c r="I472" s="148">
        <v>2.7777777777777776E-2</v>
      </c>
      <c r="J472" s="174">
        <v>4.6296296296296293E-4</v>
      </c>
      <c r="K472" s="139">
        <v>40</v>
      </c>
      <c r="L472" s="133" t="s">
        <v>158</v>
      </c>
      <c r="M472" s="133" t="s">
        <v>166</v>
      </c>
      <c r="N472" s="133" t="s">
        <v>102</v>
      </c>
      <c r="O472" s="133" t="s">
        <v>115</v>
      </c>
      <c r="P472" s="133">
        <v>1</v>
      </c>
      <c r="Q472" s="133"/>
      <c r="R472" s="133">
        <v>0</v>
      </c>
      <c r="S472" s="133" t="s">
        <v>3955</v>
      </c>
      <c r="T472" s="133" t="s">
        <v>2049</v>
      </c>
      <c r="U472" s="133" t="s">
        <v>122</v>
      </c>
      <c r="V472" s="133" t="s">
        <v>126</v>
      </c>
      <c r="W472" s="135" t="s">
        <v>115</v>
      </c>
      <c r="X472" s="135" t="s">
        <v>115</v>
      </c>
      <c r="Y472" s="135" t="s">
        <v>115</v>
      </c>
      <c r="Z472" s="135"/>
      <c r="AA472" s="135"/>
      <c r="AB472" s="133" t="s">
        <v>115</v>
      </c>
      <c r="AC472" s="134" t="s">
        <v>115</v>
      </c>
      <c r="AD472" s="134"/>
      <c r="AE472" s="135"/>
      <c r="AF472" s="135"/>
      <c r="AG472" s="135"/>
      <c r="AH472" s="133">
        <v>0</v>
      </c>
      <c r="AI472" s="133">
        <v>0</v>
      </c>
      <c r="AJ472" s="133">
        <v>0</v>
      </c>
      <c r="AK472" s="133">
        <v>0</v>
      </c>
      <c r="AL472" s="133">
        <v>0</v>
      </c>
      <c r="AM472" s="133">
        <v>0</v>
      </c>
      <c r="AN472" s="133">
        <f t="shared" si="7"/>
        <v>0</v>
      </c>
      <c r="AO472" s="133" t="s">
        <v>171</v>
      </c>
      <c r="AP472" s="133" t="s">
        <v>169</v>
      </c>
      <c r="AQ472" s="133">
        <v>0</v>
      </c>
      <c r="AR472" s="133">
        <v>0</v>
      </c>
    </row>
    <row r="473" spans="1:44" x14ac:dyDescent="0.2">
      <c r="A473" s="133" t="s">
        <v>172</v>
      </c>
      <c r="B473" s="133" t="s">
        <v>4876</v>
      </c>
      <c r="C473" s="133">
        <v>1</v>
      </c>
      <c r="D473" s="133">
        <v>1</v>
      </c>
      <c r="E473" s="133" t="s">
        <v>2601</v>
      </c>
      <c r="F473" s="138">
        <v>43342</v>
      </c>
      <c r="G473" s="138" t="s">
        <v>4031</v>
      </c>
      <c r="H473" s="138" t="s">
        <v>4724</v>
      </c>
      <c r="I473" s="148">
        <v>2.6388888888888889E-2</v>
      </c>
      <c r="J473" s="174">
        <v>0</v>
      </c>
      <c r="K473" s="139">
        <v>0</v>
      </c>
      <c r="L473" s="133" t="s">
        <v>158</v>
      </c>
      <c r="M473" s="133" t="s">
        <v>173</v>
      </c>
      <c r="N473" s="133" t="s">
        <v>102</v>
      </c>
      <c r="O473" s="133" t="s">
        <v>23</v>
      </c>
      <c r="P473" s="133" t="s">
        <v>24</v>
      </c>
      <c r="Q473" s="133"/>
      <c r="R473" s="133" t="s">
        <v>24</v>
      </c>
      <c r="S473" s="133" t="s">
        <v>176</v>
      </c>
      <c r="T473" s="133" t="s">
        <v>176</v>
      </c>
      <c r="U473" s="133" t="s">
        <v>24</v>
      </c>
      <c r="V473" s="133" t="s">
        <v>24</v>
      </c>
      <c r="W473" s="133"/>
      <c r="X473" s="133"/>
      <c r="Y473" s="133"/>
      <c r="Z473" s="133"/>
      <c r="AA473" s="133"/>
      <c r="AB473" s="133" t="s">
        <v>115</v>
      </c>
      <c r="AC473" s="134" t="s">
        <v>115</v>
      </c>
      <c r="AD473" s="134"/>
      <c r="AE473" s="133"/>
      <c r="AF473" s="133"/>
      <c r="AG473" s="133"/>
      <c r="AH473" s="133">
        <v>0</v>
      </c>
      <c r="AI473" s="133">
        <v>24</v>
      </c>
      <c r="AJ473" s="133">
        <v>24</v>
      </c>
      <c r="AK473" s="133">
        <v>0</v>
      </c>
      <c r="AL473" s="133">
        <v>0</v>
      </c>
      <c r="AM473" s="133">
        <v>0</v>
      </c>
      <c r="AN473" s="133">
        <f t="shared" si="7"/>
        <v>24</v>
      </c>
      <c r="AO473" s="133" t="s">
        <v>174</v>
      </c>
      <c r="AP473" s="133" t="s">
        <v>4877</v>
      </c>
      <c r="AQ473" s="133">
        <v>0</v>
      </c>
      <c r="AR473" s="133">
        <v>0</v>
      </c>
    </row>
    <row r="474" spans="1:44" x14ac:dyDescent="0.2">
      <c r="A474" s="133" t="s">
        <v>182</v>
      </c>
      <c r="B474" s="133" t="s">
        <v>4889</v>
      </c>
      <c r="C474" s="133">
        <v>5</v>
      </c>
      <c r="D474" s="133">
        <v>1</v>
      </c>
      <c r="E474" s="133" t="s">
        <v>2601</v>
      </c>
      <c r="F474" s="138">
        <v>43342</v>
      </c>
      <c r="G474" s="138" t="s">
        <v>4031</v>
      </c>
      <c r="H474" s="138" t="s">
        <v>4724</v>
      </c>
      <c r="I474" s="148">
        <v>2.1527777777777781E-2</v>
      </c>
      <c r="J474" s="174">
        <v>4.3981481481481481E-4</v>
      </c>
      <c r="K474" s="139">
        <v>38</v>
      </c>
      <c r="L474" s="133" t="s">
        <v>158</v>
      </c>
      <c r="M474" s="133" t="s">
        <v>173</v>
      </c>
      <c r="N474" s="133" t="s">
        <v>111</v>
      </c>
      <c r="O474" s="133" t="s">
        <v>23</v>
      </c>
      <c r="P474" s="133">
        <v>0</v>
      </c>
      <c r="Q474" s="133"/>
      <c r="R474" s="133">
        <v>1</v>
      </c>
      <c r="S474" s="133" t="s">
        <v>112</v>
      </c>
      <c r="T474" s="133" t="s">
        <v>112</v>
      </c>
      <c r="U474" s="133" t="s">
        <v>3976</v>
      </c>
      <c r="V474" s="133" t="s">
        <v>333</v>
      </c>
      <c r="W474" s="135" t="s">
        <v>23</v>
      </c>
      <c r="X474" s="135" t="s">
        <v>3999</v>
      </c>
      <c r="Y474" s="135" t="s">
        <v>4006</v>
      </c>
      <c r="Z474" s="133"/>
      <c r="AA474" s="133"/>
      <c r="AB474" s="133" t="s">
        <v>176</v>
      </c>
      <c r="AC474" s="134" t="s">
        <v>2045</v>
      </c>
      <c r="AD474" s="134"/>
      <c r="AE474" s="133"/>
      <c r="AF474" s="133"/>
      <c r="AG474" s="133"/>
      <c r="AH474" s="133">
        <v>0</v>
      </c>
      <c r="AI474" s="133">
        <v>0</v>
      </c>
      <c r="AJ474" s="133">
        <v>0</v>
      </c>
      <c r="AK474" s="133">
        <v>0</v>
      </c>
      <c r="AL474" s="133">
        <v>0</v>
      </c>
      <c r="AM474" s="133">
        <v>0</v>
      </c>
      <c r="AN474" s="133">
        <f t="shared" si="7"/>
        <v>0</v>
      </c>
      <c r="AO474" s="133" t="s">
        <v>159</v>
      </c>
      <c r="AP474" s="133" t="s">
        <v>4890</v>
      </c>
      <c r="AQ474" s="133">
        <v>0</v>
      </c>
      <c r="AR474" s="133">
        <v>0</v>
      </c>
    </row>
    <row r="475" spans="1:44" x14ac:dyDescent="0.2">
      <c r="A475" s="133" t="s">
        <v>185</v>
      </c>
      <c r="B475" s="133" t="s">
        <v>4884</v>
      </c>
      <c r="C475" s="133">
        <v>6</v>
      </c>
      <c r="D475" s="133">
        <v>2</v>
      </c>
      <c r="E475" s="133" t="s">
        <v>2601</v>
      </c>
      <c r="F475" s="138">
        <v>43342</v>
      </c>
      <c r="G475" s="138" t="s">
        <v>4031</v>
      </c>
      <c r="H475" s="138" t="s">
        <v>4724</v>
      </c>
      <c r="I475" s="148">
        <v>6.6666666666666666E-2</v>
      </c>
      <c r="J475" s="174">
        <v>1.1111111111111111E-3</v>
      </c>
      <c r="K475" s="139">
        <v>96</v>
      </c>
      <c r="L475" s="133" t="s">
        <v>158</v>
      </c>
      <c r="M475" s="133" t="s">
        <v>173</v>
      </c>
      <c r="N475" s="133" t="s">
        <v>111</v>
      </c>
      <c r="O475" s="133" t="s">
        <v>23</v>
      </c>
      <c r="P475" s="133">
        <v>1</v>
      </c>
      <c r="Q475" s="133"/>
      <c r="R475" s="133">
        <v>0</v>
      </c>
      <c r="S475" s="133" t="s">
        <v>176</v>
      </c>
      <c r="T475" s="133" t="s">
        <v>176</v>
      </c>
      <c r="U475" s="133" t="s">
        <v>501</v>
      </c>
      <c r="V475" s="133" t="s">
        <v>115</v>
      </c>
      <c r="W475" s="135" t="s">
        <v>115</v>
      </c>
      <c r="X475" s="135" t="s">
        <v>115</v>
      </c>
      <c r="Y475" s="135" t="s">
        <v>115</v>
      </c>
      <c r="Z475" s="133"/>
      <c r="AA475" s="133"/>
      <c r="AB475" s="133" t="s">
        <v>115</v>
      </c>
      <c r="AC475" s="134" t="s">
        <v>115</v>
      </c>
      <c r="AD475" s="134"/>
      <c r="AE475" s="133"/>
      <c r="AF475" s="133"/>
      <c r="AG475" s="133"/>
      <c r="AH475" s="133">
        <v>0</v>
      </c>
      <c r="AI475" s="133">
        <v>0</v>
      </c>
      <c r="AJ475" s="133">
        <v>0</v>
      </c>
      <c r="AK475" s="133">
        <v>0</v>
      </c>
      <c r="AL475" s="133">
        <v>0</v>
      </c>
      <c r="AM475" s="133">
        <v>0</v>
      </c>
      <c r="AN475" s="133">
        <f t="shared" si="7"/>
        <v>0</v>
      </c>
      <c r="AO475" s="133" t="s">
        <v>188</v>
      </c>
      <c r="AP475" s="133" t="s">
        <v>2042</v>
      </c>
      <c r="AQ475" s="133">
        <v>0</v>
      </c>
      <c r="AR475" s="133">
        <v>0</v>
      </c>
    </row>
    <row r="476" spans="1:44" x14ac:dyDescent="0.2">
      <c r="A476" s="133" t="s">
        <v>185</v>
      </c>
      <c r="B476" s="133" t="s">
        <v>4884</v>
      </c>
      <c r="C476" s="133">
        <v>6</v>
      </c>
      <c r="D476" s="133">
        <v>1</v>
      </c>
      <c r="E476" s="133" t="s">
        <v>2601</v>
      </c>
      <c r="F476" s="138">
        <v>43342</v>
      </c>
      <c r="G476" s="138" t="s">
        <v>4031</v>
      </c>
      <c r="H476" s="138" t="s">
        <v>4724</v>
      </c>
      <c r="I476" s="148">
        <v>6.6666666666666666E-2</v>
      </c>
      <c r="J476" s="174">
        <v>1.1111111111111111E-3</v>
      </c>
      <c r="K476" s="139">
        <v>96</v>
      </c>
      <c r="L476" s="133" t="s">
        <v>158</v>
      </c>
      <c r="M476" s="133" t="s">
        <v>173</v>
      </c>
      <c r="N476" s="133" t="s">
        <v>111</v>
      </c>
      <c r="O476" s="133" t="s">
        <v>23</v>
      </c>
      <c r="P476" s="133">
        <v>0</v>
      </c>
      <c r="Q476" s="133"/>
      <c r="R476" s="133">
        <v>1</v>
      </c>
      <c r="S476" s="133" t="s">
        <v>176</v>
      </c>
      <c r="T476" s="133" t="s">
        <v>176</v>
      </c>
      <c r="U476" s="133" t="s">
        <v>24</v>
      </c>
      <c r="V476" s="133" t="s">
        <v>1265</v>
      </c>
      <c r="W476" s="135" t="s">
        <v>23</v>
      </c>
      <c r="X476" s="135" t="s">
        <v>4004</v>
      </c>
      <c r="Y476" s="135" t="s">
        <v>4005</v>
      </c>
      <c r="Z476" s="133"/>
      <c r="AA476" s="133"/>
      <c r="AB476" s="133" t="s">
        <v>176</v>
      </c>
      <c r="AC476" s="134" t="s">
        <v>2045</v>
      </c>
      <c r="AD476" s="134"/>
      <c r="AE476" s="133"/>
      <c r="AF476" s="133"/>
      <c r="AG476" s="133"/>
      <c r="AH476" s="133">
        <v>6</v>
      </c>
      <c r="AI476" s="133">
        <f>15+10</f>
        <v>25</v>
      </c>
      <c r="AJ476" s="133">
        <v>16</v>
      </c>
      <c r="AK476" s="133">
        <f>7+8</f>
        <v>15</v>
      </c>
      <c r="AL476" s="133">
        <v>0</v>
      </c>
      <c r="AM476" s="133">
        <v>0</v>
      </c>
      <c r="AN476" s="133">
        <f t="shared" si="7"/>
        <v>31</v>
      </c>
      <c r="AO476" s="133" t="s">
        <v>188</v>
      </c>
      <c r="AP476" s="133" t="s">
        <v>4891</v>
      </c>
      <c r="AQ476" s="133">
        <v>0</v>
      </c>
      <c r="AR476" s="133">
        <v>0</v>
      </c>
    </row>
    <row r="477" spans="1:44" x14ac:dyDescent="0.2">
      <c r="A477" s="133" t="s">
        <v>185</v>
      </c>
      <c r="B477" s="133" t="s">
        <v>4884</v>
      </c>
      <c r="C477" s="133">
        <v>6</v>
      </c>
      <c r="D477" s="133">
        <v>3</v>
      </c>
      <c r="E477" s="133" t="s">
        <v>2601</v>
      </c>
      <c r="F477" s="138">
        <v>43342</v>
      </c>
      <c r="G477" s="138" t="s">
        <v>4031</v>
      </c>
      <c r="H477" s="138" t="s">
        <v>4724</v>
      </c>
      <c r="I477" s="148">
        <v>6.6666666666666666E-2</v>
      </c>
      <c r="J477" s="174">
        <v>1.1111111111111111E-3</v>
      </c>
      <c r="K477" s="139">
        <v>96</v>
      </c>
      <c r="L477" s="133" t="s">
        <v>158</v>
      </c>
      <c r="M477" s="133" t="s">
        <v>173</v>
      </c>
      <c r="N477" s="133" t="s">
        <v>111</v>
      </c>
      <c r="O477" s="133" t="s">
        <v>23</v>
      </c>
      <c r="P477" s="133">
        <v>0</v>
      </c>
      <c r="Q477" s="133"/>
      <c r="R477" s="133">
        <v>1</v>
      </c>
      <c r="S477" s="133" t="s">
        <v>176</v>
      </c>
      <c r="T477" s="133" t="s">
        <v>176</v>
      </c>
      <c r="U477" s="133" t="s">
        <v>501</v>
      </c>
      <c r="V477" s="133" t="s">
        <v>3963</v>
      </c>
      <c r="W477" s="135" t="s">
        <v>23</v>
      </c>
      <c r="X477" s="135" t="s">
        <v>3997</v>
      </c>
      <c r="Y477" s="135" t="s">
        <v>4002</v>
      </c>
      <c r="Z477" s="133"/>
      <c r="AA477" s="133"/>
      <c r="AB477" s="133" t="s">
        <v>176</v>
      </c>
      <c r="AC477" s="134" t="s">
        <v>2045</v>
      </c>
      <c r="AD477" s="134"/>
      <c r="AE477" s="133"/>
      <c r="AF477" s="133"/>
      <c r="AG477" s="133"/>
      <c r="AH477" s="133">
        <v>0</v>
      </c>
      <c r="AI477" s="133">
        <v>0</v>
      </c>
      <c r="AJ477" s="133">
        <v>0</v>
      </c>
      <c r="AK477" s="133">
        <v>0</v>
      </c>
      <c r="AL477" s="133">
        <v>0</v>
      </c>
      <c r="AM477" s="133">
        <v>0</v>
      </c>
      <c r="AN477" s="133">
        <f t="shared" si="7"/>
        <v>0</v>
      </c>
      <c r="AO477" s="133" t="s">
        <v>188</v>
      </c>
      <c r="AP477" s="133" t="s">
        <v>2043</v>
      </c>
      <c r="AQ477" s="133">
        <v>0</v>
      </c>
      <c r="AR477" s="133">
        <v>0</v>
      </c>
    </row>
    <row r="478" spans="1:44" x14ac:dyDescent="0.2">
      <c r="A478" s="135" t="s">
        <v>194</v>
      </c>
      <c r="B478" s="135" t="s">
        <v>4886</v>
      </c>
      <c r="C478" s="135">
        <v>9</v>
      </c>
      <c r="D478" s="135">
        <v>1</v>
      </c>
      <c r="E478" s="135" t="s">
        <v>2601</v>
      </c>
      <c r="F478" s="136">
        <v>43342</v>
      </c>
      <c r="G478" s="138" t="s">
        <v>4031</v>
      </c>
      <c r="H478" s="138" t="s">
        <v>4724</v>
      </c>
      <c r="I478" s="172">
        <v>3.5416666666666666E-2</v>
      </c>
      <c r="J478" s="175">
        <v>5.9027777777777778E-4</v>
      </c>
      <c r="K478" s="143">
        <v>51</v>
      </c>
      <c r="L478" s="135" t="s">
        <v>158</v>
      </c>
      <c r="M478" s="135" t="s">
        <v>173</v>
      </c>
      <c r="N478" s="135" t="s">
        <v>156</v>
      </c>
      <c r="O478" s="135" t="s">
        <v>23</v>
      </c>
      <c r="P478" s="135">
        <v>1</v>
      </c>
      <c r="Q478" s="135"/>
      <c r="R478" s="135">
        <v>1</v>
      </c>
      <c r="S478" s="133" t="s">
        <v>112</v>
      </c>
      <c r="T478" s="135" t="s">
        <v>112</v>
      </c>
      <c r="U478" s="135" t="s">
        <v>1958</v>
      </c>
      <c r="V478" s="135" t="s">
        <v>333</v>
      </c>
      <c r="W478" s="135" t="s">
        <v>23</v>
      </c>
      <c r="X478" s="135" t="s">
        <v>3999</v>
      </c>
      <c r="Y478" s="135" t="s">
        <v>4006</v>
      </c>
      <c r="Z478" s="133"/>
      <c r="AA478" s="133"/>
      <c r="AB478" s="135" t="s">
        <v>176</v>
      </c>
      <c r="AC478" s="137" t="s">
        <v>2045</v>
      </c>
      <c r="AD478" s="137"/>
      <c r="AE478" s="133"/>
      <c r="AF478" s="133"/>
      <c r="AG478" s="133"/>
      <c r="AH478" s="135" t="s">
        <v>24</v>
      </c>
      <c r="AI478" s="135" t="s">
        <v>24</v>
      </c>
      <c r="AJ478" s="135" t="s">
        <v>24</v>
      </c>
      <c r="AK478" s="135" t="s">
        <v>24</v>
      </c>
      <c r="AL478" s="135">
        <v>8</v>
      </c>
      <c r="AM478" s="135">
        <v>0</v>
      </c>
      <c r="AN478" s="135">
        <f t="shared" si="7"/>
        <v>8</v>
      </c>
      <c r="AO478" s="135" t="s">
        <v>24</v>
      </c>
      <c r="AP478" s="135" t="s">
        <v>196</v>
      </c>
      <c r="AQ478" s="135"/>
      <c r="AR478" s="135"/>
    </row>
    <row r="479" spans="1:44" x14ac:dyDescent="0.2">
      <c r="A479" s="135" t="s">
        <v>199</v>
      </c>
      <c r="B479" s="135" t="s">
        <v>204</v>
      </c>
      <c r="C479" s="135">
        <v>1</v>
      </c>
      <c r="D479" s="135">
        <v>1</v>
      </c>
      <c r="E479" s="135" t="s">
        <v>201</v>
      </c>
      <c r="F479" s="136">
        <v>43343</v>
      </c>
      <c r="G479" s="138" t="s">
        <v>4031</v>
      </c>
      <c r="H479" s="138" t="s">
        <v>4724</v>
      </c>
      <c r="I479" s="172">
        <v>1.8055555555555557E-2</v>
      </c>
      <c r="J479" s="175">
        <v>3.0092592592592595E-4</v>
      </c>
      <c r="K479" s="143">
        <v>26</v>
      </c>
      <c r="L479" s="135"/>
      <c r="M479" s="135" t="s">
        <v>202</v>
      </c>
      <c r="N479" s="135" t="s">
        <v>102</v>
      </c>
      <c r="O479" s="135" t="s">
        <v>115</v>
      </c>
      <c r="P479" s="135">
        <v>0</v>
      </c>
      <c r="Q479" s="135"/>
      <c r="R479" s="135">
        <v>0</v>
      </c>
      <c r="S479" s="135"/>
      <c r="T479" s="135" t="s">
        <v>115</v>
      </c>
      <c r="U479" s="135" t="s">
        <v>115</v>
      </c>
      <c r="V479" s="135" t="s">
        <v>115</v>
      </c>
      <c r="W479" s="135" t="s">
        <v>115</v>
      </c>
      <c r="X479" s="135" t="s">
        <v>115</v>
      </c>
      <c r="Y479" s="135" t="s">
        <v>115</v>
      </c>
      <c r="Z479" s="133"/>
      <c r="AA479" s="133"/>
      <c r="AB479" s="135" t="s">
        <v>115</v>
      </c>
      <c r="AC479" s="137" t="s">
        <v>115</v>
      </c>
      <c r="AD479" s="137"/>
      <c r="AE479" s="133"/>
      <c r="AF479" s="133"/>
      <c r="AG479" s="133"/>
      <c r="AH479" s="135">
        <v>0</v>
      </c>
      <c r="AI479" s="135">
        <v>0</v>
      </c>
      <c r="AJ479" s="135">
        <v>0</v>
      </c>
      <c r="AK479" s="135">
        <v>0</v>
      </c>
      <c r="AL479" s="135">
        <v>26</v>
      </c>
      <c r="AM479" s="135">
        <v>0</v>
      </c>
      <c r="AN479" s="135">
        <f t="shared" si="7"/>
        <v>26</v>
      </c>
      <c r="AO479" s="135" t="s">
        <v>103</v>
      </c>
      <c r="AP479" s="135" t="s">
        <v>203</v>
      </c>
      <c r="AQ479" s="135">
        <v>0</v>
      </c>
      <c r="AR479" s="135">
        <v>0</v>
      </c>
    </row>
    <row r="480" spans="1:44" x14ac:dyDescent="0.2">
      <c r="A480" s="133" t="s">
        <v>139</v>
      </c>
      <c r="B480" s="133" t="s">
        <v>141</v>
      </c>
      <c r="C480" s="133">
        <v>1</v>
      </c>
      <c r="D480" s="133">
        <v>1</v>
      </c>
      <c r="E480" s="133" t="s">
        <v>3171</v>
      </c>
      <c r="F480" s="138">
        <v>43341</v>
      </c>
      <c r="G480" s="138" t="s">
        <v>4031</v>
      </c>
      <c r="H480" s="138" t="s">
        <v>4724</v>
      </c>
      <c r="I480" s="148">
        <v>6.9444444444444441E-3</v>
      </c>
      <c r="J480" s="174">
        <v>1.1574074074074073E-4</v>
      </c>
      <c r="K480" s="139">
        <v>10</v>
      </c>
      <c r="L480" s="133" t="s">
        <v>101</v>
      </c>
      <c r="M480" s="133" t="s">
        <v>1261</v>
      </c>
      <c r="N480" s="133" t="s">
        <v>102</v>
      </c>
      <c r="O480" s="133" t="s">
        <v>23</v>
      </c>
      <c r="P480" s="133" t="s">
        <v>24</v>
      </c>
      <c r="Q480" s="133"/>
      <c r="R480" s="133">
        <v>0</v>
      </c>
      <c r="S480" s="133"/>
      <c r="T480" s="133" t="s">
        <v>115</v>
      </c>
      <c r="U480" s="133" t="s">
        <v>115</v>
      </c>
      <c r="V480" s="133" t="s">
        <v>115</v>
      </c>
      <c r="W480" s="135" t="s">
        <v>115</v>
      </c>
      <c r="X480" s="135" t="s">
        <v>115</v>
      </c>
      <c r="Y480" s="135" t="s">
        <v>115</v>
      </c>
      <c r="Z480" s="133"/>
      <c r="AA480" s="133"/>
      <c r="AB480" s="133" t="s">
        <v>115</v>
      </c>
      <c r="AC480" s="134" t="s">
        <v>115</v>
      </c>
      <c r="AD480" s="134"/>
      <c r="AE480" s="133"/>
      <c r="AF480" s="133"/>
      <c r="AG480" s="133"/>
      <c r="AH480" s="133">
        <v>10</v>
      </c>
      <c r="AI480" s="133">
        <v>0</v>
      </c>
      <c r="AJ480" s="133">
        <v>10</v>
      </c>
      <c r="AK480" s="133">
        <v>0</v>
      </c>
      <c r="AL480" s="133">
        <v>0</v>
      </c>
      <c r="AM480" s="133">
        <v>0</v>
      </c>
      <c r="AN480" s="133">
        <f t="shared" si="7"/>
        <v>10</v>
      </c>
      <c r="AO480" s="133" t="s">
        <v>303</v>
      </c>
      <c r="AP480" s="133"/>
      <c r="AQ480" s="133">
        <v>0</v>
      </c>
      <c r="AR480" s="133">
        <v>0</v>
      </c>
    </row>
    <row r="481" spans="1:44" x14ac:dyDescent="0.2">
      <c r="A481" s="133" t="s">
        <v>99</v>
      </c>
      <c r="B481" s="133" t="s">
        <v>835</v>
      </c>
      <c r="C481" s="133">
        <v>1</v>
      </c>
      <c r="D481" s="133">
        <v>1</v>
      </c>
      <c r="E481" s="133" t="s">
        <v>834</v>
      </c>
      <c r="F481" s="138">
        <v>43340</v>
      </c>
      <c r="G481" s="138" t="s">
        <v>4031</v>
      </c>
      <c r="H481" s="138" t="s">
        <v>4724</v>
      </c>
      <c r="I481" s="148">
        <v>2.9166666666666664E-2</v>
      </c>
      <c r="J481" s="174">
        <v>4.8611111111111104E-4</v>
      </c>
      <c r="K481" s="139">
        <v>42</v>
      </c>
      <c r="L481" s="133" t="s">
        <v>101</v>
      </c>
      <c r="M481" s="133" t="s">
        <v>24</v>
      </c>
      <c r="N481" s="133" t="s">
        <v>102</v>
      </c>
      <c r="O481" s="133" t="s">
        <v>23</v>
      </c>
      <c r="P481" s="133" t="s">
        <v>24</v>
      </c>
      <c r="Q481" s="133"/>
      <c r="R481" s="133" t="s">
        <v>24</v>
      </c>
      <c r="S481" s="133" t="s">
        <v>176</v>
      </c>
      <c r="T481" s="133" t="s">
        <v>176</v>
      </c>
      <c r="U481" s="133" t="s">
        <v>24</v>
      </c>
      <c r="V481" s="133" t="s">
        <v>115</v>
      </c>
      <c r="W481" s="133"/>
      <c r="X481" s="133"/>
      <c r="Y481" s="133"/>
      <c r="Z481" s="133"/>
      <c r="AA481" s="133"/>
      <c r="AB481" s="133" t="s">
        <v>115</v>
      </c>
      <c r="AC481" s="134" t="s">
        <v>115</v>
      </c>
      <c r="AD481" s="134"/>
      <c r="AE481" s="133"/>
      <c r="AF481" s="133"/>
      <c r="AG481" s="133"/>
      <c r="AH481" s="133">
        <v>0</v>
      </c>
      <c r="AI481" s="133">
        <f>18+26</f>
        <v>44</v>
      </c>
      <c r="AJ481" s="133">
        <v>26</v>
      </c>
      <c r="AK481" s="133">
        <v>18</v>
      </c>
      <c r="AL481" s="133">
        <v>0</v>
      </c>
      <c r="AM481" s="133">
        <v>0</v>
      </c>
      <c r="AN481" s="133">
        <f t="shared" si="7"/>
        <v>44</v>
      </c>
      <c r="AO481" s="133" t="s">
        <v>103</v>
      </c>
      <c r="AP481" s="133"/>
      <c r="AQ481" s="133">
        <v>0</v>
      </c>
      <c r="AR481" s="133">
        <v>0</v>
      </c>
    </row>
    <row r="482" spans="1:44" x14ac:dyDescent="0.2">
      <c r="A482" s="133" t="s">
        <v>104</v>
      </c>
      <c r="B482" s="133" t="s">
        <v>840</v>
      </c>
      <c r="C482" s="133">
        <v>2</v>
      </c>
      <c r="D482" s="133">
        <v>1</v>
      </c>
      <c r="E482" s="133" t="s">
        <v>834</v>
      </c>
      <c r="F482" s="138">
        <v>43340</v>
      </c>
      <c r="G482" s="138" t="s">
        <v>4031</v>
      </c>
      <c r="H482" s="138" t="s">
        <v>4724</v>
      </c>
      <c r="I482" s="148">
        <v>7.6388888888888886E-3</v>
      </c>
      <c r="J482" s="174">
        <v>1.273148148148148E-4</v>
      </c>
      <c r="K482" s="139">
        <v>11</v>
      </c>
      <c r="L482" s="133" t="s">
        <v>101</v>
      </c>
      <c r="M482" s="133" t="s">
        <v>24</v>
      </c>
      <c r="N482" s="133" t="s">
        <v>102</v>
      </c>
      <c r="O482" s="133" t="s">
        <v>23</v>
      </c>
      <c r="P482" s="133" t="s">
        <v>24</v>
      </c>
      <c r="Q482" s="133"/>
      <c r="R482" s="133">
        <v>0</v>
      </c>
      <c r="S482" s="133" t="s">
        <v>176</v>
      </c>
      <c r="T482" s="133" t="s">
        <v>176</v>
      </c>
      <c r="U482" s="133" t="s">
        <v>24</v>
      </c>
      <c r="V482" s="133" t="s">
        <v>115</v>
      </c>
      <c r="W482" s="135" t="s">
        <v>115</v>
      </c>
      <c r="X482" s="135" t="s">
        <v>115</v>
      </c>
      <c r="Y482" s="135" t="s">
        <v>115</v>
      </c>
      <c r="Z482" s="133"/>
      <c r="AA482" s="133"/>
      <c r="AB482" s="133" t="s">
        <v>115</v>
      </c>
      <c r="AC482" s="134" t="s">
        <v>115</v>
      </c>
      <c r="AD482" s="134"/>
      <c r="AE482" s="133"/>
      <c r="AF482" s="133"/>
      <c r="AG482" s="133"/>
      <c r="AH482" s="133">
        <v>0</v>
      </c>
      <c r="AI482" s="133">
        <v>10</v>
      </c>
      <c r="AJ482" s="133">
        <v>0</v>
      </c>
      <c r="AK482" s="133">
        <v>10</v>
      </c>
      <c r="AL482" s="133">
        <v>0</v>
      </c>
      <c r="AM482" s="133">
        <v>0</v>
      </c>
      <c r="AN482" s="133">
        <f t="shared" ref="AN482:AN509" si="8">SUM(AJ482:AM482)</f>
        <v>10</v>
      </c>
      <c r="AO482" s="133" t="s">
        <v>16</v>
      </c>
      <c r="AP482" s="133"/>
      <c r="AQ482" s="133">
        <v>0</v>
      </c>
      <c r="AR482" s="133">
        <v>1</v>
      </c>
    </row>
    <row r="483" spans="1:44" x14ac:dyDescent="0.2">
      <c r="A483" s="133" t="s">
        <v>105</v>
      </c>
      <c r="B483" s="133" t="s">
        <v>841</v>
      </c>
      <c r="C483" s="133">
        <v>3</v>
      </c>
      <c r="D483" s="133">
        <v>1</v>
      </c>
      <c r="E483" s="133" t="s">
        <v>834</v>
      </c>
      <c r="F483" s="138">
        <v>43340</v>
      </c>
      <c r="G483" s="138" t="s">
        <v>4031</v>
      </c>
      <c r="H483" s="138" t="s">
        <v>4724</v>
      </c>
      <c r="I483" s="148">
        <v>1.9444444444444445E-2</v>
      </c>
      <c r="J483" s="174">
        <v>3.2407407407407406E-4</v>
      </c>
      <c r="K483" s="139">
        <v>28</v>
      </c>
      <c r="L483" s="133" t="s">
        <v>101</v>
      </c>
      <c r="M483" s="133" t="s">
        <v>24</v>
      </c>
      <c r="N483" s="133" t="s">
        <v>107</v>
      </c>
      <c r="O483" s="133" t="s">
        <v>23</v>
      </c>
      <c r="P483" s="133">
        <v>1</v>
      </c>
      <c r="Q483" s="133"/>
      <c r="R483" s="133">
        <v>0</v>
      </c>
      <c r="S483" s="133" t="s">
        <v>176</v>
      </c>
      <c r="T483" s="133" t="s">
        <v>176</v>
      </c>
      <c r="U483" s="133" t="s">
        <v>24</v>
      </c>
      <c r="V483" s="133" t="s">
        <v>115</v>
      </c>
      <c r="W483" s="135" t="s">
        <v>115</v>
      </c>
      <c r="X483" s="135" t="s">
        <v>115</v>
      </c>
      <c r="Y483" s="135" t="s">
        <v>115</v>
      </c>
      <c r="Z483" s="133"/>
      <c r="AA483" s="133"/>
      <c r="AB483" s="133" t="s">
        <v>115</v>
      </c>
      <c r="AC483" s="134" t="s">
        <v>115</v>
      </c>
      <c r="AD483" s="134"/>
      <c r="AE483" s="133"/>
      <c r="AF483" s="133"/>
      <c r="AG483" s="133"/>
      <c r="AH483" s="133">
        <v>21</v>
      </c>
      <c r="AI483" s="133">
        <v>0</v>
      </c>
      <c r="AJ483" s="133">
        <v>0</v>
      </c>
      <c r="AK483" s="133">
        <v>21</v>
      </c>
      <c r="AL483" s="133">
        <v>0</v>
      </c>
      <c r="AM483" s="133">
        <v>0</v>
      </c>
      <c r="AN483" s="133">
        <f t="shared" si="8"/>
        <v>21</v>
      </c>
      <c r="AO483" s="133" t="s">
        <v>107</v>
      </c>
      <c r="AP483" s="133" t="s">
        <v>108</v>
      </c>
      <c r="AQ483" s="133">
        <v>0</v>
      </c>
      <c r="AR483" s="133">
        <v>0</v>
      </c>
    </row>
    <row r="484" spans="1:44" x14ac:dyDescent="0.2">
      <c r="A484" s="133" t="s">
        <v>109</v>
      </c>
      <c r="B484" s="133" t="s">
        <v>842</v>
      </c>
      <c r="C484" s="133">
        <v>4</v>
      </c>
      <c r="D484" s="133">
        <v>1</v>
      </c>
      <c r="E484" s="133" t="s">
        <v>834</v>
      </c>
      <c r="F484" s="138">
        <v>43340</v>
      </c>
      <c r="G484" s="138" t="s">
        <v>4031</v>
      </c>
      <c r="H484" s="138" t="s">
        <v>4724</v>
      </c>
      <c r="I484" s="148">
        <v>2.2916666666666669E-2</v>
      </c>
      <c r="J484" s="174">
        <v>3.8194444444444446E-4</v>
      </c>
      <c r="K484" s="139">
        <v>33</v>
      </c>
      <c r="L484" s="133" t="s">
        <v>101</v>
      </c>
      <c r="M484" s="133" t="s">
        <v>24</v>
      </c>
      <c r="N484" s="133" t="s">
        <v>302</v>
      </c>
      <c r="O484" s="133" t="s">
        <v>23</v>
      </c>
      <c r="P484" s="133" t="s">
        <v>24</v>
      </c>
      <c r="Q484" s="133"/>
      <c r="R484" s="133">
        <v>1</v>
      </c>
      <c r="S484" s="133" t="s">
        <v>176</v>
      </c>
      <c r="T484" s="133" t="s">
        <v>176</v>
      </c>
      <c r="U484" s="133" t="s">
        <v>24</v>
      </c>
      <c r="V484" s="133" t="s">
        <v>709</v>
      </c>
      <c r="W484" s="140" t="s">
        <v>23</v>
      </c>
      <c r="X484" s="140" t="s">
        <v>4004</v>
      </c>
      <c r="Y484" s="140" t="s">
        <v>4005</v>
      </c>
      <c r="Z484" s="133"/>
      <c r="AA484" s="133"/>
      <c r="AB484" s="133" t="s">
        <v>176</v>
      </c>
      <c r="AC484" s="134" t="s">
        <v>246</v>
      </c>
      <c r="AD484" s="134"/>
      <c r="AE484" s="133"/>
      <c r="AF484" s="133"/>
      <c r="AG484" s="133"/>
      <c r="AH484" s="133">
        <f>20+13</f>
        <v>33</v>
      </c>
      <c r="AI484" s="133">
        <v>0</v>
      </c>
      <c r="AJ484" s="133">
        <v>33</v>
      </c>
      <c r="AK484" s="133">
        <v>0</v>
      </c>
      <c r="AL484" s="133">
        <v>0</v>
      </c>
      <c r="AM484" s="133">
        <v>0</v>
      </c>
      <c r="AN484" s="133">
        <f t="shared" si="8"/>
        <v>33</v>
      </c>
      <c r="AO484" s="133" t="s">
        <v>16</v>
      </c>
      <c r="AP484" s="133" t="s">
        <v>2139</v>
      </c>
      <c r="AQ484" s="133">
        <v>0</v>
      </c>
      <c r="AR484" s="133">
        <v>0</v>
      </c>
    </row>
    <row r="485" spans="1:44" x14ac:dyDescent="0.2">
      <c r="A485" s="133" t="s">
        <v>109</v>
      </c>
      <c r="B485" s="133" t="s">
        <v>842</v>
      </c>
      <c r="C485" s="133">
        <v>4</v>
      </c>
      <c r="D485" s="133">
        <v>2</v>
      </c>
      <c r="E485" s="133" t="s">
        <v>834</v>
      </c>
      <c r="F485" s="138">
        <v>43340</v>
      </c>
      <c r="G485" s="138" t="s">
        <v>4031</v>
      </c>
      <c r="H485" s="138" t="s">
        <v>4724</v>
      </c>
      <c r="I485" s="148">
        <v>2.2916666666666669E-2</v>
      </c>
      <c r="J485" s="174">
        <v>3.8194444444444446E-4</v>
      </c>
      <c r="K485" s="139">
        <v>33</v>
      </c>
      <c r="L485" s="133" t="s">
        <v>101</v>
      </c>
      <c r="M485" s="133" t="s">
        <v>24</v>
      </c>
      <c r="N485" s="133" t="s">
        <v>102</v>
      </c>
      <c r="O485" s="133" t="s">
        <v>23</v>
      </c>
      <c r="P485" s="133" t="s">
        <v>24</v>
      </c>
      <c r="Q485" s="133"/>
      <c r="R485" s="133">
        <v>1</v>
      </c>
      <c r="S485" s="133" t="s">
        <v>176</v>
      </c>
      <c r="T485" s="133" t="s">
        <v>176</v>
      </c>
      <c r="U485" s="133" t="s">
        <v>24</v>
      </c>
      <c r="V485" s="133" t="s">
        <v>1940</v>
      </c>
      <c r="W485" s="140" t="s">
        <v>23</v>
      </c>
      <c r="X485" s="140" t="s">
        <v>3999</v>
      </c>
      <c r="Y485" s="140" t="s">
        <v>4001</v>
      </c>
      <c r="Z485" s="133"/>
      <c r="AA485" s="133"/>
      <c r="AB485" s="133" t="s">
        <v>176</v>
      </c>
      <c r="AC485" s="134" t="s">
        <v>246</v>
      </c>
      <c r="AD485" s="134"/>
      <c r="AE485" s="133"/>
      <c r="AF485" s="133"/>
      <c r="AG485" s="133"/>
      <c r="AH485" s="133">
        <v>0</v>
      </c>
      <c r="AI485" s="133">
        <v>0</v>
      </c>
      <c r="AJ485" s="133">
        <v>0</v>
      </c>
      <c r="AK485" s="133">
        <v>0</v>
      </c>
      <c r="AL485" s="133">
        <v>0</v>
      </c>
      <c r="AM485" s="133">
        <v>0</v>
      </c>
      <c r="AN485" s="133">
        <f t="shared" si="8"/>
        <v>0</v>
      </c>
      <c r="AO485" s="133" t="s">
        <v>16</v>
      </c>
      <c r="AP485" s="133"/>
      <c r="AQ485" s="133">
        <v>0</v>
      </c>
      <c r="AR485" s="133">
        <v>0</v>
      </c>
    </row>
    <row r="486" spans="1:44" x14ac:dyDescent="0.2">
      <c r="A486" s="135" t="s">
        <v>121</v>
      </c>
      <c r="B486" s="135" t="s">
        <v>845</v>
      </c>
      <c r="C486" s="135">
        <v>7</v>
      </c>
      <c r="D486" s="135">
        <v>1</v>
      </c>
      <c r="E486" s="135" t="s">
        <v>834</v>
      </c>
      <c r="F486" s="136">
        <v>43340</v>
      </c>
      <c r="G486" s="138" t="s">
        <v>4031</v>
      </c>
      <c r="H486" s="138" t="s">
        <v>4724</v>
      </c>
      <c r="I486" s="172">
        <v>1.4583333333333332E-2</v>
      </c>
      <c r="J486" s="175">
        <v>2.4305555555555552E-4</v>
      </c>
      <c r="K486" s="143">
        <v>21</v>
      </c>
      <c r="L486" s="135" t="s">
        <v>101</v>
      </c>
      <c r="M486" s="135" t="s">
        <v>24</v>
      </c>
      <c r="N486" s="135" t="s">
        <v>102</v>
      </c>
      <c r="O486" s="135" t="s">
        <v>115</v>
      </c>
      <c r="P486" s="135" t="s">
        <v>24</v>
      </c>
      <c r="Q486" s="135"/>
      <c r="R486" s="135">
        <v>0</v>
      </c>
      <c r="S486" s="133" t="s">
        <v>176</v>
      </c>
      <c r="T486" s="135" t="s">
        <v>176</v>
      </c>
      <c r="U486" s="135" t="s">
        <v>24</v>
      </c>
      <c r="V486" s="135" t="s">
        <v>115</v>
      </c>
      <c r="W486" s="135" t="s">
        <v>115</v>
      </c>
      <c r="X486" s="135" t="s">
        <v>115</v>
      </c>
      <c r="Y486" s="135" t="s">
        <v>115</v>
      </c>
      <c r="Z486" s="135"/>
      <c r="AA486" s="135"/>
      <c r="AB486" s="135" t="s">
        <v>115</v>
      </c>
      <c r="AC486" s="137" t="s">
        <v>115</v>
      </c>
      <c r="AD486" s="137"/>
      <c r="AE486" s="135"/>
      <c r="AF486" s="135"/>
      <c r="AG486" s="135"/>
      <c r="AH486" s="135">
        <v>0</v>
      </c>
      <c r="AI486" s="135">
        <v>0</v>
      </c>
      <c r="AJ486" s="135">
        <v>0</v>
      </c>
      <c r="AK486" s="135">
        <v>0</v>
      </c>
      <c r="AL486" s="135">
        <v>15</v>
      </c>
      <c r="AM486" s="135">
        <v>0</v>
      </c>
      <c r="AN486" s="135">
        <f t="shared" si="8"/>
        <v>15</v>
      </c>
      <c r="AO486" s="135" t="s">
        <v>123</v>
      </c>
      <c r="AP486" s="135"/>
      <c r="AQ486" s="135">
        <v>0</v>
      </c>
      <c r="AR486" s="135" t="s">
        <v>24</v>
      </c>
    </row>
    <row r="487" spans="1:44" x14ac:dyDescent="0.2">
      <c r="A487" s="133" t="s">
        <v>129</v>
      </c>
      <c r="B487" s="133" t="s">
        <v>836</v>
      </c>
      <c r="C487" s="133">
        <v>10</v>
      </c>
      <c r="D487" s="133">
        <v>1</v>
      </c>
      <c r="E487" s="133" t="s">
        <v>834</v>
      </c>
      <c r="F487" s="138">
        <v>43340</v>
      </c>
      <c r="G487" s="138" t="s">
        <v>4031</v>
      </c>
      <c r="H487" s="138" t="s">
        <v>4724</v>
      </c>
      <c r="I487" s="148">
        <v>2.8472222222222222E-2</v>
      </c>
      <c r="J487" s="174">
        <v>4.7453703703703704E-4</v>
      </c>
      <c r="K487" s="139">
        <v>41</v>
      </c>
      <c r="L487" s="133" t="s">
        <v>101</v>
      </c>
      <c r="M487" s="133" t="s">
        <v>24</v>
      </c>
      <c r="N487" s="133" t="s">
        <v>102</v>
      </c>
      <c r="O487" s="133" t="s">
        <v>23</v>
      </c>
      <c r="P487" s="133">
        <v>0</v>
      </c>
      <c r="Q487" s="133"/>
      <c r="R487" s="133">
        <v>0</v>
      </c>
      <c r="S487" s="133"/>
      <c r="T487" s="133" t="s">
        <v>115</v>
      </c>
      <c r="U487" s="133" t="s">
        <v>115</v>
      </c>
      <c r="V487" s="133" t="s">
        <v>115</v>
      </c>
      <c r="W487" s="135" t="s">
        <v>115</v>
      </c>
      <c r="X487" s="135" t="s">
        <v>115</v>
      </c>
      <c r="Y487" s="135" t="s">
        <v>115</v>
      </c>
      <c r="Z487" s="133"/>
      <c r="AA487" s="133"/>
      <c r="AB487" s="133" t="s">
        <v>115</v>
      </c>
      <c r="AC487" s="134" t="s">
        <v>115</v>
      </c>
      <c r="AD487" s="134"/>
      <c r="AE487" s="133"/>
      <c r="AF487" s="133"/>
      <c r="AG487" s="133"/>
      <c r="AH487" s="133">
        <v>0</v>
      </c>
      <c r="AI487" s="133">
        <v>0</v>
      </c>
      <c r="AJ487" s="133">
        <v>0</v>
      </c>
      <c r="AK487" s="133">
        <v>0</v>
      </c>
      <c r="AL487" s="133">
        <v>0</v>
      </c>
      <c r="AM487" s="133">
        <v>0</v>
      </c>
      <c r="AN487" s="133">
        <f t="shared" si="8"/>
        <v>0</v>
      </c>
      <c r="AO487" s="133" t="s">
        <v>103</v>
      </c>
      <c r="AP487" s="133" t="s">
        <v>3993</v>
      </c>
      <c r="AQ487" s="133">
        <v>0</v>
      </c>
      <c r="AR487" s="133">
        <v>0</v>
      </c>
    </row>
    <row r="488" spans="1:44" x14ac:dyDescent="0.2">
      <c r="A488" s="133" t="s">
        <v>133</v>
      </c>
      <c r="B488" s="133" t="s">
        <v>839</v>
      </c>
      <c r="C488" s="133">
        <v>13</v>
      </c>
      <c r="D488" s="133">
        <v>1</v>
      </c>
      <c r="E488" s="133" t="s">
        <v>834</v>
      </c>
      <c r="F488" s="138">
        <v>43340</v>
      </c>
      <c r="G488" s="138" t="s">
        <v>4031</v>
      </c>
      <c r="H488" s="138" t="s">
        <v>4724</v>
      </c>
      <c r="I488" s="148">
        <v>8.3333333333333332E-3</v>
      </c>
      <c r="J488" s="174">
        <v>1.3888888888888889E-4</v>
      </c>
      <c r="K488" s="139">
        <v>12</v>
      </c>
      <c r="L488" s="133" t="s">
        <v>101</v>
      </c>
      <c r="M488" s="133" t="s">
        <v>24</v>
      </c>
      <c r="N488" s="133" t="s">
        <v>102</v>
      </c>
      <c r="O488" s="133" t="s">
        <v>23</v>
      </c>
      <c r="P488" s="133">
        <v>1</v>
      </c>
      <c r="Q488" s="133"/>
      <c r="R488" s="133">
        <v>0</v>
      </c>
      <c r="S488" s="133" t="s">
        <v>176</v>
      </c>
      <c r="T488" s="133" t="s">
        <v>136</v>
      </c>
      <c r="U488" s="133" t="s">
        <v>333</v>
      </c>
      <c r="V488" s="133" t="s">
        <v>115</v>
      </c>
      <c r="W488" s="135" t="s">
        <v>115</v>
      </c>
      <c r="X488" s="135" t="s">
        <v>115</v>
      </c>
      <c r="Y488" s="135" t="s">
        <v>115</v>
      </c>
      <c r="Z488" s="133"/>
      <c r="AA488" s="133"/>
      <c r="AB488" s="133" t="s">
        <v>115</v>
      </c>
      <c r="AC488" s="134" t="s">
        <v>115</v>
      </c>
      <c r="AD488" s="134"/>
      <c r="AE488" s="133"/>
      <c r="AF488" s="133"/>
      <c r="AG488" s="133"/>
      <c r="AH488" s="133">
        <v>0</v>
      </c>
      <c r="AI488" s="133">
        <v>5</v>
      </c>
      <c r="AJ488" s="133">
        <v>0</v>
      </c>
      <c r="AK488" s="133">
        <v>5</v>
      </c>
      <c r="AL488" s="133">
        <v>0</v>
      </c>
      <c r="AM488" s="133">
        <v>0</v>
      </c>
      <c r="AN488" s="133">
        <f t="shared" si="8"/>
        <v>5</v>
      </c>
      <c r="AO488" s="133" t="s">
        <v>16</v>
      </c>
      <c r="AP488" s="133" t="s">
        <v>135</v>
      </c>
      <c r="AQ488" s="133">
        <v>0</v>
      </c>
      <c r="AR488" s="133">
        <v>1</v>
      </c>
    </row>
    <row r="489" spans="1:44" x14ac:dyDescent="0.2">
      <c r="A489" s="133" t="s">
        <v>137</v>
      </c>
      <c r="B489" s="133" t="s">
        <v>4873</v>
      </c>
      <c r="C489" s="133">
        <v>1</v>
      </c>
      <c r="D489" s="133">
        <v>1</v>
      </c>
      <c r="E489" s="133" t="s">
        <v>2601</v>
      </c>
      <c r="F489" s="138">
        <v>43340</v>
      </c>
      <c r="G489" s="138" t="s">
        <v>4031</v>
      </c>
      <c r="H489" s="138" t="s">
        <v>4724</v>
      </c>
      <c r="I489" s="148">
        <v>9.7222222222222224E-3</v>
      </c>
      <c r="J489" s="174">
        <v>1.6203703703703703E-4</v>
      </c>
      <c r="K489" s="139">
        <v>14</v>
      </c>
      <c r="L489" s="133" t="s">
        <v>101</v>
      </c>
      <c r="M489" s="133" t="s">
        <v>24</v>
      </c>
      <c r="N489" s="133" t="s">
        <v>102</v>
      </c>
      <c r="O489" s="133" t="s">
        <v>23</v>
      </c>
      <c r="P489" s="133" t="s">
        <v>24</v>
      </c>
      <c r="Q489" s="133"/>
      <c r="R489" s="133">
        <v>0</v>
      </c>
      <c r="S489" s="133" t="s">
        <v>176</v>
      </c>
      <c r="T489" s="133" t="s">
        <v>176</v>
      </c>
      <c r="U489" s="133" t="s">
        <v>115</v>
      </c>
      <c r="V489" s="133" t="s">
        <v>115</v>
      </c>
      <c r="W489" s="135" t="s">
        <v>115</v>
      </c>
      <c r="X489" s="135" t="s">
        <v>115</v>
      </c>
      <c r="Y489" s="135" t="s">
        <v>115</v>
      </c>
      <c r="Z489" s="133"/>
      <c r="AA489" s="133"/>
      <c r="AB489" s="133" t="s">
        <v>115</v>
      </c>
      <c r="AC489" s="134" t="s">
        <v>115</v>
      </c>
      <c r="AD489" s="134"/>
      <c r="AE489" s="133"/>
      <c r="AF489" s="133"/>
      <c r="AG489" s="133"/>
      <c r="AH489" s="133">
        <v>0</v>
      </c>
      <c r="AI489" s="133">
        <v>7</v>
      </c>
      <c r="AJ489" s="133">
        <v>0</v>
      </c>
      <c r="AK489" s="133">
        <v>7</v>
      </c>
      <c r="AL489" s="133">
        <v>0</v>
      </c>
      <c r="AM489" s="133">
        <v>0</v>
      </c>
      <c r="AN489" s="133">
        <f t="shared" si="8"/>
        <v>7</v>
      </c>
      <c r="AO489" s="133" t="s">
        <v>16</v>
      </c>
      <c r="AP489" s="133"/>
      <c r="AQ489" s="133">
        <v>0</v>
      </c>
      <c r="AR489" s="133">
        <v>1</v>
      </c>
    </row>
    <row r="490" spans="1:44" x14ac:dyDescent="0.2">
      <c r="A490" s="133" t="s">
        <v>142</v>
      </c>
      <c r="B490" s="133" t="s">
        <v>143</v>
      </c>
      <c r="C490" s="133">
        <v>2</v>
      </c>
      <c r="D490" s="133">
        <v>1</v>
      </c>
      <c r="E490" s="133" t="s">
        <v>3171</v>
      </c>
      <c r="F490" s="138">
        <v>43341</v>
      </c>
      <c r="G490" s="138" t="s">
        <v>4031</v>
      </c>
      <c r="H490" s="138" t="s">
        <v>4724</v>
      </c>
      <c r="I490" s="148">
        <v>2.8472222222222222E-2</v>
      </c>
      <c r="J490" s="174">
        <v>4.7453703703703704E-4</v>
      </c>
      <c r="K490" s="139">
        <v>41</v>
      </c>
      <c r="L490" s="133" t="s">
        <v>101</v>
      </c>
      <c r="M490" s="133" t="s">
        <v>24</v>
      </c>
      <c r="N490" s="133" t="s">
        <v>102</v>
      </c>
      <c r="O490" s="133" t="s">
        <v>23</v>
      </c>
      <c r="P490" s="133" t="s">
        <v>24</v>
      </c>
      <c r="Q490" s="133"/>
      <c r="R490" s="133" t="s">
        <v>24</v>
      </c>
      <c r="S490" s="133" t="s">
        <v>176</v>
      </c>
      <c r="T490" s="133" t="s">
        <v>176</v>
      </c>
      <c r="U490" s="133" t="s">
        <v>24</v>
      </c>
      <c r="V490" s="133" t="s">
        <v>24</v>
      </c>
      <c r="W490" s="133"/>
      <c r="X490" s="133"/>
      <c r="Y490" s="133"/>
      <c r="Z490" s="133"/>
      <c r="AA490" s="133"/>
      <c r="AB490" s="133" t="s">
        <v>115</v>
      </c>
      <c r="AC490" s="134" t="s">
        <v>115</v>
      </c>
      <c r="AD490" s="134"/>
      <c r="AE490" s="133"/>
      <c r="AF490" s="133"/>
      <c r="AG490" s="133"/>
      <c r="AH490" s="133">
        <v>0</v>
      </c>
      <c r="AI490" s="133">
        <v>8</v>
      </c>
      <c r="AJ490" s="133">
        <v>0</v>
      </c>
      <c r="AK490" s="133">
        <v>8</v>
      </c>
      <c r="AL490" s="133">
        <v>0</v>
      </c>
      <c r="AM490" s="133">
        <v>0</v>
      </c>
      <c r="AN490" s="133">
        <f t="shared" si="8"/>
        <v>8</v>
      </c>
      <c r="AO490" s="133" t="s">
        <v>16</v>
      </c>
      <c r="AP490" s="133"/>
      <c r="AQ490" s="133">
        <v>0</v>
      </c>
      <c r="AR490" s="133">
        <v>2</v>
      </c>
    </row>
    <row r="491" spans="1:44" x14ac:dyDescent="0.2">
      <c r="A491" s="133" t="s">
        <v>157</v>
      </c>
      <c r="B491" s="133" t="s">
        <v>848</v>
      </c>
      <c r="C491" s="133">
        <v>1</v>
      </c>
      <c r="D491" s="133">
        <v>1</v>
      </c>
      <c r="E491" s="133" t="s">
        <v>834</v>
      </c>
      <c r="F491" s="138">
        <v>43342</v>
      </c>
      <c r="G491" s="138" t="s">
        <v>4031</v>
      </c>
      <c r="H491" s="138" t="s">
        <v>4724</v>
      </c>
      <c r="I491" s="148">
        <v>1.3194444444444444E-2</v>
      </c>
      <c r="J491" s="174">
        <v>2.199074074074074E-4</v>
      </c>
      <c r="K491" s="139">
        <v>19</v>
      </c>
      <c r="L491" s="133" t="s">
        <v>158</v>
      </c>
      <c r="M491" s="133" t="s">
        <v>24</v>
      </c>
      <c r="N491" s="133" t="s">
        <v>1933</v>
      </c>
      <c r="O491" s="133" t="s">
        <v>115</v>
      </c>
      <c r="P491" s="133">
        <v>1</v>
      </c>
      <c r="Q491" s="133"/>
      <c r="R491" s="133">
        <v>0</v>
      </c>
      <c r="S491" s="133" t="s">
        <v>598</v>
      </c>
      <c r="T491" s="133" t="s">
        <v>2124</v>
      </c>
      <c r="U491" s="133" t="s">
        <v>125</v>
      </c>
      <c r="V491" s="133" t="s">
        <v>126</v>
      </c>
      <c r="W491" s="135" t="s">
        <v>115</v>
      </c>
      <c r="X491" s="135" t="s">
        <v>115</v>
      </c>
      <c r="Y491" s="135" t="s">
        <v>115</v>
      </c>
      <c r="Z491" s="135"/>
      <c r="AA491" s="135"/>
      <c r="AB491" s="133" t="s">
        <v>115</v>
      </c>
      <c r="AC491" s="134" t="s">
        <v>115</v>
      </c>
      <c r="AD491" s="134"/>
      <c r="AE491" s="135"/>
      <c r="AF491" s="135"/>
      <c r="AG491" s="135"/>
      <c r="AH491" s="133">
        <v>0</v>
      </c>
      <c r="AI491" s="133">
        <v>0</v>
      </c>
      <c r="AJ491" s="133">
        <v>0</v>
      </c>
      <c r="AK491" s="133">
        <v>0</v>
      </c>
      <c r="AL491" s="133">
        <v>0</v>
      </c>
      <c r="AM491" s="133">
        <v>0</v>
      </c>
      <c r="AN491" s="133">
        <f t="shared" si="8"/>
        <v>0</v>
      </c>
      <c r="AO491" s="133" t="s">
        <v>107</v>
      </c>
      <c r="AP491" s="133"/>
      <c r="AQ491" s="133"/>
      <c r="AR491" s="133"/>
    </row>
    <row r="492" spans="1:44" x14ac:dyDescent="0.2">
      <c r="A492" s="135" t="s">
        <v>205</v>
      </c>
      <c r="B492" s="135" t="s">
        <v>206</v>
      </c>
      <c r="C492" s="135">
        <v>2</v>
      </c>
      <c r="D492" s="135">
        <v>1</v>
      </c>
      <c r="E492" s="135" t="s">
        <v>201</v>
      </c>
      <c r="F492" s="136">
        <v>43343</v>
      </c>
      <c r="G492" s="138" t="s">
        <v>4031</v>
      </c>
      <c r="H492" s="138" t="s">
        <v>4724</v>
      </c>
      <c r="I492" s="172">
        <v>2.5694444444444447E-2</v>
      </c>
      <c r="J492" s="175">
        <v>4.2824074074074075E-4</v>
      </c>
      <c r="K492" s="143">
        <v>37</v>
      </c>
      <c r="L492" s="135"/>
      <c r="M492" s="135" t="s">
        <v>24</v>
      </c>
      <c r="N492" s="135" t="s">
        <v>102</v>
      </c>
      <c r="O492" s="135" t="s">
        <v>115</v>
      </c>
      <c r="P492" s="135">
        <v>1</v>
      </c>
      <c r="Q492" s="135"/>
      <c r="R492" s="135">
        <v>0</v>
      </c>
      <c r="S492" s="133" t="s">
        <v>14</v>
      </c>
      <c r="T492" s="135" t="s">
        <v>2128</v>
      </c>
      <c r="U492" s="135" t="s">
        <v>122</v>
      </c>
      <c r="V492" s="135" t="s">
        <v>115</v>
      </c>
      <c r="W492" s="135" t="s">
        <v>115</v>
      </c>
      <c r="X492" s="135" t="s">
        <v>115</v>
      </c>
      <c r="Y492" s="135" t="s">
        <v>115</v>
      </c>
      <c r="Z492" s="133"/>
      <c r="AA492" s="133"/>
      <c r="AB492" s="135" t="s">
        <v>115</v>
      </c>
      <c r="AC492" s="137" t="s">
        <v>115</v>
      </c>
      <c r="AD492" s="137"/>
      <c r="AE492" s="133"/>
      <c r="AF492" s="133"/>
      <c r="AG492" s="133"/>
      <c r="AH492" s="135">
        <v>0</v>
      </c>
      <c r="AI492" s="135">
        <v>0</v>
      </c>
      <c r="AJ492" s="135">
        <v>0</v>
      </c>
      <c r="AK492" s="135">
        <v>0</v>
      </c>
      <c r="AL492" s="135">
        <v>6</v>
      </c>
      <c r="AM492" s="135">
        <v>0</v>
      </c>
      <c r="AN492" s="135">
        <f t="shared" si="8"/>
        <v>6</v>
      </c>
      <c r="AO492" s="135" t="s">
        <v>207</v>
      </c>
      <c r="AP492" s="135"/>
      <c r="AQ492" s="135"/>
      <c r="AR492" s="135"/>
    </row>
    <row r="493" spans="1:44" x14ac:dyDescent="0.2">
      <c r="A493" s="135" t="s">
        <v>208</v>
      </c>
      <c r="B493" s="135" t="s">
        <v>209</v>
      </c>
      <c r="C493" s="135">
        <v>3</v>
      </c>
      <c r="D493" s="135">
        <v>1</v>
      </c>
      <c r="E493" s="135" t="s">
        <v>201</v>
      </c>
      <c r="F493" s="136">
        <v>43343</v>
      </c>
      <c r="G493" s="138" t="s">
        <v>4031</v>
      </c>
      <c r="H493" s="138" t="s">
        <v>4724</v>
      </c>
      <c r="I493" s="172">
        <v>3.8194444444444441E-2</v>
      </c>
      <c r="J493" s="175">
        <v>6.3657407407407402E-4</v>
      </c>
      <c r="K493" s="143">
        <v>55</v>
      </c>
      <c r="L493" s="135"/>
      <c r="M493" s="135" t="s">
        <v>24</v>
      </c>
      <c r="N493" s="135" t="s">
        <v>102</v>
      </c>
      <c r="O493" s="135" t="s">
        <v>23</v>
      </c>
      <c r="P493" s="135">
        <v>1</v>
      </c>
      <c r="Q493" s="135"/>
      <c r="R493" s="135">
        <v>0</v>
      </c>
      <c r="S493" s="133" t="s">
        <v>176</v>
      </c>
      <c r="T493" s="135" t="s">
        <v>176</v>
      </c>
      <c r="U493" s="135" t="s">
        <v>122</v>
      </c>
      <c r="V493" s="135" t="s">
        <v>115</v>
      </c>
      <c r="W493" s="135" t="s">
        <v>115</v>
      </c>
      <c r="X493" s="135" t="s">
        <v>115</v>
      </c>
      <c r="Y493" s="135" t="s">
        <v>115</v>
      </c>
      <c r="Z493" s="135"/>
      <c r="AA493" s="135"/>
      <c r="AB493" s="135" t="s">
        <v>115</v>
      </c>
      <c r="AC493" s="137" t="s">
        <v>115</v>
      </c>
      <c r="AD493" s="137"/>
      <c r="AE493" s="135"/>
      <c r="AF493" s="135"/>
      <c r="AG493" s="135"/>
      <c r="AH493" s="135">
        <v>0</v>
      </c>
      <c r="AI493" s="135">
        <v>0</v>
      </c>
      <c r="AJ493" s="135">
        <v>0</v>
      </c>
      <c r="AK493" s="135">
        <v>0</v>
      </c>
      <c r="AL493" s="135">
        <v>19</v>
      </c>
      <c r="AM493" s="135">
        <v>0</v>
      </c>
      <c r="AN493" s="135">
        <f t="shared" si="8"/>
        <v>19</v>
      </c>
      <c r="AO493" s="135" t="s">
        <v>24</v>
      </c>
      <c r="AP493" s="135" t="s">
        <v>4892</v>
      </c>
      <c r="AQ493" s="135"/>
      <c r="AR493" s="135"/>
    </row>
    <row r="494" spans="1:44" x14ac:dyDescent="0.2">
      <c r="A494" s="133" t="s">
        <v>208</v>
      </c>
      <c r="B494" s="133" t="s">
        <v>209</v>
      </c>
      <c r="C494" s="133">
        <v>3</v>
      </c>
      <c r="D494" s="133">
        <v>2</v>
      </c>
      <c r="E494" s="133" t="s">
        <v>201</v>
      </c>
      <c r="F494" s="138">
        <v>43343</v>
      </c>
      <c r="G494" s="138" t="s">
        <v>4031</v>
      </c>
      <c r="H494" s="138" t="s">
        <v>4724</v>
      </c>
      <c r="I494" s="148">
        <v>3.8194444444444441E-2</v>
      </c>
      <c r="J494" s="174">
        <v>6.3657407407407402E-4</v>
      </c>
      <c r="K494" s="139">
        <v>55</v>
      </c>
      <c r="L494" s="133"/>
      <c r="M494" s="133" t="s">
        <v>24</v>
      </c>
      <c r="N494" s="133" t="s">
        <v>102</v>
      </c>
      <c r="O494" s="133" t="s">
        <v>23</v>
      </c>
      <c r="P494" s="133">
        <v>1</v>
      </c>
      <c r="Q494" s="133"/>
      <c r="R494" s="133">
        <v>0</v>
      </c>
      <c r="S494" s="133" t="s">
        <v>176</v>
      </c>
      <c r="T494" s="133" t="s">
        <v>176</v>
      </c>
      <c r="U494" s="133" t="s">
        <v>122</v>
      </c>
      <c r="V494" s="133" t="s">
        <v>115</v>
      </c>
      <c r="W494" s="135" t="s">
        <v>115</v>
      </c>
      <c r="X494" s="135" t="s">
        <v>115</v>
      </c>
      <c r="Y494" s="135" t="s">
        <v>115</v>
      </c>
      <c r="Z494" s="135"/>
      <c r="AA494" s="135"/>
      <c r="AB494" s="133" t="s">
        <v>115</v>
      </c>
      <c r="AC494" s="134" t="s">
        <v>115</v>
      </c>
      <c r="AD494" s="134"/>
      <c r="AE494" s="135"/>
      <c r="AF494" s="135"/>
      <c r="AG494" s="135"/>
      <c r="AH494" s="133">
        <v>0</v>
      </c>
      <c r="AI494" s="133">
        <v>0</v>
      </c>
      <c r="AJ494" s="133">
        <v>0</v>
      </c>
      <c r="AK494" s="133">
        <v>0</v>
      </c>
      <c r="AL494" s="133">
        <v>0</v>
      </c>
      <c r="AM494" s="133">
        <v>0</v>
      </c>
      <c r="AN494" s="133">
        <f t="shared" si="8"/>
        <v>0</v>
      </c>
      <c r="AO494" s="133" t="s">
        <v>24</v>
      </c>
      <c r="AP494" s="133" t="s">
        <v>210</v>
      </c>
      <c r="AQ494" s="133"/>
      <c r="AR494" s="133"/>
    </row>
    <row r="495" spans="1:44" x14ac:dyDescent="0.2">
      <c r="A495" s="133" t="s">
        <v>211</v>
      </c>
      <c r="B495" s="133" t="s">
        <v>214</v>
      </c>
      <c r="C495" s="133">
        <v>1</v>
      </c>
      <c r="D495" s="133">
        <v>1</v>
      </c>
      <c r="E495" s="133" t="s">
        <v>213</v>
      </c>
      <c r="F495" s="138">
        <v>43343</v>
      </c>
      <c r="G495" s="138" t="s">
        <v>4031</v>
      </c>
      <c r="H495" s="138" t="s">
        <v>4724</v>
      </c>
      <c r="I495" s="148">
        <v>2.2916666666666669E-2</v>
      </c>
      <c r="J495" s="174">
        <v>3.8194444444444446E-4</v>
      </c>
      <c r="K495" s="139">
        <v>33</v>
      </c>
      <c r="L495" s="133"/>
      <c r="M495" s="133" t="s">
        <v>24</v>
      </c>
      <c r="N495" s="133" t="s">
        <v>102</v>
      </c>
      <c r="O495" s="133" t="s">
        <v>23</v>
      </c>
      <c r="P495" s="133" t="s">
        <v>24</v>
      </c>
      <c r="Q495" s="133"/>
      <c r="R495" s="133" t="s">
        <v>24</v>
      </c>
      <c r="S495" s="133" t="s">
        <v>176</v>
      </c>
      <c r="T495" s="133" t="s">
        <v>176</v>
      </c>
      <c r="U495" s="133" t="s">
        <v>115</v>
      </c>
      <c r="V495" s="133" t="s">
        <v>115</v>
      </c>
      <c r="W495" s="133"/>
      <c r="X495" s="133"/>
      <c r="Y495" s="133"/>
      <c r="Z495" s="133"/>
      <c r="AA495" s="133"/>
      <c r="AB495" s="133" t="s">
        <v>115</v>
      </c>
      <c r="AC495" s="134" t="s">
        <v>115</v>
      </c>
      <c r="AD495" s="134"/>
      <c r="AE495" s="133"/>
      <c r="AF495" s="133"/>
      <c r="AG495" s="133"/>
      <c r="AH495" s="133">
        <v>33</v>
      </c>
      <c r="AI495" s="133">
        <v>0</v>
      </c>
      <c r="AJ495" s="133">
        <v>33</v>
      </c>
      <c r="AK495" s="133">
        <v>0</v>
      </c>
      <c r="AL495" s="133">
        <v>0</v>
      </c>
      <c r="AM495" s="133">
        <v>0</v>
      </c>
      <c r="AN495" s="133">
        <f t="shared" si="8"/>
        <v>33</v>
      </c>
      <c r="AO495" s="133" t="s">
        <v>24</v>
      </c>
      <c r="AP495" s="133"/>
      <c r="AQ495" s="133"/>
      <c r="AR495" s="133"/>
    </row>
    <row r="496" spans="1:44" x14ac:dyDescent="0.2">
      <c r="A496" s="133" t="s">
        <v>225</v>
      </c>
      <c r="B496" s="133" t="s">
        <v>226</v>
      </c>
      <c r="C496" s="133">
        <v>6</v>
      </c>
      <c r="D496" s="133">
        <v>1</v>
      </c>
      <c r="E496" s="133" t="s">
        <v>213</v>
      </c>
      <c r="F496" s="138">
        <v>43343</v>
      </c>
      <c r="G496" s="138" t="s">
        <v>4031</v>
      </c>
      <c r="H496" s="138" t="s">
        <v>4724</v>
      </c>
      <c r="I496" s="148">
        <v>1.2499999999999999E-2</v>
      </c>
      <c r="J496" s="174">
        <v>2.0833333333333335E-4</v>
      </c>
      <c r="K496" s="139">
        <v>18</v>
      </c>
      <c r="L496" s="133"/>
      <c r="M496" s="133" t="s">
        <v>24</v>
      </c>
      <c r="N496" s="133" t="s">
        <v>102</v>
      </c>
      <c r="O496" s="133" t="s">
        <v>23</v>
      </c>
      <c r="P496" s="133">
        <v>1</v>
      </c>
      <c r="Q496" s="133"/>
      <c r="R496" s="133">
        <v>0</v>
      </c>
      <c r="S496" s="133" t="s">
        <v>176</v>
      </c>
      <c r="T496" s="133" t="s">
        <v>176</v>
      </c>
      <c r="U496" s="133" t="s">
        <v>333</v>
      </c>
      <c r="V496" s="133" t="s">
        <v>115</v>
      </c>
      <c r="W496" s="135" t="s">
        <v>115</v>
      </c>
      <c r="X496" s="135" t="s">
        <v>115</v>
      </c>
      <c r="Y496" s="135" t="s">
        <v>115</v>
      </c>
      <c r="Z496" s="133"/>
      <c r="AA496" s="133"/>
      <c r="AB496" s="133" t="s">
        <v>115</v>
      </c>
      <c r="AC496" s="134" t="s">
        <v>115</v>
      </c>
      <c r="AD496" s="134"/>
      <c r="AE496" s="133"/>
      <c r="AF496" s="133"/>
      <c r="AG496" s="133"/>
      <c r="AH496" s="133">
        <v>0</v>
      </c>
      <c r="AI496" s="133">
        <v>0</v>
      </c>
      <c r="AJ496" s="133">
        <v>0</v>
      </c>
      <c r="AK496" s="133">
        <v>0</v>
      </c>
      <c r="AL496" s="133">
        <v>0</v>
      </c>
      <c r="AM496" s="133">
        <v>0</v>
      </c>
      <c r="AN496" s="133">
        <f t="shared" si="8"/>
        <v>0</v>
      </c>
      <c r="AO496" s="133"/>
      <c r="AP496" s="133" t="s">
        <v>1266</v>
      </c>
      <c r="AQ496" s="133"/>
      <c r="AR496" s="133"/>
    </row>
    <row r="497" spans="1:44" x14ac:dyDescent="0.2">
      <c r="A497" s="133" t="s">
        <v>215</v>
      </c>
      <c r="B497" s="133" t="s">
        <v>216</v>
      </c>
      <c r="C497" s="133">
        <v>2</v>
      </c>
      <c r="D497" s="133">
        <v>1</v>
      </c>
      <c r="E497" s="133" t="s">
        <v>213</v>
      </c>
      <c r="F497" s="138">
        <v>43343</v>
      </c>
      <c r="G497" s="138" t="s">
        <v>4031</v>
      </c>
      <c r="H497" s="138" t="s">
        <v>4724</v>
      </c>
      <c r="I497" s="148">
        <v>4.8611111111111112E-3</v>
      </c>
      <c r="J497" s="174">
        <v>8.1018518518518516E-5</v>
      </c>
      <c r="K497" s="139">
        <v>7</v>
      </c>
      <c r="L497" s="133"/>
      <c r="M497" s="133" t="s">
        <v>217</v>
      </c>
      <c r="N497" s="133" t="s">
        <v>102</v>
      </c>
      <c r="O497" s="133" t="s">
        <v>23</v>
      </c>
      <c r="P497" s="133" t="s">
        <v>24</v>
      </c>
      <c r="Q497" s="133"/>
      <c r="R497" s="133" t="s">
        <v>24</v>
      </c>
      <c r="S497" s="133" t="s">
        <v>176</v>
      </c>
      <c r="T497" s="133" t="s">
        <v>176</v>
      </c>
      <c r="U497" s="133" t="s">
        <v>115</v>
      </c>
      <c r="V497" s="133" t="s">
        <v>115</v>
      </c>
      <c r="W497" s="133"/>
      <c r="X497" s="133"/>
      <c r="Y497" s="133"/>
      <c r="Z497" s="133"/>
      <c r="AA497" s="133"/>
      <c r="AB497" s="133" t="s">
        <v>115</v>
      </c>
      <c r="AC497" s="134" t="s">
        <v>115</v>
      </c>
      <c r="AD497" s="134"/>
      <c r="AE497" s="133"/>
      <c r="AF497" s="133"/>
      <c r="AG497" s="133"/>
      <c r="AH497" s="133">
        <v>0</v>
      </c>
      <c r="AI497" s="133">
        <v>7</v>
      </c>
      <c r="AJ497" s="133">
        <v>0</v>
      </c>
      <c r="AK497" s="133">
        <v>7</v>
      </c>
      <c r="AL497" s="133">
        <v>0</v>
      </c>
      <c r="AM497" s="133">
        <v>0</v>
      </c>
      <c r="AN497" s="133">
        <f t="shared" si="8"/>
        <v>7</v>
      </c>
      <c r="AO497" s="133" t="s">
        <v>16</v>
      </c>
      <c r="AP497" s="133">
        <v>0</v>
      </c>
      <c r="AQ497" s="133">
        <v>0</v>
      </c>
      <c r="AR497" s="133">
        <v>5</v>
      </c>
    </row>
    <row r="498" spans="1:44" x14ac:dyDescent="0.2">
      <c r="A498" s="135" t="s">
        <v>175</v>
      </c>
      <c r="B498" s="135" t="s">
        <v>4878</v>
      </c>
      <c r="C498" s="135">
        <v>2</v>
      </c>
      <c r="D498" s="135">
        <v>1</v>
      </c>
      <c r="E498" s="135" t="s">
        <v>2601</v>
      </c>
      <c r="F498" s="136">
        <v>43342</v>
      </c>
      <c r="G498" s="138" t="s">
        <v>4031</v>
      </c>
      <c r="H498" s="138" t="s">
        <v>4724</v>
      </c>
      <c r="I498" s="172">
        <v>3.125E-2</v>
      </c>
      <c r="J498" s="175">
        <v>5.2083333333333333E-4</v>
      </c>
      <c r="K498" s="143">
        <v>45</v>
      </c>
      <c r="L498" s="135" t="s">
        <v>158</v>
      </c>
      <c r="M498" s="135" t="s">
        <v>177</v>
      </c>
      <c r="N498" s="135" t="s">
        <v>176</v>
      </c>
      <c r="O498" s="135" t="s">
        <v>23</v>
      </c>
      <c r="P498" s="135" t="s">
        <v>24</v>
      </c>
      <c r="Q498" s="135"/>
      <c r="R498" s="135" t="s">
        <v>24</v>
      </c>
      <c r="S498" s="133" t="s">
        <v>176</v>
      </c>
      <c r="T498" s="135" t="s">
        <v>176</v>
      </c>
      <c r="U498" s="135" t="s">
        <v>24</v>
      </c>
      <c r="V498" s="135" t="s">
        <v>24</v>
      </c>
      <c r="W498" s="135"/>
      <c r="X498" s="135"/>
      <c r="Y498" s="135"/>
      <c r="Z498" s="135"/>
      <c r="AA498" s="135"/>
      <c r="AB498" s="135" t="s">
        <v>115</v>
      </c>
      <c r="AC498" s="137" t="s">
        <v>115</v>
      </c>
      <c r="AD498" s="137"/>
      <c r="AE498" s="135"/>
      <c r="AF498" s="135"/>
      <c r="AG498" s="135"/>
      <c r="AH498" s="135" t="s">
        <v>24</v>
      </c>
      <c r="AI498" s="135" t="s">
        <v>24</v>
      </c>
      <c r="AJ498" s="135" t="s">
        <v>24</v>
      </c>
      <c r="AK498" s="135" t="s">
        <v>24</v>
      </c>
      <c r="AL498" s="135">
        <v>0</v>
      </c>
      <c r="AM498" s="135">
        <v>0</v>
      </c>
      <c r="AN498" s="135">
        <f t="shared" si="8"/>
        <v>0</v>
      </c>
      <c r="AO498" s="135" t="s">
        <v>24</v>
      </c>
      <c r="AP498" s="135" t="s">
        <v>4879</v>
      </c>
      <c r="AQ498" s="135">
        <v>0</v>
      </c>
      <c r="AR498" s="135">
        <v>0</v>
      </c>
    </row>
    <row r="499" spans="1:44" x14ac:dyDescent="0.2">
      <c r="A499" s="133" t="s">
        <v>178</v>
      </c>
      <c r="B499" s="133" t="s">
        <v>4880</v>
      </c>
      <c r="C499" s="133">
        <v>3</v>
      </c>
      <c r="D499" s="133">
        <v>1</v>
      </c>
      <c r="E499" s="133" t="s">
        <v>2601</v>
      </c>
      <c r="F499" s="138">
        <v>43342</v>
      </c>
      <c r="G499" s="138" t="s">
        <v>4031</v>
      </c>
      <c r="H499" s="138" t="s">
        <v>4724</v>
      </c>
      <c r="I499" s="148">
        <v>3.5416666666666666E-2</v>
      </c>
      <c r="J499" s="174">
        <v>5.9027777777777778E-4</v>
      </c>
      <c r="K499" s="139">
        <v>51</v>
      </c>
      <c r="L499" s="133" t="s">
        <v>158</v>
      </c>
      <c r="M499" s="133" t="s">
        <v>177</v>
      </c>
      <c r="N499" s="133" t="s">
        <v>179</v>
      </c>
      <c r="O499" s="133" t="s">
        <v>23</v>
      </c>
      <c r="P499" s="133" t="s">
        <v>24</v>
      </c>
      <c r="Q499" s="133"/>
      <c r="R499" s="133" t="s">
        <v>24</v>
      </c>
      <c r="S499" s="133" t="s">
        <v>176</v>
      </c>
      <c r="T499" s="133" t="s">
        <v>176</v>
      </c>
      <c r="U499" s="133" t="s">
        <v>115</v>
      </c>
      <c r="V499" s="133" t="s">
        <v>115</v>
      </c>
      <c r="W499" s="133"/>
      <c r="X499" s="133"/>
      <c r="Y499" s="133"/>
      <c r="Z499" s="135"/>
      <c r="AA499" s="135"/>
      <c r="AB499" s="133" t="s">
        <v>115</v>
      </c>
      <c r="AC499" s="134" t="s">
        <v>115</v>
      </c>
      <c r="AD499" s="134"/>
      <c r="AE499" s="135"/>
      <c r="AF499" s="135"/>
      <c r="AG499" s="135"/>
      <c r="AH499" s="133">
        <v>23</v>
      </c>
      <c r="AI499" s="133">
        <v>0</v>
      </c>
      <c r="AJ499" s="133">
        <v>0</v>
      </c>
      <c r="AK499" s="133">
        <v>23</v>
      </c>
      <c r="AL499" s="133">
        <v>0</v>
      </c>
      <c r="AM499" s="133">
        <v>0</v>
      </c>
      <c r="AN499" s="133">
        <f t="shared" si="8"/>
        <v>23</v>
      </c>
      <c r="AO499" s="133" t="s">
        <v>174</v>
      </c>
      <c r="AP499" s="133" t="s">
        <v>180</v>
      </c>
      <c r="AQ499" s="133">
        <v>0</v>
      </c>
      <c r="AR499" s="133">
        <v>0</v>
      </c>
    </row>
    <row r="500" spans="1:44" x14ac:dyDescent="0.2">
      <c r="A500" s="133" t="s">
        <v>36</v>
      </c>
      <c r="B500" s="133" t="s">
        <v>4883</v>
      </c>
      <c r="C500" s="133">
        <v>4</v>
      </c>
      <c r="D500" s="133">
        <v>1</v>
      </c>
      <c r="E500" s="133" t="s">
        <v>2601</v>
      </c>
      <c r="F500" s="138">
        <v>43342</v>
      </c>
      <c r="G500" s="138" t="s">
        <v>4031</v>
      </c>
      <c r="H500" s="138" t="s">
        <v>4724</v>
      </c>
      <c r="I500" s="148">
        <v>2.2222222222222223E-2</v>
      </c>
      <c r="J500" s="174">
        <v>3.7037037037037035E-4</v>
      </c>
      <c r="K500" s="139">
        <v>32</v>
      </c>
      <c r="L500" s="133" t="s">
        <v>158</v>
      </c>
      <c r="M500" s="133" t="s">
        <v>177</v>
      </c>
      <c r="N500" s="133" t="s">
        <v>107</v>
      </c>
      <c r="O500" s="133" t="s">
        <v>23</v>
      </c>
      <c r="P500" s="133">
        <v>1</v>
      </c>
      <c r="Q500" s="133"/>
      <c r="R500" s="133" t="s">
        <v>24</v>
      </c>
      <c r="S500" s="133" t="s">
        <v>112</v>
      </c>
      <c r="T500" s="133" t="s">
        <v>112</v>
      </c>
      <c r="U500" s="133" t="s">
        <v>176</v>
      </c>
      <c r="V500" s="133" t="s">
        <v>115</v>
      </c>
      <c r="W500" s="133"/>
      <c r="X500" s="133"/>
      <c r="Y500" s="133"/>
      <c r="Z500" s="133"/>
      <c r="AA500" s="133"/>
      <c r="AB500" s="133" t="s">
        <v>115</v>
      </c>
      <c r="AC500" s="134" t="s">
        <v>115</v>
      </c>
      <c r="AD500" s="134"/>
      <c r="AE500" s="133"/>
      <c r="AF500" s="133"/>
      <c r="AG500" s="133"/>
      <c r="AH500" s="133">
        <v>0</v>
      </c>
      <c r="AI500" s="133">
        <v>0</v>
      </c>
      <c r="AJ500" s="133">
        <v>0</v>
      </c>
      <c r="AK500" s="133">
        <v>0</v>
      </c>
      <c r="AL500" s="133">
        <v>0</v>
      </c>
      <c r="AM500" s="133">
        <v>0</v>
      </c>
      <c r="AN500" s="133">
        <f t="shared" si="8"/>
        <v>0</v>
      </c>
      <c r="AO500" s="133" t="s">
        <v>107</v>
      </c>
      <c r="AP500" s="133" t="s">
        <v>181</v>
      </c>
      <c r="AQ500" s="133">
        <v>0</v>
      </c>
      <c r="AR500" s="133">
        <v>0</v>
      </c>
    </row>
    <row r="501" spans="1:44" x14ac:dyDescent="0.2">
      <c r="A501" s="135" t="s">
        <v>189</v>
      </c>
      <c r="B501" s="135" t="s">
        <v>4881</v>
      </c>
      <c r="C501" s="135">
        <v>7</v>
      </c>
      <c r="D501" s="135">
        <v>1</v>
      </c>
      <c r="E501" s="135" t="s">
        <v>2601</v>
      </c>
      <c r="F501" s="136">
        <v>43342</v>
      </c>
      <c r="G501" s="138" t="s">
        <v>4031</v>
      </c>
      <c r="H501" s="138" t="s">
        <v>4724</v>
      </c>
      <c r="I501" s="172">
        <v>1.9444444444444445E-2</v>
      </c>
      <c r="J501" s="175">
        <v>3.2407407407407406E-4</v>
      </c>
      <c r="K501" s="143">
        <v>28</v>
      </c>
      <c r="L501" s="135" t="s">
        <v>158</v>
      </c>
      <c r="M501" s="135" t="s">
        <v>177</v>
      </c>
      <c r="N501" s="135" t="s">
        <v>176</v>
      </c>
      <c r="O501" s="135" t="s">
        <v>23</v>
      </c>
      <c r="P501" s="135" t="s">
        <v>24</v>
      </c>
      <c r="Q501" s="135"/>
      <c r="R501" s="135" t="s">
        <v>24</v>
      </c>
      <c r="S501" s="133" t="s">
        <v>176</v>
      </c>
      <c r="T501" s="135" t="s">
        <v>176</v>
      </c>
      <c r="U501" s="135" t="s">
        <v>24</v>
      </c>
      <c r="V501" s="135" t="s">
        <v>24</v>
      </c>
      <c r="W501" s="135"/>
      <c r="X501" s="135"/>
      <c r="Y501" s="135"/>
      <c r="Z501" s="133"/>
      <c r="AA501" s="133"/>
      <c r="AB501" s="135" t="s">
        <v>115</v>
      </c>
      <c r="AC501" s="137" t="s">
        <v>115</v>
      </c>
      <c r="AD501" s="137"/>
      <c r="AE501" s="133"/>
      <c r="AF501" s="133"/>
      <c r="AG501" s="133"/>
      <c r="AH501" s="135" t="s">
        <v>24</v>
      </c>
      <c r="AI501" s="135" t="s">
        <v>24</v>
      </c>
      <c r="AJ501" s="135" t="s">
        <v>24</v>
      </c>
      <c r="AK501" s="135" t="s">
        <v>24</v>
      </c>
      <c r="AL501" s="135">
        <v>0</v>
      </c>
      <c r="AM501" s="135">
        <v>0</v>
      </c>
      <c r="AN501" s="135">
        <f t="shared" si="8"/>
        <v>0</v>
      </c>
      <c r="AO501" s="135" t="s">
        <v>24</v>
      </c>
      <c r="AP501" s="135" t="s">
        <v>190</v>
      </c>
      <c r="AQ501" s="135">
        <v>0</v>
      </c>
      <c r="AR501" s="135">
        <v>0</v>
      </c>
    </row>
    <row r="502" spans="1:44" x14ac:dyDescent="0.2">
      <c r="A502" s="133" t="s">
        <v>35</v>
      </c>
      <c r="B502" s="133" t="s">
        <v>4885</v>
      </c>
      <c r="C502" s="133">
        <v>8</v>
      </c>
      <c r="D502" s="133">
        <v>1</v>
      </c>
      <c r="E502" s="133" t="s">
        <v>2601</v>
      </c>
      <c r="F502" s="138">
        <v>43342</v>
      </c>
      <c r="G502" s="138" t="s">
        <v>4031</v>
      </c>
      <c r="H502" s="138" t="s">
        <v>4724</v>
      </c>
      <c r="I502" s="148">
        <v>5.5555555555555558E-3</v>
      </c>
      <c r="J502" s="174">
        <v>9.2592592592592588E-5</v>
      </c>
      <c r="K502" s="139">
        <v>8</v>
      </c>
      <c r="L502" s="133" t="s">
        <v>158</v>
      </c>
      <c r="M502" s="133" t="s">
        <v>177</v>
      </c>
      <c r="N502" s="133" t="s">
        <v>102</v>
      </c>
      <c r="O502" s="133" t="s">
        <v>23</v>
      </c>
      <c r="P502" s="133">
        <v>1</v>
      </c>
      <c r="Q502" s="133"/>
      <c r="R502" s="133">
        <v>0</v>
      </c>
      <c r="S502" s="133" t="s">
        <v>461</v>
      </c>
      <c r="T502" s="133" t="s">
        <v>191</v>
      </c>
      <c r="U502" s="133" t="s">
        <v>192</v>
      </c>
      <c r="V502" s="133" t="s">
        <v>115</v>
      </c>
      <c r="W502" s="135" t="s">
        <v>115</v>
      </c>
      <c r="X502" s="135" t="s">
        <v>115</v>
      </c>
      <c r="Y502" s="135" t="s">
        <v>115</v>
      </c>
      <c r="Z502" s="135"/>
      <c r="AA502" s="135"/>
      <c r="AB502" s="133" t="s">
        <v>115</v>
      </c>
      <c r="AC502" s="134" t="s">
        <v>115</v>
      </c>
      <c r="AD502" s="134"/>
      <c r="AE502" s="135"/>
      <c r="AF502" s="135"/>
      <c r="AG502" s="135"/>
      <c r="AH502" s="133">
        <v>0</v>
      </c>
      <c r="AI502" s="133">
        <v>0</v>
      </c>
      <c r="AJ502" s="133">
        <v>0</v>
      </c>
      <c r="AK502" s="133">
        <v>0</v>
      </c>
      <c r="AL502" s="133">
        <v>0</v>
      </c>
      <c r="AM502" s="133">
        <v>0</v>
      </c>
      <c r="AN502" s="133">
        <f t="shared" si="8"/>
        <v>0</v>
      </c>
      <c r="AO502" s="133">
        <v>0</v>
      </c>
      <c r="AP502" s="133" t="s">
        <v>193</v>
      </c>
      <c r="AQ502" s="133">
        <v>0</v>
      </c>
      <c r="AR502" s="133">
        <v>0</v>
      </c>
    </row>
    <row r="503" spans="1:44" x14ac:dyDescent="0.2">
      <c r="A503" s="135" t="s">
        <v>33</v>
      </c>
      <c r="B503" s="135" t="s">
        <v>4887</v>
      </c>
      <c r="C503" s="135">
        <v>10</v>
      </c>
      <c r="D503" s="135">
        <v>1</v>
      </c>
      <c r="E503" s="135" t="s">
        <v>2601</v>
      </c>
      <c r="F503" s="136">
        <v>43342</v>
      </c>
      <c r="G503" s="138" t="s">
        <v>4031</v>
      </c>
      <c r="H503" s="138" t="s">
        <v>4724</v>
      </c>
      <c r="I503" s="172">
        <v>2.0833333333333332E-2</v>
      </c>
      <c r="J503" s="175">
        <v>3.4722222222222224E-4</v>
      </c>
      <c r="K503" s="143">
        <v>30</v>
      </c>
      <c r="L503" s="135" t="s">
        <v>158</v>
      </c>
      <c r="M503" s="135" t="s">
        <v>177</v>
      </c>
      <c r="N503" s="135" t="s">
        <v>102</v>
      </c>
      <c r="O503" s="135" t="s">
        <v>115</v>
      </c>
      <c r="P503" s="135">
        <v>1</v>
      </c>
      <c r="Q503" s="135"/>
      <c r="R503" s="135">
        <v>0</v>
      </c>
      <c r="S503" s="133" t="s">
        <v>14</v>
      </c>
      <c r="T503" s="135" t="s">
        <v>2128</v>
      </c>
      <c r="U503" s="135" t="s">
        <v>122</v>
      </c>
      <c r="V503" s="135" t="s">
        <v>115</v>
      </c>
      <c r="W503" s="135" t="s">
        <v>115</v>
      </c>
      <c r="X503" s="135" t="s">
        <v>115</v>
      </c>
      <c r="Y503" s="135" t="s">
        <v>115</v>
      </c>
      <c r="Z503" s="135"/>
      <c r="AA503" s="135"/>
      <c r="AB503" s="135" t="s">
        <v>115</v>
      </c>
      <c r="AC503" s="137" t="s">
        <v>115</v>
      </c>
      <c r="AD503" s="137"/>
      <c r="AE503" s="135"/>
      <c r="AF503" s="135"/>
      <c r="AG503" s="135"/>
      <c r="AH503" s="135">
        <v>0</v>
      </c>
      <c r="AI503" s="135">
        <v>0</v>
      </c>
      <c r="AJ503" s="135">
        <v>0</v>
      </c>
      <c r="AK503" s="135">
        <v>0</v>
      </c>
      <c r="AL503" s="135">
        <v>20</v>
      </c>
      <c r="AM503" s="135">
        <v>0</v>
      </c>
      <c r="AN503" s="135">
        <f t="shared" si="8"/>
        <v>20</v>
      </c>
      <c r="AO503" s="135" t="s">
        <v>303</v>
      </c>
      <c r="AP503" s="135"/>
      <c r="AQ503" s="135">
        <v>0</v>
      </c>
      <c r="AR503" s="135">
        <v>0</v>
      </c>
    </row>
    <row r="504" spans="1:44" x14ac:dyDescent="0.2">
      <c r="A504" s="133" t="s">
        <v>197</v>
      </c>
      <c r="B504" s="133" t="s">
        <v>4888</v>
      </c>
      <c r="C504" s="133">
        <v>11</v>
      </c>
      <c r="D504" s="133">
        <v>1</v>
      </c>
      <c r="E504" s="133" t="s">
        <v>2601</v>
      </c>
      <c r="F504" s="138">
        <v>43342</v>
      </c>
      <c r="G504" s="138" t="s">
        <v>4031</v>
      </c>
      <c r="H504" s="138" t="s">
        <v>4724</v>
      </c>
      <c r="I504" s="148">
        <v>7.9166666666666663E-2</v>
      </c>
      <c r="J504" s="174">
        <v>1.3194444444444443E-3</v>
      </c>
      <c r="K504" s="139">
        <v>114</v>
      </c>
      <c r="L504" s="133" t="s">
        <v>158</v>
      </c>
      <c r="M504" s="133" t="s">
        <v>177</v>
      </c>
      <c r="N504" s="133" t="s">
        <v>102</v>
      </c>
      <c r="O504" s="133" t="s">
        <v>23</v>
      </c>
      <c r="P504" s="133">
        <v>1</v>
      </c>
      <c r="Q504" s="133"/>
      <c r="R504" s="133">
        <v>0</v>
      </c>
      <c r="S504" s="133" t="s">
        <v>176</v>
      </c>
      <c r="T504" s="133" t="s">
        <v>176</v>
      </c>
      <c r="U504" s="133" t="s">
        <v>3976</v>
      </c>
      <c r="V504" s="133" t="s">
        <v>115</v>
      </c>
      <c r="W504" s="135" t="s">
        <v>115</v>
      </c>
      <c r="X504" s="135" t="s">
        <v>115</v>
      </c>
      <c r="Y504" s="135" t="s">
        <v>115</v>
      </c>
      <c r="Z504" s="133"/>
      <c r="AA504" s="133"/>
      <c r="AB504" s="133" t="s">
        <v>115</v>
      </c>
      <c r="AC504" s="134" t="s">
        <v>115</v>
      </c>
      <c r="AD504" s="134"/>
      <c r="AE504" s="133"/>
      <c r="AF504" s="133"/>
      <c r="AG504" s="133"/>
      <c r="AH504" s="133">
        <v>18</v>
      </c>
      <c r="AI504" s="133">
        <v>0</v>
      </c>
      <c r="AJ504" s="133">
        <v>0</v>
      </c>
      <c r="AK504" s="133">
        <v>18</v>
      </c>
      <c r="AL504" s="133">
        <v>0</v>
      </c>
      <c r="AM504" s="133">
        <v>0</v>
      </c>
      <c r="AN504" s="133">
        <f t="shared" si="8"/>
        <v>18</v>
      </c>
      <c r="AO504" s="133" t="s">
        <v>303</v>
      </c>
      <c r="AP504" s="133"/>
      <c r="AQ504" s="133">
        <v>0</v>
      </c>
      <c r="AR504" s="133">
        <v>0</v>
      </c>
    </row>
    <row r="505" spans="1:44" x14ac:dyDescent="0.2">
      <c r="A505" s="133" t="s">
        <v>200</v>
      </c>
      <c r="B505" s="133" t="s">
        <v>4882</v>
      </c>
      <c r="C505" s="133">
        <v>12</v>
      </c>
      <c r="D505" s="133">
        <v>1</v>
      </c>
      <c r="E505" s="133" t="s">
        <v>2601</v>
      </c>
      <c r="F505" s="138">
        <v>43342</v>
      </c>
      <c r="G505" s="138" t="s">
        <v>4031</v>
      </c>
      <c r="H505" s="138" t="s">
        <v>4724</v>
      </c>
      <c r="I505" s="148">
        <v>2.4305555555555556E-2</v>
      </c>
      <c r="J505" s="174">
        <v>4.0509259259259258E-4</v>
      </c>
      <c r="K505" s="139">
        <v>35</v>
      </c>
      <c r="L505" s="133" t="s">
        <v>158</v>
      </c>
      <c r="M505" s="133" t="s">
        <v>177</v>
      </c>
      <c r="N505" s="133" t="s">
        <v>102</v>
      </c>
      <c r="O505" s="133" t="s">
        <v>23</v>
      </c>
      <c r="P505" s="133" t="s">
        <v>24</v>
      </c>
      <c r="Q505" s="133"/>
      <c r="R505" s="133">
        <v>0</v>
      </c>
      <c r="S505" s="133" t="s">
        <v>176</v>
      </c>
      <c r="T505" s="133" t="s">
        <v>176</v>
      </c>
      <c r="U505" s="133" t="s">
        <v>115</v>
      </c>
      <c r="V505" s="133" t="s">
        <v>115</v>
      </c>
      <c r="W505" s="135" t="s">
        <v>115</v>
      </c>
      <c r="X505" s="135" t="s">
        <v>115</v>
      </c>
      <c r="Y505" s="135" t="s">
        <v>115</v>
      </c>
      <c r="Z505" s="133"/>
      <c r="AA505" s="133"/>
      <c r="AB505" s="133" t="s">
        <v>115</v>
      </c>
      <c r="AC505" s="134" t="s">
        <v>115</v>
      </c>
      <c r="AD505" s="134"/>
      <c r="AE505" s="133"/>
      <c r="AF505" s="133"/>
      <c r="AG505" s="133"/>
      <c r="AH505" s="133">
        <v>18</v>
      </c>
      <c r="AI505" s="133">
        <v>0</v>
      </c>
      <c r="AJ505" s="133">
        <v>18</v>
      </c>
      <c r="AK505" s="133">
        <v>0</v>
      </c>
      <c r="AL505" s="133">
        <v>0</v>
      </c>
      <c r="AM505" s="133">
        <v>0</v>
      </c>
      <c r="AN505" s="133">
        <f t="shared" si="8"/>
        <v>18</v>
      </c>
      <c r="AO505" s="133" t="s">
        <v>303</v>
      </c>
      <c r="AP505" s="133"/>
      <c r="AQ505" s="133">
        <v>0</v>
      </c>
      <c r="AR505" s="133">
        <v>1</v>
      </c>
    </row>
    <row r="506" spans="1:44" x14ac:dyDescent="0.2">
      <c r="A506" s="133" t="s">
        <v>218</v>
      </c>
      <c r="B506" s="133" t="s">
        <v>219</v>
      </c>
      <c r="C506" s="133">
        <v>3</v>
      </c>
      <c r="D506" s="133">
        <v>1</v>
      </c>
      <c r="E506" s="133" t="s">
        <v>213</v>
      </c>
      <c r="F506" s="138">
        <v>43343</v>
      </c>
      <c r="G506" s="138" t="s">
        <v>4031</v>
      </c>
      <c r="H506" s="138" t="s">
        <v>4724</v>
      </c>
      <c r="I506" s="148">
        <v>2.7083333333333334E-2</v>
      </c>
      <c r="J506" s="174">
        <v>4.5138888888888892E-4</v>
      </c>
      <c r="K506" s="139">
        <v>39</v>
      </c>
      <c r="L506" s="133"/>
      <c r="M506" s="133" t="s">
        <v>220</v>
      </c>
      <c r="N506" s="133" t="s">
        <v>221</v>
      </c>
      <c r="O506" s="133" t="s">
        <v>23</v>
      </c>
      <c r="P506" s="133" t="s">
        <v>24</v>
      </c>
      <c r="Q506" s="133"/>
      <c r="R506" s="133" t="s">
        <v>24</v>
      </c>
      <c r="S506" s="133" t="s">
        <v>176</v>
      </c>
      <c r="T506" s="133" t="s">
        <v>176</v>
      </c>
      <c r="U506" s="133" t="s">
        <v>115</v>
      </c>
      <c r="V506" s="133" t="s">
        <v>115</v>
      </c>
      <c r="W506" s="133"/>
      <c r="X506" s="133"/>
      <c r="Y506" s="133"/>
      <c r="Z506" s="133"/>
      <c r="AA506" s="133"/>
      <c r="AB506" s="133" t="s">
        <v>115</v>
      </c>
      <c r="AC506" s="134" t="s">
        <v>115</v>
      </c>
      <c r="AD506" s="134"/>
      <c r="AE506" s="133"/>
      <c r="AF506" s="133"/>
      <c r="AG506" s="133"/>
      <c r="AH506" s="133">
        <v>34</v>
      </c>
      <c r="AI506" s="133">
        <v>0</v>
      </c>
      <c r="AJ506" s="133">
        <v>0</v>
      </c>
      <c r="AK506" s="133">
        <v>34</v>
      </c>
      <c r="AL506" s="133">
        <v>0</v>
      </c>
      <c r="AM506" s="133">
        <v>0</v>
      </c>
      <c r="AN506" s="133">
        <f t="shared" si="8"/>
        <v>34</v>
      </c>
      <c r="AO506" s="133" t="s">
        <v>16</v>
      </c>
      <c r="AP506" s="133">
        <v>0</v>
      </c>
      <c r="AQ506" s="133">
        <v>0</v>
      </c>
      <c r="AR506" s="133">
        <v>5</v>
      </c>
    </row>
    <row r="507" spans="1:44" x14ac:dyDescent="0.2">
      <c r="A507" s="133" t="s">
        <v>222</v>
      </c>
      <c r="B507" s="133" t="s">
        <v>212</v>
      </c>
      <c r="C507" s="133">
        <v>4</v>
      </c>
      <c r="D507" s="133">
        <v>1</v>
      </c>
      <c r="E507" s="133" t="s">
        <v>213</v>
      </c>
      <c r="F507" s="138">
        <v>43343</v>
      </c>
      <c r="G507" s="138" t="s">
        <v>4031</v>
      </c>
      <c r="H507" s="138" t="s">
        <v>4724</v>
      </c>
      <c r="I507" s="148">
        <v>1.8749999999999999E-2</v>
      </c>
      <c r="J507" s="174">
        <v>3.1250000000000001E-4</v>
      </c>
      <c r="K507" s="139">
        <v>27</v>
      </c>
      <c r="L507" s="133"/>
      <c r="M507" s="133" t="s">
        <v>220</v>
      </c>
      <c r="N507" s="133" t="s">
        <v>102</v>
      </c>
      <c r="O507" s="133" t="s">
        <v>23</v>
      </c>
      <c r="P507" s="133">
        <v>1</v>
      </c>
      <c r="Q507" s="133"/>
      <c r="R507" s="133">
        <v>0</v>
      </c>
      <c r="S507" s="133" t="s">
        <v>176</v>
      </c>
      <c r="T507" s="133" t="s">
        <v>176</v>
      </c>
      <c r="U507" s="133" t="s">
        <v>134</v>
      </c>
      <c r="V507" s="133" t="s">
        <v>115</v>
      </c>
      <c r="W507" s="135" t="s">
        <v>115</v>
      </c>
      <c r="X507" s="135" t="s">
        <v>115</v>
      </c>
      <c r="Y507" s="135" t="s">
        <v>115</v>
      </c>
      <c r="Z507" s="133"/>
      <c r="AA507" s="133"/>
      <c r="AB507" s="133" t="s">
        <v>115</v>
      </c>
      <c r="AC507" s="134" t="s">
        <v>115</v>
      </c>
      <c r="AD507" s="134"/>
      <c r="AE507" s="133"/>
      <c r="AF507" s="133"/>
      <c r="AG507" s="133"/>
      <c r="AH507" s="133">
        <v>0</v>
      </c>
      <c r="AI507" s="133">
        <v>21</v>
      </c>
      <c r="AJ507" s="133">
        <v>0</v>
      </c>
      <c r="AK507" s="133">
        <v>21</v>
      </c>
      <c r="AL507" s="133">
        <v>0</v>
      </c>
      <c r="AM507" s="133">
        <v>0</v>
      </c>
      <c r="AN507" s="133">
        <f t="shared" si="8"/>
        <v>21</v>
      </c>
      <c r="AO507" s="133" t="s">
        <v>16</v>
      </c>
      <c r="AP507" s="133">
        <v>0</v>
      </c>
      <c r="AQ507" s="133">
        <v>3</v>
      </c>
      <c r="AR507" s="133"/>
    </row>
    <row r="508" spans="1:44" x14ac:dyDescent="0.2">
      <c r="A508" s="133" t="s">
        <v>223</v>
      </c>
      <c r="B508" s="133" t="s">
        <v>224</v>
      </c>
      <c r="C508" s="133">
        <v>5</v>
      </c>
      <c r="D508" s="133">
        <v>1</v>
      </c>
      <c r="E508" s="133" t="s">
        <v>213</v>
      </c>
      <c r="F508" s="138">
        <v>43343</v>
      </c>
      <c r="G508" s="138" t="s">
        <v>4031</v>
      </c>
      <c r="H508" s="138" t="s">
        <v>4724</v>
      </c>
      <c r="I508" s="148">
        <v>4.1666666666666666E-3</v>
      </c>
      <c r="J508" s="174">
        <v>6.9444444444444444E-5</v>
      </c>
      <c r="K508" s="139">
        <v>6</v>
      </c>
      <c r="L508" s="133"/>
      <c r="M508" s="133" t="s">
        <v>220</v>
      </c>
      <c r="N508" s="133" t="s">
        <v>107</v>
      </c>
      <c r="O508" s="133" t="s">
        <v>23</v>
      </c>
      <c r="P508" s="133">
        <v>1</v>
      </c>
      <c r="Q508" s="133"/>
      <c r="R508" s="133">
        <v>0</v>
      </c>
      <c r="S508" s="133" t="s">
        <v>598</v>
      </c>
      <c r="T508" s="133" t="s">
        <v>2114</v>
      </c>
      <c r="U508" s="133" t="s">
        <v>24</v>
      </c>
      <c r="V508" s="133" t="s">
        <v>115</v>
      </c>
      <c r="W508" s="135" t="s">
        <v>115</v>
      </c>
      <c r="X508" s="135" t="s">
        <v>115</v>
      </c>
      <c r="Y508" s="135" t="s">
        <v>115</v>
      </c>
      <c r="Z508" s="133"/>
      <c r="AA508" s="133"/>
      <c r="AB508" s="133" t="s">
        <v>115</v>
      </c>
      <c r="AC508" s="134" t="s">
        <v>115</v>
      </c>
      <c r="AD508" s="134"/>
      <c r="AE508" s="133"/>
      <c r="AF508" s="133"/>
      <c r="AG508" s="133"/>
      <c r="AH508" s="133">
        <v>0</v>
      </c>
      <c r="AI508" s="133">
        <v>0</v>
      </c>
      <c r="AJ508" s="133">
        <v>0</v>
      </c>
      <c r="AK508" s="133">
        <v>0</v>
      </c>
      <c r="AL508" s="133">
        <v>0</v>
      </c>
      <c r="AM508" s="133">
        <v>0</v>
      </c>
      <c r="AN508" s="133">
        <f t="shared" si="8"/>
        <v>0</v>
      </c>
      <c r="AO508" s="133" t="s">
        <v>115</v>
      </c>
      <c r="AP508" s="133" t="s">
        <v>115</v>
      </c>
      <c r="AQ508" s="133"/>
      <c r="AR508" s="133"/>
    </row>
    <row r="509" spans="1:44" x14ac:dyDescent="0.2">
      <c r="A509" s="133" t="s">
        <v>817</v>
      </c>
      <c r="B509" s="133" t="s">
        <v>144</v>
      </c>
      <c r="C509" s="133">
        <v>3</v>
      </c>
      <c r="D509" s="133">
        <v>1</v>
      </c>
      <c r="E509" s="133" t="s">
        <v>3171</v>
      </c>
      <c r="F509" s="138">
        <v>43341</v>
      </c>
      <c r="G509" s="138" t="s">
        <v>4031</v>
      </c>
      <c r="H509" s="138" t="s">
        <v>4724</v>
      </c>
      <c r="I509" s="148">
        <v>1.8749999999999999E-2</v>
      </c>
      <c r="J509" s="174">
        <v>3.1250000000000001E-4</v>
      </c>
      <c r="K509" s="139">
        <v>27</v>
      </c>
      <c r="L509" s="133" t="s">
        <v>101</v>
      </c>
      <c r="M509" s="133"/>
      <c r="N509" s="133" t="s">
        <v>102</v>
      </c>
      <c r="O509" s="133" t="s">
        <v>23</v>
      </c>
      <c r="P509" s="133" t="s">
        <v>24</v>
      </c>
      <c r="Q509" s="133"/>
      <c r="R509" s="133" t="s">
        <v>24</v>
      </c>
      <c r="S509" s="133" t="s">
        <v>176</v>
      </c>
      <c r="T509" s="133" t="s">
        <v>176</v>
      </c>
      <c r="U509" s="133" t="s">
        <v>24</v>
      </c>
      <c r="V509" s="133" t="s">
        <v>24</v>
      </c>
      <c r="W509" s="133"/>
      <c r="X509" s="133"/>
      <c r="Y509" s="133"/>
      <c r="Z509" s="135"/>
      <c r="AA509" s="135"/>
      <c r="AB509" s="133" t="s">
        <v>115</v>
      </c>
      <c r="AC509" s="134" t="s">
        <v>115</v>
      </c>
      <c r="AD509" s="134"/>
      <c r="AE509" s="135"/>
      <c r="AF509" s="135"/>
      <c r="AG509" s="135"/>
      <c r="AH509" s="133">
        <v>24</v>
      </c>
      <c r="AI509" s="133">
        <v>0</v>
      </c>
      <c r="AJ509" s="133">
        <v>24</v>
      </c>
      <c r="AK509" s="133">
        <v>0</v>
      </c>
      <c r="AL509" s="133">
        <v>0</v>
      </c>
      <c r="AM509" s="133">
        <v>0</v>
      </c>
      <c r="AN509" s="133">
        <f t="shared" si="8"/>
        <v>24</v>
      </c>
      <c r="AO509" s="133" t="s">
        <v>16</v>
      </c>
      <c r="AP509" s="133" t="s">
        <v>2040</v>
      </c>
      <c r="AQ509" s="133">
        <v>0</v>
      </c>
      <c r="AR509" s="133" t="s">
        <v>24</v>
      </c>
    </row>
    <row r="510" spans="1:44" x14ac:dyDescent="0.2">
      <c r="A510" s="123" t="s">
        <v>2578</v>
      </c>
      <c r="B510" s="123" t="s">
        <v>2579</v>
      </c>
      <c r="C510" s="123">
        <v>2</v>
      </c>
      <c r="D510" s="123">
        <v>1</v>
      </c>
      <c r="E510" s="123" t="s">
        <v>834</v>
      </c>
      <c r="F510" s="125">
        <v>43550</v>
      </c>
      <c r="G510" s="125" t="s">
        <v>4026</v>
      </c>
      <c r="H510" s="125" t="s">
        <v>4752</v>
      </c>
      <c r="I510" s="171">
        <v>3.6805555555555557E-2</v>
      </c>
      <c r="J510" s="173">
        <v>6.134259259259259E-4</v>
      </c>
      <c r="K510" s="129">
        <v>53</v>
      </c>
      <c r="L510" s="127" t="s">
        <v>2576</v>
      </c>
      <c r="M510" s="123" t="s">
        <v>466</v>
      </c>
      <c r="N510" s="123" t="s">
        <v>102</v>
      </c>
      <c r="O510" s="123" t="s">
        <v>115</v>
      </c>
      <c r="P510" s="123">
        <v>1</v>
      </c>
      <c r="Q510" s="123">
        <v>0</v>
      </c>
      <c r="R510" s="123">
        <v>0</v>
      </c>
      <c r="S510" s="123" t="s">
        <v>176</v>
      </c>
      <c r="T510" s="123" t="s">
        <v>24</v>
      </c>
      <c r="U510" s="123" t="s">
        <v>122</v>
      </c>
      <c r="V510" s="123" t="s">
        <v>115</v>
      </c>
      <c r="Z510" s="123" t="s">
        <v>115</v>
      </c>
      <c r="AA510" s="123" t="s">
        <v>115</v>
      </c>
      <c r="AB510" s="123" t="s">
        <v>115</v>
      </c>
      <c r="AC510" s="123" t="s">
        <v>115</v>
      </c>
      <c r="AD510" s="123" t="s">
        <v>115</v>
      </c>
      <c r="AH510" s="123">
        <v>0</v>
      </c>
      <c r="AI510" s="123">
        <v>0</v>
      </c>
      <c r="AJ510" s="123">
        <v>0</v>
      </c>
      <c r="AK510" s="123">
        <v>0</v>
      </c>
      <c r="AL510" s="123">
        <v>20</v>
      </c>
      <c r="AN510" s="123">
        <f t="shared" ref="AN510:AN573" si="9">SUM(AH510+AI510+AL510)</f>
        <v>20</v>
      </c>
      <c r="AO510" s="123" t="s">
        <v>188</v>
      </c>
    </row>
    <row r="511" spans="1:44" x14ac:dyDescent="0.2">
      <c r="A511" s="123" t="s">
        <v>2580</v>
      </c>
      <c r="B511" s="123" t="s">
        <v>2581</v>
      </c>
      <c r="C511" s="123">
        <v>3</v>
      </c>
      <c r="D511" s="123">
        <v>1</v>
      </c>
      <c r="E511" s="123" t="s">
        <v>834</v>
      </c>
      <c r="F511" s="125">
        <v>43550</v>
      </c>
      <c r="G511" s="125" t="s">
        <v>4026</v>
      </c>
      <c r="H511" s="125" t="s">
        <v>4752</v>
      </c>
      <c r="I511" s="171">
        <v>3.888888888888889E-2</v>
      </c>
      <c r="J511" s="173">
        <v>6.4814814814814813E-4</v>
      </c>
      <c r="K511" s="129">
        <v>56</v>
      </c>
      <c r="L511" s="127" t="s">
        <v>2576</v>
      </c>
      <c r="M511" s="123" t="s">
        <v>466</v>
      </c>
      <c r="N511" s="123" t="s">
        <v>187</v>
      </c>
      <c r="O511" s="123" t="s">
        <v>23</v>
      </c>
      <c r="P511" s="123">
        <v>1</v>
      </c>
      <c r="Q511" s="123">
        <v>0</v>
      </c>
      <c r="R511" s="123">
        <v>1</v>
      </c>
      <c r="S511" s="123" t="s">
        <v>14</v>
      </c>
      <c r="T511" s="123" t="s">
        <v>2582</v>
      </c>
      <c r="U511" s="123" t="s">
        <v>122</v>
      </c>
      <c r="V511" s="123" t="s">
        <v>2088</v>
      </c>
      <c r="W511" s="127" t="s">
        <v>23</v>
      </c>
      <c r="X511" s="127" t="s">
        <v>3997</v>
      </c>
      <c r="Y511" s="127" t="s">
        <v>4021</v>
      </c>
      <c r="Z511" s="123" t="s">
        <v>2551</v>
      </c>
      <c r="AA511" s="123">
        <v>335</v>
      </c>
      <c r="AB511" s="123">
        <v>3</v>
      </c>
      <c r="AC511" s="123">
        <v>63.73948</v>
      </c>
      <c r="AD511" s="123">
        <v>148.89815999999999</v>
      </c>
      <c r="AH511" s="123">
        <v>0</v>
      </c>
      <c r="AI511" s="123">
        <v>0</v>
      </c>
      <c r="AJ511" s="123">
        <v>0</v>
      </c>
      <c r="AK511" s="123">
        <v>0</v>
      </c>
      <c r="AL511" s="123">
        <v>34</v>
      </c>
      <c r="AN511" s="123">
        <f t="shared" si="9"/>
        <v>34</v>
      </c>
      <c r="AP511" s="123" t="s">
        <v>4775</v>
      </c>
    </row>
    <row r="512" spans="1:44" x14ac:dyDescent="0.2">
      <c r="A512" s="123" t="s">
        <v>2574</v>
      </c>
      <c r="B512" s="123" t="s">
        <v>2575</v>
      </c>
      <c r="C512" s="123">
        <v>1</v>
      </c>
      <c r="D512" s="123">
        <v>1</v>
      </c>
      <c r="E512" s="123" t="s">
        <v>834</v>
      </c>
      <c r="F512" s="125">
        <v>43550</v>
      </c>
      <c r="G512" s="125" t="s">
        <v>4026</v>
      </c>
      <c r="H512" s="125" t="s">
        <v>4752</v>
      </c>
      <c r="I512" s="171">
        <v>2.0833333333333332E-2</v>
      </c>
      <c r="J512" s="173">
        <v>3.4722222222222224E-4</v>
      </c>
      <c r="K512" s="129">
        <v>30</v>
      </c>
      <c r="L512" s="123" t="s">
        <v>2576</v>
      </c>
      <c r="M512" s="123" t="s">
        <v>466</v>
      </c>
      <c r="N512" s="123" t="s">
        <v>102</v>
      </c>
      <c r="O512" s="123" t="s">
        <v>23</v>
      </c>
      <c r="P512" s="123">
        <v>1</v>
      </c>
      <c r="Q512" s="123">
        <v>1</v>
      </c>
      <c r="R512" s="123">
        <v>0</v>
      </c>
      <c r="S512" s="123" t="s">
        <v>14</v>
      </c>
      <c r="T512" s="123" t="s">
        <v>2557</v>
      </c>
      <c r="U512" s="123" t="s">
        <v>2397</v>
      </c>
      <c r="V512" s="123" t="s">
        <v>115</v>
      </c>
      <c r="Z512" s="123" t="s">
        <v>115</v>
      </c>
      <c r="AA512" s="123" t="s">
        <v>115</v>
      </c>
      <c r="AB512" s="123" t="s">
        <v>115</v>
      </c>
      <c r="AC512" s="123" t="s">
        <v>115</v>
      </c>
      <c r="AD512" s="123" t="s">
        <v>115</v>
      </c>
      <c r="AH512" s="123">
        <v>0</v>
      </c>
      <c r="AI512" s="123">
        <v>0</v>
      </c>
      <c r="AJ512" s="123">
        <v>0</v>
      </c>
      <c r="AK512" s="123">
        <v>0</v>
      </c>
      <c r="AL512" s="123">
        <v>0</v>
      </c>
      <c r="AN512" s="123">
        <f t="shared" si="9"/>
        <v>0</v>
      </c>
      <c r="AO512" s="123" t="s">
        <v>115</v>
      </c>
      <c r="AP512" s="123" t="s">
        <v>2577</v>
      </c>
    </row>
    <row r="513" spans="1:42" x14ac:dyDescent="0.2">
      <c r="A513" s="123" t="s">
        <v>2728</v>
      </c>
      <c r="B513" s="123" t="s">
        <v>2729</v>
      </c>
      <c r="C513" s="123">
        <v>1</v>
      </c>
      <c r="D513" s="123">
        <v>1</v>
      </c>
      <c r="E513" s="123" t="s">
        <v>834</v>
      </c>
      <c r="F513" s="125">
        <v>43554</v>
      </c>
      <c r="G513" s="125" t="s">
        <v>4026</v>
      </c>
      <c r="H513" s="125" t="s">
        <v>4752</v>
      </c>
      <c r="I513" s="171">
        <v>2.013888888888889E-2</v>
      </c>
      <c r="J513" s="173">
        <v>3.3564814814814812E-4</v>
      </c>
      <c r="K513" s="129">
        <v>29</v>
      </c>
      <c r="M513" s="123" t="s">
        <v>466</v>
      </c>
      <c r="N513" s="123" t="s">
        <v>102</v>
      </c>
      <c r="O513" s="123" t="s">
        <v>115</v>
      </c>
      <c r="P513" s="123">
        <v>1</v>
      </c>
      <c r="Q513" s="123">
        <v>0</v>
      </c>
      <c r="R513" s="123">
        <v>0</v>
      </c>
      <c r="S513" s="123" t="s">
        <v>176</v>
      </c>
      <c r="T513" s="127" t="s">
        <v>24</v>
      </c>
      <c r="U513" s="127" t="s">
        <v>122</v>
      </c>
      <c r="V513" s="127" t="s">
        <v>115</v>
      </c>
      <c r="W513" s="127"/>
      <c r="X513" s="127"/>
      <c r="Y513" s="127"/>
      <c r="Z513" s="127" t="s">
        <v>115</v>
      </c>
      <c r="AA513" s="127" t="s">
        <v>115</v>
      </c>
      <c r="AB513" s="127" t="s">
        <v>115</v>
      </c>
      <c r="AC513" s="127" t="s">
        <v>115</v>
      </c>
      <c r="AD513" s="127" t="s">
        <v>115</v>
      </c>
      <c r="AE513" s="127" t="s">
        <v>115</v>
      </c>
      <c r="AF513" s="127" t="s">
        <v>115</v>
      </c>
      <c r="AG513" s="127"/>
      <c r="AH513" s="123">
        <v>0</v>
      </c>
      <c r="AI513" s="123">
        <v>0</v>
      </c>
      <c r="AJ513" s="123">
        <v>0</v>
      </c>
      <c r="AK513" s="123">
        <v>0</v>
      </c>
      <c r="AL513" s="123">
        <v>29</v>
      </c>
      <c r="AN513" s="123">
        <f t="shared" si="9"/>
        <v>29</v>
      </c>
      <c r="AO513" s="123" t="s">
        <v>188</v>
      </c>
    </row>
    <row r="514" spans="1:42" x14ac:dyDescent="0.2">
      <c r="A514" s="123" t="s">
        <v>2736</v>
      </c>
      <c r="B514" s="123" t="s">
        <v>2737</v>
      </c>
      <c r="C514" s="123">
        <v>5</v>
      </c>
      <c r="D514" s="123">
        <v>1</v>
      </c>
      <c r="E514" s="123" t="s">
        <v>834</v>
      </c>
      <c r="F514" s="125">
        <v>43554</v>
      </c>
      <c r="G514" s="125" t="s">
        <v>4026</v>
      </c>
      <c r="H514" s="125" t="s">
        <v>4752</v>
      </c>
      <c r="I514" s="171">
        <v>1.3194444444444444E-2</v>
      </c>
      <c r="J514" s="173">
        <v>2.199074074074074E-4</v>
      </c>
      <c r="K514" s="129">
        <v>19</v>
      </c>
      <c r="M514" s="123" t="s">
        <v>466</v>
      </c>
      <c r="N514" s="123" t="s">
        <v>102</v>
      </c>
      <c r="O514" s="123" t="s">
        <v>115</v>
      </c>
      <c r="P514" s="123">
        <v>1</v>
      </c>
      <c r="Q514" s="123">
        <v>0</v>
      </c>
      <c r="R514" s="123">
        <v>0</v>
      </c>
      <c r="S514" s="123" t="s">
        <v>176</v>
      </c>
      <c r="T514" s="127" t="s">
        <v>24</v>
      </c>
      <c r="U514" s="127" t="s">
        <v>122</v>
      </c>
      <c r="V514" s="127" t="s">
        <v>115</v>
      </c>
      <c r="W514" s="127"/>
      <c r="X514" s="127"/>
      <c r="Y514" s="127"/>
      <c r="Z514" s="127" t="s">
        <v>115</v>
      </c>
      <c r="AA514" s="127" t="s">
        <v>115</v>
      </c>
      <c r="AB514" s="127" t="s">
        <v>115</v>
      </c>
      <c r="AC514" s="127" t="s">
        <v>115</v>
      </c>
      <c r="AD514" s="127" t="s">
        <v>115</v>
      </c>
      <c r="AE514" s="127" t="s">
        <v>115</v>
      </c>
      <c r="AF514" s="127" t="s">
        <v>115</v>
      </c>
      <c r="AG514" s="127"/>
      <c r="AH514" s="123">
        <v>0</v>
      </c>
      <c r="AI514" s="123">
        <v>0</v>
      </c>
      <c r="AJ514" s="123">
        <v>0</v>
      </c>
      <c r="AK514" s="123">
        <v>0</v>
      </c>
      <c r="AL514" s="123">
        <v>19</v>
      </c>
      <c r="AN514" s="123">
        <f t="shared" si="9"/>
        <v>19</v>
      </c>
      <c r="AO514" s="123" t="s">
        <v>188</v>
      </c>
    </row>
    <row r="515" spans="1:42" x14ac:dyDescent="0.2">
      <c r="A515" s="123" t="s">
        <v>2746</v>
      </c>
      <c r="B515" s="123" t="s">
        <v>2747</v>
      </c>
      <c r="C515" s="123">
        <v>10</v>
      </c>
      <c r="D515" s="123">
        <v>1</v>
      </c>
      <c r="E515" s="123" t="s">
        <v>834</v>
      </c>
      <c r="F515" s="125">
        <v>43554</v>
      </c>
      <c r="G515" s="125" t="s">
        <v>4026</v>
      </c>
      <c r="H515" s="125" t="s">
        <v>4752</v>
      </c>
      <c r="I515" s="171">
        <v>1.4583333333333332E-2</v>
      </c>
      <c r="J515" s="173">
        <v>2.4305555555555552E-4</v>
      </c>
      <c r="K515" s="129">
        <v>21</v>
      </c>
      <c r="M515" s="123" t="s">
        <v>466</v>
      </c>
      <c r="N515" s="123" t="s">
        <v>102</v>
      </c>
      <c r="O515" s="123" t="s">
        <v>115</v>
      </c>
      <c r="P515" s="123">
        <v>2</v>
      </c>
      <c r="Q515" s="123">
        <v>0</v>
      </c>
      <c r="R515" s="123">
        <v>0</v>
      </c>
      <c r="S515" s="123" t="s">
        <v>176</v>
      </c>
      <c r="T515" s="127" t="s">
        <v>24</v>
      </c>
      <c r="U515" s="127" t="s">
        <v>122</v>
      </c>
      <c r="V515" s="127" t="s">
        <v>115</v>
      </c>
      <c r="W515" s="127"/>
      <c r="X515" s="127"/>
      <c r="Y515" s="127"/>
      <c r="Z515" s="127" t="s">
        <v>115</v>
      </c>
      <c r="AA515" s="127" t="s">
        <v>115</v>
      </c>
      <c r="AB515" s="127" t="s">
        <v>115</v>
      </c>
      <c r="AC515" s="127" t="s">
        <v>115</v>
      </c>
      <c r="AD515" s="127" t="s">
        <v>115</v>
      </c>
      <c r="AE515" s="127" t="s">
        <v>115</v>
      </c>
      <c r="AF515" s="127" t="s">
        <v>115</v>
      </c>
      <c r="AG515" s="127"/>
      <c r="AH515" s="123">
        <v>0</v>
      </c>
      <c r="AI515" s="123">
        <v>0</v>
      </c>
      <c r="AJ515" s="123">
        <v>0</v>
      </c>
      <c r="AK515" s="123">
        <v>0</v>
      </c>
      <c r="AL515" s="123">
        <v>21</v>
      </c>
      <c r="AN515" s="123">
        <f t="shared" si="9"/>
        <v>21</v>
      </c>
      <c r="AO515" s="123" t="s">
        <v>188</v>
      </c>
    </row>
    <row r="516" spans="1:42" x14ac:dyDescent="0.2">
      <c r="A516" s="123" t="s">
        <v>2739</v>
      </c>
      <c r="B516" s="123" t="s">
        <v>2740</v>
      </c>
      <c r="C516" s="123">
        <v>7</v>
      </c>
      <c r="D516" s="123">
        <v>1</v>
      </c>
      <c r="E516" s="123" t="s">
        <v>834</v>
      </c>
      <c r="F516" s="125">
        <v>43554</v>
      </c>
      <c r="G516" s="125" t="s">
        <v>4026</v>
      </c>
      <c r="H516" s="125" t="s">
        <v>4752</v>
      </c>
      <c r="I516" s="171">
        <v>0.11319444444444444</v>
      </c>
      <c r="J516" s="173">
        <v>1.8865740740740742E-3</v>
      </c>
      <c r="K516" s="129">
        <v>163</v>
      </c>
      <c r="M516" s="123" t="s">
        <v>466</v>
      </c>
      <c r="N516" s="123" t="s">
        <v>102</v>
      </c>
      <c r="O516" s="123" t="s">
        <v>115</v>
      </c>
      <c r="P516" s="123">
        <v>2</v>
      </c>
      <c r="Q516" s="123">
        <v>0</v>
      </c>
      <c r="R516" s="123">
        <v>0</v>
      </c>
      <c r="S516" s="123" t="s">
        <v>176</v>
      </c>
      <c r="T516" s="127" t="s">
        <v>24</v>
      </c>
      <c r="U516" s="127" t="s">
        <v>122</v>
      </c>
      <c r="V516" s="127" t="s">
        <v>115</v>
      </c>
      <c r="W516" s="127"/>
      <c r="X516" s="127"/>
      <c r="Y516" s="127"/>
      <c r="Z516" s="127" t="s">
        <v>115</v>
      </c>
      <c r="AA516" s="127" t="s">
        <v>115</v>
      </c>
      <c r="AB516" s="127" t="s">
        <v>115</v>
      </c>
      <c r="AC516" s="127" t="s">
        <v>115</v>
      </c>
      <c r="AD516" s="127" t="s">
        <v>115</v>
      </c>
      <c r="AE516" s="127" t="s">
        <v>115</v>
      </c>
      <c r="AF516" s="127" t="s">
        <v>115</v>
      </c>
      <c r="AG516" s="127"/>
      <c r="AH516" s="123">
        <v>0</v>
      </c>
      <c r="AI516" s="123">
        <v>0</v>
      </c>
      <c r="AJ516" s="123">
        <v>0</v>
      </c>
      <c r="AK516" s="123">
        <v>0</v>
      </c>
      <c r="AL516" s="123">
        <v>77</v>
      </c>
      <c r="AN516" s="123">
        <f t="shared" si="9"/>
        <v>77</v>
      </c>
      <c r="AO516" s="123" t="s">
        <v>188</v>
      </c>
    </row>
    <row r="517" spans="1:42" x14ac:dyDescent="0.2">
      <c r="A517" s="123" t="s">
        <v>2759</v>
      </c>
      <c r="B517" s="123" t="s">
        <v>2760</v>
      </c>
      <c r="C517" s="123">
        <v>15</v>
      </c>
      <c r="D517" s="123">
        <v>1</v>
      </c>
      <c r="E517" s="123" t="s">
        <v>834</v>
      </c>
      <c r="F517" s="125">
        <v>43554</v>
      </c>
      <c r="G517" s="125" t="s">
        <v>4026</v>
      </c>
      <c r="H517" s="125" t="s">
        <v>4752</v>
      </c>
      <c r="I517" s="171">
        <v>4.5833333333333337E-2</v>
      </c>
      <c r="J517" s="173">
        <v>7.6388888888888893E-4</v>
      </c>
      <c r="K517" s="129">
        <v>66</v>
      </c>
      <c r="M517" s="123" t="s">
        <v>466</v>
      </c>
      <c r="N517" s="123" t="s">
        <v>102</v>
      </c>
      <c r="O517" s="123" t="s">
        <v>115</v>
      </c>
      <c r="P517" s="123">
        <v>3</v>
      </c>
      <c r="Q517" s="123">
        <v>0</v>
      </c>
      <c r="R517" s="123">
        <v>0</v>
      </c>
      <c r="S517" s="123" t="s">
        <v>176</v>
      </c>
      <c r="T517" s="127" t="s">
        <v>4786</v>
      </c>
      <c r="U517" s="127" t="s">
        <v>122</v>
      </c>
      <c r="V517" s="127" t="s">
        <v>115</v>
      </c>
      <c r="W517" s="127"/>
      <c r="X517" s="127"/>
      <c r="Y517" s="127"/>
      <c r="Z517" s="127" t="s">
        <v>115</v>
      </c>
      <c r="AA517" s="127" t="s">
        <v>115</v>
      </c>
      <c r="AB517" s="127" t="s">
        <v>115</v>
      </c>
      <c r="AC517" s="127" t="s">
        <v>115</v>
      </c>
      <c r="AD517" s="127" t="s">
        <v>115</v>
      </c>
      <c r="AE517" s="127" t="s">
        <v>115</v>
      </c>
      <c r="AF517" s="127" t="s">
        <v>115</v>
      </c>
      <c r="AG517" s="127"/>
      <c r="AH517" s="123">
        <v>0</v>
      </c>
      <c r="AI517" s="123">
        <v>0</v>
      </c>
      <c r="AJ517" s="123">
        <v>0</v>
      </c>
      <c r="AK517" s="123">
        <v>0</v>
      </c>
      <c r="AL517" s="123">
        <v>66</v>
      </c>
      <c r="AN517" s="123">
        <f t="shared" si="9"/>
        <v>66</v>
      </c>
      <c r="AO517" s="123" t="s">
        <v>188</v>
      </c>
    </row>
    <row r="518" spans="1:42" x14ac:dyDescent="0.2">
      <c r="A518" s="123" t="s">
        <v>2756</v>
      </c>
      <c r="B518" s="123" t="s">
        <v>2757</v>
      </c>
      <c r="C518" s="123">
        <v>14</v>
      </c>
      <c r="D518" s="123">
        <v>1</v>
      </c>
      <c r="E518" s="123" t="s">
        <v>834</v>
      </c>
      <c r="F518" s="125">
        <v>43554</v>
      </c>
      <c r="G518" s="125" t="s">
        <v>4026</v>
      </c>
      <c r="H518" s="125" t="s">
        <v>4752</v>
      </c>
      <c r="I518" s="171">
        <v>0.11666666666666665</v>
      </c>
      <c r="J518" s="173">
        <v>1.9444444444444442E-3</v>
      </c>
      <c r="K518" s="129">
        <v>168</v>
      </c>
      <c r="M518" s="123" t="s">
        <v>466</v>
      </c>
      <c r="N518" s="123" t="s">
        <v>102</v>
      </c>
      <c r="O518" s="123" t="s">
        <v>115</v>
      </c>
      <c r="P518" s="123">
        <v>4</v>
      </c>
      <c r="Q518" s="123">
        <v>0</v>
      </c>
      <c r="R518" s="123">
        <v>0</v>
      </c>
      <c r="S518" s="123" t="s">
        <v>176</v>
      </c>
      <c r="T518" s="127" t="s">
        <v>24</v>
      </c>
      <c r="U518" s="127" t="s">
        <v>122</v>
      </c>
      <c r="V518" s="127" t="s">
        <v>115</v>
      </c>
      <c r="W518" s="127"/>
      <c r="X518" s="127"/>
      <c r="Y518" s="127"/>
      <c r="Z518" s="127" t="s">
        <v>115</v>
      </c>
      <c r="AA518" s="127" t="s">
        <v>115</v>
      </c>
      <c r="AB518" s="127" t="s">
        <v>115</v>
      </c>
      <c r="AC518" s="127" t="s">
        <v>115</v>
      </c>
      <c r="AD518" s="127" t="s">
        <v>115</v>
      </c>
      <c r="AE518" s="127" t="s">
        <v>115</v>
      </c>
      <c r="AF518" s="127" t="s">
        <v>115</v>
      </c>
      <c r="AG518" s="127"/>
      <c r="AH518" s="123">
        <v>0</v>
      </c>
      <c r="AI518" s="123">
        <v>0</v>
      </c>
      <c r="AJ518" s="123">
        <v>0</v>
      </c>
      <c r="AK518" s="123">
        <v>0</v>
      </c>
      <c r="AL518" s="123">
        <v>150</v>
      </c>
      <c r="AN518" s="123">
        <f t="shared" si="9"/>
        <v>150</v>
      </c>
      <c r="AO518" s="123" t="s">
        <v>188</v>
      </c>
    </row>
    <row r="519" spans="1:42" x14ac:dyDescent="0.2">
      <c r="A519" s="123" t="s">
        <v>2744</v>
      </c>
      <c r="B519" s="123" t="s">
        <v>2745</v>
      </c>
      <c r="C519" s="123">
        <v>9</v>
      </c>
      <c r="D519" s="123">
        <v>1</v>
      </c>
      <c r="E519" s="123" t="s">
        <v>834</v>
      </c>
      <c r="F519" s="125">
        <v>43554</v>
      </c>
      <c r="G519" s="125" t="s">
        <v>4026</v>
      </c>
      <c r="H519" s="125" t="s">
        <v>4752</v>
      </c>
      <c r="I519" s="171">
        <v>4.1666666666666664E-2</v>
      </c>
      <c r="J519" s="173">
        <v>6.9444444444444447E-4</v>
      </c>
      <c r="K519" s="129">
        <v>60</v>
      </c>
      <c r="M519" s="123" t="s">
        <v>466</v>
      </c>
      <c r="N519" s="123" t="s">
        <v>102</v>
      </c>
      <c r="O519" s="123" t="s">
        <v>115</v>
      </c>
      <c r="P519" s="123">
        <v>4</v>
      </c>
      <c r="Q519" s="123">
        <v>0</v>
      </c>
      <c r="R519" s="123">
        <v>0</v>
      </c>
      <c r="S519" s="123" t="s">
        <v>176</v>
      </c>
      <c r="T519" s="127" t="s">
        <v>24</v>
      </c>
      <c r="U519" s="127" t="s">
        <v>122</v>
      </c>
      <c r="V519" s="127" t="s">
        <v>115</v>
      </c>
      <c r="W519" s="127"/>
      <c r="X519" s="127"/>
      <c r="Y519" s="127"/>
      <c r="Z519" s="127" t="s">
        <v>115</v>
      </c>
      <c r="AA519" s="127" t="s">
        <v>115</v>
      </c>
      <c r="AB519" s="127" t="s">
        <v>115</v>
      </c>
      <c r="AC519" s="127" t="s">
        <v>115</v>
      </c>
      <c r="AD519" s="127" t="s">
        <v>115</v>
      </c>
      <c r="AE519" s="127" t="s">
        <v>115</v>
      </c>
      <c r="AF519" s="127" t="s">
        <v>115</v>
      </c>
      <c r="AG519" s="127"/>
      <c r="AH519" s="123">
        <v>0</v>
      </c>
      <c r="AI519" s="123">
        <v>0</v>
      </c>
      <c r="AJ519" s="123">
        <v>0</v>
      </c>
      <c r="AK519" s="123">
        <v>0</v>
      </c>
      <c r="AL519" s="123">
        <v>60</v>
      </c>
      <c r="AN519" s="123">
        <f t="shared" si="9"/>
        <v>60</v>
      </c>
      <c r="AO519" s="123" t="s">
        <v>188</v>
      </c>
    </row>
    <row r="520" spans="1:42" x14ac:dyDescent="0.2">
      <c r="A520" s="123" t="s">
        <v>2753</v>
      </c>
      <c r="B520" s="123" t="s">
        <v>2754</v>
      </c>
      <c r="C520" s="123">
        <v>13</v>
      </c>
      <c r="D520" s="123">
        <v>1</v>
      </c>
      <c r="E520" s="123" t="s">
        <v>834</v>
      </c>
      <c r="F520" s="125">
        <v>43554</v>
      </c>
      <c r="G520" s="125" t="s">
        <v>4026</v>
      </c>
      <c r="H520" s="125" t="s">
        <v>4752</v>
      </c>
      <c r="I520" s="171">
        <v>5.347222222222222E-2</v>
      </c>
      <c r="J520" s="173">
        <v>8.9120370370370362E-4</v>
      </c>
      <c r="K520" s="129">
        <v>77</v>
      </c>
      <c r="M520" s="123" t="s">
        <v>466</v>
      </c>
      <c r="N520" s="123" t="s">
        <v>242</v>
      </c>
      <c r="O520" s="123" t="s">
        <v>115</v>
      </c>
      <c r="P520" s="123">
        <v>0</v>
      </c>
      <c r="Q520" s="123">
        <v>0</v>
      </c>
      <c r="R520" s="123">
        <v>1</v>
      </c>
      <c r="S520" s="123" t="s">
        <v>598</v>
      </c>
      <c r="T520" s="127" t="s">
        <v>2802</v>
      </c>
      <c r="U520" s="127" t="s">
        <v>115</v>
      </c>
      <c r="V520" s="127" t="s">
        <v>2088</v>
      </c>
      <c r="W520" s="127" t="s">
        <v>23</v>
      </c>
      <c r="X520" s="127" t="s">
        <v>3997</v>
      </c>
      <c r="Y520" s="127" t="s">
        <v>4021</v>
      </c>
      <c r="Z520" s="127" t="s">
        <v>2558</v>
      </c>
      <c r="AA520" s="123">
        <v>280</v>
      </c>
      <c r="AB520" s="123">
        <v>19</v>
      </c>
      <c r="AC520" s="123">
        <v>63.740380000000002</v>
      </c>
      <c r="AD520" s="123">
        <v>148.90360999999999</v>
      </c>
      <c r="AE520" s="127" t="s">
        <v>115</v>
      </c>
      <c r="AF520" s="127" t="s">
        <v>115</v>
      </c>
      <c r="AG520" s="127"/>
      <c r="AH520" s="123">
        <v>0</v>
      </c>
      <c r="AI520" s="123">
        <v>0</v>
      </c>
      <c r="AJ520" s="123">
        <v>0</v>
      </c>
      <c r="AK520" s="123">
        <v>0</v>
      </c>
      <c r="AL520" s="123">
        <v>0</v>
      </c>
      <c r="AN520" s="123">
        <f t="shared" si="9"/>
        <v>0</v>
      </c>
      <c r="AP520" s="123" t="s">
        <v>2755</v>
      </c>
    </row>
    <row r="521" spans="1:42" x14ac:dyDescent="0.2">
      <c r="A521" s="123" t="s">
        <v>2763</v>
      </c>
      <c r="B521" s="123" t="s">
        <v>2764</v>
      </c>
      <c r="C521" s="123">
        <v>17</v>
      </c>
      <c r="D521" s="123">
        <v>1</v>
      </c>
      <c r="E521" s="123" t="s">
        <v>834</v>
      </c>
      <c r="F521" s="125">
        <v>43554</v>
      </c>
      <c r="G521" s="125" t="s">
        <v>4026</v>
      </c>
      <c r="H521" s="125" t="s">
        <v>4752</v>
      </c>
      <c r="I521" s="171">
        <v>6.2499999999999995E-3</v>
      </c>
      <c r="J521" s="173">
        <v>1.0416666666666667E-4</v>
      </c>
      <c r="K521" s="129">
        <v>9</v>
      </c>
      <c r="M521" s="123" t="s">
        <v>466</v>
      </c>
      <c r="N521" s="123" t="s">
        <v>111</v>
      </c>
      <c r="O521" s="123" t="s">
        <v>115</v>
      </c>
      <c r="P521" s="123">
        <v>0</v>
      </c>
      <c r="Q521" s="123">
        <v>0</v>
      </c>
      <c r="R521" s="123">
        <v>1</v>
      </c>
      <c r="S521" s="123" t="s">
        <v>598</v>
      </c>
      <c r="T521" s="127" t="s">
        <v>2437</v>
      </c>
      <c r="U521" s="127" t="s">
        <v>122</v>
      </c>
      <c r="V521" s="127" t="s">
        <v>2088</v>
      </c>
      <c r="W521" s="127"/>
      <c r="X521" s="127"/>
      <c r="Y521" s="127"/>
      <c r="Z521" s="123">
        <v>315</v>
      </c>
      <c r="AA521" s="127" t="s">
        <v>2765</v>
      </c>
      <c r="AB521" s="123">
        <v>20</v>
      </c>
      <c r="AC521" s="123">
        <v>63.740479999999998</v>
      </c>
      <c r="AD521" s="123">
        <v>148.90235999999999</v>
      </c>
      <c r="AE521" s="127" t="s">
        <v>115</v>
      </c>
      <c r="AF521" s="127" t="s">
        <v>115</v>
      </c>
      <c r="AG521" s="127"/>
      <c r="AH521" s="123">
        <v>0</v>
      </c>
      <c r="AI521" s="123">
        <v>0</v>
      </c>
      <c r="AJ521" s="123">
        <v>0</v>
      </c>
      <c r="AK521" s="123">
        <v>0</v>
      </c>
      <c r="AL521" s="123">
        <v>0</v>
      </c>
      <c r="AN521" s="123">
        <f t="shared" si="9"/>
        <v>0</v>
      </c>
      <c r="AP521" s="123" t="s">
        <v>2766</v>
      </c>
    </row>
    <row r="522" spans="1:42" x14ac:dyDescent="0.2">
      <c r="A522" s="123" t="s">
        <v>2739</v>
      </c>
      <c r="B522" s="123" t="s">
        <v>2740</v>
      </c>
      <c r="C522" s="123">
        <v>7</v>
      </c>
      <c r="D522" s="123">
        <v>2</v>
      </c>
      <c r="E522" s="123" t="s">
        <v>834</v>
      </c>
      <c r="F522" s="125">
        <v>43554</v>
      </c>
      <c r="G522" s="125" t="s">
        <v>4026</v>
      </c>
      <c r="H522" s="125" t="s">
        <v>4752</v>
      </c>
      <c r="I522" s="171">
        <v>0.11319444444444444</v>
      </c>
      <c r="J522" s="173">
        <v>1.8865740740740742E-3</v>
      </c>
      <c r="K522" s="129">
        <v>163</v>
      </c>
      <c r="M522" s="123" t="s">
        <v>466</v>
      </c>
      <c r="N522" s="123" t="s">
        <v>187</v>
      </c>
      <c r="O522" s="123" t="s">
        <v>115</v>
      </c>
      <c r="P522" s="123">
        <v>1</v>
      </c>
      <c r="Q522" s="123">
        <v>0</v>
      </c>
      <c r="R522" s="123">
        <v>1</v>
      </c>
      <c r="S522" s="123" t="s">
        <v>598</v>
      </c>
      <c r="T522" s="127" t="s">
        <v>2741</v>
      </c>
      <c r="U522" s="127" t="s">
        <v>122</v>
      </c>
      <c r="V522" s="127" t="s">
        <v>2088</v>
      </c>
      <c r="W522" s="127" t="s">
        <v>23</v>
      </c>
      <c r="X522" s="127" t="s">
        <v>3997</v>
      </c>
      <c r="Y522" s="127" t="s">
        <v>4021</v>
      </c>
      <c r="Z522" s="127" t="s">
        <v>2457</v>
      </c>
      <c r="AA522" s="123">
        <v>40</v>
      </c>
      <c r="AB522" s="127" t="s">
        <v>24</v>
      </c>
      <c r="AC522" s="123">
        <v>63.739150000000002</v>
      </c>
      <c r="AD522" s="123">
        <v>148.90440000000001</v>
      </c>
      <c r="AE522" s="127" t="s">
        <v>115</v>
      </c>
      <c r="AF522" s="127" t="s">
        <v>115</v>
      </c>
      <c r="AG522" s="127"/>
      <c r="AH522" s="123">
        <v>0</v>
      </c>
      <c r="AI522" s="123">
        <v>0</v>
      </c>
      <c r="AJ522" s="123">
        <v>0</v>
      </c>
      <c r="AK522" s="123">
        <v>0</v>
      </c>
      <c r="AL522" s="123">
        <v>0</v>
      </c>
      <c r="AN522" s="123">
        <f t="shared" si="9"/>
        <v>0</v>
      </c>
      <c r="AO522" s="123" t="s">
        <v>188</v>
      </c>
      <c r="AP522" s="123" t="s">
        <v>2758</v>
      </c>
    </row>
    <row r="523" spans="1:42" x14ac:dyDescent="0.2">
      <c r="A523" s="123" t="s">
        <v>2748</v>
      </c>
      <c r="B523" s="123" t="s">
        <v>2749</v>
      </c>
      <c r="C523" s="123">
        <v>11</v>
      </c>
      <c r="D523" s="123">
        <v>1</v>
      </c>
      <c r="E523" s="123" t="s">
        <v>834</v>
      </c>
      <c r="F523" s="125">
        <v>43554</v>
      </c>
      <c r="G523" s="125" t="s">
        <v>4026</v>
      </c>
      <c r="H523" s="125" t="s">
        <v>4752</v>
      </c>
      <c r="I523" s="171">
        <v>7.6388888888888886E-3</v>
      </c>
      <c r="J523" s="173">
        <v>1.273148148148148E-4</v>
      </c>
      <c r="K523" s="129">
        <v>11</v>
      </c>
      <c r="M523" s="123" t="s">
        <v>466</v>
      </c>
      <c r="N523" s="123" t="s">
        <v>102</v>
      </c>
      <c r="O523" s="123" t="s">
        <v>115</v>
      </c>
      <c r="P523" s="123">
        <v>1</v>
      </c>
      <c r="Q523" s="123">
        <v>0</v>
      </c>
      <c r="R523" s="123">
        <v>0</v>
      </c>
      <c r="S523" s="123" t="s">
        <v>598</v>
      </c>
      <c r="T523" s="127" t="s">
        <v>2801</v>
      </c>
      <c r="U523" s="127" t="s">
        <v>122</v>
      </c>
      <c r="V523" s="127" t="s">
        <v>115</v>
      </c>
      <c r="W523" s="127"/>
      <c r="X523" s="127"/>
      <c r="Y523" s="127"/>
      <c r="Z523" s="127" t="s">
        <v>115</v>
      </c>
      <c r="AA523" s="127" t="s">
        <v>115</v>
      </c>
      <c r="AB523" s="127" t="s">
        <v>115</v>
      </c>
      <c r="AC523" s="127" t="s">
        <v>115</v>
      </c>
      <c r="AD523" s="127" t="s">
        <v>115</v>
      </c>
      <c r="AE523" s="127" t="s">
        <v>115</v>
      </c>
      <c r="AF523" s="127" t="s">
        <v>115</v>
      </c>
      <c r="AG523" s="127"/>
      <c r="AH523" s="123">
        <v>0</v>
      </c>
      <c r="AI523" s="123">
        <v>0</v>
      </c>
      <c r="AJ523" s="123">
        <v>0</v>
      </c>
      <c r="AK523" s="123">
        <v>0</v>
      </c>
      <c r="AL523" s="123">
        <v>11</v>
      </c>
      <c r="AN523" s="123">
        <f t="shared" si="9"/>
        <v>11</v>
      </c>
      <c r="AO523" s="123" t="s">
        <v>188</v>
      </c>
    </row>
    <row r="524" spans="1:42" x14ac:dyDescent="0.2">
      <c r="A524" s="123" t="s">
        <v>2761</v>
      </c>
      <c r="B524" s="123" t="s">
        <v>2762</v>
      </c>
      <c r="C524" s="123">
        <v>16</v>
      </c>
      <c r="D524" s="123">
        <v>1</v>
      </c>
      <c r="E524" s="123" t="s">
        <v>834</v>
      </c>
      <c r="F524" s="125">
        <v>43554</v>
      </c>
      <c r="G524" s="125" t="s">
        <v>4026</v>
      </c>
      <c r="H524" s="125" t="s">
        <v>4752</v>
      </c>
      <c r="I524" s="171">
        <v>1.2499999999999999E-2</v>
      </c>
      <c r="J524" s="173">
        <v>2.0833333333333335E-4</v>
      </c>
      <c r="K524" s="129">
        <v>18</v>
      </c>
      <c r="M524" s="123" t="s">
        <v>466</v>
      </c>
      <c r="N524" s="123" t="s">
        <v>102</v>
      </c>
      <c r="O524" s="123" t="s">
        <v>115</v>
      </c>
      <c r="P524" s="123">
        <v>1</v>
      </c>
      <c r="Q524" s="123">
        <v>0</v>
      </c>
      <c r="R524" s="123">
        <v>0</v>
      </c>
      <c r="S524" s="123" t="s">
        <v>598</v>
      </c>
      <c r="T524" s="127" t="s">
        <v>2437</v>
      </c>
      <c r="U524" s="127" t="s">
        <v>122</v>
      </c>
      <c r="V524" s="127" t="s">
        <v>115</v>
      </c>
      <c r="W524" s="127"/>
      <c r="X524" s="127"/>
      <c r="Y524" s="127"/>
      <c r="Z524" s="127" t="s">
        <v>115</v>
      </c>
      <c r="AA524" s="127" t="s">
        <v>115</v>
      </c>
      <c r="AB524" s="127" t="s">
        <v>115</v>
      </c>
      <c r="AC524" s="127" t="s">
        <v>115</v>
      </c>
      <c r="AD524" s="127" t="s">
        <v>115</v>
      </c>
      <c r="AE524" s="127" t="s">
        <v>115</v>
      </c>
      <c r="AF524" s="127" t="s">
        <v>115</v>
      </c>
      <c r="AG524" s="127"/>
      <c r="AH524" s="123">
        <v>0</v>
      </c>
      <c r="AI524" s="123">
        <v>0</v>
      </c>
      <c r="AJ524" s="123">
        <v>0</v>
      </c>
      <c r="AK524" s="123">
        <v>0</v>
      </c>
      <c r="AL524" s="123">
        <v>10</v>
      </c>
      <c r="AN524" s="123">
        <f t="shared" si="9"/>
        <v>10</v>
      </c>
      <c r="AO524" s="123" t="s">
        <v>188</v>
      </c>
    </row>
    <row r="525" spans="1:42" x14ac:dyDescent="0.2">
      <c r="A525" s="123" t="s">
        <v>2734</v>
      </c>
      <c r="B525" s="123" t="s">
        <v>2735</v>
      </c>
      <c r="C525" s="123">
        <v>4</v>
      </c>
      <c r="D525" s="123">
        <v>1</v>
      </c>
      <c r="E525" s="123" t="s">
        <v>834</v>
      </c>
      <c r="F525" s="125">
        <v>43554</v>
      </c>
      <c r="G525" s="125" t="s">
        <v>4026</v>
      </c>
      <c r="H525" s="125" t="s">
        <v>4752</v>
      </c>
      <c r="I525" s="171">
        <v>2.2222222222222223E-2</v>
      </c>
      <c r="J525" s="173">
        <v>3.7037037037037035E-4</v>
      </c>
      <c r="K525" s="129">
        <v>32</v>
      </c>
      <c r="M525" s="123" t="s">
        <v>466</v>
      </c>
      <c r="N525" s="123" t="s">
        <v>102</v>
      </c>
      <c r="O525" s="123" t="s">
        <v>115</v>
      </c>
      <c r="P525" s="123">
        <v>1</v>
      </c>
      <c r="Q525" s="123">
        <v>0</v>
      </c>
      <c r="R525" s="123">
        <v>0</v>
      </c>
      <c r="S525" s="123" t="s">
        <v>14</v>
      </c>
      <c r="T525" s="127" t="s">
        <v>14</v>
      </c>
      <c r="U525" s="127" t="s">
        <v>122</v>
      </c>
      <c r="V525" s="127" t="s">
        <v>115</v>
      </c>
      <c r="W525" s="127"/>
      <c r="X525" s="127"/>
      <c r="Y525" s="127"/>
      <c r="Z525" s="127" t="s">
        <v>115</v>
      </c>
      <c r="AA525" s="127" t="s">
        <v>115</v>
      </c>
      <c r="AB525" s="127" t="s">
        <v>115</v>
      </c>
      <c r="AC525" s="127" t="s">
        <v>115</v>
      </c>
      <c r="AD525" s="127" t="s">
        <v>115</v>
      </c>
      <c r="AE525" s="127" t="s">
        <v>115</v>
      </c>
      <c r="AF525" s="127" t="s">
        <v>115</v>
      </c>
      <c r="AG525" s="127"/>
      <c r="AH525" s="123">
        <v>0</v>
      </c>
      <c r="AI525" s="123">
        <v>0</v>
      </c>
      <c r="AJ525" s="123">
        <v>0</v>
      </c>
      <c r="AK525" s="123">
        <v>0</v>
      </c>
      <c r="AL525" s="123">
        <v>32</v>
      </c>
      <c r="AN525" s="123">
        <f t="shared" si="9"/>
        <v>32</v>
      </c>
      <c r="AO525" s="123" t="s">
        <v>188</v>
      </c>
    </row>
    <row r="526" spans="1:42" x14ac:dyDescent="0.2">
      <c r="A526" s="123" t="s">
        <v>2750</v>
      </c>
      <c r="B526" s="123" t="s">
        <v>2751</v>
      </c>
      <c r="C526" s="123">
        <v>12</v>
      </c>
      <c r="D526" s="123">
        <v>1</v>
      </c>
      <c r="E526" s="123" t="s">
        <v>834</v>
      </c>
      <c r="F526" s="125">
        <v>43554</v>
      </c>
      <c r="G526" s="125" t="s">
        <v>4026</v>
      </c>
      <c r="H526" s="125" t="s">
        <v>4752</v>
      </c>
      <c r="I526" s="171">
        <v>1.2499999999999999E-2</v>
      </c>
      <c r="J526" s="173">
        <v>2.0833333333333335E-4</v>
      </c>
      <c r="K526" s="129">
        <v>18</v>
      </c>
      <c r="M526" s="123" t="s">
        <v>466</v>
      </c>
      <c r="N526" s="123" t="s">
        <v>107</v>
      </c>
      <c r="O526" s="123" t="s">
        <v>115</v>
      </c>
      <c r="P526" s="123">
        <v>0</v>
      </c>
      <c r="Q526" s="123">
        <v>0</v>
      </c>
      <c r="R526" s="123">
        <v>0</v>
      </c>
      <c r="S526" s="123" t="s">
        <v>598</v>
      </c>
      <c r="T526" s="127" t="s">
        <v>2801</v>
      </c>
      <c r="U526" s="127" t="s">
        <v>115</v>
      </c>
      <c r="V526" s="127" t="s">
        <v>115</v>
      </c>
      <c r="W526" s="127"/>
      <c r="X526" s="127"/>
      <c r="Y526" s="127"/>
      <c r="Z526" s="127" t="s">
        <v>115</v>
      </c>
      <c r="AA526" s="127" t="s">
        <v>115</v>
      </c>
      <c r="AB526" s="127" t="s">
        <v>115</v>
      </c>
      <c r="AC526" s="127" t="s">
        <v>115</v>
      </c>
      <c r="AD526" s="127" t="s">
        <v>115</v>
      </c>
      <c r="AE526" s="127" t="s">
        <v>115</v>
      </c>
      <c r="AF526" s="127" t="s">
        <v>115</v>
      </c>
      <c r="AG526" s="127"/>
      <c r="AH526" s="123">
        <v>0</v>
      </c>
      <c r="AI526" s="123">
        <v>0</v>
      </c>
      <c r="AJ526" s="123">
        <v>0</v>
      </c>
      <c r="AK526" s="123">
        <v>0</v>
      </c>
      <c r="AL526" s="123">
        <v>0</v>
      </c>
      <c r="AN526" s="123">
        <f t="shared" si="9"/>
        <v>0</v>
      </c>
      <c r="AP526" s="123" t="s">
        <v>2752</v>
      </c>
    </row>
    <row r="527" spans="1:42" x14ac:dyDescent="0.2">
      <c r="A527" s="123" t="s">
        <v>2736</v>
      </c>
      <c r="B527" s="123" t="s">
        <v>2738</v>
      </c>
      <c r="C527" s="123">
        <v>6</v>
      </c>
      <c r="D527" s="123">
        <v>1</v>
      </c>
      <c r="E527" s="123" t="s">
        <v>834</v>
      </c>
      <c r="F527" s="125">
        <v>43554</v>
      </c>
      <c r="G527" s="125" t="s">
        <v>4026</v>
      </c>
      <c r="H527" s="125" t="s">
        <v>4752</v>
      </c>
      <c r="I527" s="171">
        <v>1.8749999999999999E-2</v>
      </c>
      <c r="J527" s="173">
        <v>3.1250000000000001E-4</v>
      </c>
      <c r="K527" s="129">
        <v>27</v>
      </c>
      <c r="M527" s="123" t="s">
        <v>466</v>
      </c>
      <c r="N527" s="123" t="s">
        <v>102</v>
      </c>
      <c r="O527" s="123" t="s">
        <v>115</v>
      </c>
      <c r="P527" s="123">
        <v>0</v>
      </c>
      <c r="Q527" s="123">
        <v>0</v>
      </c>
      <c r="R527" s="123">
        <v>0</v>
      </c>
      <c r="T527" s="127" t="s">
        <v>115</v>
      </c>
      <c r="U527" s="127" t="s">
        <v>115</v>
      </c>
      <c r="V527" s="127" t="s">
        <v>115</v>
      </c>
      <c r="W527" s="127"/>
      <c r="X527" s="127"/>
      <c r="Y527" s="127"/>
      <c r="Z527" s="127" t="s">
        <v>115</v>
      </c>
      <c r="AA527" s="127" t="s">
        <v>115</v>
      </c>
      <c r="AB527" s="127" t="s">
        <v>115</v>
      </c>
      <c r="AC527" s="127" t="s">
        <v>115</v>
      </c>
      <c r="AD527" s="127" t="s">
        <v>115</v>
      </c>
      <c r="AE527" s="127" t="s">
        <v>115</v>
      </c>
      <c r="AF527" s="127" t="s">
        <v>115</v>
      </c>
      <c r="AG527" s="127"/>
      <c r="AH527" s="123">
        <v>0</v>
      </c>
      <c r="AI527" s="123">
        <v>0</v>
      </c>
      <c r="AJ527" s="123">
        <v>0</v>
      </c>
      <c r="AK527" s="123">
        <v>0</v>
      </c>
      <c r="AL527" s="123">
        <v>27</v>
      </c>
      <c r="AN527" s="123">
        <f t="shared" si="9"/>
        <v>27</v>
      </c>
      <c r="AO527" s="123" t="s">
        <v>188</v>
      </c>
    </row>
    <row r="528" spans="1:42" x14ac:dyDescent="0.2">
      <c r="A528" s="123" t="s">
        <v>2742</v>
      </c>
      <c r="B528" s="123" t="s">
        <v>2743</v>
      </c>
      <c r="C528" s="123">
        <v>8</v>
      </c>
      <c r="D528" s="123">
        <v>1</v>
      </c>
      <c r="E528" s="123" t="s">
        <v>834</v>
      </c>
      <c r="F528" s="125">
        <v>43554</v>
      </c>
      <c r="G528" s="125" t="s">
        <v>4026</v>
      </c>
      <c r="H528" s="125" t="s">
        <v>4752</v>
      </c>
      <c r="I528" s="171">
        <v>1.3888888888888888E-2</v>
      </c>
      <c r="J528" s="173">
        <v>2.3148148148148146E-4</v>
      </c>
      <c r="K528" s="129">
        <v>20</v>
      </c>
      <c r="M528" s="123" t="s">
        <v>466</v>
      </c>
      <c r="N528" s="123" t="s">
        <v>102</v>
      </c>
      <c r="O528" s="123" t="s">
        <v>115</v>
      </c>
      <c r="P528" s="123">
        <v>0</v>
      </c>
      <c r="Q528" s="123">
        <v>0</v>
      </c>
      <c r="R528" s="123">
        <v>0</v>
      </c>
      <c r="T528" s="127" t="s">
        <v>115</v>
      </c>
      <c r="U528" s="127" t="s">
        <v>115</v>
      </c>
      <c r="V528" s="127" t="s">
        <v>115</v>
      </c>
      <c r="W528" s="127"/>
      <c r="X528" s="127"/>
      <c r="Y528" s="127"/>
      <c r="Z528" s="127" t="s">
        <v>115</v>
      </c>
      <c r="AA528" s="127" t="s">
        <v>115</v>
      </c>
      <c r="AB528" s="127" t="s">
        <v>115</v>
      </c>
      <c r="AC528" s="127" t="s">
        <v>115</v>
      </c>
      <c r="AD528" s="127" t="s">
        <v>115</v>
      </c>
      <c r="AE528" s="127" t="s">
        <v>115</v>
      </c>
      <c r="AF528" s="127" t="s">
        <v>115</v>
      </c>
      <c r="AG528" s="127"/>
      <c r="AH528" s="123">
        <v>0</v>
      </c>
      <c r="AI528" s="123">
        <v>0</v>
      </c>
      <c r="AJ528" s="123">
        <v>0</v>
      </c>
      <c r="AK528" s="123">
        <v>0</v>
      </c>
      <c r="AL528" s="123">
        <v>20</v>
      </c>
      <c r="AN528" s="123">
        <f t="shared" si="9"/>
        <v>20</v>
      </c>
      <c r="AO528" s="123" t="s">
        <v>188</v>
      </c>
    </row>
    <row r="529" spans="1:42" x14ac:dyDescent="0.2">
      <c r="A529" s="123" t="s">
        <v>2584</v>
      </c>
      <c r="B529" s="123" t="s">
        <v>2585</v>
      </c>
      <c r="C529" s="123">
        <v>4</v>
      </c>
      <c r="D529" s="123">
        <v>1</v>
      </c>
      <c r="E529" s="123" t="s">
        <v>834</v>
      </c>
      <c r="F529" s="125">
        <v>43550</v>
      </c>
      <c r="G529" s="125" t="s">
        <v>4026</v>
      </c>
      <c r="H529" s="125" t="s">
        <v>4752</v>
      </c>
      <c r="I529" s="171">
        <v>2.361111111111111E-2</v>
      </c>
      <c r="J529" s="173">
        <v>3.9351851851851852E-4</v>
      </c>
      <c r="K529" s="129">
        <v>34</v>
      </c>
      <c r="L529" s="127" t="s">
        <v>2576</v>
      </c>
      <c r="M529" s="123" t="s">
        <v>466</v>
      </c>
      <c r="N529" s="123" t="s">
        <v>102</v>
      </c>
      <c r="O529" s="123" t="s">
        <v>115</v>
      </c>
      <c r="P529" s="123" t="s">
        <v>24</v>
      </c>
      <c r="Q529" s="123">
        <v>0</v>
      </c>
      <c r="R529" s="123">
        <v>0</v>
      </c>
      <c r="T529" s="123" t="s">
        <v>115</v>
      </c>
      <c r="U529" s="123" t="s">
        <v>115</v>
      </c>
      <c r="V529" s="123" t="s">
        <v>115</v>
      </c>
      <c r="Z529" s="123" t="s">
        <v>115</v>
      </c>
      <c r="AA529" s="123" t="s">
        <v>115</v>
      </c>
      <c r="AB529" s="123" t="s">
        <v>115</v>
      </c>
      <c r="AC529" s="123" t="s">
        <v>115</v>
      </c>
      <c r="AD529" s="123" t="s">
        <v>115</v>
      </c>
      <c r="AH529" s="123">
        <v>0</v>
      </c>
      <c r="AI529" s="123">
        <v>0</v>
      </c>
      <c r="AJ529" s="123">
        <v>0</v>
      </c>
      <c r="AK529" s="123">
        <v>0</v>
      </c>
      <c r="AL529" s="123">
        <v>27</v>
      </c>
      <c r="AN529" s="123">
        <f t="shared" si="9"/>
        <v>27</v>
      </c>
      <c r="AO529" s="123" t="s">
        <v>188</v>
      </c>
    </row>
    <row r="530" spans="1:42" x14ac:dyDescent="0.2">
      <c r="A530" s="123" t="s">
        <v>2767</v>
      </c>
      <c r="B530" s="123" t="s">
        <v>2768</v>
      </c>
      <c r="C530" s="123">
        <v>18</v>
      </c>
      <c r="D530" s="123">
        <v>1</v>
      </c>
      <c r="E530" s="123" t="s">
        <v>834</v>
      </c>
      <c r="F530" s="125">
        <v>43554</v>
      </c>
      <c r="G530" s="125" t="s">
        <v>4026</v>
      </c>
      <c r="H530" s="125" t="s">
        <v>4752</v>
      </c>
      <c r="I530" s="171">
        <v>1.6666666666666666E-2</v>
      </c>
      <c r="J530" s="173">
        <v>2.7777777777777778E-4</v>
      </c>
      <c r="K530" s="129">
        <v>24</v>
      </c>
      <c r="M530" s="123" t="s">
        <v>466</v>
      </c>
      <c r="N530" s="123" t="s">
        <v>102</v>
      </c>
      <c r="O530" s="123" t="s">
        <v>115</v>
      </c>
      <c r="P530" s="123" t="s">
        <v>24</v>
      </c>
      <c r="Q530" s="123">
        <v>0</v>
      </c>
      <c r="R530" s="123">
        <v>0</v>
      </c>
      <c r="T530" s="127" t="s">
        <v>115</v>
      </c>
      <c r="U530" s="127" t="s">
        <v>115</v>
      </c>
      <c r="V530" s="127" t="s">
        <v>115</v>
      </c>
      <c r="W530" s="127"/>
      <c r="X530" s="127"/>
      <c r="Y530" s="127"/>
      <c r="Z530" s="127" t="s">
        <v>115</v>
      </c>
      <c r="AA530" s="127" t="s">
        <v>115</v>
      </c>
      <c r="AB530" s="127" t="s">
        <v>115</v>
      </c>
      <c r="AC530" s="127" t="s">
        <v>115</v>
      </c>
      <c r="AD530" s="127" t="s">
        <v>115</v>
      </c>
      <c r="AE530" s="127" t="s">
        <v>115</v>
      </c>
      <c r="AF530" s="127" t="s">
        <v>115</v>
      </c>
      <c r="AG530" s="127"/>
      <c r="AH530" s="123">
        <v>0</v>
      </c>
      <c r="AI530" s="123">
        <v>0</v>
      </c>
      <c r="AJ530" s="123">
        <v>0</v>
      </c>
      <c r="AK530" s="123">
        <v>0</v>
      </c>
      <c r="AL530" s="123">
        <v>4</v>
      </c>
      <c r="AN530" s="123">
        <f t="shared" si="9"/>
        <v>4</v>
      </c>
      <c r="AO530" s="123" t="s">
        <v>188</v>
      </c>
    </row>
    <row r="531" spans="1:42" x14ac:dyDescent="0.2">
      <c r="A531" s="123" t="s">
        <v>2730</v>
      </c>
      <c r="B531" s="123" t="s">
        <v>2731</v>
      </c>
      <c r="C531" s="123">
        <v>2</v>
      </c>
      <c r="D531" s="123">
        <v>1</v>
      </c>
      <c r="E531" s="123" t="s">
        <v>834</v>
      </c>
      <c r="F531" s="125">
        <v>43554</v>
      </c>
      <c r="G531" s="125" t="s">
        <v>4026</v>
      </c>
      <c r="H531" s="125" t="s">
        <v>4752</v>
      </c>
      <c r="I531" s="171">
        <v>4.3055555555555562E-2</v>
      </c>
      <c r="J531" s="173">
        <v>7.175925925925927E-4</v>
      </c>
      <c r="K531" s="129">
        <v>62</v>
      </c>
      <c r="M531" s="123" t="s">
        <v>466</v>
      </c>
      <c r="N531" s="123" t="s">
        <v>102</v>
      </c>
      <c r="O531" s="123" t="s">
        <v>115</v>
      </c>
      <c r="P531" s="123" t="s">
        <v>24</v>
      </c>
      <c r="Q531" s="123">
        <v>0</v>
      </c>
      <c r="R531" s="123">
        <v>0</v>
      </c>
      <c r="T531" s="127" t="s">
        <v>115</v>
      </c>
      <c r="U531" s="127" t="s">
        <v>115</v>
      </c>
      <c r="V531" s="127" t="s">
        <v>115</v>
      </c>
      <c r="W531" s="127"/>
      <c r="X531" s="127"/>
      <c r="Y531" s="127"/>
      <c r="Z531" s="127" t="s">
        <v>115</v>
      </c>
      <c r="AA531" s="127" t="s">
        <v>115</v>
      </c>
      <c r="AB531" s="127" t="s">
        <v>115</v>
      </c>
      <c r="AC531" s="127" t="s">
        <v>115</v>
      </c>
      <c r="AD531" s="127" t="s">
        <v>115</v>
      </c>
      <c r="AE531" s="127" t="s">
        <v>115</v>
      </c>
      <c r="AF531" s="127" t="s">
        <v>115</v>
      </c>
      <c r="AG531" s="127"/>
      <c r="AH531" s="123">
        <v>0</v>
      </c>
      <c r="AI531" s="123">
        <v>0</v>
      </c>
      <c r="AJ531" s="123">
        <v>0</v>
      </c>
      <c r="AK531" s="123">
        <v>0</v>
      </c>
      <c r="AL531" s="123">
        <v>62</v>
      </c>
      <c r="AN531" s="123">
        <f t="shared" si="9"/>
        <v>62</v>
      </c>
      <c r="AO531" s="123" t="s">
        <v>188</v>
      </c>
    </row>
    <row r="532" spans="1:42" x14ac:dyDescent="0.2">
      <c r="A532" s="123" t="s">
        <v>2732</v>
      </c>
      <c r="B532" s="123" t="s">
        <v>2733</v>
      </c>
      <c r="C532" s="123">
        <v>3</v>
      </c>
      <c r="D532" s="123">
        <v>1</v>
      </c>
      <c r="E532" s="123" t="s">
        <v>834</v>
      </c>
      <c r="F532" s="125">
        <v>43554</v>
      </c>
      <c r="G532" s="125" t="s">
        <v>4026</v>
      </c>
      <c r="H532" s="125" t="s">
        <v>4752</v>
      </c>
      <c r="I532" s="171">
        <v>2.7777777777777776E-2</v>
      </c>
      <c r="J532" s="173">
        <v>4.6296296296296293E-4</v>
      </c>
      <c r="K532" s="129">
        <v>40</v>
      </c>
      <c r="M532" s="123" t="s">
        <v>466</v>
      </c>
      <c r="N532" s="123" t="s">
        <v>102</v>
      </c>
      <c r="O532" s="123" t="s">
        <v>115</v>
      </c>
      <c r="P532" s="123" t="s">
        <v>24</v>
      </c>
      <c r="Q532" s="123">
        <v>0</v>
      </c>
      <c r="R532" s="123">
        <v>0</v>
      </c>
      <c r="T532" s="127" t="s">
        <v>115</v>
      </c>
      <c r="U532" s="127" t="s">
        <v>115</v>
      </c>
      <c r="V532" s="127" t="s">
        <v>115</v>
      </c>
      <c r="W532" s="127"/>
      <c r="X532" s="127"/>
      <c r="Y532" s="127"/>
      <c r="Z532" s="127" t="s">
        <v>115</v>
      </c>
      <c r="AA532" s="127" t="s">
        <v>115</v>
      </c>
      <c r="AB532" s="127" t="s">
        <v>115</v>
      </c>
      <c r="AC532" s="127" t="s">
        <v>115</v>
      </c>
      <c r="AD532" s="127" t="s">
        <v>115</v>
      </c>
      <c r="AE532" s="127" t="s">
        <v>115</v>
      </c>
      <c r="AF532" s="127" t="s">
        <v>115</v>
      </c>
      <c r="AG532" s="127"/>
      <c r="AH532" s="123">
        <v>0</v>
      </c>
      <c r="AI532" s="123">
        <v>0</v>
      </c>
      <c r="AJ532" s="123">
        <v>0</v>
      </c>
      <c r="AK532" s="123">
        <v>0</v>
      </c>
      <c r="AL532" s="123">
        <v>34</v>
      </c>
      <c r="AN532" s="123">
        <f t="shared" si="9"/>
        <v>34</v>
      </c>
      <c r="AO532" s="123" t="s">
        <v>188</v>
      </c>
    </row>
    <row r="533" spans="1:42" x14ac:dyDescent="0.2">
      <c r="A533" s="123" t="s">
        <v>2478</v>
      </c>
      <c r="B533" s="123" t="s">
        <v>2479</v>
      </c>
      <c r="C533" s="123">
        <v>5</v>
      </c>
      <c r="D533" s="123">
        <v>1</v>
      </c>
      <c r="E533" s="123" t="s">
        <v>3171</v>
      </c>
      <c r="F533" s="125">
        <v>43549</v>
      </c>
      <c r="G533" s="125" t="s">
        <v>4026</v>
      </c>
      <c r="H533" s="125" t="s">
        <v>4752</v>
      </c>
      <c r="I533" s="171">
        <v>2.0833333333333332E-2</v>
      </c>
      <c r="J533" s="173">
        <v>3.4722222222222224E-4</v>
      </c>
      <c r="K533" s="129">
        <v>30</v>
      </c>
      <c r="L533" s="127" t="s">
        <v>398</v>
      </c>
      <c r="M533" s="123" t="s">
        <v>149</v>
      </c>
      <c r="N533" s="123" t="s">
        <v>102</v>
      </c>
      <c r="O533" s="123" t="s">
        <v>115</v>
      </c>
      <c r="P533" s="123">
        <v>2</v>
      </c>
      <c r="Q533" s="123">
        <v>0</v>
      </c>
      <c r="R533" s="123">
        <v>0</v>
      </c>
      <c r="S533" s="123" t="s">
        <v>14</v>
      </c>
      <c r="T533" s="123" t="s">
        <v>14</v>
      </c>
      <c r="U533" s="123" t="s">
        <v>122</v>
      </c>
      <c r="V533" s="123" t="s">
        <v>115</v>
      </c>
      <c r="Z533" s="123" t="s">
        <v>115</v>
      </c>
      <c r="AA533" s="123" t="s">
        <v>115</v>
      </c>
      <c r="AB533" s="123" t="s">
        <v>115</v>
      </c>
      <c r="AC533" s="123" t="s">
        <v>115</v>
      </c>
      <c r="AD533" s="123" t="s">
        <v>115</v>
      </c>
      <c r="AH533" s="123">
        <v>0</v>
      </c>
      <c r="AI533" s="123">
        <v>0</v>
      </c>
      <c r="AJ533" s="123">
        <v>0</v>
      </c>
      <c r="AK533" s="123">
        <v>0</v>
      </c>
      <c r="AL533" s="123">
        <v>18</v>
      </c>
      <c r="AN533" s="123">
        <f t="shared" si="9"/>
        <v>18</v>
      </c>
      <c r="AO533" s="123" t="s">
        <v>188</v>
      </c>
      <c r="AP533" s="123" t="s">
        <v>2480</v>
      </c>
    </row>
    <row r="534" spans="1:42" x14ac:dyDescent="0.2">
      <c r="A534" s="123" t="s">
        <v>2473</v>
      </c>
      <c r="B534" s="123" t="s">
        <v>2474</v>
      </c>
      <c r="C534" s="123">
        <v>3</v>
      </c>
      <c r="D534" s="123">
        <v>1</v>
      </c>
      <c r="E534" s="123" t="s">
        <v>3171</v>
      </c>
      <c r="F534" s="125">
        <v>43549</v>
      </c>
      <c r="G534" s="125" t="s">
        <v>4026</v>
      </c>
      <c r="H534" s="125" t="s">
        <v>4752</v>
      </c>
      <c r="I534" s="171">
        <v>2.5694444444444447E-2</v>
      </c>
      <c r="J534" s="173">
        <v>4.2824074074074075E-4</v>
      </c>
      <c r="K534" s="129">
        <v>37</v>
      </c>
      <c r="L534" s="127" t="s">
        <v>398</v>
      </c>
      <c r="M534" s="123" t="s">
        <v>149</v>
      </c>
      <c r="N534" s="123" t="s">
        <v>102</v>
      </c>
      <c r="O534" s="123" t="s">
        <v>23</v>
      </c>
      <c r="P534" s="123">
        <v>0</v>
      </c>
      <c r="Q534" s="123">
        <v>0</v>
      </c>
      <c r="R534" s="123">
        <v>0</v>
      </c>
      <c r="T534" s="123" t="s">
        <v>115</v>
      </c>
      <c r="U534" s="123" t="s">
        <v>115</v>
      </c>
      <c r="V534" s="123" t="s">
        <v>115</v>
      </c>
      <c r="Z534" s="123" t="s">
        <v>115</v>
      </c>
      <c r="AA534" s="123" t="s">
        <v>115</v>
      </c>
      <c r="AB534" s="123" t="s">
        <v>115</v>
      </c>
      <c r="AC534" s="123" t="s">
        <v>115</v>
      </c>
      <c r="AD534" s="123" t="s">
        <v>115</v>
      </c>
      <c r="AH534" s="123">
        <v>10</v>
      </c>
      <c r="AI534" s="123">
        <v>0</v>
      </c>
      <c r="AJ534" s="123">
        <v>0</v>
      </c>
      <c r="AK534" s="123">
        <v>10</v>
      </c>
      <c r="AL534" s="123">
        <v>0</v>
      </c>
      <c r="AN534" s="123">
        <f t="shared" si="9"/>
        <v>10</v>
      </c>
      <c r="AO534" s="123" t="s">
        <v>188</v>
      </c>
      <c r="AP534" s="123" t="s">
        <v>2475</v>
      </c>
    </row>
    <row r="535" spans="1:42" x14ac:dyDescent="0.2">
      <c r="A535" s="123" t="s">
        <v>2476</v>
      </c>
      <c r="B535" s="123" t="s">
        <v>2477</v>
      </c>
      <c r="C535" s="123">
        <v>4</v>
      </c>
      <c r="D535" s="123">
        <v>1</v>
      </c>
      <c r="E535" s="123" t="s">
        <v>3171</v>
      </c>
      <c r="F535" s="125">
        <v>43549</v>
      </c>
      <c r="G535" s="125" t="s">
        <v>4026</v>
      </c>
      <c r="H535" s="125" t="s">
        <v>4752</v>
      </c>
      <c r="I535" s="171">
        <v>1.8749999999999999E-2</v>
      </c>
      <c r="J535" s="173">
        <v>3.1250000000000001E-4</v>
      </c>
      <c r="K535" s="129">
        <v>27</v>
      </c>
      <c r="L535" s="127" t="s">
        <v>398</v>
      </c>
      <c r="M535" s="123" t="s">
        <v>149</v>
      </c>
      <c r="N535" s="123" t="s">
        <v>102</v>
      </c>
      <c r="O535" s="123" t="s">
        <v>115</v>
      </c>
      <c r="P535" s="123">
        <v>0</v>
      </c>
      <c r="Q535" s="123">
        <v>0</v>
      </c>
      <c r="R535" s="123">
        <v>0</v>
      </c>
      <c r="T535" s="123" t="s">
        <v>115</v>
      </c>
      <c r="U535" s="123" t="s">
        <v>115</v>
      </c>
      <c r="V535" s="123" t="s">
        <v>115</v>
      </c>
      <c r="Z535" s="123" t="s">
        <v>115</v>
      </c>
      <c r="AA535" s="123" t="s">
        <v>115</v>
      </c>
      <c r="AB535" s="123" t="s">
        <v>115</v>
      </c>
      <c r="AC535" s="123" t="s">
        <v>115</v>
      </c>
      <c r="AD535" s="123" t="s">
        <v>115</v>
      </c>
      <c r="AH535" s="123">
        <v>0</v>
      </c>
      <c r="AI535" s="123">
        <v>0</v>
      </c>
      <c r="AJ535" s="123">
        <v>0</v>
      </c>
      <c r="AK535" s="123">
        <v>0</v>
      </c>
      <c r="AL535" s="123">
        <v>3</v>
      </c>
      <c r="AN535" s="123">
        <f t="shared" si="9"/>
        <v>3</v>
      </c>
    </row>
    <row r="536" spans="1:42" x14ac:dyDescent="0.2">
      <c r="A536" s="123" t="s">
        <v>2481</v>
      </c>
      <c r="B536" s="123" t="s">
        <v>2482</v>
      </c>
      <c r="C536" s="123">
        <v>6</v>
      </c>
      <c r="D536" s="123">
        <v>1</v>
      </c>
      <c r="E536" s="123" t="s">
        <v>3171</v>
      </c>
      <c r="F536" s="125">
        <v>43549</v>
      </c>
      <c r="G536" s="125" t="s">
        <v>4026</v>
      </c>
      <c r="H536" s="125" t="s">
        <v>4752</v>
      </c>
      <c r="I536" s="171">
        <v>1.6666666666666666E-2</v>
      </c>
      <c r="J536" s="173">
        <v>2.7777777777777778E-4</v>
      </c>
      <c r="K536" s="129">
        <v>24</v>
      </c>
      <c r="L536" s="127" t="s">
        <v>398</v>
      </c>
      <c r="M536" s="123" t="s">
        <v>149</v>
      </c>
      <c r="N536" s="123" t="s">
        <v>102</v>
      </c>
      <c r="O536" s="123" t="s">
        <v>115</v>
      </c>
      <c r="P536" s="123">
        <v>0</v>
      </c>
      <c r="Q536" s="123">
        <v>0</v>
      </c>
      <c r="R536" s="123">
        <v>0</v>
      </c>
      <c r="T536" s="123" t="s">
        <v>115</v>
      </c>
      <c r="U536" s="123" t="s">
        <v>115</v>
      </c>
      <c r="V536" s="123" t="s">
        <v>115</v>
      </c>
      <c r="Z536" s="123" t="s">
        <v>115</v>
      </c>
      <c r="AA536" s="123" t="s">
        <v>115</v>
      </c>
      <c r="AB536" s="123" t="s">
        <v>115</v>
      </c>
      <c r="AC536" s="123" t="s">
        <v>115</v>
      </c>
      <c r="AD536" s="123" t="s">
        <v>115</v>
      </c>
      <c r="AH536" s="123">
        <v>0</v>
      </c>
      <c r="AI536" s="123">
        <v>0</v>
      </c>
      <c r="AJ536" s="123">
        <v>0</v>
      </c>
      <c r="AK536" s="123">
        <v>0</v>
      </c>
      <c r="AL536" s="123">
        <v>11</v>
      </c>
      <c r="AN536" s="123">
        <f t="shared" si="9"/>
        <v>11</v>
      </c>
      <c r="AO536" s="123" t="s">
        <v>188</v>
      </c>
    </row>
    <row r="537" spans="1:42" x14ac:dyDescent="0.2">
      <c r="A537" s="123" t="s">
        <v>2470</v>
      </c>
      <c r="B537" s="123" t="s">
        <v>2471</v>
      </c>
      <c r="C537" s="123">
        <v>2</v>
      </c>
      <c r="D537" s="123">
        <v>1</v>
      </c>
      <c r="E537" s="123" t="s">
        <v>3171</v>
      </c>
      <c r="F537" s="125">
        <v>43549</v>
      </c>
      <c r="G537" s="125" t="s">
        <v>4026</v>
      </c>
      <c r="H537" s="125" t="s">
        <v>4752</v>
      </c>
      <c r="I537" s="171">
        <v>4.5138888888888888E-2</v>
      </c>
      <c r="J537" s="173">
        <v>7.5231481481481471E-4</v>
      </c>
      <c r="K537" s="129">
        <v>65</v>
      </c>
      <c r="L537" s="127" t="s">
        <v>398</v>
      </c>
      <c r="M537" s="123" t="s">
        <v>149</v>
      </c>
      <c r="N537" s="123" t="s">
        <v>102</v>
      </c>
      <c r="O537" s="123" t="s">
        <v>115</v>
      </c>
      <c r="P537" s="123">
        <v>1</v>
      </c>
      <c r="Q537" s="123">
        <v>0</v>
      </c>
      <c r="R537" s="123">
        <v>0</v>
      </c>
      <c r="S537" s="123" t="s">
        <v>14</v>
      </c>
      <c r="T537" s="123" t="s">
        <v>2472</v>
      </c>
      <c r="U537" s="123" t="s">
        <v>122</v>
      </c>
      <c r="V537" s="123" t="s">
        <v>115</v>
      </c>
      <c r="Z537" s="123" t="s">
        <v>115</v>
      </c>
      <c r="AA537" s="123" t="s">
        <v>115</v>
      </c>
      <c r="AB537" s="123" t="s">
        <v>115</v>
      </c>
      <c r="AC537" s="123" t="s">
        <v>115</v>
      </c>
      <c r="AD537" s="123" t="s">
        <v>115</v>
      </c>
      <c r="AH537" s="123">
        <v>0</v>
      </c>
      <c r="AI537" s="123">
        <v>0</v>
      </c>
      <c r="AJ537" s="123">
        <v>0</v>
      </c>
      <c r="AK537" s="123">
        <v>0</v>
      </c>
      <c r="AL537" s="123">
        <v>9</v>
      </c>
      <c r="AN537" s="123">
        <f t="shared" si="9"/>
        <v>9</v>
      </c>
      <c r="AO537" s="123" t="s">
        <v>188</v>
      </c>
    </row>
    <row r="538" spans="1:42" x14ac:dyDescent="0.2">
      <c r="A538" s="123" t="s">
        <v>2483</v>
      </c>
      <c r="B538" s="123" t="s">
        <v>2484</v>
      </c>
      <c r="C538" s="123">
        <v>7</v>
      </c>
      <c r="D538" s="123">
        <v>1</v>
      </c>
      <c r="E538" s="123" t="s">
        <v>3171</v>
      </c>
      <c r="F538" s="125">
        <v>43549</v>
      </c>
      <c r="G538" s="125" t="s">
        <v>4026</v>
      </c>
      <c r="H538" s="125" t="s">
        <v>4752</v>
      </c>
      <c r="I538" s="171">
        <v>2.9166666666666664E-2</v>
      </c>
      <c r="J538" s="173">
        <v>4.8611111111111104E-4</v>
      </c>
      <c r="K538" s="129">
        <v>42</v>
      </c>
      <c r="L538" s="127" t="s">
        <v>398</v>
      </c>
      <c r="M538" s="123" t="s">
        <v>149</v>
      </c>
      <c r="N538" s="123" t="s">
        <v>102</v>
      </c>
      <c r="O538" s="123" t="s">
        <v>115</v>
      </c>
      <c r="P538" s="123" t="s">
        <v>24</v>
      </c>
      <c r="Q538" s="123" t="s">
        <v>24</v>
      </c>
      <c r="R538" s="123" t="s">
        <v>176</v>
      </c>
      <c r="T538" s="123" t="s">
        <v>115</v>
      </c>
      <c r="U538" s="123" t="s">
        <v>115</v>
      </c>
      <c r="V538" s="123" t="s">
        <v>115</v>
      </c>
      <c r="Z538" s="123" t="s">
        <v>115</v>
      </c>
      <c r="AA538" s="123" t="s">
        <v>115</v>
      </c>
      <c r="AB538" s="123" t="s">
        <v>115</v>
      </c>
      <c r="AC538" s="123" t="s">
        <v>115</v>
      </c>
      <c r="AD538" s="123" t="s">
        <v>115</v>
      </c>
      <c r="AH538" s="129">
        <v>35</v>
      </c>
      <c r="AI538" s="123">
        <v>0</v>
      </c>
      <c r="AJ538" s="123">
        <v>35</v>
      </c>
      <c r="AK538" s="123">
        <v>0</v>
      </c>
      <c r="AL538" s="123">
        <v>0</v>
      </c>
      <c r="AN538" s="123">
        <f t="shared" si="9"/>
        <v>35</v>
      </c>
      <c r="AO538" s="123" t="s">
        <v>188</v>
      </c>
    </row>
    <row r="539" spans="1:42" x14ac:dyDescent="0.2">
      <c r="A539" s="123" t="s">
        <v>2468</v>
      </c>
      <c r="B539" s="123" t="s">
        <v>2469</v>
      </c>
      <c r="C539" s="123">
        <v>1</v>
      </c>
      <c r="D539" s="123">
        <v>1</v>
      </c>
      <c r="E539" s="123" t="s">
        <v>3171</v>
      </c>
      <c r="F539" s="125">
        <v>43549</v>
      </c>
      <c r="G539" s="125" t="s">
        <v>4026</v>
      </c>
      <c r="H539" s="125" t="s">
        <v>4752</v>
      </c>
      <c r="I539" s="171">
        <v>9.0277777777777787E-3</v>
      </c>
      <c r="J539" s="173">
        <v>1.5046296296296297E-4</v>
      </c>
      <c r="K539" s="129">
        <v>13</v>
      </c>
      <c r="L539" s="127" t="s">
        <v>398</v>
      </c>
      <c r="M539" s="123" t="s">
        <v>149</v>
      </c>
      <c r="N539" s="123" t="s">
        <v>102</v>
      </c>
      <c r="O539" s="123" t="s">
        <v>115</v>
      </c>
      <c r="P539" s="123" t="s">
        <v>24</v>
      </c>
      <c r="Q539" s="123">
        <v>0</v>
      </c>
      <c r="R539" s="123">
        <v>0</v>
      </c>
      <c r="T539" s="123" t="s">
        <v>115</v>
      </c>
      <c r="U539" s="123" t="s">
        <v>115</v>
      </c>
      <c r="V539" s="123" t="s">
        <v>115</v>
      </c>
      <c r="Z539" s="123" t="s">
        <v>115</v>
      </c>
      <c r="AA539" s="123" t="s">
        <v>115</v>
      </c>
      <c r="AB539" s="123" t="s">
        <v>115</v>
      </c>
      <c r="AC539" s="123" t="s">
        <v>115</v>
      </c>
      <c r="AD539" s="123" t="s">
        <v>115</v>
      </c>
      <c r="AH539" s="123">
        <v>0</v>
      </c>
      <c r="AI539" s="123">
        <v>0</v>
      </c>
      <c r="AJ539" s="123">
        <v>0</v>
      </c>
      <c r="AK539" s="123">
        <v>0</v>
      </c>
      <c r="AL539" s="123">
        <v>3</v>
      </c>
      <c r="AN539" s="123">
        <f t="shared" si="9"/>
        <v>3</v>
      </c>
      <c r="AO539" s="123" t="s">
        <v>188</v>
      </c>
    </row>
    <row r="540" spans="1:42" x14ac:dyDescent="0.2">
      <c r="A540" s="123" t="s">
        <v>2621</v>
      </c>
      <c r="B540" s="123" t="s">
        <v>4776</v>
      </c>
      <c r="C540" s="123">
        <v>7</v>
      </c>
      <c r="D540" s="123">
        <v>1</v>
      </c>
      <c r="E540" s="123" t="s">
        <v>2601</v>
      </c>
      <c r="F540" s="125">
        <v>43551</v>
      </c>
      <c r="G540" s="125" t="s">
        <v>4026</v>
      </c>
      <c r="H540" s="125" t="s">
        <v>4752</v>
      </c>
      <c r="I540" s="171">
        <v>1.2499999999999999E-2</v>
      </c>
      <c r="J540" s="173">
        <v>2.0833333333333335E-4</v>
      </c>
      <c r="K540" s="129">
        <v>18</v>
      </c>
      <c r="L540" s="127" t="s">
        <v>398</v>
      </c>
      <c r="M540" s="123" t="s">
        <v>173</v>
      </c>
      <c r="N540" s="123" t="s">
        <v>107</v>
      </c>
      <c r="O540" s="123" t="s">
        <v>115</v>
      </c>
      <c r="P540" s="123">
        <v>1</v>
      </c>
      <c r="Q540" s="123">
        <v>0</v>
      </c>
      <c r="R540" s="123">
        <v>0</v>
      </c>
      <c r="S540" s="123" t="s">
        <v>176</v>
      </c>
      <c r="T540" s="123" t="s">
        <v>24</v>
      </c>
      <c r="U540" s="123" t="s">
        <v>122</v>
      </c>
      <c r="V540" s="123" t="s">
        <v>115</v>
      </c>
      <c r="Z540" s="123" t="s">
        <v>115</v>
      </c>
      <c r="AA540" s="123" t="s">
        <v>115</v>
      </c>
      <c r="AB540" s="123" t="s">
        <v>115</v>
      </c>
      <c r="AC540" s="123" t="s">
        <v>115</v>
      </c>
      <c r="AD540" s="123" t="s">
        <v>115</v>
      </c>
      <c r="AE540" s="123" t="s">
        <v>115</v>
      </c>
      <c r="AF540" s="123" t="s">
        <v>115</v>
      </c>
      <c r="AH540" s="123">
        <v>0</v>
      </c>
      <c r="AI540" s="123">
        <v>0</v>
      </c>
      <c r="AJ540" s="123">
        <v>0</v>
      </c>
      <c r="AK540" s="123">
        <v>0</v>
      </c>
      <c r="AL540" s="123">
        <v>0</v>
      </c>
      <c r="AN540" s="123">
        <f t="shared" si="9"/>
        <v>0</v>
      </c>
      <c r="AO540" s="123" t="s">
        <v>188</v>
      </c>
      <c r="AP540" s="123" t="s">
        <v>2405</v>
      </c>
    </row>
    <row r="541" spans="1:42" x14ac:dyDescent="0.2">
      <c r="A541" s="123" t="s">
        <v>2616</v>
      </c>
      <c r="B541" s="123" t="s">
        <v>4777</v>
      </c>
      <c r="C541" s="123">
        <v>5</v>
      </c>
      <c r="D541" s="123">
        <v>1</v>
      </c>
      <c r="E541" s="123" t="s">
        <v>2601</v>
      </c>
      <c r="F541" s="125">
        <v>43551</v>
      </c>
      <c r="G541" s="125" t="s">
        <v>4026</v>
      </c>
      <c r="H541" s="125" t="s">
        <v>4752</v>
      </c>
      <c r="I541" s="171">
        <v>6.5277777777777782E-2</v>
      </c>
      <c r="J541" s="173">
        <v>1.0879629629629629E-3</v>
      </c>
      <c r="K541" s="129">
        <v>94</v>
      </c>
      <c r="L541" s="127" t="s">
        <v>398</v>
      </c>
      <c r="M541" s="123" t="s">
        <v>173</v>
      </c>
      <c r="N541" s="123" t="s">
        <v>102</v>
      </c>
      <c r="O541" s="123" t="s">
        <v>23</v>
      </c>
      <c r="P541" s="123">
        <v>1</v>
      </c>
      <c r="Q541" s="123">
        <v>1</v>
      </c>
      <c r="R541" s="123">
        <v>0</v>
      </c>
      <c r="S541" s="123" t="s">
        <v>176</v>
      </c>
      <c r="T541" s="123" t="s">
        <v>24</v>
      </c>
      <c r="U541" s="123" t="s">
        <v>2069</v>
      </c>
      <c r="V541" s="123" t="s">
        <v>115</v>
      </c>
      <c r="Z541" s="123" t="s">
        <v>115</v>
      </c>
      <c r="AA541" s="123" t="s">
        <v>115</v>
      </c>
      <c r="AB541" s="123" t="s">
        <v>115</v>
      </c>
      <c r="AC541" s="123" t="s">
        <v>115</v>
      </c>
      <c r="AD541" s="123" t="s">
        <v>115</v>
      </c>
      <c r="AE541" s="123">
        <v>63.726010000000002</v>
      </c>
      <c r="AF541" s="123">
        <v>148.96159</v>
      </c>
      <c r="AH541" s="123">
        <v>13</v>
      </c>
      <c r="AI541" s="123">
        <v>0</v>
      </c>
      <c r="AJ541" s="123">
        <v>13</v>
      </c>
      <c r="AK541" s="123">
        <v>0</v>
      </c>
      <c r="AL541" s="123">
        <v>0</v>
      </c>
      <c r="AN541" s="123">
        <f t="shared" si="9"/>
        <v>13</v>
      </c>
      <c r="AO541" s="123" t="s">
        <v>188</v>
      </c>
    </row>
    <row r="542" spans="1:42" x14ac:dyDescent="0.2">
      <c r="A542" s="123" t="s">
        <v>2614</v>
      </c>
      <c r="B542" s="123" t="s">
        <v>4778</v>
      </c>
      <c r="C542" s="123">
        <v>4</v>
      </c>
      <c r="D542" s="123">
        <v>1</v>
      </c>
      <c r="E542" s="123" t="s">
        <v>2601</v>
      </c>
      <c r="F542" s="125">
        <v>43551</v>
      </c>
      <c r="G542" s="125" t="s">
        <v>4026</v>
      </c>
      <c r="H542" s="125" t="s">
        <v>4752</v>
      </c>
      <c r="I542" s="171">
        <v>1.8055555555555557E-2</v>
      </c>
      <c r="J542" s="173">
        <v>3.0092592592592595E-4</v>
      </c>
      <c r="K542" s="129">
        <v>26</v>
      </c>
      <c r="L542" s="127" t="s">
        <v>398</v>
      </c>
      <c r="M542" s="123" t="s">
        <v>173</v>
      </c>
      <c r="N542" s="123" t="s">
        <v>102</v>
      </c>
      <c r="O542" s="123" t="s">
        <v>115</v>
      </c>
      <c r="P542" s="123">
        <v>1</v>
      </c>
      <c r="Q542" s="123">
        <v>0</v>
      </c>
      <c r="R542" s="123">
        <v>0</v>
      </c>
      <c r="S542" s="123" t="s">
        <v>14</v>
      </c>
      <c r="T542" s="123" t="s">
        <v>14</v>
      </c>
      <c r="U542" s="123" t="s">
        <v>122</v>
      </c>
      <c r="V542" s="123" t="s">
        <v>115</v>
      </c>
      <c r="Z542" s="123" t="s">
        <v>115</v>
      </c>
      <c r="AA542" s="123" t="s">
        <v>115</v>
      </c>
      <c r="AB542" s="123" t="s">
        <v>115</v>
      </c>
      <c r="AC542" s="123" t="s">
        <v>115</v>
      </c>
      <c r="AD542" s="123" t="s">
        <v>115</v>
      </c>
      <c r="AE542" s="123" t="s">
        <v>115</v>
      </c>
      <c r="AF542" s="123" t="s">
        <v>115</v>
      </c>
      <c r="AH542" s="123">
        <v>0</v>
      </c>
      <c r="AI542" s="123">
        <v>0</v>
      </c>
      <c r="AJ542" s="123">
        <v>0</v>
      </c>
      <c r="AK542" s="123">
        <v>0</v>
      </c>
      <c r="AL542" s="123">
        <v>26</v>
      </c>
      <c r="AN542" s="123">
        <f t="shared" si="9"/>
        <v>26</v>
      </c>
      <c r="AO542" s="123" t="s">
        <v>188</v>
      </c>
    </row>
    <row r="543" spans="1:42" x14ac:dyDescent="0.2">
      <c r="A543" s="123" t="s">
        <v>2616</v>
      </c>
      <c r="B543" s="123" t="s">
        <v>4777</v>
      </c>
      <c r="C543" s="123">
        <v>5</v>
      </c>
      <c r="D543" s="123">
        <v>2</v>
      </c>
      <c r="E543" s="123" t="s">
        <v>2601</v>
      </c>
      <c r="F543" s="125">
        <v>43551</v>
      </c>
      <c r="G543" s="125" t="s">
        <v>4026</v>
      </c>
      <c r="H543" s="125" t="s">
        <v>4752</v>
      </c>
      <c r="I543" s="171">
        <v>6.5277777777777782E-2</v>
      </c>
      <c r="J543" s="173">
        <v>1.0879629629629629E-3</v>
      </c>
      <c r="K543" s="129">
        <v>94</v>
      </c>
      <c r="L543" s="127" t="s">
        <v>398</v>
      </c>
      <c r="M543" s="123" t="s">
        <v>173</v>
      </c>
      <c r="N543" s="123" t="s">
        <v>102</v>
      </c>
      <c r="O543" s="123" t="s">
        <v>23</v>
      </c>
      <c r="P543" s="123">
        <v>2</v>
      </c>
      <c r="Q543" s="123">
        <v>1</v>
      </c>
      <c r="R543" s="123">
        <v>0</v>
      </c>
      <c r="S543" s="123" t="s">
        <v>14</v>
      </c>
      <c r="T543" s="123" t="s">
        <v>14</v>
      </c>
      <c r="U543" s="123" t="s">
        <v>122</v>
      </c>
      <c r="V543" s="123" t="s">
        <v>115</v>
      </c>
      <c r="Z543" s="123" t="s">
        <v>115</v>
      </c>
      <c r="AA543" s="123" t="s">
        <v>115</v>
      </c>
      <c r="AB543" s="123" t="s">
        <v>115</v>
      </c>
      <c r="AC543" s="123" t="s">
        <v>115</v>
      </c>
      <c r="AD543" s="123" t="s">
        <v>115</v>
      </c>
      <c r="AE543" s="123" t="s">
        <v>115</v>
      </c>
      <c r="AF543" s="123" t="s">
        <v>115</v>
      </c>
      <c r="AH543" s="123">
        <v>0</v>
      </c>
      <c r="AI543" s="123">
        <v>0</v>
      </c>
      <c r="AJ543" s="123">
        <v>0</v>
      </c>
      <c r="AK543" s="123">
        <v>0</v>
      </c>
      <c r="AL543" s="123">
        <v>78</v>
      </c>
      <c r="AN543" s="123">
        <f t="shared" si="9"/>
        <v>78</v>
      </c>
      <c r="AO543" s="123" t="s">
        <v>188</v>
      </c>
      <c r="AP543" s="123" t="s">
        <v>2618</v>
      </c>
    </row>
    <row r="544" spans="1:42" x14ac:dyDescent="0.2">
      <c r="A544" s="123" t="s">
        <v>2603</v>
      </c>
      <c r="B544" s="123" t="s">
        <v>4779</v>
      </c>
      <c r="C544" s="123">
        <v>1</v>
      </c>
      <c r="D544" s="123">
        <v>1</v>
      </c>
      <c r="E544" s="123" t="s">
        <v>2601</v>
      </c>
      <c r="F544" s="125">
        <v>43551</v>
      </c>
      <c r="G544" s="125" t="s">
        <v>4026</v>
      </c>
      <c r="H544" s="125" t="s">
        <v>4752</v>
      </c>
      <c r="I544" s="171">
        <v>0.11388888888888889</v>
      </c>
      <c r="J544" s="173">
        <v>1.8981481481481482E-3</v>
      </c>
      <c r="K544" s="129">
        <v>164</v>
      </c>
      <c r="L544" s="127" t="s">
        <v>398</v>
      </c>
      <c r="M544" s="123" t="s">
        <v>173</v>
      </c>
      <c r="N544" s="123" t="s">
        <v>107</v>
      </c>
      <c r="O544" s="123" t="s">
        <v>23</v>
      </c>
      <c r="P544" s="123">
        <v>1</v>
      </c>
      <c r="Q544" s="123">
        <v>1</v>
      </c>
      <c r="R544" s="123">
        <v>0</v>
      </c>
      <c r="S544" s="123" t="s">
        <v>461</v>
      </c>
      <c r="T544" s="123" t="s">
        <v>2605</v>
      </c>
      <c r="U544" s="123" t="s">
        <v>2606</v>
      </c>
      <c r="V544" s="123" t="s">
        <v>115</v>
      </c>
      <c r="Z544" s="123" t="s">
        <v>115</v>
      </c>
      <c r="AA544" s="123" t="s">
        <v>115</v>
      </c>
      <c r="AB544" s="123" t="s">
        <v>115</v>
      </c>
      <c r="AC544" s="123" t="s">
        <v>115</v>
      </c>
      <c r="AD544" s="123" t="s">
        <v>115</v>
      </c>
      <c r="AE544" s="123">
        <v>63.725360000000002</v>
      </c>
      <c r="AF544" s="123">
        <v>148.95681999999999</v>
      </c>
      <c r="AH544" s="123">
        <v>0</v>
      </c>
      <c r="AI544" s="123">
        <v>0</v>
      </c>
      <c r="AJ544" s="123">
        <v>0</v>
      </c>
      <c r="AK544" s="123">
        <v>0</v>
      </c>
      <c r="AL544" s="123">
        <v>0</v>
      </c>
      <c r="AN544" s="123">
        <f t="shared" si="9"/>
        <v>0</v>
      </c>
      <c r="AP544" s="123" t="s">
        <v>4780</v>
      </c>
    </row>
    <row r="545" spans="1:44" x14ac:dyDescent="0.2">
      <c r="A545" s="123" t="s">
        <v>2612</v>
      </c>
      <c r="B545" s="123" t="s">
        <v>4781</v>
      </c>
      <c r="C545" s="123">
        <v>3</v>
      </c>
      <c r="D545" s="123">
        <v>1</v>
      </c>
      <c r="E545" s="123" t="s">
        <v>2601</v>
      </c>
      <c r="F545" s="125">
        <v>43551</v>
      </c>
      <c r="G545" s="125" t="s">
        <v>4026</v>
      </c>
      <c r="H545" s="125" t="s">
        <v>4752</v>
      </c>
      <c r="I545" s="171">
        <v>2.7777777777777776E-2</v>
      </c>
      <c r="J545" s="173">
        <v>4.6296296296296293E-4</v>
      </c>
      <c r="K545" s="129">
        <v>40</v>
      </c>
      <c r="L545" s="127" t="s">
        <v>398</v>
      </c>
      <c r="M545" s="123" t="s">
        <v>173</v>
      </c>
      <c r="N545" s="123" t="s">
        <v>107</v>
      </c>
      <c r="O545" s="123" t="s">
        <v>23</v>
      </c>
      <c r="P545" s="123">
        <v>1</v>
      </c>
      <c r="Q545" s="123">
        <v>1</v>
      </c>
      <c r="R545" s="123">
        <v>0</v>
      </c>
      <c r="S545" s="123" t="s">
        <v>461</v>
      </c>
      <c r="T545" s="123" t="s">
        <v>2605</v>
      </c>
      <c r="U545" s="123" t="s">
        <v>2606</v>
      </c>
      <c r="V545" s="123" t="s">
        <v>115</v>
      </c>
      <c r="Z545" s="123" t="s">
        <v>115</v>
      </c>
      <c r="AA545" s="123" t="s">
        <v>115</v>
      </c>
      <c r="AB545" s="123" t="s">
        <v>115</v>
      </c>
      <c r="AC545" s="123" t="s">
        <v>115</v>
      </c>
      <c r="AD545" s="123" t="s">
        <v>115</v>
      </c>
      <c r="AE545" s="123">
        <v>63.725009999999997</v>
      </c>
      <c r="AF545" s="123">
        <v>148.95760999999999</v>
      </c>
      <c r="AH545" s="123">
        <v>0</v>
      </c>
      <c r="AI545" s="123">
        <v>0</v>
      </c>
      <c r="AJ545" s="123">
        <v>0</v>
      </c>
      <c r="AK545" s="123">
        <v>0</v>
      </c>
      <c r="AL545" s="123">
        <v>0</v>
      </c>
      <c r="AN545" s="123">
        <f t="shared" si="9"/>
        <v>0</v>
      </c>
      <c r="AO545" s="123" t="s">
        <v>188</v>
      </c>
    </row>
    <row r="546" spans="1:44" x14ac:dyDescent="0.2">
      <c r="A546" s="123" t="s">
        <v>2610</v>
      </c>
      <c r="B546" s="123" t="s">
        <v>4783</v>
      </c>
      <c r="C546" s="123">
        <v>2</v>
      </c>
      <c r="D546" s="123">
        <v>1</v>
      </c>
      <c r="E546" s="123" t="s">
        <v>2601</v>
      </c>
      <c r="F546" s="125">
        <v>43551</v>
      </c>
      <c r="G546" s="125" t="s">
        <v>4026</v>
      </c>
      <c r="H546" s="125" t="s">
        <v>4752</v>
      </c>
      <c r="I546" s="171">
        <v>1.2499999999999999E-2</v>
      </c>
      <c r="J546" s="173">
        <v>2.0833333333333335E-4</v>
      </c>
      <c r="K546" s="129">
        <v>18</v>
      </c>
      <c r="L546" s="127" t="s">
        <v>398</v>
      </c>
      <c r="M546" s="123" t="s">
        <v>173</v>
      </c>
      <c r="N546" s="123" t="s">
        <v>102</v>
      </c>
      <c r="O546" s="123" t="s">
        <v>23</v>
      </c>
      <c r="P546" s="123">
        <v>0</v>
      </c>
      <c r="Q546" s="123">
        <v>0</v>
      </c>
      <c r="R546" s="123">
        <v>0</v>
      </c>
      <c r="T546" s="123" t="s">
        <v>115</v>
      </c>
      <c r="U546" s="123" t="s">
        <v>115</v>
      </c>
      <c r="V546" s="123" t="s">
        <v>115</v>
      </c>
      <c r="Z546" s="123" t="s">
        <v>115</v>
      </c>
      <c r="AA546" s="123" t="s">
        <v>115</v>
      </c>
      <c r="AB546" s="123" t="s">
        <v>115</v>
      </c>
      <c r="AC546" s="123" t="s">
        <v>115</v>
      </c>
      <c r="AD546" s="123" t="s">
        <v>115</v>
      </c>
      <c r="AE546" s="123" t="s">
        <v>115</v>
      </c>
      <c r="AF546" s="123" t="s">
        <v>115</v>
      </c>
      <c r="AH546" s="123">
        <v>0</v>
      </c>
      <c r="AI546" s="123">
        <v>15</v>
      </c>
      <c r="AJ546" s="123">
        <v>0</v>
      </c>
      <c r="AK546" s="123">
        <v>15</v>
      </c>
      <c r="AL546" s="123">
        <v>0</v>
      </c>
      <c r="AN546" s="123">
        <f t="shared" si="9"/>
        <v>15</v>
      </c>
      <c r="AO546" s="123" t="s">
        <v>188</v>
      </c>
    </row>
    <row r="547" spans="1:44" x14ac:dyDescent="0.2">
      <c r="A547" s="123" t="s">
        <v>2619</v>
      </c>
      <c r="B547" s="123" t="s">
        <v>4784</v>
      </c>
      <c r="C547" s="123">
        <v>6</v>
      </c>
      <c r="D547" s="123">
        <v>1</v>
      </c>
      <c r="E547" s="123" t="s">
        <v>2601</v>
      </c>
      <c r="F547" s="125">
        <v>43551</v>
      </c>
      <c r="G547" s="125" t="s">
        <v>4026</v>
      </c>
      <c r="H547" s="125" t="s">
        <v>4752</v>
      </c>
      <c r="I547" s="171">
        <v>4.8611111111111112E-3</v>
      </c>
      <c r="J547" s="173">
        <v>8.1018518518518516E-5</v>
      </c>
      <c r="K547" s="129">
        <v>7</v>
      </c>
      <c r="L547" s="127" t="s">
        <v>398</v>
      </c>
      <c r="M547" s="123" t="s">
        <v>173</v>
      </c>
      <c r="N547" s="123" t="s">
        <v>102</v>
      </c>
      <c r="O547" s="123" t="s">
        <v>115</v>
      </c>
      <c r="P547" s="123">
        <v>0</v>
      </c>
      <c r="Q547" s="123">
        <v>0</v>
      </c>
      <c r="R547" s="123">
        <v>0</v>
      </c>
      <c r="T547" s="123" t="s">
        <v>115</v>
      </c>
      <c r="U547" s="123" t="s">
        <v>115</v>
      </c>
      <c r="V547" s="123" t="s">
        <v>115</v>
      </c>
      <c r="Z547" s="123" t="s">
        <v>115</v>
      </c>
      <c r="AA547" s="123" t="s">
        <v>115</v>
      </c>
      <c r="AB547" s="123" t="s">
        <v>115</v>
      </c>
      <c r="AC547" s="123" t="s">
        <v>115</v>
      </c>
      <c r="AD547" s="123" t="s">
        <v>115</v>
      </c>
      <c r="AE547" s="123" t="s">
        <v>115</v>
      </c>
      <c r="AF547" s="123" t="s">
        <v>115</v>
      </c>
      <c r="AH547" s="123">
        <v>0</v>
      </c>
      <c r="AI547" s="123">
        <v>0</v>
      </c>
      <c r="AJ547" s="123">
        <v>0</v>
      </c>
      <c r="AK547" s="123">
        <v>0</v>
      </c>
      <c r="AL547" s="123">
        <v>7</v>
      </c>
      <c r="AN547" s="123">
        <f t="shared" si="9"/>
        <v>7</v>
      </c>
      <c r="AO547" s="123" t="s">
        <v>188</v>
      </c>
    </row>
    <row r="548" spans="1:44" x14ac:dyDescent="0.2">
      <c r="A548" s="123" t="s">
        <v>2499</v>
      </c>
      <c r="B548" s="123" t="s">
        <v>2500</v>
      </c>
      <c r="C548" s="123">
        <v>6</v>
      </c>
      <c r="D548" s="123">
        <v>1</v>
      </c>
      <c r="E548" s="123" t="s">
        <v>2487</v>
      </c>
      <c r="F548" s="125">
        <v>43549</v>
      </c>
      <c r="G548" s="125" t="s">
        <v>4026</v>
      </c>
      <c r="H548" s="125" t="s">
        <v>4752</v>
      </c>
      <c r="I548" s="171">
        <v>2.1527777777777781E-2</v>
      </c>
      <c r="J548" s="173">
        <v>3.5879629629629635E-4</v>
      </c>
      <c r="K548" s="129">
        <v>31</v>
      </c>
      <c r="L548" s="127" t="s">
        <v>398</v>
      </c>
      <c r="M548" s="123" t="s">
        <v>2498</v>
      </c>
      <c r="N548" s="123" t="s">
        <v>111</v>
      </c>
      <c r="O548" s="123" t="s">
        <v>23</v>
      </c>
      <c r="P548" s="123">
        <v>0</v>
      </c>
      <c r="Q548" s="123">
        <v>0</v>
      </c>
      <c r="R548" s="123">
        <v>1</v>
      </c>
      <c r="S548" s="123" t="s">
        <v>14</v>
      </c>
      <c r="T548" s="123" t="s">
        <v>14</v>
      </c>
      <c r="U548" s="123" t="s">
        <v>122</v>
      </c>
      <c r="V548" s="123" t="s">
        <v>2088</v>
      </c>
      <c r="W548" s="127" t="s">
        <v>23</v>
      </c>
      <c r="X548" s="127" t="s">
        <v>3997</v>
      </c>
      <c r="Y548" s="127" t="s">
        <v>4021</v>
      </c>
      <c r="AB548" s="123">
        <v>10</v>
      </c>
      <c r="AC548" s="123">
        <v>63.72101</v>
      </c>
      <c r="AD548" s="123">
        <v>148.98340999999999</v>
      </c>
      <c r="AH548" s="123">
        <v>0</v>
      </c>
      <c r="AI548" s="123">
        <v>0</v>
      </c>
      <c r="AJ548" s="123">
        <v>0</v>
      </c>
      <c r="AK548" s="123">
        <v>0</v>
      </c>
      <c r="AL548" s="123">
        <v>0</v>
      </c>
      <c r="AN548" s="123">
        <f t="shared" si="9"/>
        <v>0</v>
      </c>
      <c r="AP548" s="123" t="s">
        <v>2501</v>
      </c>
    </row>
    <row r="549" spans="1:44" x14ac:dyDescent="0.2">
      <c r="A549" s="123" t="s">
        <v>2496</v>
      </c>
      <c r="B549" s="123" t="s">
        <v>2497</v>
      </c>
      <c r="C549" s="123">
        <v>5</v>
      </c>
      <c r="D549" s="123">
        <v>1</v>
      </c>
      <c r="E549" s="123" t="s">
        <v>2487</v>
      </c>
      <c r="F549" s="125">
        <v>43549</v>
      </c>
      <c r="G549" s="125" t="s">
        <v>4026</v>
      </c>
      <c r="H549" s="125" t="s">
        <v>4752</v>
      </c>
      <c r="I549" s="171">
        <v>4.1666666666666664E-2</v>
      </c>
      <c r="J549" s="173">
        <v>6.9444444444444447E-4</v>
      </c>
      <c r="K549" s="129">
        <v>60</v>
      </c>
      <c r="L549" s="127" t="s">
        <v>398</v>
      </c>
      <c r="M549" s="123" t="s">
        <v>2498</v>
      </c>
      <c r="N549" s="123" t="s">
        <v>102</v>
      </c>
      <c r="O549" s="123" t="s">
        <v>115</v>
      </c>
      <c r="P549" s="123">
        <v>1</v>
      </c>
      <c r="Q549" s="123">
        <v>0</v>
      </c>
      <c r="R549" s="123">
        <v>0</v>
      </c>
      <c r="S549" s="123" t="s">
        <v>14</v>
      </c>
      <c r="T549" s="123" t="s">
        <v>14</v>
      </c>
      <c r="U549" s="123" t="s">
        <v>122</v>
      </c>
      <c r="V549" s="123" t="s">
        <v>115</v>
      </c>
      <c r="Z549" s="123" t="s">
        <v>115</v>
      </c>
      <c r="AA549" s="123" t="s">
        <v>115</v>
      </c>
      <c r="AB549" s="123" t="s">
        <v>115</v>
      </c>
      <c r="AC549" s="123" t="s">
        <v>115</v>
      </c>
      <c r="AD549" s="123" t="s">
        <v>115</v>
      </c>
      <c r="AH549" s="123">
        <v>0</v>
      </c>
      <c r="AI549" s="123">
        <v>0</v>
      </c>
      <c r="AJ549" s="123">
        <v>0</v>
      </c>
      <c r="AK549" s="123">
        <v>0</v>
      </c>
      <c r="AL549" s="123">
        <v>54</v>
      </c>
      <c r="AN549" s="123">
        <f t="shared" si="9"/>
        <v>54</v>
      </c>
      <c r="AO549" s="123" t="s">
        <v>188</v>
      </c>
    </row>
    <row r="550" spans="1:44" x14ac:dyDescent="0.2">
      <c r="A550" s="123" t="s">
        <v>2530</v>
      </c>
      <c r="B550" s="123" t="s">
        <v>2531</v>
      </c>
      <c r="C550" s="123">
        <v>19</v>
      </c>
      <c r="D550" s="123">
        <v>1</v>
      </c>
      <c r="E550" s="123" t="s">
        <v>2487</v>
      </c>
      <c r="F550" s="125">
        <v>43549</v>
      </c>
      <c r="G550" s="125" t="s">
        <v>4026</v>
      </c>
      <c r="H550" s="125" t="s">
        <v>4752</v>
      </c>
      <c r="I550" s="171">
        <v>1.0416666666666666E-2</v>
      </c>
      <c r="J550" s="173">
        <v>1.7361111111111112E-4</v>
      </c>
      <c r="K550" s="129">
        <v>15</v>
      </c>
      <c r="L550" s="127" t="s">
        <v>640</v>
      </c>
      <c r="M550" s="123" t="s">
        <v>2498</v>
      </c>
      <c r="N550" s="123" t="s">
        <v>102</v>
      </c>
      <c r="O550" s="123" t="s">
        <v>516</v>
      </c>
      <c r="P550" s="123" t="s">
        <v>24</v>
      </c>
      <c r="Q550" s="123" t="s">
        <v>24</v>
      </c>
      <c r="R550" s="123" t="s">
        <v>176</v>
      </c>
      <c r="T550" s="123" t="s">
        <v>115</v>
      </c>
      <c r="U550" s="123" t="s">
        <v>115</v>
      </c>
      <c r="V550" s="123" t="s">
        <v>115</v>
      </c>
      <c r="Z550" s="123" t="s">
        <v>115</v>
      </c>
      <c r="AA550" s="123" t="s">
        <v>115</v>
      </c>
      <c r="AB550" s="123" t="s">
        <v>115</v>
      </c>
      <c r="AC550" s="123" t="s">
        <v>115</v>
      </c>
      <c r="AD550" s="123" t="s">
        <v>115</v>
      </c>
      <c r="AH550" s="123">
        <v>15</v>
      </c>
      <c r="AI550" s="123">
        <v>0</v>
      </c>
      <c r="AJ550" s="123">
        <v>15</v>
      </c>
      <c r="AK550" s="123">
        <v>0</v>
      </c>
      <c r="AL550" s="123">
        <v>0</v>
      </c>
      <c r="AN550" s="123">
        <f t="shared" si="9"/>
        <v>15</v>
      </c>
      <c r="AO550" s="123" t="s">
        <v>188</v>
      </c>
    </row>
    <row r="551" spans="1:44" x14ac:dyDescent="0.2">
      <c r="A551" s="123" t="s">
        <v>2628</v>
      </c>
      <c r="B551" s="123" t="s">
        <v>2629</v>
      </c>
      <c r="C551" s="123">
        <v>2</v>
      </c>
      <c r="D551" s="123">
        <v>1</v>
      </c>
      <c r="E551" s="123" t="s">
        <v>2487</v>
      </c>
      <c r="F551" s="125">
        <v>43551</v>
      </c>
      <c r="G551" s="125" t="s">
        <v>4026</v>
      </c>
      <c r="H551" s="125" t="s">
        <v>4752</v>
      </c>
      <c r="I551" s="171">
        <v>1.9444444444444445E-2</v>
      </c>
      <c r="J551" s="173">
        <v>3.2407407407407406E-4</v>
      </c>
      <c r="K551" s="129">
        <v>28</v>
      </c>
      <c r="L551" s="127" t="s">
        <v>398</v>
      </c>
      <c r="M551" s="123" t="s">
        <v>2498</v>
      </c>
      <c r="N551" s="123" t="s">
        <v>102</v>
      </c>
      <c r="O551" s="123" t="s">
        <v>115</v>
      </c>
      <c r="P551" s="123" t="s">
        <v>24</v>
      </c>
      <c r="Q551" s="123">
        <v>0</v>
      </c>
      <c r="R551" s="123">
        <v>0</v>
      </c>
      <c r="T551" s="123" t="s">
        <v>115</v>
      </c>
      <c r="U551" s="123" t="s">
        <v>115</v>
      </c>
      <c r="V551" s="123" t="s">
        <v>115</v>
      </c>
      <c r="Z551" s="123" t="s">
        <v>115</v>
      </c>
      <c r="AA551" s="123" t="s">
        <v>115</v>
      </c>
      <c r="AB551" s="123" t="s">
        <v>115</v>
      </c>
      <c r="AC551" s="123" t="s">
        <v>115</v>
      </c>
      <c r="AD551" s="123" t="s">
        <v>115</v>
      </c>
      <c r="AE551" s="123" t="s">
        <v>115</v>
      </c>
      <c r="AF551" s="123" t="s">
        <v>115</v>
      </c>
      <c r="AH551" s="123">
        <v>0</v>
      </c>
      <c r="AI551" s="123">
        <v>0</v>
      </c>
      <c r="AJ551" s="123">
        <v>0</v>
      </c>
      <c r="AK551" s="123">
        <v>0</v>
      </c>
      <c r="AL551" s="123">
        <v>28</v>
      </c>
      <c r="AN551" s="123">
        <f t="shared" si="9"/>
        <v>28</v>
      </c>
      <c r="AO551" s="123" t="s">
        <v>188</v>
      </c>
    </row>
    <row r="552" spans="1:44" x14ac:dyDescent="0.2">
      <c r="A552" s="123" t="s">
        <v>2630</v>
      </c>
      <c r="B552" s="123" t="s">
        <v>2631</v>
      </c>
      <c r="C552" s="123">
        <v>3</v>
      </c>
      <c r="D552" s="123">
        <v>1</v>
      </c>
      <c r="E552" s="123" t="s">
        <v>2487</v>
      </c>
      <c r="F552" s="125">
        <v>43551</v>
      </c>
      <c r="G552" s="125" t="s">
        <v>4026</v>
      </c>
      <c r="H552" s="125" t="s">
        <v>4752</v>
      </c>
      <c r="I552" s="171">
        <v>1.7361111111111112E-2</v>
      </c>
      <c r="J552" s="173">
        <v>2.8935185185185189E-4</v>
      </c>
      <c r="K552" s="129">
        <v>25</v>
      </c>
      <c r="L552" s="127" t="s">
        <v>398</v>
      </c>
      <c r="M552" s="123" t="s">
        <v>2498</v>
      </c>
      <c r="N552" s="123" t="s">
        <v>102</v>
      </c>
      <c r="O552" s="123" t="s">
        <v>115</v>
      </c>
      <c r="P552" s="123" t="s">
        <v>24</v>
      </c>
      <c r="Q552" s="123">
        <v>0</v>
      </c>
      <c r="R552" s="123">
        <v>0</v>
      </c>
      <c r="T552" s="123" t="s">
        <v>115</v>
      </c>
      <c r="U552" s="123" t="s">
        <v>115</v>
      </c>
      <c r="V552" s="123" t="s">
        <v>115</v>
      </c>
      <c r="Z552" s="123" t="s">
        <v>115</v>
      </c>
      <c r="AA552" s="123" t="s">
        <v>115</v>
      </c>
      <c r="AB552" s="123" t="s">
        <v>115</v>
      </c>
      <c r="AC552" s="123" t="s">
        <v>115</v>
      </c>
      <c r="AD552" s="123" t="s">
        <v>115</v>
      </c>
      <c r="AE552" s="123" t="s">
        <v>115</v>
      </c>
      <c r="AF552" s="123" t="s">
        <v>115</v>
      </c>
      <c r="AH552" s="123">
        <v>0</v>
      </c>
      <c r="AI552" s="123">
        <v>0</v>
      </c>
      <c r="AJ552" s="123">
        <v>0</v>
      </c>
      <c r="AK552" s="123">
        <v>0</v>
      </c>
      <c r="AL552" s="123">
        <v>25</v>
      </c>
      <c r="AN552" s="123">
        <f t="shared" si="9"/>
        <v>25</v>
      </c>
      <c r="AO552" s="123" t="s">
        <v>188</v>
      </c>
    </row>
    <row r="553" spans="1:44" x14ac:dyDescent="0.2">
      <c r="A553" s="123" t="s">
        <v>2372</v>
      </c>
      <c r="B553" s="123" t="s">
        <v>2373</v>
      </c>
      <c r="C553" s="123">
        <v>13</v>
      </c>
      <c r="D553" s="123">
        <v>1</v>
      </c>
      <c r="E553" s="123" t="s">
        <v>2343</v>
      </c>
      <c r="F553" s="125">
        <v>43544</v>
      </c>
      <c r="G553" s="125" t="s">
        <v>4026</v>
      </c>
      <c r="H553" s="125" t="s">
        <v>4752</v>
      </c>
      <c r="I553" s="171">
        <v>1.8055555555555557E-2</v>
      </c>
      <c r="J553" s="173">
        <v>3.0092592592592595E-4</v>
      </c>
      <c r="K553" s="129">
        <v>26</v>
      </c>
      <c r="L553" s="123" t="s">
        <v>101</v>
      </c>
      <c r="M553" s="123" t="s">
        <v>2355</v>
      </c>
      <c r="N553" s="123" t="s">
        <v>102</v>
      </c>
      <c r="O553" s="123" t="s">
        <v>23</v>
      </c>
      <c r="P553" s="123">
        <v>1</v>
      </c>
      <c r="Q553" s="123" t="s">
        <v>24</v>
      </c>
      <c r="R553" s="123" t="s">
        <v>115</v>
      </c>
      <c r="S553" s="123" t="s">
        <v>176</v>
      </c>
      <c r="T553" s="123" t="s">
        <v>24</v>
      </c>
      <c r="U553" s="123" t="s">
        <v>2189</v>
      </c>
      <c r="V553" s="123" t="s">
        <v>115</v>
      </c>
      <c r="Z553" s="123" t="s">
        <v>115</v>
      </c>
      <c r="AA553" s="123" t="s">
        <v>115</v>
      </c>
      <c r="AB553" s="123" t="s">
        <v>115</v>
      </c>
      <c r="AC553" s="123" t="s">
        <v>115</v>
      </c>
      <c r="AD553" s="123" t="s">
        <v>115</v>
      </c>
      <c r="AH553" s="123">
        <v>17</v>
      </c>
      <c r="AI553" s="123">
        <v>0</v>
      </c>
      <c r="AJ553" s="123">
        <v>17</v>
      </c>
      <c r="AK553" s="123">
        <v>0</v>
      </c>
      <c r="AL553" s="123">
        <v>0</v>
      </c>
      <c r="AN553" s="123">
        <f t="shared" si="9"/>
        <v>17</v>
      </c>
      <c r="AO553" s="123" t="s">
        <v>2374</v>
      </c>
      <c r="AQ553" s="123">
        <v>2</v>
      </c>
      <c r="AR553" s="123">
        <v>0</v>
      </c>
    </row>
    <row r="554" spans="1:44" x14ac:dyDescent="0.2">
      <c r="A554" s="123" t="s">
        <v>2365</v>
      </c>
      <c r="B554" s="123" t="s">
        <v>2366</v>
      </c>
      <c r="C554" s="123">
        <v>10</v>
      </c>
      <c r="D554" s="123">
        <v>1</v>
      </c>
      <c r="E554" s="123" t="s">
        <v>2343</v>
      </c>
      <c r="F554" s="125">
        <v>43544</v>
      </c>
      <c r="G554" s="125" t="s">
        <v>4026</v>
      </c>
      <c r="H554" s="125" t="s">
        <v>4752</v>
      </c>
      <c r="I554" s="171">
        <v>1.3888888888888888E-2</v>
      </c>
      <c r="J554" s="173">
        <v>2.3148148148148146E-4</v>
      </c>
      <c r="K554" s="129">
        <v>20</v>
      </c>
      <c r="L554" s="123" t="s">
        <v>101</v>
      </c>
      <c r="M554" s="123" t="s">
        <v>2355</v>
      </c>
      <c r="N554" s="123" t="s">
        <v>102</v>
      </c>
      <c r="O554" s="123" t="s">
        <v>23</v>
      </c>
      <c r="P554" s="123">
        <v>1</v>
      </c>
      <c r="Q554" s="123" t="s">
        <v>24</v>
      </c>
      <c r="R554" s="123">
        <v>0</v>
      </c>
      <c r="S554" s="123" t="s">
        <v>176</v>
      </c>
      <c r="T554" s="123" t="s">
        <v>24</v>
      </c>
      <c r="U554" s="123" t="s">
        <v>2367</v>
      </c>
      <c r="V554" s="123" t="s">
        <v>115</v>
      </c>
      <c r="Z554" s="123" t="s">
        <v>115</v>
      </c>
      <c r="AA554" s="123" t="s">
        <v>115</v>
      </c>
      <c r="AB554" s="123" t="s">
        <v>115</v>
      </c>
      <c r="AC554" s="123" t="s">
        <v>115</v>
      </c>
      <c r="AD554" s="123" t="s">
        <v>115</v>
      </c>
      <c r="AH554" s="126">
        <v>15</v>
      </c>
      <c r="AI554" s="123">
        <v>0</v>
      </c>
      <c r="AJ554" s="123">
        <v>15</v>
      </c>
      <c r="AK554" s="123">
        <v>0</v>
      </c>
      <c r="AL554" s="123">
        <v>0</v>
      </c>
      <c r="AN554" s="123">
        <f t="shared" si="9"/>
        <v>15</v>
      </c>
      <c r="AO554" s="123" t="s">
        <v>188</v>
      </c>
      <c r="AQ554" s="123">
        <v>0</v>
      </c>
      <c r="AR554" s="123">
        <v>1</v>
      </c>
    </row>
    <row r="555" spans="1:44" x14ac:dyDescent="0.2">
      <c r="A555" s="123" t="s">
        <v>2368</v>
      </c>
      <c r="B555" s="123" t="s">
        <v>2369</v>
      </c>
      <c r="C555" s="123">
        <v>11</v>
      </c>
      <c r="D555" s="123">
        <v>1</v>
      </c>
      <c r="E555" s="123" t="s">
        <v>2343</v>
      </c>
      <c r="F555" s="125">
        <v>43544</v>
      </c>
      <c r="G555" s="125" t="s">
        <v>4026</v>
      </c>
      <c r="H555" s="125" t="s">
        <v>4752</v>
      </c>
      <c r="I555" s="171">
        <v>3.6111111111111115E-2</v>
      </c>
      <c r="J555" s="173">
        <v>6.018518518518519E-4</v>
      </c>
      <c r="K555" s="129">
        <v>52</v>
      </c>
      <c r="L555" s="123" t="s">
        <v>101</v>
      </c>
      <c r="M555" s="123" t="s">
        <v>2355</v>
      </c>
      <c r="N555" s="123" t="s">
        <v>102</v>
      </c>
      <c r="O555" s="123" t="s">
        <v>23</v>
      </c>
      <c r="P555" s="123">
        <v>1</v>
      </c>
      <c r="Q555" s="123" t="s">
        <v>24</v>
      </c>
      <c r="R555" s="123">
        <v>0</v>
      </c>
      <c r="S555" s="123" t="s">
        <v>176</v>
      </c>
      <c r="T555" s="123" t="s">
        <v>24</v>
      </c>
      <c r="U555" s="123" t="s">
        <v>2300</v>
      </c>
      <c r="V555" s="123" t="s">
        <v>115</v>
      </c>
      <c r="Z555" s="123" t="s">
        <v>115</v>
      </c>
      <c r="AA555" s="123" t="s">
        <v>115</v>
      </c>
      <c r="AB555" s="123" t="s">
        <v>115</v>
      </c>
      <c r="AC555" s="123" t="s">
        <v>115</v>
      </c>
      <c r="AD555" s="123" t="s">
        <v>115</v>
      </c>
      <c r="AH555" s="123">
        <v>17</v>
      </c>
      <c r="AJ555" s="123">
        <v>17</v>
      </c>
      <c r="AK555" s="123">
        <v>0</v>
      </c>
      <c r="AL555" s="123">
        <v>0</v>
      </c>
      <c r="AN555" s="123">
        <f t="shared" si="9"/>
        <v>17</v>
      </c>
      <c r="AO555" s="123" t="s">
        <v>188</v>
      </c>
      <c r="AQ555" s="123">
        <v>0</v>
      </c>
      <c r="AR555" s="123">
        <v>0</v>
      </c>
    </row>
    <row r="556" spans="1:44" x14ac:dyDescent="0.2">
      <c r="A556" s="123" t="s">
        <v>2395</v>
      </c>
      <c r="B556" s="123" t="s">
        <v>2396</v>
      </c>
      <c r="C556" s="123">
        <v>21</v>
      </c>
      <c r="D556" s="123">
        <v>1</v>
      </c>
      <c r="E556" s="123" t="s">
        <v>2343</v>
      </c>
      <c r="F556" s="125">
        <v>43544</v>
      </c>
      <c r="G556" s="125" t="s">
        <v>4026</v>
      </c>
      <c r="H556" s="125" t="s">
        <v>4752</v>
      </c>
      <c r="K556" s="129">
        <v>0</v>
      </c>
      <c r="L556" s="123" t="s">
        <v>101</v>
      </c>
      <c r="M556" s="123" t="s">
        <v>2355</v>
      </c>
      <c r="N556" s="123" t="s">
        <v>102</v>
      </c>
      <c r="O556" s="123" t="s">
        <v>23</v>
      </c>
      <c r="P556" s="123">
        <v>1</v>
      </c>
      <c r="Q556" s="123" t="s">
        <v>24</v>
      </c>
      <c r="R556" s="123">
        <v>0</v>
      </c>
      <c r="S556" s="123" t="s">
        <v>176</v>
      </c>
      <c r="T556" s="123" t="s">
        <v>24</v>
      </c>
      <c r="U556" s="123" t="s">
        <v>2397</v>
      </c>
      <c r="V556" s="123" t="s">
        <v>115</v>
      </c>
      <c r="Z556" s="123" t="s">
        <v>115</v>
      </c>
      <c r="AA556" s="123" t="s">
        <v>115</v>
      </c>
      <c r="AB556" s="127" t="s">
        <v>115</v>
      </c>
      <c r="AC556" s="127" t="s">
        <v>115</v>
      </c>
      <c r="AD556" s="127" t="s">
        <v>115</v>
      </c>
      <c r="AE556" s="127"/>
      <c r="AF556" s="127"/>
      <c r="AG556" s="127"/>
      <c r="AH556" s="123">
        <v>28</v>
      </c>
      <c r="AI556" s="123">
        <v>0</v>
      </c>
      <c r="AJ556" s="123">
        <v>16</v>
      </c>
      <c r="AK556" s="123">
        <v>12</v>
      </c>
      <c r="AL556" s="123">
        <v>0</v>
      </c>
      <c r="AN556" s="123">
        <f t="shared" si="9"/>
        <v>28</v>
      </c>
      <c r="AO556" s="123" t="s">
        <v>2398</v>
      </c>
      <c r="AQ556" s="123">
        <v>0</v>
      </c>
      <c r="AR556" s="123">
        <v>4</v>
      </c>
    </row>
    <row r="557" spans="1:44" x14ac:dyDescent="0.2">
      <c r="A557" s="123" t="s">
        <v>2368</v>
      </c>
      <c r="B557" s="123" t="s">
        <v>2369</v>
      </c>
      <c r="C557" s="123">
        <v>11</v>
      </c>
      <c r="D557" s="123">
        <v>2</v>
      </c>
      <c r="E557" s="123" t="s">
        <v>2343</v>
      </c>
      <c r="F557" s="125">
        <v>43544</v>
      </c>
      <c r="G557" s="125" t="s">
        <v>4026</v>
      </c>
      <c r="H557" s="125" t="s">
        <v>4752</v>
      </c>
      <c r="I557" s="171">
        <v>3.6111111111111115E-2</v>
      </c>
      <c r="J557" s="173">
        <v>6.018518518518519E-4</v>
      </c>
      <c r="K557" s="129">
        <v>52</v>
      </c>
      <c r="L557" s="123" t="s">
        <v>101</v>
      </c>
      <c r="M557" s="123" t="s">
        <v>2355</v>
      </c>
      <c r="N557" s="123" t="s">
        <v>102</v>
      </c>
      <c r="O557" s="123" t="s">
        <v>115</v>
      </c>
      <c r="P557" s="123">
        <v>1</v>
      </c>
      <c r="Q557" s="123">
        <v>0</v>
      </c>
      <c r="R557" s="123">
        <v>0</v>
      </c>
      <c r="S557" s="123" t="s">
        <v>176</v>
      </c>
      <c r="T557" s="123" t="s">
        <v>24</v>
      </c>
      <c r="U557" s="123" t="s">
        <v>122</v>
      </c>
      <c r="V557" s="123" t="s">
        <v>115</v>
      </c>
      <c r="Z557" s="123" t="s">
        <v>115</v>
      </c>
      <c r="AA557" s="123" t="s">
        <v>115</v>
      </c>
      <c r="AB557" s="123" t="s">
        <v>115</v>
      </c>
      <c r="AC557" s="123" t="s">
        <v>115</v>
      </c>
      <c r="AD557" s="123" t="s">
        <v>115</v>
      </c>
      <c r="AH557" s="123">
        <v>0</v>
      </c>
      <c r="AI557" s="123">
        <v>0</v>
      </c>
      <c r="AJ557" s="123">
        <v>0</v>
      </c>
      <c r="AK557" s="123">
        <v>0</v>
      </c>
      <c r="AL557" s="123">
        <v>5</v>
      </c>
      <c r="AN557" s="123">
        <f t="shared" si="9"/>
        <v>5</v>
      </c>
      <c r="AO557" s="123" t="s">
        <v>188</v>
      </c>
      <c r="AQ557" s="123">
        <v>0</v>
      </c>
      <c r="AR557" s="123">
        <v>0</v>
      </c>
    </row>
    <row r="558" spans="1:44" x14ac:dyDescent="0.2">
      <c r="A558" s="123" t="s">
        <v>2403</v>
      </c>
      <c r="B558" s="123" t="s">
        <v>2404</v>
      </c>
      <c r="C558" s="123">
        <v>24</v>
      </c>
      <c r="D558" s="123">
        <v>1</v>
      </c>
      <c r="E558" s="123" t="s">
        <v>2343</v>
      </c>
      <c r="F558" s="125">
        <v>43544</v>
      </c>
      <c r="G558" s="125" t="s">
        <v>4026</v>
      </c>
      <c r="H558" s="125" t="s">
        <v>4752</v>
      </c>
      <c r="I558" s="171">
        <v>3.888888888888889E-2</v>
      </c>
      <c r="J558" s="173">
        <v>6.4814814814814813E-4</v>
      </c>
      <c r="K558" s="129">
        <v>56</v>
      </c>
      <c r="L558" s="123" t="s">
        <v>101</v>
      </c>
      <c r="M558" s="123" t="s">
        <v>2355</v>
      </c>
      <c r="N558" s="123" t="s">
        <v>107</v>
      </c>
      <c r="O558" s="123" t="s">
        <v>115</v>
      </c>
      <c r="P558" s="123">
        <v>1</v>
      </c>
      <c r="Q558" s="123">
        <v>0</v>
      </c>
      <c r="R558" s="123">
        <v>0</v>
      </c>
      <c r="S558" s="123" t="s">
        <v>176</v>
      </c>
      <c r="T558" s="123" t="s">
        <v>24</v>
      </c>
      <c r="U558" s="123" t="s">
        <v>122</v>
      </c>
      <c r="V558" s="123" t="s">
        <v>115</v>
      </c>
      <c r="Z558" s="123" t="s">
        <v>115</v>
      </c>
      <c r="AA558" s="123" t="s">
        <v>115</v>
      </c>
      <c r="AB558" s="127" t="s">
        <v>115</v>
      </c>
      <c r="AC558" s="127" t="s">
        <v>115</v>
      </c>
      <c r="AD558" s="127" t="s">
        <v>115</v>
      </c>
      <c r="AE558" s="127"/>
      <c r="AF558" s="127"/>
      <c r="AG558" s="127"/>
      <c r="AH558" s="123">
        <v>0</v>
      </c>
      <c r="AI558" s="123">
        <v>0</v>
      </c>
      <c r="AJ558" s="123">
        <v>0</v>
      </c>
      <c r="AK558" s="123">
        <v>0</v>
      </c>
      <c r="AL558" s="123">
        <v>0</v>
      </c>
      <c r="AN558" s="123">
        <f t="shared" si="9"/>
        <v>0</v>
      </c>
      <c r="AO558" s="123" t="s">
        <v>115</v>
      </c>
      <c r="AP558" s="123" t="s">
        <v>2405</v>
      </c>
    </row>
    <row r="559" spans="1:44" x14ac:dyDescent="0.2">
      <c r="A559" s="123" t="s">
        <v>2408</v>
      </c>
      <c r="B559" s="123" t="s">
        <v>2409</v>
      </c>
      <c r="C559" s="123">
        <v>26</v>
      </c>
      <c r="D559" s="123">
        <v>1</v>
      </c>
      <c r="E559" s="123" t="s">
        <v>2343</v>
      </c>
      <c r="F559" s="125">
        <v>43544</v>
      </c>
      <c r="G559" s="125" t="s">
        <v>4026</v>
      </c>
      <c r="H559" s="125" t="s">
        <v>4752</v>
      </c>
      <c r="I559" s="171">
        <v>2.013888888888889E-2</v>
      </c>
      <c r="J559" s="173">
        <v>3.3564814814814812E-4</v>
      </c>
      <c r="K559" s="129">
        <v>29</v>
      </c>
      <c r="L559" s="123" t="s">
        <v>101</v>
      </c>
      <c r="M559" s="123" t="s">
        <v>2355</v>
      </c>
      <c r="N559" s="123" t="s">
        <v>102</v>
      </c>
      <c r="O559" s="123" t="s">
        <v>115</v>
      </c>
      <c r="P559" s="123">
        <v>1</v>
      </c>
      <c r="Q559" s="123">
        <v>0</v>
      </c>
      <c r="R559" s="123">
        <v>0</v>
      </c>
      <c r="S559" s="123" t="s">
        <v>176</v>
      </c>
      <c r="T559" s="123" t="s">
        <v>24</v>
      </c>
      <c r="U559" s="123" t="s">
        <v>122</v>
      </c>
      <c r="V559" s="123" t="s">
        <v>115</v>
      </c>
      <c r="Z559" s="123" t="s">
        <v>115</v>
      </c>
      <c r="AA559" s="123" t="s">
        <v>115</v>
      </c>
      <c r="AB559" s="127" t="s">
        <v>115</v>
      </c>
      <c r="AC559" s="127" t="s">
        <v>115</v>
      </c>
      <c r="AD559" s="127" t="s">
        <v>115</v>
      </c>
      <c r="AE559" s="127"/>
      <c r="AF559" s="127"/>
      <c r="AG559" s="127"/>
      <c r="AH559" s="123">
        <v>0</v>
      </c>
      <c r="AI559" s="123">
        <v>0</v>
      </c>
      <c r="AJ559" s="123">
        <v>0</v>
      </c>
      <c r="AK559" s="123">
        <v>0</v>
      </c>
      <c r="AL559" s="123">
        <v>20</v>
      </c>
      <c r="AN559" s="123">
        <f t="shared" si="9"/>
        <v>20</v>
      </c>
      <c r="AO559" s="123" t="s">
        <v>188</v>
      </c>
    </row>
    <row r="560" spans="1:44" x14ac:dyDescent="0.2">
      <c r="A560" s="123" t="s">
        <v>2412</v>
      </c>
      <c r="B560" s="123" t="s">
        <v>2413</v>
      </c>
      <c r="C560" s="123">
        <v>28</v>
      </c>
      <c r="D560" s="123">
        <v>1</v>
      </c>
      <c r="E560" s="123" t="s">
        <v>2343</v>
      </c>
      <c r="F560" s="125">
        <v>43544</v>
      </c>
      <c r="G560" s="125" t="s">
        <v>4026</v>
      </c>
      <c r="H560" s="125" t="s">
        <v>4752</v>
      </c>
      <c r="I560" s="171">
        <v>7.6388888888888886E-3</v>
      </c>
      <c r="J560" s="173">
        <v>1.273148148148148E-4</v>
      </c>
      <c r="K560" s="129">
        <v>11</v>
      </c>
      <c r="L560" s="123" t="s">
        <v>101</v>
      </c>
      <c r="M560" s="123" t="s">
        <v>2355</v>
      </c>
      <c r="N560" s="123" t="s">
        <v>107</v>
      </c>
      <c r="O560" s="123" t="s">
        <v>12</v>
      </c>
      <c r="P560" s="123">
        <v>1</v>
      </c>
      <c r="Q560" s="123">
        <v>1</v>
      </c>
      <c r="R560" s="123">
        <v>0</v>
      </c>
      <c r="S560" s="123" t="s">
        <v>176</v>
      </c>
      <c r="T560" s="123" t="s">
        <v>24</v>
      </c>
      <c r="U560" s="123" t="s">
        <v>2306</v>
      </c>
      <c r="V560" s="123" t="s">
        <v>115</v>
      </c>
      <c r="Z560" s="123" t="s">
        <v>115</v>
      </c>
      <c r="AA560" s="123" t="s">
        <v>115</v>
      </c>
      <c r="AB560" s="127" t="s">
        <v>115</v>
      </c>
      <c r="AC560" s="127" t="s">
        <v>115</v>
      </c>
      <c r="AD560" s="127" t="s">
        <v>115</v>
      </c>
      <c r="AE560" s="127"/>
      <c r="AF560" s="127"/>
      <c r="AG560" s="127"/>
      <c r="AH560" s="123">
        <v>0</v>
      </c>
      <c r="AI560" s="123">
        <v>0</v>
      </c>
      <c r="AJ560" s="123">
        <v>0</v>
      </c>
      <c r="AK560" s="123">
        <v>0</v>
      </c>
      <c r="AL560" s="123">
        <v>0</v>
      </c>
      <c r="AN560" s="123">
        <f t="shared" si="9"/>
        <v>0</v>
      </c>
      <c r="AP560" s="123" t="s">
        <v>2414</v>
      </c>
    </row>
    <row r="561" spans="1:44" x14ac:dyDescent="0.2">
      <c r="A561" s="123" t="s">
        <v>2362</v>
      </c>
      <c r="B561" s="123" t="s">
        <v>2363</v>
      </c>
      <c r="C561" s="123">
        <v>9</v>
      </c>
      <c r="D561" s="123">
        <v>1</v>
      </c>
      <c r="E561" s="123" t="s">
        <v>2343</v>
      </c>
      <c r="F561" s="125">
        <v>43544</v>
      </c>
      <c r="G561" s="125" t="s">
        <v>4026</v>
      </c>
      <c r="H561" s="125" t="s">
        <v>4752</v>
      </c>
      <c r="I561" s="171">
        <v>1.9444444444444445E-2</v>
      </c>
      <c r="J561" s="173">
        <v>3.2407407407407406E-4</v>
      </c>
      <c r="K561" s="129">
        <v>28</v>
      </c>
      <c r="L561" s="123" t="s">
        <v>101</v>
      </c>
      <c r="M561" s="123" t="s">
        <v>2355</v>
      </c>
      <c r="N561" s="123" t="s">
        <v>102</v>
      </c>
      <c r="O561" s="123" t="s">
        <v>115</v>
      </c>
      <c r="P561" s="123">
        <v>2</v>
      </c>
      <c r="Q561" s="123">
        <v>0</v>
      </c>
      <c r="R561" s="123">
        <v>0</v>
      </c>
      <c r="S561" s="123" t="s">
        <v>176</v>
      </c>
      <c r="T561" s="123" t="s">
        <v>24</v>
      </c>
      <c r="U561" s="123" t="s">
        <v>122</v>
      </c>
      <c r="V561" s="123">
        <v>0</v>
      </c>
      <c r="Z561" s="123">
        <v>0</v>
      </c>
      <c r="AA561" s="123" t="s">
        <v>115</v>
      </c>
      <c r="AB561" s="123" t="s">
        <v>115</v>
      </c>
      <c r="AC561" s="123" t="s">
        <v>115</v>
      </c>
      <c r="AD561" s="123" t="s">
        <v>115</v>
      </c>
      <c r="AH561" s="123">
        <v>0</v>
      </c>
      <c r="AI561" s="123">
        <v>0</v>
      </c>
      <c r="AJ561" s="123">
        <v>0</v>
      </c>
      <c r="AK561" s="123">
        <v>0</v>
      </c>
      <c r="AL561" s="126">
        <v>28</v>
      </c>
      <c r="AN561" s="123">
        <f t="shared" si="9"/>
        <v>28</v>
      </c>
      <c r="AO561" s="123" t="s">
        <v>188</v>
      </c>
      <c r="AP561" s="123" t="s">
        <v>2364</v>
      </c>
      <c r="AQ561" s="123">
        <v>0</v>
      </c>
      <c r="AR561" s="123">
        <v>0</v>
      </c>
    </row>
    <row r="562" spans="1:44" x14ac:dyDescent="0.2">
      <c r="A562" s="123" t="s">
        <v>2353</v>
      </c>
      <c r="B562" s="123" t="s">
        <v>2354</v>
      </c>
      <c r="C562" s="123">
        <v>6</v>
      </c>
      <c r="D562" s="123">
        <v>1</v>
      </c>
      <c r="E562" s="123" t="s">
        <v>2343</v>
      </c>
      <c r="F562" s="125">
        <v>43544</v>
      </c>
      <c r="G562" s="125" t="s">
        <v>4026</v>
      </c>
      <c r="H562" s="125" t="s">
        <v>4752</v>
      </c>
      <c r="I562" s="171">
        <v>1.5972222222222224E-2</v>
      </c>
      <c r="J562" s="173">
        <v>2.6620370370370372E-4</v>
      </c>
      <c r="K562" s="129">
        <v>23</v>
      </c>
      <c r="L562" s="123" t="s">
        <v>101</v>
      </c>
      <c r="M562" s="123" t="s">
        <v>2355</v>
      </c>
      <c r="N562" s="123" t="s">
        <v>102</v>
      </c>
      <c r="O562" s="123" t="s">
        <v>115</v>
      </c>
      <c r="P562" s="123">
        <v>3</v>
      </c>
      <c r="Q562" s="123">
        <v>0</v>
      </c>
      <c r="R562" s="123">
        <v>0</v>
      </c>
      <c r="S562" s="123" t="s">
        <v>176</v>
      </c>
      <c r="T562" s="123" t="s">
        <v>24</v>
      </c>
      <c r="U562" s="123" t="s">
        <v>122</v>
      </c>
      <c r="V562" s="123" t="s">
        <v>115</v>
      </c>
      <c r="Z562" s="123" t="s">
        <v>115</v>
      </c>
      <c r="AA562" s="123" t="s">
        <v>115</v>
      </c>
      <c r="AB562" s="123" t="s">
        <v>115</v>
      </c>
      <c r="AC562" s="123" t="s">
        <v>115</v>
      </c>
      <c r="AD562" s="123" t="s">
        <v>115</v>
      </c>
      <c r="AH562" s="123">
        <v>0</v>
      </c>
      <c r="AI562" s="123">
        <v>0</v>
      </c>
      <c r="AJ562" s="123">
        <v>0</v>
      </c>
      <c r="AK562" s="123">
        <v>0</v>
      </c>
      <c r="AL562" s="123">
        <v>23</v>
      </c>
      <c r="AN562" s="123">
        <f t="shared" si="9"/>
        <v>23</v>
      </c>
      <c r="AO562" s="123" t="s">
        <v>188</v>
      </c>
      <c r="AQ562" s="123">
        <v>0</v>
      </c>
      <c r="AR562" s="123">
        <v>0</v>
      </c>
    </row>
    <row r="563" spans="1:44" x14ac:dyDescent="0.2">
      <c r="A563" s="123" t="s">
        <v>2370</v>
      </c>
      <c r="B563" s="123" t="s">
        <v>2371</v>
      </c>
      <c r="C563" s="123">
        <v>12</v>
      </c>
      <c r="D563" s="123">
        <v>1</v>
      </c>
      <c r="E563" s="123" t="s">
        <v>2343</v>
      </c>
      <c r="F563" s="125">
        <v>43544</v>
      </c>
      <c r="G563" s="125" t="s">
        <v>4026</v>
      </c>
      <c r="H563" s="125" t="s">
        <v>4752</v>
      </c>
      <c r="I563" s="171">
        <v>1.7361111111111112E-2</v>
      </c>
      <c r="J563" s="173">
        <v>2.8935185185185189E-4</v>
      </c>
      <c r="K563" s="129">
        <v>25</v>
      </c>
      <c r="L563" s="123" t="s">
        <v>101</v>
      </c>
      <c r="M563" s="123" t="s">
        <v>2355</v>
      </c>
      <c r="N563" s="123" t="s">
        <v>102</v>
      </c>
      <c r="O563" s="123" t="s">
        <v>115</v>
      </c>
      <c r="P563" s="123">
        <v>0</v>
      </c>
      <c r="Q563" s="123">
        <v>0</v>
      </c>
      <c r="R563" s="123">
        <v>0</v>
      </c>
      <c r="T563" s="123" t="s">
        <v>115</v>
      </c>
      <c r="U563" s="123" t="s">
        <v>115</v>
      </c>
      <c r="V563" s="123" t="s">
        <v>115</v>
      </c>
      <c r="Z563" s="123" t="s">
        <v>115</v>
      </c>
      <c r="AA563" s="123" t="s">
        <v>115</v>
      </c>
      <c r="AB563" s="123" t="s">
        <v>115</v>
      </c>
      <c r="AC563" s="123" t="s">
        <v>115</v>
      </c>
      <c r="AD563" s="123" t="s">
        <v>115</v>
      </c>
      <c r="AH563" s="123">
        <v>0</v>
      </c>
      <c r="AI563" s="123">
        <v>0</v>
      </c>
      <c r="AJ563" s="123">
        <v>0</v>
      </c>
      <c r="AK563" s="123">
        <v>0</v>
      </c>
      <c r="AL563" s="123">
        <v>25</v>
      </c>
      <c r="AN563" s="123">
        <f t="shared" si="9"/>
        <v>25</v>
      </c>
      <c r="AO563" s="123" t="s">
        <v>188</v>
      </c>
      <c r="AQ563" s="123">
        <v>0</v>
      </c>
      <c r="AR563" s="123">
        <v>0</v>
      </c>
    </row>
    <row r="564" spans="1:44" x14ac:dyDescent="0.2">
      <c r="A564" s="123" t="s">
        <v>2359</v>
      </c>
      <c r="B564" s="123" t="s">
        <v>2360</v>
      </c>
      <c r="C564" s="123">
        <v>8</v>
      </c>
      <c r="D564" s="123">
        <v>1</v>
      </c>
      <c r="E564" s="123" t="s">
        <v>2343</v>
      </c>
      <c r="F564" s="125">
        <v>43544</v>
      </c>
      <c r="G564" s="125" t="s">
        <v>4026</v>
      </c>
      <c r="H564" s="125" t="s">
        <v>4752</v>
      </c>
      <c r="I564" s="171">
        <v>1.5277777777777777E-2</v>
      </c>
      <c r="J564" s="173">
        <v>2.5462962962962961E-4</v>
      </c>
      <c r="K564" s="129">
        <v>22</v>
      </c>
      <c r="L564" s="123" t="s">
        <v>101</v>
      </c>
      <c r="M564" s="123" t="s">
        <v>2355</v>
      </c>
      <c r="N564" s="123" t="s">
        <v>102</v>
      </c>
      <c r="O564" s="123" t="s">
        <v>23</v>
      </c>
      <c r="P564" s="123">
        <v>0</v>
      </c>
      <c r="Q564" s="123">
        <v>0</v>
      </c>
      <c r="R564" s="123">
        <v>0</v>
      </c>
      <c r="T564" s="123" t="s">
        <v>115</v>
      </c>
      <c r="U564" s="123" t="s">
        <v>115</v>
      </c>
      <c r="V564" s="123" t="s">
        <v>115</v>
      </c>
      <c r="Z564" s="123" t="s">
        <v>115</v>
      </c>
      <c r="AA564" s="123" t="s">
        <v>115</v>
      </c>
      <c r="AB564" s="123" t="s">
        <v>115</v>
      </c>
      <c r="AC564" s="123" t="s">
        <v>115</v>
      </c>
      <c r="AD564" s="123" t="s">
        <v>115</v>
      </c>
      <c r="AH564" s="123">
        <v>0</v>
      </c>
      <c r="AI564" s="123">
        <v>0</v>
      </c>
      <c r="AJ564" s="123">
        <v>0</v>
      </c>
      <c r="AK564" s="123">
        <v>0</v>
      </c>
      <c r="AL564" s="123">
        <v>0</v>
      </c>
      <c r="AN564" s="123">
        <f t="shared" si="9"/>
        <v>0</v>
      </c>
      <c r="AO564" s="123" t="s">
        <v>188</v>
      </c>
      <c r="AP564" s="123" t="s">
        <v>4770</v>
      </c>
      <c r="AQ564" s="123">
        <v>0</v>
      </c>
      <c r="AR564" s="123">
        <v>0</v>
      </c>
    </row>
    <row r="565" spans="1:44" x14ac:dyDescent="0.2">
      <c r="A565" s="123" t="s">
        <v>2399</v>
      </c>
      <c r="B565" s="123" t="s">
        <v>2400</v>
      </c>
      <c r="C565" s="123">
        <v>22</v>
      </c>
      <c r="D565" s="123">
        <v>1</v>
      </c>
      <c r="E565" s="123" t="s">
        <v>2343</v>
      </c>
      <c r="F565" s="125">
        <v>43544</v>
      </c>
      <c r="G565" s="125" t="s">
        <v>4026</v>
      </c>
      <c r="H565" s="125" t="s">
        <v>4752</v>
      </c>
      <c r="I565" s="171">
        <v>9.0277777777777787E-3</v>
      </c>
      <c r="J565" s="173">
        <v>1.5046296296296297E-4</v>
      </c>
      <c r="K565" s="129">
        <v>13</v>
      </c>
      <c r="L565" s="123" t="s">
        <v>101</v>
      </c>
      <c r="M565" s="123" t="s">
        <v>2355</v>
      </c>
      <c r="N565" s="123" t="s">
        <v>102</v>
      </c>
      <c r="O565" s="123" t="s">
        <v>115</v>
      </c>
      <c r="P565" s="123">
        <v>1</v>
      </c>
      <c r="Q565" s="123">
        <v>0</v>
      </c>
      <c r="R565" s="123">
        <v>0</v>
      </c>
      <c r="S565" s="123" t="s">
        <v>24</v>
      </c>
      <c r="T565" s="123" t="s">
        <v>24</v>
      </c>
      <c r="U565" s="123" t="s">
        <v>122</v>
      </c>
      <c r="V565" s="123" t="s">
        <v>115</v>
      </c>
      <c r="Z565" s="123" t="s">
        <v>115</v>
      </c>
      <c r="AA565" s="123" t="s">
        <v>115</v>
      </c>
      <c r="AB565" s="127" t="s">
        <v>115</v>
      </c>
      <c r="AC565" s="127" t="s">
        <v>115</v>
      </c>
      <c r="AD565" s="127" t="s">
        <v>115</v>
      </c>
      <c r="AE565" s="127"/>
      <c r="AF565" s="127"/>
      <c r="AG565" s="127"/>
      <c r="AH565" s="123">
        <v>0</v>
      </c>
      <c r="AI565" s="123">
        <v>0</v>
      </c>
      <c r="AJ565" s="123">
        <v>0</v>
      </c>
      <c r="AK565" s="123">
        <v>0</v>
      </c>
      <c r="AL565" s="123">
        <v>13</v>
      </c>
      <c r="AN565" s="123">
        <f t="shared" si="9"/>
        <v>13</v>
      </c>
      <c r="AO565" s="123" t="s">
        <v>188</v>
      </c>
    </row>
    <row r="566" spans="1:44" x14ac:dyDescent="0.2">
      <c r="A566" s="123" t="s">
        <v>2458</v>
      </c>
      <c r="B566" s="123" t="s">
        <v>2459</v>
      </c>
      <c r="C566" s="123">
        <v>1</v>
      </c>
      <c r="D566" s="123">
        <v>1</v>
      </c>
      <c r="E566" s="123" t="s">
        <v>2343</v>
      </c>
      <c r="F566" s="125">
        <v>43546</v>
      </c>
      <c r="G566" s="125" t="s">
        <v>4026</v>
      </c>
      <c r="H566" s="125" t="s">
        <v>4752</v>
      </c>
      <c r="I566" s="171">
        <v>8.9583333333333334E-2</v>
      </c>
      <c r="J566" s="173">
        <v>1.4930555555555556E-3</v>
      </c>
      <c r="K566" s="129">
        <v>129</v>
      </c>
      <c r="L566" s="123" t="s">
        <v>101</v>
      </c>
      <c r="M566" s="123" t="s">
        <v>2355</v>
      </c>
      <c r="N566" s="123" t="s">
        <v>102</v>
      </c>
      <c r="O566" s="123" t="s">
        <v>115</v>
      </c>
      <c r="P566" s="123">
        <v>1</v>
      </c>
      <c r="Q566" s="123">
        <v>0</v>
      </c>
      <c r="R566" s="123">
        <v>0</v>
      </c>
      <c r="S566" s="123" t="s">
        <v>176</v>
      </c>
      <c r="T566" s="123" t="s">
        <v>24</v>
      </c>
      <c r="U566" s="123" t="s">
        <v>122</v>
      </c>
      <c r="V566" s="123" t="s">
        <v>115</v>
      </c>
      <c r="Z566" s="123" t="s">
        <v>115</v>
      </c>
      <c r="AA566" s="123" t="s">
        <v>115</v>
      </c>
      <c r="AB566" s="123" t="s">
        <v>115</v>
      </c>
      <c r="AC566" s="123" t="s">
        <v>115</v>
      </c>
      <c r="AD566" s="123" t="s">
        <v>115</v>
      </c>
      <c r="AH566" s="123">
        <v>0</v>
      </c>
      <c r="AI566" s="123">
        <v>0</v>
      </c>
      <c r="AJ566" s="123">
        <v>0</v>
      </c>
      <c r="AK566" s="123">
        <v>0</v>
      </c>
      <c r="AL566" s="123">
        <v>17</v>
      </c>
      <c r="AN566" s="123">
        <f t="shared" si="9"/>
        <v>17</v>
      </c>
      <c r="AO566" s="123" t="s">
        <v>188</v>
      </c>
    </row>
    <row r="567" spans="1:44" x14ac:dyDescent="0.2">
      <c r="A567" s="123" t="s">
        <v>2381</v>
      </c>
      <c r="B567" s="123" t="s">
        <v>2382</v>
      </c>
      <c r="C567" s="123">
        <v>15</v>
      </c>
      <c r="D567" s="123">
        <v>1</v>
      </c>
      <c r="E567" s="123" t="s">
        <v>2343</v>
      </c>
      <c r="F567" s="125">
        <v>43544</v>
      </c>
      <c r="G567" s="125" t="s">
        <v>4026</v>
      </c>
      <c r="H567" s="125" t="s">
        <v>4752</v>
      </c>
      <c r="I567" s="171">
        <v>2.7083333333333334E-2</v>
      </c>
      <c r="J567" s="173">
        <v>4.5138888888888892E-4</v>
      </c>
      <c r="K567" s="129">
        <v>39</v>
      </c>
      <c r="L567" s="123" t="s">
        <v>101</v>
      </c>
      <c r="M567" s="123" t="s">
        <v>2355</v>
      </c>
      <c r="N567" s="123" t="s">
        <v>176</v>
      </c>
      <c r="O567" s="123" t="s">
        <v>23</v>
      </c>
      <c r="P567" s="123" t="s">
        <v>24</v>
      </c>
      <c r="Q567" s="123">
        <v>0</v>
      </c>
      <c r="R567" s="123" t="s">
        <v>176</v>
      </c>
      <c r="T567" s="123" t="s">
        <v>24</v>
      </c>
      <c r="U567" s="123" t="s">
        <v>2383</v>
      </c>
      <c r="V567" s="123" t="s">
        <v>115</v>
      </c>
      <c r="Z567" s="123" t="s">
        <v>115</v>
      </c>
      <c r="AA567" s="123" t="s">
        <v>115</v>
      </c>
      <c r="AB567" s="127" t="s">
        <v>115</v>
      </c>
      <c r="AC567" s="127" t="s">
        <v>115</v>
      </c>
      <c r="AD567" s="127" t="s">
        <v>115</v>
      </c>
      <c r="AE567" s="127"/>
      <c r="AF567" s="127"/>
      <c r="AG567" s="127"/>
      <c r="AH567" s="123">
        <v>0</v>
      </c>
      <c r="AI567" s="123">
        <v>0</v>
      </c>
      <c r="AJ567" s="123">
        <v>0</v>
      </c>
      <c r="AK567" s="123">
        <v>0</v>
      </c>
      <c r="AL567" s="123">
        <v>0</v>
      </c>
      <c r="AN567" s="123">
        <f t="shared" si="9"/>
        <v>0</v>
      </c>
      <c r="AO567" s="123" t="s">
        <v>2384</v>
      </c>
    </row>
    <row r="568" spans="1:44" x14ac:dyDescent="0.2">
      <c r="A568" s="123" t="s">
        <v>2401</v>
      </c>
      <c r="B568" s="123" t="s">
        <v>2402</v>
      </c>
      <c r="C568" s="123">
        <v>23</v>
      </c>
      <c r="D568" s="123">
        <v>1</v>
      </c>
      <c r="E568" s="123" t="s">
        <v>2343</v>
      </c>
      <c r="F568" s="125">
        <v>43544</v>
      </c>
      <c r="G568" s="125" t="s">
        <v>4026</v>
      </c>
      <c r="H568" s="125" t="s">
        <v>4752</v>
      </c>
      <c r="I568" s="171">
        <v>1.8749999999999999E-2</v>
      </c>
      <c r="J568" s="173">
        <v>3.1250000000000001E-4</v>
      </c>
      <c r="K568" s="129">
        <v>27</v>
      </c>
      <c r="L568" s="123" t="s">
        <v>101</v>
      </c>
      <c r="M568" s="123" t="s">
        <v>2355</v>
      </c>
      <c r="N568" s="123" t="s">
        <v>102</v>
      </c>
      <c r="O568" s="123" t="s">
        <v>115</v>
      </c>
      <c r="P568" s="123" t="s">
        <v>24</v>
      </c>
      <c r="Q568" s="123">
        <v>0</v>
      </c>
      <c r="R568" s="123">
        <v>0</v>
      </c>
      <c r="T568" s="123" t="s">
        <v>115</v>
      </c>
      <c r="U568" s="123" t="s">
        <v>115</v>
      </c>
      <c r="V568" s="123" t="s">
        <v>115</v>
      </c>
      <c r="Z568" s="123" t="s">
        <v>115</v>
      </c>
      <c r="AA568" s="123" t="s">
        <v>115</v>
      </c>
      <c r="AB568" s="127" t="s">
        <v>115</v>
      </c>
      <c r="AC568" s="127" t="s">
        <v>115</v>
      </c>
      <c r="AD568" s="127" t="s">
        <v>115</v>
      </c>
      <c r="AE568" s="127"/>
      <c r="AF568" s="127"/>
      <c r="AG568" s="127"/>
      <c r="AH568" s="123">
        <v>0</v>
      </c>
      <c r="AI568" s="123">
        <v>0</v>
      </c>
      <c r="AJ568" s="123">
        <v>0</v>
      </c>
      <c r="AK568" s="123">
        <v>0</v>
      </c>
      <c r="AL568" s="123">
        <v>27</v>
      </c>
      <c r="AN568" s="123">
        <f t="shared" si="9"/>
        <v>27</v>
      </c>
      <c r="AO568" s="123" t="s">
        <v>188</v>
      </c>
    </row>
    <row r="569" spans="1:44" x14ac:dyDescent="0.2">
      <c r="A569" s="123" t="s">
        <v>2410</v>
      </c>
      <c r="B569" s="123" t="s">
        <v>2411</v>
      </c>
      <c r="C569" s="123">
        <v>27</v>
      </c>
      <c r="D569" s="123">
        <v>1</v>
      </c>
      <c r="E569" s="123" t="s">
        <v>2343</v>
      </c>
      <c r="F569" s="125">
        <v>43544</v>
      </c>
      <c r="G569" s="125" t="s">
        <v>4026</v>
      </c>
      <c r="H569" s="125" t="s">
        <v>4752</v>
      </c>
      <c r="I569" s="171">
        <v>1.5972222222222224E-2</v>
      </c>
      <c r="J569" s="173">
        <v>2.6620370370370372E-4</v>
      </c>
      <c r="K569" s="129">
        <v>23</v>
      </c>
      <c r="L569" s="123" t="s">
        <v>101</v>
      </c>
      <c r="M569" s="123" t="s">
        <v>2355</v>
      </c>
      <c r="N569" s="123" t="s">
        <v>102</v>
      </c>
      <c r="O569" s="123" t="s">
        <v>115</v>
      </c>
      <c r="P569" s="123" t="s">
        <v>24</v>
      </c>
      <c r="Q569" s="123">
        <v>0</v>
      </c>
      <c r="R569" s="123">
        <v>0</v>
      </c>
      <c r="T569" s="123" t="s">
        <v>24</v>
      </c>
      <c r="U569" s="123" t="s">
        <v>115</v>
      </c>
      <c r="V569" s="123" t="s">
        <v>115</v>
      </c>
      <c r="Z569" s="123" t="s">
        <v>115</v>
      </c>
      <c r="AA569" s="123" t="s">
        <v>115</v>
      </c>
      <c r="AB569" s="127" t="s">
        <v>115</v>
      </c>
      <c r="AC569" s="127" t="s">
        <v>115</v>
      </c>
      <c r="AD569" s="127" t="s">
        <v>115</v>
      </c>
      <c r="AE569" s="127"/>
      <c r="AF569" s="127"/>
      <c r="AG569" s="127"/>
      <c r="AH569" s="123">
        <v>0</v>
      </c>
      <c r="AI569" s="123">
        <v>0</v>
      </c>
      <c r="AJ569" s="123">
        <v>0</v>
      </c>
      <c r="AK569" s="123">
        <v>0</v>
      </c>
      <c r="AL569" s="123">
        <v>23</v>
      </c>
      <c r="AN569" s="123">
        <f t="shared" si="9"/>
        <v>23</v>
      </c>
      <c r="AO569" s="123" t="s">
        <v>188</v>
      </c>
    </row>
    <row r="570" spans="1:44" x14ac:dyDescent="0.2">
      <c r="A570" s="123" t="s">
        <v>2356</v>
      </c>
      <c r="B570" s="123" t="s">
        <v>2357</v>
      </c>
      <c r="C570" s="123">
        <v>7</v>
      </c>
      <c r="D570" s="123">
        <v>1</v>
      </c>
      <c r="E570" s="123" t="s">
        <v>2343</v>
      </c>
      <c r="F570" s="125">
        <v>43544</v>
      </c>
      <c r="G570" s="125" t="s">
        <v>4026</v>
      </c>
      <c r="H570" s="125" t="s">
        <v>4752</v>
      </c>
      <c r="I570" s="171">
        <v>2.361111111111111E-2</v>
      </c>
      <c r="J570" s="173">
        <v>3.9351851851851852E-4</v>
      </c>
      <c r="K570" s="129">
        <v>34</v>
      </c>
      <c r="L570" s="123" t="s">
        <v>101</v>
      </c>
      <c r="M570" s="123" t="s">
        <v>2355</v>
      </c>
      <c r="N570" s="123" t="s">
        <v>102</v>
      </c>
      <c r="O570" s="123" t="s">
        <v>115</v>
      </c>
      <c r="P570" s="123" t="s">
        <v>24</v>
      </c>
      <c r="Q570" s="123">
        <v>0</v>
      </c>
      <c r="R570" s="123">
        <v>0</v>
      </c>
      <c r="T570" s="123" t="s">
        <v>115</v>
      </c>
      <c r="U570" s="123" t="s">
        <v>115</v>
      </c>
      <c r="V570" s="123" t="s">
        <v>115</v>
      </c>
      <c r="Z570" s="123" t="s">
        <v>115</v>
      </c>
      <c r="AA570" s="123" t="s">
        <v>115</v>
      </c>
      <c r="AB570" s="123" t="s">
        <v>115</v>
      </c>
      <c r="AC570" s="123" t="s">
        <v>115</v>
      </c>
      <c r="AD570" s="123" t="s">
        <v>115</v>
      </c>
      <c r="AH570" s="123">
        <v>0</v>
      </c>
      <c r="AI570" s="123">
        <v>0</v>
      </c>
      <c r="AJ570" s="123">
        <v>0</v>
      </c>
      <c r="AK570" s="123">
        <v>0</v>
      </c>
      <c r="AL570" s="123">
        <v>34</v>
      </c>
      <c r="AN570" s="123">
        <f t="shared" si="9"/>
        <v>34</v>
      </c>
      <c r="AO570" s="123" t="s">
        <v>188</v>
      </c>
      <c r="AP570" s="123" t="s">
        <v>4847</v>
      </c>
      <c r="AQ570" s="123">
        <v>0</v>
      </c>
      <c r="AR570" s="123">
        <v>0</v>
      </c>
    </row>
    <row r="571" spans="1:44" x14ac:dyDescent="0.2">
      <c r="A571" s="123" t="s">
        <v>2666</v>
      </c>
      <c r="B571" s="123" t="s">
        <v>2667</v>
      </c>
      <c r="C571" s="123">
        <v>2</v>
      </c>
      <c r="D571" s="123">
        <v>1</v>
      </c>
      <c r="E571" s="123" t="s">
        <v>176</v>
      </c>
      <c r="F571" s="125">
        <v>43552</v>
      </c>
      <c r="G571" s="125" t="s">
        <v>4026</v>
      </c>
      <c r="H571" s="125" t="s">
        <v>4752</v>
      </c>
      <c r="I571" s="171">
        <v>1.3888888888888888E-2</v>
      </c>
      <c r="J571" s="173">
        <v>2.3148148148148146E-4</v>
      </c>
      <c r="K571" s="129">
        <v>20</v>
      </c>
      <c r="M571" s="123" t="s">
        <v>2665</v>
      </c>
      <c r="N571" s="123" t="s">
        <v>107</v>
      </c>
      <c r="O571" s="123" t="s">
        <v>23</v>
      </c>
      <c r="P571" s="123">
        <v>1</v>
      </c>
      <c r="Q571" s="123" t="s">
        <v>24</v>
      </c>
      <c r="R571" s="123">
        <v>0</v>
      </c>
      <c r="S571" s="123" t="s">
        <v>176</v>
      </c>
      <c r="T571" s="123" t="s">
        <v>24</v>
      </c>
      <c r="U571" s="123" t="s">
        <v>1035</v>
      </c>
      <c r="V571" s="123" t="s">
        <v>115</v>
      </c>
      <c r="Z571" s="123" t="s">
        <v>115</v>
      </c>
      <c r="AA571" s="123" t="s">
        <v>115</v>
      </c>
      <c r="AB571" s="123" t="s">
        <v>115</v>
      </c>
      <c r="AC571" s="123" t="s">
        <v>115</v>
      </c>
      <c r="AD571" s="123" t="s">
        <v>115</v>
      </c>
      <c r="AE571" s="123" t="s">
        <v>115</v>
      </c>
      <c r="AF571" s="123" t="s">
        <v>115</v>
      </c>
      <c r="AH571" s="123">
        <v>0</v>
      </c>
      <c r="AI571" s="123">
        <v>0</v>
      </c>
      <c r="AJ571" s="123">
        <v>0</v>
      </c>
      <c r="AK571" s="123">
        <v>0</v>
      </c>
      <c r="AL571" s="123">
        <v>0</v>
      </c>
      <c r="AN571" s="123">
        <f t="shared" si="9"/>
        <v>0</v>
      </c>
      <c r="AO571" s="123" t="s">
        <v>188</v>
      </c>
      <c r="AP571" s="123" t="s">
        <v>2668</v>
      </c>
      <c r="AQ571" s="123">
        <v>0</v>
      </c>
      <c r="AR571" s="123">
        <v>0</v>
      </c>
    </row>
    <row r="572" spans="1:44" x14ac:dyDescent="0.2">
      <c r="A572" s="123" t="s">
        <v>2663</v>
      </c>
      <c r="B572" s="123" t="s">
        <v>2664</v>
      </c>
      <c r="C572" s="123">
        <v>1</v>
      </c>
      <c r="D572" s="123">
        <v>1</v>
      </c>
      <c r="E572" s="123" t="s">
        <v>176</v>
      </c>
      <c r="F572" s="125">
        <v>43552</v>
      </c>
      <c r="G572" s="125" t="s">
        <v>4026</v>
      </c>
      <c r="H572" s="125" t="s">
        <v>4752</v>
      </c>
      <c r="I572" s="171">
        <v>6.1111111111111116E-2</v>
      </c>
      <c r="J572" s="173">
        <v>1.0185185185185186E-3</v>
      </c>
      <c r="K572" s="129">
        <v>88</v>
      </c>
      <c r="L572" s="123" t="s">
        <v>398</v>
      </c>
      <c r="M572" s="123" t="s">
        <v>2665</v>
      </c>
      <c r="N572" s="123" t="s">
        <v>102</v>
      </c>
      <c r="O572" s="123" t="s">
        <v>23</v>
      </c>
      <c r="P572" s="123">
        <v>1</v>
      </c>
      <c r="Q572" s="123" t="s">
        <v>24</v>
      </c>
      <c r="R572" s="123">
        <v>0</v>
      </c>
      <c r="S572" s="123" t="s">
        <v>176</v>
      </c>
      <c r="T572" s="123" t="s">
        <v>24</v>
      </c>
      <c r="U572" s="123" t="s">
        <v>709</v>
      </c>
      <c r="V572" s="123" t="s">
        <v>115</v>
      </c>
      <c r="Z572" s="123" t="s">
        <v>115</v>
      </c>
      <c r="AA572" s="123" t="s">
        <v>115</v>
      </c>
      <c r="AB572" s="123" t="s">
        <v>115</v>
      </c>
      <c r="AC572" s="123" t="s">
        <v>115</v>
      </c>
      <c r="AD572" s="123" t="s">
        <v>115</v>
      </c>
      <c r="AE572" s="123" t="s">
        <v>115</v>
      </c>
      <c r="AF572" s="123" t="s">
        <v>115</v>
      </c>
      <c r="AH572" s="123">
        <v>10</v>
      </c>
      <c r="AI572" s="123">
        <v>0</v>
      </c>
      <c r="AJ572" s="123">
        <v>10</v>
      </c>
      <c r="AK572" s="123">
        <v>0</v>
      </c>
      <c r="AL572" s="123">
        <v>0</v>
      </c>
      <c r="AN572" s="123">
        <f t="shared" si="9"/>
        <v>10</v>
      </c>
      <c r="AO572" s="123" t="s">
        <v>2374</v>
      </c>
      <c r="AQ572" s="123">
        <v>2</v>
      </c>
      <c r="AR572" s="123">
        <v>0</v>
      </c>
    </row>
    <row r="573" spans="1:44" x14ac:dyDescent="0.2">
      <c r="A573" s="123" t="s">
        <v>2669</v>
      </c>
      <c r="B573" s="123" t="s">
        <v>2670</v>
      </c>
      <c r="C573" s="123">
        <v>3</v>
      </c>
      <c r="D573" s="123">
        <v>1</v>
      </c>
      <c r="E573" s="123" t="s">
        <v>176</v>
      </c>
      <c r="F573" s="125">
        <v>43552</v>
      </c>
      <c r="G573" s="125" t="s">
        <v>4026</v>
      </c>
      <c r="H573" s="125" t="s">
        <v>4752</v>
      </c>
      <c r="I573" s="171">
        <v>3.125E-2</v>
      </c>
      <c r="J573" s="173">
        <v>5.2083333333333333E-4</v>
      </c>
      <c r="K573" s="129">
        <v>45</v>
      </c>
      <c r="M573" s="123" t="s">
        <v>2665</v>
      </c>
      <c r="N573" s="123" t="s">
        <v>102</v>
      </c>
      <c r="O573" s="123" t="s">
        <v>23</v>
      </c>
      <c r="P573" s="123" t="s">
        <v>24</v>
      </c>
      <c r="Q573" s="123" t="s">
        <v>24</v>
      </c>
      <c r="R573" s="123" t="s">
        <v>176</v>
      </c>
      <c r="T573" s="123" t="s">
        <v>115</v>
      </c>
      <c r="U573" s="123" t="s">
        <v>115</v>
      </c>
      <c r="V573" s="123" t="s">
        <v>115</v>
      </c>
      <c r="Z573" s="123" t="s">
        <v>115</v>
      </c>
      <c r="AA573" s="123" t="s">
        <v>115</v>
      </c>
      <c r="AB573" s="123" t="s">
        <v>115</v>
      </c>
      <c r="AC573" s="123" t="s">
        <v>115</v>
      </c>
      <c r="AD573" s="123" t="s">
        <v>115</v>
      </c>
      <c r="AE573" s="123" t="s">
        <v>115</v>
      </c>
      <c r="AF573" s="123" t="s">
        <v>115</v>
      </c>
      <c r="AH573" s="123">
        <v>20</v>
      </c>
      <c r="AI573" s="123">
        <v>0</v>
      </c>
      <c r="AJ573" s="123">
        <v>20</v>
      </c>
      <c r="AK573" s="123">
        <v>0</v>
      </c>
      <c r="AL573" s="123">
        <v>0</v>
      </c>
      <c r="AN573" s="123">
        <f t="shared" si="9"/>
        <v>20</v>
      </c>
      <c r="AO573" s="123" t="s">
        <v>2374</v>
      </c>
      <c r="AQ573" s="123">
        <v>3</v>
      </c>
      <c r="AR573" s="123">
        <v>0</v>
      </c>
    </row>
    <row r="574" spans="1:44" x14ac:dyDescent="0.2">
      <c r="A574" s="123" t="s">
        <v>2427</v>
      </c>
      <c r="B574" s="123" t="s">
        <v>2428</v>
      </c>
      <c r="C574" s="123">
        <v>4</v>
      </c>
      <c r="D574" s="123">
        <v>1</v>
      </c>
      <c r="E574" s="123" t="s">
        <v>2420</v>
      </c>
      <c r="F574" s="125">
        <v>43546</v>
      </c>
      <c r="G574" s="125" t="s">
        <v>4026</v>
      </c>
      <c r="H574" s="125" t="s">
        <v>4752</v>
      </c>
      <c r="I574" s="171">
        <v>6.2499999999999995E-3</v>
      </c>
      <c r="J574" s="173">
        <v>1.0416666666666667E-4</v>
      </c>
      <c r="K574" s="129">
        <v>9</v>
      </c>
      <c r="L574" s="123" t="s">
        <v>101</v>
      </c>
      <c r="M574" s="123" t="s">
        <v>2429</v>
      </c>
      <c r="N574" s="123" t="s">
        <v>102</v>
      </c>
      <c r="O574" s="123" t="s">
        <v>115</v>
      </c>
      <c r="P574" s="123">
        <v>1</v>
      </c>
      <c r="Q574" s="123">
        <v>0</v>
      </c>
      <c r="R574" s="123">
        <v>0</v>
      </c>
      <c r="S574" s="123" t="s">
        <v>176</v>
      </c>
      <c r="T574" s="123" t="s">
        <v>24</v>
      </c>
      <c r="U574" s="123" t="s">
        <v>122</v>
      </c>
      <c r="V574" s="123" t="s">
        <v>115</v>
      </c>
      <c r="Z574" s="123" t="s">
        <v>115</v>
      </c>
      <c r="AA574" s="123" t="s">
        <v>115</v>
      </c>
      <c r="AB574" s="123" t="s">
        <v>115</v>
      </c>
      <c r="AC574" s="123" t="s">
        <v>115</v>
      </c>
      <c r="AD574" s="123" t="s">
        <v>115</v>
      </c>
      <c r="AH574" s="123">
        <v>0</v>
      </c>
      <c r="AI574" s="123">
        <v>0</v>
      </c>
      <c r="AJ574" s="123">
        <v>0</v>
      </c>
      <c r="AK574" s="123">
        <v>0</v>
      </c>
      <c r="AL574" s="123">
        <v>9</v>
      </c>
      <c r="AN574" s="123">
        <f t="shared" ref="AN574:AN637" si="10">SUM(AH574+AI574+AL574)</f>
        <v>9</v>
      </c>
      <c r="AO574" s="123" t="s">
        <v>188</v>
      </c>
    </row>
    <row r="575" spans="1:44" x14ac:dyDescent="0.2">
      <c r="A575" s="123" t="s">
        <v>2592</v>
      </c>
      <c r="B575" s="123" t="s">
        <v>2593</v>
      </c>
      <c r="C575" s="123">
        <v>1</v>
      </c>
      <c r="D575" s="123">
        <v>1</v>
      </c>
      <c r="E575" s="123" t="s">
        <v>791</v>
      </c>
      <c r="F575" s="125">
        <v>43550</v>
      </c>
      <c r="G575" s="125" t="s">
        <v>4026</v>
      </c>
      <c r="H575" s="125" t="s">
        <v>4752</v>
      </c>
      <c r="I575" s="171">
        <v>4.8611111111111112E-3</v>
      </c>
      <c r="J575" s="173">
        <v>8.1018518518518516E-5</v>
      </c>
      <c r="K575" s="129">
        <v>7</v>
      </c>
      <c r="L575" s="127" t="s">
        <v>2339</v>
      </c>
      <c r="M575" s="123" t="s">
        <v>924</v>
      </c>
      <c r="N575" s="123" t="s">
        <v>107</v>
      </c>
      <c r="O575" s="123" t="s">
        <v>115</v>
      </c>
      <c r="P575" s="123">
        <v>1</v>
      </c>
      <c r="Q575" s="123">
        <v>0</v>
      </c>
      <c r="R575" s="123">
        <v>0</v>
      </c>
      <c r="S575" s="123" t="s">
        <v>176</v>
      </c>
      <c r="T575" s="123" t="s">
        <v>24</v>
      </c>
      <c r="U575" s="123" t="s">
        <v>122</v>
      </c>
      <c r="V575" s="123" t="s">
        <v>115</v>
      </c>
      <c r="Z575" s="123" t="s">
        <v>115</v>
      </c>
      <c r="AA575" s="123" t="s">
        <v>115</v>
      </c>
      <c r="AB575" s="123" t="s">
        <v>115</v>
      </c>
      <c r="AC575" s="123" t="s">
        <v>115</v>
      </c>
      <c r="AD575" s="123" t="s">
        <v>115</v>
      </c>
      <c r="AH575" s="123">
        <v>0</v>
      </c>
      <c r="AI575" s="123">
        <v>0</v>
      </c>
      <c r="AJ575" s="123">
        <v>0</v>
      </c>
      <c r="AK575" s="123">
        <v>0</v>
      </c>
      <c r="AL575" s="123">
        <v>0</v>
      </c>
      <c r="AN575" s="123">
        <f t="shared" si="10"/>
        <v>0</v>
      </c>
      <c r="AP575" s="123" t="s">
        <v>2405</v>
      </c>
    </row>
    <row r="576" spans="1:44" x14ac:dyDescent="0.2">
      <c r="A576" s="123" t="s">
        <v>2594</v>
      </c>
      <c r="B576" s="123" t="s">
        <v>2595</v>
      </c>
      <c r="C576" s="123">
        <v>2</v>
      </c>
      <c r="D576" s="123">
        <v>1</v>
      </c>
      <c r="E576" s="123" t="s">
        <v>791</v>
      </c>
      <c r="F576" s="125">
        <v>43550</v>
      </c>
      <c r="G576" s="125" t="s">
        <v>4026</v>
      </c>
      <c r="H576" s="125" t="s">
        <v>4752</v>
      </c>
      <c r="I576" s="171">
        <v>2.361111111111111E-2</v>
      </c>
      <c r="J576" s="173">
        <v>3.9351851851851852E-4</v>
      </c>
      <c r="K576" s="129">
        <v>34</v>
      </c>
      <c r="L576" s="127" t="s">
        <v>2339</v>
      </c>
      <c r="M576" s="123" t="s">
        <v>924</v>
      </c>
      <c r="N576" s="123" t="s">
        <v>102</v>
      </c>
      <c r="O576" s="123" t="s">
        <v>115</v>
      </c>
      <c r="P576" s="123">
        <v>0</v>
      </c>
      <c r="Q576" s="123">
        <v>0</v>
      </c>
      <c r="R576" s="123">
        <v>0</v>
      </c>
      <c r="T576" s="123" t="s">
        <v>115</v>
      </c>
      <c r="U576" s="123" t="s">
        <v>115</v>
      </c>
      <c r="V576" s="123" t="s">
        <v>115</v>
      </c>
      <c r="Z576" s="123" t="s">
        <v>115</v>
      </c>
      <c r="AA576" s="123" t="s">
        <v>115</v>
      </c>
      <c r="AB576" s="123" t="s">
        <v>115</v>
      </c>
      <c r="AC576" s="123" t="s">
        <v>115</v>
      </c>
      <c r="AD576" s="123" t="s">
        <v>115</v>
      </c>
      <c r="AH576" s="123">
        <v>0</v>
      </c>
      <c r="AI576" s="123">
        <v>0</v>
      </c>
      <c r="AJ576" s="123">
        <v>0</v>
      </c>
      <c r="AK576" s="123">
        <v>0</v>
      </c>
      <c r="AL576" s="123">
        <v>34</v>
      </c>
      <c r="AN576" s="123">
        <f t="shared" si="10"/>
        <v>34</v>
      </c>
      <c r="AO576" s="123" t="s">
        <v>188</v>
      </c>
    </row>
    <row r="577" spans="1:42" x14ac:dyDescent="0.2">
      <c r="A577" s="123" t="s">
        <v>2596</v>
      </c>
      <c r="B577" s="123" t="s">
        <v>2597</v>
      </c>
      <c r="C577" s="123">
        <v>3</v>
      </c>
      <c r="D577" s="123">
        <v>1</v>
      </c>
      <c r="E577" s="123" t="s">
        <v>791</v>
      </c>
      <c r="F577" s="125">
        <v>43550</v>
      </c>
      <c r="G577" s="125" t="s">
        <v>4026</v>
      </c>
      <c r="H577" s="125" t="s">
        <v>4752</v>
      </c>
      <c r="I577" s="171">
        <v>1.0416666666666666E-2</v>
      </c>
      <c r="J577" s="173">
        <v>1.7361111111111112E-4</v>
      </c>
      <c r="K577" s="129">
        <v>15</v>
      </c>
      <c r="L577" s="127" t="s">
        <v>2339</v>
      </c>
      <c r="M577" s="123" t="s">
        <v>924</v>
      </c>
      <c r="N577" s="123" t="s">
        <v>102</v>
      </c>
      <c r="O577" s="123" t="s">
        <v>115</v>
      </c>
      <c r="P577" s="123" t="s">
        <v>24</v>
      </c>
      <c r="Q577" s="123">
        <v>0</v>
      </c>
      <c r="R577" s="123">
        <v>0</v>
      </c>
      <c r="T577" s="123" t="s">
        <v>115</v>
      </c>
      <c r="U577" s="123" t="s">
        <v>115</v>
      </c>
      <c r="V577" s="123" t="s">
        <v>115</v>
      </c>
      <c r="Z577" s="123" t="s">
        <v>115</v>
      </c>
      <c r="AA577" s="123" t="s">
        <v>115</v>
      </c>
      <c r="AB577" s="123" t="s">
        <v>115</v>
      </c>
      <c r="AC577" s="123" t="s">
        <v>115</v>
      </c>
      <c r="AD577" s="123" t="s">
        <v>115</v>
      </c>
      <c r="AH577" s="123">
        <v>0</v>
      </c>
      <c r="AI577" s="123">
        <v>0</v>
      </c>
      <c r="AJ577" s="123">
        <v>0</v>
      </c>
      <c r="AK577" s="123">
        <v>0</v>
      </c>
      <c r="AL577" s="123">
        <v>8</v>
      </c>
      <c r="AN577" s="123">
        <f t="shared" si="10"/>
        <v>8</v>
      </c>
      <c r="AO577" s="123" t="s">
        <v>188</v>
      </c>
    </row>
    <row r="578" spans="1:42" x14ac:dyDescent="0.2">
      <c r="A578" s="123" t="s">
        <v>2442</v>
      </c>
      <c r="B578" s="123" t="s">
        <v>2443</v>
      </c>
      <c r="C578" s="123">
        <v>10</v>
      </c>
      <c r="D578" s="123">
        <v>1</v>
      </c>
      <c r="E578" s="123" t="s">
        <v>2420</v>
      </c>
      <c r="F578" s="125">
        <v>43546</v>
      </c>
      <c r="G578" s="125" t="s">
        <v>4026</v>
      </c>
      <c r="H578" s="125" t="s">
        <v>4752</v>
      </c>
      <c r="I578" s="171">
        <v>2.7777777777777776E-2</v>
      </c>
      <c r="J578" s="173">
        <v>4.6296296296296293E-4</v>
      </c>
      <c r="K578" s="129">
        <v>40</v>
      </c>
      <c r="L578" s="123" t="s">
        <v>101</v>
      </c>
      <c r="M578" s="123" t="s">
        <v>241</v>
      </c>
      <c r="N578" s="123" t="s">
        <v>102</v>
      </c>
      <c r="O578" s="123" t="s">
        <v>115</v>
      </c>
      <c r="P578" s="123">
        <v>1</v>
      </c>
      <c r="Q578" s="123">
        <v>0</v>
      </c>
      <c r="R578" s="123">
        <v>0</v>
      </c>
      <c r="S578" s="123" t="s">
        <v>176</v>
      </c>
      <c r="T578" s="123" t="s">
        <v>24</v>
      </c>
      <c r="U578" s="123" t="s">
        <v>122</v>
      </c>
      <c r="V578" s="123" t="s">
        <v>115</v>
      </c>
      <c r="Z578" s="123" t="s">
        <v>115</v>
      </c>
      <c r="AA578" s="123" t="s">
        <v>115</v>
      </c>
      <c r="AB578" s="123" t="s">
        <v>115</v>
      </c>
      <c r="AC578" s="123" t="s">
        <v>115</v>
      </c>
      <c r="AD578" s="123" t="s">
        <v>115</v>
      </c>
      <c r="AH578" s="123">
        <v>0</v>
      </c>
      <c r="AI578" s="123">
        <v>0</v>
      </c>
      <c r="AJ578" s="123">
        <v>0</v>
      </c>
      <c r="AK578" s="123">
        <v>0</v>
      </c>
      <c r="AL578" s="123">
        <v>8</v>
      </c>
      <c r="AN578" s="123">
        <f t="shared" si="10"/>
        <v>8</v>
      </c>
      <c r="AO578" s="123" t="s">
        <v>188</v>
      </c>
    </row>
    <row r="579" spans="1:42" x14ac:dyDescent="0.2">
      <c r="A579" s="123" t="s">
        <v>2451</v>
      </c>
      <c r="B579" s="123" t="s">
        <v>2452</v>
      </c>
      <c r="C579" s="123">
        <v>14</v>
      </c>
      <c r="D579" s="123">
        <v>1</v>
      </c>
      <c r="E579" s="123" t="s">
        <v>2420</v>
      </c>
      <c r="F579" s="125">
        <v>43546</v>
      </c>
      <c r="G579" s="125" t="s">
        <v>4026</v>
      </c>
      <c r="H579" s="125" t="s">
        <v>4752</v>
      </c>
      <c r="I579" s="171">
        <v>1.3888888888888888E-2</v>
      </c>
      <c r="J579" s="173">
        <v>2.3148148148148146E-4</v>
      </c>
      <c r="K579" s="129">
        <v>20</v>
      </c>
      <c r="L579" s="123" t="s">
        <v>101</v>
      </c>
      <c r="M579" s="123" t="s">
        <v>241</v>
      </c>
      <c r="N579" s="123" t="s">
        <v>102</v>
      </c>
      <c r="O579" s="123" t="s">
        <v>115</v>
      </c>
      <c r="P579" s="123">
        <v>1</v>
      </c>
      <c r="Q579" s="123">
        <v>0</v>
      </c>
      <c r="R579" s="123">
        <v>0</v>
      </c>
      <c r="S579" s="123" t="s">
        <v>176</v>
      </c>
      <c r="T579" s="123" t="s">
        <v>24</v>
      </c>
      <c r="U579" s="123" t="s">
        <v>122</v>
      </c>
      <c r="V579" s="123" t="s">
        <v>115</v>
      </c>
      <c r="Z579" s="123" t="s">
        <v>115</v>
      </c>
      <c r="AA579" s="123" t="s">
        <v>115</v>
      </c>
      <c r="AB579" s="123" t="s">
        <v>115</v>
      </c>
      <c r="AC579" s="123" t="s">
        <v>115</v>
      </c>
      <c r="AD579" s="123" t="s">
        <v>115</v>
      </c>
      <c r="AH579" s="123">
        <v>0</v>
      </c>
      <c r="AI579" s="123">
        <v>0</v>
      </c>
      <c r="AJ579" s="123">
        <v>0</v>
      </c>
      <c r="AK579" s="123">
        <v>0</v>
      </c>
      <c r="AL579" s="123">
        <v>20</v>
      </c>
      <c r="AN579" s="123">
        <f t="shared" si="10"/>
        <v>20</v>
      </c>
      <c r="AO579" s="123" t="s">
        <v>188</v>
      </c>
    </row>
    <row r="580" spans="1:42" x14ac:dyDescent="0.2">
      <c r="A580" s="123" t="s">
        <v>2425</v>
      </c>
      <c r="B580" s="123" t="s">
        <v>2426</v>
      </c>
      <c r="C580" s="123">
        <v>3</v>
      </c>
      <c r="D580" s="123">
        <v>1</v>
      </c>
      <c r="E580" s="123" t="s">
        <v>2420</v>
      </c>
      <c r="F580" s="125">
        <v>43546</v>
      </c>
      <c r="G580" s="125" t="s">
        <v>4026</v>
      </c>
      <c r="H580" s="125" t="s">
        <v>4752</v>
      </c>
      <c r="I580" s="171">
        <v>9.7222222222222224E-3</v>
      </c>
      <c r="J580" s="173">
        <v>1.6203703703703703E-4</v>
      </c>
      <c r="K580" s="129">
        <v>14</v>
      </c>
      <c r="L580" s="123" t="s">
        <v>101</v>
      </c>
      <c r="M580" s="123" t="s">
        <v>241</v>
      </c>
      <c r="N580" s="123" t="s">
        <v>102</v>
      </c>
      <c r="O580" s="123" t="s">
        <v>115</v>
      </c>
      <c r="P580" s="123">
        <v>1</v>
      </c>
      <c r="Q580" s="123">
        <v>0</v>
      </c>
      <c r="R580" s="123">
        <v>0</v>
      </c>
      <c r="S580" s="123" t="s">
        <v>176</v>
      </c>
      <c r="T580" s="123" t="s">
        <v>24</v>
      </c>
      <c r="U580" s="123" t="s">
        <v>122</v>
      </c>
      <c r="V580" s="123" t="s">
        <v>115</v>
      </c>
      <c r="Z580" s="123" t="s">
        <v>115</v>
      </c>
      <c r="AA580" s="123" t="s">
        <v>115</v>
      </c>
      <c r="AB580" s="123" t="s">
        <v>115</v>
      </c>
      <c r="AC580" s="123" t="s">
        <v>115</v>
      </c>
      <c r="AD580" s="123" t="s">
        <v>115</v>
      </c>
      <c r="AH580" s="123">
        <v>0</v>
      </c>
      <c r="AI580" s="123">
        <v>0</v>
      </c>
      <c r="AJ580" s="123">
        <v>0</v>
      </c>
      <c r="AK580" s="123">
        <v>0</v>
      </c>
      <c r="AL580" s="123">
        <v>14</v>
      </c>
      <c r="AN580" s="123">
        <f t="shared" si="10"/>
        <v>14</v>
      </c>
      <c r="AP580" s="123" t="s">
        <v>2405</v>
      </c>
    </row>
    <row r="581" spans="1:42" x14ac:dyDescent="0.2">
      <c r="A581" s="123" t="s">
        <v>2430</v>
      </c>
      <c r="B581" s="123" t="s">
        <v>2431</v>
      </c>
      <c r="C581" s="123">
        <v>5</v>
      </c>
      <c r="D581" s="123">
        <v>1</v>
      </c>
      <c r="E581" s="123" t="s">
        <v>2420</v>
      </c>
      <c r="F581" s="125">
        <v>43546</v>
      </c>
      <c r="G581" s="125" t="s">
        <v>4026</v>
      </c>
      <c r="H581" s="125" t="s">
        <v>4752</v>
      </c>
      <c r="I581" s="171">
        <v>1.3888888888888888E-2</v>
      </c>
      <c r="J581" s="173">
        <v>2.3148148148148146E-4</v>
      </c>
      <c r="K581" s="129">
        <v>20</v>
      </c>
      <c r="L581" s="123" t="s">
        <v>101</v>
      </c>
      <c r="M581" s="123" t="s">
        <v>241</v>
      </c>
      <c r="N581" s="123" t="s">
        <v>102</v>
      </c>
      <c r="O581" s="123" t="s">
        <v>115</v>
      </c>
      <c r="P581" s="123">
        <v>3</v>
      </c>
      <c r="Q581" s="123">
        <v>0</v>
      </c>
      <c r="R581" s="123">
        <v>0</v>
      </c>
      <c r="S581" s="123" t="s">
        <v>176</v>
      </c>
      <c r="T581" s="123" t="s">
        <v>24</v>
      </c>
      <c r="U581" s="123" t="s">
        <v>122</v>
      </c>
      <c r="V581" s="123" t="s">
        <v>115</v>
      </c>
      <c r="Z581" s="123" t="s">
        <v>115</v>
      </c>
      <c r="AA581" s="123" t="s">
        <v>115</v>
      </c>
      <c r="AB581" s="123" t="s">
        <v>115</v>
      </c>
      <c r="AC581" s="123" t="s">
        <v>115</v>
      </c>
      <c r="AD581" s="123" t="s">
        <v>115</v>
      </c>
      <c r="AH581" s="123">
        <v>0</v>
      </c>
      <c r="AI581" s="123">
        <v>0</v>
      </c>
      <c r="AJ581" s="123">
        <v>0</v>
      </c>
      <c r="AK581" s="123">
        <v>0</v>
      </c>
      <c r="AL581" s="123">
        <v>20</v>
      </c>
      <c r="AN581" s="123">
        <f t="shared" si="10"/>
        <v>20</v>
      </c>
      <c r="AO581" s="123" t="s">
        <v>188</v>
      </c>
    </row>
    <row r="582" spans="1:42" x14ac:dyDescent="0.2">
      <c r="A582" s="123" t="s">
        <v>2418</v>
      </c>
      <c r="B582" s="123" t="s">
        <v>2419</v>
      </c>
      <c r="C582" s="123">
        <v>1</v>
      </c>
      <c r="D582" s="123">
        <v>1</v>
      </c>
      <c r="E582" s="123" t="s">
        <v>2420</v>
      </c>
      <c r="F582" s="125">
        <v>43546</v>
      </c>
      <c r="G582" s="125" t="s">
        <v>4026</v>
      </c>
      <c r="H582" s="125" t="s">
        <v>4752</v>
      </c>
      <c r="I582" s="171">
        <v>1.9444444444444445E-2</v>
      </c>
      <c r="J582" s="173">
        <v>3.2407407407407406E-4</v>
      </c>
      <c r="K582" s="129">
        <v>28</v>
      </c>
      <c r="L582" s="123" t="s">
        <v>101</v>
      </c>
      <c r="M582" s="123" t="s">
        <v>241</v>
      </c>
      <c r="N582" s="123" t="s">
        <v>102</v>
      </c>
      <c r="O582" s="123" t="s">
        <v>115</v>
      </c>
      <c r="P582" s="123">
        <v>0</v>
      </c>
      <c r="Q582" s="123">
        <v>0</v>
      </c>
      <c r="R582" s="123">
        <v>0</v>
      </c>
      <c r="T582" s="123" t="s">
        <v>115</v>
      </c>
      <c r="U582" s="123" t="s">
        <v>115</v>
      </c>
      <c r="V582" s="123" t="s">
        <v>115</v>
      </c>
      <c r="Z582" s="123" t="s">
        <v>115</v>
      </c>
      <c r="AA582" s="123" t="s">
        <v>115</v>
      </c>
      <c r="AB582" s="123" t="s">
        <v>115</v>
      </c>
      <c r="AC582" s="123" t="s">
        <v>115</v>
      </c>
      <c r="AD582" s="123" t="s">
        <v>115</v>
      </c>
      <c r="AH582" s="123">
        <v>0</v>
      </c>
      <c r="AI582" s="123">
        <v>0</v>
      </c>
      <c r="AJ582" s="123">
        <v>0</v>
      </c>
      <c r="AK582" s="123">
        <v>0</v>
      </c>
      <c r="AL582" s="123">
        <v>11</v>
      </c>
      <c r="AN582" s="123">
        <f t="shared" si="10"/>
        <v>11</v>
      </c>
      <c r="AO582" s="123" t="s">
        <v>1672</v>
      </c>
    </row>
    <row r="583" spans="1:42" x14ac:dyDescent="0.2">
      <c r="A583" s="123" t="s">
        <v>2444</v>
      </c>
      <c r="B583" s="123" t="s">
        <v>2445</v>
      </c>
      <c r="C583" s="123">
        <v>11</v>
      </c>
      <c r="D583" s="123">
        <v>1</v>
      </c>
      <c r="E583" s="123" t="s">
        <v>2420</v>
      </c>
      <c r="F583" s="125">
        <v>43546</v>
      </c>
      <c r="G583" s="125" t="s">
        <v>4026</v>
      </c>
      <c r="H583" s="125" t="s">
        <v>4752</v>
      </c>
      <c r="I583" s="171">
        <v>5.5555555555555558E-3</v>
      </c>
      <c r="J583" s="173">
        <v>9.2592592592592588E-5</v>
      </c>
      <c r="K583" s="129">
        <v>8</v>
      </c>
      <c r="L583" s="123" t="s">
        <v>101</v>
      </c>
      <c r="M583" s="123" t="s">
        <v>241</v>
      </c>
      <c r="N583" s="123" t="s">
        <v>102</v>
      </c>
      <c r="O583" s="123" t="s">
        <v>115</v>
      </c>
      <c r="P583" s="123">
        <v>0</v>
      </c>
      <c r="Q583" s="123">
        <v>0</v>
      </c>
      <c r="R583" s="123">
        <v>0</v>
      </c>
      <c r="T583" s="123" t="s">
        <v>115</v>
      </c>
      <c r="U583" s="123" t="s">
        <v>115</v>
      </c>
      <c r="V583" s="123" t="s">
        <v>115</v>
      </c>
      <c r="Z583" s="123" t="s">
        <v>115</v>
      </c>
      <c r="AA583" s="123" t="s">
        <v>115</v>
      </c>
      <c r="AB583" s="123" t="s">
        <v>115</v>
      </c>
      <c r="AC583" s="123" t="s">
        <v>115</v>
      </c>
      <c r="AD583" s="123" t="s">
        <v>115</v>
      </c>
      <c r="AH583" s="123">
        <v>0</v>
      </c>
      <c r="AI583" s="123">
        <v>0</v>
      </c>
      <c r="AJ583" s="123">
        <v>0</v>
      </c>
      <c r="AK583" s="123">
        <v>0</v>
      </c>
      <c r="AL583" s="123">
        <v>8</v>
      </c>
      <c r="AN583" s="123">
        <f t="shared" si="10"/>
        <v>8</v>
      </c>
      <c r="AO583" s="123" t="s">
        <v>188</v>
      </c>
    </row>
    <row r="584" spans="1:42" x14ac:dyDescent="0.2">
      <c r="A584" s="123" t="s">
        <v>2421</v>
      </c>
      <c r="B584" s="123" t="s">
        <v>2422</v>
      </c>
      <c r="C584" s="123">
        <v>2</v>
      </c>
      <c r="D584" s="123">
        <v>1</v>
      </c>
      <c r="E584" s="123" t="s">
        <v>2420</v>
      </c>
      <c r="F584" s="125">
        <v>43546</v>
      </c>
      <c r="G584" s="125" t="s">
        <v>4026</v>
      </c>
      <c r="H584" s="125" t="s">
        <v>4752</v>
      </c>
      <c r="I584" s="171">
        <v>4.7916666666666663E-2</v>
      </c>
      <c r="J584" s="173">
        <v>7.9861111111111105E-4</v>
      </c>
      <c r="K584" s="129">
        <v>69</v>
      </c>
      <c r="L584" s="123" t="s">
        <v>101</v>
      </c>
      <c r="M584" s="123" t="s">
        <v>241</v>
      </c>
      <c r="N584" s="123" t="s">
        <v>102</v>
      </c>
      <c r="O584" s="123" t="s">
        <v>2423</v>
      </c>
      <c r="P584" s="123">
        <v>0</v>
      </c>
      <c r="Q584" s="123">
        <v>0</v>
      </c>
      <c r="R584" s="123">
        <v>0</v>
      </c>
      <c r="T584" s="123" t="s">
        <v>115</v>
      </c>
      <c r="U584" s="123" t="s">
        <v>115</v>
      </c>
      <c r="V584" s="123" t="s">
        <v>115</v>
      </c>
      <c r="Z584" s="123" t="s">
        <v>115</v>
      </c>
      <c r="AA584" s="123" t="s">
        <v>115</v>
      </c>
      <c r="AB584" s="123" t="s">
        <v>115</v>
      </c>
      <c r="AC584" s="123" t="s">
        <v>115</v>
      </c>
      <c r="AD584" s="123" t="s">
        <v>115</v>
      </c>
      <c r="AH584" s="123">
        <v>10</v>
      </c>
      <c r="AI584" s="123">
        <v>0</v>
      </c>
      <c r="AJ584" s="123">
        <v>10</v>
      </c>
      <c r="AK584" s="123">
        <v>0</v>
      </c>
      <c r="AL584" s="123">
        <v>21</v>
      </c>
      <c r="AN584" s="123">
        <f t="shared" si="10"/>
        <v>31</v>
      </c>
      <c r="AO584" s="123" t="s">
        <v>1672</v>
      </c>
      <c r="AP584" s="123" t="s">
        <v>4771</v>
      </c>
    </row>
    <row r="585" spans="1:42" x14ac:dyDescent="0.2">
      <c r="A585" s="123" t="s">
        <v>2446</v>
      </c>
      <c r="B585" s="123" t="s">
        <v>2447</v>
      </c>
      <c r="C585" s="123">
        <v>12</v>
      </c>
      <c r="D585" s="123">
        <v>1</v>
      </c>
      <c r="E585" s="123" t="s">
        <v>2420</v>
      </c>
      <c r="F585" s="125">
        <v>43546</v>
      </c>
      <c r="G585" s="125" t="s">
        <v>4026</v>
      </c>
      <c r="H585" s="125" t="s">
        <v>4752</v>
      </c>
      <c r="I585" s="171">
        <v>1.2499999999999999E-2</v>
      </c>
      <c r="J585" s="173">
        <v>2.0833333333333335E-4</v>
      </c>
      <c r="K585" s="129">
        <v>18</v>
      </c>
      <c r="L585" s="123" t="s">
        <v>101</v>
      </c>
      <c r="M585" s="123" t="s">
        <v>241</v>
      </c>
      <c r="N585" s="123" t="s">
        <v>102</v>
      </c>
      <c r="O585" s="123" t="s">
        <v>115</v>
      </c>
      <c r="P585" s="123">
        <v>1</v>
      </c>
      <c r="Q585" s="123">
        <v>0</v>
      </c>
      <c r="R585" s="123">
        <v>0</v>
      </c>
      <c r="S585" s="123" t="s">
        <v>14</v>
      </c>
      <c r="T585" s="123" t="s">
        <v>2448</v>
      </c>
      <c r="U585" s="123" t="s">
        <v>122</v>
      </c>
      <c r="V585" s="123" t="s">
        <v>115</v>
      </c>
      <c r="Z585" s="123" t="s">
        <v>115</v>
      </c>
      <c r="AA585" s="123" t="s">
        <v>115</v>
      </c>
      <c r="AB585" s="123" t="s">
        <v>115</v>
      </c>
      <c r="AC585" s="123" t="s">
        <v>115</v>
      </c>
      <c r="AD585" s="123" t="s">
        <v>115</v>
      </c>
      <c r="AH585" s="123">
        <v>0</v>
      </c>
      <c r="AI585" s="123">
        <v>0</v>
      </c>
      <c r="AJ585" s="123">
        <v>0</v>
      </c>
      <c r="AK585" s="123">
        <v>0</v>
      </c>
      <c r="AL585" s="123">
        <v>18</v>
      </c>
      <c r="AN585" s="123">
        <f t="shared" si="10"/>
        <v>18</v>
      </c>
      <c r="AO585" s="123" t="s">
        <v>188</v>
      </c>
    </row>
    <row r="586" spans="1:42" x14ac:dyDescent="0.2">
      <c r="A586" s="123" t="s">
        <v>2449</v>
      </c>
      <c r="B586" s="123" t="s">
        <v>2450</v>
      </c>
      <c r="C586" s="123">
        <v>13</v>
      </c>
      <c r="D586" s="123">
        <v>1</v>
      </c>
      <c r="E586" s="123" t="s">
        <v>2420</v>
      </c>
      <c r="F586" s="125">
        <v>43546</v>
      </c>
      <c r="G586" s="125" t="s">
        <v>4026</v>
      </c>
      <c r="H586" s="125" t="s">
        <v>4752</v>
      </c>
      <c r="I586" s="171">
        <v>9.7222222222222224E-3</v>
      </c>
      <c r="J586" s="173">
        <v>1.6203703703703703E-4</v>
      </c>
      <c r="K586" s="129">
        <v>14</v>
      </c>
      <c r="L586" s="123" t="s">
        <v>101</v>
      </c>
      <c r="M586" s="123" t="s">
        <v>241</v>
      </c>
      <c r="N586" s="123" t="s">
        <v>102</v>
      </c>
      <c r="O586" s="123" t="s">
        <v>115</v>
      </c>
      <c r="P586" s="123">
        <v>1</v>
      </c>
      <c r="Q586" s="123">
        <v>0</v>
      </c>
      <c r="R586" s="123">
        <v>0</v>
      </c>
      <c r="S586" s="123" t="s">
        <v>14</v>
      </c>
      <c r="T586" s="123" t="s">
        <v>2448</v>
      </c>
      <c r="U586" s="123" t="s">
        <v>122</v>
      </c>
      <c r="V586" s="123" t="s">
        <v>115</v>
      </c>
      <c r="Z586" s="123" t="s">
        <v>115</v>
      </c>
      <c r="AA586" s="123" t="s">
        <v>115</v>
      </c>
      <c r="AB586" s="123" t="s">
        <v>115</v>
      </c>
      <c r="AC586" s="123" t="s">
        <v>115</v>
      </c>
      <c r="AD586" s="123" t="s">
        <v>115</v>
      </c>
      <c r="AH586" s="123">
        <v>0</v>
      </c>
      <c r="AI586" s="123">
        <v>0</v>
      </c>
      <c r="AJ586" s="123">
        <v>0</v>
      </c>
      <c r="AK586" s="123">
        <v>0</v>
      </c>
      <c r="AL586" s="123">
        <v>14</v>
      </c>
      <c r="AN586" s="123">
        <f t="shared" si="10"/>
        <v>14</v>
      </c>
      <c r="AO586" s="123" t="s">
        <v>188</v>
      </c>
    </row>
    <row r="587" spans="1:42" x14ac:dyDescent="0.2">
      <c r="A587" s="123" t="s">
        <v>2435</v>
      </c>
      <c r="B587" s="123" t="s">
        <v>2436</v>
      </c>
      <c r="C587" s="123">
        <v>7</v>
      </c>
      <c r="D587" s="123">
        <v>1</v>
      </c>
      <c r="E587" s="123" t="s">
        <v>2420</v>
      </c>
      <c r="F587" s="125">
        <v>43546</v>
      </c>
      <c r="G587" s="125" t="s">
        <v>4026</v>
      </c>
      <c r="H587" s="125" t="s">
        <v>4752</v>
      </c>
      <c r="I587" s="171">
        <v>2.2916666666666669E-2</v>
      </c>
      <c r="J587" s="173">
        <v>3.8194444444444446E-4</v>
      </c>
      <c r="K587" s="129">
        <v>33</v>
      </c>
      <c r="L587" s="123" t="s">
        <v>101</v>
      </c>
      <c r="M587" s="123" t="s">
        <v>241</v>
      </c>
      <c r="N587" s="123" t="s">
        <v>228</v>
      </c>
      <c r="O587" s="123" t="s">
        <v>115</v>
      </c>
      <c r="P587" s="123">
        <v>1</v>
      </c>
      <c r="Q587" s="123">
        <v>0</v>
      </c>
      <c r="R587" s="123">
        <v>0</v>
      </c>
      <c r="S587" s="123" t="s">
        <v>598</v>
      </c>
      <c r="T587" s="123" t="s">
        <v>2437</v>
      </c>
      <c r="U587" s="123" t="s">
        <v>122</v>
      </c>
      <c r="V587" s="123" t="s">
        <v>176</v>
      </c>
      <c r="Z587" s="123" t="s">
        <v>115</v>
      </c>
      <c r="AA587" s="123" t="s">
        <v>115</v>
      </c>
      <c r="AB587" s="123" t="s">
        <v>115</v>
      </c>
      <c r="AC587" s="123" t="s">
        <v>115</v>
      </c>
      <c r="AD587" s="123" t="s">
        <v>115</v>
      </c>
      <c r="AH587" s="123">
        <v>0</v>
      </c>
      <c r="AI587" s="123">
        <v>0</v>
      </c>
      <c r="AJ587" s="123">
        <v>0</v>
      </c>
      <c r="AK587" s="123">
        <v>0</v>
      </c>
      <c r="AL587" s="123">
        <v>3</v>
      </c>
      <c r="AN587" s="123">
        <f t="shared" si="10"/>
        <v>3</v>
      </c>
      <c r="AO587" s="123" t="s">
        <v>188</v>
      </c>
    </row>
    <row r="588" spans="1:42" x14ac:dyDescent="0.2">
      <c r="A588" s="123" t="s">
        <v>2432</v>
      </c>
      <c r="B588" s="123" t="s">
        <v>2433</v>
      </c>
      <c r="C588" s="123">
        <v>6</v>
      </c>
      <c r="D588" s="123">
        <v>1</v>
      </c>
      <c r="E588" s="123" t="s">
        <v>2420</v>
      </c>
      <c r="F588" s="125">
        <v>43546</v>
      </c>
      <c r="G588" s="125" t="s">
        <v>4026</v>
      </c>
      <c r="H588" s="125" t="s">
        <v>4752</v>
      </c>
      <c r="I588" s="171">
        <v>2.1527777777777781E-2</v>
      </c>
      <c r="J588" s="173">
        <v>3.5879629629629635E-4</v>
      </c>
      <c r="K588" s="129">
        <v>31</v>
      </c>
      <c r="L588" s="123" t="s">
        <v>101</v>
      </c>
      <c r="M588" s="123" t="s">
        <v>241</v>
      </c>
      <c r="N588" s="123" t="s">
        <v>102</v>
      </c>
      <c r="O588" s="123" t="s">
        <v>115</v>
      </c>
      <c r="P588" s="123" t="s">
        <v>24</v>
      </c>
      <c r="Q588" s="123">
        <v>0</v>
      </c>
      <c r="R588" s="123">
        <v>0</v>
      </c>
      <c r="T588" s="123" t="s">
        <v>115</v>
      </c>
      <c r="U588" s="123" t="s">
        <v>115</v>
      </c>
      <c r="V588" s="123" t="s">
        <v>115</v>
      </c>
      <c r="Z588" s="123" t="s">
        <v>115</v>
      </c>
      <c r="AA588" s="123" t="s">
        <v>115</v>
      </c>
      <c r="AB588" s="123" t="s">
        <v>115</v>
      </c>
      <c r="AC588" s="123" t="s">
        <v>115</v>
      </c>
      <c r="AD588" s="123" t="s">
        <v>115</v>
      </c>
      <c r="AH588" s="123">
        <v>0</v>
      </c>
      <c r="AI588" s="123">
        <v>0</v>
      </c>
      <c r="AJ588" s="123">
        <v>0</v>
      </c>
      <c r="AK588" s="123">
        <v>0</v>
      </c>
      <c r="AL588" s="123">
        <v>31</v>
      </c>
      <c r="AN588" s="123">
        <f t="shared" si="10"/>
        <v>31</v>
      </c>
      <c r="AO588" s="123" t="s">
        <v>188</v>
      </c>
      <c r="AP588" s="123" t="s">
        <v>2434</v>
      </c>
    </row>
    <row r="589" spans="1:42" x14ac:dyDescent="0.2">
      <c r="A589" s="123" t="s">
        <v>2438</v>
      </c>
      <c r="B589" s="123" t="s">
        <v>2439</v>
      </c>
      <c r="C589" s="123">
        <v>8</v>
      </c>
      <c r="D589" s="123">
        <v>1</v>
      </c>
      <c r="E589" s="123" t="s">
        <v>2420</v>
      </c>
      <c r="F589" s="125">
        <v>43546</v>
      </c>
      <c r="G589" s="125" t="s">
        <v>4026</v>
      </c>
      <c r="H589" s="125" t="s">
        <v>4752</v>
      </c>
      <c r="I589" s="171">
        <v>1.1111111111111112E-2</v>
      </c>
      <c r="J589" s="173">
        <v>1.8518518518518518E-4</v>
      </c>
      <c r="K589" s="129">
        <v>16</v>
      </c>
      <c r="L589" s="123" t="s">
        <v>101</v>
      </c>
      <c r="M589" s="123" t="s">
        <v>241</v>
      </c>
      <c r="N589" s="123" t="s">
        <v>102</v>
      </c>
      <c r="O589" s="123" t="s">
        <v>115</v>
      </c>
      <c r="P589" s="123" t="s">
        <v>24</v>
      </c>
      <c r="Q589" s="123">
        <v>0</v>
      </c>
      <c r="R589" s="123">
        <v>0</v>
      </c>
      <c r="T589" s="123" t="s">
        <v>115</v>
      </c>
      <c r="U589" s="123" t="s">
        <v>115</v>
      </c>
      <c r="V589" s="123" t="s">
        <v>115</v>
      </c>
      <c r="Z589" s="123" t="s">
        <v>115</v>
      </c>
      <c r="AA589" s="123" t="s">
        <v>115</v>
      </c>
      <c r="AB589" s="123" t="s">
        <v>115</v>
      </c>
      <c r="AC589" s="123" t="s">
        <v>115</v>
      </c>
      <c r="AD589" s="123" t="s">
        <v>115</v>
      </c>
      <c r="AH589" s="123">
        <v>0</v>
      </c>
      <c r="AI589" s="123">
        <v>0</v>
      </c>
      <c r="AJ589" s="123">
        <v>0</v>
      </c>
      <c r="AK589" s="123">
        <v>0</v>
      </c>
      <c r="AL589" s="123">
        <v>16</v>
      </c>
      <c r="AN589" s="123">
        <f t="shared" si="10"/>
        <v>16</v>
      </c>
      <c r="AO589" s="123" t="s">
        <v>188</v>
      </c>
    </row>
    <row r="590" spans="1:42" x14ac:dyDescent="0.2">
      <c r="A590" s="123" t="s">
        <v>2440</v>
      </c>
      <c r="B590" s="123" t="s">
        <v>2441</v>
      </c>
      <c r="C590" s="123">
        <v>9</v>
      </c>
      <c r="D590" s="123">
        <v>1</v>
      </c>
      <c r="E590" s="123" t="s">
        <v>2420</v>
      </c>
      <c r="F590" s="125">
        <v>43546</v>
      </c>
      <c r="G590" s="125" t="s">
        <v>4026</v>
      </c>
      <c r="H590" s="125" t="s">
        <v>4752</v>
      </c>
      <c r="I590" s="171">
        <v>1.1111111111111112E-2</v>
      </c>
      <c r="J590" s="173">
        <v>1.8518518518518518E-4</v>
      </c>
      <c r="K590" s="129">
        <v>16</v>
      </c>
      <c r="L590" s="123" t="s">
        <v>101</v>
      </c>
      <c r="M590" s="123" t="s">
        <v>241</v>
      </c>
      <c r="N590" s="123" t="s">
        <v>102</v>
      </c>
      <c r="O590" s="123" t="s">
        <v>115</v>
      </c>
      <c r="P590" s="123" t="s">
        <v>24</v>
      </c>
      <c r="Q590" s="123">
        <v>0</v>
      </c>
      <c r="R590" s="123">
        <v>0</v>
      </c>
      <c r="T590" s="123" t="s">
        <v>115</v>
      </c>
      <c r="U590" s="123" t="s">
        <v>115</v>
      </c>
      <c r="V590" s="123" t="s">
        <v>115</v>
      </c>
      <c r="Z590" s="123" t="s">
        <v>115</v>
      </c>
      <c r="AA590" s="123" t="s">
        <v>115</v>
      </c>
      <c r="AB590" s="123" t="s">
        <v>115</v>
      </c>
      <c r="AC590" s="123" t="s">
        <v>115</v>
      </c>
      <c r="AD590" s="123" t="s">
        <v>115</v>
      </c>
      <c r="AH590" s="123">
        <v>0</v>
      </c>
      <c r="AI590" s="123">
        <v>0</v>
      </c>
      <c r="AJ590" s="123">
        <v>0</v>
      </c>
      <c r="AK590" s="123">
        <v>0</v>
      </c>
      <c r="AL590" s="123">
        <v>16</v>
      </c>
      <c r="AN590" s="123">
        <f t="shared" si="10"/>
        <v>16</v>
      </c>
      <c r="AO590" s="123" t="s">
        <v>188</v>
      </c>
    </row>
    <row r="591" spans="1:42" x14ac:dyDescent="0.2">
      <c r="A591" s="123" t="s">
        <v>2639</v>
      </c>
      <c r="B591" s="123" t="s">
        <v>2640</v>
      </c>
      <c r="C591" s="123">
        <v>7</v>
      </c>
      <c r="D591" s="123">
        <v>1</v>
      </c>
      <c r="E591" s="123" t="s">
        <v>2487</v>
      </c>
      <c r="F591" s="125">
        <v>43551</v>
      </c>
      <c r="G591" s="125" t="s">
        <v>4026</v>
      </c>
      <c r="H591" s="125" t="s">
        <v>4752</v>
      </c>
      <c r="I591" s="171">
        <v>1.6666666666666666E-2</v>
      </c>
      <c r="J591" s="173">
        <v>2.7777777777777778E-4</v>
      </c>
      <c r="K591" s="129">
        <v>24</v>
      </c>
      <c r="L591" s="127" t="s">
        <v>398</v>
      </c>
      <c r="M591" s="123" t="s">
        <v>24</v>
      </c>
      <c r="N591" s="123" t="s">
        <v>102</v>
      </c>
      <c r="O591" s="123" t="s">
        <v>115</v>
      </c>
      <c r="P591" s="123" t="s">
        <v>24</v>
      </c>
      <c r="Q591" s="123">
        <v>0</v>
      </c>
      <c r="R591" s="123">
        <v>0</v>
      </c>
      <c r="T591" s="123" t="s">
        <v>115</v>
      </c>
      <c r="U591" s="123" t="s">
        <v>115</v>
      </c>
      <c r="V591" s="123" t="s">
        <v>115</v>
      </c>
      <c r="Z591" s="123" t="s">
        <v>115</v>
      </c>
      <c r="AA591" s="123" t="s">
        <v>115</v>
      </c>
      <c r="AB591" s="123" t="s">
        <v>115</v>
      </c>
      <c r="AC591" s="123" t="s">
        <v>115</v>
      </c>
      <c r="AD591" s="123" t="s">
        <v>115</v>
      </c>
      <c r="AE591" s="123" t="s">
        <v>115</v>
      </c>
      <c r="AF591" s="123" t="s">
        <v>115</v>
      </c>
      <c r="AH591" s="123">
        <v>0</v>
      </c>
      <c r="AI591" s="123">
        <v>0</v>
      </c>
      <c r="AJ591" s="123">
        <v>0</v>
      </c>
      <c r="AK591" s="123">
        <v>0</v>
      </c>
      <c r="AL591" s="123">
        <v>12</v>
      </c>
      <c r="AN591" s="123">
        <f t="shared" si="10"/>
        <v>12</v>
      </c>
      <c r="AO591" s="123" t="s">
        <v>188</v>
      </c>
    </row>
    <row r="592" spans="1:42" x14ac:dyDescent="0.2">
      <c r="A592" s="123" t="s">
        <v>2463</v>
      </c>
      <c r="B592" s="123" t="s">
        <v>2464</v>
      </c>
      <c r="C592" s="123">
        <v>2</v>
      </c>
      <c r="D592" s="123">
        <v>2</v>
      </c>
      <c r="E592" s="123" t="s">
        <v>2462</v>
      </c>
      <c r="F592" s="125">
        <v>43549</v>
      </c>
      <c r="G592" s="125" t="s">
        <v>4026</v>
      </c>
      <c r="H592" s="125" t="s">
        <v>4752</v>
      </c>
      <c r="I592" s="171">
        <v>6.7361111111111108E-2</v>
      </c>
      <c r="J592" s="173">
        <v>1.1226851851851851E-3</v>
      </c>
      <c r="K592" s="129">
        <v>97</v>
      </c>
      <c r="L592" s="127" t="s">
        <v>398</v>
      </c>
      <c r="M592" s="123" t="s">
        <v>64</v>
      </c>
      <c r="N592" s="123" t="s">
        <v>102</v>
      </c>
      <c r="O592" s="123" t="s">
        <v>23</v>
      </c>
      <c r="P592" s="123">
        <v>1</v>
      </c>
      <c r="Q592" s="123">
        <v>0</v>
      </c>
      <c r="R592" s="123">
        <v>0</v>
      </c>
      <c r="S592" s="123" t="s">
        <v>112</v>
      </c>
      <c r="T592" s="123" t="s">
        <v>2466</v>
      </c>
      <c r="U592" s="123" t="s">
        <v>487</v>
      </c>
      <c r="V592" s="123" t="s">
        <v>115</v>
      </c>
      <c r="Z592" s="123" t="s">
        <v>115</v>
      </c>
      <c r="AA592" s="123" t="s">
        <v>115</v>
      </c>
      <c r="AB592" s="123" t="s">
        <v>115</v>
      </c>
      <c r="AC592" s="123" t="s">
        <v>115</v>
      </c>
      <c r="AD592" s="123" t="s">
        <v>115</v>
      </c>
      <c r="AH592" s="123">
        <v>14</v>
      </c>
      <c r="AI592" s="123">
        <v>0</v>
      </c>
      <c r="AJ592" s="123">
        <v>0</v>
      </c>
      <c r="AK592" s="123">
        <v>14</v>
      </c>
      <c r="AL592" s="123">
        <v>0</v>
      </c>
      <c r="AN592" s="123">
        <f t="shared" si="10"/>
        <v>14</v>
      </c>
      <c r="AO592" s="123" t="s">
        <v>188</v>
      </c>
      <c r="AP592" s="123" t="s">
        <v>2467</v>
      </c>
    </row>
    <row r="593" spans="1:44" x14ac:dyDescent="0.2">
      <c r="A593" s="123" t="s">
        <v>2463</v>
      </c>
      <c r="B593" s="123" t="s">
        <v>2464</v>
      </c>
      <c r="C593" s="123">
        <v>2</v>
      </c>
      <c r="D593" s="123">
        <v>1</v>
      </c>
      <c r="E593" s="123" t="s">
        <v>2462</v>
      </c>
      <c r="F593" s="125">
        <v>43549</v>
      </c>
      <c r="G593" s="125" t="s">
        <v>4026</v>
      </c>
      <c r="H593" s="125" t="s">
        <v>4752</v>
      </c>
      <c r="I593" s="171">
        <v>6.7361111111111108E-2</v>
      </c>
      <c r="J593" s="173">
        <v>1.1226851851851851E-3</v>
      </c>
      <c r="K593" s="129">
        <v>97</v>
      </c>
      <c r="L593" s="127" t="s">
        <v>398</v>
      </c>
      <c r="M593" s="123" t="s">
        <v>64</v>
      </c>
      <c r="N593" s="123" t="s">
        <v>102</v>
      </c>
      <c r="O593" s="123" t="s">
        <v>115</v>
      </c>
      <c r="P593" s="123">
        <v>1</v>
      </c>
      <c r="Q593" s="123">
        <v>0</v>
      </c>
      <c r="R593" s="123">
        <v>0</v>
      </c>
      <c r="S593" s="123" t="s">
        <v>14</v>
      </c>
      <c r="T593" s="123" t="s">
        <v>2465</v>
      </c>
      <c r="U593" s="123" t="s">
        <v>122</v>
      </c>
      <c r="V593" s="123" t="s">
        <v>115</v>
      </c>
      <c r="Z593" s="123" t="s">
        <v>115</v>
      </c>
      <c r="AA593" s="123" t="s">
        <v>115</v>
      </c>
      <c r="AB593" s="123" t="s">
        <v>115</v>
      </c>
      <c r="AC593" s="123" t="s">
        <v>115</v>
      </c>
      <c r="AD593" s="123" t="s">
        <v>115</v>
      </c>
      <c r="AH593" s="123">
        <v>0</v>
      </c>
      <c r="AI593" s="123">
        <v>0</v>
      </c>
      <c r="AJ593" s="123">
        <v>0</v>
      </c>
      <c r="AK593" s="123">
        <v>0</v>
      </c>
      <c r="AL593" s="123">
        <v>11</v>
      </c>
      <c r="AN593" s="123">
        <f t="shared" si="10"/>
        <v>11</v>
      </c>
      <c r="AO593" s="123" t="s">
        <v>188</v>
      </c>
    </row>
    <row r="594" spans="1:44" x14ac:dyDescent="0.2">
      <c r="A594" s="123" t="s">
        <v>2460</v>
      </c>
      <c r="B594" s="123" t="s">
        <v>2461</v>
      </c>
      <c r="C594" s="123">
        <v>1</v>
      </c>
      <c r="D594" s="123">
        <v>1</v>
      </c>
      <c r="E594" s="123" t="s">
        <v>2462</v>
      </c>
      <c r="F594" s="125">
        <v>43549</v>
      </c>
      <c r="G594" s="125" t="s">
        <v>4026</v>
      </c>
      <c r="H594" s="125" t="s">
        <v>4752</v>
      </c>
      <c r="I594" s="171">
        <v>6.2499999999999995E-3</v>
      </c>
      <c r="J594" s="173">
        <v>1.0416666666666667E-4</v>
      </c>
      <c r="K594" s="129">
        <v>9</v>
      </c>
      <c r="L594" s="123" t="s">
        <v>398</v>
      </c>
      <c r="M594" s="123" t="s">
        <v>64</v>
      </c>
      <c r="N594" s="123" t="s">
        <v>102</v>
      </c>
      <c r="O594" s="123" t="s">
        <v>115</v>
      </c>
      <c r="P594" s="123">
        <v>0</v>
      </c>
      <c r="Q594" s="123">
        <v>0</v>
      </c>
      <c r="R594" s="123">
        <v>0</v>
      </c>
      <c r="T594" s="123" t="s">
        <v>115</v>
      </c>
      <c r="U594" s="123" t="s">
        <v>115</v>
      </c>
      <c r="V594" s="123" t="s">
        <v>115</v>
      </c>
      <c r="Z594" s="123" t="s">
        <v>115</v>
      </c>
      <c r="AA594" s="123" t="s">
        <v>115</v>
      </c>
      <c r="AB594" s="123" t="s">
        <v>115</v>
      </c>
      <c r="AC594" s="123" t="s">
        <v>115</v>
      </c>
      <c r="AD594" s="123" t="s">
        <v>115</v>
      </c>
      <c r="AH594" s="123">
        <v>0</v>
      </c>
      <c r="AI594" s="123">
        <v>0</v>
      </c>
      <c r="AJ594" s="123">
        <v>0</v>
      </c>
      <c r="AK594" s="123">
        <v>0</v>
      </c>
      <c r="AL594" s="123">
        <v>9</v>
      </c>
      <c r="AN594" s="123">
        <f t="shared" si="10"/>
        <v>9</v>
      </c>
      <c r="AO594" s="123" t="s">
        <v>188</v>
      </c>
    </row>
    <row r="595" spans="1:44" x14ac:dyDescent="0.2">
      <c r="A595" s="123" t="s">
        <v>2649</v>
      </c>
      <c r="B595" s="123" t="s">
        <v>2650</v>
      </c>
      <c r="C595" s="123">
        <v>1</v>
      </c>
      <c r="D595" s="123">
        <v>1</v>
      </c>
      <c r="E595" s="123" t="s">
        <v>2487</v>
      </c>
      <c r="F595" s="125">
        <v>43551</v>
      </c>
      <c r="G595" s="125" t="s">
        <v>4026</v>
      </c>
      <c r="H595" s="125" t="s">
        <v>4752</v>
      </c>
      <c r="I595" s="171">
        <v>2.8472222222222222E-2</v>
      </c>
      <c r="J595" s="173">
        <v>4.7453703703703704E-4</v>
      </c>
      <c r="K595" s="129">
        <v>41</v>
      </c>
      <c r="L595" s="127" t="s">
        <v>101</v>
      </c>
      <c r="M595" s="123" t="s">
        <v>64</v>
      </c>
      <c r="N595" s="123" t="s">
        <v>102</v>
      </c>
      <c r="O595" s="123" t="s">
        <v>23</v>
      </c>
      <c r="P595" s="123">
        <v>0</v>
      </c>
      <c r="Q595" s="123">
        <v>0</v>
      </c>
      <c r="R595" s="123">
        <v>0</v>
      </c>
      <c r="T595" s="123" t="s">
        <v>115</v>
      </c>
      <c r="U595" s="123" t="s">
        <v>115</v>
      </c>
      <c r="V595" s="123" t="s">
        <v>115</v>
      </c>
      <c r="Z595" s="123" t="s">
        <v>115</v>
      </c>
      <c r="AA595" s="123" t="s">
        <v>115</v>
      </c>
      <c r="AB595" s="123" t="s">
        <v>115</v>
      </c>
      <c r="AC595" s="123" t="s">
        <v>115</v>
      </c>
      <c r="AD595" s="123" t="s">
        <v>115</v>
      </c>
      <c r="AE595" s="123" t="s">
        <v>115</v>
      </c>
      <c r="AF595" s="123" t="s">
        <v>115</v>
      </c>
      <c r="AH595" s="123">
        <v>23</v>
      </c>
      <c r="AI595" s="123">
        <v>0</v>
      </c>
      <c r="AJ595" s="123">
        <v>23</v>
      </c>
      <c r="AK595" s="123">
        <v>0</v>
      </c>
      <c r="AL595" s="123">
        <v>0</v>
      </c>
      <c r="AN595" s="123">
        <f t="shared" si="10"/>
        <v>23</v>
      </c>
      <c r="AO595" s="123" t="s">
        <v>188</v>
      </c>
    </row>
    <row r="596" spans="1:44" x14ac:dyDescent="0.2">
      <c r="A596" s="123" t="s">
        <v>2651</v>
      </c>
      <c r="B596" s="123" t="s">
        <v>2652</v>
      </c>
      <c r="C596" s="123">
        <v>2</v>
      </c>
      <c r="D596" s="123">
        <v>1</v>
      </c>
      <c r="E596" s="123" t="s">
        <v>2487</v>
      </c>
      <c r="F596" s="125">
        <v>43551</v>
      </c>
      <c r="G596" s="125" t="s">
        <v>4026</v>
      </c>
      <c r="H596" s="125" t="s">
        <v>4752</v>
      </c>
      <c r="I596" s="171">
        <v>1.8055555555555557E-2</v>
      </c>
      <c r="J596" s="173">
        <v>3.0092592592592595E-4</v>
      </c>
      <c r="K596" s="129">
        <v>26</v>
      </c>
      <c r="M596" s="123" t="s">
        <v>64</v>
      </c>
      <c r="N596" s="123" t="s">
        <v>102</v>
      </c>
      <c r="O596" s="123" t="s">
        <v>23</v>
      </c>
      <c r="P596" s="123">
        <v>0</v>
      </c>
      <c r="Q596" s="123">
        <v>0</v>
      </c>
      <c r="R596" s="123">
        <v>0</v>
      </c>
      <c r="T596" s="123" t="s">
        <v>115</v>
      </c>
      <c r="U596" s="123" t="s">
        <v>115</v>
      </c>
      <c r="V596" s="123" t="s">
        <v>115</v>
      </c>
      <c r="Z596" s="123" t="s">
        <v>115</v>
      </c>
      <c r="AA596" s="123" t="s">
        <v>115</v>
      </c>
      <c r="AB596" s="123" t="s">
        <v>115</v>
      </c>
      <c r="AC596" s="123" t="s">
        <v>115</v>
      </c>
      <c r="AD596" s="123" t="s">
        <v>115</v>
      </c>
      <c r="AE596" s="123" t="s">
        <v>115</v>
      </c>
      <c r="AF596" s="123" t="s">
        <v>115</v>
      </c>
      <c r="AH596" s="123">
        <v>0</v>
      </c>
      <c r="AI596" s="123">
        <v>26</v>
      </c>
      <c r="AJ596" s="123">
        <v>0</v>
      </c>
      <c r="AK596" s="123">
        <v>26</v>
      </c>
      <c r="AL596" s="123">
        <v>0</v>
      </c>
      <c r="AN596" s="123">
        <f t="shared" si="10"/>
        <v>26</v>
      </c>
      <c r="AO596" s="123" t="s">
        <v>188</v>
      </c>
    </row>
    <row r="597" spans="1:44" x14ac:dyDescent="0.2">
      <c r="A597" s="123" t="s">
        <v>2653</v>
      </c>
      <c r="B597" s="123" t="s">
        <v>2654</v>
      </c>
      <c r="C597" s="123">
        <v>3</v>
      </c>
      <c r="D597" s="123">
        <v>1</v>
      </c>
      <c r="E597" s="123" t="s">
        <v>2487</v>
      </c>
      <c r="F597" s="125">
        <v>43551</v>
      </c>
      <c r="G597" s="125" t="s">
        <v>4026</v>
      </c>
      <c r="H597" s="125" t="s">
        <v>4752</v>
      </c>
      <c r="I597" s="171">
        <v>2.1527777777777781E-2</v>
      </c>
      <c r="J597" s="173">
        <v>3.5879629629629635E-4</v>
      </c>
      <c r="K597" s="129">
        <v>31</v>
      </c>
      <c r="M597" s="123" t="s">
        <v>64</v>
      </c>
      <c r="N597" s="123" t="s">
        <v>102</v>
      </c>
      <c r="O597" s="123" t="s">
        <v>115</v>
      </c>
      <c r="P597" s="123">
        <v>0</v>
      </c>
      <c r="Q597" s="123">
        <v>0</v>
      </c>
      <c r="R597" s="123">
        <v>0</v>
      </c>
      <c r="T597" s="123" t="s">
        <v>115</v>
      </c>
      <c r="U597" s="123" t="s">
        <v>115</v>
      </c>
      <c r="V597" s="123" t="s">
        <v>115</v>
      </c>
      <c r="Z597" s="123" t="s">
        <v>115</v>
      </c>
      <c r="AA597" s="123" t="s">
        <v>115</v>
      </c>
      <c r="AB597" s="123" t="s">
        <v>115</v>
      </c>
      <c r="AC597" s="123" t="s">
        <v>115</v>
      </c>
      <c r="AD597" s="123" t="s">
        <v>115</v>
      </c>
      <c r="AE597" s="123" t="s">
        <v>115</v>
      </c>
      <c r="AF597" s="123" t="s">
        <v>115</v>
      </c>
      <c r="AH597" s="123">
        <v>0</v>
      </c>
      <c r="AI597" s="123">
        <v>0</v>
      </c>
      <c r="AJ597" s="123">
        <v>0</v>
      </c>
      <c r="AK597" s="123">
        <v>0</v>
      </c>
      <c r="AL597" s="123">
        <v>30</v>
      </c>
      <c r="AN597" s="123">
        <f t="shared" si="10"/>
        <v>30</v>
      </c>
      <c r="AO597" s="123" t="s">
        <v>188</v>
      </c>
    </row>
    <row r="598" spans="1:44" x14ac:dyDescent="0.2">
      <c r="A598" s="123" t="s">
        <v>2655</v>
      </c>
      <c r="B598" s="123" t="s">
        <v>2656</v>
      </c>
      <c r="C598" s="123">
        <v>4</v>
      </c>
      <c r="D598" s="123">
        <v>1</v>
      </c>
      <c r="E598" s="123" t="s">
        <v>2487</v>
      </c>
      <c r="F598" s="125">
        <v>43551</v>
      </c>
      <c r="G598" s="125" t="s">
        <v>4026</v>
      </c>
      <c r="H598" s="125" t="s">
        <v>4752</v>
      </c>
      <c r="I598" s="171">
        <v>1.5277777777777777E-2</v>
      </c>
      <c r="J598" s="173">
        <v>2.5462962962962961E-4</v>
      </c>
      <c r="K598" s="129">
        <v>22</v>
      </c>
      <c r="M598" s="123" t="s">
        <v>64</v>
      </c>
      <c r="N598" s="123" t="s">
        <v>102</v>
      </c>
      <c r="O598" s="123" t="s">
        <v>115</v>
      </c>
      <c r="P598" s="123">
        <v>0</v>
      </c>
      <c r="Q598" s="123">
        <v>0</v>
      </c>
      <c r="R598" s="123">
        <v>0</v>
      </c>
      <c r="T598" s="123" t="s">
        <v>115</v>
      </c>
      <c r="U598" s="123" t="s">
        <v>115</v>
      </c>
      <c r="V598" s="123" t="s">
        <v>115</v>
      </c>
      <c r="Z598" s="123" t="s">
        <v>115</v>
      </c>
      <c r="AA598" s="123" t="s">
        <v>115</v>
      </c>
      <c r="AB598" s="123" t="s">
        <v>115</v>
      </c>
      <c r="AC598" s="123" t="s">
        <v>115</v>
      </c>
      <c r="AD598" s="123" t="s">
        <v>115</v>
      </c>
      <c r="AE598" s="123" t="s">
        <v>115</v>
      </c>
      <c r="AF598" s="123" t="s">
        <v>115</v>
      </c>
      <c r="AH598" s="123">
        <v>0</v>
      </c>
      <c r="AI598" s="123">
        <v>0</v>
      </c>
      <c r="AJ598" s="123">
        <v>0</v>
      </c>
      <c r="AK598" s="123">
        <v>0</v>
      </c>
      <c r="AL598" s="123">
        <v>10</v>
      </c>
      <c r="AN598" s="123">
        <f t="shared" si="10"/>
        <v>10</v>
      </c>
      <c r="AO598" s="123" t="s">
        <v>188</v>
      </c>
    </row>
    <row r="599" spans="1:44" x14ac:dyDescent="0.2">
      <c r="A599" s="123" t="s">
        <v>2345</v>
      </c>
      <c r="B599" s="123" t="s">
        <v>2346</v>
      </c>
      <c r="C599" s="123">
        <v>2</v>
      </c>
      <c r="D599" s="123">
        <v>1</v>
      </c>
      <c r="E599" s="123" t="s">
        <v>2343</v>
      </c>
      <c r="F599" s="125">
        <v>43544</v>
      </c>
      <c r="G599" s="125" t="s">
        <v>4026</v>
      </c>
      <c r="H599" s="125" t="s">
        <v>4752</v>
      </c>
      <c r="I599" s="171">
        <v>7.6388888888888886E-3</v>
      </c>
      <c r="J599" s="173">
        <v>1.273148148148148E-4</v>
      </c>
      <c r="K599" s="129">
        <v>11</v>
      </c>
      <c r="L599" s="123" t="s">
        <v>101</v>
      </c>
      <c r="M599" s="123" t="s">
        <v>2927</v>
      </c>
      <c r="N599" s="123" t="s">
        <v>102</v>
      </c>
      <c r="O599" s="123" t="s">
        <v>115</v>
      </c>
      <c r="P599" s="123">
        <v>1</v>
      </c>
      <c r="Q599" s="123">
        <v>0</v>
      </c>
      <c r="R599" s="123">
        <v>0</v>
      </c>
      <c r="S599" s="123" t="s">
        <v>176</v>
      </c>
      <c r="T599" s="123" t="s">
        <v>24</v>
      </c>
      <c r="U599" s="123" t="s">
        <v>122</v>
      </c>
      <c r="V599" s="123" t="s">
        <v>115</v>
      </c>
      <c r="Z599" s="123" t="s">
        <v>115</v>
      </c>
      <c r="AA599" s="123" t="s">
        <v>115</v>
      </c>
      <c r="AB599" s="123" t="s">
        <v>115</v>
      </c>
      <c r="AC599" s="123" t="s">
        <v>115</v>
      </c>
      <c r="AD599" s="123" t="s">
        <v>115</v>
      </c>
      <c r="AH599" s="123">
        <v>0</v>
      </c>
      <c r="AI599" s="123">
        <v>0</v>
      </c>
      <c r="AJ599" s="123">
        <v>0</v>
      </c>
      <c r="AK599" s="123">
        <v>0</v>
      </c>
      <c r="AL599" s="123">
        <v>9</v>
      </c>
      <c r="AN599" s="123">
        <f t="shared" si="10"/>
        <v>9</v>
      </c>
      <c r="AO599" s="123" t="s">
        <v>188</v>
      </c>
      <c r="AQ599" s="123">
        <v>0</v>
      </c>
      <c r="AR599" s="123">
        <v>0</v>
      </c>
    </row>
    <row r="600" spans="1:44" x14ac:dyDescent="0.2">
      <c r="A600" s="123" t="s">
        <v>2393</v>
      </c>
      <c r="B600" s="123" t="s">
        <v>2394</v>
      </c>
      <c r="C600" s="123">
        <v>20</v>
      </c>
      <c r="D600" s="123">
        <v>1</v>
      </c>
      <c r="E600" s="123" t="s">
        <v>2343</v>
      </c>
      <c r="F600" s="125">
        <v>43544</v>
      </c>
      <c r="G600" s="125" t="s">
        <v>4026</v>
      </c>
      <c r="H600" s="125" t="s">
        <v>4752</v>
      </c>
      <c r="I600" s="171">
        <v>2.6388888888888889E-2</v>
      </c>
      <c r="J600" s="173">
        <v>4.3981481481481481E-4</v>
      </c>
      <c r="K600" s="129">
        <v>38</v>
      </c>
      <c r="L600" s="123" t="s">
        <v>101</v>
      </c>
      <c r="M600" s="123" t="s">
        <v>2927</v>
      </c>
      <c r="N600" s="123" t="s">
        <v>102</v>
      </c>
      <c r="O600" s="123" t="s">
        <v>115</v>
      </c>
      <c r="P600" s="123">
        <v>1</v>
      </c>
      <c r="Q600" s="123">
        <v>0</v>
      </c>
      <c r="R600" s="123">
        <v>0</v>
      </c>
      <c r="S600" s="123" t="s">
        <v>176</v>
      </c>
      <c r="T600" s="123" t="s">
        <v>24</v>
      </c>
      <c r="U600" s="123" t="s">
        <v>122</v>
      </c>
      <c r="V600" s="123" t="s">
        <v>115</v>
      </c>
      <c r="Z600" s="123" t="s">
        <v>115</v>
      </c>
      <c r="AA600" s="123" t="s">
        <v>586</v>
      </c>
      <c r="AB600" s="127" t="s">
        <v>115</v>
      </c>
      <c r="AC600" s="127" t="s">
        <v>115</v>
      </c>
      <c r="AD600" s="127" t="s">
        <v>115</v>
      </c>
      <c r="AE600" s="127"/>
      <c r="AF600" s="127"/>
      <c r="AG600" s="127"/>
      <c r="AH600" s="123">
        <v>0</v>
      </c>
      <c r="AI600" s="123">
        <v>0</v>
      </c>
      <c r="AJ600" s="123">
        <v>0</v>
      </c>
      <c r="AK600" s="123">
        <v>0</v>
      </c>
      <c r="AL600" s="123">
        <v>12</v>
      </c>
      <c r="AN600" s="123">
        <f t="shared" si="10"/>
        <v>12</v>
      </c>
      <c r="AO600" s="123" t="s">
        <v>188</v>
      </c>
      <c r="AQ600" s="123">
        <v>0</v>
      </c>
      <c r="AR600" s="123">
        <v>0</v>
      </c>
    </row>
    <row r="601" spans="1:44" x14ac:dyDescent="0.2">
      <c r="A601" s="123" t="s">
        <v>2341</v>
      </c>
      <c r="B601" s="123" t="s">
        <v>2342</v>
      </c>
      <c r="C601" s="123">
        <v>1</v>
      </c>
      <c r="D601" s="123">
        <v>1</v>
      </c>
      <c r="E601" s="123" t="s">
        <v>2343</v>
      </c>
      <c r="F601" s="125">
        <v>43544</v>
      </c>
      <c r="G601" s="125" t="s">
        <v>4026</v>
      </c>
      <c r="H601" s="125" t="s">
        <v>4752</v>
      </c>
      <c r="I601" s="171">
        <v>3.9583333333333331E-2</v>
      </c>
      <c r="J601" s="173">
        <v>6.5972222222222213E-4</v>
      </c>
      <c r="K601" s="129">
        <v>57</v>
      </c>
      <c r="L601" s="123" t="s">
        <v>101</v>
      </c>
      <c r="M601" s="123" t="s">
        <v>2927</v>
      </c>
      <c r="N601" s="123" t="s">
        <v>102</v>
      </c>
      <c r="O601" s="123" t="s">
        <v>115</v>
      </c>
      <c r="P601" s="123">
        <v>3</v>
      </c>
      <c r="Q601" s="123">
        <v>0</v>
      </c>
      <c r="R601" s="123">
        <v>0</v>
      </c>
      <c r="S601" s="123" t="s">
        <v>176</v>
      </c>
      <c r="T601" s="123" t="s">
        <v>24</v>
      </c>
      <c r="U601" s="123" t="s">
        <v>122</v>
      </c>
      <c r="V601" s="123" t="s">
        <v>115</v>
      </c>
      <c r="Z601" s="123" t="s">
        <v>115</v>
      </c>
      <c r="AA601" s="123" t="s">
        <v>115</v>
      </c>
      <c r="AB601" s="123" t="s">
        <v>115</v>
      </c>
      <c r="AC601" s="123" t="s">
        <v>115</v>
      </c>
      <c r="AD601" s="123" t="s">
        <v>115</v>
      </c>
      <c r="AH601" s="123">
        <v>0</v>
      </c>
      <c r="AI601" s="123">
        <v>0</v>
      </c>
      <c r="AJ601" s="123">
        <v>0</v>
      </c>
      <c r="AK601" s="123">
        <v>0</v>
      </c>
      <c r="AL601" s="123">
        <v>34</v>
      </c>
      <c r="AN601" s="123">
        <f t="shared" si="10"/>
        <v>34</v>
      </c>
      <c r="AO601" s="123" t="s">
        <v>188</v>
      </c>
      <c r="AP601" s="123" t="s">
        <v>2344</v>
      </c>
      <c r="AQ601" s="123">
        <v>0</v>
      </c>
      <c r="AR601" s="123">
        <v>0</v>
      </c>
    </row>
    <row r="602" spans="1:44" x14ac:dyDescent="0.2">
      <c r="A602" s="123" t="s">
        <v>2351</v>
      </c>
      <c r="B602" s="123" t="s">
        <v>2352</v>
      </c>
      <c r="C602" s="123">
        <v>5</v>
      </c>
      <c r="D602" s="123">
        <v>1</v>
      </c>
      <c r="E602" s="123" t="s">
        <v>2343</v>
      </c>
      <c r="F602" s="125">
        <v>43544</v>
      </c>
      <c r="G602" s="125" t="s">
        <v>4026</v>
      </c>
      <c r="H602" s="125" t="s">
        <v>4752</v>
      </c>
      <c r="I602" s="171">
        <v>2.6388888888888889E-2</v>
      </c>
      <c r="J602" s="173">
        <v>4.3981481481481481E-4</v>
      </c>
      <c r="K602" s="129">
        <v>38</v>
      </c>
      <c r="L602" s="123" t="s">
        <v>101</v>
      </c>
      <c r="M602" s="123" t="s">
        <v>2927</v>
      </c>
      <c r="N602" s="123" t="s">
        <v>102</v>
      </c>
      <c r="O602" s="123" t="s">
        <v>115</v>
      </c>
      <c r="P602" s="123">
        <v>5</v>
      </c>
      <c r="Q602" s="123">
        <v>0</v>
      </c>
      <c r="R602" s="123">
        <v>0</v>
      </c>
      <c r="S602" s="123" t="s">
        <v>176</v>
      </c>
      <c r="T602" s="123" t="s">
        <v>24</v>
      </c>
      <c r="U602" s="123" t="s">
        <v>122</v>
      </c>
      <c r="V602" s="123" t="s">
        <v>115</v>
      </c>
      <c r="Z602" s="123" t="s">
        <v>115</v>
      </c>
      <c r="AA602" s="123" t="s">
        <v>115</v>
      </c>
      <c r="AB602" s="123" t="s">
        <v>115</v>
      </c>
      <c r="AC602" s="123" t="s">
        <v>115</v>
      </c>
      <c r="AD602" s="123" t="s">
        <v>115</v>
      </c>
      <c r="AH602" s="123">
        <v>0</v>
      </c>
      <c r="AI602" s="123">
        <v>0</v>
      </c>
      <c r="AJ602" s="123">
        <v>0</v>
      </c>
      <c r="AK602" s="123">
        <v>0</v>
      </c>
      <c r="AL602" s="123">
        <v>38</v>
      </c>
      <c r="AN602" s="123">
        <f t="shared" si="10"/>
        <v>38</v>
      </c>
      <c r="AO602" s="123" t="s">
        <v>188</v>
      </c>
      <c r="AQ602" s="123">
        <v>0</v>
      </c>
      <c r="AR602" s="123">
        <v>0</v>
      </c>
    </row>
    <row r="603" spans="1:44" x14ac:dyDescent="0.2">
      <c r="A603" s="123" t="s">
        <v>2375</v>
      </c>
      <c r="B603" s="123" t="s">
        <v>2376</v>
      </c>
      <c r="C603" s="123">
        <v>14</v>
      </c>
      <c r="D603" s="123">
        <v>1</v>
      </c>
      <c r="E603" s="123" t="s">
        <v>2343</v>
      </c>
      <c r="F603" s="125">
        <v>43544</v>
      </c>
      <c r="G603" s="125" t="s">
        <v>4026</v>
      </c>
      <c r="H603" s="125" t="s">
        <v>4752</v>
      </c>
      <c r="I603" s="171">
        <v>4.1666666666666666E-3</v>
      </c>
      <c r="J603" s="173">
        <v>6.9444444444444444E-5</v>
      </c>
      <c r="K603" s="129">
        <v>6</v>
      </c>
      <c r="L603" s="123" t="s">
        <v>101</v>
      </c>
      <c r="M603" s="123" t="s">
        <v>2927</v>
      </c>
      <c r="N603" s="123" t="s">
        <v>111</v>
      </c>
      <c r="O603" s="123" t="s">
        <v>23</v>
      </c>
      <c r="P603" s="123">
        <v>1</v>
      </c>
      <c r="Q603" s="123">
        <v>0</v>
      </c>
      <c r="R603" s="123">
        <v>1</v>
      </c>
      <c r="S603" s="123" t="s">
        <v>598</v>
      </c>
      <c r="T603" s="123" t="s">
        <v>2377</v>
      </c>
      <c r="U603" s="123" t="s">
        <v>122</v>
      </c>
      <c r="V603" s="123" t="s">
        <v>2088</v>
      </c>
      <c r="W603" s="127" t="s">
        <v>23</v>
      </c>
      <c r="X603" s="127" t="s">
        <v>3997</v>
      </c>
      <c r="Y603" s="127" t="s">
        <v>4021</v>
      </c>
      <c r="Z603" s="123" t="s">
        <v>2379</v>
      </c>
      <c r="AA603" s="123">
        <v>82</v>
      </c>
      <c r="AB603" s="123" t="s">
        <v>176</v>
      </c>
      <c r="AC603" s="123">
        <v>63.739370000000001</v>
      </c>
      <c r="AD603" s="123">
        <v>148.91734</v>
      </c>
      <c r="AH603" s="123">
        <v>0</v>
      </c>
      <c r="AI603" s="123">
        <v>0</v>
      </c>
      <c r="AJ603" s="123">
        <v>0</v>
      </c>
      <c r="AK603" s="123">
        <v>0</v>
      </c>
      <c r="AL603" s="123">
        <v>0</v>
      </c>
      <c r="AN603" s="123">
        <f t="shared" si="10"/>
        <v>0</v>
      </c>
      <c r="AO603" s="123" t="s">
        <v>115</v>
      </c>
      <c r="AP603" s="123" t="s">
        <v>2380</v>
      </c>
    </row>
    <row r="604" spans="1:44" x14ac:dyDescent="0.2">
      <c r="A604" s="123" t="s">
        <v>2389</v>
      </c>
      <c r="B604" s="123" t="s">
        <v>2390</v>
      </c>
      <c r="C604" s="123">
        <v>18</v>
      </c>
      <c r="D604" s="123">
        <v>1</v>
      </c>
      <c r="E604" s="123" t="s">
        <v>2343</v>
      </c>
      <c r="F604" s="125">
        <v>43544</v>
      </c>
      <c r="G604" s="125" t="s">
        <v>4026</v>
      </c>
      <c r="H604" s="125" t="s">
        <v>4752</v>
      </c>
      <c r="I604" s="171">
        <v>1.9444444444444445E-2</v>
      </c>
      <c r="J604" s="173">
        <v>3.2407407407407406E-4</v>
      </c>
      <c r="K604" s="129">
        <v>28</v>
      </c>
      <c r="L604" s="123" t="s">
        <v>101</v>
      </c>
      <c r="M604" s="123" t="s">
        <v>2927</v>
      </c>
      <c r="N604" s="123" t="s">
        <v>102</v>
      </c>
      <c r="O604" s="123" t="s">
        <v>115</v>
      </c>
      <c r="P604" s="123">
        <v>0</v>
      </c>
      <c r="Q604" s="123">
        <v>0</v>
      </c>
      <c r="R604" s="123">
        <v>0</v>
      </c>
      <c r="T604" s="123" t="s">
        <v>115</v>
      </c>
      <c r="U604" s="123" t="s">
        <v>115</v>
      </c>
      <c r="V604" s="123" t="s">
        <v>115</v>
      </c>
      <c r="Z604" s="123" t="s">
        <v>115</v>
      </c>
      <c r="AA604" s="123" t="s">
        <v>115</v>
      </c>
      <c r="AB604" s="127" t="s">
        <v>115</v>
      </c>
      <c r="AC604" s="127" t="s">
        <v>115</v>
      </c>
      <c r="AD604" s="127" t="s">
        <v>115</v>
      </c>
      <c r="AE604" s="127"/>
      <c r="AF604" s="127"/>
      <c r="AG604" s="127"/>
      <c r="AH604" s="123">
        <v>0</v>
      </c>
      <c r="AI604" s="123">
        <v>0</v>
      </c>
      <c r="AJ604" s="123">
        <v>0</v>
      </c>
      <c r="AK604" s="123">
        <v>0</v>
      </c>
      <c r="AL604" s="123">
        <v>9</v>
      </c>
      <c r="AN604" s="123">
        <f t="shared" si="10"/>
        <v>9</v>
      </c>
      <c r="AO604" s="123" t="s">
        <v>188</v>
      </c>
      <c r="AQ604" s="123">
        <v>0</v>
      </c>
      <c r="AR604" s="123">
        <v>0</v>
      </c>
    </row>
    <row r="605" spans="1:44" x14ac:dyDescent="0.2">
      <c r="A605" s="123" t="s">
        <v>2406</v>
      </c>
      <c r="B605" s="123" t="s">
        <v>2407</v>
      </c>
      <c r="C605" s="123">
        <v>25</v>
      </c>
      <c r="D605" s="123">
        <v>1</v>
      </c>
      <c r="E605" s="123" t="s">
        <v>2343</v>
      </c>
      <c r="F605" s="125">
        <v>43544</v>
      </c>
      <c r="G605" s="125" t="s">
        <v>4026</v>
      </c>
      <c r="H605" s="125" t="s">
        <v>4752</v>
      </c>
      <c r="I605" s="171">
        <v>1.1805555555555555E-2</v>
      </c>
      <c r="J605" s="173">
        <v>1.9675925925925926E-4</v>
      </c>
      <c r="K605" s="129">
        <v>17</v>
      </c>
      <c r="L605" s="123" t="s">
        <v>101</v>
      </c>
      <c r="M605" s="123" t="s">
        <v>2927</v>
      </c>
      <c r="N605" s="123" t="s">
        <v>107</v>
      </c>
      <c r="O605" s="123" t="s">
        <v>115</v>
      </c>
      <c r="P605" s="123">
        <v>1</v>
      </c>
      <c r="Q605" s="123">
        <v>0</v>
      </c>
      <c r="R605" s="123">
        <v>0</v>
      </c>
      <c r="S605" s="123" t="s">
        <v>598</v>
      </c>
      <c r="T605" s="123" t="s">
        <v>2377</v>
      </c>
      <c r="U605" s="123" t="s">
        <v>122</v>
      </c>
      <c r="V605" s="123" t="s">
        <v>115</v>
      </c>
      <c r="Z605" s="123" t="s">
        <v>115</v>
      </c>
      <c r="AA605" s="123" t="s">
        <v>115</v>
      </c>
      <c r="AB605" s="127" t="s">
        <v>115</v>
      </c>
      <c r="AC605" s="127" t="s">
        <v>115</v>
      </c>
      <c r="AD605" s="127" t="s">
        <v>115</v>
      </c>
      <c r="AE605" s="127"/>
      <c r="AF605" s="127"/>
      <c r="AG605" s="127"/>
      <c r="AH605" s="123">
        <v>0</v>
      </c>
      <c r="AI605" s="123">
        <v>0</v>
      </c>
      <c r="AJ605" s="123">
        <v>0</v>
      </c>
      <c r="AK605" s="123">
        <v>0</v>
      </c>
      <c r="AL605" s="123">
        <v>0</v>
      </c>
      <c r="AN605" s="123">
        <f t="shared" si="10"/>
        <v>0</v>
      </c>
      <c r="AO605" s="123" t="s">
        <v>115</v>
      </c>
      <c r="AP605" s="123" t="s">
        <v>2405</v>
      </c>
    </row>
    <row r="606" spans="1:44" x14ac:dyDescent="0.2">
      <c r="A606" s="123" t="s">
        <v>2385</v>
      </c>
      <c r="B606" s="123" t="s">
        <v>2386</v>
      </c>
      <c r="C606" s="123">
        <v>16</v>
      </c>
      <c r="D606" s="123">
        <v>1</v>
      </c>
      <c r="E606" s="123" t="s">
        <v>2343</v>
      </c>
      <c r="F606" s="125">
        <v>43544</v>
      </c>
      <c r="G606" s="125" t="s">
        <v>4026</v>
      </c>
      <c r="H606" s="125" t="s">
        <v>4752</v>
      </c>
      <c r="I606" s="171">
        <v>6.9444444444444441E-3</v>
      </c>
      <c r="J606" s="173">
        <v>1.1574074074074073E-4</v>
      </c>
      <c r="K606" s="129">
        <v>10</v>
      </c>
      <c r="L606" s="123" t="s">
        <v>101</v>
      </c>
      <c r="M606" s="123" t="s">
        <v>2927</v>
      </c>
      <c r="N606" s="123" t="s">
        <v>102</v>
      </c>
      <c r="O606" s="123" t="s">
        <v>115</v>
      </c>
      <c r="P606" s="123" t="s">
        <v>24</v>
      </c>
      <c r="Q606" s="123">
        <v>0</v>
      </c>
      <c r="R606" s="123">
        <v>0</v>
      </c>
      <c r="T606" s="123" t="s">
        <v>24</v>
      </c>
      <c r="U606" s="123" t="s">
        <v>115</v>
      </c>
      <c r="V606" s="123" t="s">
        <v>115</v>
      </c>
      <c r="Z606" s="123" t="s">
        <v>115</v>
      </c>
      <c r="AA606" s="123" t="s">
        <v>115</v>
      </c>
      <c r="AB606" s="127" t="s">
        <v>115</v>
      </c>
      <c r="AC606" s="127" t="s">
        <v>115</v>
      </c>
      <c r="AD606" s="127" t="s">
        <v>115</v>
      </c>
      <c r="AE606" s="127"/>
      <c r="AF606" s="127"/>
      <c r="AG606" s="127"/>
      <c r="AH606" s="123">
        <v>4</v>
      </c>
      <c r="AI606" s="123">
        <v>0</v>
      </c>
      <c r="AJ606" s="123">
        <v>0</v>
      </c>
      <c r="AK606" s="123">
        <v>4</v>
      </c>
      <c r="AL606" s="123">
        <v>5</v>
      </c>
      <c r="AN606" s="123">
        <f t="shared" si="10"/>
        <v>9</v>
      </c>
      <c r="AO606" s="123" t="s">
        <v>2374</v>
      </c>
      <c r="AQ606" s="123">
        <v>1</v>
      </c>
      <c r="AR606" s="123">
        <v>0</v>
      </c>
    </row>
    <row r="607" spans="1:44" x14ac:dyDescent="0.2">
      <c r="A607" s="123" t="s">
        <v>2387</v>
      </c>
      <c r="B607" s="123" t="s">
        <v>2388</v>
      </c>
      <c r="C607" s="123">
        <v>17</v>
      </c>
      <c r="D607" s="123">
        <v>1</v>
      </c>
      <c r="E607" s="123" t="s">
        <v>2343</v>
      </c>
      <c r="F607" s="125">
        <v>43544</v>
      </c>
      <c r="G607" s="125" t="s">
        <v>4026</v>
      </c>
      <c r="H607" s="125" t="s">
        <v>4752</v>
      </c>
      <c r="I607" s="171">
        <v>2.0833333333333332E-2</v>
      </c>
      <c r="J607" s="173">
        <v>3.4722222222222224E-4</v>
      </c>
      <c r="K607" s="129">
        <v>30</v>
      </c>
      <c r="L607" s="123" t="s">
        <v>101</v>
      </c>
      <c r="M607" s="123" t="s">
        <v>2927</v>
      </c>
      <c r="N607" s="123" t="s">
        <v>102</v>
      </c>
      <c r="O607" s="123" t="s">
        <v>115</v>
      </c>
      <c r="P607" s="123" t="s">
        <v>24</v>
      </c>
      <c r="Q607" s="123">
        <v>0</v>
      </c>
      <c r="R607" s="123">
        <v>0</v>
      </c>
      <c r="T607" s="123" t="s">
        <v>115</v>
      </c>
      <c r="U607" s="123" t="s">
        <v>115</v>
      </c>
      <c r="V607" s="123" t="s">
        <v>115</v>
      </c>
      <c r="Z607" s="123" t="s">
        <v>115</v>
      </c>
      <c r="AA607" s="123" t="s">
        <v>115</v>
      </c>
      <c r="AB607" s="127" t="s">
        <v>115</v>
      </c>
      <c r="AC607" s="127" t="s">
        <v>115</v>
      </c>
      <c r="AD607" s="127" t="s">
        <v>115</v>
      </c>
      <c r="AE607" s="127"/>
      <c r="AF607" s="127"/>
      <c r="AG607" s="127"/>
      <c r="AH607" s="123">
        <v>0</v>
      </c>
      <c r="AI607" s="123">
        <v>0</v>
      </c>
      <c r="AJ607" s="123">
        <v>0</v>
      </c>
      <c r="AK607" s="123">
        <v>0</v>
      </c>
      <c r="AL607" s="123">
        <v>22</v>
      </c>
      <c r="AN607" s="123">
        <f t="shared" si="10"/>
        <v>22</v>
      </c>
      <c r="AO607" s="123" t="s">
        <v>188</v>
      </c>
      <c r="AQ607" s="123">
        <v>0</v>
      </c>
      <c r="AR607" s="123">
        <v>0</v>
      </c>
    </row>
    <row r="608" spans="1:44" x14ac:dyDescent="0.2">
      <c r="A608" s="123" t="s">
        <v>2391</v>
      </c>
      <c r="B608" s="123" t="s">
        <v>2392</v>
      </c>
      <c r="C608" s="123">
        <v>19</v>
      </c>
      <c r="D608" s="123">
        <v>1</v>
      </c>
      <c r="E608" s="123" t="s">
        <v>2343</v>
      </c>
      <c r="F608" s="125">
        <v>43544</v>
      </c>
      <c r="G608" s="125" t="s">
        <v>4026</v>
      </c>
      <c r="H608" s="125" t="s">
        <v>4752</v>
      </c>
      <c r="I608" s="171">
        <v>1.6666666666666666E-2</v>
      </c>
      <c r="J608" s="173">
        <v>2.7777777777777778E-4</v>
      </c>
      <c r="K608" s="129">
        <v>24</v>
      </c>
      <c r="L608" s="123" t="s">
        <v>101</v>
      </c>
      <c r="M608" s="123" t="s">
        <v>2927</v>
      </c>
      <c r="N608" s="123" t="s">
        <v>102</v>
      </c>
      <c r="O608" s="123" t="s">
        <v>115</v>
      </c>
      <c r="P608" s="123" t="s">
        <v>24</v>
      </c>
      <c r="Q608" s="123">
        <v>0</v>
      </c>
      <c r="R608" s="123">
        <v>0</v>
      </c>
      <c r="T608" s="123" t="s">
        <v>115</v>
      </c>
      <c r="U608" s="123" t="s">
        <v>115</v>
      </c>
      <c r="V608" s="123" t="s">
        <v>115</v>
      </c>
      <c r="Z608" s="123" t="s">
        <v>115</v>
      </c>
      <c r="AA608" s="123" t="s">
        <v>115</v>
      </c>
      <c r="AB608" s="127" t="s">
        <v>115</v>
      </c>
      <c r="AC608" s="127" t="s">
        <v>115</v>
      </c>
      <c r="AD608" s="127" t="s">
        <v>115</v>
      </c>
      <c r="AE608" s="127"/>
      <c r="AF608" s="127"/>
      <c r="AG608" s="127"/>
      <c r="AH608" s="123">
        <v>0</v>
      </c>
      <c r="AI608" s="123">
        <v>0</v>
      </c>
      <c r="AJ608" s="123">
        <v>0</v>
      </c>
      <c r="AK608" s="123">
        <v>0</v>
      </c>
      <c r="AL608" s="123">
        <v>24</v>
      </c>
      <c r="AN608" s="123">
        <f t="shared" si="10"/>
        <v>24</v>
      </c>
      <c r="AO608" s="123" t="s">
        <v>188</v>
      </c>
    </row>
    <row r="609" spans="1:44" x14ac:dyDescent="0.2">
      <c r="A609" s="123" t="s">
        <v>2347</v>
      </c>
      <c r="B609" s="123" t="s">
        <v>2348</v>
      </c>
      <c r="C609" s="123">
        <v>3</v>
      </c>
      <c r="D609" s="123">
        <v>1</v>
      </c>
      <c r="E609" s="123" t="s">
        <v>2343</v>
      </c>
      <c r="F609" s="125">
        <v>43544</v>
      </c>
      <c r="G609" s="125" t="s">
        <v>4026</v>
      </c>
      <c r="H609" s="125" t="s">
        <v>4752</v>
      </c>
      <c r="I609" s="171">
        <v>5.5555555555555558E-3</v>
      </c>
      <c r="J609" s="173">
        <v>9.2592592592592588E-5</v>
      </c>
      <c r="K609" s="129">
        <v>8</v>
      </c>
      <c r="L609" s="123" t="s">
        <v>101</v>
      </c>
      <c r="M609" s="123" t="s">
        <v>2927</v>
      </c>
      <c r="N609" s="123" t="s">
        <v>102</v>
      </c>
      <c r="O609" s="123" t="s">
        <v>115</v>
      </c>
      <c r="P609" s="123" t="s">
        <v>24</v>
      </c>
      <c r="Q609" s="123">
        <v>0</v>
      </c>
      <c r="R609" s="123">
        <v>0</v>
      </c>
      <c r="T609" s="123" t="s">
        <v>115</v>
      </c>
      <c r="U609" s="123" t="s">
        <v>115</v>
      </c>
      <c r="V609" s="123" t="s">
        <v>115</v>
      </c>
      <c r="Z609" s="123" t="s">
        <v>115</v>
      </c>
      <c r="AA609" s="123" t="s">
        <v>115</v>
      </c>
      <c r="AB609" s="123" t="s">
        <v>115</v>
      </c>
      <c r="AC609" s="123" t="s">
        <v>115</v>
      </c>
      <c r="AD609" s="123" t="s">
        <v>115</v>
      </c>
      <c r="AH609" s="123">
        <v>0</v>
      </c>
      <c r="AI609" s="123">
        <v>0</v>
      </c>
      <c r="AJ609" s="123">
        <v>0</v>
      </c>
      <c r="AK609" s="123">
        <v>0</v>
      </c>
      <c r="AL609" s="123">
        <v>3</v>
      </c>
      <c r="AN609" s="123">
        <f t="shared" si="10"/>
        <v>3</v>
      </c>
      <c r="AO609" s="123" t="s">
        <v>188</v>
      </c>
      <c r="AQ609" s="123">
        <v>0</v>
      </c>
      <c r="AR609" s="123">
        <v>0</v>
      </c>
    </row>
    <row r="610" spans="1:44" x14ac:dyDescent="0.2">
      <c r="A610" s="123" t="s">
        <v>2349</v>
      </c>
      <c r="B610" s="123" t="s">
        <v>2350</v>
      </c>
      <c r="C610" s="123">
        <v>4</v>
      </c>
      <c r="D610" s="123">
        <v>1</v>
      </c>
      <c r="E610" s="123" t="s">
        <v>2343</v>
      </c>
      <c r="F610" s="125">
        <v>43544</v>
      </c>
      <c r="G610" s="125" t="s">
        <v>4026</v>
      </c>
      <c r="H610" s="125" t="s">
        <v>4752</v>
      </c>
      <c r="I610" s="171">
        <v>5.5555555555555558E-3</v>
      </c>
      <c r="J610" s="173">
        <v>9.2592592592592588E-5</v>
      </c>
      <c r="K610" s="129">
        <v>8</v>
      </c>
      <c r="L610" s="123" t="s">
        <v>101</v>
      </c>
      <c r="M610" s="123" t="s">
        <v>2927</v>
      </c>
      <c r="N610" s="123" t="s">
        <v>102</v>
      </c>
      <c r="O610" s="123" t="s">
        <v>115</v>
      </c>
      <c r="P610" s="123" t="s">
        <v>24</v>
      </c>
      <c r="Q610" s="123">
        <v>0</v>
      </c>
      <c r="R610" s="123">
        <v>0</v>
      </c>
      <c r="T610" s="123" t="s">
        <v>115</v>
      </c>
      <c r="U610" s="123" t="s">
        <v>115</v>
      </c>
      <c r="V610" s="123" t="s">
        <v>115</v>
      </c>
      <c r="Z610" s="123" t="s">
        <v>115</v>
      </c>
      <c r="AA610" s="123" t="s">
        <v>115</v>
      </c>
      <c r="AB610" s="123" t="s">
        <v>115</v>
      </c>
      <c r="AC610" s="123" t="s">
        <v>115</v>
      </c>
      <c r="AD610" s="123" t="s">
        <v>115</v>
      </c>
      <c r="AH610" s="123">
        <v>0</v>
      </c>
      <c r="AI610" s="123">
        <v>0</v>
      </c>
      <c r="AJ610" s="123">
        <v>0</v>
      </c>
      <c r="AK610" s="123">
        <v>0</v>
      </c>
      <c r="AL610" s="123">
        <v>4</v>
      </c>
      <c r="AN610" s="123">
        <f t="shared" si="10"/>
        <v>4</v>
      </c>
      <c r="AO610" s="123" t="s">
        <v>188</v>
      </c>
      <c r="AQ610" s="123">
        <v>0</v>
      </c>
      <c r="AR610" s="123">
        <v>0</v>
      </c>
    </row>
    <row r="611" spans="1:44" x14ac:dyDescent="0.2">
      <c r="A611" s="123" t="s">
        <v>2415</v>
      </c>
      <c r="B611" s="123" t="s">
        <v>2416</v>
      </c>
      <c r="C611" s="123">
        <v>1</v>
      </c>
      <c r="D611" s="123">
        <v>1</v>
      </c>
      <c r="E611" s="123" t="s">
        <v>2338</v>
      </c>
      <c r="F611" s="125">
        <v>43545</v>
      </c>
      <c r="G611" s="125" t="s">
        <v>4026</v>
      </c>
      <c r="H611" s="125" t="s">
        <v>4752</v>
      </c>
      <c r="I611" s="171">
        <v>2.0833333333333332E-2</v>
      </c>
      <c r="J611" s="173">
        <v>3.4722222222222224E-4</v>
      </c>
      <c r="K611" s="129">
        <v>30</v>
      </c>
      <c r="L611" s="123" t="s">
        <v>101</v>
      </c>
      <c r="M611" s="123" t="s">
        <v>589</v>
      </c>
      <c r="N611" s="123" t="s">
        <v>1626</v>
      </c>
      <c r="O611" s="123" t="s">
        <v>23</v>
      </c>
      <c r="P611" s="123">
        <v>1</v>
      </c>
      <c r="Q611" s="123" t="s">
        <v>24</v>
      </c>
      <c r="R611" s="123">
        <v>0</v>
      </c>
      <c r="S611" s="123" t="s">
        <v>176</v>
      </c>
      <c r="T611" s="123" t="s">
        <v>24</v>
      </c>
      <c r="U611" s="123" t="s">
        <v>2383</v>
      </c>
      <c r="V611" s="123" t="s">
        <v>115</v>
      </c>
      <c r="Z611" s="123" t="s">
        <v>115</v>
      </c>
      <c r="AA611" s="123" t="s">
        <v>115</v>
      </c>
      <c r="AB611" s="127" t="s">
        <v>115</v>
      </c>
      <c r="AC611" s="127" t="s">
        <v>115</v>
      </c>
      <c r="AD611" s="127" t="s">
        <v>115</v>
      </c>
      <c r="AE611" s="127"/>
      <c r="AF611" s="127"/>
      <c r="AG611" s="127"/>
      <c r="AH611" s="123">
        <v>10</v>
      </c>
      <c r="AI611" s="123">
        <v>0</v>
      </c>
      <c r="AJ611" s="123">
        <v>0</v>
      </c>
      <c r="AK611" s="123">
        <v>10</v>
      </c>
      <c r="AL611" s="123">
        <v>0</v>
      </c>
      <c r="AN611" s="123">
        <f t="shared" si="10"/>
        <v>10</v>
      </c>
      <c r="AO611" s="123" t="s">
        <v>1672</v>
      </c>
      <c r="AP611" s="123" t="s">
        <v>2417</v>
      </c>
    </row>
    <row r="612" spans="1:44" x14ac:dyDescent="0.2">
      <c r="A612" s="123" t="s">
        <v>2453</v>
      </c>
      <c r="B612" s="123" t="s">
        <v>2454</v>
      </c>
      <c r="C612" s="123">
        <v>1</v>
      </c>
      <c r="D612" s="123">
        <v>1</v>
      </c>
      <c r="E612" s="123" t="s">
        <v>2338</v>
      </c>
      <c r="F612" s="125">
        <v>43546</v>
      </c>
      <c r="G612" s="125" t="s">
        <v>4026</v>
      </c>
      <c r="H612" s="125" t="s">
        <v>4752</v>
      </c>
      <c r="I612" s="171">
        <v>1.5972222222222224E-2</v>
      </c>
      <c r="J612" s="173">
        <v>2.6620370370370372E-4</v>
      </c>
      <c r="K612" s="129">
        <v>23</v>
      </c>
      <c r="L612" s="123" t="s">
        <v>101</v>
      </c>
      <c r="M612" s="123" t="s">
        <v>589</v>
      </c>
      <c r="N612" s="123" t="s">
        <v>102</v>
      </c>
      <c r="O612" s="123" t="s">
        <v>23</v>
      </c>
      <c r="P612" s="123">
        <v>1</v>
      </c>
      <c r="Q612" s="123">
        <v>0</v>
      </c>
      <c r="R612" s="123">
        <v>1</v>
      </c>
      <c r="S612" s="123" t="s">
        <v>598</v>
      </c>
      <c r="T612" s="123" t="s">
        <v>2455</v>
      </c>
      <c r="U612" s="123" t="s">
        <v>122</v>
      </c>
      <c r="V612" s="123" t="s">
        <v>2456</v>
      </c>
      <c r="W612" s="127" t="s">
        <v>23</v>
      </c>
      <c r="X612" s="127" t="s">
        <v>3997</v>
      </c>
      <c r="Y612" s="127" t="s">
        <v>4005</v>
      </c>
      <c r="Z612" s="123" t="s">
        <v>2457</v>
      </c>
      <c r="AB612" s="123">
        <v>1</v>
      </c>
      <c r="AC612" s="123">
        <v>63.738889999999998</v>
      </c>
      <c r="AD612" s="123">
        <v>148.9128</v>
      </c>
      <c r="AH612" s="123">
        <v>0</v>
      </c>
      <c r="AI612" s="123">
        <v>0</v>
      </c>
      <c r="AJ612" s="123">
        <v>0</v>
      </c>
      <c r="AK612" s="123">
        <v>0</v>
      </c>
      <c r="AL612" s="123">
        <v>0</v>
      </c>
      <c r="AN612" s="123">
        <f t="shared" si="10"/>
        <v>0</v>
      </c>
      <c r="AP612" s="123" t="s">
        <v>2405</v>
      </c>
    </row>
    <row r="613" spans="1:44" x14ac:dyDescent="0.2">
      <c r="A613" s="123" t="s">
        <v>2519</v>
      </c>
      <c r="B613" s="123" t="s">
        <v>2520</v>
      </c>
      <c r="C613" s="123">
        <v>14</v>
      </c>
      <c r="D613" s="123">
        <v>1</v>
      </c>
      <c r="E613" s="123" t="s">
        <v>2487</v>
      </c>
      <c r="F613" s="125">
        <v>43549</v>
      </c>
      <c r="G613" s="125" t="s">
        <v>4026</v>
      </c>
      <c r="H613" s="125" t="s">
        <v>4752</v>
      </c>
      <c r="I613" s="171">
        <v>2.9861111111111113E-2</v>
      </c>
      <c r="J613" s="173">
        <v>4.9768518518518521E-4</v>
      </c>
      <c r="K613" s="129">
        <v>43</v>
      </c>
      <c r="L613" s="127" t="s">
        <v>640</v>
      </c>
      <c r="M613" s="123" t="s">
        <v>2488</v>
      </c>
      <c r="N613" s="123" t="s">
        <v>102</v>
      </c>
      <c r="O613" s="123" t="s">
        <v>115</v>
      </c>
      <c r="P613" s="123">
        <v>1</v>
      </c>
      <c r="Q613" s="123">
        <v>0</v>
      </c>
      <c r="R613" s="123">
        <v>0</v>
      </c>
      <c r="S613" s="123" t="s">
        <v>176</v>
      </c>
      <c r="T613" s="123" t="s">
        <v>24</v>
      </c>
      <c r="U613" s="123" t="s">
        <v>122</v>
      </c>
      <c r="V613" s="127" t="s">
        <v>115</v>
      </c>
      <c r="W613" s="127"/>
      <c r="X613" s="127"/>
      <c r="Y613" s="127"/>
      <c r="Z613" s="127" t="s">
        <v>115</v>
      </c>
      <c r="AA613" s="127" t="s">
        <v>115</v>
      </c>
      <c r="AB613" s="127" t="s">
        <v>115</v>
      </c>
      <c r="AC613" s="127" t="s">
        <v>115</v>
      </c>
      <c r="AD613" s="127" t="s">
        <v>115</v>
      </c>
      <c r="AE613" s="127"/>
      <c r="AF613" s="127"/>
      <c r="AG613" s="127"/>
      <c r="AH613" s="127">
        <v>0</v>
      </c>
      <c r="AI613" s="127">
        <v>0</v>
      </c>
      <c r="AJ613" s="127">
        <v>0</v>
      </c>
      <c r="AK613" s="127">
        <v>0</v>
      </c>
      <c r="AL613" s="127">
        <v>13</v>
      </c>
      <c r="AN613" s="123">
        <f t="shared" si="10"/>
        <v>13</v>
      </c>
      <c r="AO613" s="123" t="s">
        <v>188</v>
      </c>
      <c r="AP613" s="123" t="s">
        <v>2521</v>
      </c>
    </row>
    <row r="614" spans="1:44" x14ac:dyDescent="0.2">
      <c r="A614" s="123" t="s">
        <v>2504</v>
      </c>
      <c r="B614" s="123" t="s">
        <v>2505</v>
      </c>
      <c r="C614" s="123">
        <v>8</v>
      </c>
      <c r="D614" s="123">
        <v>1</v>
      </c>
      <c r="E614" s="123" t="s">
        <v>2487</v>
      </c>
      <c r="F614" s="125">
        <v>43549</v>
      </c>
      <c r="G614" s="125" t="s">
        <v>4026</v>
      </c>
      <c r="H614" s="125" t="s">
        <v>4752</v>
      </c>
      <c r="I614" s="171">
        <v>0.10069444444444443</v>
      </c>
      <c r="J614" s="173">
        <v>1.6782407407407406E-3</v>
      </c>
      <c r="K614" s="129">
        <v>145</v>
      </c>
      <c r="L614" s="127" t="s">
        <v>398</v>
      </c>
      <c r="M614" s="123" t="s">
        <v>2488</v>
      </c>
      <c r="N614" s="123" t="s">
        <v>102</v>
      </c>
      <c r="O614" s="123" t="s">
        <v>115</v>
      </c>
      <c r="P614" s="123">
        <v>1</v>
      </c>
      <c r="Q614" s="123">
        <v>0</v>
      </c>
      <c r="R614" s="123">
        <v>0</v>
      </c>
      <c r="S614" s="123" t="s">
        <v>598</v>
      </c>
      <c r="T614" s="123" t="s">
        <v>2506</v>
      </c>
      <c r="U614" s="123" t="s">
        <v>122</v>
      </c>
      <c r="V614" s="123" t="s">
        <v>115</v>
      </c>
      <c r="Z614" s="123" t="s">
        <v>115</v>
      </c>
      <c r="AA614" s="123" t="s">
        <v>115</v>
      </c>
      <c r="AB614" s="123" t="s">
        <v>115</v>
      </c>
      <c r="AC614" s="123" t="s">
        <v>115</v>
      </c>
      <c r="AD614" s="123" t="s">
        <v>115</v>
      </c>
      <c r="AH614" s="123">
        <v>0</v>
      </c>
      <c r="AI614" s="123">
        <v>0</v>
      </c>
      <c r="AJ614" s="123">
        <v>0</v>
      </c>
      <c r="AK614" s="123">
        <v>0</v>
      </c>
      <c r="AL614" s="123">
        <v>109</v>
      </c>
      <c r="AN614" s="123">
        <f t="shared" si="10"/>
        <v>109</v>
      </c>
      <c r="AO614" s="123" t="s">
        <v>188</v>
      </c>
      <c r="AP614" s="123" t="s">
        <v>4772</v>
      </c>
    </row>
    <row r="615" spans="1:44" x14ac:dyDescent="0.2">
      <c r="A615" s="123" t="s">
        <v>2485</v>
      </c>
      <c r="B615" s="123" t="s">
        <v>2486</v>
      </c>
      <c r="C615" s="123">
        <v>1</v>
      </c>
      <c r="D615" s="123">
        <v>1</v>
      </c>
      <c r="E615" s="123" t="s">
        <v>2487</v>
      </c>
      <c r="F615" s="125">
        <v>43549</v>
      </c>
      <c r="G615" s="125" t="s">
        <v>4026</v>
      </c>
      <c r="H615" s="125" t="s">
        <v>4752</v>
      </c>
      <c r="I615" s="171">
        <v>3.125E-2</v>
      </c>
      <c r="J615" s="173">
        <v>5.2083333333333333E-4</v>
      </c>
      <c r="K615" s="129">
        <v>45</v>
      </c>
      <c r="L615" s="127" t="s">
        <v>398</v>
      </c>
      <c r="M615" s="123" t="s">
        <v>2488</v>
      </c>
      <c r="N615" s="123" t="s">
        <v>102</v>
      </c>
      <c r="O615" s="123" t="s">
        <v>23</v>
      </c>
      <c r="P615" s="123">
        <v>0</v>
      </c>
      <c r="Q615" s="123">
        <v>0</v>
      </c>
      <c r="R615" s="123">
        <v>0</v>
      </c>
      <c r="T615" s="123" t="s">
        <v>115</v>
      </c>
      <c r="U615" s="123" t="s">
        <v>115</v>
      </c>
      <c r="V615" s="123" t="s">
        <v>115</v>
      </c>
      <c r="Z615" s="123" t="s">
        <v>115</v>
      </c>
      <c r="AA615" s="123" t="s">
        <v>115</v>
      </c>
      <c r="AB615" s="123" t="s">
        <v>115</v>
      </c>
      <c r="AC615" s="123" t="s">
        <v>115</v>
      </c>
      <c r="AD615" s="123" t="s">
        <v>115</v>
      </c>
      <c r="AH615" s="123">
        <v>13</v>
      </c>
      <c r="AI615" s="123">
        <v>0</v>
      </c>
      <c r="AJ615" s="123">
        <v>0</v>
      </c>
      <c r="AK615" s="123">
        <v>13</v>
      </c>
      <c r="AL615" s="123">
        <v>0</v>
      </c>
      <c r="AN615" s="123">
        <f t="shared" si="10"/>
        <v>13</v>
      </c>
      <c r="AO615" s="123" t="s">
        <v>2374</v>
      </c>
      <c r="AQ615" s="123">
        <v>1</v>
      </c>
      <c r="AR615" s="123">
        <v>0</v>
      </c>
    </row>
    <row r="616" spans="1:44" x14ac:dyDescent="0.2">
      <c r="A616" s="123" t="s">
        <v>2510</v>
      </c>
      <c r="B616" s="123" t="s">
        <v>2511</v>
      </c>
      <c r="C616" s="123">
        <v>10</v>
      </c>
      <c r="D616" s="123">
        <v>1</v>
      </c>
      <c r="E616" s="123" t="s">
        <v>2487</v>
      </c>
      <c r="F616" s="125">
        <v>43549</v>
      </c>
      <c r="G616" s="125" t="s">
        <v>4026</v>
      </c>
      <c r="H616" s="125" t="s">
        <v>4752</v>
      </c>
      <c r="I616" s="171">
        <v>3.7499999999999999E-2</v>
      </c>
      <c r="J616" s="173">
        <v>6.2500000000000001E-4</v>
      </c>
      <c r="K616" s="129">
        <v>54</v>
      </c>
      <c r="L616" s="127" t="s">
        <v>640</v>
      </c>
      <c r="M616" s="123" t="s">
        <v>2488</v>
      </c>
      <c r="N616" s="123" t="s">
        <v>102</v>
      </c>
      <c r="O616" s="123" t="s">
        <v>115</v>
      </c>
      <c r="P616" s="123">
        <v>0</v>
      </c>
      <c r="Q616" s="123">
        <v>0</v>
      </c>
      <c r="R616" s="123">
        <v>0</v>
      </c>
      <c r="T616" s="123" t="s">
        <v>115</v>
      </c>
      <c r="U616" s="123" t="s">
        <v>115</v>
      </c>
      <c r="V616" s="123" t="s">
        <v>115</v>
      </c>
      <c r="Z616" s="123" t="s">
        <v>115</v>
      </c>
      <c r="AA616" s="123" t="s">
        <v>115</v>
      </c>
      <c r="AB616" s="123" t="s">
        <v>115</v>
      </c>
      <c r="AC616" s="123" t="s">
        <v>115</v>
      </c>
      <c r="AD616" s="123" t="s">
        <v>115</v>
      </c>
      <c r="AH616" s="123">
        <v>0</v>
      </c>
      <c r="AI616" s="123">
        <v>0</v>
      </c>
      <c r="AJ616" s="123">
        <v>0</v>
      </c>
      <c r="AK616" s="123">
        <v>0</v>
      </c>
      <c r="AL616" s="123">
        <v>52</v>
      </c>
      <c r="AN616" s="123">
        <f t="shared" si="10"/>
        <v>52</v>
      </c>
      <c r="AO616" s="123" t="s">
        <v>188</v>
      </c>
    </row>
    <row r="617" spans="1:44" x14ac:dyDescent="0.2">
      <c r="A617" s="123" t="s">
        <v>2524</v>
      </c>
      <c r="B617" s="123" t="s">
        <v>2525</v>
      </c>
      <c r="C617" s="123">
        <v>16</v>
      </c>
      <c r="D617" s="123">
        <v>1</v>
      </c>
      <c r="E617" s="123" t="s">
        <v>2487</v>
      </c>
      <c r="F617" s="125">
        <v>43549</v>
      </c>
      <c r="G617" s="125" t="s">
        <v>4026</v>
      </c>
      <c r="H617" s="125" t="s">
        <v>4752</v>
      </c>
      <c r="I617" s="171">
        <v>1.2499999999999999E-2</v>
      </c>
      <c r="J617" s="173">
        <v>2.0833333333333335E-4</v>
      </c>
      <c r="K617" s="129">
        <v>18</v>
      </c>
      <c r="L617" s="127" t="s">
        <v>640</v>
      </c>
      <c r="M617" s="123" t="s">
        <v>2488</v>
      </c>
      <c r="N617" s="123" t="s">
        <v>102</v>
      </c>
      <c r="O617" s="123" t="s">
        <v>115</v>
      </c>
      <c r="P617" s="123">
        <v>0</v>
      </c>
      <c r="Q617" s="123">
        <v>0</v>
      </c>
      <c r="R617" s="123">
        <v>0</v>
      </c>
      <c r="T617" s="123" t="s">
        <v>115</v>
      </c>
      <c r="U617" s="123" t="s">
        <v>115</v>
      </c>
      <c r="V617" s="123" t="s">
        <v>115</v>
      </c>
      <c r="Z617" s="123" t="s">
        <v>115</v>
      </c>
      <c r="AA617" s="123" t="s">
        <v>115</v>
      </c>
      <c r="AB617" s="123" t="s">
        <v>115</v>
      </c>
      <c r="AC617" s="123" t="s">
        <v>115</v>
      </c>
      <c r="AD617" s="123" t="s">
        <v>115</v>
      </c>
      <c r="AH617" s="123">
        <v>0</v>
      </c>
      <c r="AI617" s="123">
        <v>0</v>
      </c>
      <c r="AJ617" s="123">
        <v>0</v>
      </c>
      <c r="AK617" s="123">
        <v>0</v>
      </c>
      <c r="AL617" s="123">
        <v>17</v>
      </c>
      <c r="AN617" s="123">
        <f t="shared" si="10"/>
        <v>17</v>
      </c>
      <c r="AO617" s="123" t="s">
        <v>188</v>
      </c>
    </row>
    <row r="618" spans="1:44" x14ac:dyDescent="0.2">
      <c r="A618" s="123" t="s">
        <v>2526</v>
      </c>
      <c r="B618" s="123" t="s">
        <v>2527</v>
      </c>
      <c r="C618" s="123">
        <v>17</v>
      </c>
      <c r="D618" s="123">
        <v>1</v>
      </c>
      <c r="E618" s="123" t="s">
        <v>2487</v>
      </c>
      <c r="F618" s="125">
        <v>43549</v>
      </c>
      <c r="G618" s="125" t="s">
        <v>4026</v>
      </c>
      <c r="H618" s="125" t="s">
        <v>4752</v>
      </c>
      <c r="I618" s="171">
        <v>1.9444444444444445E-2</v>
      </c>
      <c r="J618" s="173">
        <v>3.2407407407407406E-4</v>
      </c>
      <c r="K618" s="129">
        <v>28</v>
      </c>
      <c r="L618" s="127" t="s">
        <v>640</v>
      </c>
      <c r="M618" s="123" t="s">
        <v>2488</v>
      </c>
      <c r="N618" s="123" t="s">
        <v>102</v>
      </c>
      <c r="O618" s="123" t="s">
        <v>115</v>
      </c>
      <c r="P618" s="123">
        <v>0</v>
      </c>
      <c r="Q618" s="123">
        <v>0</v>
      </c>
      <c r="R618" s="123">
        <v>0</v>
      </c>
      <c r="T618" s="123" t="s">
        <v>115</v>
      </c>
      <c r="U618" s="123" t="s">
        <v>115</v>
      </c>
      <c r="V618" s="123" t="s">
        <v>115</v>
      </c>
      <c r="Z618" s="123" t="s">
        <v>115</v>
      </c>
      <c r="AA618" s="123" t="s">
        <v>115</v>
      </c>
      <c r="AB618" s="123" t="s">
        <v>115</v>
      </c>
      <c r="AC618" s="123" t="s">
        <v>115</v>
      </c>
      <c r="AD618" s="123" t="s">
        <v>115</v>
      </c>
      <c r="AH618" s="123">
        <v>0</v>
      </c>
      <c r="AI618" s="123">
        <v>0</v>
      </c>
      <c r="AJ618" s="123">
        <v>0</v>
      </c>
      <c r="AK618" s="123">
        <v>0</v>
      </c>
      <c r="AL618" s="123">
        <v>28</v>
      </c>
      <c r="AN618" s="123">
        <f t="shared" si="10"/>
        <v>28</v>
      </c>
      <c r="AO618" s="123" t="s">
        <v>188</v>
      </c>
    </row>
    <row r="619" spans="1:44" x14ac:dyDescent="0.2">
      <c r="A619" s="123" t="s">
        <v>2489</v>
      </c>
      <c r="B619" s="123" t="s">
        <v>2490</v>
      </c>
      <c r="C619" s="123">
        <v>2</v>
      </c>
      <c r="D619" s="123">
        <v>1</v>
      </c>
      <c r="E619" s="123" t="s">
        <v>2487</v>
      </c>
      <c r="F619" s="125">
        <v>43549</v>
      </c>
      <c r="G619" s="125" t="s">
        <v>4026</v>
      </c>
      <c r="H619" s="125" t="s">
        <v>4752</v>
      </c>
      <c r="I619" s="171">
        <v>7.5694444444444439E-2</v>
      </c>
      <c r="J619" s="173">
        <v>1.261574074074074E-3</v>
      </c>
      <c r="K619" s="129">
        <v>109</v>
      </c>
      <c r="L619" s="127" t="s">
        <v>398</v>
      </c>
      <c r="M619" s="123" t="s">
        <v>2488</v>
      </c>
      <c r="N619" s="123" t="s">
        <v>102</v>
      </c>
      <c r="O619" s="123" t="s">
        <v>23</v>
      </c>
      <c r="P619" s="123">
        <v>0</v>
      </c>
      <c r="Q619" s="123">
        <v>0</v>
      </c>
      <c r="R619" s="123">
        <v>0</v>
      </c>
      <c r="T619" s="123" t="s">
        <v>115</v>
      </c>
      <c r="U619" s="123" t="s">
        <v>115</v>
      </c>
      <c r="V619" s="123" t="s">
        <v>115</v>
      </c>
      <c r="Z619" s="123" t="s">
        <v>115</v>
      </c>
      <c r="AA619" s="123" t="s">
        <v>115</v>
      </c>
      <c r="AB619" s="123" t="s">
        <v>115</v>
      </c>
      <c r="AC619" s="123" t="s">
        <v>115</v>
      </c>
      <c r="AD619" s="123" t="s">
        <v>115</v>
      </c>
      <c r="AH619" s="123">
        <v>15</v>
      </c>
      <c r="AI619" s="123">
        <v>0</v>
      </c>
      <c r="AJ619" s="123">
        <v>11</v>
      </c>
      <c r="AK619" s="123">
        <v>4</v>
      </c>
      <c r="AL619" s="123">
        <v>19</v>
      </c>
      <c r="AN619" s="123">
        <f t="shared" si="10"/>
        <v>34</v>
      </c>
      <c r="AO619" s="123" t="s">
        <v>2374</v>
      </c>
      <c r="AQ619" s="123">
        <v>1</v>
      </c>
      <c r="AR619" s="123">
        <v>0</v>
      </c>
    </row>
    <row r="620" spans="1:44" x14ac:dyDescent="0.2">
      <c r="A620" s="123" t="s">
        <v>2493</v>
      </c>
      <c r="B620" s="123" t="s">
        <v>2494</v>
      </c>
      <c r="C620" s="123">
        <v>4</v>
      </c>
      <c r="D620" s="123">
        <v>1</v>
      </c>
      <c r="E620" s="123" t="s">
        <v>2487</v>
      </c>
      <c r="F620" s="125">
        <v>43549</v>
      </c>
      <c r="G620" s="125" t="s">
        <v>4026</v>
      </c>
      <c r="H620" s="125" t="s">
        <v>4752</v>
      </c>
      <c r="I620" s="171">
        <v>5.5555555555555552E-2</v>
      </c>
      <c r="J620" s="173">
        <v>9.2592592592592585E-4</v>
      </c>
      <c r="K620" s="129">
        <v>80</v>
      </c>
      <c r="L620" s="127" t="s">
        <v>398</v>
      </c>
      <c r="M620" s="123" t="s">
        <v>2488</v>
      </c>
      <c r="N620" s="123" t="s">
        <v>102</v>
      </c>
      <c r="O620" s="123" t="s">
        <v>23</v>
      </c>
      <c r="P620" s="123">
        <v>0</v>
      </c>
      <c r="Q620" s="123">
        <v>0</v>
      </c>
      <c r="R620" s="123">
        <v>0</v>
      </c>
      <c r="T620" s="123" t="s">
        <v>115</v>
      </c>
      <c r="U620" s="123" t="s">
        <v>115</v>
      </c>
      <c r="V620" s="123" t="s">
        <v>115</v>
      </c>
      <c r="Z620" s="123" t="s">
        <v>115</v>
      </c>
      <c r="AA620" s="123" t="s">
        <v>115</v>
      </c>
      <c r="AB620" s="123" t="s">
        <v>115</v>
      </c>
      <c r="AC620" s="123" t="s">
        <v>115</v>
      </c>
      <c r="AD620" s="123" t="s">
        <v>115</v>
      </c>
      <c r="AH620" s="123">
        <v>21</v>
      </c>
      <c r="AI620" s="123">
        <v>0</v>
      </c>
      <c r="AJ620" s="123">
        <v>21</v>
      </c>
      <c r="AK620" s="123">
        <v>0</v>
      </c>
      <c r="AL620" s="123">
        <v>0</v>
      </c>
      <c r="AN620" s="123">
        <f t="shared" si="10"/>
        <v>21</v>
      </c>
      <c r="AO620" s="123" t="s">
        <v>2374</v>
      </c>
      <c r="AP620" s="123" t="s">
        <v>2495</v>
      </c>
      <c r="AQ620" s="123">
        <v>2</v>
      </c>
      <c r="AR620" s="123">
        <v>0</v>
      </c>
    </row>
    <row r="621" spans="1:44" x14ac:dyDescent="0.2">
      <c r="A621" s="123" t="s">
        <v>2502</v>
      </c>
      <c r="B621" s="123" t="s">
        <v>2503</v>
      </c>
      <c r="C621" s="123">
        <v>7</v>
      </c>
      <c r="D621" s="123">
        <v>1</v>
      </c>
      <c r="E621" s="123" t="s">
        <v>2487</v>
      </c>
      <c r="F621" s="125">
        <v>43549</v>
      </c>
      <c r="G621" s="125" t="s">
        <v>4026</v>
      </c>
      <c r="H621" s="125" t="s">
        <v>4752</v>
      </c>
      <c r="I621" s="171">
        <v>4.8611111111111112E-3</v>
      </c>
      <c r="J621" s="173">
        <v>8.1018518518518516E-5</v>
      </c>
      <c r="K621" s="129">
        <v>7</v>
      </c>
      <c r="L621" s="127" t="s">
        <v>398</v>
      </c>
      <c r="M621" s="123" t="s">
        <v>2488</v>
      </c>
      <c r="N621" s="123" t="s">
        <v>102</v>
      </c>
      <c r="O621" s="123" t="s">
        <v>115</v>
      </c>
      <c r="P621" s="123">
        <v>0</v>
      </c>
      <c r="Q621" s="123">
        <v>0</v>
      </c>
      <c r="R621" s="123">
        <v>0</v>
      </c>
      <c r="T621" s="123" t="s">
        <v>115</v>
      </c>
      <c r="U621" s="123" t="s">
        <v>115</v>
      </c>
      <c r="V621" s="123" t="s">
        <v>115</v>
      </c>
      <c r="Z621" s="123" t="s">
        <v>115</v>
      </c>
      <c r="AA621" s="123" t="s">
        <v>115</v>
      </c>
      <c r="AB621" s="123" t="s">
        <v>115</v>
      </c>
      <c r="AC621" s="123" t="s">
        <v>115</v>
      </c>
      <c r="AD621" s="123" t="s">
        <v>115</v>
      </c>
      <c r="AH621" s="123">
        <v>0</v>
      </c>
      <c r="AI621" s="123">
        <v>0</v>
      </c>
      <c r="AJ621" s="123">
        <v>0</v>
      </c>
      <c r="AK621" s="123">
        <v>0</v>
      </c>
      <c r="AL621" s="123">
        <v>7</v>
      </c>
      <c r="AN621" s="123">
        <f t="shared" si="10"/>
        <v>7</v>
      </c>
      <c r="AO621" s="123" t="s">
        <v>188</v>
      </c>
    </row>
    <row r="622" spans="1:44" x14ac:dyDescent="0.2">
      <c r="A622" s="123" t="s">
        <v>2514</v>
      </c>
      <c r="B622" s="123" t="s">
        <v>2515</v>
      </c>
      <c r="C622" s="123">
        <v>12</v>
      </c>
      <c r="D622" s="123">
        <v>1</v>
      </c>
      <c r="E622" s="123" t="s">
        <v>2487</v>
      </c>
      <c r="F622" s="125">
        <v>43549</v>
      </c>
      <c r="G622" s="125" t="s">
        <v>4026</v>
      </c>
      <c r="H622" s="125" t="s">
        <v>4752</v>
      </c>
      <c r="I622" s="171">
        <v>1.6666666666666666E-2</v>
      </c>
      <c r="J622" s="173">
        <v>2.7777777777777778E-4</v>
      </c>
      <c r="K622" s="129">
        <v>24</v>
      </c>
      <c r="L622" s="127" t="s">
        <v>640</v>
      </c>
      <c r="M622" s="123" t="s">
        <v>2488</v>
      </c>
      <c r="N622" s="123" t="s">
        <v>102</v>
      </c>
      <c r="O622" s="123" t="s">
        <v>115</v>
      </c>
      <c r="P622" s="123">
        <v>1</v>
      </c>
      <c r="Q622" s="123">
        <v>0</v>
      </c>
      <c r="R622" s="123">
        <v>0</v>
      </c>
      <c r="S622" s="123" t="s">
        <v>14</v>
      </c>
      <c r="T622" s="123" t="s">
        <v>14</v>
      </c>
      <c r="U622" s="123" t="s">
        <v>122</v>
      </c>
      <c r="V622" s="123" t="s">
        <v>115</v>
      </c>
      <c r="Z622" s="123" t="s">
        <v>115</v>
      </c>
      <c r="AA622" s="123" t="s">
        <v>115</v>
      </c>
      <c r="AB622" s="123" t="s">
        <v>115</v>
      </c>
      <c r="AC622" s="123" t="s">
        <v>115</v>
      </c>
      <c r="AD622" s="123" t="s">
        <v>115</v>
      </c>
      <c r="AH622" s="123">
        <v>0</v>
      </c>
      <c r="AI622" s="123">
        <v>0</v>
      </c>
      <c r="AJ622" s="123">
        <v>0</v>
      </c>
      <c r="AK622" s="123">
        <v>0</v>
      </c>
      <c r="AL622" s="123">
        <v>24</v>
      </c>
      <c r="AN622" s="123">
        <f t="shared" si="10"/>
        <v>24</v>
      </c>
      <c r="AO622" s="123" t="s">
        <v>188</v>
      </c>
    </row>
    <row r="623" spans="1:44" x14ac:dyDescent="0.2">
      <c r="A623" s="123" t="s">
        <v>2516</v>
      </c>
      <c r="B623" s="123" t="s">
        <v>2517</v>
      </c>
      <c r="C623" s="123">
        <v>13</v>
      </c>
      <c r="D623" s="123">
        <v>1</v>
      </c>
      <c r="E623" s="123" t="s">
        <v>2487</v>
      </c>
      <c r="F623" s="125">
        <v>43549</v>
      </c>
      <c r="G623" s="125" t="s">
        <v>4026</v>
      </c>
      <c r="H623" s="125" t="s">
        <v>4752</v>
      </c>
      <c r="I623" s="171">
        <v>1.3888888888888888E-2</v>
      </c>
      <c r="J623" s="173">
        <v>2.3148148148148146E-4</v>
      </c>
      <c r="K623" s="129">
        <v>20</v>
      </c>
      <c r="L623" s="127" t="s">
        <v>640</v>
      </c>
      <c r="M623" s="123" t="s">
        <v>2488</v>
      </c>
      <c r="N623" s="123" t="s">
        <v>102</v>
      </c>
      <c r="O623" s="123" t="s">
        <v>115</v>
      </c>
      <c r="P623" s="123">
        <v>1</v>
      </c>
      <c r="Q623" s="123">
        <v>0</v>
      </c>
      <c r="R623" s="123">
        <v>0</v>
      </c>
      <c r="S623" s="123" t="s">
        <v>14</v>
      </c>
      <c r="T623" s="127" t="s">
        <v>14</v>
      </c>
      <c r="U623" s="127" t="s">
        <v>115</v>
      </c>
      <c r="V623" s="127" t="s">
        <v>115</v>
      </c>
      <c r="W623" s="127"/>
      <c r="X623" s="127"/>
      <c r="Y623" s="127"/>
      <c r="Z623" s="127" t="s">
        <v>115</v>
      </c>
      <c r="AA623" s="127" t="s">
        <v>115</v>
      </c>
      <c r="AB623" s="127" t="s">
        <v>115</v>
      </c>
      <c r="AC623" s="127" t="s">
        <v>115</v>
      </c>
      <c r="AD623" s="127" t="s">
        <v>115</v>
      </c>
      <c r="AE623" s="127"/>
      <c r="AF623" s="127"/>
      <c r="AG623" s="127"/>
      <c r="AH623" s="123">
        <v>0</v>
      </c>
      <c r="AI623" s="123">
        <v>0</v>
      </c>
      <c r="AJ623" s="123">
        <v>0</v>
      </c>
      <c r="AK623" s="123">
        <v>0</v>
      </c>
      <c r="AL623" s="123">
        <v>4</v>
      </c>
      <c r="AN623" s="123">
        <f t="shared" si="10"/>
        <v>4</v>
      </c>
      <c r="AO623" s="123" t="s">
        <v>188</v>
      </c>
      <c r="AP623" s="123" t="s">
        <v>4773</v>
      </c>
    </row>
    <row r="624" spans="1:44" x14ac:dyDescent="0.2">
      <c r="A624" s="123" t="s">
        <v>2647</v>
      </c>
      <c r="B624" s="123" t="s">
        <v>2648</v>
      </c>
      <c r="C624" s="123">
        <v>11</v>
      </c>
      <c r="D624" s="123">
        <v>1</v>
      </c>
      <c r="E624" s="123" t="s">
        <v>2487</v>
      </c>
      <c r="F624" s="125">
        <v>43551</v>
      </c>
      <c r="G624" s="125" t="s">
        <v>4026</v>
      </c>
      <c r="H624" s="125" t="s">
        <v>4752</v>
      </c>
      <c r="I624" s="171">
        <v>3.8194444444444441E-2</v>
      </c>
      <c r="J624" s="173">
        <v>6.3657407407407402E-4</v>
      </c>
      <c r="K624" s="129">
        <v>55</v>
      </c>
      <c r="L624" s="127" t="s">
        <v>398</v>
      </c>
      <c r="M624" s="123" t="s">
        <v>2488</v>
      </c>
      <c r="N624" s="123" t="s">
        <v>102</v>
      </c>
      <c r="O624" s="123" t="s">
        <v>115</v>
      </c>
      <c r="P624" s="123">
        <v>1</v>
      </c>
      <c r="Q624" s="123">
        <v>0</v>
      </c>
      <c r="R624" s="123">
        <v>0</v>
      </c>
      <c r="S624" s="123" t="s">
        <v>176</v>
      </c>
      <c r="T624" s="123" t="s">
        <v>24</v>
      </c>
      <c r="U624" s="123" t="s">
        <v>122</v>
      </c>
      <c r="V624" s="123" t="s">
        <v>115</v>
      </c>
      <c r="Z624" s="123" t="s">
        <v>115</v>
      </c>
      <c r="AA624" s="123" t="s">
        <v>115</v>
      </c>
      <c r="AB624" s="123" t="s">
        <v>115</v>
      </c>
      <c r="AC624" s="123" t="s">
        <v>115</v>
      </c>
      <c r="AD624" s="123" t="s">
        <v>115</v>
      </c>
      <c r="AE624" s="123" t="s">
        <v>115</v>
      </c>
      <c r="AF624" s="123" t="s">
        <v>115</v>
      </c>
      <c r="AH624" s="123">
        <v>0</v>
      </c>
      <c r="AI624" s="123">
        <v>0</v>
      </c>
      <c r="AJ624" s="123">
        <v>0</v>
      </c>
      <c r="AK624" s="123">
        <v>0</v>
      </c>
      <c r="AL624" s="123">
        <v>55</v>
      </c>
      <c r="AN624" s="123">
        <f t="shared" si="10"/>
        <v>55</v>
      </c>
      <c r="AO624" s="123" t="s">
        <v>188</v>
      </c>
    </row>
    <row r="625" spans="1:44" x14ac:dyDescent="0.2">
      <c r="A625" s="123" t="s">
        <v>2637</v>
      </c>
      <c r="B625" s="123" t="s">
        <v>2638</v>
      </c>
      <c r="C625" s="123">
        <v>6</v>
      </c>
      <c r="D625" s="123">
        <v>1</v>
      </c>
      <c r="E625" s="123" t="s">
        <v>2487</v>
      </c>
      <c r="F625" s="125">
        <v>43551</v>
      </c>
      <c r="G625" s="125" t="s">
        <v>4026</v>
      </c>
      <c r="H625" s="125" t="s">
        <v>4752</v>
      </c>
      <c r="I625" s="171">
        <v>4.3055555555555562E-2</v>
      </c>
      <c r="J625" s="173">
        <v>7.175925925925927E-4</v>
      </c>
      <c r="K625" s="129">
        <v>62</v>
      </c>
      <c r="L625" s="127" t="s">
        <v>398</v>
      </c>
      <c r="M625" s="123" t="s">
        <v>2488</v>
      </c>
      <c r="N625" s="123" t="s">
        <v>1626</v>
      </c>
      <c r="O625" s="123" t="s">
        <v>23</v>
      </c>
      <c r="P625" s="123">
        <v>1</v>
      </c>
      <c r="Q625" s="123" t="s">
        <v>24</v>
      </c>
      <c r="R625" s="123">
        <v>0</v>
      </c>
      <c r="S625" s="123" t="s">
        <v>176</v>
      </c>
      <c r="T625" s="123" t="s">
        <v>24</v>
      </c>
      <c r="U625" s="123" t="s">
        <v>24</v>
      </c>
      <c r="V625" s="123" t="s">
        <v>115</v>
      </c>
      <c r="Z625" s="123" t="s">
        <v>115</v>
      </c>
      <c r="AA625" s="123" t="s">
        <v>115</v>
      </c>
      <c r="AB625" s="123" t="s">
        <v>115</v>
      </c>
      <c r="AC625" s="123" t="s">
        <v>115</v>
      </c>
      <c r="AD625" s="123" t="s">
        <v>115</v>
      </c>
      <c r="AE625" s="123" t="s">
        <v>115</v>
      </c>
      <c r="AF625" s="123" t="s">
        <v>115</v>
      </c>
      <c r="AH625" s="123">
        <v>0</v>
      </c>
      <c r="AI625" s="123">
        <v>0</v>
      </c>
      <c r="AJ625" s="123">
        <v>0</v>
      </c>
      <c r="AK625" s="123">
        <v>0</v>
      </c>
      <c r="AL625" s="123">
        <v>25</v>
      </c>
      <c r="AN625" s="123">
        <f t="shared" si="10"/>
        <v>25</v>
      </c>
      <c r="AO625" s="123" t="s">
        <v>188</v>
      </c>
    </row>
    <row r="626" spans="1:44" x14ac:dyDescent="0.2">
      <c r="A626" s="123" t="s">
        <v>2635</v>
      </c>
      <c r="B626" s="123" t="s">
        <v>2636</v>
      </c>
      <c r="C626" s="123">
        <v>5</v>
      </c>
      <c r="D626" s="123">
        <v>2</v>
      </c>
      <c r="E626" s="123" t="s">
        <v>2487</v>
      </c>
      <c r="F626" s="125">
        <v>43551</v>
      </c>
      <c r="G626" s="125" t="s">
        <v>4026</v>
      </c>
      <c r="H626" s="125" t="s">
        <v>4752</v>
      </c>
      <c r="I626" s="171">
        <v>6.805555555555555E-2</v>
      </c>
      <c r="J626" s="173">
        <v>1.1342592592592591E-3</v>
      </c>
      <c r="K626" s="129">
        <v>98</v>
      </c>
      <c r="L626" s="127" t="s">
        <v>398</v>
      </c>
      <c r="M626" s="123" t="s">
        <v>2488</v>
      </c>
      <c r="N626" s="123" t="s">
        <v>102</v>
      </c>
      <c r="O626" s="123" t="s">
        <v>115</v>
      </c>
      <c r="P626" s="123">
        <v>3</v>
      </c>
      <c r="Q626" s="123">
        <v>0</v>
      </c>
      <c r="R626" s="123">
        <v>0</v>
      </c>
      <c r="S626" s="123" t="s">
        <v>176</v>
      </c>
      <c r="T626" s="123" t="s">
        <v>24</v>
      </c>
      <c r="U626" s="123" t="s">
        <v>122</v>
      </c>
      <c r="V626" s="123" t="s">
        <v>115</v>
      </c>
      <c r="Z626" s="123" t="s">
        <v>115</v>
      </c>
      <c r="AA626" s="123" t="s">
        <v>115</v>
      </c>
      <c r="AB626" s="123" t="s">
        <v>115</v>
      </c>
      <c r="AC626" s="123" t="s">
        <v>115</v>
      </c>
      <c r="AD626" s="123" t="s">
        <v>115</v>
      </c>
      <c r="AE626" s="123" t="s">
        <v>115</v>
      </c>
      <c r="AF626" s="123" t="s">
        <v>115</v>
      </c>
      <c r="AH626" s="123">
        <v>0</v>
      </c>
      <c r="AI626" s="123">
        <v>0</v>
      </c>
      <c r="AJ626" s="123">
        <v>0</v>
      </c>
      <c r="AK626" s="123">
        <v>0</v>
      </c>
      <c r="AL626" s="123">
        <v>84</v>
      </c>
      <c r="AN626" s="123">
        <f t="shared" si="10"/>
        <v>84</v>
      </c>
      <c r="AO626" s="123" t="s">
        <v>188</v>
      </c>
    </row>
    <row r="627" spans="1:44" x14ac:dyDescent="0.2">
      <c r="A627" s="123" t="s">
        <v>2635</v>
      </c>
      <c r="B627" s="123" t="s">
        <v>2636</v>
      </c>
      <c r="C627" s="123">
        <v>5</v>
      </c>
      <c r="D627" s="123">
        <v>1</v>
      </c>
      <c r="E627" s="123" t="s">
        <v>2487</v>
      </c>
      <c r="F627" s="125">
        <v>43551</v>
      </c>
      <c r="G627" s="125" t="s">
        <v>4026</v>
      </c>
      <c r="H627" s="125" t="s">
        <v>4752</v>
      </c>
      <c r="I627" s="171">
        <v>6.805555555555555E-2</v>
      </c>
      <c r="J627" s="173">
        <v>1.1342592592592591E-3</v>
      </c>
      <c r="K627" s="129">
        <v>98</v>
      </c>
      <c r="L627" s="127" t="s">
        <v>398</v>
      </c>
      <c r="M627" s="123" t="s">
        <v>2488</v>
      </c>
      <c r="N627" s="123" t="s">
        <v>102</v>
      </c>
      <c r="O627" s="123" t="s">
        <v>115</v>
      </c>
      <c r="P627" s="123">
        <v>1</v>
      </c>
      <c r="Q627" s="123">
        <v>0</v>
      </c>
      <c r="R627" s="123">
        <v>0</v>
      </c>
      <c r="S627" s="123" t="s">
        <v>14</v>
      </c>
      <c r="T627" s="123" t="s">
        <v>14</v>
      </c>
      <c r="U627" s="123" t="s">
        <v>122</v>
      </c>
      <c r="V627" s="123" t="s">
        <v>115</v>
      </c>
      <c r="Z627" s="123" t="s">
        <v>115</v>
      </c>
      <c r="AA627" s="123" t="s">
        <v>115</v>
      </c>
      <c r="AB627" s="123" t="s">
        <v>115</v>
      </c>
      <c r="AC627" s="123" t="s">
        <v>115</v>
      </c>
      <c r="AD627" s="123" t="s">
        <v>115</v>
      </c>
      <c r="AE627" s="123" t="s">
        <v>115</v>
      </c>
      <c r="AF627" s="123" t="s">
        <v>115</v>
      </c>
      <c r="AH627" s="123">
        <v>0</v>
      </c>
      <c r="AI627" s="123">
        <v>0</v>
      </c>
      <c r="AJ627" s="123">
        <v>0</v>
      </c>
      <c r="AK627" s="123">
        <v>0</v>
      </c>
      <c r="AL627" s="123">
        <v>2</v>
      </c>
      <c r="AN627" s="123">
        <f t="shared" si="10"/>
        <v>2</v>
      </c>
      <c r="AO627" s="123" t="s">
        <v>188</v>
      </c>
    </row>
    <row r="628" spans="1:44" x14ac:dyDescent="0.2">
      <c r="A628" s="123" t="s">
        <v>2623</v>
      </c>
      <c r="B628" s="123" t="s">
        <v>2624</v>
      </c>
      <c r="C628" s="123">
        <v>1</v>
      </c>
      <c r="D628" s="123">
        <v>1</v>
      </c>
      <c r="E628" s="123" t="s">
        <v>2487</v>
      </c>
      <c r="F628" s="125">
        <v>43551</v>
      </c>
      <c r="G628" s="125" t="s">
        <v>4026</v>
      </c>
      <c r="H628" s="125" t="s">
        <v>4752</v>
      </c>
      <c r="I628" s="171">
        <v>2.9166666666666664E-2</v>
      </c>
      <c r="J628" s="173">
        <v>4.8611111111111104E-4</v>
      </c>
      <c r="K628" s="129">
        <v>42</v>
      </c>
      <c r="L628" s="127" t="s">
        <v>398</v>
      </c>
      <c r="M628" s="123" t="s">
        <v>2488</v>
      </c>
      <c r="N628" s="123" t="s">
        <v>107</v>
      </c>
      <c r="O628" s="123" t="s">
        <v>23</v>
      </c>
      <c r="P628" s="123">
        <v>0</v>
      </c>
      <c r="Q628" s="123">
        <v>0</v>
      </c>
      <c r="R628" s="123">
        <v>0</v>
      </c>
      <c r="T628" s="123" t="s">
        <v>2625</v>
      </c>
      <c r="U628" s="123" t="s">
        <v>2626</v>
      </c>
      <c r="V628" s="123" t="s">
        <v>115</v>
      </c>
      <c r="Z628" s="123" t="s">
        <v>115</v>
      </c>
      <c r="AA628" s="123" t="s">
        <v>115</v>
      </c>
      <c r="AB628" s="123" t="s">
        <v>115</v>
      </c>
      <c r="AC628" s="123" t="s">
        <v>115</v>
      </c>
      <c r="AD628" s="123" t="s">
        <v>115</v>
      </c>
      <c r="AE628" s="123" t="s">
        <v>115</v>
      </c>
      <c r="AF628" s="123" t="s">
        <v>115</v>
      </c>
      <c r="AH628" s="123">
        <v>0</v>
      </c>
      <c r="AI628" s="123">
        <v>0</v>
      </c>
      <c r="AJ628" s="123">
        <v>0</v>
      </c>
      <c r="AK628" s="123">
        <v>0</v>
      </c>
      <c r="AL628" s="123">
        <v>0</v>
      </c>
      <c r="AN628" s="123">
        <f t="shared" si="10"/>
        <v>0</v>
      </c>
      <c r="AP628" s="123" t="s">
        <v>4782</v>
      </c>
    </row>
    <row r="629" spans="1:44" x14ac:dyDescent="0.2">
      <c r="A629" s="123" t="s">
        <v>2632</v>
      </c>
      <c r="B629" s="123" t="s">
        <v>2633</v>
      </c>
      <c r="C629" s="123">
        <v>4</v>
      </c>
      <c r="D629" s="123">
        <v>1</v>
      </c>
      <c r="E629" s="123" t="s">
        <v>2487</v>
      </c>
      <c r="F629" s="125">
        <v>43551</v>
      </c>
      <c r="G629" s="125" t="s">
        <v>4026</v>
      </c>
      <c r="H629" s="125" t="s">
        <v>4752</v>
      </c>
      <c r="I629" s="171">
        <v>1.3194444444444444E-2</v>
      </c>
      <c r="J629" s="173">
        <v>2.199074074074074E-4</v>
      </c>
      <c r="K629" s="129">
        <v>19</v>
      </c>
      <c r="L629" s="127" t="s">
        <v>398</v>
      </c>
      <c r="M629" s="123" t="s">
        <v>2488</v>
      </c>
      <c r="N629" s="123" t="s">
        <v>102</v>
      </c>
      <c r="O629" s="123" t="s">
        <v>115</v>
      </c>
      <c r="P629" s="123">
        <v>0</v>
      </c>
      <c r="Q629" s="123">
        <v>0</v>
      </c>
      <c r="R629" s="123">
        <v>0</v>
      </c>
      <c r="T629" s="123" t="s">
        <v>115</v>
      </c>
      <c r="U629" s="123" t="s">
        <v>115</v>
      </c>
      <c r="V629" s="123" t="s">
        <v>115</v>
      </c>
      <c r="Z629" s="123" t="s">
        <v>115</v>
      </c>
      <c r="AA629" s="123" t="s">
        <v>115</v>
      </c>
      <c r="AB629" s="123" t="s">
        <v>115</v>
      </c>
      <c r="AC629" s="123" t="s">
        <v>115</v>
      </c>
      <c r="AD629" s="123" t="s">
        <v>115</v>
      </c>
      <c r="AE629" s="123" t="s">
        <v>115</v>
      </c>
      <c r="AF629" s="123" t="s">
        <v>115</v>
      </c>
      <c r="AH629" s="123">
        <v>0</v>
      </c>
      <c r="AI629" s="123">
        <v>0</v>
      </c>
      <c r="AJ629" s="123">
        <v>0</v>
      </c>
      <c r="AK629" s="123">
        <v>0</v>
      </c>
      <c r="AL629" s="123">
        <v>19</v>
      </c>
      <c r="AN629" s="123">
        <f t="shared" si="10"/>
        <v>19</v>
      </c>
      <c r="AO629" s="123" t="s">
        <v>188</v>
      </c>
      <c r="AP629" s="123" t="s">
        <v>4785</v>
      </c>
    </row>
    <row r="630" spans="1:44" x14ac:dyDescent="0.2">
      <c r="A630" s="123" t="s">
        <v>2528</v>
      </c>
      <c r="B630" s="123" t="s">
        <v>2529</v>
      </c>
      <c r="C630" s="123">
        <v>18</v>
      </c>
      <c r="D630" s="123">
        <v>1</v>
      </c>
      <c r="E630" s="123" t="s">
        <v>2487</v>
      </c>
      <c r="F630" s="125">
        <v>43549</v>
      </c>
      <c r="G630" s="125" t="s">
        <v>4026</v>
      </c>
      <c r="H630" s="125" t="s">
        <v>4752</v>
      </c>
      <c r="I630" s="171">
        <v>6.2499999999999995E-3</v>
      </c>
      <c r="J630" s="173">
        <v>1.0416666666666667E-4</v>
      </c>
      <c r="K630" s="129">
        <v>9</v>
      </c>
      <c r="L630" s="127" t="s">
        <v>640</v>
      </c>
      <c r="M630" s="123" t="s">
        <v>2488</v>
      </c>
      <c r="N630" s="123" t="s">
        <v>102</v>
      </c>
      <c r="O630" s="123" t="s">
        <v>516</v>
      </c>
      <c r="P630" s="123" t="s">
        <v>24</v>
      </c>
      <c r="Q630" s="123" t="s">
        <v>24</v>
      </c>
      <c r="R630" s="123" t="s">
        <v>176</v>
      </c>
      <c r="T630" s="123" t="s">
        <v>115</v>
      </c>
      <c r="U630" s="123" t="s">
        <v>115</v>
      </c>
      <c r="V630" s="123" t="s">
        <v>115</v>
      </c>
      <c r="Z630" s="123" t="s">
        <v>115</v>
      </c>
      <c r="AA630" s="123" t="s">
        <v>115</v>
      </c>
      <c r="AB630" s="123" t="s">
        <v>115</v>
      </c>
      <c r="AC630" s="123" t="s">
        <v>115</v>
      </c>
      <c r="AD630" s="123" t="s">
        <v>115</v>
      </c>
      <c r="AH630" s="123">
        <v>9</v>
      </c>
      <c r="AI630" s="123">
        <v>0</v>
      </c>
      <c r="AJ630" s="123">
        <v>9</v>
      </c>
      <c r="AK630" s="123">
        <v>0</v>
      </c>
      <c r="AL630" s="123">
        <v>0</v>
      </c>
      <c r="AN630" s="123">
        <f t="shared" si="10"/>
        <v>9</v>
      </c>
      <c r="AO630" s="123" t="s">
        <v>188</v>
      </c>
    </row>
    <row r="631" spans="1:44" x14ac:dyDescent="0.2">
      <c r="A631" s="123" t="s">
        <v>2512</v>
      </c>
      <c r="B631" s="123" t="s">
        <v>2513</v>
      </c>
      <c r="C631" s="123">
        <v>11</v>
      </c>
      <c r="D631" s="123">
        <v>1</v>
      </c>
      <c r="E631" s="123" t="s">
        <v>2487</v>
      </c>
      <c r="F631" s="125">
        <v>43549</v>
      </c>
      <c r="G631" s="125" t="s">
        <v>4026</v>
      </c>
      <c r="H631" s="125" t="s">
        <v>4752</v>
      </c>
      <c r="I631" s="171">
        <v>2.013888888888889E-2</v>
      </c>
      <c r="J631" s="173">
        <v>3.3564814814814812E-4</v>
      </c>
      <c r="K631" s="129">
        <v>29</v>
      </c>
      <c r="L631" s="127" t="s">
        <v>640</v>
      </c>
      <c r="M631" s="123" t="s">
        <v>2488</v>
      </c>
      <c r="N631" s="123" t="s">
        <v>102</v>
      </c>
      <c r="O631" s="123" t="s">
        <v>115</v>
      </c>
      <c r="P631" s="123" t="s">
        <v>24</v>
      </c>
      <c r="Q631" s="123">
        <v>0</v>
      </c>
      <c r="R631" s="123">
        <v>0</v>
      </c>
      <c r="T631" s="123" t="s">
        <v>115</v>
      </c>
      <c r="U631" s="123" t="s">
        <v>115</v>
      </c>
      <c r="V631" s="123" t="s">
        <v>115</v>
      </c>
      <c r="Z631" s="123" t="s">
        <v>115</v>
      </c>
      <c r="AA631" s="123" t="s">
        <v>115</v>
      </c>
      <c r="AB631" s="123" t="s">
        <v>115</v>
      </c>
      <c r="AC631" s="123" t="s">
        <v>115</v>
      </c>
      <c r="AD631" s="123" t="s">
        <v>115</v>
      </c>
      <c r="AH631" s="123">
        <v>0</v>
      </c>
      <c r="AI631" s="123">
        <v>0</v>
      </c>
      <c r="AJ631" s="123">
        <v>0</v>
      </c>
      <c r="AK631" s="123">
        <v>0</v>
      </c>
      <c r="AL631" s="123">
        <v>29</v>
      </c>
      <c r="AN631" s="123">
        <f t="shared" si="10"/>
        <v>29</v>
      </c>
      <c r="AO631" s="123" t="s">
        <v>188</v>
      </c>
    </row>
    <row r="632" spans="1:44" x14ac:dyDescent="0.2">
      <c r="A632" s="123" t="s">
        <v>2522</v>
      </c>
      <c r="B632" s="123" t="s">
        <v>2523</v>
      </c>
      <c r="C632" s="123">
        <v>15</v>
      </c>
      <c r="D632" s="123">
        <v>1</v>
      </c>
      <c r="E632" s="123" t="s">
        <v>2487</v>
      </c>
      <c r="F632" s="125">
        <v>43549</v>
      </c>
      <c r="G632" s="125" t="s">
        <v>4026</v>
      </c>
      <c r="H632" s="125" t="s">
        <v>4752</v>
      </c>
      <c r="I632" s="171">
        <v>9.0277777777777787E-3</v>
      </c>
      <c r="J632" s="173">
        <v>1.5046296296296297E-4</v>
      </c>
      <c r="K632" s="129">
        <v>13</v>
      </c>
      <c r="L632" s="127" t="s">
        <v>640</v>
      </c>
      <c r="M632" s="123" t="s">
        <v>2488</v>
      </c>
      <c r="N632" s="123" t="s">
        <v>102</v>
      </c>
      <c r="O632" s="123" t="s">
        <v>115</v>
      </c>
      <c r="P632" s="123" t="s">
        <v>24</v>
      </c>
      <c r="Q632" s="123">
        <v>0</v>
      </c>
      <c r="R632" s="123">
        <v>0</v>
      </c>
      <c r="T632" s="123" t="s">
        <v>115</v>
      </c>
      <c r="U632" s="123" t="s">
        <v>115</v>
      </c>
      <c r="V632" s="123" t="s">
        <v>115</v>
      </c>
      <c r="Z632" s="123" t="s">
        <v>115</v>
      </c>
      <c r="AA632" s="123" t="s">
        <v>115</v>
      </c>
      <c r="AB632" s="123" t="s">
        <v>115</v>
      </c>
      <c r="AC632" s="123" t="s">
        <v>115</v>
      </c>
      <c r="AD632" s="123" t="s">
        <v>115</v>
      </c>
      <c r="AH632" s="123">
        <v>0</v>
      </c>
      <c r="AI632" s="123">
        <v>0</v>
      </c>
      <c r="AJ632" s="123">
        <v>0</v>
      </c>
      <c r="AK632" s="123">
        <v>0</v>
      </c>
      <c r="AL632" s="123">
        <v>12</v>
      </c>
      <c r="AN632" s="123">
        <f t="shared" si="10"/>
        <v>12</v>
      </c>
      <c r="AO632" s="123" t="s">
        <v>188</v>
      </c>
    </row>
    <row r="633" spans="1:44" x14ac:dyDescent="0.2">
      <c r="A633" s="123" t="s">
        <v>2491</v>
      </c>
      <c r="B633" s="123" t="s">
        <v>2492</v>
      </c>
      <c r="C633" s="123">
        <v>3</v>
      </c>
      <c r="D633" s="123">
        <v>1</v>
      </c>
      <c r="E633" s="123" t="s">
        <v>2487</v>
      </c>
      <c r="F633" s="125">
        <v>43549</v>
      </c>
      <c r="G633" s="125" t="s">
        <v>4026</v>
      </c>
      <c r="H633" s="125" t="s">
        <v>4752</v>
      </c>
      <c r="I633" s="171">
        <v>3.8194444444444441E-2</v>
      </c>
      <c r="J633" s="173">
        <v>6.3657407407407402E-4</v>
      </c>
      <c r="K633" s="129">
        <v>55</v>
      </c>
      <c r="L633" s="127" t="s">
        <v>398</v>
      </c>
      <c r="M633" s="123" t="s">
        <v>2488</v>
      </c>
      <c r="N633" s="123" t="s">
        <v>102</v>
      </c>
      <c r="O633" s="123" t="s">
        <v>23</v>
      </c>
      <c r="P633" s="123" t="s">
        <v>24</v>
      </c>
      <c r="Q633" s="123" t="s">
        <v>24</v>
      </c>
      <c r="R633" s="123">
        <v>0</v>
      </c>
      <c r="T633" s="123" t="s">
        <v>115</v>
      </c>
      <c r="U633" s="123" t="s">
        <v>115</v>
      </c>
      <c r="V633" s="123" t="s">
        <v>115</v>
      </c>
      <c r="Z633" s="123" t="s">
        <v>115</v>
      </c>
      <c r="AA633" s="123" t="s">
        <v>115</v>
      </c>
      <c r="AB633" s="123" t="s">
        <v>115</v>
      </c>
      <c r="AC633" s="123" t="s">
        <v>115</v>
      </c>
      <c r="AD633" s="123" t="s">
        <v>115</v>
      </c>
      <c r="AH633" s="123">
        <v>14</v>
      </c>
      <c r="AI633" s="123">
        <v>0</v>
      </c>
      <c r="AJ633" s="123">
        <v>14</v>
      </c>
      <c r="AK633" s="123">
        <v>0</v>
      </c>
      <c r="AL633" s="123">
        <v>0</v>
      </c>
      <c r="AN633" s="123">
        <f t="shared" si="10"/>
        <v>14</v>
      </c>
      <c r="AO633" s="123" t="s">
        <v>188</v>
      </c>
      <c r="AQ633" s="123">
        <v>0</v>
      </c>
      <c r="AR633" s="123">
        <v>0</v>
      </c>
    </row>
    <row r="634" spans="1:44" x14ac:dyDescent="0.2">
      <c r="A634" s="123" t="s">
        <v>2508</v>
      </c>
      <c r="B634" s="123" t="s">
        <v>2509</v>
      </c>
      <c r="C634" s="123">
        <v>9</v>
      </c>
      <c r="D634" s="123">
        <v>1</v>
      </c>
      <c r="E634" s="123" t="s">
        <v>2487</v>
      </c>
      <c r="F634" s="125">
        <v>43549</v>
      </c>
      <c r="G634" s="125" t="s">
        <v>4026</v>
      </c>
      <c r="H634" s="125" t="s">
        <v>4752</v>
      </c>
      <c r="I634" s="171">
        <v>1.8055555555555557E-2</v>
      </c>
      <c r="J634" s="173">
        <v>3.0092592592592595E-4</v>
      </c>
      <c r="K634" s="129">
        <v>26</v>
      </c>
      <c r="L634" s="127" t="s">
        <v>398</v>
      </c>
      <c r="M634" s="123" t="s">
        <v>2488</v>
      </c>
      <c r="N634" s="123" t="s">
        <v>102</v>
      </c>
      <c r="O634" s="123" t="s">
        <v>115</v>
      </c>
      <c r="P634" s="123" t="s">
        <v>24</v>
      </c>
      <c r="Q634" s="123">
        <v>0</v>
      </c>
      <c r="R634" s="123">
        <v>0</v>
      </c>
      <c r="T634" s="123" t="s">
        <v>115</v>
      </c>
      <c r="U634" s="123" t="s">
        <v>115</v>
      </c>
      <c r="V634" s="123" t="s">
        <v>115</v>
      </c>
      <c r="Z634" s="123" t="s">
        <v>115</v>
      </c>
      <c r="AA634" s="123" t="s">
        <v>115</v>
      </c>
      <c r="AB634" s="123" t="s">
        <v>115</v>
      </c>
      <c r="AC634" s="123" t="s">
        <v>115</v>
      </c>
      <c r="AD634" s="123" t="s">
        <v>115</v>
      </c>
      <c r="AH634" s="123">
        <v>0</v>
      </c>
      <c r="AI634" s="123">
        <v>0</v>
      </c>
      <c r="AJ634" s="123">
        <v>0</v>
      </c>
      <c r="AK634" s="123">
        <v>0</v>
      </c>
      <c r="AL634" s="123">
        <v>26</v>
      </c>
      <c r="AN634" s="123">
        <f t="shared" si="10"/>
        <v>26</v>
      </c>
      <c r="AO634" s="123" t="s">
        <v>188</v>
      </c>
    </row>
    <row r="635" spans="1:44" x14ac:dyDescent="0.2">
      <c r="A635" s="123" t="s">
        <v>2645</v>
      </c>
      <c r="B635" s="123" t="s">
        <v>2646</v>
      </c>
      <c r="C635" s="123">
        <v>10</v>
      </c>
      <c r="D635" s="123">
        <v>1</v>
      </c>
      <c r="E635" s="123" t="s">
        <v>2487</v>
      </c>
      <c r="F635" s="125">
        <v>43551</v>
      </c>
      <c r="G635" s="125" t="s">
        <v>4026</v>
      </c>
      <c r="H635" s="125" t="s">
        <v>4752</v>
      </c>
      <c r="I635" s="171">
        <v>2.6388888888888889E-2</v>
      </c>
      <c r="J635" s="173">
        <v>4.3981481481481481E-4</v>
      </c>
      <c r="K635" s="129">
        <v>38</v>
      </c>
      <c r="L635" s="127" t="s">
        <v>398</v>
      </c>
      <c r="M635" s="123" t="s">
        <v>2488</v>
      </c>
      <c r="N635" s="123" t="s">
        <v>102</v>
      </c>
      <c r="O635" s="123" t="s">
        <v>115</v>
      </c>
      <c r="P635" s="123" t="s">
        <v>24</v>
      </c>
      <c r="Q635" s="123">
        <v>0</v>
      </c>
      <c r="R635" s="123">
        <v>0</v>
      </c>
      <c r="T635" s="123" t="s">
        <v>115</v>
      </c>
      <c r="U635" s="123" t="s">
        <v>115</v>
      </c>
      <c r="V635" s="123" t="s">
        <v>115</v>
      </c>
      <c r="Z635" s="123" t="s">
        <v>115</v>
      </c>
      <c r="AA635" s="123" t="s">
        <v>115</v>
      </c>
      <c r="AB635" s="123" t="s">
        <v>115</v>
      </c>
      <c r="AC635" s="123" t="s">
        <v>115</v>
      </c>
      <c r="AD635" s="123" t="s">
        <v>115</v>
      </c>
      <c r="AE635" s="123" t="s">
        <v>115</v>
      </c>
      <c r="AF635" s="123" t="s">
        <v>115</v>
      </c>
      <c r="AH635" s="123">
        <v>0</v>
      </c>
      <c r="AI635" s="123">
        <v>0</v>
      </c>
      <c r="AJ635" s="123">
        <v>0</v>
      </c>
      <c r="AK635" s="123">
        <v>0</v>
      </c>
      <c r="AL635" s="123">
        <v>38</v>
      </c>
      <c r="AN635" s="123">
        <f t="shared" si="10"/>
        <v>38</v>
      </c>
      <c r="AO635" s="123" t="s">
        <v>188</v>
      </c>
    </row>
    <row r="636" spans="1:44" x14ac:dyDescent="0.2">
      <c r="A636" s="123" t="s">
        <v>2641</v>
      </c>
      <c r="B636" s="123" t="s">
        <v>2642</v>
      </c>
      <c r="C636" s="123">
        <v>8</v>
      </c>
      <c r="D636" s="123">
        <v>1</v>
      </c>
      <c r="E636" s="123" t="s">
        <v>2487</v>
      </c>
      <c r="F636" s="125">
        <v>43551</v>
      </c>
      <c r="G636" s="125" t="s">
        <v>4026</v>
      </c>
      <c r="H636" s="125" t="s">
        <v>4752</v>
      </c>
      <c r="I636" s="171">
        <v>1.1805555555555555E-2</v>
      </c>
      <c r="J636" s="173">
        <v>1.9675925925925926E-4</v>
      </c>
      <c r="K636" s="129">
        <v>17</v>
      </c>
      <c r="L636" s="127" t="s">
        <v>398</v>
      </c>
      <c r="M636" s="123" t="s">
        <v>2488</v>
      </c>
      <c r="N636" s="123" t="s">
        <v>102</v>
      </c>
      <c r="O636" s="123" t="s">
        <v>115</v>
      </c>
      <c r="P636" s="123" t="s">
        <v>24</v>
      </c>
      <c r="Q636" s="123">
        <v>0</v>
      </c>
      <c r="R636" s="123">
        <v>0</v>
      </c>
      <c r="T636" s="123" t="s">
        <v>115</v>
      </c>
      <c r="U636" s="123" t="s">
        <v>115</v>
      </c>
      <c r="V636" s="123" t="s">
        <v>115</v>
      </c>
      <c r="Z636" s="123" t="s">
        <v>115</v>
      </c>
      <c r="AA636" s="123" t="s">
        <v>115</v>
      </c>
      <c r="AB636" s="123" t="s">
        <v>115</v>
      </c>
      <c r="AC636" s="123" t="s">
        <v>115</v>
      </c>
      <c r="AD636" s="123" t="s">
        <v>115</v>
      </c>
      <c r="AE636" s="123" t="s">
        <v>115</v>
      </c>
      <c r="AF636" s="123" t="s">
        <v>115</v>
      </c>
      <c r="AH636" s="123">
        <v>0</v>
      </c>
      <c r="AI636" s="123">
        <v>0</v>
      </c>
      <c r="AJ636" s="123">
        <v>0</v>
      </c>
      <c r="AK636" s="123">
        <v>0</v>
      </c>
      <c r="AL636" s="123">
        <v>17</v>
      </c>
      <c r="AN636" s="123">
        <f t="shared" si="10"/>
        <v>17</v>
      </c>
      <c r="AO636" s="123" t="s">
        <v>188</v>
      </c>
    </row>
    <row r="637" spans="1:44" x14ac:dyDescent="0.2">
      <c r="A637" s="123" t="s">
        <v>2643</v>
      </c>
      <c r="B637" s="123" t="s">
        <v>2644</v>
      </c>
      <c r="C637" s="123">
        <v>9</v>
      </c>
      <c r="D637" s="123">
        <v>1</v>
      </c>
      <c r="E637" s="123" t="s">
        <v>2487</v>
      </c>
      <c r="F637" s="125">
        <v>43551</v>
      </c>
      <c r="G637" s="125" t="s">
        <v>4026</v>
      </c>
      <c r="H637" s="125" t="s">
        <v>4752</v>
      </c>
      <c r="I637" s="171">
        <v>2.361111111111111E-2</v>
      </c>
      <c r="J637" s="173">
        <v>3.9351851851851852E-4</v>
      </c>
      <c r="K637" s="129">
        <v>34</v>
      </c>
      <c r="L637" s="127" t="s">
        <v>398</v>
      </c>
      <c r="M637" s="123" t="s">
        <v>2488</v>
      </c>
      <c r="N637" s="123" t="s">
        <v>102</v>
      </c>
      <c r="O637" s="123" t="s">
        <v>115</v>
      </c>
      <c r="P637" s="123" t="s">
        <v>24</v>
      </c>
      <c r="Q637" s="123">
        <v>0</v>
      </c>
      <c r="R637" s="123">
        <v>0</v>
      </c>
      <c r="T637" s="123" t="s">
        <v>115</v>
      </c>
      <c r="U637" s="123" t="s">
        <v>115</v>
      </c>
      <c r="V637" s="123" t="s">
        <v>115</v>
      </c>
      <c r="Z637" s="123" t="s">
        <v>115</v>
      </c>
      <c r="AA637" s="123" t="s">
        <v>115</v>
      </c>
      <c r="AB637" s="123" t="s">
        <v>115</v>
      </c>
      <c r="AC637" s="123" t="s">
        <v>115</v>
      </c>
      <c r="AD637" s="123" t="s">
        <v>115</v>
      </c>
      <c r="AE637" s="123" t="s">
        <v>115</v>
      </c>
      <c r="AF637" s="123" t="s">
        <v>115</v>
      </c>
      <c r="AH637" s="123">
        <v>0</v>
      </c>
      <c r="AI637" s="123">
        <v>0</v>
      </c>
      <c r="AJ637" s="123">
        <v>0</v>
      </c>
      <c r="AK637" s="123">
        <v>0</v>
      </c>
      <c r="AL637" s="123">
        <v>32</v>
      </c>
      <c r="AN637" s="123">
        <f t="shared" si="10"/>
        <v>32</v>
      </c>
      <c r="AO637" s="123" t="s">
        <v>188</v>
      </c>
    </row>
    <row r="638" spans="1:44" x14ac:dyDescent="0.2">
      <c r="A638" s="123" t="s">
        <v>2336</v>
      </c>
      <c r="B638" s="123" t="s">
        <v>2337</v>
      </c>
      <c r="C638" s="123">
        <v>1</v>
      </c>
      <c r="D638" s="123">
        <v>1</v>
      </c>
      <c r="E638" s="123" t="s">
        <v>2338</v>
      </c>
      <c r="F638" s="125">
        <v>43544</v>
      </c>
      <c r="G638" s="125" t="s">
        <v>4026</v>
      </c>
      <c r="H638" s="125" t="s">
        <v>4752</v>
      </c>
      <c r="I638" s="171">
        <v>1.4583333333333332E-2</v>
      </c>
      <c r="J638" s="173">
        <v>2.4305555555555552E-4</v>
      </c>
      <c r="K638" s="129">
        <v>21</v>
      </c>
      <c r="L638" s="123" t="s">
        <v>2339</v>
      </c>
      <c r="M638" s="123" t="s">
        <v>932</v>
      </c>
      <c r="N638" s="123" t="s">
        <v>102</v>
      </c>
      <c r="O638" s="123" t="s">
        <v>23</v>
      </c>
      <c r="P638" s="123">
        <v>1</v>
      </c>
      <c r="Q638" s="123" t="s">
        <v>24</v>
      </c>
      <c r="R638" s="123">
        <v>0</v>
      </c>
      <c r="S638" s="123" t="s">
        <v>176</v>
      </c>
      <c r="T638" s="123" t="s">
        <v>24</v>
      </c>
      <c r="U638" s="123" t="s">
        <v>333</v>
      </c>
      <c r="V638" s="123" t="s">
        <v>115</v>
      </c>
      <c r="Z638" s="123" t="s">
        <v>115</v>
      </c>
      <c r="AH638" s="123">
        <v>0</v>
      </c>
      <c r="AI638" s="123">
        <v>0</v>
      </c>
      <c r="AJ638" s="123">
        <v>0</v>
      </c>
      <c r="AK638" s="123">
        <v>0</v>
      </c>
      <c r="AL638" s="123">
        <v>0</v>
      </c>
      <c r="AN638" s="123">
        <f t="shared" ref="AN638:AN701" si="11">SUM(AH638+AI638+AL638)</f>
        <v>0</v>
      </c>
      <c r="AO638" s="123" t="s">
        <v>115</v>
      </c>
      <c r="AP638" s="123" t="s">
        <v>2340</v>
      </c>
      <c r="AQ638" s="123">
        <v>0</v>
      </c>
      <c r="AR638" s="123">
        <v>0</v>
      </c>
    </row>
    <row r="639" spans="1:44" x14ac:dyDescent="0.2">
      <c r="A639" s="123" t="s">
        <v>2549</v>
      </c>
      <c r="B639" s="123" t="s">
        <v>2550</v>
      </c>
      <c r="C639" s="123">
        <v>3</v>
      </c>
      <c r="D639" s="123">
        <v>1</v>
      </c>
      <c r="E639" s="123" t="s">
        <v>324</v>
      </c>
      <c r="F639" s="125">
        <v>43550</v>
      </c>
      <c r="G639" s="125" t="s">
        <v>4026</v>
      </c>
      <c r="H639" s="125" t="s">
        <v>4752</v>
      </c>
      <c r="I639" s="171">
        <v>4.9305555555555554E-2</v>
      </c>
      <c r="J639" s="173">
        <v>8.2175925925925917E-4</v>
      </c>
      <c r="K639" s="129">
        <v>71</v>
      </c>
      <c r="L639" s="127" t="s">
        <v>640</v>
      </c>
      <c r="M639" s="123" t="s">
        <v>325</v>
      </c>
      <c r="N639" s="123" t="s">
        <v>156</v>
      </c>
      <c r="O639" s="123" t="s">
        <v>23</v>
      </c>
      <c r="P639" s="123">
        <v>0</v>
      </c>
      <c r="Q639" s="123">
        <v>0</v>
      </c>
      <c r="R639" s="123">
        <v>1</v>
      </c>
      <c r="S639" s="123" t="s">
        <v>176</v>
      </c>
      <c r="T639" s="123" t="s">
        <v>24</v>
      </c>
      <c r="U639" s="123" t="s">
        <v>2383</v>
      </c>
      <c r="V639" s="123" t="s">
        <v>2088</v>
      </c>
      <c r="W639" s="127" t="s">
        <v>23</v>
      </c>
      <c r="X639" s="127" t="s">
        <v>3997</v>
      </c>
      <c r="Y639" s="127" t="s">
        <v>4021</v>
      </c>
      <c r="Z639" s="123" t="s">
        <v>2551</v>
      </c>
      <c r="AA639" s="123">
        <v>0</v>
      </c>
      <c r="AB639" s="123" t="s">
        <v>24</v>
      </c>
      <c r="AC639" s="123">
        <v>63.723170000000003</v>
      </c>
      <c r="AD639" s="123">
        <v>148.89055999999999</v>
      </c>
      <c r="AH639" s="123">
        <v>0</v>
      </c>
      <c r="AI639" s="123">
        <v>0</v>
      </c>
      <c r="AJ639" s="123">
        <v>0</v>
      </c>
      <c r="AK639" s="123">
        <v>0</v>
      </c>
      <c r="AL639" s="123">
        <v>0</v>
      </c>
      <c r="AN639" s="123">
        <f t="shared" si="11"/>
        <v>0</v>
      </c>
    </row>
    <row r="640" spans="1:44" x14ac:dyDescent="0.2">
      <c r="A640" s="123" t="s">
        <v>2555</v>
      </c>
      <c r="B640" s="123" t="s">
        <v>2556</v>
      </c>
      <c r="C640" s="123">
        <v>5</v>
      </c>
      <c r="D640" s="123">
        <v>2</v>
      </c>
      <c r="E640" s="123" t="s">
        <v>324</v>
      </c>
      <c r="F640" s="125">
        <v>43550</v>
      </c>
      <c r="G640" s="125" t="s">
        <v>4026</v>
      </c>
      <c r="H640" s="125" t="s">
        <v>4752</v>
      </c>
      <c r="I640" s="171">
        <v>4.5833333333333337E-2</v>
      </c>
      <c r="J640" s="173">
        <v>4.1736111111111113E-2</v>
      </c>
      <c r="K640" s="129">
        <v>6</v>
      </c>
      <c r="L640" s="127" t="s">
        <v>640</v>
      </c>
      <c r="M640" s="123" t="s">
        <v>325</v>
      </c>
      <c r="N640" s="123" t="s">
        <v>102</v>
      </c>
      <c r="O640" s="123" t="s">
        <v>23</v>
      </c>
      <c r="P640" s="123">
        <v>1</v>
      </c>
      <c r="Q640" s="123">
        <v>0</v>
      </c>
      <c r="R640" s="123">
        <v>0</v>
      </c>
      <c r="S640" s="123" t="s">
        <v>176</v>
      </c>
      <c r="T640" s="123" t="s">
        <v>24</v>
      </c>
      <c r="U640" s="123" t="s">
        <v>122</v>
      </c>
      <c r="V640" s="123" t="s">
        <v>115</v>
      </c>
      <c r="Z640" s="123" t="s">
        <v>115</v>
      </c>
      <c r="AA640" s="123" t="s">
        <v>115</v>
      </c>
      <c r="AB640" s="123" t="s">
        <v>115</v>
      </c>
      <c r="AC640" s="123" t="s">
        <v>115</v>
      </c>
      <c r="AD640" s="123" t="s">
        <v>115</v>
      </c>
      <c r="AH640" s="123">
        <v>0</v>
      </c>
      <c r="AI640" s="123">
        <v>0</v>
      </c>
      <c r="AJ640" s="123">
        <v>0</v>
      </c>
      <c r="AK640" s="123">
        <v>0</v>
      </c>
      <c r="AL640" s="123">
        <v>29</v>
      </c>
      <c r="AN640" s="123">
        <f t="shared" si="11"/>
        <v>29</v>
      </c>
      <c r="AO640" s="123" t="s">
        <v>188</v>
      </c>
    </row>
    <row r="641" spans="1:42" x14ac:dyDescent="0.2">
      <c r="A641" s="123" t="s">
        <v>2561</v>
      </c>
      <c r="B641" s="123" t="s">
        <v>2562</v>
      </c>
      <c r="C641" s="123">
        <v>7</v>
      </c>
      <c r="D641" s="123">
        <v>1</v>
      </c>
      <c r="E641" s="123" t="s">
        <v>324</v>
      </c>
      <c r="F641" s="125">
        <v>43550</v>
      </c>
      <c r="G641" s="125" t="s">
        <v>4026</v>
      </c>
      <c r="H641" s="125" t="s">
        <v>4752</v>
      </c>
      <c r="I641" s="171">
        <v>3.4722222222222224E-2</v>
      </c>
      <c r="J641" s="173">
        <v>5.7870370370370378E-4</v>
      </c>
      <c r="K641" s="129">
        <v>50</v>
      </c>
      <c r="L641" s="127" t="s">
        <v>640</v>
      </c>
      <c r="M641" s="123" t="s">
        <v>325</v>
      </c>
      <c r="N641" s="123" t="s">
        <v>102</v>
      </c>
      <c r="O641" s="123" t="s">
        <v>115</v>
      </c>
      <c r="P641" s="123">
        <v>1</v>
      </c>
      <c r="Q641" s="123">
        <v>0</v>
      </c>
      <c r="R641" s="123">
        <v>0</v>
      </c>
      <c r="S641" s="123" t="s">
        <v>176</v>
      </c>
      <c r="T641" s="123" t="s">
        <v>24</v>
      </c>
      <c r="U641" s="123" t="s">
        <v>122</v>
      </c>
      <c r="V641" s="123" t="s">
        <v>115</v>
      </c>
      <c r="Z641" s="123" t="s">
        <v>115</v>
      </c>
      <c r="AA641" s="123" t="s">
        <v>115</v>
      </c>
      <c r="AB641" s="123" t="s">
        <v>115</v>
      </c>
      <c r="AC641" s="123" t="s">
        <v>115</v>
      </c>
      <c r="AD641" s="123" t="s">
        <v>115</v>
      </c>
      <c r="AH641" s="123">
        <v>0</v>
      </c>
      <c r="AI641" s="123">
        <v>0</v>
      </c>
      <c r="AJ641" s="123">
        <v>0</v>
      </c>
      <c r="AK641" s="123">
        <v>0</v>
      </c>
      <c r="AL641" s="123">
        <v>50</v>
      </c>
      <c r="AN641" s="123">
        <f t="shared" si="11"/>
        <v>50</v>
      </c>
      <c r="AO641" s="123" t="s">
        <v>188</v>
      </c>
    </row>
    <row r="642" spans="1:42" x14ac:dyDescent="0.2">
      <c r="A642" s="123" t="s">
        <v>2549</v>
      </c>
      <c r="B642" s="123" t="s">
        <v>2550</v>
      </c>
      <c r="C642" s="123">
        <v>3</v>
      </c>
      <c r="D642" s="123">
        <v>2</v>
      </c>
      <c r="E642" s="123" t="s">
        <v>324</v>
      </c>
      <c r="F642" s="125">
        <v>43550</v>
      </c>
      <c r="G642" s="125" t="s">
        <v>4026</v>
      </c>
      <c r="H642" s="125" t="s">
        <v>4752</v>
      </c>
      <c r="I642" s="171">
        <v>4.9305555555555554E-2</v>
      </c>
      <c r="J642" s="173">
        <v>8.2175925925925917E-4</v>
      </c>
      <c r="K642" s="129">
        <v>71</v>
      </c>
      <c r="L642" s="127" t="s">
        <v>640</v>
      </c>
      <c r="M642" s="123" t="s">
        <v>325</v>
      </c>
      <c r="N642" s="123" t="s">
        <v>156</v>
      </c>
      <c r="O642" s="123" t="s">
        <v>23</v>
      </c>
      <c r="P642" s="123">
        <v>1</v>
      </c>
      <c r="Q642" s="123">
        <v>0</v>
      </c>
      <c r="R642" s="123">
        <v>0</v>
      </c>
      <c r="S642" s="123" t="s">
        <v>598</v>
      </c>
      <c r="T642" s="123" t="s">
        <v>2506</v>
      </c>
      <c r="U642" s="123" t="s">
        <v>122</v>
      </c>
      <c r="V642" s="123" t="s">
        <v>115</v>
      </c>
      <c r="Z642" s="123" t="s">
        <v>115</v>
      </c>
      <c r="AA642" s="123" t="s">
        <v>115</v>
      </c>
      <c r="AB642" s="123" t="s">
        <v>115</v>
      </c>
      <c r="AC642" s="123" t="s">
        <v>115</v>
      </c>
      <c r="AD642" s="123" t="s">
        <v>115</v>
      </c>
      <c r="AH642" s="123">
        <v>0</v>
      </c>
      <c r="AI642" s="123">
        <v>0</v>
      </c>
      <c r="AJ642" s="123">
        <v>0</v>
      </c>
      <c r="AK642" s="123">
        <v>0</v>
      </c>
      <c r="AL642" s="123">
        <v>5</v>
      </c>
      <c r="AN642" s="123">
        <f t="shared" si="11"/>
        <v>5</v>
      </c>
      <c r="AO642" s="123" t="s">
        <v>188</v>
      </c>
      <c r="AP642" s="123" t="s">
        <v>4774</v>
      </c>
    </row>
    <row r="643" spans="1:42" x14ac:dyDescent="0.2">
      <c r="A643" s="123" t="s">
        <v>2563</v>
      </c>
      <c r="B643" s="123" t="s">
        <v>2564</v>
      </c>
      <c r="C643" s="123">
        <v>8</v>
      </c>
      <c r="D643" s="123">
        <v>1</v>
      </c>
      <c r="E643" s="123" t="s">
        <v>324</v>
      </c>
      <c r="F643" s="125">
        <v>43550</v>
      </c>
      <c r="G643" s="125" t="s">
        <v>4026</v>
      </c>
      <c r="H643" s="125" t="s">
        <v>4752</v>
      </c>
      <c r="I643" s="171">
        <v>2.7777777777777776E-2</v>
      </c>
      <c r="J643" s="173">
        <v>4.6296296296296293E-4</v>
      </c>
      <c r="K643" s="129">
        <v>40</v>
      </c>
      <c r="L643" s="127" t="s">
        <v>640</v>
      </c>
      <c r="M643" s="123" t="s">
        <v>325</v>
      </c>
      <c r="N643" s="123" t="s">
        <v>102</v>
      </c>
      <c r="O643" s="123" t="s">
        <v>115</v>
      </c>
      <c r="P643" s="123">
        <v>1</v>
      </c>
      <c r="Q643" s="123">
        <v>0</v>
      </c>
      <c r="R643" s="123">
        <v>0</v>
      </c>
      <c r="S643" s="123" t="s">
        <v>598</v>
      </c>
      <c r="T643" s="123" t="s">
        <v>2565</v>
      </c>
      <c r="U643" s="123" t="s">
        <v>122</v>
      </c>
      <c r="V643" s="123" t="s">
        <v>115</v>
      </c>
      <c r="Z643" s="123" t="s">
        <v>115</v>
      </c>
      <c r="AA643" s="123" t="s">
        <v>115</v>
      </c>
      <c r="AB643" s="123" t="s">
        <v>115</v>
      </c>
      <c r="AC643" s="123" t="s">
        <v>115</v>
      </c>
      <c r="AD643" s="123" t="s">
        <v>115</v>
      </c>
      <c r="AH643" s="123">
        <v>0</v>
      </c>
      <c r="AI643" s="123">
        <v>0</v>
      </c>
      <c r="AJ643" s="123">
        <v>0</v>
      </c>
      <c r="AK643" s="123">
        <v>0</v>
      </c>
      <c r="AL643" s="123">
        <v>40</v>
      </c>
      <c r="AN643" s="123">
        <f t="shared" si="11"/>
        <v>40</v>
      </c>
      <c r="AO643" s="123" t="s">
        <v>188</v>
      </c>
    </row>
    <row r="644" spans="1:42" x14ac:dyDescent="0.2">
      <c r="A644" s="123" t="s">
        <v>2555</v>
      </c>
      <c r="B644" s="123" t="s">
        <v>2556</v>
      </c>
      <c r="C644" s="123">
        <v>5</v>
      </c>
      <c r="D644" s="123">
        <v>1</v>
      </c>
      <c r="E644" s="123" t="s">
        <v>324</v>
      </c>
      <c r="F644" s="125">
        <v>43550</v>
      </c>
      <c r="G644" s="125" t="s">
        <v>4026</v>
      </c>
      <c r="H644" s="125" t="s">
        <v>4752</v>
      </c>
      <c r="I644" s="171">
        <v>4.5833333333333337E-2</v>
      </c>
      <c r="J644" s="173">
        <v>7.6388888888888893E-4</v>
      </c>
      <c r="K644" s="129">
        <v>66</v>
      </c>
      <c r="L644" s="127" t="s">
        <v>640</v>
      </c>
      <c r="M644" s="123" t="s">
        <v>325</v>
      </c>
      <c r="N644" s="123" t="s">
        <v>187</v>
      </c>
      <c r="O644" s="123" t="s">
        <v>23</v>
      </c>
      <c r="P644" s="123">
        <v>1</v>
      </c>
      <c r="Q644" s="123">
        <v>0</v>
      </c>
      <c r="R644" s="123">
        <v>1</v>
      </c>
      <c r="S644" s="123" t="s">
        <v>14</v>
      </c>
      <c r="T644" s="123" t="s">
        <v>2557</v>
      </c>
      <c r="U644" s="123" t="s">
        <v>122</v>
      </c>
      <c r="V644" s="123" t="s">
        <v>1035</v>
      </c>
      <c r="W644" s="127" t="s">
        <v>23</v>
      </c>
      <c r="X644" s="127" t="s">
        <v>3997</v>
      </c>
      <c r="Y644" s="127" t="s">
        <v>4006</v>
      </c>
      <c r="Z644" s="123" t="s">
        <v>2558</v>
      </c>
      <c r="AA644" s="123">
        <v>270</v>
      </c>
      <c r="AB644" s="123">
        <v>10</v>
      </c>
      <c r="AC644" s="123">
        <v>63.723640000000003</v>
      </c>
      <c r="AD644" s="123">
        <v>148.89089999999999</v>
      </c>
      <c r="AH644" s="123">
        <v>0</v>
      </c>
      <c r="AI644" s="123">
        <v>0</v>
      </c>
      <c r="AJ644" s="123">
        <v>0</v>
      </c>
      <c r="AK644" s="123">
        <v>0</v>
      </c>
      <c r="AL644" s="123">
        <v>4</v>
      </c>
      <c r="AN644" s="123">
        <f t="shared" si="11"/>
        <v>4</v>
      </c>
      <c r="AO644" s="123" t="s">
        <v>188</v>
      </c>
    </row>
    <row r="645" spans="1:42" x14ac:dyDescent="0.2">
      <c r="A645" s="123" t="s">
        <v>2546</v>
      </c>
      <c r="B645" s="123" t="s">
        <v>2547</v>
      </c>
      <c r="C645" s="123">
        <v>2</v>
      </c>
      <c r="D645" s="123">
        <v>1</v>
      </c>
      <c r="E645" s="123" t="s">
        <v>324</v>
      </c>
      <c r="F645" s="125">
        <v>43550</v>
      </c>
      <c r="G645" s="125" t="s">
        <v>4026</v>
      </c>
      <c r="H645" s="125" t="s">
        <v>4752</v>
      </c>
      <c r="I645" s="171">
        <v>2.4305555555555556E-2</v>
      </c>
      <c r="J645" s="173">
        <v>4.0509259259259258E-4</v>
      </c>
      <c r="K645" s="129">
        <v>35</v>
      </c>
      <c r="L645" s="127" t="s">
        <v>640</v>
      </c>
      <c r="M645" s="123" t="s">
        <v>325</v>
      </c>
      <c r="N645" s="123" t="s">
        <v>156</v>
      </c>
      <c r="O645" s="123" t="s">
        <v>12</v>
      </c>
      <c r="P645" s="123">
        <v>0</v>
      </c>
      <c r="Q645" s="123">
        <v>0</v>
      </c>
      <c r="R645" s="123">
        <v>2</v>
      </c>
      <c r="S645" s="123" t="s">
        <v>24</v>
      </c>
      <c r="T645" s="123" t="s">
        <v>24</v>
      </c>
      <c r="U645" s="123" t="s">
        <v>24</v>
      </c>
      <c r="V645" s="123" t="s">
        <v>1027</v>
      </c>
      <c r="W645" s="127" t="s">
        <v>12</v>
      </c>
      <c r="X645" s="127" t="s">
        <v>3997</v>
      </c>
      <c r="Y645" s="127" t="s">
        <v>4005</v>
      </c>
      <c r="Z645" s="123" t="s">
        <v>24</v>
      </c>
      <c r="AA645" s="123" t="s">
        <v>24</v>
      </c>
      <c r="AB645" s="123" t="s">
        <v>24</v>
      </c>
      <c r="AC645" s="123" t="s">
        <v>24</v>
      </c>
      <c r="AD645" s="123" t="s">
        <v>24</v>
      </c>
      <c r="AH645" s="123">
        <v>0</v>
      </c>
      <c r="AI645" s="123">
        <v>0</v>
      </c>
      <c r="AJ645" s="123">
        <v>0</v>
      </c>
      <c r="AK645" s="123">
        <v>0</v>
      </c>
      <c r="AL645" s="123">
        <v>0</v>
      </c>
      <c r="AN645" s="123">
        <f t="shared" si="11"/>
        <v>0</v>
      </c>
      <c r="AP645" s="123" t="s">
        <v>2548</v>
      </c>
    </row>
    <row r="646" spans="1:42" x14ac:dyDescent="0.2">
      <c r="A646" s="123" t="s">
        <v>2570</v>
      </c>
      <c r="B646" s="123" t="s">
        <v>2571</v>
      </c>
      <c r="C646" s="123">
        <v>11</v>
      </c>
      <c r="D646" s="123">
        <v>1</v>
      </c>
      <c r="E646" s="123" t="s">
        <v>324</v>
      </c>
      <c r="F646" s="125">
        <v>43550</v>
      </c>
      <c r="G646" s="125" t="s">
        <v>4026</v>
      </c>
      <c r="H646" s="125" t="s">
        <v>4752</v>
      </c>
      <c r="I646" s="171">
        <v>1.0416666666666666E-2</v>
      </c>
      <c r="J646" s="173">
        <v>1.7361111111111112E-4</v>
      </c>
      <c r="K646" s="129">
        <v>15</v>
      </c>
      <c r="L646" s="127" t="s">
        <v>640</v>
      </c>
      <c r="M646" s="123" t="s">
        <v>325</v>
      </c>
      <c r="N646" s="123" t="s">
        <v>102</v>
      </c>
      <c r="O646" s="123" t="s">
        <v>115</v>
      </c>
      <c r="P646" s="123">
        <v>0</v>
      </c>
      <c r="Q646" s="123">
        <v>0</v>
      </c>
      <c r="R646" s="123">
        <v>0</v>
      </c>
      <c r="T646" s="123" t="s">
        <v>115</v>
      </c>
      <c r="U646" s="123" t="s">
        <v>115</v>
      </c>
      <c r="V646" s="123" t="s">
        <v>115</v>
      </c>
      <c r="Z646" s="123" t="s">
        <v>115</v>
      </c>
      <c r="AA646" s="123" t="s">
        <v>115</v>
      </c>
      <c r="AB646" s="123" t="s">
        <v>115</v>
      </c>
      <c r="AC646" s="123" t="s">
        <v>115</v>
      </c>
      <c r="AD646" s="123" t="s">
        <v>115</v>
      </c>
      <c r="AH646" s="123">
        <v>0</v>
      </c>
      <c r="AI646" s="123">
        <v>0</v>
      </c>
      <c r="AJ646" s="123">
        <v>0</v>
      </c>
      <c r="AK646" s="123">
        <v>0</v>
      </c>
      <c r="AL646" s="123">
        <v>15</v>
      </c>
      <c r="AN646" s="123">
        <f t="shared" si="11"/>
        <v>15</v>
      </c>
      <c r="AO646" s="123" t="s">
        <v>188</v>
      </c>
    </row>
    <row r="647" spans="1:42" x14ac:dyDescent="0.2">
      <c r="A647" s="123" t="s">
        <v>2572</v>
      </c>
      <c r="B647" s="123" t="s">
        <v>2573</v>
      </c>
      <c r="C647" s="123">
        <v>12</v>
      </c>
      <c r="D647" s="123">
        <v>1</v>
      </c>
      <c r="E647" s="123" t="s">
        <v>324</v>
      </c>
      <c r="F647" s="125">
        <v>43550</v>
      </c>
      <c r="G647" s="125" t="s">
        <v>4026</v>
      </c>
      <c r="H647" s="125" t="s">
        <v>4752</v>
      </c>
      <c r="I647" s="171">
        <v>3.4027777777777775E-2</v>
      </c>
      <c r="J647" s="173">
        <v>5.6712962962962956E-4</v>
      </c>
      <c r="K647" s="129">
        <v>49</v>
      </c>
      <c r="L647" s="127" t="s">
        <v>640</v>
      </c>
      <c r="M647" s="123" t="s">
        <v>325</v>
      </c>
      <c r="N647" s="123" t="s">
        <v>102</v>
      </c>
      <c r="O647" s="123" t="s">
        <v>115</v>
      </c>
      <c r="P647" s="123">
        <v>0</v>
      </c>
      <c r="Q647" s="123">
        <v>0</v>
      </c>
      <c r="R647" s="123">
        <v>0</v>
      </c>
      <c r="T647" s="123" t="s">
        <v>115</v>
      </c>
      <c r="U647" s="123" t="s">
        <v>115</v>
      </c>
      <c r="V647" s="123" t="s">
        <v>115</v>
      </c>
      <c r="Z647" s="123" t="s">
        <v>115</v>
      </c>
      <c r="AA647" s="123" t="s">
        <v>115</v>
      </c>
      <c r="AB647" s="123" t="s">
        <v>115</v>
      </c>
      <c r="AC647" s="123" t="s">
        <v>115</v>
      </c>
      <c r="AD647" s="123" t="s">
        <v>115</v>
      </c>
      <c r="AH647" s="123">
        <v>0</v>
      </c>
      <c r="AI647" s="123">
        <v>0</v>
      </c>
      <c r="AJ647" s="123">
        <v>0</v>
      </c>
      <c r="AK647" s="123">
        <v>0</v>
      </c>
      <c r="AL647" s="123">
        <v>37</v>
      </c>
      <c r="AN647" s="123">
        <f t="shared" si="11"/>
        <v>37</v>
      </c>
      <c r="AO647" s="123" t="s">
        <v>188</v>
      </c>
    </row>
    <row r="648" spans="1:42" x14ac:dyDescent="0.2">
      <c r="A648" s="123" t="s">
        <v>2566</v>
      </c>
      <c r="B648" s="123" t="s">
        <v>2567</v>
      </c>
      <c r="C648" s="123">
        <v>9</v>
      </c>
      <c r="D648" s="123">
        <v>1</v>
      </c>
      <c r="E648" s="123" t="s">
        <v>324</v>
      </c>
      <c r="F648" s="125">
        <v>43550</v>
      </c>
      <c r="G648" s="125" t="s">
        <v>4026</v>
      </c>
      <c r="H648" s="125" t="s">
        <v>4752</v>
      </c>
      <c r="I648" s="171">
        <v>1.5972222222222224E-2</v>
      </c>
      <c r="J648" s="173">
        <v>2.6620370370370372E-4</v>
      </c>
      <c r="K648" s="129">
        <v>23</v>
      </c>
      <c r="L648" s="127" t="s">
        <v>640</v>
      </c>
      <c r="M648" s="123" t="s">
        <v>325</v>
      </c>
      <c r="N648" s="123" t="s">
        <v>102</v>
      </c>
      <c r="O648" s="123" t="s">
        <v>115</v>
      </c>
      <c r="P648" s="123">
        <v>0</v>
      </c>
      <c r="Q648" s="123">
        <v>0</v>
      </c>
      <c r="R648" s="123">
        <v>0</v>
      </c>
      <c r="T648" s="123" t="s">
        <v>115</v>
      </c>
      <c r="U648" s="123" t="s">
        <v>115</v>
      </c>
      <c r="V648" s="123" t="s">
        <v>115</v>
      </c>
      <c r="Z648" s="123" t="s">
        <v>115</v>
      </c>
      <c r="AA648" s="123" t="s">
        <v>115</v>
      </c>
      <c r="AB648" s="123" t="s">
        <v>115</v>
      </c>
      <c r="AC648" s="123" t="s">
        <v>115</v>
      </c>
      <c r="AD648" s="123" t="s">
        <v>115</v>
      </c>
      <c r="AH648" s="123">
        <v>0</v>
      </c>
      <c r="AI648" s="123">
        <v>0</v>
      </c>
      <c r="AJ648" s="123">
        <v>0</v>
      </c>
      <c r="AK648" s="123">
        <v>0</v>
      </c>
      <c r="AL648" s="123">
        <v>18</v>
      </c>
      <c r="AN648" s="123">
        <f t="shared" si="11"/>
        <v>18</v>
      </c>
      <c r="AO648" s="123" t="s">
        <v>188</v>
      </c>
    </row>
    <row r="649" spans="1:42" x14ac:dyDescent="0.2">
      <c r="A649" s="123" t="s">
        <v>2673</v>
      </c>
      <c r="B649" s="123" t="s">
        <v>2674</v>
      </c>
      <c r="C649" s="123">
        <v>1</v>
      </c>
      <c r="D649" s="123">
        <v>1</v>
      </c>
      <c r="E649" s="123" t="s">
        <v>324</v>
      </c>
      <c r="F649" s="125">
        <v>43554</v>
      </c>
      <c r="G649" s="125" t="s">
        <v>4026</v>
      </c>
      <c r="H649" s="125" t="s">
        <v>4752</v>
      </c>
      <c r="I649" s="171">
        <v>1.3888888888888888E-2</v>
      </c>
      <c r="J649" s="173">
        <v>2.3148148148148146E-4</v>
      </c>
      <c r="K649" s="129">
        <v>20</v>
      </c>
      <c r="L649" s="123" t="s">
        <v>2028</v>
      </c>
      <c r="M649" s="123" t="s">
        <v>325</v>
      </c>
      <c r="N649" s="123" t="s">
        <v>107</v>
      </c>
      <c r="O649" s="123" t="s">
        <v>12</v>
      </c>
      <c r="P649" s="123">
        <v>1</v>
      </c>
      <c r="Q649" s="123" t="s">
        <v>24</v>
      </c>
      <c r="R649" s="123">
        <v>0</v>
      </c>
      <c r="S649" s="123" t="s">
        <v>176</v>
      </c>
      <c r="T649" s="123" t="s">
        <v>24</v>
      </c>
      <c r="U649" s="123" t="s">
        <v>2675</v>
      </c>
      <c r="V649" s="123" t="s">
        <v>115</v>
      </c>
      <c r="Z649" s="123" t="s">
        <v>115</v>
      </c>
      <c r="AA649" s="123" t="s">
        <v>115</v>
      </c>
      <c r="AB649" s="123" t="s">
        <v>115</v>
      </c>
      <c r="AC649" s="123" t="s">
        <v>115</v>
      </c>
      <c r="AD649" s="123" t="s">
        <v>115</v>
      </c>
      <c r="AE649" s="123" t="s">
        <v>115</v>
      </c>
      <c r="AF649" s="123" t="s">
        <v>115</v>
      </c>
      <c r="AH649" s="123">
        <v>0</v>
      </c>
      <c r="AI649" s="123">
        <v>0</v>
      </c>
      <c r="AJ649" s="123">
        <v>0</v>
      </c>
      <c r="AK649" s="123">
        <v>0</v>
      </c>
      <c r="AL649" s="123">
        <v>0</v>
      </c>
      <c r="AN649" s="123">
        <f t="shared" si="11"/>
        <v>0</v>
      </c>
      <c r="AO649" s="123" t="s">
        <v>188</v>
      </c>
      <c r="AP649" s="123" t="s">
        <v>2676</v>
      </c>
    </row>
    <row r="650" spans="1:42" x14ac:dyDescent="0.2">
      <c r="A650" s="123" t="s">
        <v>2692</v>
      </c>
      <c r="B650" s="123" t="s">
        <v>2693</v>
      </c>
      <c r="C650" s="123">
        <v>8</v>
      </c>
      <c r="D650" s="123">
        <v>1</v>
      </c>
      <c r="E650" s="123" t="s">
        <v>324</v>
      </c>
      <c r="F650" s="125">
        <v>43554</v>
      </c>
      <c r="G650" s="125" t="s">
        <v>4026</v>
      </c>
      <c r="H650" s="125" t="s">
        <v>4752</v>
      </c>
      <c r="I650" s="171">
        <v>2.4305555555555556E-2</v>
      </c>
      <c r="J650" s="173">
        <v>4.0509259259259258E-4</v>
      </c>
      <c r="K650" s="129">
        <v>35</v>
      </c>
      <c r="M650" s="123" t="s">
        <v>325</v>
      </c>
      <c r="N650" s="123" t="s">
        <v>107</v>
      </c>
      <c r="O650" s="123" t="s">
        <v>12</v>
      </c>
      <c r="P650" s="123">
        <v>1</v>
      </c>
      <c r="Q650" s="123" t="s">
        <v>24</v>
      </c>
      <c r="R650" s="123">
        <v>0</v>
      </c>
      <c r="S650" s="123" t="s">
        <v>176</v>
      </c>
      <c r="T650" s="123" t="s">
        <v>2696</v>
      </c>
      <c r="U650" s="123" t="s">
        <v>2694</v>
      </c>
      <c r="V650" s="123" t="s">
        <v>115</v>
      </c>
      <c r="Z650" s="123" t="s">
        <v>115</v>
      </c>
      <c r="AA650" s="123" t="s">
        <v>115</v>
      </c>
      <c r="AB650" s="123" t="s">
        <v>115</v>
      </c>
      <c r="AC650" s="123" t="s">
        <v>115</v>
      </c>
      <c r="AD650" s="123" t="s">
        <v>115</v>
      </c>
      <c r="AE650" s="123">
        <v>63.722999999999999</v>
      </c>
      <c r="AF650" s="123">
        <v>148.88878</v>
      </c>
      <c r="AH650" s="123">
        <v>0</v>
      </c>
      <c r="AI650" s="123">
        <v>0</v>
      </c>
      <c r="AJ650" s="123">
        <v>0</v>
      </c>
      <c r="AK650" s="123">
        <v>0</v>
      </c>
      <c r="AL650" s="123">
        <v>0</v>
      </c>
      <c r="AN650" s="123">
        <f t="shared" si="11"/>
        <v>0</v>
      </c>
      <c r="AP650" s="123" t="s">
        <v>2695</v>
      </c>
    </row>
    <row r="651" spans="1:42" x14ac:dyDescent="0.2">
      <c r="A651" s="123" t="s">
        <v>2703</v>
      </c>
      <c r="B651" s="123" t="s">
        <v>2704</v>
      </c>
      <c r="C651" s="123">
        <v>11</v>
      </c>
      <c r="D651" s="123">
        <v>1</v>
      </c>
      <c r="E651" s="123" t="s">
        <v>324</v>
      </c>
      <c r="F651" s="125">
        <v>43554</v>
      </c>
      <c r="G651" s="125" t="s">
        <v>4026</v>
      </c>
      <c r="H651" s="125" t="s">
        <v>4752</v>
      </c>
      <c r="I651" s="171">
        <v>3.8194444444444441E-2</v>
      </c>
      <c r="J651" s="173">
        <v>6.3657407407407402E-4</v>
      </c>
      <c r="K651" s="129">
        <v>55</v>
      </c>
      <c r="M651" s="123" t="s">
        <v>325</v>
      </c>
      <c r="N651" s="123" t="s">
        <v>102</v>
      </c>
      <c r="O651" s="123" t="s">
        <v>115</v>
      </c>
      <c r="P651" s="123">
        <v>1</v>
      </c>
      <c r="Q651" s="123">
        <v>0</v>
      </c>
      <c r="R651" s="123">
        <v>0</v>
      </c>
      <c r="S651" s="123" t="s">
        <v>176</v>
      </c>
      <c r="T651" s="123" t="s">
        <v>24</v>
      </c>
      <c r="U651" s="123" t="s">
        <v>122</v>
      </c>
      <c r="V651" s="123" t="s">
        <v>115</v>
      </c>
      <c r="Z651" s="123" t="s">
        <v>115</v>
      </c>
      <c r="AA651" s="123" t="s">
        <v>115</v>
      </c>
      <c r="AB651" s="123" t="s">
        <v>115</v>
      </c>
      <c r="AC651" s="123" t="s">
        <v>115</v>
      </c>
      <c r="AD651" s="123" t="s">
        <v>115</v>
      </c>
      <c r="AE651" s="123" t="s">
        <v>115</v>
      </c>
      <c r="AF651" s="123" t="s">
        <v>115</v>
      </c>
      <c r="AH651" s="123">
        <v>0</v>
      </c>
      <c r="AI651" s="123">
        <v>0</v>
      </c>
      <c r="AJ651" s="123">
        <v>0</v>
      </c>
      <c r="AK651" s="123">
        <v>0</v>
      </c>
      <c r="AL651" s="123">
        <v>53</v>
      </c>
      <c r="AN651" s="123">
        <f t="shared" si="11"/>
        <v>53</v>
      </c>
      <c r="AO651" s="123" t="s">
        <v>188</v>
      </c>
    </row>
    <row r="652" spans="1:42" x14ac:dyDescent="0.2">
      <c r="A652" s="123" t="s">
        <v>2715</v>
      </c>
      <c r="B652" s="123" t="s">
        <v>2716</v>
      </c>
      <c r="C652" s="123">
        <v>17</v>
      </c>
      <c r="D652" s="123">
        <v>1</v>
      </c>
      <c r="E652" s="123" t="s">
        <v>324</v>
      </c>
      <c r="F652" s="125">
        <v>43554</v>
      </c>
      <c r="G652" s="125" t="s">
        <v>4026</v>
      </c>
      <c r="H652" s="125" t="s">
        <v>4752</v>
      </c>
      <c r="I652" s="171">
        <v>1.3888888888888888E-2</v>
      </c>
      <c r="J652" s="173">
        <v>2.3148148148148146E-4</v>
      </c>
      <c r="K652" s="129">
        <v>20</v>
      </c>
      <c r="M652" s="123" t="s">
        <v>325</v>
      </c>
      <c r="N652" s="123" t="s">
        <v>102</v>
      </c>
      <c r="O652" s="123" t="s">
        <v>115</v>
      </c>
      <c r="P652" s="123">
        <v>1</v>
      </c>
      <c r="Q652" s="123">
        <v>0</v>
      </c>
      <c r="R652" s="123">
        <v>0</v>
      </c>
      <c r="S652" s="123" t="s">
        <v>176</v>
      </c>
      <c r="T652" s="123" t="s">
        <v>24</v>
      </c>
      <c r="U652" s="123" t="s">
        <v>122</v>
      </c>
      <c r="V652" s="123" t="s">
        <v>115</v>
      </c>
      <c r="Z652" s="123" t="s">
        <v>115</v>
      </c>
      <c r="AA652" s="123" t="s">
        <v>115</v>
      </c>
      <c r="AB652" s="123" t="s">
        <v>115</v>
      </c>
      <c r="AC652" s="123" t="s">
        <v>115</v>
      </c>
      <c r="AD652" s="123" t="s">
        <v>115</v>
      </c>
      <c r="AE652" s="123" t="s">
        <v>115</v>
      </c>
      <c r="AF652" s="123" t="s">
        <v>115</v>
      </c>
      <c r="AH652" s="123">
        <v>0</v>
      </c>
      <c r="AI652" s="123">
        <v>0</v>
      </c>
      <c r="AJ652" s="123">
        <v>0</v>
      </c>
      <c r="AK652" s="123">
        <v>0</v>
      </c>
      <c r="AL652" s="123">
        <v>17</v>
      </c>
      <c r="AN652" s="123">
        <f t="shared" si="11"/>
        <v>17</v>
      </c>
      <c r="AO652" s="123" t="s">
        <v>188</v>
      </c>
    </row>
    <row r="653" spans="1:42" x14ac:dyDescent="0.2">
      <c r="A653" s="123" t="s">
        <v>2717</v>
      </c>
      <c r="B653" s="123" t="s">
        <v>2718</v>
      </c>
      <c r="C653" s="123">
        <v>18</v>
      </c>
      <c r="D653" s="123">
        <v>1</v>
      </c>
      <c r="E653" s="123" t="s">
        <v>324</v>
      </c>
      <c r="F653" s="125">
        <v>43554</v>
      </c>
      <c r="G653" s="125" t="s">
        <v>4026</v>
      </c>
      <c r="H653" s="125" t="s">
        <v>4752</v>
      </c>
      <c r="I653" s="171">
        <v>3.1944444444444449E-2</v>
      </c>
      <c r="J653" s="173">
        <v>5.3240740740740744E-4</v>
      </c>
      <c r="K653" s="129">
        <v>46</v>
      </c>
      <c r="M653" s="123" t="s">
        <v>325</v>
      </c>
      <c r="N653" s="123" t="s">
        <v>102</v>
      </c>
      <c r="O653" s="123" t="s">
        <v>115</v>
      </c>
      <c r="P653" s="123">
        <v>1</v>
      </c>
      <c r="Q653" s="123">
        <v>0</v>
      </c>
      <c r="R653" s="123">
        <v>0</v>
      </c>
      <c r="S653" s="123" t="s">
        <v>176</v>
      </c>
      <c r="T653" s="123" t="s">
        <v>24</v>
      </c>
      <c r="U653" s="123" t="s">
        <v>122</v>
      </c>
      <c r="V653" s="123" t="s">
        <v>115</v>
      </c>
      <c r="Z653" s="123" t="s">
        <v>115</v>
      </c>
      <c r="AA653" s="123" t="s">
        <v>115</v>
      </c>
      <c r="AB653" s="123" t="s">
        <v>115</v>
      </c>
      <c r="AC653" s="123" t="s">
        <v>115</v>
      </c>
      <c r="AD653" s="123" t="s">
        <v>115</v>
      </c>
      <c r="AE653" s="123" t="s">
        <v>115</v>
      </c>
      <c r="AF653" s="123" t="s">
        <v>115</v>
      </c>
      <c r="AH653" s="123">
        <v>0</v>
      </c>
      <c r="AI653" s="123">
        <v>0</v>
      </c>
      <c r="AJ653" s="123">
        <v>0</v>
      </c>
      <c r="AK653" s="123">
        <v>0</v>
      </c>
      <c r="AL653" s="123">
        <v>30</v>
      </c>
      <c r="AN653" s="123">
        <f t="shared" si="11"/>
        <v>30</v>
      </c>
      <c r="AO653" s="123" t="s">
        <v>188</v>
      </c>
    </row>
    <row r="654" spans="1:42" x14ac:dyDescent="0.2">
      <c r="A654" s="123" t="s">
        <v>2683</v>
      </c>
      <c r="B654" s="123" t="s">
        <v>2684</v>
      </c>
      <c r="C654" s="123">
        <v>5</v>
      </c>
      <c r="D654" s="123">
        <v>1</v>
      </c>
      <c r="E654" s="123" t="s">
        <v>324</v>
      </c>
      <c r="F654" s="125">
        <v>43554</v>
      </c>
      <c r="G654" s="125" t="s">
        <v>4026</v>
      </c>
      <c r="H654" s="125" t="s">
        <v>4752</v>
      </c>
      <c r="I654" s="171">
        <v>2.1527777777777781E-2</v>
      </c>
      <c r="J654" s="173">
        <v>3.5879629629629635E-4</v>
      </c>
      <c r="K654" s="129">
        <v>31</v>
      </c>
      <c r="M654" s="123" t="s">
        <v>325</v>
      </c>
      <c r="N654" s="123" t="s">
        <v>102</v>
      </c>
      <c r="O654" s="123" t="s">
        <v>23</v>
      </c>
      <c r="P654" s="123">
        <v>1</v>
      </c>
      <c r="Q654" s="123" t="s">
        <v>24</v>
      </c>
      <c r="R654" s="123">
        <v>0</v>
      </c>
      <c r="S654" s="123" t="s">
        <v>176</v>
      </c>
      <c r="T654" s="123" t="s">
        <v>24</v>
      </c>
      <c r="U654" s="123" t="s">
        <v>2685</v>
      </c>
      <c r="V654" s="123" t="s">
        <v>115</v>
      </c>
      <c r="Z654" s="123" t="s">
        <v>115</v>
      </c>
      <c r="AA654" s="123" t="s">
        <v>115</v>
      </c>
      <c r="AB654" s="123" t="s">
        <v>115</v>
      </c>
      <c r="AC654" s="123" t="s">
        <v>115</v>
      </c>
      <c r="AD654" s="123" t="s">
        <v>115</v>
      </c>
      <c r="AE654" s="123" t="s">
        <v>115</v>
      </c>
      <c r="AF654" s="123" t="s">
        <v>115</v>
      </c>
      <c r="AH654" s="123">
        <v>0</v>
      </c>
      <c r="AI654" s="123">
        <v>6</v>
      </c>
      <c r="AJ654" s="123">
        <v>6</v>
      </c>
      <c r="AK654" s="123">
        <v>0</v>
      </c>
      <c r="AL654" s="123">
        <v>0</v>
      </c>
      <c r="AN654" s="123">
        <f t="shared" si="11"/>
        <v>6</v>
      </c>
      <c r="AO654" s="123" t="s">
        <v>188</v>
      </c>
    </row>
    <row r="655" spans="1:42" x14ac:dyDescent="0.2">
      <c r="A655" s="123" t="s">
        <v>2677</v>
      </c>
      <c r="B655" s="123" t="s">
        <v>2678</v>
      </c>
      <c r="C655" s="123">
        <v>2</v>
      </c>
      <c r="D655" s="123">
        <v>1</v>
      </c>
      <c r="E655" s="123" t="s">
        <v>324</v>
      </c>
      <c r="F655" s="125">
        <v>43554</v>
      </c>
      <c r="G655" s="125" t="s">
        <v>4026</v>
      </c>
      <c r="H655" s="125" t="s">
        <v>4752</v>
      </c>
      <c r="I655" s="171">
        <v>1.9444444444444445E-2</v>
      </c>
      <c r="J655" s="173">
        <v>3.2407407407407406E-4</v>
      </c>
      <c r="K655" s="129">
        <v>28</v>
      </c>
      <c r="M655" s="123" t="s">
        <v>325</v>
      </c>
      <c r="N655" s="123" t="s">
        <v>102</v>
      </c>
      <c r="O655" s="123" t="s">
        <v>23</v>
      </c>
      <c r="P655" s="123">
        <v>1</v>
      </c>
      <c r="Q655" s="123" t="s">
        <v>24</v>
      </c>
      <c r="R655" s="123">
        <v>0</v>
      </c>
      <c r="S655" s="123" t="s">
        <v>176</v>
      </c>
      <c r="T655" s="123" t="s">
        <v>24</v>
      </c>
      <c r="U655" s="123" t="s">
        <v>263</v>
      </c>
      <c r="V655" s="123" t="s">
        <v>115</v>
      </c>
      <c r="Z655" s="123" t="s">
        <v>115</v>
      </c>
      <c r="AA655" s="123" t="s">
        <v>115</v>
      </c>
      <c r="AB655" s="123" t="s">
        <v>115</v>
      </c>
      <c r="AC655" s="123" t="s">
        <v>115</v>
      </c>
      <c r="AD655" s="123" t="s">
        <v>115</v>
      </c>
      <c r="AE655" s="123" t="s">
        <v>115</v>
      </c>
      <c r="AF655" s="123" t="s">
        <v>115</v>
      </c>
      <c r="AH655" s="123">
        <v>19</v>
      </c>
      <c r="AI655" s="123">
        <v>0</v>
      </c>
      <c r="AJ655" s="123">
        <v>19</v>
      </c>
      <c r="AK655" s="123">
        <v>0</v>
      </c>
      <c r="AL655" s="123">
        <v>0</v>
      </c>
      <c r="AN655" s="123">
        <f t="shared" si="11"/>
        <v>19</v>
      </c>
      <c r="AO655" s="123" t="s">
        <v>188</v>
      </c>
    </row>
    <row r="656" spans="1:42" x14ac:dyDescent="0.2">
      <c r="A656" s="123" t="s">
        <v>2689</v>
      </c>
      <c r="B656" s="123" t="s">
        <v>2690</v>
      </c>
      <c r="C656" s="123">
        <v>7</v>
      </c>
      <c r="D656" s="123">
        <v>1</v>
      </c>
      <c r="E656" s="123" t="s">
        <v>324</v>
      </c>
      <c r="F656" s="125">
        <v>43554</v>
      </c>
      <c r="G656" s="125" t="s">
        <v>4026</v>
      </c>
      <c r="H656" s="125" t="s">
        <v>4752</v>
      </c>
      <c r="I656" s="171">
        <v>4.1666666666666666E-3</v>
      </c>
      <c r="J656" s="173">
        <v>6.9444444444444444E-5</v>
      </c>
      <c r="K656" s="129">
        <v>6</v>
      </c>
      <c r="M656" s="123" t="s">
        <v>325</v>
      </c>
      <c r="N656" s="123" t="s">
        <v>107</v>
      </c>
      <c r="O656" s="123" t="s">
        <v>12</v>
      </c>
      <c r="P656" s="123">
        <v>1</v>
      </c>
      <c r="Q656" s="123">
        <v>0</v>
      </c>
      <c r="R656" s="123">
        <v>0</v>
      </c>
      <c r="S656" s="123" t="s">
        <v>176</v>
      </c>
      <c r="T656" s="123" t="s">
        <v>24</v>
      </c>
      <c r="U656" s="123" t="s">
        <v>24</v>
      </c>
      <c r="V656" s="123" t="s">
        <v>115</v>
      </c>
      <c r="Z656" s="123" t="s">
        <v>115</v>
      </c>
      <c r="AA656" s="123" t="s">
        <v>115</v>
      </c>
      <c r="AB656" s="123" t="s">
        <v>115</v>
      </c>
      <c r="AC656" s="123" t="s">
        <v>115</v>
      </c>
      <c r="AD656" s="123" t="s">
        <v>115</v>
      </c>
      <c r="AE656" s="123" t="s">
        <v>115</v>
      </c>
      <c r="AF656" s="123" t="s">
        <v>115</v>
      </c>
      <c r="AH656" s="123">
        <v>0</v>
      </c>
      <c r="AI656" s="123">
        <v>0</v>
      </c>
      <c r="AJ656" s="123">
        <v>0</v>
      </c>
      <c r="AK656" s="123">
        <v>0</v>
      </c>
      <c r="AL656" s="123">
        <v>0</v>
      </c>
      <c r="AN656" s="123">
        <f t="shared" si="11"/>
        <v>0</v>
      </c>
      <c r="AP656" s="123" t="s">
        <v>2691</v>
      </c>
    </row>
    <row r="657" spans="1:42" x14ac:dyDescent="0.2">
      <c r="A657" s="123" t="s">
        <v>2725</v>
      </c>
      <c r="B657" s="123" t="s">
        <v>2726</v>
      </c>
      <c r="C657" s="123">
        <v>22</v>
      </c>
      <c r="D657" s="123">
        <v>1</v>
      </c>
      <c r="E657" s="123" t="s">
        <v>324</v>
      </c>
      <c r="F657" s="125">
        <v>43554</v>
      </c>
      <c r="G657" s="125" t="s">
        <v>4026</v>
      </c>
      <c r="H657" s="125" t="s">
        <v>4752</v>
      </c>
      <c r="I657" s="171">
        <v>2.7777777777777776E-2</v>
      </c>
      <c r="J657" s="173">
        <v>4.6296296296296293E-4</v>
      </c>
      <c r="K657" s="129">
        <v>40</v>
      </c>
      <c r="M657" s="123" t="s">
        <v>325</v>
      </c>
      <c r="N657" s="123" t="s">
        <v>102</v>
      </c>
      <c r="O657" s="123" t="s">
        <v>115</v>
      </c>
      <c r="P657" s="123">
        <v>2</v>
      </c>
      <c r="Q657" s="123">
        <v>0</v>
      </c>
      <c r="R657" s="123">
        <v>0</v>
      </c>
      <c r="S657" s="123" t="s">
        <v>176</v>
      </c>
      <c r="T657" s="127" t="s">
        <v>4786</v>
      </c>
      <c r="U657" s="127" t="s">
        <v>122</v>
      </c>
      <c r="V657" s="127" t="s">
        <v>115</v>
      </c>
      <c r="W657" s="127"/>
      <c r="X657" s="127"/>
      <c r="Y657" s="127"/>
      <c r="Z657" s="127" t="s">
        <v>115</v>
      </c>
      <c r="AA657" s="127" t="s">
        <v>115</v>
      </c>
      <c r="AB657" s="127" t="s">
        <v>115</v>
      </c>
      <c r="AC657" s="127" t="s">
        <v>115</v>
      </c>
      <c r="AD657" s="127" t="s">
        <v>115</v>
      </c>
      <c r="AE657" s="127" t="s">
        <v>115</v>
      </c>
      <c r="AF657" s="127" t="s">
        <v>115</v>
      </c>
      <c r="AG657" s="127"/>
      <c r="AH657" s="123">
        <v>0</v>
      </c>
      <c r="AI657" s="123">
        <v>0</v>
      </c>
      <c r="AJ657" s="123">
        <v>0</v>
      </c>
      <c r="AK657" s="123">
        <v>0</v>
      </c>
      <c r="AL657" s="123">
        <v>38</v>
      </c>
      <c r="AN657" s="123">
        <f t="shared" si="11"/>
        <v>38</v>
      </c>
      <c r="AO657" s="123" t="s">
        <v>188</v>
      </c>
    </row>
    <row r="658" spans="1:42" x14ac:dyDescent="0.2">
      <c r="A658" s="123" t="s">
        <v>2683</v>
      </c>
      <c r="B658" s="123" t="s">
        <v>2684</v>
      </c>
      <c r="C658" s="123">
        <v>5</v>
      </c>
      <c r="D658" s="123">
        <v>2</v>
      </c>
      <c r="E658" s="123" t="s">
        <v>324</v>
      </c>
      <c r="F658" s="125">
        <v>43554</v>
      </c>
      <c r="G658" s="125" t="s">
        <v>4026</v>
      </c>
      <c r="H658" s="125" t="s">
        <v>4752</v>
      </c>
      <c r="I658" s="171">
        <v>2.1527777777777781E-2</v>
      </c>
      <c r="J658" s="173">
        <v>3.5879629629629635E-4</v>
      </c>
      <c r="K658" s="129">
        <v>31</v>
      </c>
      <c r="M658" s="123" t="s">
        <v>325</v>
      </c>
      <c r="N658" s="123" t="s">
        <v>102</v>
      </c>
      <c r="O658" s="123" t="s">
        <v>23</v>
      </c>
      <c r="P658" s="123">
        <v>1</v>
      </c>
      <c r="Q658" s="123">
        <v>0</v>
      </c>
      <c r="R658" s="123">
        <v>0</v>
      </c>
      <c r="S658" s="123" t="s">
        <v>3955</v>
      </c>
      <c r="T658" s="123" t="s">
        <v>1531</v>
      </c>
      <c r="U658" s="123" t="s">
        <v>1035</v>
      </c>
      <c r="V658" s="123" t="s">
        <v>115</v>
      </c>
      <c r="Z658" s="123" t="s">
        <v>115</v>
      </c>
      <c r="AA658" s="123" t="s">
        <v>115</v>
      </c>
      <c r="AB658" s="123" t="s">
        <v>115</v>
      </c>
      <c r="AC658" s="123" t="s">
        <v>115</v>
      </c>
      <c r="AD658" s="123" t="s">
        <v>115</v>
      </c>
      <c r="AE658" s="123" t="s">
        <v>115</v>
      </c>
      <c r="AF658" s="123" t="s">
        <v>115</v>
      </c>
      <c r="AH658" s="123">
        <v>0</v>
      </c>
      <c r="AI658" s="123">
        <v>25</v>
      </c>
      <c r="AJ658" s="123">
        <v>0</v>
      </c>
      <c r="AK658" s="123">
        <v>25</v>
      </c>
      <c r="AL658" s="123">
        <v>0</v>
      </c>
      <c r="AN658" s="123">
        <f t="shared" si="11"/>
        <v>25</v>
      </c>
      <c r="AO658" s="123" t="s">
        <v>188</v>
      </c>
      <c r="AP658" s="123" t="s">
        <v>2686</v>
      </c>
    </row>
    <row r="659" spans="1:42" x14ac:dyDescent="0.2">
      <c r="A659" s="123" t="s">
        <v>2697</v>
      </c>
      <c r="B659" s="123" t="s">
        <v>2698</v>
      </c>
      <c r="C659" s="123">
        <v>9</v>
      </c>
      <c r="D659" s="123">
        <v>1</v>
      </c>
      <c r="E659" s="123" t="s">
        <v>324</v>
      </c>
      <c r="F659" s="125">
        <v>43554</v>
      </c>
      <c r="G659" s="125" t="s">
        <v>4026</v>
      </c>
      <c r="H659" s="125" t="s">
        <v>4752</v>
      </c>
      <c r="I659" s="171">
        <v>1.9444444444444445E-2</v>
      </c>
      <c r="J659" s="173">
        <v>3.2407407407407406E-4</v>
      </c>
      <c r="K659" s="129">
        <v>28</v>
      </c>
      <c r="M659" s="123" t="s">
        <v>325</v>
      </c>
      <c r="N659" s="123" t="s">
        <v>102</v>
      </c>
      <c r="O659" s="123" t="s">
        <v>23</v>
      </c>
      <c r="P659" s="123">
        <v>1</v>
      </c>
      <c r="Q659" s="123">
        <v>0</v>
      </c>
      <c r="R659" s="123">
        <v>0</v>
      </c>
      <c r="S659" s="123" t="s">
        <v>598</v>
      </c>
      <c r="T659" s="123" t="s">
        <v>2699</v>
      </c>
      <c r="U659" s="123" t="s">
        <v>2700</v>
      </c>
      <c r="V659" s="123" t="s">
        <v>115</v>
      </c>
      <c r="Z659" s="123" t="s">
        <v>115</v>
      </c>
      <c r="AA659" s="123" t="s">
        <v>115</v>
      </c>
      <c r="AB659" s="123" t="s">
        <v>115</v>
      </c>
      <c r="AC659" s="123" t="s">
        <v>115</v>
      </c>
      <c r="AD659" s="123" t="s">
        <v>115</v>
      </c>
      <c r="AE659" s="123" t="s">
        <v>115</v>
      </c>
      <c r="AF659" s="123" t="s">
        <v>115</v>
      </c>
      <c r="AH659" s="123">
        <v>4</v>
      </c>
      <c r="AI659" s="123">
        <v>0</v>
      </c>
      <c r="AJ659" s="123">
        <v>0</v>
      </c>
      <c r="AK659" s="123">
        <v>4</v>
      </c>
      <c r="AL659" s="123">
        <v>0</v>
      </c>
      <c r="AN659" s="123">
        <f t="shared" si="11"/>
        <v>4</v>
      </c>
      <c r="AO659" s="123" t="s">
        <v>188</v>
      </c>
      <c r="AP659" s="123" t="s">
        <v>4787</v>
      </c>
    </row>
    <row r="660" spans="1:42" x14ac:dyDescent="0.2">
      <c r="A660" s="123" t="s">
        <v>2701</v>
      </c>
      <c r="B660" s="123" t="s">
        <v>2702</v>
      </c>
      <c r="C660" s="123">
        <v>10</v>
      </c>
      <c r="D660" s="123">
        <v>1</v>
      </c>
      <c r="E660" s="123" t="s">
        <v>324</v>
      </c>
      <c r="F660" s="125">
        <v>43554</v>
      </c>
      <c r="G660" s="125" t="s">
        <v>4026</v>
      </c>
      <c r="H660" s="125" t="s">
        <v>4752</v>
      </c>
      <c r="I660" s="171">
        <v>1.5277777777777777E-2</v>
      </c>
      <c r="J660" s="173">
        <v>2.5462962962962961E-4</v>
      </c>
      <c r="K660" s="129">
        <v>22</v>
      </c>
      <c r="M660" s="123" t="s">
        <v>325</v>
      </c>
      <c r="N660" s="123" t="s">
        <v>102</v>
      </c>
      <c r="O660" s="123" t="s">
        <v>12</v>
      </c>
      <c r="P660" s="123">
        <v>0</v>
      </c>
      <c r="Q660" s="123">
        <v>0</v>
      </c>
      <c r="R660" s="123">
        <v>0</v>
      </c>
      <c r="T660" s="123" t="s">
        <v>115</v>
      </c>
      <c r="U660" s="123" t="s">
        <v>115</v>
      </c>
      <c r="V660" s="123" t="s">
        <v>115</v>
      </c>
      <c r="Z660" s="123" t="s">
        <v>115</v>
      </c>
      <c r="AA660" s="123" t="s">
        <v>115</v>
      </c>
      <c r="AB660" s="123" t="s">
        <v>115</v>
      </c>
      <c r="AC660" s="123" t="s">
        <v>115</v>
      </c>
      <c r="AD660" s="123" t="s">
        <v>115</v>
      </c>
      <c r="AE660" s="123" t="s">
        <v>115</v>
      </c>
      <c r="AF660" s="123" t="s">
        <v>115</v>
      </c>
      <c r="AH660" s="123">
        <v>15</v>
      </c>
      <c r="AI660" s="123">
        <v>0</v>
      </c>
      <c r="AJ660" s="123">
        <v>0</v>
      </c>
      <c r="AK660" s="123">
        <v>15</v>
      </c>
      <c r="AL660" s="123">
        <v>0</v>
      </c>
      <c r="AN660" s="123">
        <f t="shared" si="11"/>
        <v>15</v>
      </c>
      <c r="AO660" s="123" t="s">
        <v>188</v>
      </c>
    </row>
    <row r="661" spans="1:42" x14ac:dyDescent="0.2">
      <c r="A661" s="123" t="s">
        <v>2709</v>
      </c>
      <c r="B661" s="123" t="s">
        <v>2707</v>
      </c>
      <c r="C661" s="123">
        <v>13</v>
      </c>
      <c r="D661" s="123">
        <v>1</v>
      </c>
      <c r="E661" s="123" t="s">
        <v>324</v>
      </c>
      <c r="F661" s="125">
        <v>43554</v>
      </c>
      <c r="G661" s="125" t="s">
        <v>4026</v>
      </c>
      <c r="H661" s="125" t="s">
        <v>4752</v>
      </c>
      <c r="I661" s="171">
        <v>2.4305555555555556E-2</v>
      </c>
      <c r="J661" s="173">
        <v>4.0509259259259258E-4</v>
      </c>
      <c r="K661" s="129">
        <v>35</v>
      </c>
      <c r="M661" s="123" t="s">
        <v>325</v>
      </c>
      <c r="N661" s="123" t="s">
        <v>102</v>
      </c>
      <c r="O661" s="123" t="s">
        <v>115</v>
      </c>
      <c r="P661" s="123">
        <v>0</v>
      </c>
      <c r="Q661" s="123">
        <v>0</v>
      </c>
      <c r="R661" s="123">
        <v>0</v>
      </c>
      <c r="T661" s="123" t="s">
        <v>115</v>
      </c>
      <c r="U661" s="123" t="s">
        <v>115</v>
      </c>
      <c r="V661" s="123" t="s">
        <v>115</v>
      </c>
      <c r="Z661" s="123" t="s">
        <v>115</v>
      </c>
      <c r="AA661" s="123" t="s">
        <v>115</v>
      </c>
      <c r="AB661" s="123" t="s">
        <v>115</v>
      </c>
      <c r="AC661" s="123" t="s">
        <v>115</v>
      </c>
      <c r="AD661" s="123" t="s">
        <v>115</v>
      </c>
      <c r="AE661" s="123" t="s">
        <v>115</v>
      </c>
      <c r="AF661" s="123" t="s">
        <v>115</v>
      </c>
      <c r="AH661" s="123">
        <v>0</v>
      </c>
      <c r="AI661" s="123">
        <v>0</v>
      </c>
      <c r="AJ661" s="123">
        <v>0</v>
      </c>
      <c r="AK661" s="123">
        <v>0</v>
      </c>
      <c r="AL661" s="123">
        <v>35</v>
      </c>
      <c r="AN661" s="123">
        <f t="shared" si="11"/>
        <v>35</v>
      </c>
      <c r="AO661" s="123" t="s">
        <v>188</v>
      </c>
    </row>
    <row r="662" spans="1:42" x14ac:dyDescent="0.2">
      <c r="A662" s="123" t="s">
        <v>2708</v>
      </c>
      <c r="B662" s="123" t="s">
        <v>2710</v>
      </c>
      <c r="C662" s="123">
        <v>14</v>
      </c>
      <c r="D662" s="123">
        <v>1</v>
      </c>
      <c r="E662" s="123" t="s">
        <v>324</v>
      </c>
      <c r="F662" s="125">
        <v>43554</v>
      </c>
      <c r="G662" s="125" t="s">
        <v>4026</v>
      </c>
      <c r="H662" s="125" t="s">
        <v>4752</v>
      </c>
      <c r="I662" s="171">
        <v>4.1666666666666666E-3</v>
      </c>
      <c r="J662" s="173">
        <v>6.9444444444444444E-5</v>
      </c>
      <c r="K662" s="129">
        <v>6</v>
      </c>
      <c r="M662" s="123" t="s">
        <v>325</v>
      </c>
      <c r="N662" s="123" t="s">
        <v>102</v>
      </c>
      <c r="O662" s="123" t="s">
        <v>115</v>
      </c>
      <c r="P662" s="123">
        <v>0</v>
      </c>
      <c r="Q662" s="123">
        <v>0</v>
      </c>
      <c r="R662" s="123">
        <v>0</v>
      </c>
      <c r="T662" s="123" t="s">
        <v>115</v>
      </c>
      <c r="U662" s="123" t="s">
        <v>115</v>
      </c>
      <c r="V662" s="123" t="s">
        <v>115</v>
      </c>
      <c r="Z662" s="123" t="s">
        <v>115</v>
      </c>
      <c r="AA662" s="123" t="s">
        <v>115</v>
      </c>
      <c r="AB662" s="123" t="s">
        <v>115</v>
      </c>
      <c r="AC662" s="123" t="s">
        <v>115</v>
      </c>
      <c r="AD662" s="123" t="s">
        <v>115</v>
      </c>
      <c r="AE662" s="123" t="s">
        <v>115</v>
      </c>
      <c r="AF662" s="123" t="s">
        <v>115</v>
      </c>
      <c r="AH662" s="123">
        <v>0</v>
      </c>
      <c r="AI662" s="123">
        <v>0</v>
      </c>
      <c r="AJ662" s="123">
        <v>0</v>
      </c>
      <c r="AK662" s="123">
        <v>0</v>
      </c>
      <c r="AL662" s="123">
        <v>4</v>
      </c>
      <c r="AN662" s="123">
        <f t="shared" si="11"/>
        <v>4</v>
      </c>
      <c r="AO662" s="123" t="s">
        <v>188</v>
      </c>
    </row>
    <row r="663" spans="1:42" x14ac:dyDescent="0.2">
      <c r="A663" s="123" t="s">
        <v>2681</v>
      </c>
      <c r="B663" s="123" t="s">
        <v>2682</v>
      </c>
      <c r="C663" s="123">
        <v>4</v>
      </c>
      <c r="D663" s="123">
        <v>1</v>
      </c>
      <c r="E663" s="123" t="s">
        <v>324</v>
      </c>
      <c r="F663" s="125">
        <v>43554</v>
      </c>
      <c r="G663" s="125" t="s">
        <v>4026</v>
      </c>
      <c r="H663" s="125" t="s">
        <v>4752</v>
      </c>
      <c r="I663" s="171">
        <v>1.5972222222222224E-2</v>
      </c>
      <c r="J663" s="173">
        <v>2.6620370370370372E-4</v>
      </c>
      <c r="K663" s="129">
        <v>23</v>
      </c>
      <c r="M663" s="123" t="s">
        <v>325</v>
      </c>
      <c r="N663" s="123" t="s">
        <v>102</v>
      </c>
      <c r="O663" s="123" t="s">
        <v>23</v>
      </c>
      <c r="P663" s="123">
        <v>0</v>
      </c>
      <c r="Q663" s="123">
        <v>0</v>
      </c>
      <c r="R663" s="123">
        <v>0</v>
      </c>
      <c r="T663" s="123" t="s">
        <v>115</v>
      </c>
      <c r="U663" s="123" t="s">
        <v>115</v>
      </c>
      <c r="V663" s="123" t="s">
        <v>115</v>
      </c>
      <c r="Z663" s="123" t="s">
        <v>115</v>
      </c>
      <c r="AA663" s="123" t="s">
        <v>115</v>
      </c>
      <c r="AB663" s="123" t="s">
        <v>115</v>
      </c>
      <c r="AC663" s="123" t="s">
        <v>115</v>
      </c>
      <c r="AD663" s="123" t="s">
        <v>115</v>
      </c>
      <c r="AE663" s="123" t="s">
        <v>115</v>
      </c>
      <c r="AF663" s="123" t="s">
        <v>115</v>
      </c>
      <c r="AH663" s="123">
        <v>0</v>
      </c>
      <c r="AI663" s="123">
        <v>10</v>
      </c>
      <c r="AJ663" s="123">
        <v>0</v>
      </c>
      <c r="AK663" s="123">
        <v>10</v>
      </c>
      <c r="AL663" s="123">
        <v>0</v>
      </c>
      <c r="AN663" s="123">
        <f t="shared" si="11"/>
        <v>10</v>
      </c>
    </row>
    <row r="664" spans="1:42" x14ac:dyDescent="0.2">
      <c r="A664" s="123" t="s">
        <v>2687</v>
      </c>
      <c r="B664" s="123" t="s">
        <v>2688</v>
      </c>
      <c r="C664" s="123">
        <v>6</v>
      </c>
      <c r="D664" s="123">
        <v>1</v>
      </c>
      <c r="E664" s="123" t="s">
        <v>324</v>
      </c>
      <c r="F664" s="125">
        <v>43554</v>
      </c>
      <c r="G664" s="125" t="s">
        <v>4026</v>
      </c>
      <c r="H664" s="125" t="s">
        <v>4752</v>
      </c>
      <c r="I664" s="171">
        <v>5.5555555555555558E-3</v>
      </c>
      <c r="J664" s="173">
        <v>9.2592592592592588E-5</v>
      </c>
      <c r="K664" s="129">
        <v>8</v>
      </c>
      <c r="M664" s="123" t="s">
        <v>325</v>
      </c>
      <c r="N664" s="123" t="s">
        <v>102</v>
      </c>
      <c r="O664" s="123" t="s">
        <v>23</v>
      </c>
      <c r="P664" s="123">
        <v>0</v>
      </c>
      <c r="Q664" s="123">
        <v>0</v>
      </c>
      <c r="R664" s="123">
        <v>0</v>
      </c>
      <c r="T664" s="123" t="s">
        <v>115</v>
      </c>
      <c r="U664" s="123" t="s">
        <v>115</v>
      </c>
      <c r="V664" s="123" t="s">
        <v>115</v>
      </c>
      <c r="Z664" s="123" t="s">
        <v>115</v>
      </c>
      <c r="AA664" s="123" t="s">
        <v>115</v>
      </c>
      <c r="AB664" s="123" t="s">
        <v>115</v>
      </c>
      <c r="AC664" s="123" t="s">
        <v>115</v>
      </c>
      <c r="AD664" s="123" t="s">
        <v>115</v>
      </c>
      <c r="AE664" s="123" t="s">
        <v>115</v>
      </c>
      <c r="AF664" s="123" t="s">
        <v>115</v>
      </c>
      <c r="AH664" s="123">
        <v>6</v>
      </c>
      <c r="AI664" s="123">
        <v>0</v>
      </c>
      <c r="AJ664" s="123">
        <v>6</v>
      </c>
      <c r="AK664" s="123">
        <v>0</v>
      </c>
      <c r="AL664" s="123">
        <v>0</v>
      </c>
      <c r="AN664" s="123">
        <f t="shared" si="11"/>
        <v>6</v>
      </c>
      <c r="AO664" s="123" t="s">
        <v>188</v>
      </c>
    </row>
    <row r="665" spans="1:42" x14ac:dyDescent="0.2">
      <c r="A665" s="123" t="s">
        <v>2553</v>
      </c>
      <c r="B665" s="123" t="s">
        <v>2554</v>
      </c>
      <c r="C665" s="123">
        <v>4</v>
      </c>
      <c r="D665" s="123">
        <v>1</v>
      </c>
      <c r="E665" s="123" t="s">
        <v>324</v>
      </c>
      <c r="F665" s="125">
        <v>43550</v>
      </c>
      <c r="G665" s="125" t="s">
        <v>4026</v>
      </c>
      <c r="H665" s="125" t="s">
        <v>4752</v>
      </c>
      <c r="I665" s="171">
        <v>9.7222222222222224E-3</v>
      </c>
      <c r="J665" s="173">
        <v>1.6203703703703703E-4</v>
      </c>
      <c r="K665" s="129">
        <v>14</v>
      </c>
      <c r="L665" s="127" t="s">
        <v>640</v>
      </c>
      <c r="M665" s="123" t="s">
        <v>325</v>
      </c>
      <c r="N665" s="123" t="s">
        <v>176</v>
      </c>
      <c r="O665" s="123" t="s">
        <v>12</v>
      </c>
      <c r="P665" s="123" t="s">
        <v>24</v>
      </c>
      <c r="Q665" s="123" t="s">
        <v>24</v>
      </c>
      <c r="R665" s="123" t="s">
        <v>24</v>
      </c>
      <c r="T665" s="123" t="s">
        <v>115</v>
      </c>
      <c r="U665" s="123" t="s">
        <v>115</v>
      </c>
      <c r="V665" s="123" t="s">
        <v>115</v>
      </c>
      <c r="Z665" s="123" t="s">
        <v>115</v>
      </c>
      <c r="AA665" s="123" t="s">
        <v>115</v>
      </c>
      <c r="AB665" s="123" t="s">
        <v>115</v>
      </c>
      <c r="AC665" s="123" t="s">
        <v>115</v>
      </c>
      <c r="AD665" s="123" t="s">
        <v>115</v>
      </c>
      <c r="AN665" s="123">
        <f t="shared" si="11"/>
        <v>0</v>
      </c>
    </row>
    <row r="666" spans="1:42" x14ac:dyDescent="0.2">
      <c r="A666" s="123" t="s">
        <v>2679</v>
      </c>
      <c r="B666" s="123" t="s">
        <v>2680</v>
      </c>
      <c r="C666" s="123">
        <v>3</v>
      </c>
      <c r="D666" s="123">
        <v>1</v>
      </c>
      <c r="E666" s="123" t="s">
        <v>324</v>
      </c>
      <c r="F666" s="125">
        <v>43554</v>
      </c>
      <c r="G666" s="125" t="s">
        <v>4026</v>
      </c>
      <c r="H666" s="125" t="s">
        <v>4752</v>
      </c>
      <c r="I666" s="171">
        <v>9.0277777777777787E-3</v>
      </c>
      <c r="J666" s="173">
        <v>1.5046296296296297E-4</v>
      </c>
      <c r="K666" s="129">
        <v>13</v>
      </c>
      <c r="M666" s="123" t="s">
        <v>325</v>
      </c>
      <c r="N666" s="123" t="s">
        <v>102</v>
      </c>
      <c r="O666" s="123" t="s">
        <v>23</v>
      </c>
      <c r="P666" s="123" t="s">
        <v>24</v>
      </c>
      <c r="Q666" s="123" t="s">
        <v>24</v>
      </c>
      <c r="R666" s="123" t="s">
        <v>176</v>
      </c>
      <c r="T666" s="123" t="s">
        <v>115</v>
      </c>
      <c r="U666" s="123" t="s">
        <v>115</v>
      </c>
      <c r="V666" s="123" t="s">
        <v>115</v>
      </c>
      <c r="Z666" s="123" t="s">
        <v>115</v>
      </c>
      <c r="AA666" s="123" t="s">
        <v>115</v>
      </c>
      <c r="AB666" s="123" t="s">
        <v>115</v>
      </c>
      <c r="AC666" s="123" t="s">
        <v>115</v>
      </c>
      <c r="AD666" s="123" t="s">
        <v>115</v>
      </c>
      <c r="AE666" s="123" t="s">
        <v>115</v>
      </c>
      <c r="AF666" s="123" t="s">
        <v>115</v>
      </c>
      <c r="AH666" s="123">
        <v>0</v>
      </c>
      <c r="AI666" s="123">
        <v>13</v>
      </c>
      <c r="AJ666" s="123">
        <v>0</v>
      </c>
      <c r="AK666" s="123">
        <v>13</v>
      </c>
      <c r="AL666" s="123">
        <v>0</v>
      </c>
      <c r="AN666" s="123">
        <f t="shared" si="11"/>
        <v>13</v>
      </c>
      <c r="AO666" s="123" t="s">
        <v>188</v>
      </c>
    </row>
    <row r="667" spans="1:42" x14ac:dyDescent="0.2">
      <c r="A667" s="123" t="s">
        <v>2544</v>
      </c>
      <c r="B667" s="123" t="s">
        <v>2545</v>
      </c>
      <c r="C667" s="123">
        <v>1</v>
      </c>
      <c r="D667" s="123">
        <v>1</v>
      </c>
      <c r="E667" s="123" t="s">
        <v>324</v>
      </c>
      <c r="F667" s="125">
        <v>43550</v>
      </c>
      <c r="G667" s="125" t="s">
        <v>4026</v>
      </c>
      <c r="H667" s="125" t="s">
        <v>4752</v>
      </c>
      <c r="I667" s="171">
        <v>5.2083333333333336E-2</v>
      </c>
      <c r="J667" s="173">
        <v>8.6805555555555551E-4</v>
      </c>
      <c r="K667" s="129">
        <v>75</v>
      </c>
      <c r="L667" s="127" t="s">
        <v>640</v>
      </c>
      <c r="M667" s="123" t="s">
        <v>325</v>
      </c>
      <c r="N667" s="123" t="s">
        <v>102</v>
      </c>
      <c r="O667" s="123" t="s">
        <v>115</v>
      </c>
      <c r="P667" s="123" t="s">
        <v>24</v>
      </c>
      <c r="Q667" s="123">
        <v>0</v>
      </c>
      <c r="R667" s="123">
        <v>0</v>
      </c>
      <c r="T667" s="123" t="s">
        <v>115</v>
      </c>
      <c r="U667" s="123" t="s">
        <v>115</v>
      </c>
      <c r="V667" s="123" t="s">
        <v>115</v>
      </c>
      <c r="Z667" s="123" t="s">
        <v>115</v>
      </c>
      <c r="AA667" s="123" t="s">
        <v>115</v>
      </c>
      <c r="AB667" s="123" t="s">
        <v>115</v>
      </c>
      <c r="AC667" s="123" t="s">
        <v>115</v>
      </c>
      <c r="AD667" s="123" t="s">
        <v>115</v>
      </c>
      <c r="AH667" s="123">
        <v>0</v>
      </c>
      <c r="AI667" s="123">
        <v>0</v>
      </c>
      <c r="AJ667" s="123">
        <v>0</v>
      </c>
      <c r="AK667" s="123">
        <v>0</v>
      </c>
      <c r="AL667" s="123">
        <v>37</v>
      </c>
      <c r="AN667" s="123">
        <f t="shared" si="11"/>
        <v>37</v>
      </c>
      <c r="AO667" s="123" t="s">
        <v>188</v>
      </c>
    </row>
    <row r="668" spans="1:42" x14ac:dyDescent="0.2">
      <c r="A668" s="123" t="s">
        <v>2568</v>
      </c>
      <c r="B668" s="123" t="s">
        <v>2569</v>
      </c>
      <c r="C668" s="123">
        <v>10</v>
      </c>
      <c r="D668" s="123">
        <v>1</v>
      </c>
      <c r="E668" s="123" t="s">
        <v>324</v>
      </c>
      <c r="F668" s="125">
        <v>43550</v>
      </c>
      <c r="G668" s="125" t="s">
        <v>4026</v>
      </c>
      <c r="H668" s="125" t="s">
        <v>4752</v>
      </c>
      <c r="I668" s="171">
        <v>3.8194444444444441E-2</v>
      </c>
      <c r="J668" s="173">
        <v>6.3657407407407402E-4</v>
      </c>
      <c r="K668" s="129">
        <v>55</v>
      </c>
      <c r="L668" s="127" t="s">
        <v>640</v>
      </c>
      <c r="M668" s="123" t="s">
        <v>325</v>
      </c>
      <c r="N668" s="123" t="s">
        <v>102</v>
      </c>
      <c r="O668" s="123" t="s">
        <v>115</v>
      </c>
      <c r="P668" s="123" t="s">
        <v>24</v>
      </c>
      <c r="Q668" s="123">
        <v>0</v>
      </c>
      <c r="R668" s="123">
        <v>0</v>
      </c>
      <c r="T668" s="123" t="s">
        <v>115</v>
      </c>
      <c r="U668" s="123" t="s">
        <v>115</v>
      </c>
      <c r="V668" s="123" t="s">
        <v>115</v>
      </c>
      <c r="Z668" s="123" t="s">
        <v>115</v>
      </c>
      <c r="AA668" s="123" t="s">
        <v>115</v>
      </c>
      <c r="AB668" s="123" t="s">
        <v>115</v>
      </c>
      <c r="AC668" s="123" t="s">
        <v>115</v>
      </c>
      <c r="AD668" s="123" t="s">
        <v>115</v>
      </c>
      <c r="AH668" s="123">
        <v>0</v>
      </c>
      <c r="AI668" s="123">
        <v>0</v>
      </c>
      <c r="AJ668" s="123">
        <v>0</v>
      </c>
      <c r="AK668" s="123">
        <v>0</v>
      </c>
      <c r="AL668" s="123">
        <v>55</v>
      </c>
      <c r="AN668" s="123">
        <f t="shared" si="11"/>
        <v>55</v>
      </c>
      <c r="AO668" s="123" t="s">
        <v>188</v>
      </c>
    </row>
    <row r="669" spans="1:42" x14ac:dyDescent="0.2">
      <c r="A669" s="123" t="s">
        <v>2559</v>
      </c>
      <c r="B669" s="123" t="s">
        <v>2560</v>
      </c>
      <c r="C669" s="123">
        <v>6</v>
      </c>
      <c r="D669" s="123">
        <v>1</v>
      </c>
      <c r="E669" s="123" t="s">
        <v>324</v>
      </c>
      <c r="F669" s="125">
        <v>43550</v>
      </c>
      <c r="G669" s="125" t="s">
        <v>4026</v>
      </c>
      <c r="H669" s="125" t="s">
        <v>4752</v>
      </c>
      <c r="I669" s="171">
        <v>3.2638888888888891E-2</v>
      </c>
      <c r="J669" s="173">
        <v>5.4398148148148144E-4</v>
      </c>
      <c r="K669" s="129">
        <v>47</v>
      </c>
      <c r="L669" s="127" t="s">
        <v>640</v>
      </c>
      <c r="M669" s="123" t="s">
        <v>325</v>
      </c>
      <c r="N669" s="123" t="s">
        <v>102</v>
      </c>
      <c r="O669" s="123" t="s">
        <v>115</v>
      </c>
      <c r="P669" s="123" t="s">
        <v>24</v>
      </c>
      <c r="Q669" s="123">
        <v>0</v>
      </c>
      <c r="R669" s="123">
        <v>0</v>
      </c>
      <c r="T669" s="123" t="s">
        <v>115</v>
      </c>
      <c r="U669" s="123" t="s">
        <v>115</v>
      </c>
      <c r="V669" s="123" t="s">
        <v>115</v>
      </c>
      <c r="Z669" s="123" t="s">
        <v>115</v>
      </c>
      <c r="AA669" s="123" t="s">
        <v>115</v>
      </c>
      <c r="AB669" s="123" t="s">
        <v>115</v>
      </c>
      <c r="AC669" s="123" t="s">
        <v>115</v>
      </c>
      <c r="AD669" s="123" t="s">
        <v>115</v>
      </c>
      <c r="AH669" s="123">
        <v>0</v>
      </c>
      <c r="AI669" s="123">
        <v>0</v>
      </c>
      <c r="AJ669" s="123">
        <v>0</v>
      </c>
      <c r="AK669" s="123">
        <v>0</v>
      </c>
      <c r="AL669" s="123">
        <v>39</v>
      </c>
      <c r="AN669" s="123">
        <f t="shared" si="11"/>
        <v>39</v>
      </c>
      <c r="AO669" s="123" t="s">
        <v>188</v>
      </c>
    </row>
    <row r="670" spans="1:42" x14ac:dyDescent="0.2">
      <c r="A670" s="123" t="s">
        <v>2705</v>
      </c>
      <c r="B670" s="123" t="s">
        <v>2706</v>
      </c>
      <c r="C670" s="123">
        <v>12</v>
      </c>
      <c r="D670" s="123">
        <v>1</v>
      </c>
      <c r="E670" s="123" t="s">
        <v>324</v>
      </c>
      <c r="F670" s="125">
        <v>43554</v>
      </c>
      <c r="G670" s="125" t="s">
        <v>4026</v>
      </c>
      <c r="H670" s="125" t="s">
        <v>4752</v>
      </c>
      <c r="I670" s="171">
        <v>1.3888888888888888E-2</v>
      </c>
      <c r="J670" s="173">
        <v>2.3148148148148146E-4</v>
      </c>
      <c r="K670" s="129">
        <v>20</v>
      </c>
      <c r="M670" s="123" t="s">
        <v>325</v>
      </c>
      <c r="N670" s="123" t="s">
        <v>102</v>
      </c>
      <c r="O670" s="123" t="s">
        <v>115</v>
      </c>
      <c r="P670" s="123" t="s">
        <v>24</v>
      </c>
      <c r="Q670" s="123">
        <v>0</v>
      </c>
      <c r="R670" s="123">
        <v>0</v>
      </c>
      <c r="T670" s="123" t="s">
        <v>115</v>
      </c>
      <c r="U670" s="123" t="s">
        <v>115</v>
      </c>
      <c r="V670" s="123" t="s">
        <v>115</v>
      </c>
      <c r="Z670" s="123" t="s">
        <v>115</v>
      </c>
      <c r="AA670" s="123" t="s">
        <v>115</v>
      </c>
      <c r="AB670" s="123" t="s">
        <v>115</v>
      </c>
      <c r="AC670" s="123" t="s">
        <v>115</v>
      </c>
      <c r="AD670" s="123" t="s">
        <v>115</v>
      </c>
      <c r="AE670" s="123" t="s">
        <v>115</v>
      </c>
      <c r="AF670" s="123" t="s">
        <v>115</v>
      </c>
      <c r="AH670" s="123">
        <v>0</v>
      </c>
      <c r="AI670" s="123">
        <v>0</v>
      </c>
      <c r="AJ670" s="123">
        <v>0</v>
      </c>
      <c r="AK670" s="123">
        <v>0</v>
      </c>
      <c r="AL670" s="123">
        <v>20</v>
      </c>
      <c r="AN670" s="123">
        <f t="shared" si="11"/>
        <v>20</v>
      </c>
      <c r="AO670" s="123" t="s">
        <v>188</v>
      </c>
    </row>
    <row r="671" spans="1:42" x14ac:dyDescent="0.2">
      <c r="A671" s="123" t="s">
        <v>2711</v>
      </c>
      <c r="B671" s="123" t="s">
        <v>2712</v>
      </c>
      <c r="C671" s="123">
        <v>15</v>
      </c>
      <c r="D671" s="123">
        <v>1</v>
      </c>
      <c r="E671" s="123" t="s">
        <v>324</v>
      </c>
      <c r="F671" s="125">
        <v>43554</v>
      </c>
      <c r="G671" s="125" t="s">
        <v>4026</v>
      </c>
      <c r="H671" s="125" t="s">
        <v>4752</v>
      </c>
      <c r="I671" s="171">
        <v>1.6666666666666666E-2</v>
      </c>
      <c r="J671" s="173">
        <v>2.7777777777777778E-4</v>
      </c>
      <c r="K671" s="129">
        <v>24</v>
      </c>
      <c r="M671" s="123" t="s">
        <v>325</v>
      </c>
      <c r="N671" s="123" t="s">
        <v>102</v>
      </c>
      <c r="O671" s="123" t="s">
        <v>115</v>
      </c>
      <c r="P671" s="123" t="s">
        <v>24</v>
      </c>
      <c r="Q671" s="123">
        <v>0</v>
      </c>
      <c r="R671" s="123">
        <v>0</v>
      </c>
      <c r="T671" s="123" t="s">
        <v>115</v>
      </c>
      <c r="U671" s="123" t="s">
        <v>115</v>
      </c>
      <c r="V671" s="123" t="s">
        <v>115</v>
      </c>
      <c r="Z671" s="123" t="s">
        <v>115</v>
      </c>
      <c r="AA671" s="123" t="s">
        <v>115</v>
      </c>
      <c r="AB671" s="123" t="s">
        <v>115</v>
      </c>
      <c r="AC671" s="123" t="s">
        <v>115</v>
      </c>
      <c r="AD671" s="123" t="s">
        <v>115</v>
      </c>
      <c r="AE671" s="123" t="s">
        <v>115</v>
      </c>
      <c r="AF671" s="123" t="s">
        <v>115</v>
      </c>
      <c r="AH671" s="123">
        <v>0</v>
      </c>
      <c r="AI671" s="123">
        <v>0</v>
      </c>
      <c r="AJ671" s="123">
        <v>0</v>
      </c>
      <c r="AK671" s="123">
        <v>0</v>
      </c>
      <c r="AL671" s="123">
        <v>7</v>
      </c>
      <c r="AN671" s="123">
        <f t="shared" si="11"/>
        <v>7</v>
      </c>
      <c r="AO671" s="123" t="s">
        <v>188</v>
      </c>
    </row>
    <row r="672" spans="1:42" x14ac:dyDescent="0.2">
      <c r="A672" s="123" t="s">
        <v>2713</v>
      </c>
      <c r="B672" s="123" t="s">
        <v>2714</v>
      </c>
      <c r="C672" s="123">
        <v>16</v>
      </c>
      <c r="D672" s="123">
        <v>1</v>
      </c>
      <c r="E672" s="123" t="s">
        <v>324</v>
      </c>
      <c r="F672" s="125">
        <v>43554</v>
      </c>
      <c r="G672" s="125" t="s">
        <v>4026</v>
      </c>
      <c r="H672" s="125" t="s">
        <v>4752</v>
      </c>
      <c r="I672" s="171">
        <v>5.5555555555555558E-3</v>
      </c>
      <c r="J672" s="173">
        <v>9.2592592592592588E-5</v>
      </c>
      <c r="K672" s="129">
        <v>8</v>
      </c>
      <c r="M672" s="123" t="s">
        <v>325</v>
      </c>
      <c r="N672" s="123" t="s">
        <v>102</v>
      </c>
      <c r="O672" s="123" t="s">
        <v>115</v>
      </c>
      <c r="P672" s="123" t="s">
        <v>24</v>
      </c>
      <c r="Q672" s="123">
        <v>0</v>
      </c>
      <c r="R672" s="123">
        <v>0</v>
      </c>
      <c r="T672" s="123" t="s">
        <v>115</v>
      </c>
      <c r="U672" s="123" t="s">
        <v>115</v>
      </c>
      <c r="V672" s="123" t="s">
        <v>115</v>
      </c>
      <c r="Z672" s="123" t="s">
        <v>115</v>
      </c>
      <c r="AA672" s="123" t="s">
        <v>115</v>
      </c>
      <c r="AB672" s="123" t="s">
        <v>115</v>
      </c>
      <c r="AC672" s="123" t="s">
        <v>115</v>
      </c>
      <c r="AD672" s="123" t="s">
        <v>115</v>
      </c>
      <c r="AE672" s="123" t="s">
        <v>115</v>
      </c>
      <c r="AF672" s="123" t="s">
        <v>115</v>
      </c>
      <c r="AH672" s="123">
        <v>0</v>
      </c>
      <c r="AI672" s="123">
        <v>0</v>
      </c>
      <c r="AJ672" s="123">
        <v>0</v>
      </c>
      <c r="AK672" s="123">
        <v>0</v>
      </c>
      <c r="AL672" s="123">
        <v>8</v>
      </c>
      <c r="AN672" s="123">
        <f t="shared" si="11"/>
        <v>8</v>
      </c>
      <c r="AO672" s="123" t="s">
        <v>188</v>
      </c>
    </row>
    <row r="673" spans="1:41" x14ac:dyDescent="0.2">
      <c r="A673" s="123" t="s">
        <v>2719</v>
      </c>
      <c r="B673" s="123" t="s">
        <v>2720</v>
      </c>
      <c r="C673" s="123">
        <v>19</v>
      </c>
      <c r="D673" s="123">
        <v>1</v>
      </c>
      <c r="E673" s="123" t="s">
        <v>324</v>
      </c>
      <c r="F673" s="125">
        <v>43554</v>
      </c>
      <c r="G673" s="125" t="s">
        <v>4026</v>
      </c>
      <c r="H673" s="125" t="s">
        <v>4752</v>
      </c>
      <c r="I673" s="171">
        <v>1.3888888888888888E-2</v>
      </c>
      <c r="J673" s="173">
        <v>2.3148148148148146E-4</v>
      </c>
      <c r="K673" s="129">
        <v>20</v>
      </c>
      <c r="M673" s="123" t="s">
        <v>325</v>
      </c>
      <c r="N673" s="123" t="s">
        <v>102</v>
      </c>
      <c r="O673" s="123" t="s">
        <v>115</v>
      </c>
      <c r="P673" s="123" t="s">
        <v>24</v>
      </c>
      <c r="Q673" s="123">
        <v>0</v>
      </c>
      <c r="R673" s="123">
        <v>0</v>
      </c>
      <c r="T673" s="127" t="s">
        <v>115</v>
      </c>
      <c r="U673" s="127" t="s">
        <v>115</v>
      </c>
      <c r="V673" s="127" t="s">
        <v>115</v>
      </c>
      <c r="W673" s="127"/>
      <c r="X673" s="127"/>
      <c r="Y673" s="127"/>
      <c r="Z673" s="127" t="s">
        <v>115</v>
      </c>
      <c r="AA673" s="127" t="s">
        <v>115</v>
      </c>
      <c r="AB673" s="127" t="s">
        <v>115</v>
      </c>
      <c r="AC673" s="127" t="s">
        <v>115</v>
      </c>
      <c r="AD673" s="127" t="s">
        <v>115</v>
      </c>
      <c r="AE673" s="127" t="s">
        <v>115</v>
      </c>
      <c r="AF673" s="127" t="s">
        <v>115</v>
      </c>
      <c r="AG673" s="127"/>
      <c r="AH673" s="123">
        <v>0</v>
      </c>
      <c r="AI673" s="123">
        <v>0</v>
      </c>
      <c r="AJ673" s="123">
        <v>0</v>
      </c>
      <c r="AK673" s="123">
        <v>0</v>
      </c>
      <c r="AL673" s="123">
        <v>7</v>
      </c>
      <c r="AN673" s="123">
        <f t="shared" si="11"/>
        <v>7</v>
      </c>
      <c r="AO673" s="123" t="s">
        <v>188</v>
      </c>
    </row>
    <row r="674" spans="1:41" x14ac:dyDescent="0.2">
      <c r="A674" s="123" t="s">
        <v>2721</v>
      </c>
      <c r="B674" s="123" t="s">
        <v>2722</v>
      </c>
      <c r="C674" s="123">
        <v>20</v>
      </c>
      <c r="D674" s="123">
        <v>1</v>
      </c>
      <c r="E674" s="123" t="s">
        <v>324</v>
      </c>
      <c r="F674" s="125">
        <v>43554</v>
      </c>
      <c r="G674" s="125" t="s">
        <v>4026</v>
      </c>
      <c r="H674" s="125" t="s">
        <v>4752</v>
      </c>
      <c r="I674" s="171">
        <v>1.1805555555555555E-2</v>
      </c>
      <c r="J674" s="173">
        <v>1.9675925925925926E-4</v>
      </c>
      <c r="K674" s="129">
        <v>17</v>
      </c>
      <c r="M674" s="123" t="s">
        <v>325</v>
      </c>
      <c r="N674" s="123" t="s">
        <v>102</v>
      </c>
      <c r="O674" s="123" t="s">
        <v>115</v>
      </c>
      <c r="P674" s="123" t="s">
        <v>24</v>
      </c>
      <c r="Q674" s="123">
        <v>0</v>
      </c>
      <c r="R674" s="123">
        <v>0</v>
      </c>
      <c r="T674" s="127" t="s">
        <v>115</v>
      </c>
      <c r="U674" s="127" t="s">
        <v>115</v>
      </c>
      <c r="V674" s="127" t="s">
        <v>115</v>
      </c>
      <c r="W674" s="127"/>
      <c r="X674" s="127"/>
      <c r="Y674" s="127"/>
      <c r="Z674" s="127" t="s">
        <v>115</v>
      </c>
      <c r="AA674" s="127" t="s">
        <v>115</v>
      </c>
      <c r="AB674" s="127" t="s">
        <v>115</v>
      </c>
      <c r="AC674" s="127" t="s">
        <v>115</v>
      </c>
      <c r="AD674" s="127" t="s">
        <v>115</v>
      </c>
      <c r="AE674" s="127" t="s">
        <v>115</v>
      </c>
      <c r="AF674" s="127" t="s">
        <v>115</v>
      </c>
      <c r="AG674" s="127"/>
      <c r="AH674" s="123">
        <v>0</v>
      </c>
      <c r="AI674" s="123">
        <v>0</v>
      </c>
      <c r="AJ674" s="123">
        <v>0</v>
      </c>
      <c r="AK674" s="123">
        <v>0</v>
      </c>
      <c r="AL674" s="123">
        <v>16</v>
      </c>
      <c r="AN674" s="123">
        <f t="shared" si="11"/>
        <v>16</v>
      </c>
      <c r="AO674" s="123" t="s">
        <v>188</v>
      </c>
    </row>
    <row r="675" spans="1:41" x14ac:dyDescent="0.2">
      <c r="A675" s="123" t="s">
        <v>2723</v>
      </c>
      <c r="B675" s="123" t="s">
        <v>2724</v>
      </c>
      <c r="C675" s="123">
        <v>21</v>
      </c>
      <c r="D675" s="123">
        <v>1</v>
      </c>
      <c r="E675" s="123" t="s">
        <v>324</v>
      </c>
      <c r="F675" s="125">
        <v>43554</v>
      </c>
      <c r="G675" s="125" t="s">
        <v>4026</v>
      </c>
      <c r="H675" s="125" t="s">
        <v>4752</v>
      </c>
      <c r="I675" s="171">
        <v>2.7083333333333334E-2</v>
      </c>
      <c r="J675" s="173">
        <v>4.5138888888888892E-4</v>
      </c>
      <c r="K675" s="129">
        <v>39</v>
      </c>
      <c r="M675" s="123" t="s">
        <v>325</v>
      </c>
      <c r="N675" s="123" t="s">
        <v>102</v>
      </c>
      <c r="O675" s="123" t="s">
        <v>115</v>
      </c>
      <c r="P675" s="123" t="s">
        <v>24</v>
      </c>
      <c r="Q675" s="123">
        <v>0</v>
      </c>
      <c r="R675" s="123">
        <v>0</v>
      </c>
      <c r="T675" s="127" t="s">
        <v>115</v>
      </c>
      <c r="U675" s="127" t="s">
        <v>115</v>
      </c>
      <c r="V675" s="127" t="s">
        <v>115</v>
      </c>
      <c r="W675" s="127"/>
      <c r="X675" s="127"/>
      <c r="Y675" s="127"/>
      <c r="Z675" s="127" t="s">
        <v>115</v>
      </c>
      <c r="AA675" s="127" t="s">
        <v>115</v>
      </c>
      <c r="AB675" s="127" t="s">
        <v>115</v>
      </c>
      <c r="AC675" s="127" t="s">
        <v>115</v>
      </c>
      <c r="AD675" s="127" t="s">
        <v>115</v>
      </c>
      <c r="AE675" s="127" t="s">
        <v>115</v>
      </c>
      <c r="AF675" s="127" t="s">
        <v>115</v>
      </c>
      <c r="AG675" s="127"/>
      <c r="AH675" s="123">
        <v>0</v>
      </c>
      <c r="AI675" s="123">
        <v>0</v>
      </c>
      <c r="AJ675" s="123">
        <v>0</v>
      </c>
      <c r="AK675" s="123">
        <v>0</v>
      </c>
      <c r="AL675" s="123">
        <v>39</v>
      </c>
      <c r="AN675" s="123">
        <f t="shared" si="11"/>
        <v>39</v>
      </c>
      <c r="AO675" s="123" t="s">
        <v>188</v>
      </c>
    </row>
    <row r="676" spans="1:41" x14ac:dyDescent="0.2">
      <c r="A676" s="123" t="s">
        <v>3803</v>
      </c>
      <c r="B676" s="123" t="s">
        <v>3804</v>
      </c>
      <c r="C676" s="123">
        <v>1</v>
      </c>
      <c r="D676" s="123">
        <v>1</v>
      </c>
      <c r="E676" s="123" t="s">
        <v>834</v>
      </c>
      <c r="F676" s="125">
        <v>43588</v>
      </c>
      <c r="G676" s="125" t="s">
        <v>4028</v>
      </c>
      <c r="H676" s="125" t="s">
        <v>4752</v>
      </c>
      <c r="I676" s="171">
        <v>2.013888888888889E-2</v>
      </c>
      <c r="J676" s="173">
        <v>3.3564814814814812E-4</v>
      </c>
      <c r="K676" s="129">
        <v>29</v>
      </c>
      <c r="L676" s="123" t="s">
        <v>1278</v>
      </c>
      <c r="M676" s="123" t="s">
        <v>466</v>
      </c>
      <c r="N676" s="123" t="s">
        <v>102</v>
      </c>
      <c r="O676" s="123" t="s">
        <v>115</v>
      </c>
      <c r="P676" s="123">
        <v>1</v>
      </c>
      <c r="Q676" s="123">
        <v>0</v>
      </c>
      <c r="R676" s="123">
        <v>0</v>
      </c>
      <c r="S676" s="123" t="s">
        <v>176</v>
      </c>
      <c r="T676" s="127" t="s">
        <v>24</v>
      </c>
      <c r="U676" s="127" t="s">
        <v>122</v>
      </c>
      <c r="V676" s="127" t="s">
        <v>115</v>
      </c>
      <c r="W676" s="127"/>
      <c r="X676" s="127"/>
      <c r="Y676" s="127"/>
      <c r="Z676" s="127" t="s">
        <v>115</v>
      </c>
      <c r="AA676" s="127" t="s">
        <v>115</v>
      </c>
      <c r="AB676" s="127" t="s">
        <v>115</v>
      </c>
      <c r="AC676" s="127" t="s">
        <v>115</v>
      </c>
      <c r="AD676" s="127" t="s">
        <v>115</v>
      </c>
      <c r="AE676" s="127" t="s">
        <v>115</v>
      </c>
      <c r="AF676" s="127" t="s">
        <v>115</v>
      </c>
      <c r="AG676" s="127" t="s">
        <v>115</v>
      </c>
      <c r="AH676" s="123">
        <v>0</v>
      </c>
      <c r="AI676" s="123">
        <v>0</v>
      </c>
      <c r="AJ676" s="123">
        <v>0</v>
      </c>
      <c r="AK676" s="123">
        <v>0</v>
      </c>
      <c r="AL676" s="123">
        <v>29</v>
      </c>
      <c r="AN676" s="123">
        <f t="shared" si="11"/>
        <v>29</v>
      </c>
      <c r="AO676" s="123" t="s">
        <v>188</v>
      </c>
    </row>
    <row r="677" spans="1:41" x14ac:dyDescent="0.2">
      <c r="A677" s="123" t="s">
        <v>3805</v>
      </c>
      <c r="B677" s="123" t="s">
        <v>3806</v>
      </c>
      <c r="C677" s="123">
        <v>2</v>
      </c>
      <c r="D677" s="123">
        <v>1</v>
      </c>
      <c r="E677" s="123" t="s">
        <v>834</v>
      </c>
      <c r="F677" s="125">
        <v>43588</v>
      </c>
      <c r="G677" s="125" t="s">
        <v>4028</v>
      </c>
      <c r="H677" s="125" t="s">
        <v>4752</v>
      </c>
      <c r="I677" s="171">
        <v>1.8749999999999999E-2</v>
      </c>
      <c r="J677" s="173">
        <v>3.1250000000000001E-4</v>
      </c>
      <c r="K677" s="129">
        <v>27</v>
      </c>
      <c r="L677" s="123" t="s">
        <v>1278</v>
      </c>
      <c r="M677" s="123" t="s">
        <v>466</v>
      </c>
      <c r="N677" s="123" t="s">
        <v>102</v>
      </c>
      <c r="O677" s="123" t="s">
        <v>115</v>
      </c>
      <c r="P677" s="123">
        <v>2</v>
      </c>
      <c r="Q677" s="123">
        <v>0</v>
      </c>
      <c r="R677" s="123">
        <v>0</v>
      </c>
      <c r="S677" s="123" t="s">
        <v>176</v>
      </c>
      <c r="T677" s="127" t="s">
        <v>24</v>
      </c>
      <c r="U677" s="127" t="s">
        <v>122</v>
      </c>
      <c r="V677" s="127" t="s">
        <v>115</v>
      </c>
      <c r="W677" s="127"/>
      <c r="X677" s="127"/>
      <c r="Y677" s="127"/>
      <c r="Z677" s="127" t="s">
        <v>115</v>
      </c>
      <c r="AA677" s="127" t="s">
        <v>115</v>
      </c>
      <c r="AB677" s="127" t="s">
        <v>115</v>
      </c>
      <c r="AC677" s="127" t="s">
        <v>115</v>
      </c>
      <c r="AD677" s="127" t="s">
        <v>115</v>
      </c>
      <c r="AE677" s="127" t="s">
        <v>115</v>
      </c>
      <c r="AF677" s="127" t="s">
        <v>115</v>
      </c>
      <c r="AG677" s="127" t="s">
        <v>115</v>
      </c>
      <c r="AH677" s="123">
        <v>0</v>
      </c>
      <c r="AI677" s="123">
        <v>0</v>
      </c>
      <c r="AJ677" s="123">
        <v>0</v>
      </c>
      <c r="AK677" s="123">
        <v>0</v>
      </c>
      <c r="AL677" s="123">
        <v>25</v>
      </c>
      <c r="AN677" s="123">
        <f t="shared" si="11"/>
        <v>25</v>
      </c>
      <c r="AO677" s="123" t="s">
        <v>188</v>
      </c>
    </row>
    <row r="678" spans="1:41" x14ac:dyDescent="0.2">
      <c r="A678" s="123" t="s">
        <v>3727</v>
      </c>
      <c r="B678" s="123" t="s">
        <v>3728</v>
      </c>
      <c r="C678" s="123">
        <v>3</v>
      </c>
      <c r="D678" s="123">
        <v>1</v>
      </c>
      <c r="E678" s="123" t="s">
        <v>2462</v>
      </c>
      <c r="F678" s="125">
        <v>43587</v>
      </c>
      <c r="G678" s="125" t="s">
        <v>4028</v>
      </c>
      <c r="H678" s="125" t="s">
        <v>4752</v>
      </c>
      <c r="I678" s="171">
        <v>2.1527777777777781E-2</v>
      </c>
      <c r="J678" s="173">
        <v>3.5879629629629635E-4</v>
      </c>
      <c r="K678" s="129">
        <v>31</v>
      </c>
      <c r="L678" s="123" t="s">
        <v>1278</v>
      </c>
      <c r="M678" s="123" t="s">
        <v>363</v>
      </c>
      <c r="N678" s="123" t="s">
        <v>102</v>
      </c>
      <c r="O678" s="123" t="s">
        <v>115</v>
      </c>
      <c r="P678" s="123">
        <v>1</v>
      </c>
      <c r="Q678" s="123">
        <v>0</v>
      </c>
      <c r="R678" s="123">
        <v>0</v>
      </c>
      <c r="S678" s="123" t="s">
        <v>176</v>
      </c>
      <c r="T678" s="127" t="s">
        <v>24</v>
      </c>
      <c r="U678" s="127" t="s">
        <v>115</v>
      </c>
      <c r="V678" s="127" t="s">
        <v>115</v>
      </c>
      <c r="W678" s="127"/>
      <c r="X678" s="127"/>
      <c r="Y678" s="127"/>
      <c r="Z678" s="127" t="s">
        <v>115</v>
      </c>
      <c r="AA678" s="127" t="s">
        <v>115</v>
      </c>
      <c r="AB678" s="127" t="s">
        <v>115</v>
      </c>
      <c r="AC678" s="127" t="s">
        <v>115</v>
      </c>
      <c r="AD678" s="127" t="s">
        <v>115</v>
      </c>
      <c r="AE678" s="127" t="s">
        <v>115</v>
      </c>
      <c r="AF678" s="127" t="s">
        <v>115</v>
      </c>
      <c r="AG678" s="127" t="s">
        <v>115</v>
      </c>
      <c r="AH678" s="123">
        <v>0</v>
      </c>
      <c r="AI678" s="123">
        <v>0</v>
      </c>
      <c r="AJ678" s="123">
        <v>0</v>
      </c>
      <c r="AK678" s="123">
        <v>0</v>
      </c>
      <c r="AL678" s="123">
        <v>31</v>
      </c>
      <c r="AN678" s="123">
        <f t="shared" si="11"/>
        <v>31</v>
      </c>
      <c r="AO678" s="123" t="s">
        <v>188</v>
      </c>
    </row>
    <row r="679" spans="1:41" x14ac:dyDescent="0.2">
      <c r="A679" s="123" t="s">
        <v>3891</v>
      </c>
      <c r="B679" s="123" t="s">
        <v>3892</v>
      </c>
      <c r="C679" s="123">
        <v>4</v>
      </c>
      <c r="D679" s="123">
        <v>1</v>
      </c>
      <c r="E679" s="123" t="s">
        <v>2462</v>
      </c>
      <c r="F679" s="125">
        <v>43591</v>
      </c>
      <c r="G679" s="125" t="s">
        <v>4028</v>
      </c>
      <c r="H679" s="125" t="s">
        <v>4752</v>
      </c>
      <c r="I679" s="171">
        <v>4.7222222222222221E-2</v>
      </c>
      <c r="J679" s="173">
        <v>7.8703703703703705E-4</v>
      </c>
      <c r="K679" s="129">
        <v>68</v>
      </c>
      <c r="L679" s="123" t="s">
        <v>1278</v>
      </c>
      <c r="M679" s="123" t="s">
        <v>363</v>
      </c>
      <c r="N679" s="123" t="s">
        <v>102</v>
      </c>
      <c r="O679" s="123" t="s">
        <v>115</v>
      </c>
      <c r="P679" s="123">
        <v>1</v>
      </c>
      <c r="Q679" s="123">
        <v>0</v>
      </c>
      <c r="R679" s="123">
        <v>0</v>
      </c>
      <c r="S679" s="123" t="s">
        <v>176</v>
      </c>
      <c r="T679" s="127" t="s">
        <v>24</v>
      </c>
      <c r="U679" s="127" t="s">
        <v>122</v>
      </c>
      <c r="V679" s="127" t="s">
        <v>115</v>
      </c>
      <c r="W679" s="127"/>
      <c r="X679" s="127"/>
      <c r="Y679" s="127"/>
      <c r="Z679" s="127" t="s">
        <v>115</v>
      </c>
      <c r="AA679" s="127" t="s">
        <v>115</v>
      </c>
      <c r="AB679" s="127" t="s">
        <v>115</v>
      </c>
      <c r="AC679" s="127" t="s">
        <v>115</v>
      </c>
      <c r="AD679" s="127" t="s">
        <v>115</v>
      </c>
      <c r="AE679" s="127" t="s">
        <v>115</v>
      </c>
      <c r="AF679" s="127" t="s">
        <v>115</v>
      </c>
      <c r="AG679" s="127" t="s">
        <v>115</v>
      </c>
      <c r="AH679" s="123">
        <v>0</v>
      </c>
      <c r="AI679" s="123">
        <v>0</v>
      </c>
      <c r="AJ679" s="123">
        <v>0</v>
      </c>
      <c r="AK679" s="123">
        <v>0</v>
      </c>
      <c r="AL679" s="123">
        <v>66</v>
      </c>
      <c r="AN679" s="123">
        <f t="shared" si="11"/>
        <v>66</v>
      </c>
      <c r="AO679" s="123" t="s">
        <v>188</v>
      </c>
    </row>
    <row r="680" spans="1:41" x14ac:dyDescent="0.2">
      <c r="A680" s="123" t="s">
        <v>3893</v>
      </c>
      <c r="B680" s="123" t="s">
        <v>3894</v>
      </c>
      <c r="C680" s="123">
        <v>5</v>
      </c>
      <c r="D680" s="123">
        <v>1</v>
      </c>
      <c r="E680" s="123" t="s">
        <v>2462</v>
      </c>
      <c r="F680" s="125">
        <v>43591</v>
      </c>
      <c r="G680" s="125" t="s">
        <v>4028</v>
      </c>
      <c r="H680" s="125" t="s">
        <v>4752</v>
      </c>
      <c r="I680" s="171">
        <v>8.3333333333333332E-3</v>
      </c>
      <c r="J680" s="173">
        <v>1.3888888888888889E-4</v>
      </c>
      <c r="K680" s="129">
        <v>12</v>
      </c>
      <c r="L680" s="123" t="s">
        <v>1278</v>
      </c>
      <c r="M680" s="123" t="s">
        <v>363</v>
      </c>
      <c r="N680" s="123" t="s">
        <v>102</v>
      </c>
      <c r="O680" s="123" t="s">
        <v>115</v>
      </c>
      <c r="P680" s="123">
        <v>1</v>
      </c>
      <c r="Q680" s="123">
        <v>0</v>
      </c>
      <c r="R680" s="123">
        <v>0</v>
      </c>
      <c r="S680" s="123" t="s">
        <v>176</v>
      </c>
      <c r="T680" s="127" t="s">
        <v>24</v>
      </c>
      <c r="U680" s="127" t="s">
        <v>122</v>
      </c>
      <c r="V680" s="127" t="s">
        <v>115</v>
      </c>
      <c r="W680" s="127"/>
      <c r="X680" s="127"/>
      <c r="Y680" s="127"/>
      <c r="Z680" s="127" t="s">
        <v>115</v>
      </c>
      <c r="AA680" s="127" t="s">
        <v>115</v>
      </c>
      <c r="AB680" s="127" t="s">
        <v>115</v>
      </c>
      <c r="AC680" s="127" t="s">
        <v>115</v>
      </c>
      <c r="AD680" s="127" t="s">
        <v>115</v>
      </c>
      <c r="AE680" s="127" t="s">
        <v>115</v>
      </c>
      <c r="AF680" s="127" t="s">
        <v>115</v>
      </c>
      <c r="AG680" s="127" t="s">
        <v>115</v>
      </c>
      <c r="AH680" s="123">
        <v>0</v>
      </c>
      <c r="AI680" s="123">
        <v>0</v>
      </c>
      <c r="AJ680" s="123">
        <v>0</v>
      </c>
      <c r="AK680" s="123">
        <v>0</v>
      </c>
      <c r="AL680" s="123">
        <v>12</v>
      </c>
      <c r="AN680" s="123">
        <f t="shared" si="11"/>
        <v>12</v>
      </c>
      <c r="AO680" s="123" t="s">
        <v>188</v>
      </c>
    </row>
    <row r="681" spans="1:41" x14ac:dyDescent="0.2">
      <c r="A681" s="123" t="s">
        <v>3885</v>
      </c>
      <c r="B681" s="123" t="s">
        <v>3886</v>
      </c>
      <c r="C681" s="123">
        <v>1</v>
      </c>
      <c r="D681" s="123">
        <v>1</v>
      </c>
      <c r="E681" s="123" t="s">
        <v>2462</v>
      </c>
      <c r="F681" s="125">
        <v>43591</v>
      </c>
      <c r="G681" s="125" t="s">
        <v>4028</v>
      </c>
      <c r="H681" s="125" t="s">
        <v>4752</v>
      </c>
      <c r="I681" s="171">
        <v>2.9861111111111113E-2</v>
      </c>
      <c r="J681" s="173">
        <v>4.9768518518518521E-4</v>
      </c>
      <c r="K681" s="129">
        <v>43</v>
      </c>
      <c r="L681" s="123" t="s">
        <v>1278</v>
      </c>
      <c r="M681" s="123" t="s">
        <v>363</v>
      </c>
      <c r="N681" s="123" t="s">
        <v>102</v>
      </c>
      <c r="O681" s="123" t="s">
        <v>23</v>
      </c>
      <c r="P681" s="123">
        <v>1</v>
      </c>
      <c r="Q681" s="123" t="s">
        <v>24</v>
      </c>
      <c r="R681" s="123">
        <v>0</v>
      </c>
      <c r="S681" s="123" t="s">
        <v>176</v>
      </c>
      <c r="T681" s="127" t="s">
        <v>24</v>
      </c>
      <c r="U681" s="127" t="s">
        <v>709</v>
      </c>
      <c r="V681" s="127" t="s">
        <v>115</v>
      </c>
      <c r="W681" s="127"/>
      <c r="X681" s="127"/>
      <c r="Y681" s="127"/>
      <c r="Z681" s="127" t="s">
        <v>115</v>
      </c>
      <c r="AA681" s="127" t="s">
        <v>115</v>
      </c>
      <c r="AB681" s="127" t="s">
        <v>115</v>
      </c>
      <c r="AC681" s="127" t="s">
        <v>115</v>
      </c>
      <c r="AD681" s="127" t="s">
        <v>115</v>
      </c>
      <c r="AE681" s="127" t="s">
        <v>115</v>
      </c>
      <c r="AF681" s="127" t="s">
        <v>115</v>
      </c>
      <c r="AG681" s="127" t="s">
        <v>115</v>
      </c>
      <c r="AH681" s="123">
        <v>0</v>
      </c>
      <c r="AI681" s="123">
        <v>0</v>
      </c>
      <c r="AJ681" s="123">
        <v>0</v>
      </c>
      <c r="AK681" s="123">
        <v>0</v>
      </c>
      <c r="AL681" s="123">
        <v>33</v>
      </c>
      <c r="AN681" s="123">
        <f t="shared" si="11"/>
        <v>33</v>
      </c>
      <c r="AO681" s="123" t="s">
        <v>188</v>
      </c>
    </row>
    <row r="682" spans="1:41" x14ac:dyDescent="0.2">
      <c r="A682" s="123" t="s">
        <v>3889</v>
      </c>
      <c r="B682" s="123" t="s">
        <v>3890</v>
      </c>
      <c r="C682" s="123">
        <v>3</v>
      </c>
      <c r="D682" s="123">
        <v>1</v>
      </c>
      <c r="E682" s="123" t="s">
        <v>2462</v>
      </c>
      <c r="F682" s="125">
        <v>43591</v>
      </c>
      <c r="G682" s="125" t="s">
        <v>4028</v>
      </c>
      <c r="H682" s="125" t="s">
        <v>4752</v>
      </c>
      <c r="I682" s="171">
        <v>9.8611111111111108E-2</v>
      </c>
      <c r="J682" s="173">
        <v>1.6435185185185183E-3</v>
      </c>
      <c r="K682" s="129">
        <v>142</v>
      </c>
      <c r="L682" s="123" t="s">
        <v>1278</v>
      </c>
      <c r="M682" s="123" t="s">
        <v>363</v>
      </c>
      <c r="N682" s="123" t="s">
        <v>102</v>
      </c>
      <c r="O682" s="123" t="s">
        <v>115</v>
      </c>
      <c r="P682" s="123">
        <v>3</v>
      </c>
      <c r="Q682" s="123">
        <v>0</v>
      </c>
      <c r="R682" s="123">
        <v>0</v>
      </c>
      <c r="S682" s="123" t="s">
        <v>176</v>
      </c>
      <c r="T682" s="127" t="s">
        <v>24</v>
      </c>
      <c r="U682" s="127" t="s">
        <v>122</v>
      </c>
      <c r="V682" s="127" t="s">
        <v>115</v>
      </c>
      <c r="W682" s="127"/>
      <c r="X682" s="127"/>
      <c r="Y682" s="127"/>
      <c r="Z682" s="127" t="s">
        <v>115</v>
      </c>
      <c r="AA682" s="127" t="s">
        <v>115</v>
      </c>
      <c r="AB682" s="127" t="s">
        <v>115</v>
      </c>
      <c r="AC682" s="127" t="s">
        <v>115</v>
      </c>
      <c r="AD682" s="127" t="s">
        <v>115</v>
      </c>
      <c r="AE682" s="127" t="s">
        <v>115</v>
      </c>
      <c r="AF682" s="127" t="s">
        <v>115</v>
      </c>
      <c r="AG682" s="127" t="s">
        <v>115</v>
      </c>
      <c r="AH682" s="123">
        <v>0</v>
      </c>
      <c r="AI682" s="123">
        <v>0</v>
      </c>
      <c r="AJ682" s="123">
        <v>0</v>
      </c>
      <c r="AK682" s="123">
        <v>0</v>
      </c>
      <c r="AL682" s="123">
        <v>144</v>
      </c>
      <c r="AN682" s="123">
        <f t="shared" si="11"/>
        <v>144</v>
      </c>
      <c r="AO682" s="123" t="s">
        <v>188</v>
      </c>
    </row>
    <row r="683" spans="1:41" x14ac:dyDescent="0.2">
      <c r="A683" s="123" t="s">
        <v>3897</v>
      </c>
      <c r="B683" s="123" t="s">
        <v>3898</v>
      </c>
      <c r="C683" s="123">
        <v>7</v>
      </c>
      <c r="D683" s="123">
        <v>1</v>
      </c>
      <c r="E683" s="123" t="s">
        <v>2462</v>
      </c>
      <c r="F683" s="125">
        <v>43591</v>
      </c>
      <c r="G683" s="125" t="s">
        <v>4028</v>
      </c>
      <c r="H683" s="125" t="s">
        <v>4752</v>
      </c>
      <c r="I683" s="171">
        <v>1.8055555555555557E-2</v>
      </c>
      <c r="J683" s="173">
        <v>3.0092592592592595E-4</v>
      </c>
      <c r="K683" s="129">
        <v>26</v>
      </c>
      <c r="L683" s="123" t="s">
        <v>1278</v>
      </c>
      <c r="M683" s="123" t="s">
        <v>363</v>
      </c>
      <c r="N683" s="123" t="s">
        <v>107</v>
      </c>
      <c r="O683" s="123" t="s">
        <v>115</v>
      </c>
      <c r="P683" s="123">
        <v>1</v>
      </c>
      <c r="Q683" s="123">
        <v>0</v>
      </c>
      <c r="R683" s="123">
        <v>0</v>
      </c>
      <c r="S683" s="123" t="s">
        <v>598</v>
      </c>
      <c r="T683" s="127" t="s">
        <v>2801</v>
      </c>
      <c r="U683" s="127" t="s">
        <v>122</v>
      </c>
      <c r="V683" s="127" t="s">
        <v>115</v>
      </c>
      <c r="W683" s="127"/>
      <c r="X683" s="127"/>
      <c r="Y683" s="127"/>
      <c r="Z683" s="127" t="s">
        <v>115</v>
      </c>
      <c r="AA683" s="127" t="s">
        <v>115</v>
      </c>
      <c r="AB683" s="127" t="s">
        <v>115</v>
      </c>
      <c r="AC683" s="127" t="s">
        <v>115</v>
      </c>
      <c r="AD683" s="127" t="s">
        <v>115</v>
      </c>
      <c r="AE683" s="127" t="s">
        <v>115</v>
      </c>
      <c r="AF683" s="127" t="s">
        <v>115</v>
      </c>
      <c r="AG683" s="127" t="s">
        <v>115</v>
      </c>
      <c r="AH683" s="123">
        <v>0</v>
      </c>
      <c r="AI683" s="123">
        <v>0</v>
      </c>
      <c r="AJ683" s="123">
        <v>0</v>
      </c>
      <c r="AK683" s="123">
        <v>0</v>
      </c>
      <c r="AL683" s="123">
        <v>0</v>
      </c>
      <c r="AN683" s="123">
        <f t="shared" si="11"/>
        <v>0</v>
      </c>
    </row>
    <row r="684" spans="1:41" x14ac:dyDescent="0.2">
      <c r="A684" s="123" t="s">
        <v>3901</v>
      </c>
      <c r="B684" s="123" t="s">
        <v>3902</v>
      </c>
      <c r="C684" s="123">
        <v>9</v>
      </c>
      <c r="D684" s="123">
        <v>1</v>
      </c>
      <c r="E684" s="123" t="s">
        <v>2462</v>
      </c>
      <c r="F684" s="125">
        <v>43591</v>
      </c>
      <c r="G684" s="125" t="s">
        <v>4028</v>
      </c>
      <c r="H684" s="125" t="s">
        <v>4752</v>
      </c>
      <c r="I684" s="171">
        <v>5.6250000000000001E-2</v>
      </c>
      <c r="J684" s="173">
        <v>9.3750000000000007E-4</v>
      </c>
      <c r="K684" s="129">
        <v>81</v>
      </c>
      <c r="L684" s="123" t="s">
        <v>1278</v>
      </c>
      <c r="M684" s="123" t="s">
        <v>363</v>
      </c>
      <c r="N684" s="123" t="s">
        <v>102</v>
      </c>
      <c r="O684" s="123" t="s">
        <v>115</v>
      </c>
      <c r="P684" s="123">
        <v>1</v>
      </c>
      <c r="Q684" s="123">
        <v>0</v>
      </c>
      <c r="R684" s="123">
        <v>0</v>
      </c>
      <c r="S684" s="123" t="s">
        <v>14</v>
      </c>
      <c r="T684" s="127" t="s">
        <v>2557</v>
      </c>
      <c r="U684" s="127" t="s">
        <v>122</v>
      </c>
      <c r="V684" s="127" t="s">
        <v>115</v>
      </c>
      <c r="W684" s="127"/>
      <c r="X684" s="127"/>
      <c r="Y684" s="127"/>
      <c r="Z684" s="127" t="s">
        <v>115</v>
      </c>
      <c r="AA684" s="127" t="s">
        <v>115</v>
      </c>
      <c r="AB684" s="127" t="s">
        <v>115</v>
      </c>
      <c r="AC684" s="127" t="s">
        <v>115</v>
      </c>
      <c r="AD684" s="127" t="s">
        <v>115</v>
      </c>
      <c r="AE684" s="127" t="s">
        <v>115</v>
      </c>
      <c r="AF684" s="127" t="s">
        <v>115</v>
      </c>
      <c r="AG684" s="127" t="s">
        <v>115</v>
      </c>
      <c r="AH684" s="123">
        <v>0</v>
      </c>
      <c r="AI684" s="123">
        <v>0</v>
      </c>
      <c r="AJ684" s="123">
        <v>0</v>
      </c>
      <c r="AK684" s="123">
        <v>0</v>
      </c>
      <c r="AL684" s="123">
        <v>70</v>
      </c>
      <c r="AN684" s="123">
        <f t="shared" si="11"/>
        <v>70</v>
      </c>
      <c r="AO684" s="123" t="s">
        <v>188</v>
      </c>
    </row>
    <row r="685" spans="1:41" x14ac:dyDescent="0.2">
      <c r="A685" s="123" t="s">
        <v>3900</v>
      </c>
      <c r="B685" s="123" t="s">
        <v>3899</v>
      </c>
      <c r="C685" s="123">
        <v>8</v>
      </c>
      <c r="D685" s="123">
        <v>1</v>
      </c>
      <c r="E685" s="123" t="s">
        <v>2462</v>
      </c>
      <c r="F685" s="125">
        <v>43591</v>
      </c>
      <c r="G685" s="125" t="s">
        <v>4028</v>
      </c>
      <c r="H685" s="125" t="s">
        <v>4752</v>
      </c>
      <c r="I685" s="171">
        <v>1.9444444444444445E-2</v>
      </c>
      <c r="J685" s="173">
        <v>3.2407407407407406E-4</v>
      </c>
      <c r="K685" s="129">
        <v>28</v>
      </c>
      <c r="L685" s="123" t="s">
        <v>1278</v>
      </c>
      <c r="M685" s="123" t="s">
        <v>363</v>
      </c>
      <c r="N685" s="123" t="s">
        <v>102</v>
      </c>
      <c r="O685" s="123" t="s">
        <v>115</v>
      </c>
      <c r="P685" s="123">
        <v>0</v>
      </c>
      <c r="Q685" s="123">
        <v>0</v>
      </c>
      <c r="R685" s="123">
        <v>0</v>
      </c>
      <c r="T685" s="127" t="s">
        <v>115</v>
      </c>
      <c r="U685" s="127" t="s">
        <v>115</v>
      </c>
      <c r="V685" s="127" t="s">
        <v>115</v>
      </c>
      <c r="W685" s="127"/>
      <c r="X685" s="127"/>
      <c r="Y685" s="127"/>
      <c r="Z685" s="127" t="s">
        <v>115</v>
      </c>
      <c r="AA685" s="127" t="s">
        <v>115</v>
      </c>
      <c r="AB685" s="127" t="s">
        <v>115</v>
      </c>
      <c r="AC685" s="127" t="s">
        <v>115</v>
      </c>
      <c r="AD685" s="127" t="s">
        <v>115</v>
      </c>
      <c r="AE685" s="127" t="s">
        <v>115</v>
      </c>
      <c r="AF685" s="127" t="s">
        <v>115</v>
      </c>
      <c r="AG685" s="127" t="s">
        <v>115</v>
      </c>
      <c r="AH685" s="123">
        <v>0</v>
      </c>
      <c r="AI685" s="123">
        <v>0</v>
      </c>
      <c r="AJ685" s="123">
        <v>0</v>
      </c>
      <c r="AK685" s="123">
        <v>0</v>
      </c>
      <c r="AL685" s="123">
        <v>12</v>
      </c>
      <c r="AN685" s="123">
        <f t="shared" si="11"/>
        <v>12</v>
      </c>
      <c r="AO685" s="123" t="s">
        <v>188</v>
      </c>
    </row>
    <row r="686" spans="1:41" x14ac:dyDescent="0.2">
      <c r="A686" s="123" t="s">
        <v>3895</v>
      </c>
      <c r="B686" s="123" t="s">
        <v>3896</v>
      </c>
      <c r="C686" s="123">
        <v>6</v>
      </c>
      <c r="D686" s="123">
        <v>1</v>
      </c>
      <c r="E686" s="123" t="s">
        <v>2462</v>
      </c>
      <c r="F686" s="125">
        <v>43591</v>
      </c>
      <c r="G686" s="125" t="s">
        <v>4028</v>
      </c>
      <c r="H686" s="125" t="s">
        <v>4752</v>
      </c>
      <c r="I686" s="171">
        <v>7.4305555555555555E-2</v>
      </c>
      <c r="J686" s="173">
        <v>1.2384259259259258E-3</v>
      </c>
      <c r="K686" s="129">
        <v>107</v>
      </c>
      <c r="L686" s="123" t="s">
        <v>1278</v>
      </c>
      <c r="M686" s="123" t="s">
        <v>363</v>
      </c>
      <c r="N686" s="123" t="s">
        <v>102</v>
      </c>
      <c r="O686" s="123" t="s">
        <v>115</v>
      </c>
      <c r="P686" s="123">
        <v>0</v>
      </c>
      <c r="Q686" s="123">
        <v>0</v>
      </c>
      <c r="R686" s="123">
        <v>0</v>
      </c>
      <c r="S686" s="123" t="s">
        <v>24</v>
      </c>
      <c r="T686" s="127" t="s">
        <v>24</v>
      </c>
      <c r="U686" s="127" t="s">
        <v>24</v>
      </c>
      <c r="V686" s="127" t="s">
        <v>24</v>
      </c>
      <c r="W686" s="127"/>
      <c r="X686" s="127"/>
      <c r="Y686" s="127"/>
      <c r="Z686" s="127" t="s">
        <v>24</v>
      </c>
      <c r="AA686" s="127" t="s">
        <v>24</v>
      </c>
      <c r="AB686" s="127" t="s">
        <v>24</v>
      </c>
      <c r="AC686" s="127" t="s">
        <v>24</v>
      </c>
      <c r="AD686" s="127" t="s">
        <v>24</v>
      </c>
      <c r="AE686" s="127" t="s">
        <v>24</v>
      </c>
      <c r="AF686" s="127" t="s">
        <v>24</v>
      </c>
      <c r="AG686" s="127" t="s">
        <v>24</v>
      </c>
      <c r="AH686" s="123">
        <v>0</v>
      </c>
      <c r="AI686" s="123">
        <v>0</v>
      </c>
      <c r="AJ686" s="123">
        <v>0</v>
      </c>
      <c r="AK686" s="123">
        <v>0</v>
      </c>
      <c r="AL686" s="123">
        <v>31</v>
      </c>
      <c r="AN686" s="123">
        <f t="shared" si="11"/>
        <v>31</v>
      </c>
      <c r="AO686" s="123" t="s">
        <v>188</v>
      </c>
    </row>
    <row r="687" spans="1:41" x14ac:dyDescent="0.2">
      <c r="A687" s="123" t="s">
        <v>3723</v>
      </c>
      <c r="B687" s="123" t="s">
        <v>3724</v>
      </c>
      <c r="C687" s="123">
        <v>1</v>
      </c>
      <c r="D687" s="123">
        <v>1</v>
      </c>
      <c r="E687" s="123" t="s">
        <v>2462</v>
      </c>
      <c r="F687" s="125">
        <v>43587</v>
      </c>
      <c r="G687" s="125" t="s">
        <v>4028</v>
      </c>
      <c r="H687" s="125" t="s">
        <v>4752</v>
      </c>
      <c r="I687" s="171">
        <v>3.125E-2</v>
      </c>
      <c r="J687" s="173">
        <v>5.2083333333333333E-4</v>
      </c>
      <c r="K687" s="129">
        <v>45</v>
      </c>
      <c r="L687" s="123" t="s">
        <v>1278</v>
      </c>
      <c r="M687" s="123" t="s">
        <v>363</v>
      </c>
      <c r="N687" s="123" t="s">
        <v>102</v>
      </c>
      <c r="O687" s="123" t="s">
        <v>115</v>
      </c>
      <c r="P687" s="123" t="s">
        <v>24</v>
      </c>
      <c r="Q687" s="123">
        <v>0</v>
      </c>
      <c r="R687" s="123">
        <v>0</v>
      </c>
      <c r="T687" s="127" t="s">
        <v>115</v>
      </c>
      <c r="U687" s="127" t="s">
        <v>115</v>
      </c>
      <c r="V687" s="127" t="s">
        <v>115</v>
      </c>
      <c r="W687" s="127"/>
      <c r="X687" s="127"/>
      <c r="Y687" s="127"/>
      <c r="Z687" s="127" t="s">
        <v>115</v>
      </c>
      <c r="AA687" s="127" t="s">
        <v>115</v>
      </c>
      <c r="AB687" s="127" t="s">
        <v>115</v>
      </c>
      <c r="AC687" s="127" t="s">
        <v>115</v>
      </c>
      <c r="AD687" s="127" t="s">
        <v>115</v>
      </c>
      <c r="AE687" s="127" t="s">
        <v>115</v>
      </c>
      <c r="AF687" s="127" t="s">
        <v>115</v>
      </c>
      <c r="AG687" s="127" t="s">
        <v>115</v>
      </c>
      <c r="AH687" s="123">
        <v>0</v>
      </c>
      <c r="AI687" s="123">
        <v>0</v>
      </c>
      <c r="AJ687" s="123">
        <v>0</v>
      </c>
      <c r="AK687" s="123">
        <v>0</v>
      </c>
      <c r="AL687" s="123">
        <v>45</v>
      </c>
      <c r="AN687" s="123">
        <f t="shared" si="11"/>
        <v>45</v>
      </c>
      <c r="AO687" s="123" t="s">
        <v>188</v>
      </c>
    </row>
    <row r="688" spans="1:41" x14ac:dyDescent="0.2">
      <c r="A688" s="123" t="s">
        <v>3725</v>
      </c>
      <c r="B688" s="123" t="s">
        <v>3726</v>
      </c>
      <c r="C688" s="123">
        <v>2</v>
      </c>
      <c r="D688" s="123">
        <v>1</v>
      </c>
      <c r="E688" s="123" t="s">
        <v>2462</v>
      </c>
      <c r="F688" s="125">
        <v>43587</v>
      </c>
      <c r="G688" s="125" t="s">
        <v>4028</v>
      </c>
      <c r="H688" s="125" t="s">
        <v>4752</v>
      </c>
      <c r="I688" s="171">
        <v>3.8194444444444441E-2</v>
      </c>
      <c r="J688" s="173">
        <v>6.3657407407407402E-4</v>
      </c>
      <c r="K688" s="129">
        <v>55</v>
      </c>
      <c r="L688" s="123" t="s">
        <v>1278</v>
      </c>
      <c r="M688" s="123" t="s">
        <v>363</v>
      </c>
      <c r="N688" s="123" t="s">
        <v>102</v>
      </c>
      <c r="O688" s="123" t="s">
        <v>115</v>
      </c>
      <c r="P688" s="123" t="s">
        <v>24</v>
      </c>
      <c r="Q688" s="123">
        <v>0</v>
      </c>
      <c r="R688" s="123">
        <v>0</v>
      </c>
      <c r="T688" s="127" t="s">
        <v>115</v>
      </c>
      <c r="U688" s="127" t="s">
        <v>115</v>
      </c>
      <c r="V688" s="127" t="s">
        <v>115</v>
      </c>
      <c r="W688" s="127"/>
      <c r="X688" s="127"/>
      <c r="Y688" s="127"/>
      <c r="Z688" s="127" t="s">
        <v>115</v>
      </c>
      <c r="AA688" s="127" t="s">
        <v>115</v>
      </c>
      <c r="AB688" s="127" t="s">
        <v>115</v>
      </c>
      <c r="AC688" s="127" t="s">
        <v>115</v>
      </c>
      <c r="AD688" s="127" t="s">
        <v>115</v>
      </c>
      <c r="AE688" s="127" t="s">
        <v>115</v>
      </c>
      <c r="AF688" s="127" t="s">
        <v>115</v>
      </c>
      <c r="AG688" s="127" t="s">
        <v>115</v>
      </c>
      <c r="AH688" s="123">
        <v>0</v>
      </c>
      <c r="AI688" s="123">
        <v>0</v>
      </c>
      <c r="AJ688" s="123">
        <v>0</v>
      </c>
      <c r="AK688" s="123">
        <v>0</v>
      </c>
      <c r="AL688" s="123">
        <v>19</v>
      </c>
      <c r="AN688" s="123">
        <f t="shared" si="11"/>
        <v>19</v>
      </c>
      <c r="AO688" s="123" t="s">
        <v>188</v>
      </c>
    </row>
    <row r="689" spans="1:48" x14ac:dyDescent="0.2">
      <c r="A689" s="123" t="s">
        <v>3887</v>
      </c>
      <c r="B689" s="123" t="s">
        <v>3888</v>
      </c>
      <c r="C689" s="123">
        <v>2</v>
      </c>
      <c r="D689" s="123">
        <v>1</v>
      </c>
      <c r="E689" s="123" t="s">
        <v>2462</v>
      </c>
      <c r="F689" s="125">
        <v>43591</v>
      </c>
      <c r="G689" s="125" t="s">
        <v>4028</v>
      </c>
      <c r="H689" s="125" t="s">
        <v>4752</v>
      </c>
      <c r="I689" s="171">
        <v>2.013888888888889E-2</v>
      </c>
      <c r="J689" s="173">
        <v>3.3564814814814812E-4</v>
      </c>
      <c r="K689" s="129">
        <v>29</v>
      </c>
      <c r="L689" s="123" t="s">
        <v>1278</v>
      </c>
      <c r="M689" s="123" t="s">
        <v>363</v>
      </c>
      <c r="N689" s="123" t="s">
        <v>102</v>
      </c>
      <c r="O689" s="123" t="s">
        <v>115</v>
      </c>
      <c r="P689" s="123" t="s">
        <v>24</v>
      </c>
      <c r="Q689" s="123">
        <v>0</v>
      </c>
      <c r="R689" s="123">
        <v>0</v>
      </c>
      <c r="T689" s="127" t="s">
        <v>115</v>
      </c>
      <c r="U689" s="127" t="s">
        <v>115</v>
      </c>
      <c r="V689" s="127" t="s">
        <v>115</v>
      </c>
      <c r="W689" s="127"/>
      <c r="X689" s="127"/>
      <c r="Y689" s="127"/>
      <c r="Z689" s="127" t="s">
        <v>115</v>
      </c>
      <c r="AA689" s="127" t="s">
        <v>115</v>
      </c>
      <c r="AB689" s="127" t="s">
        <v>115</v>
      </c>
      <c r="AC689" s="127" t="s">
        <v>115</v>
      </c>
      <c r="AD689" s="127" t="s">
        <v>115</v>
      </c>
      <c r="AE689" s="127" t="s">
        <v>115</v>
      </c>
      <c r="AF689" s="127" t="s">
        <v>115</v>
      </c>
      <c r="AG689" s="127" t="s">
        <v>115</v>
      </c>
      <c r="AH689" s="123">
        <v>0</v>
      </c>
      <c r="AI689" s="123">
        <v>0</v>
      </c>
      <c r="AJ689" s="123">
        <v>0</v>
      </c>
      <c r="AK689" s="123">
        <v>0</v>
      </c>
      <c r="AL689" s="123">
        <v>29</v>
      </c>
      <c r="AN689" s="123">
        <f t="shared" si="11"/>
        <v>29</v>
      </c>
      <c r="AO689" s="123" t="s">
        <v>188</v>
      </c>
    </row>
    <row r="690" spans="1:48" s="133" customFormat="1" x14ac:dyDescent="0.2">
      <c r="A690" s="123" t="s">
        <v>3783</v>
      </c>
      <c r="B690" s="123" t="s">
        <v>3784</v>
      </c>
      <c r="C690" s="123">
        <v>14</v>
      </c>
      <c r="D690" s="123">
        <v>2</v>
      </c>
      <c r="E690" s="123" t="s">
        <v>3171</v>
      </c>
      <c r="F690" s="125">
        <v>43588</v>
      </c>
      <c r="G690" s="125" t="s">
        <v>4028</v>
      </c>
      <c r="H690" s="125" t="s">
        <v>4752</v>
      </c>
      <c r="I690" s="171">
        <v>7.1527777777777787E-2</v>
      </c>
      <c r="J690" s="173">
        <v>1.1921296296296296E-3</v>
      </c>
      <c r="K690" s="129">
        <v>103</v>
      </c>
      <c r="L690" s="123" t="s">
        <v>3187</v>
      </c>
      <c r="M690" s="123" t="s">
        <v>149</v>
      </c>
      <c r="N690" s="123" t="s">
        <v>102</v>
      </c>
      <c r="O690" s="123" t="s">
        <v>115</v>
      </c>
      <c r="P690" s="123">
        <v>1</v>
      </c>
      <c r="Q690" s="123">
        <v>0</v>
      </c>
      <c r="R690" s="123">
        <v>0</v>
      </c>
      <c r="S690" s="123" t="s">
        <v>176</v>
      </c>
      <c r="T690" s="127" t="s">
        <v>24</v>
      </c>
      <c r="U690" s="127" t="s">
        <v>122</v>
      </c>
      <c r="V690" s="127" t="s">
        <v>115</v>
      </c>
      <c r="W690" s="127"/>
      <c r="X690" s="127"/>
      <c r="Y690" s="127"/>
      <c r="Z690" s="127" t="s">
        <v>115</v>
      </c>
      <c r="AA690" s="127" t="s">
        <v>115</v>
      </c>
      <c r="AB690" s="127" t="s">
        <v>115</v>
      </c>
      <c r="AC690" s="127" t="s">
        <v>115</v>
      </c>
      <c r="AD690" s="127" t="s">
        <v>115</v>
      </c>
      <c r="AE690" s="127" t="s">
        <v>115</v>
      </c>
      <c r="AF690" s="127" t="s">
        <v>115</v>
      </c>
      <c r="AG690" s="127" t="s">
        <v>115</v>
      </c>
      <c r="AH690" s="123">
        <v>0</v>
      </c>
      <c r="AI690" s="123">
        <v>0</v>
      </c>
      <c r="AJ690" s="123">
        <v>0</v>
      </c>
      <c r="AK690" s="123">
        <v>0</v>
      </c>
      <c r="AL690" s="123">
        <v>92</v>
      </c>
      <c r="AM690" s="123"/>
      <c r="AN690" s="123">
        <f t="shared" si="11"/>
        <v>92</v>
      </c>
      <c r="AO690" s="123" t="s">
        <v>188</v>
      </c>
      <c r="AP690" s="123"/>
      <c r="AQ690" s="123"/>
      <c r="AR690" s="123"/>
    </row>
    <row r="691" spans="1:48" s="133" customFormat="1" x14ac:dyDescent="0.2">
      <c r="A691" s="123" t="s">
        <v>3795</v>
      </c>
      <c r="B691" s="123" t="s">
        <v>3796</v>
      </c>
      <c r="C691" s="123">
        <v>19</v>
      </c>
      <c r="D691" s="123">
        <v>1</v>
      </c>
      <c r="E691" s="123" t="s">
        <v>3171</v>
      </c>
      <c r="F691" s="125">
        <v>43588</v>
      </c>
      <c r="G691" s="125" t="s">
        <v>4028</v>
      </c>
      <c r="H691" s="125" t="s">
        <v>4752</v>
      </c>
      <c r="I691" s="171">
        <v>4.2361111111111106E-2</v>
      </c>
      <c r="J691" s="173">
        <v>7.0601851851851847E-4</v>
      </c>
      <c r="K691" s="129">
        <v>61</v>
      </c>
      <c r="L691" s="123" t="s">
        <v>3187</v>
      </c>
      <c r="M691" s="123" t="s">
        <v>149</v>
      </c>
      <c r="N691" s="123" t="s">
        <v>102</v>
      </c>
      <c r="O691" s="123" t="s">
        <v>115</v>
      </c>
      <c r="P691" s="123">
        <v>1</v>
      </c>
      <c r="Q691" s="123">
        <v>0</v>
      </c>
      <c r="R691" s="123">
        <v>0</v>
      </c>
      <c r="S691" s="123" t="s">
        <v>176</v>
      </c>
      <c r="T691" s="127" t="s">
        <v>24</v>
      </c>
      <c r="U691" s="127" t="s">
        <v>122</v>
      </c>
      <c r="V691" s="127" t="s">
        <v>115</v>
      </c>
      <c r="W691" s="127"/>
      <c r="X691" s="127"/>
      <c r="Y691" s="127"/>
      <c r="Z691" s="127" t="s">
        <v>115</v>
      </c>
      <c r="AA691" s="127" t="s">
        <v>115</v>
      </c>
      <c r="AB691" s="127" t="s">
        <v>115</v>
      </c>
      <c r="AC691" s="127" t="s">
        <v>115</v>
      </c>
      <c r="AD691" s="127" t="s">
        <v>115</v>
      </c>
      <c r="AE691" s="127" t="s">
        <v>115</v>
      </c>
      <c r="AF691" s="127" t="s">
        <v>115</v>
      </c>
      <c r="AG691" s="127" t="s">
        <v>115</v>
      </c>
      <c r="AH691" s="123">
        <v>0</v>
      </c>
      <c r="AI691" s="123">
        <v>0</v>
      </c>
      <c r="AJ691" s="123">
        <v>0</v>
      </c>
      <c r="AK691" s="123">
        <v>0</v>
      </c>
      <c r="AL691" s="123">
        <v>54</v>
      </c>
      <c r="AM691" s="123"/>
      <c r="AN691" s="123">
        <f t="shared" si="11"/>
        <v>54</v>
      </c>
      <c r="AO691" s="123" t="s">
        <v>188</v>
      </c>
      <c r="AP691" s="123"/>
      <c r="AQ691" s="123"/>
      <c r="AR691" s="123"/>
    </row>
    <row r="692" spans="1:48" s="133" customFormat="1" x14ac:dyDescent="0.2">
      <c r="A692" s="123" t="s">
        <v>3788</v>
      </c>
      <c r="B692" s="123" t="s">
        <v>3789</v>
      </c>
      <c r="C692" s="123">
        <v>16</v>
      </c>
      <c r="D692" s="123">
        <v>1</v>
      </c>
      <c r="E692" s="123" t="s">
        <v>3171</v>
      </c>
      <c r="F692" s="125">
        <v>43588</v>
      </c>
      <c r="G692" s="125" t="s">
        <v>4028</v>
      </c>
      <c r="H692" s="125" t="s">
        <v>4752</v>
      </c>
      <c r="I692" s="171">
        <v>2.6388888888888889E-2</v>
      </c>
      <c r="J692" s="173">
        <v>4.3981481481481481E-4</v>
      </c>
      <c r="K692" s="129">
        <v>38</v>
      </c>
      <c r="L692" s="123" t="s">
        <v>3187</v>
      </c>
      <c r="M692" s="123" t="s">
        <v>149</v>
      </c>
      <c r="N692" s="123" t="s">
        <v>187</v>
      </c>
      <c r="O692" s="123" t="s">
        <v>23</v>
      </c>
      <c r="P692" s="123">
        <v>1</v>
      </c>
      <c r="Q692" s="123">
        <v>0</v>
      </c>
      <c r="R692" s="123">
        <v>1</v>
      </c>
      <c r="S692" s="123" t="s">
        <v>598</v>
      </c>
      <c r="T692" s="127" t="s">
        <v>2437</v>
      </c>
      <c r="U692" s="127" t="s">
        <v>122</v>
      </c>
      <c r="V692" s="127" t="s">
        <v>333</v>
      </c>
      <c r="W692" s="127" t="s">
        <v>23</v>
      </c>
      <c r="X692" s="127" t="s">
        <v>3999</v>
      </c>
      <c r="Y692" s="127" t="s">
        <v>4006</v>
      </c>
      <c r="Z692" s="127" t="s">
        <v>2912</v>
      </c>
      <c r="AA692" s="123">
        <v>165</v>
      </c>
      <c r="AB692" s="123">
        <v>5</v>
      </c>
      <c r="AC692" s="123">
        <v>63.722900000000003</v>
      </c>
      <c r="AD692" s="123">
        <v>148.94708</v>
      </c>
      <c r="AE692" s="123"/>
      <c r="AF692" s="127" t="s">
        <v>115</v>
      </c>
      <c r="AG692" s="127" t="s">
        <v>115</v>
      </c>
      <c r="AH692" s="123">
        <v>0</v>
      </c>
      <c r="AI692" s="123">
        <v>0</v>
      </c>
      <c r="AJ692" s="123">
        <v>0</v>
      </c>
      <c r="AK692" s="123">
        <v>0</v>
      </c>
      <c r="AL692" s="123">
        <v>23</v>
      </c>
      <c r="AM692" s="123"/>
      <c r="AN692" s="123">
        <f t="shared" si="11"/>
        <v>23</v>
      </c>
      <c r="AO692" s="123" t="s">
        <v>188</v>
      </c>
      <c r="AP692" s="123"/>
      <c r="AQ692" s="123"/>
      <c r="AR692" s="123"/>
    </row>
    <row r="693" spans="1:48" s="133" customFormat="1" x14ac:dyDescent="0.2">
      <c r="A693" s="123" t="s">
        <v>3761</v>
      </c>
      <c r="B693" s="123" t="s">
        <v>3762</v>
      </c>
      <c r="C693" s="123">
        <v>4</v>
      </c>
      <c r="D693" s="123">
        <v>1</v>
      </c>
      <c r="E693" s="123" t="s">
        <v>3171</v>
      </c>
      <c r="F693" s="125">
        <v>43588</v>
      </c>
      <c r="G693" s="125" t="s">
        <v>4028</v>
      </c>
      <c r="H693" s="125" t="s">
        <v>4752</v>
      </c>
      <c r="I693" s="171">
        <v>6.9444444444444441E-3</v>
      </c>
      <c r="J693" s="173">
        <v>1.1574074074074073E-4</v>
      </c>
      <c r="K693" s="129">
        <v>10</v>
      </c>
      <c r="L693" s="123" t="s">
        <v>3187</v>
      </c>
      <c r="M693" s="123" t="s">
        <v>149</v>
      </c>
      <c r="N693" s="123" t="s">
        <v>242</v>
      </c>
      <c r="O693" s="123" t="s">
        <v>23</v>
      </c>
      <c r="P693" s="123">
        <v>1</v>
      </c>
      <c r="Q693" s="123">
        <v>0</v>
      </c>
      <c r="R693" s="123">
        <v>1</v>
      </c>
      <c r="S693" s="123" t="s">
        <v>598</v>
      </c>
      <c r="T693" s="127" t="s">
        <v>3794</v>
      </c>
      <c r="U693" s="127" t="s">
        <v>122</v>
      </c>
      <c r="V693" s="127" t="s">
        <v>333</v>
      </c>
      <c r="W693" s="127" t="s">
        <v>23</v>
      </c>
      <c r="X693" s="127" t="s">
        <v>3999</v>
      </c>
      <c r="Y693" s="127" t="s">
        <v>4006</v>
      </c>
      <c r="Z693" s="127" t="s">
        <v>2850</v>
      </c>
      <c r="AA693" s="123">
        <v>115</v>
      </c>
      <c r="AB693" s="127">
        <v>10</v>
      </c>
      <c r="AC693" s="123">
        <v>63.722990000000003</v>
      </c>
      <c r="AD693" s="127">
        <v>148.94640999999999</v>
      </c>
      <c r="AE693" s="127" t="s">
        <v>115</v>
      </c>
      <c r="AF693" s="127" t="s">
        <v>115</v>
      </c>
      <c r="AG693" s="127" t="s">
        <v>115</v>
      </c>
      <c r="AH693" s="123">
        <v>0</v>
      </c>
      <c r="AI693" s="123">
        <v>0</v>
      </c>
      <c r="AJ693" s="123">
        <v>0</v>
      </c>
      <c r="AK693" s="123">
        <v>0</v>
      </c>
      <c r="AL693" s="123">
        <v>0</v>
      </c>
      <c r="AM693" s="123"/>
      <c r="AN693" s="123">
        <f t="shared" si="11"/>
        <v>0</v>
      </c>
      <c r="AO693" s="123"/>
      <c r="AP693" s="123" t="s">
        <v>4841</v>
      </c>
      <c r="AQ693" s="123"/>
      <c r="AR693" s="123"/>
    </row>
    <row r="694" spans="1:48" s="133" customFormat="1" x14ac:dyDescent="0.2">
      <c r="A694" s="123" t="s">
        <v>3759</v>
      </c>
      <c r="B694" s="123" t="s">
        <v>3760</v>
      </c>
      <c r="C694" s="123">
        <v>3</v>
      </c>
      <c r="D694" s="123">
        <v>1</v>
      </c>
      <c r="E694" s="123" t="s">
        <v>3171</v>
      </c>
      <c r="F694" s="125">
        <v>43588</v>
      </c>
      <c r="G694" s="125" t="s">
        <v>4028</v>
      </c>
      <c r="H694" s="125" t="s">
        <v>4752</v>
      </c>
      <c r="I694" s="171">
        <v>2.0833333333333333E-3</v>
      </c>
      <c r="J694" s="173">
        <v>3.4722222222222222E-5</v>
      </c>
      <c r="K694" s="129">
        <v>3</v>
      </c>
      <c r="L694" s="123" t="s">
        <v>3187</v>
      </c>
      <c r="M694" s="123" t="s">
        <v>149</v>
      </c>
      <c r="N694" s="123" t="s">
        <v>107</v>
      </c>
      <c r="O694" s="123" t="s">
        <v>115</v>
      </c>
      <c r="P694" s="123">
        <v>1</v>
      </c>
      <c r="Q694" s="123">
        <v>0</v>
      </c>
      <c r="R694" s="123">
        <v>0</v>
      </c>
      <c r="S694" s="123" t="s">
        <v>598</v>
      </c>
      <c r="T694" s="127" t="s">
        <v>2437</v>
      </c>
      <c r="U694" s="127" t="s">
        <v>122</v>
      </c>
      <c r="V694" s="127" t="s">
        <v>115</v>
      </c>
      <c r="W694" s="127"/>
      <c r="X694" s="127"/>
      <c r="Y694" s="127"/>
      <c r="Z694" s="127" t="s">
        <v>115</v>
      </c>
      <c r="AA694" s="127" t="s">
        <v>115</v>
      </c>
      <c r="AB694" s="127" t="s">
        <v>115</v>
      </c>
      <c r="AC694" s="127" t="s">
        <v>115</v>
      </c>
      <c r="AD694" s="127" t="s">
        <v>115</v>
      </c>
      <c r="AE694" s="127" t="s">
        <v>115</v>
      </c>
      <c r="AF694" s="127" t="s">
        <v>115</v>
      </c>
      <c r="AG694" s="127" t="s">
        <v>115</v>
      </c>
      <c r="AH694" s="123">
        <v>0</v>
      </c>
      <c r="AI694" s="123">
        <v>0</v>
      </c>
      <c r="AJ694" s="123">
        <v>0</v>
      </c>
      <c r="AK694" s="123">
        <v>0</v>
      </c>
      <c r="AL694" s="123">
        <v>0</v>
      </c>
      <c r="AM694" s="123"/>
      <c r="AN694" s="123">
        <f t="shared" si="11"/>
        <v>0</v>
      </c>
      <c r="AO694" s="123" t="s">
        <v>188</v>
      </c>
      <c r="AP694" s="123"/>
      <c r="AQ694" s="123"/>
      <c r="AR694" s="123"/>
    </row>
    <row r="695" spans="1:48" s="133" customFormat="1" x14ac:dyDescent="0.2">
      <c r="A695" s="123" t="s">
        <v>3766</v>
      </c>
      <c r="B695" s="123" t="s">
        <v>3767</v>
      </c>
      <c r="C695" s="123">
        <v>6</v>
      </c>
      <c r="D695" s="123">
        <v>1</v>
      </c>
      <c r="E695" s="123" t="s">
        <v>3171</v>
      </c>
      <c r="F695" s="125">
        <v>43588</v>
      </c>
      <c r="G695" s="125" t="s">
        <v>4028</v>
      </c>
      <c r="H695" s="125" t="s">
        <v>4752</v>
      </c>
      <c r="I695" s="171">
        <v>3.2638888888888891E-2</v>
      </c>
      <c r="J695" s="173">
        <v>5.4398148148148144E-4</v>
      </c>
      <c r="K695" s="129">
        <v>47</v>
      </c>
      <c r="L695" s="123" t="s">
        <v>3187</v>
      </c>
      <c r="M695" s="123" t="s">
        <v>149</v>
      </c>
      <c r="N695" s="123" t="s">
        <v>102</v>
      </c>
      <c r="O695" s="123" t="s">
        <v>115</v>
      </c>
      <c r="P695" s="123">
        <v>1</v>
      </c>
      <c r="Q695" s="123">
        <v>0</v>
      </c>
      <c r="R695" s="123">
        <v>0</v>
      </c>
      <c r="S695" s="123" t="s">
        <v>598</v>
      </c>
      <c r="T695" s="127" t="s">
        <v>2437</v>
      </c>
      <c r="U695" s="127" t="s">
        <v>122</v>
      </c>
      <c r="V695" s="127" t="s">
        <v>115</v>
      </c>
      <c r="W695" s="127"/>
      <c r="X695" s="127"/>
      <c r="Y695" s="127"/>
      <c r="Z695" s="127" t="s">
        <v>115</v>
      </c>
      <c r="AA695" s="127" t="s">
        <v>115</v>
      </c>
      <c r="AB695" s="127" t="s">
        <v>115</v>
      </c>
      <c r="AC695" s="127" t="s">
        <v>115</v>
      </c>
      <c r="AD695" s="127" t="s">
        <v>115</v>
      </c>
      <c r="AE695" s="127" t="s">
        <v>115</v>
      </c>
      <c r="AF695" s="127" t="s">
        <v>115</v>
      </c>
      <c r="AG695" s="127" t="s">
        <v>115</v>
      </c>
      <c r="AH695" s="123">
        <v>0</v>
      </c>
      <c r="AI695" s="123">
        <v>0</v>
      </c>
      <c r="AJ695" s="123">
        <v>0</v>
      </c>
      <c r="AK695" s="123">
        <v>0</v>
      </c>
      <c r="AL695" s="123">
        <v>20</v>
      </c>
      <c r="AM695" s="123"/>
      <c r="AN695" s="123">
        <f t="shared" si="11"/>
        <v>20</v>
      </c>
      <c r="AO695" s="123" t="s">
        <v>188</v>
      </c>
      <c r="AP695" s="123"/>
      <c r="AQ695" s="123"/>
      <c r="AR695" s="123"/>
      <c r="AS695" s="135"/>
      <c r="AT695" s="135"/>
      <c r="AU695" s="135"/>
      <c r="AV695" s="135"/>
    </row>
    <row r="696" spans="1:48" s="133" customFormat="1" x14ac:dyDescent="0.2">
      <c r="A696" s="123" t="s">
        <v>3783</v>
      </c>
      <c r="B696" s="123" t="s">
        <v>3784</v>
      </c>
      <c r="C696" s="123">
        <v>14</v>
      </c>
      <c r="D696" s="123">
        <v>1</v>
      </c>
      <c r="E696" s="123" t="s">
        <v>3171</v>
      </c>
      <c r="F696" s="125">
        <v>43588</v>
      </c>
      <c r="G696" s="125" t="s">
        <v>4028</v>
      </c>
      <c r="H696" s="125" t="s">
        <v>4752</v>
      </c>
      <c r="I696" s="171">
        <v>7.1527777777777787E-2</v>
      </c>
      <c r="J696" s="173">
        <v>1.1921296296296296E-3</v>
      </c>
      <c r="K696" s="129">
        <v>103</v>
      </c>
      <c r="L696" s="123" t="s">
        <v>3187</v>
      </c>
      <c r="M696" s="123" t="s">
        <v>149</v>
      </c>
      <c r="N696" s="123" t="s">
        <v>102</v>
      </c>
      <c r="O696" s="123" t="s">
        <v>115</v>
      </c>
      <c r="P696" s="123">
        <v>1</v>
      </c>
      <c r="Q696" s="123">
        <v>0</v>
      </c>
      <c r="R696" s="123">
        <v>0</v>
      </c>
      <c r="S696" s="123" t="s">
        <v>598</v>
      </c>
      <c r="T696" s="127" t="s">
        <v>2437</v>
      </c>
      <c r="U696" s="127" t="s">
        <v>122</v>
      </c>
      <c r="V696" s="127" t="s">
        <v>115</v>
      </c>
      <c r="W696" s="127"/>
      <c r="X696" s="127"/>
      <c r="Y696" s="127"/>
      <c r="Z696" s="127" t="s">
        <v>115</v>
      </c>
      <c r="AA696" s="127" t="s">
        <v>115</v>
      </c>
      <c r="AB696" s="127" t="s">
        <v>115</v>
      </c>
      <c r="AC696" s="127" t="s">
        <v>115</v>
      </c>
      <c r="AD696" s="127" t="s">
        <v>115</v>
      </c>
      <c r="AE696" s="127" t="s">
        <v>115</v>
      </c>
      <c r="AF696" s="127" t="s">
        <v>115</v>
      </c>
      <c r="AG696" s="127" t="s">
        <v>115</v>
      </c>
      <c r="AH696" s="123">
        <v>0</v>
      </c>
      <c r="AI696" s="123">
        <v>0</v>
      </c>
      <c r="AJ696" s="123">
        <v>0</v>
      </c>
      <c r="AK696" s="123">
        <v>0</v>
      </c>
      <c r="AL696" s="123">
        <v>11</v>
      </c>
      <c r="AM696" s="123"/>
      <c r="AN696" s="123">
        <f t="shared" si="11"/>
        <v>11</v>
      </c>
      <c r="AO696" s="123" t="s">
        <v>188</v>
      </c>
      <c r="AP696" s="123"/>
      <c r="AQ696" s="123"/>
      <c r="AR696" s="123"/>
      <c r="AS696" s="135"/>
      <c r="AT696" s="135"/>
      <c r="AU696" s="135"/>
      <c r="AV696" s="135"/>
    </row>
    <row r="697" spans="1:48" s="133" customFormat="1" x14ac:dyDescent="0.2">
      <c r="A697" s="123" t="s">
        <v>3792</v>
      </c>
      <c r="B697" s="123" t="s">
        <v>3793</v>
      </c>
      <c r="C697" s="123">
        <v>18</v>
      </c>
      <c r="D697" s="123">
        <v>1</v>
      </c>
      <c r="E697" s="123" t="s">
        <v>3171</v>
      </c>
      <c r="F697" s="125">
        <v>43588</v>
      </c>
      <c r="G697" s="125" t="s">
        <v>4028</v>
      </c>
      <c r="H697" s="125" t="s">
        <v>4752</v>
      </c>
      <c r="I697" s="171">
        <v>1.1111111111111112E-2</v>
      </c>
      <c r="J697" s="173">
        <v>1.8518518518518518E-4</v>
      </c>
      <c r="K697" s="129">
        <v>16</v>
      </c>
      <c r="L697" s="123" t="s">
        <v>3187</v>
      </c>
      <c r="M697" s="123" t="s">
        <v>149</v>
      </c>
      <c r="N697" s="123" t="s">
        <v>102</v>
      </c>
      <c r="O697" s="123" t="s">
        <v>115</v>
      </c>
      <c r="P697" s="123">
        <v>1</v>
      </c>
      <c r="Q697" s="123">
        <v>0</v>
      </c>
      <c r="R697" s="123">
        <v>0</v>
      </c>
      <c r="S697" s="123" t="s">
        <v>598</v>
      </c>
      <c r="T697" s="127" t="s">
        <v>2437</v>
      </c>
      <c r="U697" s="127" t="s">
        <v>122</v>
      </c>
      <c r="V697" s="127" t="s">
        <v>115</v>
      </c>
      <c r="W697" s="127"/>
      <c r="X697" s="127"/>
      <c r="Y697" s="127"/>
      <c r="Z697" s="127" t="s">
        <v>115</v>
      </c>
      <c r="AA697" s="127" t="s">
        <v>115</v>
      </c>
      <c r="AB697" s="127" t="s">
        <v>115</v>
      </c>
      <c r="AC697" s="127" t="s">
        <v>115</v>
      </c>
      <c r="AD697" s="127" t="s">
        <v>115</v>
      </c>
      <c r="AE697" s="127" t="s">
        <v>115</v>
      </c>
      <c r="AF697" s="127" t="s">
        <v>115</v>
      </c>
      <c r="AG697" s="127" t="s">
        <v>115</v>
      </c>
      <c r="AH697" s="123">
        <v>0</v>
      </c>
      <c r="AI697" s="123">
        <v>0</v>
      </c>
      <c r="AJ697" s="123">
        <v>0</v>
      </c>
      <c r="AK697" s="123">
        <v>0</v>
      </c>
      <c r="AL697" s="123">
        <v>16</v>
      </c>
      <c r="AM697" s="123"/>
      <c r="AN697" s="123">
        <f t="shared" si="11"/>
        <v>16</v>
      </c>
      <c r="AO697" s="123" t="s">
        <v>188</v>
      </c>
      <c r="AP697" s="123"/>
      <c r="AQ697" s="123"/>
      <c r="AR697" s="123"/>
      <c r="AS697" s="135"/>
      <c r="AT697" s="135"/>
      <c r="AU697" s="135"/>
      <c r="AV697" s="135"/>
    </row>
    <row r="698" spans="1:48" s="133" customFormat="1" x14ac:dyDescent="0.2">
      <c r="A698" s="123" t="s">
        <v>3768</v>
      </c>
      <c r="B698" s="123" t="s">
        <v>3769</v>
      </c>
      <c r="C698" s="123">
        <v>7</v>
      </c>
      <c r="D698" s="123">
        <v>1</v>
      </c>
      <c r="E698" s="123" t="s">
        <v>3171</v>
      </c>
      <c r="F698" s="125">
        <v>43588</v>
      </c>
      <c r="G698" s="125" t="s">
        <v>4028</v>
      </c>
      <c r="H698" s="125" t="s">
        <v>4752</v>
      </c>
      <c r="I698" s="171">
        <v>2.7777777777777776E-2</v>
      </c>
      <c r="J698" s="173">
        <v>4.6296296296296293E-4</v>
      </c>
      <c r="K698" s="129">
        <v>40</v>
      </c>
      <c r="L698" s="123" t="s">
        <v>3187</v>
      </c>
      <c r="M698" s="123" t="s">
        <v>149</v>
      </c>
      <c r="N698" s="123" t="s">
        <v>102</v>
      </c>
      <c r="O698" s="123" t="s">
        <v>115</v>
      </c>
      <c r="P698" s="123">
        <v>0</v>
      </c>
      <c r="Q698" s="123">
        <v>0</v>
      </c>
      <c r="R698" s="123">
        <v>0</v>
      </c>
      <c r="S698" s="123"/>
      <c r="T698" s="127" t="s">
        <v>115</v>
      </c>
      <c r="U698" s="127" t="s">
        <v>115</v>
      </c>
      <c r="V698" s="127" t="s">
        <v>115</v>
      </c>
      <c r="W698" s="127"/>
      <c r="X698" s="127"/>
      <c r="Y698" s="127"/>
      <c r="Z698" s="127" t="s">
        <v>115</v>
      </c>
      <c r="AA698" s="127" t="s">
        <v>115</v>
      </c>
      <c r="AB698" s="127" t="s">
        <v>115</v>
      </c>
      <c r="AC698" s="127" t="s">
        <v>115</v>
      </c>
      <c r="AD698" s="127" t="s">
        <v>115</v>
      </c>
      <c r="AE698" s="127" t="s">
        <v>115</v>
      </c>
      <c r="AF698" s="127" t="s">
        <v>115</v>
      </c>
      <c r="AG698" s="127" t="s">
        <v>115</v>
      </c>
      <c r="AH698" s="123">
        <v>0</v>
      </c>
      <c r="AI698" s="123">
        <v>0</v>
      </c>
      <c r="AJ698" s="123">
        <v>0</v>
      </c>
      <c r="AK698" s="123">
        <v>0</v>
      </c>
      <c r="AL698" s="123">
        <v>40</v>
      </c>
      <c r="AM698" s="123"/>
      <c r="AN698" s="123">
        <f t="shared" si="11"/>
        <v>40</v>
      </c>
      <c r="AO698" s="123" t="s">
        <v>188</v>
      </c>
      <c r="AP698" s="123"/>
      <c r="AQ698" s="123"/>
      <c r="AR698" s="123"/>
      <c r="AS698" s="135"/>
      <c r="AT698" s="135"/>
      <c r="AU698" s="135"/>
      <c r="AV698" s="135"/>
    </row>
    <row r="699" spans="1:48" s="135" customFormat="1" x14ac:dyDescent="0.2">
      <c r="A699" s="123" t="s">
        <v>3780</v>
      </c>
      <c r="B699" s="123" t="s">
        <v>3781</v>
      </c>
      <c r="C699" s="123">
        <v>13</v>
      </c>
      <c r="D699" s="123">
        <v>1</v>
      </c>
      <c r="E699" s="123" t="s">
        <v>3171</v>
      </c>
      <c r="F699" s="125">
        <v>43589</v>
      </c>
      <c r="G699" s="125" t="s">
        <v>4028</v>
      </c>
      <c r="H699" s="125" t="s">
        <v>4752</v>
      </c>
      <c r="I699" s="171">
        <v>1.0416666666666666E-2</v>
      </c>
      <c r="J699" s="173">
        <v>2.8935185185185189E-4</v>
      </c>
      <c r="K699" s="129">
        <v>25</v>
      </c>
      <c r="L699" s="123" t="s">
        <v>3187</v>
      </c>
      <c r="M699" s="123" t="s">
        <v>149</v>
      </c>
      <c r="N699" s="123" t="s">
        <v>102</v>
      </c>
      <c r="O699" s="123" t="s">
        <v>3782</v>
      </c>
      <c r="P699" s="123">
        <v>0</v>
      </c>
      <c r="Q699" s="123">
        <v>0</v>
      </c>
      <c r="R699" s="123">
        <v>0</v>
      </c>
      <c r="S699" s="123"/>
      <c r="T699" s="127" t="s">
        <v>115</v>
      </c>
      <c r="U699" s="127" t="s">
        <v>115</v>
      </c>
      <c r="V699" s="127" t="s">
        <v>115</v>
      </c>
      <c r="W699" s="127"/>
      <c r="X699" s="127"/>
      <c r="Y699" s="127"/>
      <c r="Z699" s="127" t="s">
        <v>115</v>
      </c>
      <c r="AA699" s="127" t="s">
        <v>115</v>
      </c>
      <c r="AB699" s="127" t="s">
        <v>115</v>
      </c>
      <c r="AC699" s="127" t="s">
        <v>115</v>
      </c>
      <c r="AD699" s="127" t="s">
        <v>115</v>
      </c>
      <c r="AE699" s="127" t="s">
        <v>115</v>
      </c>
      <c r="AF699" s="127" t="s">
        <v>115</v>
      </c>
      <c r="AG699" s="127" t="s">
        <v>115</v>
      </c>
      <c r="AH699" s="123">
        <v>0</v>
      </c>
      <c r="AI699" s="123">
        <v>0</v>
      </c>
      <c r="AJ699" s="123">
        <v>0</v>
      </c>
      <c r="AK699" s="123">
        <v>0</v>
      </c>
      <c r="AL699" s="123">
        <v>15</v>
      </c>
      <c r="AM699" s="123"/>
      <c r="AN699" s="123">
        <f t="shared" si="11"/>
        <v>15</v>
      </c>
      <c r="AO699" s="123" t="s">
        <v>188</v>
      </c>
      <c r="AP699" s="123"/>
      <c r="AQ699" s="123"/>
      <c r="AR699" s="123"/>
      <c r="AS699" s="133"/>
      <c r="AT699" s="133"/>
      <c r="AU699" s="133"/>
      <c r="AV699" s="133"/>
    </row>
    <row r="700" spans="1:48" s="135" customFormat="1" x14ac:dyDescent="0.2">
      <c r="A700" s="123" t="s">
        <v>3785</v>
      </c>
      <c r="B700" s="123" t="s">
        <v>3786</v>
      </c>
      <c r="C700" s="123">
        <v>15</v>
      </c>
      <c r="D700" s="123">
        <v>1</v>
      </c>
      <c r="E700" s="123" t="s">
        <v>3171</v>
      </c>
      <c r="F700" s="125">
        <v>43590</v>
      </c>
      <c r="G700" s="125" t="s">
        <v>4028</v>
      </c>
      <c r="H700" s="125" t="s">
        <v>4752</v>
      </c>
      <c r="I700" s="171">
        <v>8.4722222222222213E-2</v>
      </c>
      <c r="J700" s="173">
        <v>1.4120370370370369E-3</v>
      </c>
      <c r="K700" s="129">
        <v>122</v>
      </c>
      <c r="L700" s="123" t="s">
        <v>3187</v>
      </c>
      <c r="M700" s="123" t="s">
        <v>149</v>
      </c>
      <c r="N700" s="123" t="s">
        <v>111</v>
      </c>
      <c r="O700" s="123" t="s">
        <v>23</v>
      </c>
      <c r="P700" s="123">
        <v>0</v>
      </c>
      <c r="Q700" s="123">
        <v>0</v>
      </c>
      <c r="R700" s="123">
        <v>1</v>
      </c>
      <c r="S700" s="123" t="s">
        <v>598</v>
      </c>
      <c r="T700" s="127" t="s">
        <v>2437</v>
      </c>
      <c r="U700" s="127" t="s">
        <v>115</v>
      </c>
      <c r="V700" s="127" t="s">
        <v>263</v>
      </c>
      <c r="W700" s="127" t="s">
        <v>23</v>
      </c>
      <c r="X700" s="127" t="s">
        <v>4004</v>
      </c>
      <c r="Y700" s="127" t="s">
        <v>4005</v>
      </c>
      <c r="Z700" s="127" t="s">
        <v>3787</v>
      </c>
      <c r="AA700" s="127" t="s">
        <v>3787</v>
      </c>
      <c r="AB700" s="127" t="s">
        <v>3787</v>
      </c>
      <c r="AC700" s="127" t="s">
        <v>3787</v>
      </c>
      <c r="AD700" s="127" t="s">
        <v>3787</v>
      </c>
      <c r="AE700" s="127" t="s">
        <v>115</v>
      </c>
      <c r="AF700" s="127" t="s">
        <v>115</v>
      </c>
      <c r="AG700" s="127" t="s">
        <v>115</v>
      </c>
      <c r="AH700" s="123">
        <v>0</v>
      </c>
      <c r="AI700" s="123">
        <v>0</v>
      </c>
      <c r="AJ700" s="123">
        <v>0</v>
      </c>
      <c r="AK700" s="123">
        <v>0</v>
      </c>
      <c r="AL700" s="123">
        <v>0</v>
      </c>
      <c r="AM700" s="123"/>
      <c r="AN700" s="123">
        <f t="shared" si="11"/>
        <v>0</v>
      </c>
      <c r="AO700" s="123"/>
      <c r="AP700" s="123"/>
      <c r="AQ700" s="123"/>
      <c r="AR700" s="123"/>
      <c r="AS700" s="133"/>
      <c r="AT700" s="133"/>
      <c r="AU700" s="133"/>
      <c r="AV700" s="133"/>
    </row>
    <row r="701" spans="1:48" s="133" customFormat="1" x14ac:dyDescent="0.2">
      <c r="A701" s="123" t="s">
        <v>3882</v>
      </c>
      <c r="B701" s="123" t="s">
        <v>3883</v>
      </c>
      <c r="C701" s="123">
        <v>4</v>
      </c>
      <c r="D701" s="123">
        <v>1</v>
      </c>
      <c r="E701" s="123" t="s">
        <v>3171</v>
      </c>
      <c r="F701" s="125">
        <v>43591</v>
      </c>
      <c r="G701" s="125" t="s">
        <v>4028</v>
      </c>
      <c r="H701" s="125" t="s">
        <v>4752</v>
      </c>
      <c r="I701" s="171">
        <v>7.5694444444444439E-2</v>
      </c>
      <c r="J701" s="173">
        <v>1.261574074074074E-3</v>
      </c>
      <c r="K701" s="129">
        <v>109</v>
      </c>
      <c r="L701" s="123" t="s">
        <v>1278</v>
      </c>
      <c r="M701" s="123" t="s">
        <v>149</v>
      </c>
      <c r="N701" s="123" t="s">
        <v>102</v>
      </c>
      <c r="O701" s="123" t="s">
        <v>115</v>
      </c>
      <c r="P701" s="123">
        <v>0</v>
      </c>
      <c r="Q701" s="123">
        <v>0</v>
      </c>
      <c r="R701" s="123">
        <v>3</v>
      </c>
      <c r="S701" s="123" t="s">
        <v>176</v>
      </c>
      <c r="T701" s="127" t="s">
        <v>24</v>
      </c>
      <c r="U701" s="127" t="s">
        <v>24</v>
      </c>
      <c r="V701" s="127" t="s">
        <v>2088</v>
      </c>
      <c r="W701" s="127" t="s">
        <v>23</v>
      </c>
      <c r="X701" s="127" t="s">
        <v>3997</v>
      </c>
      <c r="Y701" s="127" t="s">
        <v>4021</v>
      </c>
      <c r="Z701" s="127" t="s">
        <v>3653</v>
      </c>
      <c r="AA701" s="123">
        <v>230</v>
      </c>
      <c r="AB701" s="127" t="s">
        <v>176</v>
      </c>
      <c r="AC701" s="123">
        <v>63.72392</v>
      </c>
      <c r="AD701" s="123">
        <v>148.95093</v>
      </c>
      <c r="AE701" s="127" t="s">
        <v>115</v>
      </c>
      <c r="AF701" s="127" t="s">
        <v>115</v>
      </c>
      <c r="AG701" s="127" t="s">
        <v>115</v>
      </c>
      <c r="AH701" s="123">
        <v>0</v>
      </c>
      <c r="AI701" s="123">
        <v>0</v>
      </c>
      <c r="AJ701" s="123">
        <v>0</v>
      </c>
      <c r="AK701" s="123">
        <v>0</v>
      </c>
      <c r="AL701" s="123">
        <v>0</v>
      </c>
      <c r="AM701" s="123"/>
      <c r="AN701" s="123">
        <f t="shared" si="11"/>
        <v>0</v>
      </c>
      <c r="AO701" s="123"/>
      <c r="AP701" s="123" t="s">
        <v>3884</v>
      </c>
      <c r="AQ701" s="123"/>
      <c r="AR701" s="123"/>
    </row>
    <row r="702" spans="1:48" s="133" customFormat="1" x14ac:dyDescent="0.2">
      <c r="A702" s="123" t="s">
        <v>3878</v>
      </c>
      <c r="B702" s="123" t="s">
        <v>3879</v>
      </c>
      <c r="C702" s="123">
        <v>2</v>
      </c>
      <c r="D702" s="123">
        <v>1</v>
      </c>
      <c r="E702" s="123" t="s">
        <v>3171</v>
      </c>
      <c r="F702" s="125">
        <v>43591</v>
      </c>
      <c r="G702" s="125" t="s">
        <v>4028</v>
      </c>
      <c r="H702" s="125" t="s">
        <v>4752</v>
      </c>
      <c r="I702" s="171">
        <v>9.0277777777777787E-3</v>
      </c>
      <c r="J702" s="173">
        <v>1.5046296296296297E-4</v>
      </c>
      <c r="K702" s="129">
        <v>13</v>
      </c>
      <c r="L702" s="123" t="s">
        <v>1278</v>
      </c>
      <c r="M702" s="123" t="s">
        <v>149</v>
      </c>
      <c r="N702" s="123" t="s">
        <v>102</v>
      </c>
      <c r="O702" s="123" t="s">
        <v>115</v>
      </c>
      <c r="P702" s="123">
        <v>1</v>
      </c>
      <c r="Q702" s="123">
        <v>0</v>
      </c>
      <c r="R702" s="123">
        <v>0</v>
      </c>
      <c r="S702" s="123" t="s">
        <v>598</v>
      </c>
      <c r="T702" s="127" t="s">
        <v>2437</v>
      </c>
      <c r="U702" s="127" t="s">
        <v>122</v>
      </c>
      <c r="V702" s="127" t="s">
        <v>115</v>
      </c>
      <c r="W702" s="127"/>
      <c r="X702" s="127"/>
      <c r="Y702" s="127"/>
      <c r="Z702" s="127" t="s">
        <v>115</v>
      </c>
      <c r="AA702" s="127" t="s">
        <v>115</v>
      </c>
      <c r="AB702" s="127" t="s">
        <v>115</v>
      </c>
      <c r="AC702" s="127" t="s">
        <v>115</v>
      </c>
      <c r="AD702" s="127" t="s">
        <v>115</v>
      </c>
      <c r="AE702" s="127" t="s">
        <v>115</v>
      </c>
      <c r="AF702" s="127" t="s">
        <v>115</v>
      </c>
      <c r="AG702" s="127" t="s">
        <v>115</v>
      </c>
      <c r="AH702" s="123">
        <v>0</v>
      </c>
      <c r="AI702" s="123">
        <v>0</v>
      </c>
      <c r="AJ702" s="123">
        <v>0</v>
      </c>
      <c r="AK702" s="123">
        <v>0</v>
      </c>
      <c r="AL702" s="123">
        <v>13</v>
      </c>
      <c r="AM702" s="123"/>
      <c r="AN702" s="123">
        <f t="shared" ref="AN702:AN749" si="12">SUM(AH702+AI702+AL702)</f>
        <v>13</v>
      </c>
      <c r="AO702" s="123" t="s">
        <v>188</v>
      </c>
      <c r="AP702" s="123"/>
      <c r="AQ702" s="123"/>
      <c r="AR702" s="123"/>
    </row>
    <row r="703" spans="1:48" s="133" customFormat="1" x14ac:dyDescent="0.2">
      <c r="A703" s="123" t="s">
        <v>3790</v>
      </c>
      <c r="B703" s="123" t="s">
        <v>3791</v>
      </c>
      <c r="C703" s="123">
        <v>17</v>
      </c>
      <c r="D703" s="123">
        <v>1</v>
      </c>
      <c r="E703" s="123" t="s">
        <v>3171</v>
      </c>
      <c r="F703" s="125">
        <v>43591</v>
      </c>
      <c r="G703" s="125" t="s">
        <v>4028</v>
      </c>
      <c r="H703" s="125" t="s">
        <v>4752</v>
      </c>
      <c r="I703" s="171">
        <v>4.027777777777778E-2</v>
      </c>
      <c r="J703" s="173">
        <v>6.7129629629629625E-4</v>
      </c>
      <c r="K703" s="129">
        <v>58</v>
      </c>
      <c r="L703" s="123" t="s">
        <v>3187</v>
      </c>
      <c r="M703" s="123" t="s">
        <v>149</v>
      </c>
      <c r="N703" s="123" t="s">
        <v>102</v>
      </c>
      <c r="O703" s="123" t="s">
        <v>115</v>
      </c>
      <c r="P703" s="123">
        <v>0</v>
      </c>
      <c r="Q703" s="123">
        <v>0</v>
      </c>
      <c r="R703" s="123">
        <v>0</v>
      </c>
      <c r="S703" s="123"/>
      <c r="T703" s="127" t="s">
        <v>115</v>
      </c>
      <c r="U703" s="127" t="s">
        <v>115</v>
      </c>
      <c r="V703" s="127" t="s">
        <v>115</v>
      </c>
      <c r="W703" s="127"/>
      <c r="X703" s="127"/>
      <c r="Y703" s="127"/>
      <c r="Z703" s="127" t="s">
        <v>115</v>
      </c>
      <c r="AA703" s="127" t="s">
        <v>115</v>
      </c>
      <c r="AB703" s="127" t="s">
        <v>115</v>
      </c>
      <c r="AC703" s="127" t="s">
        <v>115</v>
      </c>
      <c r="AD703" s="127" t="s">
        <v>115</v>
      </c>
      <c r="AE703" s="127" t="s">
        <v>115</v>
      </c>
      <c r="AF703" s="127" t="s">
        <v>115</v>
      </c>
      <c r="AG703" s="127" t="s">
        <v>115</v>
      </c>
      <c r="AH703" s="123">
        <v>0</v>
      </c>
      <c r="AI703" s="123">
        <v>0</v>
      </c>
      <c r="AJ703" s="123">
        <v>0</v>
      </c>
      <c r="AK703" s="123">
        <v>0</v>
      </c>
      <c r="AL703" s="123">
        <v>58</v>
      </c>
      <c r="AM703" s="123"/>
      <c r="AN703" s="123">
        <f t="shared" si="12"/>
        <v>58</v>
      </c>
      <c r="AO703" s="123" t="s">
        <v>188</v>
      </c>
      <c r="AP703" s="123"/>
      <c r="AQ703" s="123"/>
      <c r="AR703" s="123"/>
    </row>
    <row r="704" spans="1:48" s="133" customFormat="1" x14ac:dyDescent="0.2">
      <c r="A704" s="123" t="s">
        <v>3880</v>
      </c>
      <c r="B704" s="123" t="s">
        <v>3881</v>
      </c>
      <c r="C704" s="123">
        <v>3</v>
      </c>
      <c r="D704" s="123">
        <v>1</v>
      </c>
      <c r="E704" s="123" t="s">
        <v>3171</v>
      </c>
      <c r="F704" s="125">
        <v>43591</v>
      </c>
      <c r="G704" s="125" t="s">
        <v>4028</v>
      </c>
      <c r="H704" s="125" t="s">
        <v>4752</v>
      </c>
      <c r="I704" s="171">
        <v>5.2083333333333336E-2</v>
      </c>
      <c r="J704" s="173">
        <v>8.6805555555555551E-4</v>
      </c>
      <c r="K704" s="129">
        <v>75</v>
      </c>
      <c r="L704" s="123" t="s">
        <v>1278</v>
      </c>
      <c r="M704" s="123" t="s">
        <v>149</v>
      </c>
      <c r="N704" s="123" t="s">
        <v>102</v>
      </c>
      <c r="O704" s="123" t="s">
        <v>115</v>
      </c>
      <c r="P704" s="123">
        <v>0</v>
      </c>
      <c r="Q704" s="123">
        <v>0</v>
      </c>
      <c r="R704" s="123">
        <v>0</v>
      </c>
      <c r="S704" s="123"/>
      <c r="T704" s="127" t="s">
        <v>115</v>
      </c>
      <c r="U704" s="127" t="s">
        <v>115</v>
      </c>
      <c r="V704" s="127" t="s">
        <v>115</v>
      </c>
      <c r="W704" s="127"/>
      <c r="X704" s="127"/>
      <c r="Y704" s="127"/>
      <c r="Z704" s="127" t="s">
        <v>115</v>
      </c>
      <c r="AA704" s="127" t="s">
        <v>115</v>
      </c>
      <c r="AB704" s="127" t="s">
        <v>115</v>
      </c>
      <c r="AC704" s="127" t="s">
        <v>115</v>
      </c>
      <c r="AD704" s="127" t="s">
        <v>115</v>
      </c>
      <c r="AE704" s="127" t="s">
        <v>115</v>
      </c>
      <c r="AF704" s="127" t="s">
        <v>115</v>
      </c>
      <c r="AG704" s="127" t="s">
        <v>115</v>
      </c>
      <c r="AH704" s="123">
        <v>0</v>
      </c>
      <c r="AI704" s="123">
        <v>0</v>
      </c>
      <c r="AJ704" s="123">
        <v>0</v>
      </c>
      <c r="AK704" s="123">
        <v>0</v>
      </c>
      <c r="AL704" s="123">
        <v>45</v>
      </c>
      <c r="AM704" s="123"/>
      <c r="AN704" s="123">
        <f t="shared" si="12"/>
        <v>45</v>
      </c>
      <c r="AO704" s="123" t="s">
        <v>188</v>
      </c>
      <c r="AP704" s="123"/>
      <c r="AQ704" s="123"/>
      <c r="AR704" s="123"/>
    </row>
    <row r="705" spans="1:48" s="133" customFormat="1" x14ac:dyDescent="0.2">
      <c r="A705" s="123" t="s">
        <v>3755</v>
      </c>
      <c r="B705" s="123" t="s">
        <v>3756</v>
      </c>
      <c r="C705" s="123">
        <v>1</v>
      </c>
      <c r="D705" s="123">
        <v>1</v>
      </c>
      <c r="E705" s="123" t="s">
        <v>3171</v>
      </c>
      <c r="F705" s="125">
        <v>43592</v>
      </c>
      <c r="G705" s="125" t="s">
        <v>4028</v>
      </c>
      <c r="H705" s="125" t="s">
        <v>4752</v>
      </c>
      <c r="I705" s="171">
        <v>2.4999999999999998E-2</v>
      </c>
      <c r="J705" s="173">
        <v>4.1666666666666669E-4</v>
      </c>
      <c r="K705" s="129">
        <v>36</v>
      </c>
      <c r="L705" s="123" t="s">
        <v>3187</v>
      </c>
      <c r="M705" s="123" t="s">
        <v>149</v>
      </c>
      <c r="N705" s="123" t="s">
        <v>102</v>
      </c>
      <c r="O705" s="123" t="s">
        <v>115</v>
      </c>
      <c r="P705" s="123">
        <v>1</v>
      </c>
      <c r="Q705" s="123">
        <v>0</v>
      </c>
      <c r="R705" s="123">
        <v>0</v>
      </c>
      <c r="S705" s="123" t="s">
        <v>176</v>
      </c>
      <c r="T705" s="127" t="s">
        <v>24</v>
      </c>
      <c r="U705" s="127" t="s">
        <v>122</v>
      </c>
      <c r="V705" s="127" t="s">
        <v>115</v>
      </c>
      <c r="W705" s="127"/>
      <c r="X705" s="127"/>
      <c r="Y705" s="127"/>
      <c r="Z705" s="127" t="s">
        <v>115</v>
      </c>
      <c r="AA705" s="127" t="s">
        <v>115</v>
      </c>
      <c r="AB705" s="127" t="s">
        <v>115</v>
      </c>
      <c r="AC705" s="127" t="s">
        <v>115</v>
      </c>
      <c r="AD705" s="127" t="s">
        <v>115</v>
      </c>
      <c r="AE705" s="127" t="s">
        <v>115</v>
      </c>
      <c r="AF705" s="127" t="s">
        <v>115</v>
      </c>
      <c r="AG705" s="127" t="s">
        <v>115</v>
      </c>
      <c r="AH705" s="123">
        <v>0</v>
      </c>
      <c r="AI705" s="123">
        <v>0</v>
      </c>
      <c r="AJ705" s="123">
        <v>0</v>
      </c>
      <c r="AK705" s="123">
        <v>0</v>
      </c>
      <c r="AL705" s="123">
        <v>36</v>
      </c>
      <c r="AM705" s="123"/>
      <c r="AN705" s="123">
        <f t="shared" si="12"/>
        <v>36</v>
      </c>
      <c r="AO705" s="123" t="s">
        <v>188</v>
      </c>
      <c r="AP705" s="123"/>
      <c r="AQ705" s="123"/>
      <c r="AR705" s="123"/>
      <c r="AS705" s="135"/>
      <c r="AT705" s="135"/>
      <c r="AU705" s="135"/>
      <c r="AV705" s="135"/>
    </row>
    <row r="706" spans="1:48" s="133" customFormat="1" x14ac:dyDescent="0.2">
      <c r="A706" s="123" t="s">
        <v>3757</v>
      </c>
      <c r="B706" s="123" t="s">
        <v>3758</v>
      </c>
      <c r="C706" s="123">
        <v>2</v>
      </c>
      <c r="D706" s="123">
        <v>1</v>
      </c>
      <c r="E706" s="123" t="s">
        <v>3171</v>
      </c>
      <c r="F706" s="125">
        <v>43593</v>
      </c>
      <c r="G706" s="125" t="s">
        <v>4028</v>
      </c>
      <c r="H706" s="125" t="s">
        <v>4752</v>
      </c>
      <c r="I706" s="171">
        <v>1.3888888888888888E-2</v>
      </c>
      <c r="J706" s="173">
        <v>2.3148148148148146E-4</v>
      </c>
      <c r="K706" s="129">
        <v>20</v>
      </c>
      <c r="L706" s="123" t="s">
        <v>3187</v>
      </c>
      <c r="M706" s="123" t="s">
        <v>149</v>
      </c>
      <c r="N706" s="123" t="s">
        <v>102</v>
      </c>
      <c r="O706" s="123" t="s">
        <v>115</v>
      </c>
      <c r="P706" s="123">
        <v>1</v>
      </c>
      <c r="Q706" s="123">
        <v>0</v>
      </c>
      <c r="R706" s="123">
        <v>0</v>
      </c>
      <c r="S706" s="123" t="s">
        <v>176</v>
      </c>
      <c r="T706" s="127" t="s">
        <v>24</v>
      </c>
      <c r="U706" s="127" t="s">
        <v>122</v>
      </c>
      <c r="V706" s="127" t="s">
        <v>115</v>
      </c>
      <c r="W706" s="127"/>
      <c r="X706" s="127"/>
      <c r="Y706" s="127"/>
      <c r="Z706" s="127" t="s">
        <v>115</v>
      </c>
      <c r="AA706" s="127" t="s">
        <v>115</v>
      </c>
      <c r="AB706" s="127" t="s">
        <v>115</v>
      </c>
      <c r="AC706" s="127" t="s">
        <v>115</v>
      </c>
      <c r="AD706" s="127" t="s">
        <v>115</v>
      </c>
      <c r="AE706" s="127" t="s">
        <v>115</v>
      </c>
      <c r="AF706" s="127" t="s">
        <v>115</v>
      </c>
      <c r="AG706" s="127" t="s">
        <v>115</v>
      </c>
      <c r="AH706" s="123">
        <v>0</v>
      </c>
      <c r="AI706" s="123">
        <v>0</v>
      </c>
      <c r="AJ706" s="123">
        <v>0</v>
      </c>
      <c r="AK706" s="123">
        <v>0</v>
      </c>
      <c r="AL706" s="123">
        <v>20</v>
      </c>
      <c r="AM706" s="123"/>
      <c r="AN706" s="123">
        <f t="shared" si="12"/>
        <v>20</v>
      </c>
      <c r="AO706" s="123" t="s">
        <v>188</v>
      </c>
      <c r="AP706" s="123"/>
      <c r="AQ706" s="123"/>
      <c r="AR706" s="123"/>
    </row>
    <row r="707" spans="1:48" s="133" customFormat="1" x14ac:dyDescent="0.2">
      <c r="A707" s="123" t="s">
        <v>3774</v>
      </c>
      <c r="B707" s="123" t="s">
        <v>3775</v>
      </c>
      <c r="C707" s="123">
        <v>10</v>
      </c>
      <c r="D707" s="123">
        <v>1</v>
      </c>
      <c r="E707" s="123" t="s">
        <v>3171</v>
      </c>
      <c r="F707" s="125">
        <v>43588</v>
      </c>
      <c r="G707" s="125" t="s">
        <v>4028</v>
      </c>
      <c r="H707" s="125" t="s">
        <v>4752</v>
      </c>
      <c r="I707" s="171">
        <v>7.6388888888888886E-3</v>
      </c>
      <c r="J707" s="173">
        <v>1.273148148148148E-4</v>
      </c>
      <c r="K707" s="129">
        <v>11</v>
      </c>
      <c r="L707" s="123" t="s">
        <v>3187</v>
      </c>
      <c r="M707" s="123" t="s">
        <v>149</v>
      </c>
      <c r="N707" s="123" t="s">
        <v>102</v>
      </c>
      <c r="O707" s="123" t="s">
        <v>115</v>
      </c>
      <c r="P707" s="123" t="s">
        <v>24</v>
      </c>
      <c r="Q707" s="123">
        <v>0</v>
      </c>
      <c r="R707" s="123">
        <v>0</v>
      </c>
      <c r="S707" s="123"/>
      <c r="T707" s="127" t="s">
        <v>115</v>
      </c>
      <c r="U707" s="127" t="s">
        <v>115</v>
      </c>
      <c r="V707" s="127" t="s">
        <v>115</v>
      </c>
      <c r="W707" s="127"/>
      <c r="X707" s="127"/>
      <c r="Y707" s="127"/>
      <c r="Z707" s="127" t="s">
        <v>115</v>
      </c>
      <c r="AA707" s="127" t="s">
        <v>115</v>
      </c>
      <c r="AB707" s="127" t="s">
        <v>115</v>
      </c>
      <c r="AC707" s="127" t="s">
        <v>115</v>
      </c>
      <c r="AD707" s="127" t="s">
        <v>115</v>
      </c>
      <c r="AE707" s="127" t="s">
        <v>115</v>
      </c>
      <c r="AF707" s="127" t="s">
        <v>115</v>
      </c>
      <c r="AG707" s="127" t="s">
        <v>115</v>
      </c>
      <c r="AH707" s="123">
        <v>0</v>
      </c>
      <c r="AI707" s="123">
        <v>0</v>
      </c>
      <c r="AJ707" s="123">
        <v>0</v>
      </c>
      <c r="AK707" s="123">
        <v>0</v>
      </c>
      <c r="AL707" s="123">
        <v>11</v>
      </c>
      <c r="AM707" s="123"/>
      <c r="AN707" s="123">
        <f t="shared" si="12"/>
        <v>11</v>
      </c>
      <c r="AO707" s="123" t="s">
        <v>188</v>
      </c>
      <c r="AP707" s="123"/>
      <c r="AQ707" s="123"/>
      <c r="AR707" s="123"/>
    </row>
    <row r="708" spans="1:48" s="133" customFormat="1" x14ac:dyDescent="0.2">
      <c r="A708" s="123" t="s">
        <v>3776</v>
      </c>
      <c r="B708" s="123" t="s">
        <v>3777</v>
      </c>
      <c r="C708" s="123">
        <v>11</v>
      </c>
      <c r="D708" s="123">
        <v>1</v>
      </c>
      <c r="E708" s="123" t="s">
        <v>3171</v>
      </c>
      <c r="F708" s="125">
        <v>43588</v>
      </c>
      <c r="G708" s="125" t="s">
        <v>4028</v>
      </c>
      <c r="H708" s="125" t="s">
        <v>4752</v>
      </c>
      <c r="I708" s="171">
        <v>1.0416666666666666E-2</v>
      </c>
      <c r="J708" s="173">
        <v>1.7361111111111112E-4</v>
      </c>
      <c r="K708" s="129">
        <v>15</v>
      </c>
      <c r="L708" s="123" t="s">
        <v>3187</v>
      </c>
      <c r="M708" s="123" t="s">
        <v>149</v>
      </c>
      <c r="N708" s="123" t="s">
        <v>102</v>
      </c>
      <c r="O708" s="123" t="s">
        <v>115</v>
      </c>
      <c r="P708" s="123" t="s">
        <v>24</v>
      </c>
      <c r="Q708" s="123">
        <v>0</v>
      </c>
      <c r="R708" s="123">
        <v>0</v>
      </c>
      <c r="S708" s="123"/>
      <c r="T708" s="127" t="s">
        <v>115</v>
      </c>
      <c r="U708" s="127" t="s">
        <v>115</v>
      </c>
      <c r="V708" s="127" t="s">
        <v>115</v>
      </c>
      <c r="W708" s="127"/>
      <c r="X708" s="127"/>
      <c r="Y708" s="127"/>
      <c r="Z708" s="127" t="s">
        <v>115</v>
      </c>
      <c r="AA708" s="127" t="s">
        <v>115</v>
      </c>
      <c r="AB708" s="127" t="s">
        <v>115</v>
      </c>
      <c r="AC708" s="127" t="s">
        <v>115</v>
      </c>
      <c r="AD708" s="127" t="s">
        <v>115</v>
      </c>
      <c r="AE708" s="127" t="s">
        <v>115</v>
      </c>
      <c r="AF708" s="127" t="s">
        <v>115</v>
      </c>
      <c r="AG708" s="127" t="s">
        <v>115</v>
      </c>
      <c r="AH708" s="123">
        <v>0</v>
      </c>
      <c r="AI708" s="123">
        <v>0</v>
      </c>
      <c r="AJ708" s="123">
        <v>0</v>
      </c>
      <c r="AK708" s="123">
        <v>0</v>
      </c>
      <c r="AL708" s="123">
        <v>15</v>
      </c>
      <c r="AM708" s="123"/>
      <c r="AN708" s="123">
        <f t="shared" si="12"/>
        <v>15</v>
      </c>
      <c r="AO708" s="123" t="s">
        <v>188</v>
      </c>
      <c r="AP708" s="123"/>
      <c r="AQ708" s="123"/>
      <c r="AR708" s="123"/>
    </row>
    <row r="709" spans="1:48" s="135" customFormat="1" x14ac:dyDescent="0.2">
      <c r="A709" s="123" t="s">
        <v>3778</v>
      </c>
      <c r="B709" s="123" t="s">
        <v>3779</v>
      </c>
      <c r="C709" s="123">
        <v>12</v>
      </c>
      <c r="D709" s="123">
        <v>1</v>
      </c>
      <c r="E709" s="123" t="s">
        <v>3171</v>
      </c>
      <c r="F709" s="125">
        <v>43588</v>
      </c>
      <c r="G709" s="125" t="s">
        <v>4028</v>
      </c>
      <c r="H709" s="125" t="s">
        <v>4752</v>
      </c>
      <c r="I709" s="171">
        <v>2.361111111111111E-2</v>
      </c>
      <c r="J709" s="173">
        <v>3.9351851851851852E-4</v>
      </c>
      <c r="K709" s="129">
        <v>34</v>
      </c>
      <c r="L709" s="123" t="s">
        <v>3187</v>
      </c>
      <c r="M709" s="123" t="s">
        <v>149</v>
      </c>
      <c r="N709" s="123" t="s">
        <v>102</v>
      </c>
      <c r="O709" s="123" t="s">
        <v>115</v>
      </c>
      <c r="P709" s="123" t="s">
        <v>24</v>
      </c>
      <c r="Q709" s="123">
        <v>0</v>
      </c>
      <c r="R709" s="123">
        <v>0</v>
      </c>
      <c r="S709" s="123"/>
      <c r="T709" s="127" t="s">
        <v>115</v>
      </c>
      <c r="U709" s="127" t="s">
        <v>115</v>
      </c>
      <c r="V709" s="127" t="s">
        <v>115</v>
      </c>
      <c r="W709" s="127"/>
      <c r="X709" s="127"/>
      <c r="Y709" s="127"/>
      <c r="Z709" s="127" t="s">
        <v>115</v>
      </c>
      <c r="AA709" s="127" t="s">
        <v>115</v>
      </c>
      <c r="AB709" s="127" t="s">
        <v>115</v>
      </c>
      <c r="AC709" s="127" t="s">
        <v>115</v>
      </c>
      <c r="AD709" s="127" t="s">
        <v>115</v>
      </c>
      <c r="AE709" s="127" t="s">
        <v>115</v>
      </c>
      <c r="AF709" s="127" t="s">
        <v>115</v>
      </c>
      <c r="AG709" s="127" t="s">
        <v>115</v>
      </c>
      <c r="AH709" s="123">
        <v>0</v>
      </c>
      <c r="AI709" s="123">
        <v>0</v>
      </c>
      <c r="AJ709" s="123">
        <v>0</v>
      </c>
      <c r="AK709" s="123">
        <v>0</v>
      </c>
      <c r="AL709" s="123">
        <v>34</v>
      </c>
      <c r="AM709" s="123"/>
      <c r="AN709" s="123">
        <f t="shared" si="12"/>
        <v>34</v>
      </c>
      <c r="AO709" s="123" t="s">
        <v>188</v>
      </c>
      <c r="AP709" s="123"/>
      <c r="AQ709" s="123"/>
      <c r="AR709" s="123"/>
      <c r="AS709" s="133"/>
      <c r="AT709" s="133"/>
      <c r="AU709" s="133"/>
      <c r="AV709" s="133"/>
    </row>
    <row r="710" spans="1:48" s="133" customFormat="1" x14ac:dyDescent="0.2">
      <c r="A710" s="123" t="s">
        <v>3927</v>
      </c>
      <c r="B710" s="123" t="s">
        <v>3928</v>
      </c>
      <c r="C710" s="123">
        <v>2</v>
      </c>
      <c r="D710" s="123">
        <v>1</v>
      </c>
      <c r="E710" s="123" t="s">
        <v>324</v>
      </c>
      <c r="F710" s="125">
        <v>43593</v>
      </c>
      <c r="G710" s="125" t="s">
        <v>4028</v>
      </c>
      <c r="H710" s="125" t="s">
        <v>4752</v>
      </c>
      <c r="I710" s="171">
        <v>1.5277777777777777E-2</v>
      </c>
      <c r="J710" s="173">
        <v>2.5462962962962961E-4</v>
      </c>
      <c r="K710" s="129">
        <v>22</v>
      </c>
      <c r="L710" s="123" t="s">
        <v>3929</v>
      </c>
      <c r="M710" s="123" t="s">
        <v>337</v>
      </c>
      <c r="N710" s="123" t="s">
        <v>102</v>
      </c>
      <c r="O710" s="123" t="s">
        <v>115</v>
      </c>
      <c r="P710" s="123">
        <v>5</v>
      </c>
      <c r="Q710" s="123">
        <v>0</v>
      </c>
      <c r="R710" s="123">
        <v>0</v>
      </c>
      <c r="S710" s="123" t="s">
        <v>176</v>
      </c>
      <c r="T710" s="127" t="s">
        <v>4786</v>
      </c>
      <c r="U710" s="127" t="s">
        <v>122</v>
      </c>
      <c r="V710" s="127" t="s">
        <v>115</v>
      </c>
      <c r="W710" s="127"/>
      <c r="X710" s="127"/>
      <c r="Y710" s="127"/>
      <c r="Z710" s="127" t="s">
        <v>115</v>
      </c>
      <c r="AA710" s="127" t="s">
        <v>115</v>
      </c>
      <c r="AB710" s="127" t="s">
        <v>115</v>
      </c>
      <c r="AC710" s="127" t="s">
        <v>115</v>
      </c>
      <c r="AD710" s="127" t="s">
        <v>115</v>
      </c>
      <c r="AE710" s="127" t="s">
        <v>115</v>
      </c>
      <c r="AF710" s="127" t="s">
        <v>115</v>
      </c>
      <c r="AG710" s="127" t="s">
        <v>115</v>
      </c>
      <c r="AH710" s="123">
        <v>0</v>
      </c>
      <c r="AI710" s="123">
        <v>0</v>
      </c>
      <c r="AJ710" s="123">
        <v>0</v>
      </c>
      <c r="AK710" s="123">
        <v>0</v>
      </c>
      <c r="AL710" s="123">
        <v>22</v>
      </c>
      <c r="AM710" s="123"/>
      <c r="AN710" s="123">
        <f t="shared" si="12"/>
        <v>22</v>
      </c>
      <c r="AO710" s="123" t="s">
        <v>188</v>
      </c>
      <c r="AP710" s="123"/>
      <c r="AQ710" s="123"/>
      <c r="AR710" s="123"/>
    </row>
    <row r="711" spans="1:48" s="135" customFormat="1" x14ac:dyDescent="0.2">
      <c r="A711" s="123" t="s">
        <v>3925</v>
      </c>
      <c r="B711" s="123" t="s">
        <v>3926</v>
      </c>
      <c r="C711" s="123">
        <v>1</v>
      </c>
      <c r="D711" s="123">
        <v>1</v>
      </c>
      <c r="E711" s="123" t="s">
        <v>324</v>
      </c>
      <c r="F711" s="125">
        <v>43593</v>
      </c>
      <c r="G711" s="125" t="s">
        <v>4028</v>
      </c>
      <c r="H711" s="125" t="s">
        <v>4752</v>
      </c>
      <c r="I711" s="171">
        <v>3.125E-2</v>
      </c>
      <c r="J711" s="173">
        <v>5.2083333333333333E-4</v>
      </c>
      <c r="K711" s="129">
        <v>45</v>
      </c>
      <c r="L711" s="123" t="s">
        <v>3929</v>
      </c>
      <c r="M711" s="123" t="s">
        <v>337</v>
      </c>
      <c r="N711" s="123" t="s">
        <v>102</v>
      </c>
      <c r="O711" s="123" t="s">
        <v>115</v>
      </c>
      <c r="P711" s="123">
        <v>0</v>
      </c>
      <c r="Q711" s="123">
        <v>0</v>
      </c>
      <c r="R711" s="123">
        <v>0</v>
      </c>
      <c r="S711" s="123"/>
      <c r="T711" s="127" t="s">
        <v>115</v>
      </c>
      <c r="U711" s="127" t="s">
        <v>115</v>
      </c>
      <c r="V711" s="127" t="s">
        <v>115</v>
      </c>
      <c r="W711" s="127"/>
      <c r="X711" s="127"/>
      <c r="Y711" s="127"/>
      <c r="Z711" s="127" t="s">
        <v>115</v>
      </c>
      <c r="AA711" s="127" t="s">
        <v>115</v>
      </c>
      <c r="AB711" s="127" t="s">
        <v>115</v>
      </c>
      <c r="AC711" s="127" t="s">
        <v>115</v>
      </c>
      <c r="AD711" s="127" t="s">
        <v>115</v>
      </c>
      <c r="AE711" s="127" t="s">
        <v>115</v>
      </c>
      <c r="AF711" s="127" t="s">
        <v>115</v>
      </c>
      <c r="AG711" s="127" t="s">
        <v>115</v>
      </c>
      <c r="AH711" s="123">
        <v>0</v>
      </c>
      <c r="AI711" s="123">
        <v>0</v>
      </c>
      <c r="AJ711" s="123">
        <v>0</v>
      </c>
      <c r="AK711" s="123">
        <v>0</v>
      </c>
      <c r="AL711" s="123">
        <v>45</v>
      </c>
      <c r="AM711" s="123"/>
      <c r="AN711" s="123">
        <f t="shared" si="12"/>
        <v>45</v>
      </c>
      <c r="AO711" s="123" t="s">
        <v>188</v>
      </c>
      <c r="AP711" s="123"/>
      <c r="AQ711" s="123"/>
      <c r="AR711" s="123"/>
      <c r="AS711" s="133"/>
      <c r="AT711" s="133"/>
      <c r="AU711" s="133"/>
      <c r="AV711" s="133"/>
    </row>
    <row r="712" spans="1:48" s="135" customFormat="1" x14ac:dyDescent="0.2">
      <c r="A712" s="123" t="s">
        <v>3764</v>
      </c>
      <c r="B712" s="123" t="s">
        <v>3765</v>
      </c>
      <c r="C712" s="123">
        <v>5</v>
      </c>
      <c r="D712" s="123">
        <v>1</v>
      </c>
      <c r="E712" s="123" t="s">
        <v>3171</v>
      </c>
      <c r="F712" s="125">
        <v>43588</v>
      </c>
      <c r="G712" s="125" t="s">
        <v>4028</v>
      </c>
      <c r="H712" s="125" t="s">
        <v>4752</v>
      </c>
      <c r="I712" s="171">
        <v>3.7499999999999999E-2</v>
      </c>
      <c r="J712" s="173">
        <v>6.2500000000000001E-4</v>
      </c>
      <c r="K712" s="129">
        <v>54</v>
      </c>
      <c r="L712" s="123" t="s">
        <v>3187</v>
      </c>
      <c r="M712" s="123" t="s">
        <v>670</v>
      </c>
      <c r="N712" s="123" t="s">
        <v>102</v>
      </c>
      <c r="O712" s="123" t="s">
        <v>115</v>
      </c>
      <c r="P712" s="123">
        <v>1</v>
      </c>
      <c r="Q712" s="123">
        <v>0</v>
      </c>
      <c r="R712" s="123">
        <v>0</v>
      </c>
      <c r="S712" s="123" t="s">
        <v>176</v>
      </c>
      <c r="T712" s="127" t="s">
        <v>24</v>
      </c>
      <c r="U712" s="127" t="s">
        <v>122</v>
      </c>
      <c r="V712" s="127" t="s">
        <v>115</v>
      </c>
      <c r="W712" s="127"/>
      <c r="X712" s="127"/>
      <c r="Y712" s="127"/>
      <c r="Z712" s="127" t="s">
        <v>115</v>
      </c>
      <c r="AA712" s="127" t="s">
        <v>115</v>
      </c>
      <c r="AB712" s="127" t="s">
        <v>115</v>
      </c>
      <c r="AC712" s="127" t="s">
        <v>115</v>
      </c>
      <c r="AD712" s="127" t="s">
        <v>115</v>
      </c>
      <c r="AE712" s="127" t="s">
        <v>115</v>
      </c>
      <c r="AF712" s="127" t="s">
        <v>115</v>
      </c>
      <c r="AG712" s="127" t="s">
        <v>115</v>
      </c>
      <c r="AH712" s="123">
        <v>0</v>
      </c>
      <c r="AI712" s="123">
        <v>0</v>
      </c>
      <c r="AJ712" s="123">
        <v>0</v>
      </c>
      <c r="AK712" s="123">
        <v>0</v>
      </c>
      <c r="AL712" s="123">
        <v>54</v>
      </c>
      <c r="AM712" s="123"/>
      <c r="AN712" s="123">
        <f t="shared" si="12"/>
        <v>54</v>
      </c>
      <c r="AO712" s="123" t="s">
        <v>188</v>
      </c>
      <c r="AP712" s="123"/>
      <c r="AQ712" s="123"/>
      <c r="AR712" s="123"/>
      <c r="AS712" s="133"/>
      <c r="AT712" s="133"/>
      <c r="AU712" s="133"/>
      <c r="AV712" s="133"/>
    </row>
    <row r="713" spans="1:48" s="133" customFormat="1" x14ac:dyDescent="0.2">
      <c r="A713" s="123" t="s">
        <v>3797</v>
      </c>
      <c r="B713" s="123" t="s">
        <v>3798</v>
      </c>
      <c r="C713" s="123">
        <v>20</v>
      </c>
      <c r="D713" s="123">
        <v>1</v>
      </c>
      <c r="E713" s="123" t="s">
        <v>3171</v>
      </c>
      <c r="F713" s="125">
        <v>43588</v>
      </c>
      <c r="G713" s="125" t="s">
        <v>4028</v>
      </c>
      <c r="H713" s="125" t="s">
        <v>4752</v>
      </c>
      <c r="I713" s="171">
        <v>1.1805555555555555E-2</v>
      </c>
      <c r="J713" s="173">
        <v>1.9675925925925926E-4</v>
      </c>
      <c r="K713" s="129">
        <v>17</v>
      </c>
      <c r="L713" s="123" t="s">
        <v>3187</v>
      </c>
      <c r="M713" s="123" t="s">
        <v>670</v>
      </c>
      <c r="N713" s="123" t="s">
        <v>102</v>
      </c>
      <c r="O713" s="123" t="s">
        <v>115</v>
      </c>
      <c r="P713" s="123">
        <v>1</v>
      </c>
      <c r="Q713" s="123">
        <v>0</v>
      </c>
      <c r="R713" s="123">
        <v>0</v>
      </c>
      <c r="S713" s="123" t="s">
        <v>176</v>
      </c>
      <c r="T713" s="127" t="s">
        <v>24</v>
      </c>
      <c r="U713" s="127" t="s">
        <v>122</v>
      </c>
      <c r="V713" s="127" t="s">
        <v>115</v>
      </c>
      <c r="W713" s="127"/>
      <c r="X713" s="127"/>
      <c r="Y713" s="127"/>
      <c r="Z713" s="127" t="s">
        <v>115</v>
      </c>
      <c r="AA713" s="127" t="s">
        <v>115</v>
      </c>
      <c r="AB713" s="127" t="s">
        <v>115</v>
      </c>
      <c r="AC713" s="127" t="s">
        <v>115</v>
      </c>
      <c r="AD713" s="127" t="s">
        <v>115</v>
      </c>
      <c r="AE713" s="127" t="s">
        <v>115</v>
      </c>
      <c r="AF713" s="127" t="s">
        <v>115</v>
      </c>
      <c r="AG713" s="127" t="s">
        <v>115</v>
      </c>
      <c r="AH713" s="123">
        <v>0</v>
      </c>
      <c r="AI713" s="123">
        <v>0</v>
      </c>
      <c r="AJ713" s="123">
        <v>0</v>
      </c>
      <c r="AK713" s="123">
        <v>0</v>
      </c>
      <c r="AL713" s="123">
        <v>17</v>
      </c>
      <c r="AM713" s="123"/>
      <c r="AN713" s="123">
        <f t="shared" si="12"/>
        <v>17</v>
      </c>
      <c r="AO713" s="123" t="s">
        <v>188</v>
      </c>
      <c r="AP713" s="123"/>
      <c r="AQ713" s="123"/>
      <c r="AR713" s="123"/>
    </row>
    <row r="714" spans="1:48" s="133" customFormat="1" x14ac:dyDescent="0.2">
      <c r="A714" s="123" t="s">
        <v>3799</v>
      </c>
      <c r="B714" s="123" t="s">
        <v>3800</v>
      </c>
      <c r="C714" s="123">
        <v>21</v>
      </c>
      <c r="D714" s="123">
        <v>1</v>
      </c>
      <c r="E714" s="123" t="s">
        <v>3171</v>
      </c>
      <c r="F714" s="125">
        <v>43588</v>
      </c>
      <c r="G714" s="125" t="s">
        <v>4028</v>
      </c>
      <c r="H714" s="125" t="s">
        <v>4752</v>
      </c>
      <c r="I714" s="171">
        <v>2.1527777777777781E-2</v>
      </c>
      <c r="J714" s="173">
        <v>3.5879629629629635E-4</v>
      </c>
      <c r="K714" s="129">
        <v>31</v>
      </c>
      <c r="L714" s="123" t="s">
        <v>3187</v>
      </c>
      <c r="M714" s="123" t="s">
        <v>670</v>
      </c>
      <c r="N714" s="123" t="s">
        <v>102</v>
      </c>
      <c r="O714" s="123" t="s">
        <v>115</v>
      </c>
      <c r="P714" s="123">
        <v>1</v>
      </c>
      <c r="Q714" s="123">
        <v>0</v>
      </c>
      <c r="R714" s="123">
        <v>0</v>
      </c>
      <c r="S714" s="123" t="s">
        <v>176</v>
      </c>
      <c r="T714" s="127" t="s">
        <v>24</v>
      </c>
      <c r="U714" s="127" t="s">
        <v>122</v>
      </c>
      <c r="V714" s="127" t="s">
        <v>115</v>
      </c>
      <c r="W714" s="127"/>
      <c r="X714" s="127"/>
      <c r="Y714" s="127"/>
      <c r="Z714" s="127" t="s">
        <v>115</v>
      </c>
      <c r="AA714" s="127" t="s">
        <v>115</v>
      </c>
      <c r="AB714" s="127" t="s">
        <v>115</v>
      </c>
      <c r="AC714" s="127" t="s">
        <v>115</v>
      </c>
      <c r="AD714" s="127" t="s">
        <v>115</v>
      </c>
      <c r="AE714" s="127" t="s">
        <v>115</v>
      </c>
      <c r="AF714" s="127" t="s">
        <v>115</v>
      </c>
      <c r="AG714" s="127" t="s">
        <v>115</v>
      </c>
      <c r="AH714" s="123">
        <v>0</v>
      </c>
      <c r="AI714" s="123">
        <v>0</v>
      </c>
      <c r="AJ714" s="123">
        <v>0</v>
      </c>
      <c r="AK714" s="123">
        <v>0</v>
      </c>
      <c r="AL714" s="123">
        <v>31</v>
      </c>
      <c r="AM714" s="123"/>
      <c r="AN714" s="123">
        <f t="shared" si="12"/>
        <v>31</v>
      </c>
      <c r="AO714" s="123" t="s">
        <v>188</v>
      </c>
      <c r="AP714" s="123"/>
      <c r="AQ714" s="123"/>
      <c r="AR714" s="123"/>
    </row>
    <row r="715" spans="1:48" s="135" customFormat="1" x14ac:dyDescent="0.2">
      <c r="A715" s="123" t="s">
        <v>3876</v>
      </c>
      <c r="B715" s="123" t="s">
        <v>3877</v>
      </c>
      <c r="C715" s="123">
        <v>1</v>
      </c>
      <c r="D715" s="123">
        <v>1</v>
      </c>
      <c r="E715" s="123" t="s">
        <v>3171</v>
      </c>
      <c r="F715" s="125">
        <v>43591</v>
      </c>
      <c r="G715" s="125" t="s">
        <v>4028</v>
      </c>
      <c r="H715" s="125" t="s">
        <v>4752</v>
      </c>
      <c r="I715" s="171">
        <v>1.6666666666666666E-2</v>
      </c>
      <c r="J715" s="173">
        <v>2.7777777777777778E-4</v>
      </c>
      <c r="K715" s="129">
        <v>24</v>
      </c>
      <c r="L715" s="123" t="s">
        <v>1278</v>
      </c>
      <c r="M715" s="123" t="s">
        <v>670</v>
      </c>
      <c r="N715" s="123" t="s">
        <v>102</v>
      </c>
      <c r="O715" s="123" t="s">
        <v>115</v>
      </c>
      <c r="P715" s="123">
        <v>0</v>
      </c>
      <c r="Q715" s="123">
        <v>0</v>
      </c>
      <c r="R715" s="123">
        <v>0</v>
      </c>
      <c r="S715" s="123"/>
      <c r="T715" s="127" t="s">
        <v>115</v>
      </c>
      <c r="U715" s="127" t="s">
        <v>115</v>
      </c>
      <c r="V715" s="127" t="s">
        <v>115</v>
      </c>
      <c r="W715" s="127"/>
      <c r="X715" s="127"/>
      <c r="Y715" s="127"/>
      <c r="Z715" s="127" t="s">
        <v>115</v>
      </c>
      <c r="AA715" s="127" t="s">
        <v>115</v>
      </c>
      <c r="AB715" s="127" t="s">
        <v>115</v>
      </c>
      <c r="AC715" s="127" t="s">
        <v>115</v>
      </c>
      <c r="AD715" s="127" t="s">
        <v>115</v>
      </c>
      <c r="AE715" s="127" t="s">
        <v>115</v>
      </c>
      <c r="AF715" s="127" t="s">
        <v>115</v>
      </c>
      <c r="AG715" s="127" t="s">
        <v>115</v>
      </c>
      <c r="AH715" s="123">
        <v>0</v>
      </c>
      <c r="AI715" s="123">
        <v>0</v>
      </c>
      <c r="AJ715" s="123">
        <v>0</v>
      </c>
      <c r="AK715" s="123">
        <v>0</v>
      </c>
      <c r="AL715" s="123">
        <v>24</v>
      </c>
      <c r="AM715" s="123"/>
      <c r="AN715" s="123">
        <f t="shared" si="12"/>
        <v>24</v>
      </c>
      <c r="AO715" s="123" t="s">
        <v>188</v>
      </c>
      <c r="AP715" s="123"/>
      <c r="AQ715" s="123"/>
      <c r="AR715" s="123"/>
      <c r="AS715" s="133"/>
      <c r="AT715" s="133"/>
      <c r="AU715" s="133"/>
      <c r="AV715" s="133"/>
    </row>
    <row r="716" spans="1:48" s="133" customFormat="1" x14ac:dyDescent="0.2">
      <c r="A716" s="123" t="s">
        <v>3770</v>
      </c>
      <c r="B716" s="123" t="s">
        <v>3771</v>
      </c>
      <c r="C716" s="123">
        <v>8</v>
      </c>
      <c r="D716" s="123">
        <v>1</v>
      </c>
      <c r="E716" s="123" t="s">
        <v>3171</v>
      </c>
      <c r="F716" s="125">
        <v>43588</v>
      </c>
      <c r="G716" s="125" t="s">
        <v>4028</v>
      </c>
      <c r="H716" s="125" t="s">
        <v>4752</v>
      </c>
      <c r="I716" s="171">
        <v>3.3333333333333333E-2</v>
      </c>
      <c r="J716" s="173">
        <v>5.5555555555555556E-4</v>
      </c>
      <c r="K716" s="129">
        <v>48</v>
      </c>
      <c r="L716" s="123" t="s">
        <v>3187</v>
      </c>
      <c r="M716" s="123" t="s">
        <v>670</v>
      </c>
      <c r="N716" s="123" t="s">
        <v>102</v>
      </c>
      <c r="O716" s="123" t="s">
        <v>115</v>
      </c>
      <c r="P716" s="123" t="s">
        <v>24</v>
      </c>
      <c r="Q716" s="123">
        <v>0</v>
      </c>
      <c r="R716" s="123">
        <v>0</v>
      </c>
      <c r="S716" s="123"/>
      <c r="T716" s="127" t="s">
        <v>115</v>
      </c>
      <c r="U716" s="127" t="s">
        <v>115</v>
      </c>
      <c r="V716" s="127" t="s">
        <v>115</v>
      </c>
      <c r="W716" s="127"/>
      <c r="X716" s="127"/>
      <c r="Y716" s="127"/>
      <c r="Z716" s="127" t="s">
        <v>115</v>
      </c>
      <c r="AA716" s="127" t="s">
        <v>115</v>
      </c>
      <c r="AB716" s="127" t="s">
        <v>115</v>
      </c>
      <c r="AC716" s="127" t="s">
        <v>115</v>
      </c>
      <c r="AD716" s="127" t="s">
        <v>115</v>
      </c>
      <c r="AE716" s="127" t="s">
        <v>115</v>
      </c>
      <c r="AF716" s="127" t="s">
        <v>115</v>
      </c>
      <c r="AG716" s="127" t="s">
        <v>115</v>
      </c>
      <c r="AH716" s="123">
        <v>0</v>
      </c>
      <c r="AI716" s="123">
        <v>0</v>
      </c>
      <c r="AJ716" s="123">
        <v>0</v>
      </c>
      <c r="AK716" s="123">
        <v>0</v>
      </c>
      <c r="AL716" s="123">
        <v>20</v>
      </c>
      <c r="AM716" s="123"/>
      <c r="AN716" s="123">
        <f t="shared" si="12"/>
        <v>20</v>
      </c>
      <c r="AO716" s="123" t="s">
        <v>188</v>
      </c>
      <c r="AP716" s="123"/>
      <c r="AQ716" s="123"/>
      <c r="AR716" s="123"/>
    </row>
    <row r="717" spans="1:48" s="133" customFormat="1" x14ac:dyDescent="0.2">
      <c r="A717" s="123" t="s">
        <v>3772</v>
      </c>
      <c r="B717" s="123" t="s">
        <v>3773</v>
      </c>
      <c r="C717" s="123">
        <v>9</v>
      </c>
      <c r="D717" s="123">
        <v>1</v>
      </c>
      <c r="E717" s="123" t="s">
        <v>3171</v>
      </c>
      <c r="F717" s="125">
        <v>43588</v>
      </c>
      <c r="G717" s="125" t="s">
        <v>4028</v>
      </c>
      <c r="H717" s="125" t="s">
        <v>4752</v>
      </c>
      <c r="I717" s="171">
        <v>4.8611111111111112E-3</v>
      </c>
      <c r="J717" s="173">
        <v>8.1018518518518516E-5</v>
      </c>
      <c r="K717" s="129">
        <v>7</v>
      </c>
      <c r="L717" s="123" t="s">
        <v>3187</v>
      </c>
      <c r="M717" s="123" t="s">
        <v>670</v>
      </c>
      <c r="N717" s="123" t="s">
        <v>102</v>
      </c>
      <c r="O717" s="123" t="s">
        <v>115</v>
      </c>
      <c r="P717" s="123" t="s">
        <v>24</v>
      </c>
      <c r="Q717" s="123">
        <v>0</v>
      </c>
      <c r="R717" s="123">
        <v>0</v>
      </c>
      <c r="S717" s="123"/>
      <c r="T717" s="127" t="s">
        <v>115</v>
      </c>
      <c r="U717" s="127" t="s">
        <v>115</v>
      </c>
      <c r="V717" s="127" t="s">
        <v>115</v>
      </c>
      <c r="W717" s="127"/>
      <c r="X717" s="127"/>
      <c r="Y717" s="127"/>
      <c r="Z717" s="127" t="s">
        <v>115</v>
      </c>
      <c r="AA717" s="127" t="s">
        <v>115</v>
      </c>
      <c r="AB717" s="127" t="s">
        <v>115</v>
      </c>
      <c r="AC717" s="127" t="s">
        <v>115</v>
      </c>
      <c r="AD717" s="127" t="s">
        <v>115</v>
      </c>
      <c r="AE717" s="127" t="s">
        <v>115</v>
      </c>
      <c r="AF717" s="127" t="s">
        <v>115</v>
      </c>
      <c r="AG717" s="127" t="s">
        <v>115</v>
      </c>
      <c r="AH717" s="123">
        <v>0</v>
      </c>
      <c r="AI717" s="123">
        <v>0</v>
      </c>
      <c r="AJ717" s="123">
        <v>0</v>
      </c>
      <c r="AK717" s="123">
        <v>0</v>
      </c>
      <c r="AL717" s="123">
        <v>7</v>
      </c>
      <c r="AM717" s="123"/>
      <c r="AN717" s="123">
        <f t="shared" si="12"/>
        <v>7</v>
      </c>
      <c r="AO717" s="123" t="s">
        <v>188</v>
      </c>
      <c r="AP717" s="123"/>
      <c r="AQ717" s="123"/>
      <c r="AR717" s="123"/>
    </row>
    <row r="718" spans="1:48" s="133" customFormat="1" x14ac:dyDescent="0.2">
      <c r="A718" s="123" t="s">
        <v>3801</v>
      </c>
      <c r="B718" s="123" t="s">
        <v>3802</v>
      </c>
      <c r="C718" s="123">
        <v>22</v>
      </c>
      <c r="D718" s="123">
        <v>1</v>
      </c>
      <c r="E718" s="123" t="s">
        <v>3171</v>
      </c>
      <c r="F718" s="125">
        <v>43588</v>
      </c>
      <c r="G718" s="125" t="s">
        <v>4028</v>
      </c>
      <c r="H718" s="125" t="s">
        <v>4752</v>
      </c>
      <c r="I718" s="171">
        <v>6.8749999999999992E-2</v>
      </c>
      <c r="J718" s="173">
        <v>1.1458333333333333E-3</v>
      </c>
      <c r="K718" s="129">
        <v>99</v>
      </c>
      <c r="L718" s="123" t="s">
        <v>3187</v>
      </c>
      <c r="M718" s="123" t="s">
        <v>670</v>
      </c>
      <c r="N718" s="123" t="s">
        <v>102</v>
      </c>
      <c r="O718" s="123" t="s">
        <v>115</v>
      </c>
      <c r="P718" s="123" t="s">
        <v>24</v>
      </c>
      <c r="Q718" s="123">
        <v>0</v>
      </c>
      <c r="R718" s="123">
        <v>0</v>
      </c>
      <c r="S718" s="123"/>
      <c r="T718" s="127" t="s">
        <v>115</v>
      </c>
      <c r="U718" s="127" t="s">
        <v>115</v>
      </c>
      <c r="V718" s="127" t="s">
        <v>115</v>
      </c>
      <c r="W718" s="127"/>
      <c r="X718" s="127"/>
      <c r="Y718" s="127"/>
      <c r="Z718" s="127" t="s">
        <v>115</v>
      </c>
      <c r="AA718" s="127" t="s">
        <v>115</v>
      </c>
      <c r="AB718" s="127" t="s">
        <v>115</v>
      </c>
      <c r="AC718" s="127" t="s">
        <v>115</v>
      </c>
      <c r="AD718" s="127" t="s">
        <v>115</v>
      </c>
      <c r="AE718" s="127" t="s">
        <v>115</v>
      </c>
      <c r="AF718" s="127" t="s">
        <v>115</v>
      </c>
      <c r="AG718" s="127" t="s">
        <v>115</v>
      </c>
      <c r="AH718" s="123">
        <v>0</v>
      </c>
      <c r="AI718" s="123">
        <v>0</v>
      </c>
      <c r="AJ718" s="123">
        <v>0</v>
      </c>
      <c r="AK718" s="123">
        <v>0</v>
      </c>
      <c r="AL718" s="123">
        <v>99</v>
      </c>
      <c r="AM718" s="123"/>
      <c r="AN718" s="123">
        <f t="shared" si="12"/>
        <v>99</v>
      </c>
      <c r="AO718" s="123" t="s">
        <v>188</v>
      </c>
      <c r="AP718" s="123"/>
      <c r="AQ718" s="123"/>
      <c r="AR718" s="123"/>
      <c r="AS718" s="135"/>
      <c r="AT718" s="135"/>
      <c r="AU718" s="135"/>
      <c r="AV718" s="135"/>
    </row>
    <row r="719" spans="1:48" s="133" customFormat="1" x14ac:dyDescent="0.2">
      <c r="A719" s="123" t="s">
        <v>3738</v>
      </c>
      <c r="B719" s="123" t="s">
        <v>4838</v>
      </c>
      <c r="C719" s="123">
        <v>1</v>
      </c>
      <c r="D719" s="123">
        <v>1</v>
      </c>
      <c r="E719" s="123" t="s">
        <v>2601</v>
      </c>
      <c r="F719" s="125">
        <v>43587</v>
      </c>
      <c r="G719" s="125" t="s">
        <v>4028</v>
      </c>
      <c r="H719" s="125" t="s">
        <v>4752</v>
      </c>
      <c r="I719" s="171">
        <v>1.3888888888888888E-2</v>
      </c>
      <c r="J719" s="173">
        <v>2.3148148148148146E-4</v>
      </c>
      <c r="K719" s="129">
        <v>20</v>
      </c>
      <c r="L719" s="123" t="s">
        <v>1278</v>
      </c>
      <c r="M719" s="123" t="s">
        <v>173</v>
      </c>
      <c r="N719" s="123" t="s">
        <v>102</v>
      </c>
      <c r="O719" s="123" t="s">
        <v>23</v>
      </c>
      <c r="P719" s="123">
        <v>1</v>
      </c>
      <c r="Q719" s="123">
        <v>1</v>
      </c>
      <c r="R719" s="123">
        <v>0</v>
      </c>
      <c r="S719" s="123" t="s">
        <v>176</v>
      </c>
      <c r="T719" s="127" t="s">
        <v>24</v>
      </c>
      <c r="U719" s="127" t="s">
        <v>2061</v>
      </c>
      <c r="V719" s="127" t="s">
        <v>115</v>
      </c>
      <c r="W719" s="127"/>
      <c r="X719" s="127"/>
      <c r="Y719" s="127"/>
      <c r="Z719" s="127" t="s">
        <v>115</v>
      </c>
      <c r="AA719" s="127" t="s">
        <v>115</v>
      </c>
      <c r="AB719" s="127" t="s">
        <v>115</v>
      </c>
      <c r="AC719" s="127" t="s">
        <v>115</v>
      </c>
      <c r="AD719" s="127" t="s">
        <v>115</v>
      </c>
      <c r="AE719" s="123">
        <v>63.726010000000002</v>
      </c>
      <c r="AF719" s="123">
        <v>148.95821000000001</v>
      </c>
      <c r="AG719" s="127" t="s">
        <v>115</v>
      </c>
      <c r="AH719" s="123">
        <v>0</v>
      </c>
      <c r="AI719" s="123">
        <v>0</v>
      </c>
      <c r="AJ719" s="123">
        <v>0</v>
      </c>
      <c r="AK719" s="123">
        <v>0</v>
      </c>
      <c r="AL719" s="123">
        <v>0</v>
      </c>
      <c r="AM719" s="123"/>
      <c r="AN719" s="123">
        <f t="shared" si="12"/>
        <v>0</v>
      </c>
      <c r="AO719" s="123"/>
      <c r="AP719" s="123" t="s">
        <v>2480</v>
      </c>
      <c r="AQ719" s="123"/>
      <c r="AR719" s="123"/>
    </row>
    <row r="720" spans="1:48" s="133" customFormat="1" x14ac:dyDescent="0.2">
      <c r="A720" s="123" t="s">
        <v>3867</v>
      </c>
      <c r="B720" s="123" t="s">
        <v>4842</v>
      </c>
      <c r="C720" s="123">
        <v>3</v>
      </c>
      <c r="D720" s="123">
        <v>1</v>
      </c>
      <c r="E720" s="123" t="s">
        <v>2601</v>
      </c>
      <c r="F720" s="125">
        <v>43590</v>
      </c>
      <c r="G720" s="125" t="s">
        <v>4028</v>
      </c>
      <c r="H720" s="125" t="s">
        <v>4752</v>
      </c>
      <c r="I720" s="171">
        <v>4.027777777777778E-2</v>
      </c>
      <c r="J720" s="173">
        <v>6.7129629629629625E-4</v>
      </c>
      <c r="K720" s="129">
        <v>58</v>
      </c>
      <c r="L720" s="123" t="s">
        <v>1278</v>
      </c>
      <c r="M720" s="123" t="s">
        <v>173</v>
      </c>
      <c r="N720" s="123" t="s">
        <v>102</v>
      </c>
      <c r="O720" s="123" t="s">
        <v>115</v>
      </c>
      <c r="P720" s="123">
        <v>1</v>
      </c>
      <c r="Q720" s="123">
        <v>0</v>
      </c>
      <c r="R720" s="123">
        <v>0</v>
      </c>
      <c r="S720" s="123" t="s">
        <v>176</v>
      </c>
      <c r="T720" s="127" t="s">
        <v>24</v>
      </c>
      <c r="U720" s="127" t="s">
        <v>122</v>
      </c>
      <c r="V720" s="127" t="s">
        <v>115</v>
      </c>
      <c r="W720" s="127"/>
      <c r="X720" s="127"/>
      <c r="Y720" s="127"/>
      <c r="Z720" s="127" t="s">
        <v>115</v>
      </c>
      <c r="AA720" s="127" t="s">
        <v>115</v>
      </c>
      <c r="AB720" s="127" t="s">
        <v>115</v>
      </c>
      <c r="AC720" s="127" t="s">
        <v>115</v>
      </c>
      <c r="AD720" s="127" t="s">
        <v>115</v>
      </c>
      <c r="AE720" s="127" t="s">
        <v>115</v>
      </c>
      <c r="AF720" s="127" t="s">
        <v>115</v>
      </c>
      <c r="AG720" s="127" t="s">
        <v>115</v>
      </c>
      <c r="AH720" s="123">
        <v>0</v>
      </c>
      <c r="AI720" s="123">
        <v>0</v>
      </c>
      <c r="AJ720" s="123">
        <v>0</v>
      </c>
      <c r="AK720" s="123">
        <v>0</v>
      </c>
      <c r="AL720" s="123">
        <v>54</v>
      </c>
      <c r="AM720" s="123"/>
      <c r="AN720" s="123">
        <f t="shared" si="12"/>
        <v>54</v>
      </c>
      <c r="AO720" s="123" t="s">
        <v>188</v>
      </c>
      <c r="AP720" s="123" t="s">
        <v>3869</v>
      </c>
      <c r="AQ720" s="123"/>
      <c r="AR720" s="123"/>
    </row>
    <row r="721" spans="1:48" s="133" customFormat="1" x14ac:dyDescent="0.2">
      <c r="A721" s="123" t="s">
        <v>3740</v>
      </c>
      <c r="B721" s="123" t="s">
        <v>4863</v>
      </c>
      <c r="C721" s="123">
        <v>2</v>
      </c>
      <c r="D721" s="123">
        <v>1</v>
      </c>
      <c r="E721" s="123" t="s">
        <v>2601</v>
      </c>
      <c r="F721" s="125">
        <v>43587</v>
      </c>
      <c r="G721" s="125" t="s">
        <v>4028</v>
      </c>
      <c r="H721" s="125" t="s">
        <v>4752</v>
      </c>
      <c r="I721" s="171">
        <v>7.4999999999999997E-2</v>
      </c>
      <c r="J721" s="173">
        <v>1.25E-3</v>
      </c>
      <c r="K721" s="129">
        <v>108</v>
      </c>
      <c r="L721" s="123" t="s">
        <v>1278</v>
      </c>
      <c r="M721" s="123" t="s">
        <v>173</v>
      </c>
      <c r="N721" s="123" t="s">
        <v>102</v>
      </c>
      <c r="O721" s="123" t="s">
        <v>115</v>
      </c>
      <c r="P721" s="123" t="s">
        <v>24</v>
      </c>
      <c r="Q721" s="123">
        <v>0</v>
      </c>
      <c r="R721" s="123">
        <v>0</v>
      </c>
      <c r="S721" s="123"/>
      <c r="T721" s="127" t="s">
        <v>115</v>
      </c>
      <c r="U721" s="127" t="s">
        <v>115</v>
      </c>
      <c r="V721" s="127" t="s">
        <v>115</v>
      </c>
      <c r="W721" s="127"/>
      <c r="X721" s="127"/>
      <c r="Y721" s="127"/>
      <c r="Z721" s="127" t="s">
        <v>115</v>
      </c>
      <c r="AA721" s="127" t="s">
        <v>115</v>
      </c>
      <c r="AB721" s="127" t="s">
        <v>115</v>
      </c>
      <c r="AC721" s="127" t="s">
        <v>115</v>
      </c>
      <c r="AD721" s="127" t="s">
        <v>115</v>
      </c>
      <c r="AE721" s="127" t="s">
        <v>115</v>
      </c>
      <c r="AF721" s="127" t="s">
        <v>115</v>
      </c>
      <c r="AG721" s="127" t="s">
        <v>115</v>
      </c>
      <c r="AH721" s="123">
        <v>0</v>
      </c>
      <c r="AI721" s="123">
        <v>0</v>
      </c>
      <c r="AJ721" s="123">
        <v>0</v>
      </c>
      <c r="AK721" s="123">
        <v>0</v>
      </c>
      <c r="AL721" s="123">
        <v>73</v>
      </c>
      <c r="AM721" s="123"/>
      <c r="AN721" s="123">
        <f t="shared" si="12"/>
        <v>73</v>
      </c>
      <c r="AO721" s="123" t="s">
        <v>188</v>
      </c>
      <c r="AP721" s="123"/>
      <c r="AQ721" s="123"/>
      <c r="AR721" s="123"/>
      <c r="AS721" s="135"/>
      <c r="AT721" s="135"/>
      <c r="AU721" s="135"/>
      <c r="AV721" s="135"/>
    </row>
    <row r="722" spans="1:48" s="135" customFormat="1" x14ac:dyDescent="0.2">
      <c r="A722" s="123" t="s">
        <v>3870</v>
      </c>
      <c r="B722" s="123" t="s">
        <v>4867</v>
      </c>
      <c r="C722" s="123">
        <v>4</v>
      </c>
      <c r="D722" s="123">
        <v>1</v>
      </c>
      <c r="E722" s="123" t="s">
        <v>2601</v>
      </c>
      <c r="F722" s="125">
        <v>43590</v>
      </c>
      <c r="G722" s="125" t="s">
        <v>4028</v>
      </c>
      <c r="H722" s="125" t="s">
        <v>4752</v>
      </c>
      <c r="I722" s="171">
        <v>2.361111111111111E-2</v>
      </c>
      <c r="J722" s="173">
        <v>3.9351851851851852E-4</v>
      </c>
      <c r="K722" s="129">
        <v>34</v>
      </c>
      <c r="L722" s="123" t="s">
        <v>1278</v>
      </c>
      <c r="M722" s="123" t="s">
        <v>173</v>
      </c>
      <c r="N722" s="123" t="s">
        <v>102</v>
      </c>
      <c r="O722" s="123" t="s">
        <v>115</v>
      </c>
      <c r="P722" s="123" t="s">
        <v>24</v>
      </c>
      <c r="Q722" s="123">
        <v>0</v>
      </c>
      <c r="R722" s="123">
        <v>0</v>
      </c>
      <c r="S722" s="123"/>
      <c r="T722" s="127" t="s">
        <v>115</v>
      </c>
      <c r="U722" s="127" t="s">
        <v>115</v>
      </c>
      <c r="V722" s="127" t="s">
        <v>115</v>
      </c>
      <c r="W722" s="127"/>
      <c r="X722" s="127"/>
      <c r="Y722" s="127"/>
      <c r="Z722" s="127" t="s">
        <v>115</v>
      </c>
      <c r="AA722" s="127" t="s">
        <v>115</v>
      </c>
      <c r="AB722" s="127" t="s">
        <v>115</v>
      </c>
      <c r="AC722" s="127" t="s">
        <v>115</v>
      </c>
      <c r="AD722" s="127" t="s">
        <v>115</v>
      </c>
      <c r="AE722" s="127" t="s">
        <v>115</v>
      </c>
      <c r="AF722" s="127" t="s">
        <v>115</v>
      </c>
      <c r="AG722" s="127" t="s">
        <v>115</v>
      </c>
      <c r="AH722" s="123">
        <v>0</v>
      </c>
      <c r="AI722" s="123">
        <v>0</v>
      </c>
      <c r="AJ722" s="123">
        <v>0</v>
      </c>
      <c r="AK722" s="123">
        <v>0</v>
      </c>
      <c r="AL722" s="123">
        <v>34</v>
      </c>
      <c r="AM722" s="123"/>
      <c r="AN722" s="123">
        <f t="shared" si="12"/>
        <v>34</v>
      </c>
      <c r="AO722" s="123" t="s">
        <v>188</v>
      </c>
      <c r="AP722" s="123"/>
      <c r="AQ722" s="123"/>
      <c r="AR722" s="123"/>
      <c r="AS722" s="133"/>
      <c r="AT722" s="133"/>
      <c r="AU722" s="133"/>
      <c r="AV722" s="133"/>
    </row>
    <row r="723" spans="1:48" s="133" customFormat="1" x14ac:dyDescent="0.2">
      <c r="A723" s="123" t="s">
        <v>3872</v>
      </c>
      <c r="B723" s="123" t="s">
        <v>4868</v>
      </c>
      <c r="C723" s="123">
        <v>5</v>
      </c>
      <c r="D723" s="123">
        <v>1</v>
      </c>
      <c r="E723" s="123" t="s">
        <v>2601</v>
      </c>
      <c r="F723" s="125">
        <v>43590</v>
      </c>
      <c r="G723" s="125" t="s">
        <v>4028</v>
      </c>
      <c r="H723" s="125" t="s">
        <v>4752</v>
      </c>
      <c r="I723" s="171">
        <v>1.2499999999999999E-2</v>
      </c>
      <c r="J723" s="173">
        <v>2.0833333333333335E-4</v>
      </c>
      <c r="K723" s="129">
        <v>18</v>
      </c>
      <c r="L723" s="123" t="s">
        <v>1278</v>
      </c>
      <c r="M723" s="123" t="s">
        <v>173</v>
      </c>
      <c r="N723" s="123" t="s">
        <v>102</v>
      </c>
      <c r="O723" s="123" t="s">
        <v>115</v>
      </c>
      <c r="P723" s="123" t="s">
        <v>24</v>
      </c>
      <c r="Q723" s="123">
        <v>0</v>
      </c>
      <c r="R723" s="123">
        <v>0</v>
      </c>
      <c r="S723" s="123"/>
      <c r="T723" s="127" t="s">
        <v>115</v>
      </c>
      <c r="U723" s="127" t="s">
        <v>115</v>
      </c>
      <c r="V723" s="127" t="s">
        <v>115</v>
      </c>
      <c r="W723" s="127"/>
      <c r="X723" s="127"/>
      <c r="Y723" s="127"/>
      <c r="Z723" s="127" t="s">
        <v>115</v>
      </c>
      <c r="AA723" s="127" t="s">
        <v>115</v>
      </c>
      <c r="AB723" s="127" t="s">
        <v>115</v>
      </c>
      <c r="AC723" s="127" t="s">
        <v>115</v>
      </c>
      <c r="AD723" s="127" t="s">
        <v>115</v>
      </c>
      <c r="AE723" s="127" t="s">
        <v>115</v>
      </c>
      <c r="AF723" s="127" t="s">
        <v>115</v>
      </c>
      <c r="AG723" s="127" t="s">
        <v>115</v>
      </c>
      <c r="AH723" s="123">
        <v>0</v>
      </c>
      <c r="AI723" s="123">
        <v>0</v>
      </c>
      <c r="AJ723" s="123">
        <v>0</v>
      </c>
      <c r="AK723" s="123">
        <v>0</v>
      </c>
      <c r="AL723" s="123">
        <v>18</v>
      </c>
      <c r="AM723" s="123"/>
      <c r="AN723" s="123">
        <f t="shared" si="12"/>
        <v>18</v>
      </c>
      <c r="AO723" s="123" t="s">
        <v>188</v>
      </c>
      <c r="AP723" s="123"/>
      <c r="AQ723" s="123"/>
      <c r="AR723" s="123"/>
      <c r="AS723" s="135"/>
      <c r="AT723" s="135"/>
      <c r="AU723" s="135"/>
      <c r="AV723" s="135"/>
    </row>
    <row r="724" spans="1:48" s="135" customFormat="1" x14ac:dyDescent="0.2">
      <c r="A724" s="123" t="s">
        <v>3874</v>
      </c>
      <c r="B724" s="123" t="s">
        <v>4869</v>
      </c>
      <c r="C724" s="123">
        <v>6</v>
      </c>
      <c r="D724" s="123">
        <v>1</v>
      </c>
      <c r="E724" s="123" t="s">
        <v>2601</v>
      </c>
      <c r="F724" s="125">
        <v>43590</v>
      </c>
      <c r="G724" s="125" t="s">
        <v>4028</v>
      </c>
      <c r="H724" s="125" t="s">
        <v>4752</v>
      </c>
      <c r="I724" s="171">
        <v>2.6388888888888889E-2</v>
      </c>
      <c r="J724" s="173">
        <v>4.3981481481481481E-4</v>
      </c>
      <c r="K724" s="129">
        <v>38</v>
      </c>
      <c r="L724" s="123" t="s">
        <v>1278</v>
      </c>
      <c r="M724" s="123" t="s">
        <v>173</v>
      </c>
      <c r="N724" s="123" t="s">
        <v>102</v>
      </c>
      <c r="O724" s="123" t="s">
        <v>115</v>
      </c>
      <c r="P724" s="123" t="s">
        <v>24</v>
      </c>
      <c r="Q724" s="123">
        <v>0</v>
      </c>
      <c r="R724" s="123">
        <v>0</v>
      </c>
      <c r="S724" s="123"/>
      <c r="T724" s="127" t="s">
        <v>115</v>
      </c>
      <c r="U724" s="127" t="s">
        <v>115</v>
      </c>
      <c r="V724" s="127" t="s">
        <v>115</v>
      </c>
      <c r="W724" s="127"/>
      <c r="X724" s="127"/>
      <c r="Y724" s="127"/>
      <c r="Z724" s="127" t="s">
        <v>115</v>
      </c>
      <c r="AA724" s="127" t="s">
        <v>115</v>
      </c>
      <c r="AB724" s="127" t="s">
        <v>115</v>
      </c>
      <c r="AC724" s="127" t="s">
        <v>115</v>
      </c>
      <c r="AD724" s="127" t="s">
        <v>115</v>
      </c>
      <c r="AE724" s="127" t="s">
        <v>115</v>
      </c>
      <c r="AF724" s="127" t="s">
        <v>115</v>
      </c>
      <c r="AG724" s="127" t="s">
        <v>115</v>
      </c>
      <c r="AH724" s="123">
        <v>0</v>
      </c>
      <c r="AI724" s="123">
        <v>0</v>
      </c>
      <c r="AJ724" s="123">
        <v>0</v>
      </c>
      <c r="AK724" s="123">
        <v>0</v>
      </c>
      <c r="AL724" s="123">
        <v>38</v>
      </c>
      <c r="AM724" s="123"/>
      <c r="AN724" s="123">
        <f t="shared" si="12"/>
        <v>38</v>
      </c>
      <c r="AO724" s="123" t="s">
        <v>188</v>
      </c>
      <c r="AP724" s="123"/>
      <c r="AQ724" s="123"/>
      <c r="AR724" s="123"/>
    </row>
    <row r="725" spans="1:48" s="135" customFormat="1" x14ac:dyDescent="0.2">
      <c r="A725" s="123" t="s">
        <v>3729</v>
      </c>
      <c r="B725" s="123" t="s">
        <v>3730</v>
      </c>
      <c r="C725" s="123">
        <v>1</v>
      </c>
      <c r="D725" s="123">
        <v>1</v>
      </c>
      <c r="E725" s="123" t="s">
        <v>3731</v>
      </c>
      <c r="F725" s="125">
        <v>43587</v>
      </c>
      <c r="G725" s="125" t="s">
        <v>4028</v>
      </c>
      <c r="H725" s="125" t="s">
        <v>4752</v>
      </c>
      <c r="I725" s="171">
        <v>5.5555555555555558E-3</v>
      </c>
      <c r="J725" s="173">
        <v>9.2592592592592588E-5</v>
      </c>
      <c r="K725" s="129">
        <v>8</v>
      </c>
      <c r="L725" s="123" t="s">
        <v>1278</v>
      </c>
      <c r="M725" s="123" t="s">
        <v>255</v>
      </c>
      <c r="N725" s="123" t="s">
        <v>102</v>
      </c>
      <c r="O725" s="123" t="s">
        <v>115</v>
      </c>
      <c r="P725" s="123">
        <v>1</v>
      </c>
      <c r="Q725" s="123">
        <v>0</v>
      </c>
      <c r="R725" s="123">
        <v>0</v>
      </c>
      <c r="S725" s="123" t="s">
        <v>176</v>
      </c>
      <c r="T725" s="127" t="s">
        <v>24</v>
      </c>
      <c r="U725" s="127" t="s">
        <v>115</v>
      </c>
      <c r="V725" s="127" t="s">
        <v>115</v>
      </c>
      <c r="W725" s="127"/>
      <c r="X725" s="127"/>
      <c r="Y725" s="127"/>
      <c r="Z725" s="127" t="s">
        <v>115</v>
      </c>
      <c r="AA725" s="127" t="s">
        <v>115</v>
      </c>
      <c r="AB725" s="127" t="s">
        <v>115</v>
      </c>
      <c r="AC725" s="127" t="s">
        <v>115</v>
      </c>
      <c r="AD725" s="127" t="s">
        <v>115</v>
      </c>
      <c r="AE725" s="127" t="s">
        <v>115</v>
      </c>
      <c r="AF725" s="127" t="s">
        <v>115</v>
      </c>
      <c r="AG725" s="127" t="s">
        <v>115</v>
      </c>
      <c r="AH725" s="123">
        <v>0</v>
      </c>
      <c r="AI725" s="123">
        <v>0</v>
      </c>
      <c r="AJ725" s="123">
        <v>0</v>
      </c>
      <c r="AK725" s="123">
        <v>0</v>
      </c>
      <c r="AL725" s="123">
        <v>8</v>
      </c>
      <c r="AM725" s="123"/>
      <c r="AN725" s="123">
        <f t="shared" si="12"/>
        <v>8</v>
      </c>
      <c r="AO725" s="123" t="s">
        <v>188</v>
      </c>
      <c r="AP725" s="123"/>
      <c r="AQ725" s="123"/>
      <c r="AR725" s="123"/>
      <c r="AS725" s="133"/>
      <c r="AT725" s="133"/>
      <c r="AU725" s="133"/>
      <c r="AV725" s="133"/>
    </row>
    <row r="726" spans="1:48" s="133" customFormat="1" x14ac:dyDescent="0.2">
      <c r="A726" s="123" t="s">
        <v>3735</v>
      </c>
      <c r="B726" s="123" t="s">
        <v>3736</v>
      </c>
      <c r="C726" s="123">
        <v>4</v>
      </c>
      <c r="D726" s="123">
        <v>1</v>
      </c>
      <c r="E726" s="123" t="s">
        <v>3731</v>
      </c>
      <c r="F726" s="125">
        <v>43587</v>
      </c>
      <c r="G726" s="125" t="s">
        <v>4028</v>
      </c>
      <c r="H726" s="125" t="s">
        <v>4752</v>
      </c>
      <c r="I726" s="171">
        <v>2.7083333333333334E-2</v>
      </c>
      <c r="J726" s="173">
        <v>4.5138888888888892E-4</v>
      </c>
      <c r="K726" s="129">
        <v>39</v>
      </c>
      <c r="L726" s="123" t="s">
        <v>1278</v>
      </c>
      <c r="M726" s="123" t="s">
        <v>255</v>
      </c>
      <c r="N726" s="123" t="s">
        <v>111</v>
      </c>
      <c r="O726" s="123" t="s">
        <v>23</v>
      </c>
      <c r="P726" s="123">
        <v>0</v>
      </c>
      <c r="Q726" s="123">
        <v>0</v>
      </c>
      <c r="R726" s="123">
        <v>1</v>
      </c>
      <c r="S726" s="123" t="s">
        <v>598</v>
      </c>
      <c r="T726" s="127" t="s">
        <v>2801</v>
      </c>
      <c r="U726" s="127" t="s">
        <v>115</v>
      </c>
      <c r="V726" s="127" t="s">
        <v>2088</v>
      </c>
      <c r="W726" s="127" t="s">
        <v>23</v>
      </c>
      <c r="X726" s="127" t="s">
        <v>3997</v>
      </c>
      <c r="Y726" s="127" t="s">
        <v>4021</v>
      </c>
      <c r="Z726" s="127" t="s">
        <v>2765</v>
      </c>
      <c r="AA726" s="123">
        <v>220</v>
      </c>
      <c r="AB726" s="123">
        <v>20</v>
      </c>
      <c r="AC726" s="123">
        <v>63.733550000000001</v>
      </c>
      <c r="AD726" s="123">
        <v>148.90380999999999</v>
      </c>
      <c r="AE726" s="127" t="s">
        <v>115</v>
      </c>
      <c r="AF726" s="127" t="s">
        <v>115</v>
      </c>
      <c r="AG726" s="127" t="s">
        <v>115</v>
      </c>
      <c r="AH726" s="123">
        <v>0</v>
      </c>
      <c r="AI726" s="123">
        <v>0</v>
      </c>
      <c r="AJ726" s="123">
        <v>0</v>
      </c>
      <c r="AK726" s="123">
        <v>0</v>
      </c>
      <c r="AL726" s="123">
        <v>0</v>
      </c>
      <c r="AM726" s="123"/>
      <c r="AN726" s="123">
        <f t="shared" si="12"/>
        <v>0</v>
      </c>
      <c r="AO726" s="123"/>
      <c r="AP726" s="123"/>
      <c r="AQ726" s="123"/>
      <c r="AR726" s="123"/>
      <c r="AS726" s="135"/>
      <c r="AT726" s="135"/>
      <c r="AU726" s="135"/>
      <c r="AV726" s="135"/>
    </row>
    <row r="727" spans="1:48" s="133" customFormat="1" x14ac:dyDescent="0.2">
      <c r="A727" s="123" t="s">
        <v>3735</v>
      </c>
      <c r="B727" s="123" t="s">
        <v>3736</v>
      </c>
      <c r="C727" s="123">
        <v>4</v>
      </c>
      <c r="D727" s="123">
        <v>2</v>
      </c>
      <c r="E727" s="123" t="s">
        <v>3731</v>
      </c>
      <c r="F727" s="125">
        <v>43587</v>
      </c>
      <c r="G727" s="125" t="s">
        <v>4028</v>
      </c>
      <c r="H727" s="125" t="s">
        <v>4752</v>
      </c>
      <c r="I727" s="171">
        <v>2.7083333333333334E-2</v>
      </c>
      <c r="J727" s="173">
        <v>4.5138888888888892E-4</v>
      </c>
      <c r="K727" s="129">
        <v>39</v>
      </c>
      <c r="L727" s="123" t="s">
        <v>1278</v>
      </c>
      <c r="M727" s="123" t="s">
        <v>255</v>
      </c>
      <c r="N727" s="123" t="s">
        <v>111</v>
      </c>
      <c r="O727" s="123" t="s">
        <v>23</v>
      </c>
      <c r="P727" s="123">
        <v>0</v>
      </c>
      <c r="Q727" s="123">
        <v>0</v>
      </c>
      <c r="R727" s="123">
        <v>1</v>
      </c>
      <c r="S727" s="123" t="s">
        <v>598</v>
      </c>
      <c r="T727" s="127" t="s">
        <v>2801</v>
      </c>
      <c r="U727" s="127" t="s">
        <v>115</v>
      </c>
      <c r="V727" s="127" t="s">
        <v>2088</v>
      </c>
      <c r="W727" s="127" t="s">
        <v>23</v>
      </c>
      <c r="X727" s="127" t="s">
        <v>3997</v>
      </c>
      <c r="Y727" s="127" t="s">
        <v>4021</v>
      </c>
      <c r="Z727" s="127" t="s">
        <v>2765</v>
      </c>
      <c r="AA727" s="123">
        <v>240</v>
      </c>
      <c r="AB727" s="123">
        <v>20</v>
      </c>
      <c r="AC727" s="123">
        <v>63.733550000000001</v>
      </c>
      <c r="AD727" s="123">
        <v>148.90380999999999</v>
      </c>
      <c r="AE727" s="127" t="s">
        <v>115</v>
      </c>
      <c r="AF727" s="127" t="s">
        <v>115</v>
      </c>
      <c r="AG727" s="127" t="s">
        <v>115</v>
      </c>
      <c r="AH727" s="123">
        <v>0</v>
      </c>
      <c r="AI727" s="123">
        <v>0</v>
      </c>
      <c r="AJ727" s="123">
        <v>0</v>
      </c>
      <c r="AK727" s="123">
        <v>0</v>
      </c>
      <c r="AL727" s="123">
        <v>0</v>
      </c>
      <c r="AM727" s="123"/>
      <c r="AN727" s="123">
        <f t="shared" si="12"/>
        <v>0</v>
      </c>
      <c r="AO727" s="123"/>
      <c r="AP727" s="123" t="s">
        <v>4839</v>
      </c>
      <c r="AQ727" s="123"/>
      <c r="AR727" s="123"/>
    </row>
    <row r="728" spans="1:48" s="133" customFormat="1" x14ac:dyDescent="0.2">
      <c r="A728" s="123" t="s">
        <v>3733</v>
      </c>
      <c r="B728" s="123" t="s">
        <v>3734</v>
      </c>
      <c r="C728" s="123">
        <v>3</v>
      </c>
      <c r="D728" s="123">
        <v>1</v>
      </c>
      <c r="E728" s="123" t="s">
        <v>3731</v>
      </c>
      <c r="F728" s="125">
        <v>43587</v>
      </c>
      <c r="G728" s="125" t="s">
        <v>4028</v>
      </c>
      <c r="H728" s="125" t="s">
        <v>4752</v>
      </c>
      <c r="I728" s="171">
        <v>1.4583333333333332E-2</v>
      </c>
      <c r="J728" s="173">
        <v>2.4305555555555552E-4</v>
      </c>
      <c r="K728" s="129">
        <v>21</v>
      </c>
      <c r="L728" s="123" t="s">
        <v>1278</v>
      </c>
      <c r="M728" s="123" t="s">
        <v>255</v>
      </c>
      <c r="N728" s="123" t="s">
        <v>107</v>
      </c>
      <c r="O728" s="123" t="s">
        <v>115</v>
      </c>
      <c r="P728" s="123">
        <v>1</v>
      </c>
      <c r="Q728" s="123">
        <v>0</v>
      </c>
      <c r="R728" s="123">
        <v>0</v>
      </c>
      <c r="S728" s="123" t="s">
        <v>598</v>
      </c>
      <c r="T728" s="127" t="s">
        <v>2801</v>
      </c>
      <c r="U728" s="127" t="s">
        <v>122</v>
      </c>
      <c r="V728" s="127" t="s">
        <v>115</v>
      </c>
      <c r="W728" s="127"/>
      <c r="X728" s="127"/>
      <c r="Y728" s="127"/>
      <c r="Z728" s="127" t="s">
        <v>115</v>
      </c>
      <c r="AA728" s="127" t="s">
        <v>115</v>
      </c>
      <c r="AB728" s="127" t="s">
        <v>115</v>
      </c>
      <c r="AC728" s="127" t="s">
        <v>115</v>
      </c>
      <c r="AD728" s="127" t="s">
        <v>115</v>
      </c>
      <c r="AE728" s="127" t="s">
        <v>115</v>
      </c>
      <c r="AF728" s="127" t="s">
        <v>115</v>
      </c>
      <c r="AG728" s="127" t="s">
        <v>115</v>
      </c>
      <c r="AH728" s="123">
        <v>0</v>
      </c>
      <c r="AI728" s="123">
        <v>0</v>
      </c>
      <c r="AJ728" s="123">
        <v>0</v>
      </c>
      <c r="AK728" s="123">
        <v>0</v>
      </c>
      <c r="AL728" s="123">
        <v>0</v>
      </c>
      <c r="AM728" s="123"/>
      <c r="AN728" s="123">
        <f t="shared" si="12"/>
        <v>0</v>
      </c>
      <c r="AO728" s="123" t="s">
        <v>188</v>
      </c>
      <c r="AP728" s="123" t="s">
        <v>2480</v>
      </c>
      <c r="AQ728" s="123"/>
      <c r="AR728" s="123"/>
      <c r="AS728" s="135"/>
      <c r="AT728" s="135"/>
      <c r="AU728" s="135"/>
      <c r="AV728" s="135"/>
    </row>
    <row r="729" spans="1:48" s="133" customFormat="1" x14ac:dyDescent="0.2">
      <c r="A729" s="123" t="s">
        <v>3729</v>
      </c>
      <c r="B729" s="123" t="s">
        <v>3732</v>
      </c>
      <c r="C729" s="123">
        <v>2</v>
      </c>
      <c r="D729" s="123">
        <v>1</v>
      </c>
      <c r="E729" s="123" t="s">
        <v>3731</v>
      </c>
      <c r="F729" s="125">
        <v>43587</v>
      </c>
      <c r="G729" s="125" t="s">
        <v>4028</v>
      </c>
      <c r="H729" s="125" t="s">
        <v>4752</v>
      </c>
      <c r="I729" s="171">
        <v>1.0416666666666666E-2</v>
      </c>
      <c r="J729" s="173">
        <v>1.7361111111111112E-4</v>
      </c>
      <c r="K729" s="129">
        <v>15</v>
      </c>
      <c r="L729" s="123" t="s">
        <v>1278</v>
      </c>
      <c r="M729" s="123" t="s">
        <v>255</v>
      </c>
      <c r="N729" s="123" t="s">
        <v>102</v>
      </c>
      <c r="O729" s="123" t="s">
        <v>115</v>
      </c>
      <c r="P729" s="123">
        <v>0</v>
      </c>
      <c r="Q729" s="123">
        <v>0</v>
      </c>
      <c r="R729" s="123">
        <v>0</v>
      </c>
      <c r="S729" s="123" t="s">
        <v>24</v>
      </c>
      <c r="T729" s="127" t="s">
        <v>24</v>
      </c>
      <c r="U729" s="127" t="s">
        <v>115</v>
      </c>
      <c r="V729" s="127" t="s">
        <v>115</v>
      </c>
      <c r="W729" s="127"/>
      <c r="X729" s="127"/>
      <c r="Y729" s="127"/>
      <c r="Z729" s="127" t="s">
        <v>115</v>
      </c>
      <c r="AA729" s="127" t="s">
        <v>115</v>
      </c>
      <c r="AB729" s="127" t="s">
        <v>115</v>
      </c>
      <c r="AC729" s="127" t="s">
        <v>115</v>
      </c>
      <c r="AD729" s="127" t="s">
        <v>115</v>
      </c>
      <c r="AE729" s="127" t="s">
        <v>115</v>
      </c>
      <c r="AF729" s="127" t="s">
        <v>115</v>
      </c>
      <c r="AG729" s="127" t="s">
        <v>115</v>
      </c>
      <c r="AH729" s="123">
        <v>0</v>
      </c>
      <c r="AI729" s="123">
        <v>0</v>
      </c>
      <c r="AJ729" s="123">
        <v>0</v>
      </c>
      <c r="AK729" s="123">
        <v>0</v>
      </c>
      <c r="AL729" s="123">
        <v>7</v>
      </c>
      <c r="AM729" s="123"/>
      <c r="AN729" s="123">
        <f t="shared" si="12"/>
        <v>7</v>
      </c>
      <c r="AO729" s="123" t="s">
        <v>188</v>
      </c>
      <c r="AP729" s="123"/>
      <c r="AQ729" s="123"/>
      <c r="AR729" s="123"/>
    </row>
    <row r="730" spans="1:48" s="133" customFormat="1" x14ac:dyDescent="0.2">
      <c r="A730" s="123" t="s">
        <v>3903</v>
      </c>
      <c r="B730" s="123" t="s">
        <v>3904</v>
      </c>
      <c r="C730" s="123">
        <v>10</v>
      </c>
      <c r="D730" s="123">
        <v>1</v>
      </c>
      <c r="E730" s="123" t="s">
        <v>2462</v>
      </c>
      <c r="F730" s="125">
        <v>43591</v>
      </c>
      <c r="G730" s="125" t="s">
        <v>4028</v>
      </c>
      <c r="H730" s="125" t="s">
        <v>4752</v>
      </c>
      <c r="I730" s="171">
        <v>8.3333333333333332E-3</v>
      </c>
      <c r="J730" s="173">
        <v>1.3888888888888889E-4</v>
      </c>
      <c r="K730" s="129">
        <v>12</v>
      </c>
      <c r="L730" s="123" t="s">
        <v>1278</v>
      </c>
      <c r="M730" s="123" t="s">
        <v>64</v>
      </c>
      <c r="N730" s="123" t="s">
        <v>102</v>
      </c>
      <c r="O730" s="123" t="s">
        <v>23</v>
      </c>
      <c r="P730" s="123">
        <v>1</v>
      </c>
      <c r="Q730" s="123" t="s">
        <v>24</v>
      </c>
      <c r="R730" s="123">
        <v>0</v>
      </c>
      <c r="S730" s="123" t="s">
        <v>176</v>
      </c>
      <c r="T730" s="127" t="s">
        <v>24</v>
      </c>
      <c r="U730" s="127" t="s">
        <v>3905</v>
      </c>
      <c r="V730" s="127" t="s">
        <v>115</v>
      </c>
      <c r="W730" s="127"/>
      <c r="X730" s="127"/>
      <c r="Y730" s="127"/>
      <c r="Z730" s="127" t="s">
        <v>115</v>
      </c>
      <c r="AA730" s="127" t="s">
        <v>115</v>
      </c>
      <c r="AB730" s="127" t="s">
        <v>115</v>
      </c>
      <c r="AC730" s="127" t="s">
        <v>115</v>
      </c>
      <c r="AD730" s="127" t="s">
        <v>115</v>
      </c>
      <c r="AE730" s="127" t="s">
        <v>115</v>
      </c>
      <c r="AF730" s="127" t="s">
        <v>115</v>
      </c>
      <c r="AG730" s="127" t="s">
        <v>115</v>
      </c>
      <c r="AH730" s="123">
        <v>0</v>
      </c>
      <c r="AI730" s="123">
        <v>0</v>
      </c>
      <c r="AJ730" s="123">
        <v>0</v>
      </c>
      <c r="AK730" s="123">
        <v>0</v>
      </c>
      <c r="AL730" s="123">
        <v>0</v>
      </c>
      <c r="AM730" s="123"/>
      <c r="AN730" s="123">
        <f t="shared" si="12"/>
        <v>0</v>
      </c>
      <c r="AO730" s="123"/>
      <c r="AP730" s="123" t="s">
        <v>2480</v>
      </c>
      <c r="AQ730" s="123"/>
      <c r="AR730" s="123"/>
    </row>
    <row r="731" spans="1:48" s="133" customFormat="1" x14ac:dyDescent="0.2">
      <c r="A731" s="123" t="s">
        <v>3910</v>
      </c>
      <c r="B731" s="123" t="s">
        <v>3911</v>
      </c>
      <c r="C731" s="123">
        <v>13</v>
      </c>
      <c r="D731" s="123">
        <v>1</v>
      </c>
      <c r="E731" s="123" t="s">
        <v>2462</v>
      </c>
      <c r="F731" s="125">
        <v>43591</v>
      </c>
      <c r="G731" s="125" t="s">
        <v>4028</v>
      </c>
      <c r="H731" s="125" t="s">
        <v>4752</v>
      </c>
      <c r="I731" s="171">
        <v>9.0277777777777787E-3</v>
      </c>
      <c r="J731" s="173">
        <v>1.5046296296296297E-4</v>
      </c>
      <c r="K731" s="129">
        <v>13</v>
      </c>
      <c r="L731" s="123" t="s">
        <v>1278</v>
      </c>
      <c r="M731" s="123" t="s">
        <v>64</v>
      </c>
      <c r="N731" s="123" t="s">
        <v>111</v>
      </c>
      <c r="O731" s="123" t="s">
        <v>23</v>
      </c>
      <c r="P731" s="123">
        <v>0</v>
      </c>
      <c r="Q731" s="123">
        <v>0</v>
      </c>
      <c r="R731" s="123">
        <v>1</v>
      </c>
      <c r="S731" s="123" t="s">
        <v>598</v>
      </c>
      <c r="T731" s="127" t="s">
        <v>2801</v>
      </c>
      <c r="U731" s="127" t="s">
        <v>115</v>
      </c>
      <c r="V731" s="127" t="s">
        <v>333</v>
      </c>
      <c r="W731" s="127" t="s">
        <v>23</v>
      </c>
      <c r="X731" s="127" t="s">
        <v>3999</v>
      </c>
      <c r="Y731" s="127" t="s">
        <v>4006</v>
      </c>
      <c r="Z731" s="123" t="s">
        <v>3912</v>
      </c>
      <c r="AA731" s="123">
        <v>95</v>
      </c>
      <c r="AB731" s="123">
        <v>21</v>
      </c>
      <c r="AC731" s="123">
        <v>63.736319999999999</v>
      </c>
      <c r="AD731" s="123">
        <v>148.90260000000001</v>
      </c>
      <c r="AE731" s="127" t="s">
        <v>115</v>
      </c>
      <c r="AF731" s="127" t="s">
        <v>115</v>
      </c>
      <c r="AG731" s="127" t="s">
        <v>115</v>
      </c>
      <c r="AH731" s="123">
        <v>0</v>
      </c>
      <c r="AI731" s="123">
        <v>0</v>
      </c>
      <c r="AJ731" s="123">
        <v>0</v>
      </c>
      <c r="AK731" s="123">
        <v>0</v>
      </c>
      <c r="AL731" s="123">
        <v>0</v>
      </c>
      <c r="AM731" s="123"/>
      <c r="AN731" s="123">
        <f t="shared" si="12"/>
        <v>0</v>
      </c>
      <c r="AO731" s="123"/>
      <c r="AP731" s="123" t="s">
        <v>3611</v>
      </c>
      <c r="AQ731" s="123"/>
      <c r="AR731" s="123"/>
      <c r="AS731" s="135"/>
      <c r="AT731" s="135"/>
      <c r="AU731" s="135"/>
      <c r="AV731" s="135"/>
    </row>
    <row r="732" spans="1:48" s="135" customFormat="1" x14ac:dyDescent="0.2">
      <c r="A732" s="123" t="s">
        <v>3913</v>
      </c>
      <c r="B732" s="123" t="s">
        <v>3914</v>
      </c>
      <c r="C732" s="123">
        <v>14</v>
      </c>
      <c r="D732" s="123">
        <v>1</v>
      </c>
      <c r="E732" s="123" t="s">
        <v>2462</v>
      </c>
      <c r="F732" s="125">
        <v>43591</v>
      </c>
      <c r="G732" s="125" t="s">
        <v>4028</v>
      </c>
      <c r="H732" s="125" t="s">
        <v>4752</v>
      </c>
      <c r="I732" s="171">
        <v>6.9444444444444441E-3</v>
      </c>
      <c r="J732" s="173">
        <v>1.1574074074074073E-4</v>
      </c>
      <c r="K732" s="129">
        <v>10</v>
      </c>
      <c r="L732" s="123" t="s">
        <v>1278</v>
      </c>
      <c r="M732" s="123" t="s">
        <v>64</v>
      </c>
      <c r="N732" s="123" t="s">
        <v>111</v>
      </c>
      <c r="O732" s="123" t="s">
        <v>23</v>
      </c>
      <c r="P732" s="123">
        <v>1</v>
      </c>
      <c r="Q732" s="123">
        <v>0</v>
      </c>
      <c r="R732" s="123">
        <v>1</v>
      </c>
      <c r="S732" s="123" t="s">
        <v>598</v>
      </c>
      <c r="T732" s="127" t="s">
        <v>2437</v>
      </c>
      <c r="U732" s="127" t="s">
        <v>24</v>
      </c>
      <c r="V732" s="127" t="s">
        <v>3591</v>
      </c>
      <c r="W732" s="127" t="s">
        <v>23</v>
      </c>
      <c r="X732" s="127" t="s">
        <v>3997</v>
      </c>
      <c r="Y732" s="127" t="s">
        <v>4020</v>
      </c>
      <c r="Z732" s="127" t="s">
        <v>2457</v>
      </c>
      <c r="AA732" s="123">
        <v>39</v>
      </c>
      <c r="AB732" s="127" t="s">
        <v>176</v>
      </c>
      <c r="AC732" s="123">
        <v>63.736240000000002</v>
      </c>
      <c r="AD732" s="123">
        <v>148.90282999999999</v>
      </c>
      <c r="AE732" s="127" t="s">
        <v>115</v>
      </c>
      <c r="AF732" s="127" t="s">
        <v>115</v>
      </c>
      <c r="AG732" s="127" t="s">
        <v>115</v>
      </c>
      <c r="AH732" s="123">
        <v>0</v>
      </c>
      <c r="AI732" s="123">
        <v>0</v>
      </c>
      <c r="AJ732" s="123">
        <v>0</v>
      </c>
      <c r="AK732" s="123">
        <v>0</v>
      </c>
      <c r="AL732" s="123">
        <v>0</v>
      </c>
      <c r="AM732" s="123"/>
      <c r="AN732" s="123">
        <f t="shared" si="12"/>
        <v>0</v>
      </c>
      <c r="AO732" s="123"/>
      <c r="AP732" s="123" t="s">
        <v>3611</v>
      </c>
      <c r="AQ732" s="123"/>
      <c r="AR732" s="123"/>
    </row>
    <row r="733" spans="1:48" s="133" customFormat="1" x14ac:dyDescent="0.2">
      <c r="A733" s="123" t="s">
        <v>3908</v>
      </c>
      <c r="B733" s="123" t="s">
        <v>3909</v>
      </c>
      <c r="C733" s="123">
        <v>12</v>
      </c>
      <c r="D733" s="123">
        <v>1</v>
      </c>
      <c r="E733" s="123" t="s">
        <v>2462</v>
      </c>
      <c r="F733" s="125">
        <v>43591</v>
      </c>
      <c r="G733" s="125" t="s">
        <v>4028</v>
      </c>
      <c r="H733" s="125" t="s">
        <v>4752</v>
      </c>
      <c r="I733" s="171">
        <v>3.7499999999999999E-2</v>
      </c>
      <c r="J733" s="173">
        <v>6.2500000000000001E-4</v>
      </c>
      <c r="K733" s="129">
        <v>54</v>
      </c>
      <c r="L733" s="123" t="s">
        <v>1278</v>
      </c>
      <c r="M733" s="123" t="s">
        <v>64</v>
      </c>
      <c r="N733" s="123" t="s">
        <v>102</v>
      </c>
      <c r="O733" s="123" t="s">
        <v>115</v>
      </c>
      <c r="P733" s="123">
        <v>1</v>
      </c>
      <c r="Q733" s="123">
        <v>0</v>
      </c>
      <c r="R733" s="123">
        <v>0</v>
      </c>
      <c r="S733" s="123" t="s">
        <v>598</v>
      </c>
      <c r="T733" s="127" t="s">
        <v>2801</v>
      </c>
      <c r="U733" s="127" t="s">
        <v>115</v>
      </c>
      <c r="V733" s="127" t="s">
        <v>115</v>
      </c>
      <c r="W733" s="127"/>
      <c r="X733" s="127"/>
      <c r="Y733" s="127"/>
      <c r="Z733" s="127" t="s">
        <v>115</v>
      </c>
      <c r="AA733" s="127" t="s">
        <v>115</v>
      </c>
      <c r="AB733" s="127" t="s">
        <v>115</v>
      </c>
      <c r="AC733" s="127" t="s">
        <v>115</v>
      </c>
      <c r="AD733" s="127" t="s">
        <v>115</v>
      </c>
      <c r="AE733" s="127" t="s">
        <v>115</v>
      </c>
      <c r="AF733" s="127" t="s">
        <v>115</v>
      </c>
      <c r="AG733" s="127" t="s">
        <v>115</v>
      </c>
      <c r="AH733" s="123">
        <v>0</v>
      </c>
      <c r="AI733" s="123">
        <v>0</v>
      </c>
      <c r="AJ733" s="123">
        <v>0</v>
      </c>
      <c r="AK733" s="123">
        <v>0</v>
      </c>
      <c r="AL733" s="123">
        <v>54</v>
      </c>
      <c r="AM733" s="123"/>
      <c r="AN733" s="123">
        <f t="shared" si="12"/>
        <v>54</v>
      </c>
      <c r="AO733" s="123" t="s">
        <v>188</v>
      </c>
      <c r="AP733" s="123"/>
      <c r="AQ733" s="123"/>
      <c r="AR733" s="123"/>
    </row>
    <row r="734" spans="1:48" s="135" customFormat="1" x14ac:dyDescent="0.2">
      <c r="A734" s="123" t="s">
        <v>3906</v>
      </c>
      <c r="B734" s="123" t="s">
        <v>3907</v>
      </c>
      <c r="C734" s="123">
        <v>11</v>
      </c>
      <c r="D734" s="123">
        <v>1</v>
      </c>
      <c r="E734" s="123" t="s">
        <v>2462</v>
      </c>
      <c r="F734" s="125">
        <v>43591</v>
      </c>
      <c r="G734" s="125" t="s">
        <v>4028</v>
      </c>
      <c r="H734" s="125" t="s">
        <v>4752</v>
      </c>
      <c r="I734" s="171">
        <v>1.0416666666666666E-2</v>
      </c>
      <c r="J734" s="173">
        <v>1.7361111111111112E-4</v>
      </c>
      <c r="K734" s="129">
        <v>15</v>
      </c>
      <c r="L734" s="123" t="s">
        <v>1278</v>
      </c>
      <c r="M734" s="123" t="s">
        <v>64</v>
      </c>
      <c r="N734" s="123" t="s">
        <v>102</v>
      </c>
      <c r="O734" s="123" t="s">
        <v>115</v>
      </c>
      <c r="P734" s="123" t="s">
        <v>24</v>
      </c>
      <c r="Q734" s="123">
        <v>0</v>
      </c>
      <c r="R734" s="123">
        <v>0</v>
      </c>
      <c r="S734" s="123"/>
      <c r="T734" s="127" t="s">
        <v>115</v>
      </c>
      <c r="U734" s="127" t="s">
        <v>115</v>
      </c>
      <c r="V734" s="127" t="s">
        <v>115</v>
      </c>
      <c r="W734" s="127"/>
      <c r="X734" s="127"/>
      <c r="Y734" s="127"/>
      <c r="Z734" s="127" t="s">
        <v>115</v>
      </c>
      <c r="AA734" s="127" t="s">
        <v>115</v>
      </c>
      <c r="AB734" s="127" t="s">
        <v>115</v>
      </c>
      <c r="AC734" s="127" t="s">
        <v>115</v>
      </c>
      <c r="AD734" s="127" t="s">
        <v>115</v>
      </c>
      <c r="AE734" s="127" t="s">
        <v>115</v>
      </c>
      <c r="AF734" s="127" t="s">
        <v>115</v>
      </c>
      <c r="AG734" s="127" t="s">
        <v>115</v>
      </c>
      <c r="AH734" s="123">
        <v>0</v>
      </c>
      <c r="AI734" s="123">
        <v>0</v>
      </c>
      <c r="AJ734" s="123">
        <v>0</v>
      </c>
      <c r="AK734" s="123">
        <v>0</v>
      </c>
      <c r="AL734" s="123">
        <v>15</v>
      </c>
      <c r="AM734" s="123"/>
      <c r="AN734" s="123">
        <f t="shared" si="12"/>
        <v>15</v>
      </c>
      <c r="AO734" s="123" t="s">
        <v>188</v>
      </c>
      <c r="AP734" s="123"/>
      <c r="AQ734" s="123"/>
      <c r="AR734" s="123"/>
      <c r="AS734" s="133"/>
      <c r="AT734" s="133"/>
      <c r="AU734" s="133"/>
      <c r="AV734" s="133"/>
    </row>
    <row r="735" spans="1:48" s="133" customFormat="1" x14ac:dyDescent="0.2">
      <c r="A735" s="123" t="s">
        <v>3749</v>
      </c>
      <c r="B735" s="123" t="s">
        <v>4840</v>
      </c>
      <c r="C735" s="123">
        <v>6</v>
      </c>
      <c r="D735" s="123">
        <v>1</v>
      </c>
      <c r="E735" s="123" t="s">
        <v>2601</v>
      </c>
      <c r="F735" s="125">
        <v>43587</v>
      </c>
      <c r="G735" s="125" t="s">
        <v>4028</v>
      </c>
      <c r="H735" s="125" t="s">
        <v>4752</v>
      </c>
      <c r="I735" s="171">
        <v>1.0416666666666666E-2</v>
      </c>
      <c r="J735" s="173">
        <v>1.7361111111111112E-4</v>
      </c>
      <c r="K735" s="129">
        <v>15</v>
      </c>
      <c r="L735" s="123" t="s">
        <v>1278</v>
      </c>
      <c r="M735" s="123" t="s">
        <v>177</v>
      </c>
      <c r="N735" s="123" t="s">
        <v>102</v>
      </c>
      <c r="O735" s="123" t="s">
        <v>23</v>
      </c>
      <c r="P735" s="123">
        <v>1</v>
      </c>
      <c r="Q735" s="123">
        <v>0</v>
      </c>
      <c r="R735" s="123">
        <v>0</v>
      </c>
      <c r="S735" s="123" t="s">
        <v>598</v>
      </c>
      <c r="T735" s="127" t="s">
        <v>598</v>
      </c>
      <c r="U735" s="127" t="s">
        <v>1922</v>
      </c>
      <c r="V735" s="127" t="s">
        <v>115</v>
      </c>
      <c r="W735" s="127"/>
      <c r="X735" s="127"/>
      <c r="Y735" s="127"/>
      <c r="Z735" s="127" t="s">
        <v>115</v>
      </c>
      <c r="AA735" s="127" t="s">
        <v>115</v>
      </c>
      <c r="AB735" s="127" t="s">
        <v>115</v>
      </c>
      <c r="AC735" s="127" t="s">
        <v>115</v>
      </c>
      <c r="AD735" s="127" t="s">
        <v>115</v>
      </c>
      <c r="AE735" s="127" t="s">
        <v>115</v>
      </c>
      <c r="AF735" s="127" t="s">
        <v>115</v>
      </c>
      <c r="AG735" s="127" t="s">
        <v>115</v>
      </c>
      <c r="AH735" s="123">
        <v>0</v>
      </c>
      <c r="AI735" s="123">
        <v>5</v>
      </c>
      <c r="AJ735" s="123">
        <v>0</v>
      </c>
      <c r="AK735" s="123">
        <v>5</v>
      </c>
      <c r="AL735" s="123">
        <v>5</v>
      </c>
      <c r="AM735" s="123"/>
      <c r="AN735" s="123">
        <f t="shared" si="12"/>
        <v>10</v>
      </c>
      <c r="AO735" s="123" t="s">
        <v>3751</v>
      </c>
      <c r="AP735" s="123" t="s">
        <v>3752</v>
      </c>
      <c r="AQ735" s="123"/>
      <c r="AR735" s="123"/>
    </row>
    <row r="736" spans="1:48" s="133" customFormat="1" x14ac:dyDescent="0.2">
      <c r="A736" s="123" t="s">
        <v>3919</v>
      </c>
      <c r="B736" s="123" t="s">
        <v>4843</v>
      </c>
      <c r="C736" s="123">
        <v>3</v>
      </c>
      <c r="D736" s="123">
        <v>1</v>
      </c>
      <c r="E736" s="123" t="s">
        <v>2601</v>
      </c>
      <c r="F736" s="125">
        <v>43593</v>
      </c>
      <c r="G736" s="125" t="s">
        <v>4028</v>
      </c>
      <c r="H736" s="125" t="s">
        <v>4752</v>
      </c>
      <c r="I736" s="171">
        <v>3.125E-2</v>
      </c>
      <c r="J736" s="173">
        <v>5.2083333333333333E-4</v>
      </c>
      <c r="K736" s="129">
        <v>45</v>
      </c>
      <c r="L736" s="123" t="s">
        <v>884</v>
      </c>
      <c r="M736" s="123" t="s">
        <v>177</v>
      </c>
      <c r="N736" s="123" t="s">
        <v>102</v>
      </c>
      <c r="O736" s="123" t="s">
        <v>115</v>
      </c>
      <c r="P736" s="123">
        <v>1</v>
      </c>
      <c r="Q736" s="123">
        <v>0</v>
      </c>
      <c r="R736" s="123">
        <v>0</v>
      </c>
      <c r="S736" s="123" t="s">
        <v>176</v>
      </c>
      <c r="T736" s="127" t="s">
        <v>24</v>
      </c>
      <c r="U736" s="127" t="s">
        <v>122</v>
      </c>
      <c r="V736" s="127" t="s">
        <v>115</v>
      </c>
      <c r="W736" s="127"/>
      <c r="X736" s="127"/>
      <c r="Y736" s="127"/>
      <c r="Z736" s="127" t="s">
        <v>115</v>
      </c>
      <c r="AA736" s="127" t="s">
        <v>115</v>
      </c>
      <c r="AB736" s="127" t="s">
        <v>115</v>
      </c>
      <c r="AC736" s="127" t="s">
        <v>115</v>
      </c>
      <c r="AD736" s="127" t="s">
        <v>115</v>
      </c>
      <c r="AE736" s="127" t="s">
        <v>115</v>
      </c>
      <c r="AF736" s="127" t="s">
        <v>115</v>
      </c>
      <c r="AG736" s="127" t="s">
        <v>115</v>
      </c>
      <c r="AH736" s="123">
        <v>0</v>
      </c>
      <c r="AI736" s="123">
        <v>0</v>
      </c>
      <c r="AJ736" s="123">
        <v>0</v>
      </c>
      <c r="AK736" s="123">
        <v>0</v>
      </c>
      <c r="AL736" s="123">
        <v>45</v>
      </c>
      <c r="AM736" s="123"/>
      <c r="AN736" s="123">
        <f t="shared" si="12"/>
        <v>45</v>
      </c>
      <c r="AO736" s="123" t="s">
        <v>188</v>
      </c>
      <c r="AP736" s="123"/>
      <c r="AQ736" s="123"/>
      <c r="AR736" s="123"/>
      <c r="AS736" s="135"/>
      <c r="AT736" s="135"/>
      <c r="AU736" s="135" t="s">
        <v>3942</v>
      </c>
      <c r="AV736" s="135"/>
    </row>
    <row r="737" spans="1:48" s="133" customFormat="1" x14ac:dyDescent="0.2">
      <c r="A737" s="123" t="s">
        <v>3917</v>
      </c>
      <c r="B737" s="123" t="s">
        <v>4844</v>
      </c>
      <c r="C737" s="123">
        <v>2</v>
      </c>
      <c r="D737" s="123">
        <v>1</v>
      </c>
      <c r="E737" s="123" t="s">
        <v>2601</v>
      </c>
      <c r="F737" s="125">
        <v>43593</v>
      </c>
      <c r="G737" s="125" t="s">
        <v>4028</v>
      </c>
      <c r="H737" s="125" t="s">
        <v>4752</v>
      </c>
      <c r="I737" s="171">
        <v>7.6388888888888886E-3</v>
      </c>
      <c r="J737" s="173">
        <v>1.273148148148148E-4</v>
      </c>
      <c r="K737" s="129">
        <v>11</v>
      </c>
      <c r="L737" s="123" t="s">
        <v>884</v>
      </c>
      <c r="M737" s="123" t="s">
        <v>177</v>
      </c>
      <c r="N737" s="123" t="s">
        <v>102</v>
      </c>
      <c r="O737" s="123" t="s">
        <v>115</v>
      </c>
      <c r="P737" s="123">
        <v>0</v>
      </c>
      <c r="Q737" s="123">
        <v>0</v>
      </c>
      <c r="R737" s="123">
        <v>0</v>
      </c>
      <c r="S737" s="123"/>
      <c r="T737" s="127" t="s">
        <v>115</v>
      </c>
      <c r="U737" s="127" t="s">
        <v>115</v>
      </c>
      <c r="V737" s="127" t="s">
        <v>115</v>
      </c>
      <c r="W737" s="127"/>
      <c r="X737" s="127"/>
      <c r="Y737" s="127"/>
      <c r="Z737" s="127" t="s">
        <v>115</v>
      </c>
      <c r="AA737" s="127" t="s">
        <v>115</v>
      </c>
      <c r="AB737" s="127" t="s">
        <v>115</v>
      </c>
      <c r="AC737" s="127" t="s">
        <v>115</v>
      </c>
      <c r="AD737" s="127" t="s">
        <v>115</v>
      </c>
      <c r="AE737" s="127" t="s">
        <v>115</v>
      </c>
      <c r="AF737" s="127" t="s">
        <v>115</v>
      </c>
      <c r="AG737" s="127" t="s">
        <v>115</v>
      </c>
      <c r="AH737" s="123">
        <v>0</v>
      </c>
      <c r="AI737" s="123">
        <v>0</v>
      </c>
      <c r="AJ737" s="123">
        <v>0</v>
      </c>
      <c r="AK737" s="123"/>
      <c r="AL737" s="123">
        <v>11</v>
      </c>
      <c r="AM737" s="123"/>
      <c r="AN737" s="123">
        <f t="shared" si="12"/>
        <v>11</v>
      </c>
      <c r="AO737" s="123" t="s">
        <v>188</v>
      </c>
      <c r="AP737" s="123"/>
      <c r="AQ737" s="123"/>
      <c r="AR737" s="123"/>
    </row>
    <row r="738" spans="1:48" s="133" customFormat="1" x14ac:dyDescent="0.2">
      <c r="A738" s="123" t="s">
        <v>3742</v>
      </c>
      <c r="B738" s="123" t="s">
        <v>4845</v>
      </c>
      <c r="C738" s="123">
        <v>3</v>
      </c>
      <c r="D738" s="123">
        <v>1</v>
      </c>
      <c r="E738" s="123" t="s">
        <v>2601</v>
      </c>
      <c r="F738" s="125">
        <v>43587</v>
      </c>
      <c r="G738" s="125" t="s">
        <v>4028</v>
      </c>
      <c r="H738" s="125" t="s">
        <v>4752</v>
      </c>
      <c r="I738" s="171">
        <v>3.888888888888889E-2</v>
      </c>
      <c r="J738" s="173">
        <v>6.4814814814814813E-4</v>
      </c>
      <c r="K738" s="129">
        <v>56</v>
      </c>
      <c r="L738" s="123" t="s">
        <v>1278</v>
      </c>
      <c r="M738" s="123" t="s">
        <v>177</v>
      </c>
      <c r="N738" s="123" t="s">
        <v>187</v>
      </c>
      <c r="O738" s="123" t="s">
        <v>23</v>
      </c>
      <c r="P738" s="123" t="s">
        <v>24</v>
      </c>
      <c r="Q738" s="123">
        <v>0</v>
      </c>
      <c r="R738" s="123">
        <v>1</v>
      </c>
      <c r="S738" s="123" t="s">
        <v>176</v>
      </c>
      <c r="T738" s="127" t="s">
        <v>24</v>
      </c>
      <c r="U738" s="127" t="s">
        <v>24</v>
      </c>
      <c r="V738" s="127" t="s">
        <v>3744</v>
      </c>
      <c r="W738" s="127" t="s">
        <v>23</v>
      </c>
      <c r="X738" s="127" t="s">
        <v>3999</v>
      </c>
      <c r="Y738" s="127" t="s">
        <v>4020</v>
      </c>
      <c r="Z738" s="123" t="s">
        <v>2457</v>
      </c>
      <c r="AA738" s="123">
        <v>32</v>
      </c>
      <c r="AB738" s="127" t="s">
        <v>176</v>
      </c>
      <c r="AC738" s="123">
        <v>63.72598</v>
      </c>
      <c r="AD738" s="123">
        <v>148.96046000000001</v>
      </c>
      <c r="AE738" s="127" t="s">
        <v>115</v>
      </c>
      <c r="AF738" s="127" t="s">
        <v>115</v>
      </c>
      <c r="AG738" s="127" t="s">
        <v>115</v>
      </c>
      <c r="AH738" s="123">
        <v>0</v>
      </c>
      <c r="AI738" s="123">
        <v>0</v>
      </c>
      <c r="AJ738" s="123">
        <v>0</v>
      </c>
      <c r="AK738" s="123">
        <v>0</v>
      </c>
      <c r="AL738" s="123">
        <v>54</v>
      </c>
      <c r="AM738" s="123"/>
      <c r="AN738" s="123">
        <f t="shared" si="12"/>
        <v>54</v>
      </c>
      <c r="AO738" s="123" t="s">
        <v>188</v>
      </c>
      <c r="AP738" s="123" t="s">
        <v>3754</v>
      </c>
      <c r="AQ738" s="123"/>
      <c r="AR738" s="123"/>
    </row>
    <row r="739" spans="1:48" s="135" customFormat="1" x14ac:dyDescent="0.2">
      <c r="A739" s="123" t="s">
        <v>3864</v>
      </c>
      <c r="B739" s="123" t="s">
        <v>4846</v>
      </c>
      <c r="C739" s="123">
        <v>2</v>
      </c>
      <c r="D739" s="123">
        <v>1</v>
      </c>
      <c r="E739" s="123" t="s">
        <v>2601</v>
      </c>
      <c r="F739" s="125">
        <v>43590</v>
      </c>
      <c r="G739" s="125" t="s">
        <v>4028</v>
      </c>
      <c r="H739" s="125" t="s">
        <v>4752</v>
      </c>
      <c r="I739" s="171">
        <v>3.3333333333333333E-2</v>
      </c>
      <c r="J739" s="173">
        <v>5.5555555555555556E-4</v>
      </c>
      <c r="K739" s="129">
        <v>48</v>
      </c>
      <c r="L739" s="123" t="s">
        <v>1278</v>
      </c>
      <c r="M739" s="123" t="s">
        <v>177</v>
      </c>
      <c r="N739" s="123" t="s">
        <v>187</v>
      </c>
      <c r="O739" s="123" t="s">
        <v>115</v>
      </c>
      <c r="P739" s="123" t="s">
        <v>24</v>
      </c>
      <c r="Q739" s="123">
        <v>0</v>
      </c>
      <c r="R739" s="123">
        <v>1</v>
      </c>
      <c r="S739" s="123" t="s">
        <v>598</v>
      </c>
      <c r="T739" s="127" t="s">
        <v>2437</v>
      </c>
      <c r="U739" s="127" t="s">
        <v>24</v>
      </c>
      <c r="V739" s="127" t="s">
        <v>3866</v>
      </c>
      <c r="W739" s="127" t="s">
        <v>23</v>
      </c>
      <c r="X739" s="127" t="s">
        <v>3999</v>
      </c>
      <c r="Y739" s="127" t="s">
        <v>4021</v>
      </c>
      <c r="Z739" s="127" t="s">
        <v>2551</v>
      </c>
      <c r="AA739" s="123">
        <v>355</v>
      </c>
      <c r="AB739" s="127" t="s">
        <v>176</v>
      </c>
      <c r="AC739" s="123">
        <v>63.72616</v>
      </c>
      <c r="AD739" s="123">
        <v>148.96205</v>
      </c>
      <c r="AE739" s="127" t="s">
        <v>115</v>
      </c>
      <c r="AF739" s="127" t="s">
        <v>115</v>
      </c>
      <c r="AG739" s="127" t="s">
        <v>115</v>
      </c>
      <c r="AH739" s="123">
        <v>0</v>
      </c>
      <c r="AI739" s="123">
        <v>0</v>
      </c>
      <c r="AJ739" s="123">
        <v>0</v>
      </c>
      <c r="AK739" s="123">
        <v>0</v>
      </c>
      <c r="AL739" s="123">
        <v>44</v>
      </c>
      <c r="AM739" s="123"/>
      <c r="AN739" s="123">
        <f t="shared" si="12"/>
        <v>44</v>
      </c>
      <c r="AO739" s="123" t="s">
        <v>188</v>
      </c>
      <c r="AP739" s="123"/>
      <c r="AQ739" s="123"/>
      <c r="AR739" s="123"/>
      <c r="AS739" s="133"/>
      <c r="AT739" s="133"/>
      <c r="AU739" s="133"/>
      <c r="AV739" s="133"/>
    </row>
    <row r="740" spans="1:48" s="135" customFormat="1" x14ac:dyDescent="0.2">
      <c r="A740" s="123" t="s">
        <v>3745</v>
      </c>
      <c r="B740" s="123" t="s">
        <v>4864</v>
      </c>
      <c r="C740" s="123">
        <v>4</v>
      </c>
      <c r="D740" s="123">
        <v>1</v>
      </c>
      <c r="E740" s="123" t="s">
        <v>2601</v>
      </c>
      <c r="F740" s="125">
        <v>43587</v>
      </c>
      <c r="G740" s="125" t="s">
        <v>4028</v>
      </c>
      <c r="H740" s="125" t="s">
        <v>4752</v>
      </c>
      <c r="I740" s="171">
        <v>2.7777777777777776E-2</v>
      </c>
      <c r="J740" s="173">
        <v>4.6296296296296293E-4</v>
      </c>
      <c r="K740" s="129">
        <v>40</v>
      </c>
      <c r="L740" s="123" t="s">
        <v>1278</v>
      </c>
      <c r="M740" s="123" t="s">
        <v>177</v>
      </c>
      <c r="N740" s="123" t="s">
        <v>102</v>
      </c>
      <c r="O740" s="123" t="s">
        <v>115</v>
      </c>
      <c r="P740" s="123" t="s">
        <v>24</v>
      </c>
      <c r="Q740" s="123">
        <v>0</v>
      </c>
      <c r="R740" s="123">
        <v>0</v>
      </c>
      <c r="S740" s="123"/>
      <c r="T740" s="127" t="s">
        <v>115</v>
      </c>
      <c r="U740" s="127" t="s">
        <v>115</v>
      </c>
      <c r="V740" s="127" t="s">
        <v>115</v>
      </c>
      <c r="W740" s="127"/>
      <c r="X740" s="127"/>
      <c r="Y740" s="127"/>
      <c r="Z740" s="127" t="s">
        <v>115</v>
      </c>
      <c r="AA740" s="127" t="s">
        <v>115</v>
      </c>
      <c r="AB740" s="127" t="s">
        <v>115</v>
      </c>
      <c r="AC740" s="127" t="s">
        <v>115</v>
      </c>
      <c r="AD740" s="127" t="s">
        <v>115</v>
      </c>
      <c r="AE740" s="127" t="s">
        <v>115</v>
      </c>
      <c r="AF740" s="127" t="s">
        <v>115</v>
      </c>
      <c r="AG740" s="127" t="s">
        <v>115</v>
      </c>
      <c r="AH740" s="123">
        <v>0</v>
      </c>
      <c r="AI740" s="123">
        <v>0</v>
      </c>
      <c r="AJ740" s="123">
        <v>0</v>
      </c>
      <c r="AK740" s="123">
        <v>0</v>
      </c>
      <c r="AL740" s="123">
        <v>40</v>
      </c>
      <c r="AM740" s="123"/>
      <c r="AN740" s="123">
        <f t="shared" si="12"/>
        <v>40</v>
      </c>
      <c r="AO740" s="123" t="s">
        <v>188</v>
      </c>
      <c r="AP740" s="123"/>
      <c r="AQ740" s="123"/>
      <c r="AR740" s="123"/>
    </row>
    <row r="741" spans="1:48" s="133" customFormat="1" x14ac:dyDescent="0.2">
      <c r="A741" s="123" t="s">
        <v>3747</v>
      </c>
      <c r="B741" s="123" t="s">
        <v>4865</v>
      </c>
      <c r="C741" s="123">
        <v>5</v>
      </c>
      <c r="D741" s="123">
        <v>1</v>
      </c>
      <c r="E741" s="123" t="s">
        <v>2601</v>
      </c>
      <c r="F741" s="125">
        <v>43587</v>
      </c>
      <c r="G741" s="125" t="s">
        <v>4028</v>
      </c>
      <c r="H741" s="125" t="s">
        <v>4752</v>
      </c>
      <c r="I741" s="171">
        <v>2.9861111111111113E-2</v>
      </c>
      <c r="J741" s="173">
        <v>4.9768518518518521E-4</v>
      </c>
      <c r="K741" s="129">
        <v>43</v>
      </c>
      <c r="L741" s="123" t="s">
        <v>1278</v>
      </c>
      <c r="M741" s="123" t="s">
        <v>177</v>
      </c>
      <c r="N741" s="123" t="s">
        <v>102</v>
      </c>
      <c r="O741" s="123" t="s">
        <v>115</v>
      </c>
      <c r="P741" s="123" t="s">
        <v>24</v>
      </c>
      <c r="Q741" s="123">
        <v>0</v>
      </c>
      <c r="R741" s="123">
        <v>0</v>
      </c>
      <c r="S741" s="123"/>
      <c r="T741" s="127" t="s">
        <v>115</v>
      </c>
      <c r="U741" s="127" t="s">
        <v>115</v>
      </c>
      <c r="V741" s="127" t="s">
        <v>115</v>
      </c>
      <c r="W741" s="127"/>
      <c r="X741" s="127"/>
      <c r="Y741" s="127"/>
      <c r="Z741" s="127" t="s">
        <v>115</v>
      </c>
      <c r="AA741" s="127" t="s">
        <v>115</v>
      </c>
      <c r="AB741" s="127" t="s">
        <v>115</v>
      </c>
      <c r="AC741" s="127" t="s">
        <v>115</v>
      </c>
      <c r="AD741" s="127" t="s">
        <v>115</v>
      </c>
      <c r="AE741" s="127" t="s">
        <v>115</v>
      </c>
      <c r="AF741" s="127" t="s">
        <v>115</v>
      </c>
      <c r="AG741" s="127" t="s">
        <v>115</v>
      </c>
      <c r="AH741" s="123">
        <v>0</v>
      </c>
      <c r="AI741" s="123">
        <v>0</v>
      </c>
      <c r="AJ741" s="123">
        <v>0</v>
      </c>
      <c r="AK741" s="123">
        <v>0</v>
      </c>
      <c r="AL741" s="123">
        <v>43</v>
      </c>
      <c r="AM741" s="123"/>
      <c r="AN741" s="123">
        <f t="shared" si="12"/>
        <v>43</v>
      </c>
      <c r="AO741" s="123" t="s">
        <v>188</v>
      </c>
      <c r="AP741" s="123"/>
      <c r="AQ741" s="123"/>
      <c r="AR741" s="123"/>
    </row>
    <row r="742" spans="1:48" s="133" customFormat="1" x14ac:dyDescent="0.2">
      <c r="A742" s="123" t="s">
        <v>3862</v>
      </c>
      <c r="B742" s="123" t="s">
        <v>4866</v>
      </c>
      <c r="C742" s="123">
        <v>1</v>
      </c>
      <c r="D742" s="123">
        <v>1</v>
      </c>
      <c r="E742" s="123" t="s">
        <v>2601</v>
      </c>
      <c r="F742" s="125">
        <v>43590</v>
      </c>
      <c r="G742" s="125" t="s">
        <v>4028</v>
      </c>
      <c r="H742" s="125" t="s">
        <v>4752</v>
      </c>
      <c r="I742" s="171">
        <v>3.4027777777777775E-2</v>
      </c>
      <c r="J742" s="173">
        <v>5.6712962962962956E-4</v>
      </c>
      <c r="K742" s="129">
        <v>49</v>
      </c>
      <c r="L742" s="123" t="s">
        <v>1278</v>
      </c>
      <c r="M742" s="123" t="s">
        <v>177</v>
      </c>
      <c r="N742" s="123" t="s">
        <v>102</v>
      </c>
      <c r="O742" s="123" t="s">
        <v>115</v>
      </c>
      <c r="P742" s="123" t="s">
        <v>24</v>
      </c>
      <c r="Q742" s="123">
        <v>0</v>
      </c>
      <c r="R742" s="123">
        <v>0</v>
      </c>
      <c r="S742" s="123"/>
      <c r="T742" s="127" t="s">
        <v>115</v>
      </c>
      <c r="U742" s="127" t="s">
        <v>115</v>
      </c>
      <c r="V742" s="127" t="s">
        <v>115</v>
      </c>
      <c r="W742" s="127"/>
      <c r="X742" s="127"/>
      <c r="Y742" s="127"/>
      <c r="Z742" s="127" t="s">
        <v>115</v>
      </c>
      <c r="AA742" s="127" t="s">
        <v>115</v>
      </c>
      <c r="AB742" s="127" t="s">
        <v>115</v>
      </c>
      <c r="AC742" s="127" t="s">
        <v>115</v>
      </c>
      <c r="AD742" s="127" t="s">
        <v>115</v>
      </c>
      <c r="AE742" s="127" t="s">
        <v>115</v>
      </c>
      <c r="AF742" s="127" t="s">
        <v>115</v>
      </c>
      <c r="AG742" s="127" t="s">
        <v>115</v>
      </c>
      <c r="AH742" s="123">
        <v>0</v>
      </c>
      <c r="AI742" s="123">
        <v>0</v>
      </c>
      <c r="AJ742" s="123">
        <v>0</v>
      </c>
      <c r="AK742" s="123">
        <v>0</v>
      </c>
      <c r="AL742" s="123">
        <v>49</v>
      </c>
      <c r="AM742" s="123"/>
      <c r="AN742" s="123">
        <f t="shared" si="12"/>
        <v>49</v>
      </c>
      <c r="AO742" s="123" t="s">
        <v>188</v>
      </c>
      <c r="AP742" s="123"/>
      <c r="AQ742" s="123"/>
      <c r="AR742" s="123"/>
      <c r="AS742" s="135"/>
      <c r="AT742" s="135"/>
      <c r="AU742" s="135"/>
      <c r="AV742" s="135"/>
    </row>
    <row r="743" spans="1:48" s="133" customFormat="1" x14ac:dyDescent="0.2">
      <c r="A743" s="123" t="s">
        <v>3915</v>
      </c>
      <c r="B743" s="123" t="s">
        <v>4870</v>
      </c>
      <c r="C743" s="123">
        <v>1</v>
      </c>
      <c r="D743" s="123">
        <v>1</v>
      </c>
      <c r="E743" s="123" t="s">
        <v>2601</v>
      </c>
      <c r="F743" s="125">
        <v>43593</v>
      </c>
      <c r="G743" s="125" t="s">
        <v>4028</v>
      </c>
      <c r="H743" s="125" t="s">
        <v>4752</v>
      </c>
      <c r="I743" s="171">
        <v>1.8749999999999999E-2</v>
      </c>
      <c r="J743" s="173">
        <v>3.1250000000000001E-4</v>
      </c>
      <c r="K743" s="129">
        <v>27</v>
      </c>
      <c r="L743" s="123" t="s">
        <v>884</v>
      </c>
      <c r="M743" s="123" t="s">
        <v>177</v>
      </c>
      <c r="N743" s="123" t="s">
        <v>102</v>
      </c>
      <c r="O743" s="123" t="s">
        <v>115</v>
      </c>
      <c r="P743" s="123" t="s">
        <v>24</v>
      </c>
      <c r="Q743" s="123">
        <v>0</v>
      </c>
      <c r="R743" s="123">
        <v>0</v>
      </c>
      <c r="S743" s="123"/>
      <c r="T743" s="127" t="s">
        <v>115</v>
      </c>
      <c r="U743" s="127" t="s">
        <v>115</v>
      </c>
      <c r="V743" s="127" t="s">
        <v>115</v>
      </c>
      <c r="W743" s="127"/>
      <c r="X743" s="127"/>
      <c r="Y743" s="127"/>
      <c r="Z743" s="127" t="s">
        <v>115</v>
      </c>
      <c r="AA743" s="127" t="s">
        <v>115</v>
      </c>
      <c r="AB743" s="127" t="s">
        <v>115</v>
      </c>
      <c r="AC743" s="127" t="s">
        <v>115</v>
      </c>
      <c r="AD743" s="127" t="s">
        <v>115</v>
      </c>
      <c r="AE743" s="127" t="s">
        <v>115</v>
      </c>
      <c r="AF743" s="127" t="s">
        <v>115</v>
      </c>
      <c r="AG743" s="127" t="s">
        <v>115</v>
      </c>
      <c r="AH743" s="123">
        <v>0</v>
      </c>
      <c r="AI743" s="123">
        <v>0</v>
      </c>
      <c r="AJ743" s="123">
        <v>0</v>
      </c>
      <c r="AK743" s="123">
        <v>0</v>
      </c>
      <c r="AL743" s="123">
        <v>27</v>
      </c>
      <c r="AM743" s="123"/>
      <c r="AN743" s="123">
        <f t="shared" si="12"/>
        <v>27</v>
      </c>
      <c r="AO743" s="123" t="s">
        <v>188</v>
      </c>
      <c r="AP743" s="123"/>
      <c r="AQ743" s="123"/>
      <c r="AR743" s="123"/>
      <c r="AS743" s="135"/>
      <c r="AT743" s="135"/>
      <c r="AU743" s="135"/>
      <c r="AV743" s="135"/>
    </row>
    <row r="744" spans="1:48" s="133" customFormat="1" x14ac:dyDescent="0.2">
      <c r="A744" s="123" t="s">
        <v>3921</v>
      </c>
      <c r="B744" s="123" t="s">
        <v>4871</v>
      </c>
      <c r="C744" s="123">
        <v>4</v>
      </c>
      <c r="D744" s="123">
        <v>1</v>
      </c>
      <c r="E744" s="123" t="s">
        <v>2601</v>
      </c>
      <c r="F744" s="125">
        <v>43593</v>
      </c>
      <c r="G744" s="125" t="s">
        <v>4028</v>
      </c>
      <c r="H744" s="125" t="s">
        <v>4752</v>
      </c>
      <c r="I744" s="171">
        <v>9.0277777777777787E-3</v>
      </c>
      <c r="J744" s="173">
        <v>1.5046296296296297E-4</v>
      </c>
      <c r="K744" s="129">
        <v>13</v>
      </c>
      <c r="L744" s="123" t="s">
        <v>884</v>
      </c>
      <c r="M744" s="123" t="s">
        <v>177</v>
      </c>
      <c r="N744" s="123" t="s">
        <v>102</v>
      </c>
      <c r="O744" s="123" t="s">
        <v>115</v>
      </c>
      <c r="P744" s="123" t="s">
        <v>24</v>
      </c>
      <c r="Q744" s="123">
        <v>0</v>
      </c>
      <c r="R744" s="123">
        <v>0</v>
      </c>
      <c r="S744" s="123"/>
      <c r="T744" s="127" t="s">
        <v>115</v>
      </c>
      <c r="U744" s="127" t="s">
        <v>115</v>
      </c>
      <c r="V744" s="127" t="s">
        <v>115</v>
      </c>
      <c r="W744" s="127"/>
      <c r="X744" s="127"/>
      <c r="Y744" s="127"/>
      <c r="Z744" s="127" t="s">
        <v>115</v>
      </c>
      <c r="AA744" s="127" t="s">
        <v>115</v>
      </c>
      <c r="AB744" s="127" t="s">
        <v>115</v>
      </c>
      <c r="AC744" s="127" t="s">
        <v>115</v>
      </c>
      <c r="AD744" s="127" t="s">
        <v>115</v>
      </c>
      <c r="AE744" s="127" t="s">
        <v>115</v>
      </c>
      <c r="AF744" s="127" t="s">
        <v>115</v>
      </c>
      <c r="AG744" s="127" t="s">
        <v>115</v>
      </c>
      <c r="AH744" s="123">
        <v>0</v>
      </c>
      <c r="AI744" s="123">
        <v>0</v>
      </c>
      <c r="AJ744" s="123">
        <v>0</v>
      </c>
      <c r="AK744" s="123">
        <v>0</v>
      </c>
      <c r="AL744" s="123">
        <v>13</v>
      </c>
      <c r="AM744" s="123"/>
      <c r="AN744" s="123">
        <f t="shared" si="12"/>
        <v>13</v>
      </c>
      <c r="AO744" s="123" t="s">
        <v>188</v>
      </c>
      <c r="AP744" s="123"/>
      <c r="AQ744" s="123"/>
      <c r="AR744" s="123"/>
    </row>
    <row r="745" spans="1:48" s="133" customFormat="1" x14ac:dyDescent="0.2">
      <c r="A745" s="123" t="s">
        <v>3923</v>
      </c>
      <c r="B745" s="123" t="s">
        <v>4872</v>
      </c>
      <c r="C745" s="123">
        <v>5</v>
      </c>
      <c r="D745" s="123">
        <v>1</v>
      </c>
      <c r="E745" s="123" t="s">
        <v>2601</v>
      </c>
      <c r="F745" s="125">
        <v>43593</v>
      </c>
      <c r="G745" s="125" t="s">
        <v>4028</v>
      </c>
      <c r="H745" s="125" t="s">
        <v>4752</v>
      </c>
      <c r="I745" s="171">
        <v>4.4444444444444446E-2</v>
      </c>
      <c r="J745" s="173">
        <v>7.407407407407407E-4</v>
      </c>
      <c r="K745" s="129">
        <v>64</v>
      </c>
      <c r="L745" s="123" t="s">
        <v>884</v>
      </c>
      <c r="M745" s="123" t="s">
        <v>177</v>
      </c>
      <c r="N745" s="123" t="s">
        <v>102</v>
      </c>
      <c r="O745" s="123" t="s">
        <v>115</v>
      </c>
      <c r="P745" s="123" t="s">
        <v>24</v>
      </c>
      <c r="Q745" s="123">
        <v>0</v>
      </c>
      <c r="R745" s="123">
        <v>0</v>
      </c>
      <c r="S745" s="123"/>
      <c r="T745" s="127" t="s">
        <v>115</v>
      </c>
      <c r="U745" s="127" t="s">
        <v>115</v>
      </c>
      <c r="V745" s="127" t="s">
        <v>115</v>
      </c>
      <c r="W745" s="127"/>
      <c r="X745" s="127"/>
      <c r="Y745" s="127"/>
      <c r="Z745" s="127" t="s">
        <v>115</v>
      </c>
      <c r="AA745" s="127" t="s">
        <v>115</v>
      </c>
      <c r="AB745" s="127" t="s">
        <v>115</v>
      </c>
      <c r="AC745" s="127" t="s">
        <v>115</v>
      </c>
      <c r="AD745" s="127" t="s">
        <v>115</v>
      </c>
      <c r="AE745" s="127" t="s">
        <v>115</v>
      </c>
      <c r="AF745" s="127" t="s">
        <v>115</v>
      </c>
      <c r="AG745" s="127" t="s">
        <v>115</v>
      </c>
      <c r="AH745" s="123">
        <v>0</v>
      </c>
      <c r="AI745" s="123">
        <v>0</v>
      </c>
      <c r="AJ745" s="123">
        <v>0</v>
      </c>
      <c r="AK745" s="123">
        <v>0</v>
      </c>
      <c r="AL745" s="123">
        <v>64</v>
      </c>
      <c r="AM745" s="123"/>
      <c r="AN745" s="123">
        <f t="shared" si="12"/>
        <v>64</v>
      </c>
      <c r="AO745" s="123" t="s">
        <v>188</v>
      </c>
      <c r="AP745" s="123"/>
      <c r="AQ745" s="123"/>
      <c r="AR745" s="123"/>
    </row>
    <row r="746" spans="1:48" s="133" customFormat="1" x14ac:dyDescent="0.2">
      <c r="A746" s="123" t="s">
        <v>3937</v>
      </c>
      <c r="B746" s="123" t="s">
        <v>3938</v>
      </c>
      <c r="C746" s="123">
        <v>6</v>
      </c>
      <c r="D746" s="123">
        <v>1</v>
      </c>
      <c r="E746" s="123" t="s">
        <v>324</v>
      </c>
      <c r="F746" s="125">
        <v>43593</v>
      </c>
      <c r="G746" s="125" t="s">
        <v>4028</v>
      </c>
      <c r="H746" s="125" t="s">
        <v>4752</v>
      </c>
      <c r="I746" s="171">
        <v>5.6944444444444443E-2</v>
      </c>
      <c r="J746" s="173">
        <v>9.4907407407407408E-4</v>
      </c>
      <c r="K746" s="129">
        <v>82</v>
      </c>
      <c r="L746" s="123" t="s">
        <v>3929</v>
      </c>
      <c r="M746" s="123" t="s">
        <v>325</v>
      </c>
      <c r="N746" s="123" t="s">
        <v>102</v>
      </c>
      <c r="O746" s="123" t="s">
        <v>115</v>
      </c>
      <c r="P746" s="123">
        <v>1</v>
      </c>
      <c r="Q746" s="123" t="s">
        <v>24</v>
      </c>
      <c r="R746" s="123">
        <v>0</v>
      </c>
      <c r="S746" s="123" t="s">
        <v>176</v>
      </c>
      <c r="T746" s="127" t="s">
        <v>24</v>
      </c>
      <c r="U746" s="127" t="s">
        <v>3939</v>
      </c>
      <c r="V746" s="127" t="s">
        <v>115</v>
      </c>
      <c r="W746" s="127"/>
      <c r="X746" s="127"/>
      <c r="Y746" s="127"/>
      <c r="Z746" s="127" t="s">
        <v>115</v>
      </c>
      <c r="AA746" s="127" t="s">
        <v>115</v>
      </c>
      <c r="AB746" s="127" t="s">
        <v>115</v>
      </c>
      <c r="AC746" s="127" t="s">
        <v>115</v>
      </c>
      <c r="AD746" s="127" t="s">
        <v>115</v>
      </c>
      <c r="AE746" s="127" t="s">
        <v>115</v>
      </c>
      <c r="AF746" s="127" t="s">
        <v>115</v>
      </c>
      <c r="AG746" s="127" t="s">
        <v>115</v>
      </c>
      <c r="AH746" s="123">
        <v>72</v>
      </c>
      <c r="AI746" s="123">
        <v>0</v>
      </c>
      <c r="AJ746" s="123">
        <v>48</v>
      </c>
      <c r="AK746" s="123">
        <v>24</v>
      </c>
      <c r="AL746" s="123">
        <v>10</v>
      </c>
      <c r="AM746" s="123"/>
      <c r="AN746" s="123">
        <f t="shared" si="12"/>
        <v>82</v>
      </c>
      <c r="AO746" s="123" t="s">
        <v>2374</v>
      </c>
      <c r="AP746" s="123"/>
      <c r="AQ746" s="123"/>
      <c r="AR746" s="123"/>
    </row>
    <row r="747" spans="1:48" s="135" customFormat="1" x14ac:dyDescent="0.2">
      <c r="A747" s="123" t="s">
        <v>3934</v>
      </c>
      <c r="B747" s="123" t="s">
        <v>3935</v>
      </c>
      <c r="C747" s="123">
        <v>5</v>
      </c>
      <c r="D747" s="123">
        <v>1</v>
      </c>
      <c r="E747" s="123" t="s">
        <v>324</v>
      </c>
      <c r="F747" s="125">
        <v>43593</v>
      </c>
      <c r="G747" s="125" t="s">
        <v>4028</v>
      </c>
      <c r="H747" s="125" t="s">
        <v>4752</v>
      </c>
      <c r="I747" s="171">
        <v>1.6666666666666666E-2</v>
      </c>
      <c r="J747" s="173">
        <v>2.7777777777777778E-4</v>
      </c>
      <c r="K747" s="129">
        <v>24</v>
      </c>
      <c r="L747" s="123" t="s">
        <v>3929</v>
      </c>
      <c r="M747" s="123" t="s">
        <v>325</v>
      </c>
      <c r="N747" s="123" t="s">
        <v>102</v>
      </c>
      <c r="O747" s="123" t="s">
        <v>115</v>
      </c>
      <c r="P747" s="123">
        <v>1</v>
      </c>
      <c r="Q747" s="123">
        <v>0</v>
      </c>
      <c r="R747" s="123">
        <v>0</v>
      </c>
      <c r="S747" s="123" t="s">
        <v>176</v>
      </c>
      <c r="T747" s="127" t="s">
        <v>24</v>
      </c>
      <c r="U747" s="127" t="s">
        <v>122</v>
      </c>
      <c r="V747" s="127" t="s">
        <v>115</v>
      </c>
      <c r="W747" s="127"/>
      <c r="X747" s="127"/>
      <c r="Y747" s="127"/>
      <c r="Z747" s="127" t="s">
        <v>115</v>
      </c>
      <c r="AA747" s="127" t="s">
        <v>115</v>
      </c>
      <c r="AB747" s="127" t="s">
        <v>115</v>
      </c>
      <c r="AC747" s="127" t="s">
        <v>115</v>
      </c>
      <c r="AD747" s="127" t="s">
        <v>115</v>
      </c>
      <c r="AE747" s="127" t="s">
        <v>115</v>
      </c>
      <c r="AF747" s="127" t="s">
        <v>115</v>
      </c>
      <c r="AG747" s="127" t="s">
        <v>115</v>
      </c>
      <c r="AH747" s="123">
        <v>0</v>
      </c>
      <c r="AI747" s="123">
        <v>0</v>
      </c>
      <c r="AJ747" s="123">
        <v>0</v>
      </c>
      <c r="AK747" s="123">
        <v>0</v>
      </c>
      <c r="AL747" s="123">
        <v>25</v>
      </c>
      <c r="AM747" s="123"/>
      <c r="AN747" s="123">
        <f t="shared" si="12"/>
        <v>25</v>
      </c>
      <c r="AO747" s="123"/>
      <c r="AP747" s="123" t="s">
        <v>3936</v>
      </c>
      <c r="AQ747" s="123"/>
      <c r="AR747" s="123"/>
      <c r="AS747" s="133"/>
      <c r="AT747" s="133"/>
      <c r="AU747" s="133"/>
      <c r="AV747" s="133"/>
    </row>
    <row r="748" spans="1:48" s="135" customFormat="1" x14ac:dyDescent="0.2">
      <c r="A748" s="123" t="s">
        <v>3930</v>
      </c>
      <c r="B748" s="123" t="s">
        <v>3931</v>
      </c>
      <c r="C748" s="123">
        <v>3</v>
      </c>
      <c r="D748" s="123">
        <v>1</v>
      </c>
      <c r="E748" s="123" t="s">
        <v>324</v>
      </c>
      <c r="F748" s="125">
        <v>43593</v>
      </c>
      <c r="G748" s="125" t="s">
        <v>4028</v>
      </c>
      <c r="H748" s="125" t="s">
        <v>4752</v>
      </c>
      <c r="I748" s="171">
        <v>2.1527777777777781E-2</v>
      </c>
      <c r="J748" s="173">
        <v>3.5879629629629635E-4</v>
      </c>
      <c r="K748" s="129">
        <v>31</v>
      </c>
      <c r="L748" s="123" t="s">
        <v>3929</v>
      </c>
      <c r="M748" s="123" t="s">
        <v>325</v>
      </c>
      <c r="N748" s="123" t="s">
        <v>102</v>
      </c>
      <c r="O748" s="123" t="s">
        <v>115</v>
      </c>
      <c r="P748" s="123">
        <v>4</v>
      </c>
      <c r="Q748" s="123">
        <v>0</v>
      </c>
      <c r="R748" s="123">
        <v>0</v>
      </c>
      <c r="S748" s="123" t="s">
        <v>176</v>
      </c>
      <c r="T748" s="127" t="s">
        <v>24</v>
      </c>
      <c r="U748" s="127" t="s">
        <v>122</v>
      </c>
      <c r="V748" s="127" t="s">
        <v>115</v>
      </c>
      <c r="W748" s="127"/>
      <c r="X748" s="127"/>
      <c r="Y748" s="127"/>
      <c r="Z748" s="127" t="s">
        <v>115</v>
      </c>
      <c r="AA748" s="127" t="s">
        <v>115</v>
      </c>
      <c r="AB748" s="127" t="s">
        <v>115</v>
      </c>
      <c r="AC748" s="127" t="s">
        <v>115</v>
      </c>
      <c r="AD748" s="127" t="s">
        <v>115</v>
      </c>
      <c r="AE748" s="127" t="s">
        <v>115</v>
      </c>
      <c r="AF748" s="127" t="s">
        <v>115</v>
      </c>
      <c r="AG748" s="127" t="s">
        <v>115</v>
      </c>
      <c r="AH748" s="123">
        <v>0</v>
      </c>
      <c r="AI748" s="123">
        <v>0</v>
      </c>
      <c r="AJ748" s="123">
        <v>0</v>
      </c>
      <c r="AK748" s="123">
        <v>0</v>
      </c>
      <c r="AL748" s="123">
        <v>29</v>
      </c>
      <c r="AM748" s="123"/>
      <c r="AN748" s="123">
        <f t="shared" si="12"/>
        <v>29</v>
      </c>
      <c r="AO748" s="123" t="s">
        <v>188</v>
      </c>
      <c r="AP748" s="123"/>
      <c r="AQ748" s="123"/>
      <c r="AR748" s="123"/>
    </row>
    <row r="749" spans="1:48" s="133" customFormat="1" x14ac:dyDescent="0.2">
      <c r="A749" s="123" t="s">
        <v>3932</v>
      </c>
      <c r="B749" s="123" t="s">
        <v>3933</v>
      </c>
      <c r="C749" s="123">
        <v>4</v>
      </c>
      <c r="D749" s="123">
        <v>1</v>
      </c>
      <c r="E749" s="123" t="s">
        <v>324</v>
      </c>
      <c r="F749" s="125">
        <v>43593</v>
      </c>
      <c r="G749" s="125" t="s">
        <v>4028</v>
      </c>
      <c r="H749" s="125" t="s">
        <v>4752</v>
      </c>
      <c r="I749" s="171">
        <v>4.1666666666666666E-3</v>
      </c>
      <c r="J749" s="173">
        <v>6.9444444444444444E-5</v>
      </c>
      <c r="K749" s="129">
        <v>6</v>
      </c>
      <c r="L749" s="123" t="s">
        <v>3929</v>
      </c>
      <c r="M749" s="123" t="s">
        <v>325</v>
      </c>
      <c r="N749" s="123" t="s">
        <v>102</v>
      </c>
      <c r="O749" s="123" t="s">
        <v>115</v>
      </c>
      <c r="P749" s="123" t="s">
        <v>24</v>
      </c>
      <c r="Q749" s="123">
        <v>0</v>
      </c>
      <c r="R749" s="123">
        <v>0</v>
      </c>
      <c r="S749" s="123"/>
      <c r="T749" s="127" t="s">
        <v>115</v>
      </c>
      <c r="U749" s="127" t="s">
        <v>115</v>
      </c>
      <c r="V749" s="127" t="s">
        <v>115</v>
      </c>
      <c r="W749" s="127"/>
      <c r="X749" s="127"/>
      <c r="Y749" s="127"/>
      <c r="Z749" s="127" t="s">
        <v>115</v>
      </c>
      <c r="AA749" s="127" t="s">
        <v>115</v>
      </c>
      <c r="AB749" s="127" t="s">
        <v>115</v>
      </c>
      <c r="AC749" s="127" t="s">
        <v>115</v>
      </c>
      <c r="AD749" s="127" t="s">
        <v>115</v>
      </c>
      <c r="AE749" s="127" t="s">
        <v>115</v>
      </c>
      <c r="AF749" s="127" t="s">
        <v>115</v>
      </c>
      <c r="AG749" s="127" t="s">
        <v>115</v>
      </c>
      <c r="AH749" s="123">
        <v>6</v>
      </c>
      <c r="AI749" s="123">
        <v>0</v>
      </c>
      <c r="AJ749" s="123">
        <v>6</v>
      </c>
      <c r="AK749" s="123">
        <v>0</v>
      </c>
      <c r="AL749" s="123">
        <v>0</v>
      </c>
      <c r="AM749" s="123"/>
      <c r="AN749" s="123">
        <f t="shared" si="12"/>
        <v>6</v>
      </c>
      <c r="AO749" s="123" t="s">
        <v>165</v>
      </c>
      <c r="AP749" s="123"/>
      <c r="AQ749" s="123">
        <v>1</v>
      </c>
      <c r="AR749" s="123">
        <v>0</v>
      </c>
    </row>
    <row r="750" spans="1:48" s="135" customFormat="1" x14ac:dyDescent="0.2">
      <c r="A750" s="133" t="s">
        <v>1991</v>
      </c>
      <c r="B750" s="133" t="s">
        <v>1992</v>
      </c>
      <c r="C750" s="133">
        <v>3</v>
      </c>
      <c r="D750" s="133">
        <v>1</v>
      </c>
      <c r="E750" s="133" t="s">
        <v>272</v>
      </c>
      <c r="F750" s="138">
        <v>43404</v>
      </c>
      <c r="G750" s="136" t="s">
        <v>4033</v>
      </c>
      <c r="H750" s="136" t="s">
        <v>4724</v>
      </c>
      <c r="I750" s="148">
        <v>4.1666666666666666E-3</v>
      </c>
      <c r="J750" s="174">
        <v>6.9444444444444444E-5</v>
      </c>
      <c r="K750" s="139">
        <v>6</v>
      </c>
      <c r="L750" s="133" t="s">
        <v>2029</v>
      </c>
      <c r="M750" s="133" t="s">
        <v>1993</v>
      </c>
      <c r="N750" s="133" t="s">
        <v>102</v>
      </c>
      <c r="O750" s="133" t="s">
        <v>12</v>
      </c>
      <c r="P750" s="133">
        <v>1</v>
      </c>
      <c r="Q750" s="133"/>
      <c r="R750" s="133">
        <v>0</v>
      </c>
      <c r="S750" s="133" t="s">
        <v>176</v>
      </c>
      <c r="T750" s="133" t="s">
        <v>176</v>
      </c>
      <c r="U750" s="133" t="s">
        <v>1994</v>
      </c>
      <c r="V750" s="133" t="s">
        <v>115</v>
      </c>
      <c r="W750" s="135" t="s">
        <v>115</v>
      </c>
      <c r="X750" s="135" t="s">
        <v>115</v>
      </c>
      <c r="Y750" s="135" t="s">
        <v>115</v>
      </c>
      <c r="Z750" s="133"/>
      <c r="AA750" s="133"/>
      <c r="AB750" s="133" t="s">
        <v>115</v>
      </c>
      <c r="AC750" s="134" t="s">
        <v>115</v>
      </c>
      <c r="AD750" s="134"/>
      <c r="AE750" s="133"/>
      <c r="AF750" s="133"/>
      <c r="AG750" s="133"/>
      <c r="AH750" s="139">
        <v>0</v>
      </c>
      <c r="AI750" s="139">
        <v>0</v>
      </c>
      <c r="AJ750" s="139">
        <v>0</v>
      </c>
      <c r="AK750" s="139">
        <v>0</v>
      </c>
      <c r="AL750" s="139">
        <v>0</v>
      </c>
      <c r="AM750" s="139">
        <v>0</v>
      </c>
      <c r="AN750" s="133">
        <f t="shared" ref="AN750:AN813" si="13">SUM(AJ750:AM750)</f>
        <v>0</v>
      </c>
      <c r="AO750" s="133"/>
      <c r="AP750" s="133" t="s">
        <v>1995</v>
      </c>
      <c r="AQ750" s="133"/>
      <c r="AR750" s="133"/>
      <c r="AS750" s="133"/>
      <c r="AT750" s="133"/>
      <c r="AU750" s="133"/>
      <c r="AV750" s="133"/>
    </row>
    <row r="751" spans="1:48" s="135" customFormat="1" x14ac:dyDescent="0.2">
      <c r="A751" s="133" t="s">
        <v>1996</v>
      </c>
      <c r="B751" s="133" t="s">
        <v>1997</v>
      </c>
      <c r="C751" s="133">
        <v>4</v>
      </c>
      <c r="D751" s="133">
        <v>1</v>
      </c>
      <c r="E751" s="133" t="s">
        <v>272</v>
      </c>
      <c r="F751" s="138">
        <v>43404</v>
      </c>
      <c r="G751" s="136" t="s">
        <v>4033</v>
      </c>
      <c r="H751" s="136" t="s">
        <v>4724</v>
      </c>
      <c r="I751" s="148">
        <v>3.5416666666666666E-2</v>
      </c>
      <c r="J751" s="174">
        <v>5.9027777777777778E-4</v>
      </c>
      <c r="K751" s="139">
        <v>51</v>
      </c>
      <c r="L751" s="133" t="s">
        <v>2029</v>
      </c>
      <c r="M751" s="133" t="s">
        <v>1993</v>
      </c>
      <c r="N751" s="133" t="s">
        <v>111</v>
      </c>
      <c r="O751" s="133" t="s">
        <v>12</v>
      </c>
      <c r="P751" s="133">
        <v>0</v>
      </c>
      <c r="Q751" s="133"/>
      <c r="R751" s="133">
        <v>1</v>
      </c>
      <c r="S751" s="133" t="s">
        <v>176</v>
      </c>
      <c r="T751" s="133" t="s">
        <v>176</v>
      </c>
      <c r="U751" s="133" t="s">
        <v>24</v>
      </c>
      <c r="V751" s="133" t="s">
        <v>1027</v>
      </c>
      <c r="W751" s="140" t="s">
        <v>12</v>
      </c>
      <c r="X751" s="140" t="s">
        <v>3997</v>
      </c>
      <c r="Y751" s="140" t="s">
        <v>4005</v>
      </c>
      <c r="Z751" s="133"/>
      <c r="AA751" s="133"/>
      <c r="AB751" s="133" t="s">
        <v>24</v>
      </c>
      <c r="AC751" s="134">
        <v>63.73142</v>
      </c>
      <c r="AD751" s="134">
        <v>148.89966999999999</v>
      </c>
      <c r="AE751" s="133"/>
      <c r="AF751" s="133"/>
      <c r="AG751" s="133"/>
      <c r="AH751" s="139">
        <v>0</v>
      </c>
      <c r="AI751" s="139">
        <v>0</v>
      </c>
      <c r="AJ751" s="139">
        <v>0</v>
      </c>
      <c r="AK751" s="139">
        <v>0</v>
      </c>
      <c r="AL751" s="139">
        <v>0</v>
      </c>
      <c r="AM751" s="139">
        <v>0</v>
      </c>
      <c r="AN751" s="133">
        <f t="shared" si="13"/>
        <v>0</v>
      </c>
      <c r="AO751" s="133"/>
      <c r="AP751" s="133" t="s">
        <v>1998</v>
      </c>
      <c r="AQ751" s="133"/>
      <c r="AR751" s="133"/>
    </row>
    <row r="752" spans="1:48" s="133" customFormat="1" x14ac:dyDescent="0.2">
      <c r="A752" s="133" t="s">
        <v>2012</v>
      </c>
      <c r="B752" s="133" t="s">
        <v>2013</v>
      </c>
      <c r="C752" s="133">
        <v>11</v>
      </c>
      <c r="D752" s="133">
        <v>1</v>
      </c>
      <c r="E752" s="133" t="s">
        <v>272</v>
      </c>
      <c r="F752" s="138">
        <v>43404</v>
      </c>
      <c r="G752" s="136" t="s">
        <v>4033</v>
      </c>
      <c r="H752" s="136" t="s">
        <v>4724</v>
      </c>
      <c r="I752" s="148">
        <v>9.7222222222222224E-3</v>
      </c>
      <c r="J752" s="174">
        <v>1.6203703703703703E-4</v>
      </c>
      <c r="K752" s="139">
        <v>14</v>
      </c>
      <c r="L752" s="133" t="s">
        <v>2029</v>
      </c>
      <c r="M752" s="133" t="s">
        <v>1993</v>
      </c>
      <c r="N752" s="133" t="s">
        <v>102</v>
      </c>
      <c r="O752" s="133" t="s">
        <v>23</v>
      </c>
      <c r="P752" s="133">
        <v>0</v>
      </c>
      <c r="R752" s="133">
        <v>0</v>
      </c>
      <c r="T752" s="133" t="s">
        <v>115</v>
      </c>
      <c r="U752" s="133" t="s">
        <v>115</v>
      </c>
      <c r="V752" s="133" t="s">
        <v>115</v>
      </c>
      <c r="W752" s="135" t="s">
        <v>115</v>
      </c>
      <c r="X752" s="135" t="s">
        <v>115</v>
      </c>
      <c r="Y752" s="135" t="s">
        <v>115</v>
      </c>
      <c r="Z752" s="135"/>
      <c r="AA752" s="135"/>
      <c r="AB752" s="133" t="s">
        <v>115</v>
      </c>
      <c r="AC752" s="134" t="s">
        <v>115</v>
      </c>
      <c r="AD752" s="134"/>
      <c r="AE752" s="135"/>
      <c r="AF752" s="135"/>
      <c r="AG752" s="135"/>
      <c r="AH752" s="139">
        <v>14</v>
      </c>
      <c r="AI752" s="139">
        <v>0</v>
      </c>
      <c r="AJ752" s="139">
        <v>14</v>
      </c>
      <c r="AK752" s="139">
        <v>0</v>
      </c>
      <c r="AL752" s="139">
        <v>0</v>
      </c>
      <c r="AM752" s="139">
        <v>0</v>
      </c>
      <c r="AN752" s="133">
        <f t="shared" si="13"/>
        <v>14</v>
      </c>
      <c r="AO752" s="133" t="s">
        <v>188</v>
      </c>
    </row>
    <row r="753" spans="1:48" s="133" customFormat="1" x14ac:dyDescent="0.2">
      <c r="A753" s="133" t="s">
        <v>2018</v>
      </c>
      <c r="B753" s="133" t="s">
        <v>2019</v>
      </c>
      <c r="C753" s="133">
        <v>14</v>
      </c>
      <c r="D753" s="133">
        <v>1</v>
      </c>
      <c r="E753" s="133" t="s">
        <v>272</v>
      </c>
      <c r="F753" s="138">
        <v>43404</v>
      </c>
      <c r="G753" s="136" t="s">
        <v>4033</v>
      </c>
      <c r="H753" s="136" t="s">
        <v>4724</v>
      </c>
      <c r="I753" s="148">
        <v>4.8611111111111112E-3</v>
      </c>
      <c r="J753" s="174">
        <v>8.1018518518518516E-5</v>
      </c>
      <c r="K753" s="139">
        <v>7</v>
      </c>
      <c r="L753" s="133" t="s">
        <v>2029</v>
      </c>
      <c r="M753" s="133" t="s">
        <v>1993</v>
      </c>
      <c r="N753" s="133" t="s">
        <v>102</v>
      </c>
      <c r="O753" s="133" t="s">
        <v>12</v>
      </c>
      <c r="P753" s="133">
        <v>1</v>
      </c>
      <c r="R753" s="133">
        <v>0</v>
      </c>
      <c r="S753" s="133" t="s">
        <v>176</v>
      </c>
      <c r="T753" s="133" t="s">
        <v>176</v>
      </c>
      <c r="U753" s="133" t="s">
        <v>1994</v>
      </c>
      <c r="V753" s="133" t="s">
        <v>115</v>
      </c>
      <c r="W753" s="135" t="s">
        <v>115</v>
      </c>
      <c r="X753" s="135" t="s">
        <v>115</v>
      </c>
      <c r="Y753" s="135" t="s">
        <v>115</v>
      </c>
      <c r="AB753" s="133" t="s">
        <v>115</v>
      </c>
      <c r="AC753" s="134" t="s">
        <v>115</v>
      </c>
      <c r="AD753" s="134"/>
      <c r="AH753" s="139">
        <v>0</v>
      </c>
      <c r="AI753" s="139">
        <v>0</v>
      </c>
      <c r="AJ753" s="139">
        <v>0</v>
      </c>
      <c r="AK753" s="139">
        <v>0</v>
      </c>
      <c r="AL753" s="139">
        <v>0</v>
      </c>
      <c r="AM753" s="139">
        <v>0</v>
      </c>
      <c r="AN753" s="133">
        <f t="shared" si="13"/>
        <v>0</v>
      </c>
      <c r="AP753" s="133" t="s">
        <v>2020</v>
      </c>
    </row>
    <row r="754" spans="1:48" s="133" customFormat="1" x14ac:dyDescent="0.2">
      <c r="A754" s="135" t="s">
        <v>1110</v>
      </c>
      <c r="B754" s="135" t="s">
        <v>1111</v>
      </c>
      <c r="C754" s="135">
        <v>1</v>
      </c>
      <c r="D754" s="135">
        <v>1</v>
      </c>
      <c r="E754" s="135" t="s">
        <v>834</v>
      </c>
      <c r="F754" s="136">
        <v>43378</v>
      </c>
      <c r="G754" s="136" t="s">
        <v>4033</v>
      </c>
      <c r="H754" s="136" t="s">
        <v>4724</v>
      </c>
      <c r="I754" s="172">
        <v>5.2083333333333336E-2</v>
      </c>
      <c r="J754" s="175">
        <v>8.6805555555555551E-4</v>
      </c>
      <c r="K754" s="143">
        <v>75</v>
      </c>
      <c r="L754" s="135" t="s">
        <v>397</v>
      </c>
      <c r="M754" s="135" t="s">
        <v>466</v>
      </c>
      <c r="N754" s="135" t="s">
        <v>102</v>
      </c>
      <c r="O754" s="135" t="s">
        <v>23</v>
      </c>
      <c r="P754" s="135">
        <v>0</v>
      </c>
      <c r="Q754" s="135"/>
      <c r="R754" s="135">
        <v>0</v>
      </c>
      <c r="S754" s="135"/>
      <c r="T754" s="135" t="s">
        <v>115</v>
      </c>
      <c r="U754" s="135" t="s">
        <v>115</v>
      </c>
      <c r="V754" s="135" t="s">
        <v>115</v>
      </c>
      <c r="W754" s="135" t="s">
        <v>115</v>
      </c>
      <c r="X754" s="135" t="s">
        <v>115</v>
      </c>
      <c r="Y754" s="135" t="s">
        <v>115</v>
      </c>
      <c r="AB754" s="135" t="s">
        <v>115</v>
      </c>
      <c r="AC754" s="137" t="s">
        <v>115</v>
      </c>
      <c r="AD754" s="137"/>
      <c r="AH754" s="143">
        <v>0</v>
      </c>
      <c r="AI754" s="143">
        <v>8</v>
      </c>
      <c r="AJ754" s="143">
        <v>0</v>
      </c>
      <c r="AK754" s="143">
        <v>8</v>
      </c>
      <c r="AL754" s="143">
        <v>23</v>
      </c>
      <c r="AM754" s="135">
        <v>0</v>
      </c>
      <c r="AN754" s="135">
        <f t="shared" si="13"/>
        <v>31</v>
      </c>
      <c r="AO754" s="135"/>
      <c r="AP754" s="135" t="s">
        <v>4981</v>
      </c>
      <c r="AQ754" s="135"/>
      <c r="AR754" s="135"/>
    </row>
    <row r="755" spans="1:48" s="133" customFormat="1" x14ac:dyDescent="0.2">
      <c r="A755" s="135" t="s">
        <v>1112</v>
      </c>
      <c r="B755" s="135" t="s">
        <v>1113</v>
      </c>
      <c r="C755" s="135">
        <v>2</v>
      </c>
      <c r="D755" s="135">
        <v>1</v>
      </c>
      <c r="E755" s="135" t="s">
        <v>834</v>
      </c>
      <c r="F755" s="136">
        <v>43378</v>
      </c>
      <c r="G755" s="136" t="s">
        <v>4033</v>
      </c>
      <c r="H755" s="136" t="s">
        <v>4724</v>
      </c>
      <c r="I755" s="172">
        <v>2.6388888888888889E-2</v>
      </c>
      <c r="J755" s="175">
        <v>4.3981481481481481E-4</v>
      </c>
      <c r="K755" s="143">
        <v>38</v>
      </c>
      <c r="L755" s="135" t="s">
        <v>397</v>
      </c>
      <c r="M755" s="135" t="s">
        <v>466</v>
      </c>
      <c r="N755" s="135" t="s">
        <v>102</v>
      </c>
      <c r="O755" s="135" t="s">
        <v>115</v>
      </c>
      <c r="P755" s="135">
        <v>0</v>
      </c>
      <c r="Q755" s="135"/>
      <c r="R755" s="135">
        <v>0</v>
      </c>
      <c r="S755" s="135"/>
      <c r="T755" s="135" t="s">
        <v>115</v>
      </c>
      <c r="U755" s="135" t="s">
        <v>115</v>
      </c>
      <c r="V755" s="135" t="s">
        <v>115</v>
      </c>
      <c r="W755" s="135" t="s">
        <v>115</v>
      </c>
      <c r="X755" s="135" t="s">
        <v>115</v>
      </c>
      <c r="Y755" s="135" t="s">
        <v>115</v>
      </c>
      <c r="AB755" s="135" t="s">
        <v>115</v>
      </c>
      <c r="AC755" s="137" t="s">
        <v>115</v>
      </c>
      <c r="AD755" s="137"/>
      <c r="AH755" s="143">
        <v>0</v>
      </c>
      <c r="AI755" s="143">
        <v>0</v>
      </c>
      <c r="AJ755" s="143">
        <v>0</v>
      </c>
      <c r="AK755" s="143">
        <v>0</v>
      </c>
      <c r="AL755" s="143">
        <v>20</v>
      </c>
      <c r="AM755" s="135">
        <v>0</v>
      </c>
      <c r="AN755" s="135">
        <f t="shared" si="13"/>
        <v>20</v>
      </c>
      <c r="AO755" s="135"/>
      <c r="AP755" s="135"/>
      <c r="AQ755" s="135"/>
      <c r="AR755" s="135"/>
    </row>
    <row r="756" spans="1:48" s="135" customFormat="1" x14ac:dyDescent="0.2">
      <c r="A756" s="135" t="s">
        <v>1114</v>
      </c>
      <c r="B756" s="135" t="s">
        <v>1115</v>
      </c>
      <c r="C756" s="135">
        <v>3</v>
      </c>
      <c r="D756" s="135">
        <v>1</v>
      </c>
      <c r="E756" s="135" t="s">
        <v>834</v>
      </c>
      <c r="F756" s="136">
        <v>43378</v>
      </c>
      <c r="G756" s="136" t="s">
        <v>4033</v>
      </c>
      <c r="H756" s="136" t="s">
        <v>4724</v>
      </c>
      <c r="I756" s="172">
        <v>2.2222222222222223E-2</v>
      </c>
      <c r="J756" s="175">
        <v>3.7037037037037035E-4</v>
      </c>
      <c r="K756" s="143">
        <v>32</v>
      </c>
      <c r="L756" s="135" t="s">
        <v>397</v>
      </c>
      <c r="M756" s="135" t="s">
        <v>466</v>
      </c>
      <c r="N756" s="135" t="s">
        <v>1116</v>
      </c>
      <c r="O756" s="135" t="s">
        <v>23</v>
      </c>
      <c r="P756" s="135">
        <v>1</v>
      </c>
      <c r="R756" s="135">
        <v>0</v>
      </c>
      <c r="S756" s="133" t="s">
        <v>176</v>
      </c>
      <c r="T756" s="135" t="s">
        <v>2083</v>
      </c>
      <c r="U756" s="135" t="s">
        <v>122</v>
      </c>
      <c r="V756" s="135" t="s">
        <v>115</v>
      </c>
      <c r="W756" s="135" t="s">
        <v>115</v>
      </c>
      <c r="X756" s="135" t="s">
        <v>115</v>
      </c>
      <c r="Y756" s="135" t="s">
        <v>115</v>
      </c>
      <c r="Z756" s="133"/>
      <c r="AA756" s="133"/>
      <c r="AB756" s="135" t="s">
        <v>115</v>
      </c>
      <c r="AC756" s="137" t="s">
        <v>115</v>
      </c>
      <c r="AD756" s="137"/>
      <c r="AE756" s="133"/>
      <c r="AF756" s="133"/>
      <c r="AG756" s="133"/>
      <c r="AH756" s="143">
        <v>0</v>
      </c>
      <c r="AI756" s="143">
        <v>2</v>
      </c>
      <c r="AJ756" s="143">
        <v>0</v>
      </c>
      <c r="AK756" s="143">
        <v>2</v>
      </c>
      <c r="AL756" s="143">
        <v>12</v>
      </c>
      <c r="AM756" s="135">
        <v>0</v>
      </c>
      <c r="AN756" s="135">
        <f t="shared" si="13"/>
        <v>14</v>
      </c>
      <c r="AP756" s="135" t="s">
        <v>1117</v>
      </c>
      <c r="AS756" s="133"/>
      <c r="AT756" s="133"/>
      <c r="AU756" s="133"/>
      <c r="AV756" s="133"/>
    </row>
    <row r="757" spans="1:48" s="133" customFormat="1" x14ac:dyDescent="0.2">
      <c r="A757" s="133" t="s">
        <v>1114</v>
      </c>
      <c r="B757" s="133" t="s">
        <v>1115</v>
      </c>
      <c r="C757" s="133">
        <v>3</v>
      </c>
      <c r="D757" s="133">
        <v>2</v>
      </c>
      <c r="E757" s="133" t="s">
        <v>834</v>
      </c>
      <c r="F757" s="138">
        <v>43378</v>
      </c>
      <c r="G757" s="136" t="s">
        <v>4033</v>
      </c>
      <c r="H757" s="136" t="s">
        <v>4724</v>
      </c>
      <c r="I757" s="148">
        <v>2.2222222222222223E-2</v>
      </c>
      <c r="J757" s="174">
        <v>3.5879629629629635E-4</v>
      </c>
      <c r="K757" s="139">
        <v>31</v>
      </c>
      <c r="L757" s="133" t="s">
        <v>397</v>
      </c>
      <c r="M757" s="133" t="s">
        <v>466</v>
      </c>
      <c r="N757" s="133" t="s">
        <v>1116</v>
      </c>
      <c r="O757" s="133" t="s">
        <v>23</v>
      </c>
      <c r="P757" s="133">
        <v>1</v>
      </c>
      <c r="R757" s="133">
        <v>0</v>
      </c>
      <c r="S757" s="133" t="s">
        <v>176</v>
      </c>
      <c r="T757" s="133" t="s">
        <v>176</v>
      </c>
      <c r="U757" s="133" t="s">
        <v>1035</v>
      </c>
      <c r="V757" s="133" t="s">
        <v>115</v>
      </c>
      <c r="W757" s="135" t="s">
        <v>115</v>
      </c>
      <c r="X757" s="135" t="s">
        <v>115</v>
      </c>
      <c r="Y757" s="135" t="s">
        <v>115</v>
      </c>
      <c r="AB757" s="133" t="s">
        <v>115</v>
      </c>
      <c r="AC757" s="134" t="s">
        <v>115</v>
      </c>
      <c r="AD757" s="134"/>
      <c r="AH757" s="139">
        <v>0</v>
      </c>
      <c r="AI757" s="139">
        <v>0</v>
      </c>
      <c r="AJ757" s="139">
        <v>0</v>
      </c>
      <c r="AK757" s="139">
        <v>0</v>
      </c>
      <c r="AL757" s="139">
        <v>0</v>
      </c>
      <c r="AM757" s="133">
        <v>0</v>
      </c>
      <c r="AN757" s="133">
        <f t="shared" si="13"/>
        <v>0</v>
      </c>
      <c r="AP757" s="133" t="s">
        <v>1117</v>
      </c>
      <c r="AS757" s="135"/>
      <c r="AT757" s="135"/>
      <c r="AU757" s="135"/>
      <c r="AV757" s="135"/>
    </row>
    <row r="758" spans="1:48" s="133" customFormat="1" x14ac:dyDescent="0.2">
      <c r="A758" s="135" t="s">
        <v>1118</v>
      </c>
      <c r="B758" s="135" t="s">
        <v>1119</v>
      </c>
      <c r="C758" s="135">
        <v>4</v>
      </c>
      <c r="D758" s="135">
        <v>1</v>
      </c>
      <c r="E758" s="135" t="s">
        <v>834</v>
      </c>
      <c r="F758" s="136">
        <v>43378</v>
      </c>
      <c r="G758" s="136" t="s">
        <v>4033</v>
      </c>
      <c r="H758" s="136" t="s">
        <v>4724</v>
      </c>
      <c r="I758" s="172">
        <v>1.1805555555555555E-2</v>
      </c>
      <c r="J758" s="175">
        <v>1.9675925925925926E-4</v>
      </c>
      <c r="K758" s="143">
        <v>17</v>
      </c>
      <c r="L758" s="135" t="s">
        <v>397</v>
      </c>
      <c r="M758" s="135" t="s">
        <v>466</v>
      </c>
      <c r="N758" s="135" t="s">
        <v>102</v>
      </c>
      <c r="O758" s="135" t="s">
        <v>115</v>
      </c>
      <c r="P758" s="135" t="s">
        <v>24</v>
      </c>
      <c r="Q758" s="135"/>
      <c r="R758" s="135">
        <v>0</v>
      </c>
      <c r="S758" s="133" t="s">
        <v>176</v>
      </c>
      <c r="T758" s="135" t="s">
        <v>176</v>
      </c>
      <c r="U758" s="135" t="s">
        <v>115</v>
      </c>
      <c r="V758" s="135" t="s">
        <v>115</v>
      </c>
      <c r="W758" s="135" t="s">
        <v>115</v>
      </c>
      <c r="X758" s="135" t="s">
        <v>115</v>
      </c>
      <c r="Y758" s="135" t="s">
        <v>115</v>
      </c>
      <c r="AB758" s="135" t="s">
        <v>115</v>
      </c>
      <c r="AC758" s="137" t="s">
        <v>115</v>
      </c>
      <c r="AD758" s="137"/>
      <c r="AH758" s="143">
        <v>0</v>
      </c>
      <c r="AI758" s="143">
        <v>0</v>
      </c>
      <c r="AJ758" s="143">
        <v>0</v>
      </c>
      <c r="AK758" s="143">
        <v>0</v>
      </c>
      <c r="AL758" s="143">
        <v>3</v>
      </c>
      <c r="AM758" s="135">
        <v>0</v>
      </c>
      <c r="AN758" s="135">
        <f t="shared" si="13"/>
        <v>3</v>
      </c>
      <c r="AO758" s="135"/>
      <c r="AP758" s="135"/>
      <c r="AQ758" s="135"/>
      <c r="AR758" s="135"/>
    </row>
    <row r="759" spans="1:48" s="133" customFormat="1" x14ac:dyDescent="0.2">
      <c r="A759" s="133" t="s">
        <v>1120</v>
      </c>
      <c r="B759" s="133" t="s">
        <v>1121</v>
      </c>
      <c r="C759" s="133">
        <v>5</v>
      </c>
      <c r="D759" s="133">
        <v>1</v>
      </c>
      <c r="E759" s="133" t="s">
        <v>834</v>
      </c>
      <c r="F759" s="138">
        <v>43378</v>
      </c>
      <c r="G759" s="136" t="s">
        <v>4033</v>
      </c>
      <c r="H759" s="136" t="s">
        <v>4724</v>
      </c>
      <c r="I759" s="148">
        <v>1.3194444444444444E-2</v>
      </c>
      <c r="J759" s="174">
        <v>2.199074074074074E-4</v>
      </c>
      <c r="K759" s="139">
        <v>19</v>
      </c>
      <c r="L759" s="133" t="s">
        <v>397</v>
      </c>
      <c r="M759" s="133" t="s">
        <v>466</v>
      </c>
      <c r="N759" s="133" t="s">
        <v>111</v>
      </c>
      <c r="O759" s="133" t="s">
        <v>23</v>
      </c>
      <c r="P759" s="133">
        <v>1</v>
      </c>
      <c r="R759" s="133">
        <v>1</v>
      </c>
      <c r="S759" s="133" t="s">
        <v>176</v>
      </c>
      <c r="T759" s="133" t="s">
        <v>176</v>
      </c>
      <c r="U759" s="133" t="s">
        <v>122</v>
      </c>
      <c r="V759" s="133" t="s">
        <v>263</v>
      </c>
      <c r="W759" s="140" t="s">
        <v>23</v>
      </c>
      <c r="X759" s="140" t="s">
        <v>4004</v>
      </c>
      <c r="Y759" s="140" t="s">
        <v>4005</v>
      </c>
      <c r="AB759" s="133" t="s">
        <v>24</v>
      </c>
      <c r="AC759" s="134">
        <v>63.738579999999999</v>
      </c>
      <c r="AD759" s="134">
        <v>148.90271000000001</v>
      </c>
      <c r="AH759" s="139">
        <v>0</v>
      </c>
      <c r="AI759" s="139">
        <v>0</v>
      </c>
      <c r="AJ759" s="139">
        <v>0</v>
      </c>
      <c r="AK759" s="139">
        <v>0</v>
      </c>
      <c r="AL759" s="139">
        <v>0</v>
      </c>
      <c r="AM759" s="133">
        <v>0</v>
      </c>
      <c r="AN759" s="133">
        <f t="shared" si="13"/>
        <v>0</v>
      </c>
      <c r="AP759" s="133" t="s">
        <v>4979</v>
      </c>
    </row>
    <row r="760" spans="1:48" s="135" customFormat="1" x14ac:dyDescent="0.2">
      <c r="A760" s="133" t="s">
        <v>1120</v>
      </c>
      <c r="B760" s="133" t="s">
        <v>1121</v>
      </c>
      <c r="C760" s="133">
        <v>5</v>
      </c>
      <c r="D760" s="133">
        <v>2</v>
      </c>
      <c r="E760" s="133" t="s">
        <v>834</v>
      </c>
      <c r="F760" s="138">
        <v>43378</v>
      </c>
      <c r="G760" s="136" t="s">
        <v>4033</v>
      </c>
      <c r="H760" s="136" t="s">
        <v>4724</v>
      </c>
      <c r="I760" s="148">
        <v>1.3194444444444444E-2</v>
      </c>
      <c r="J760" s="174">
        <v>2.199074074074074E-4</v>
      </c>
      <c r="K760" s="139">
        <v>19</v>
      </c>
      <c r="L760" s="133" t="s">
        <v>397</v>
      </c>
      <c r="M760" s="133" t="s">
        <v>466</v>
      </c>
      <c r="N760" s="133" t="s">
        <v>111</v>
      </c>
      <c r="O760" s="133" t="s">
        <v>23</v>
      </c>
      <c r="P760" s="133">
        <v>0</v>
      </c>
      <c r="Q760" s="133"/>
      <c r="R760" s="133">
        <v>1</v>
      </c>
      <c r="S760" s="133" t="s">
        <v>176</v>
      </c>
      <c r="T760" s="133" t="s">
        <v>176</v>
      </c>
      <c r="U760" s="133" t="s">
        <v>122</v>
      </c>
      <c r="V760" s="133" t="s">
        <v>1035</v>
      </c>
      <c r="W760" s="140" t="s">
        <v>23</v>
      </c>
      <c r="X760" s="140" t="s">
        <v>3997</v>
      </c>
      <c r="Y760" s="140" t="s">
        <v>4006</v>
      </c>
      <c r="Z760" s="133"/>
      <c r="AA760" s="133"/>
      <c r="AB760" s="133" t="s">
        <v>24</v>
      </c>
      <c r="AC760" s="134">
        <v>63.738619999999997</v>
      </c>
      <c r="AD760" s="134">
        <v>148.90286</v>
      </c>
      <c r="AE760" s="133"/>
      <c r="AF760" s="133"/>
      <c r="AG760" s="133"/>
      <c r="AH760" s="139">
        <v>0</v>
      </c>
      <c r="AI760" s="139">
        <v>0</v>
      </c>
      <c r="AJ760" s="139">
        <v>0</v>
      </c>
      <c r="AK760" s="139">
        <v>0</v>
      </c>
      <c r="AL760" s="139">
        <v>0</v>
      </c>
      <c r="AM760" s="133">
        <v>0</v>
      </c>
      <c r="AN760" s="133">
        <f t="shared" si="13"/>
        <v>0</v>
      </c>
      <c r="AO760" s="133"/>
      <c r="AP760" s="133" t="s">
        <v>4979</v>
      </c>
      <c r="AQ760" s="133"/>
      <c r="AR760" s="133"/>
      <c r="AS760" s="133"/>
      <c r="AT760" s="133"/>
      <c r="AU760" s="133"/>
      <c r="AV760" s="133"/>
    </row>
    <row r="761" spans="1:48" s="133" customFormat="1" x14ac:dyDescent="0.2">
      <c r="A761" s="135" t="s">
        <v>1123</v>
      </c>
      <c r="B761" s="135" t="s">
        <v>1124</v>
      </c>
      <c r="C761" s="135">
        <v>6</v>
      </c>
      <c r="D761" s="135">
        <v>1</v>
      </c>
      <c r="E761" s="135" t="s">
        <v>834</v>
      </c>
      <c r="F761" s="136">
        <v>43378</v>
      </c>
      <c r="G761" s="136" t="s">
        <v>4033</v>
      </c>
      <c r="H761" s="136" t="s">
        <v>4724</v>
      </c>
      <c r="I761" s="172">
        <v>3.472222222222222E-3</v>
      </c>
      <c r="J761" s="175">
        <v>5.7870370370370366E-5</v>
      </c>
      <c r="K761" s="143">
        <v>5</v>
      </c>
      <c r="L761" s="135" t="s">
        <v>397</v>
      </c>
      <c r="M761" s="135" t="s">
        <v>466</v>
      </c>
      <c r="N761" s="135" t="s">
        <v>156</v>
      </c>
      <c r="O761" s="135" t="s">
        <v>23</v>
      </c>
      <c r="P761" s="135">
        <v>0</v>
      </c>
      <c r="Q761" s="135"/>
      <c r="R761" s="135">
        <v>1</v>
      </c>
      <c r="S761" s="133" t="s">
        <v>176</v>
      </c>
      <c r="T761" s="135" t="s">
        <v>176</v>
      </c>
      <c r="U761" s="135" t="s">
        <v>24</v>
      </c>
      <c r="V761" s="135" t="s">
        <v>487</v>
      </c>
      <c r="W761" s="135" t="s">
        <v>23</v>
      </c>
      <c r="X761" s="135" t="s">
        <v>3997</v>
      </c>
      <c r="Y761" s="135" t="s">
        <v>4001</v>
      </c>
      <c r="Z761" s="135"/>
      <c r="AA761" s="135"/>
      <c r="AB761" s="135" t="s">
        <v>24</v>
      </c>
      <c r="AC761" s="137">
        <v>63.738590000000002</v>
      </c>
      <c r="AD761" s="137">
        <v>148.90305000000001</v>
      </c>
      <c r="AE761" s="135"/>
      <c r="AF761" s="135"/>
      <c r="AG761" s="135"/>
      <c r="AH761" s="143">
        <v>0</v>
      </c>
      <c r="AI761" s="143">
        <v>0</v>
      </c>
      <c r="AJ761" s="143">
        <v>0</v>
      </c>
      <c r="AK761" s="143">
        <v>0</v>
      </c>
      <c r="AL761" s="143">
        <v>2</v>
      </c>
      <c r="AM761" s="135">
        <v>0</v>
      </c>
      <c r="AN761" s="135">
        <f t="shared" si="13"/>
        <v>2</v>
      </c>
      <c r="AO761" s="135"/>
      <c r="AP761" s="135" t="s">
        <v>1125</v>
      </c>
      <c r="AQ761" s="135"/>
      <c r="AR761" s="135"/>
    </row>
    <row r="762" spans="1:48" s="135" customFormat="1" x14ac:dyDescent="0.2">
      <c r="A762" s="135" t="s">
        <v>1126</v>
      </c>
      <c r="B762" s="135" t="s">
        <v>1127</v>
      </c>
      <c r="C762" s="135">
        <v>7</v>
      </c>
      <c r="D762" s="135">
        <v>1</v>
      </c>
      <c r="E762" s="135" t="s">
        <v>834</v>
      </c>
      <c r="F762" s="136">
        <v>43378</v>
      </c>
      <c r="G762" s="136" t="s">
        <v>4033</v>
      </c>
      <c r="H762" s="136" t="s">
        <v>4724</v>
      </c>
      <c r="I762" s="172">
        <v>2.2222222222222223E-2</v>
      </c>
      <c r="J762" s="175">
        <v>3.7037037037037035E-4</v>
      </c>
      <c r="K762" s="143">
        <v>32</v>
      </c>
      <c r="L762" s="135" t="s">
        <v>397</v>
      </c>
      <c r="M762" s="135" t="s">
        <v>466</v>
      </c>
      <c r="N762" s="135" t="s">
        <v>102</v>
      </c>
      <c r="O762" s="135" t="s">
        <v>115</v>
      </c>
      <c r="P762" s="135">
        <v>1</v>
      </c>
      <c r="R762" s="135">
        <v>0</v>
      </c>
      <c r="S762" s="133" t="s">
        <v>176</v>
      </c>
      <c r="T762" s="135" t="s">
        <v>4980</v>
      </c>
      <c r="U762" s="135" t="s">
        <v>122</v>
      </c>
      <c r="V762" s="135" t="s">
        <v>115</v>
      </c>
      <c r="W762" s="135" t="s">
        <v>115</v>
      </c>
      <c r="X762" s="135" t="s">
        <v>115</v>
      </c>
      <c r="Y762" s="135" t="s">
        <v>115</v>
      </c>
      <c r="AB762" s="135" t="s">
        <v>115</v>
      </c>
      <c r="AC762" s="137" t="s">
        <v>115</v>
      </c>
      <c r="AD762" s="137"/>
      <c r="AH762" s="143">
        <v>0</v>
      </c>
      <c r="AI762" s="143">
        <v>0</v>
      </c>
      <c r="AJ762" s="143">
        <v>0</v>
      </c>
      <c r="AK762" s="143">
        <v>0</v>
      </c>
      <c r="AL762" s="143">
        <v>28</v>
      </c>
      <c r="AM762" s="135">
        <v>0</v>
      </c>
      <c r="AN762" s="135">
        <f t="shared" si="13"/>
        <v>28</v>
      </c>
      <c r="AS762" s="133"/>
      <c r="AT762" s="133"/>
      <c r="AU762" s="133"/>
      <c r="AV762" s="133"/>
    </row>
    <row r="763" spans="1:48" s="133" customFormat="1" x14ac:dyDescent="0.2">
      <c r="A763" s="133" t="s">
        <v>1527</v>
      </c>
      <c r="B763" s="133" t="s">
        <v>1528</v>
      </c>
      <c r="C763" s="133">
        <v>1</v>
      </c>
      <c r="D763" s="133">
        <v>1</v>
      </c>
      <c r="E763" s="133" t="s">
        <v>834</v>
      </c>
      <c r="F763" s="138">
        <v>43389</v>
      </c>
      <c r="G763" s="136" t="s">
        <v>4033</v>
      </c>
      <c r="H763" s="136" t="s">
        <v>4724</v>
      </c>
      <c r="I763" s="148">
        <v>2.4305555555555556E-2</v>
      </c>
      <c r="J763" s="174">
        <v>4.0509259259259258E-4</v>
      </c>
      <c r="K763" s="139">
        <v>35</v>
      </c>
      <c r="L763" s="133" t="s">
        <v>398</v>
      </c>
      <c r="M763" s="133" t="s">
        <v>466</v>
      </c>
      <c r="N763" s="133" t="s">
        <v>187</v>
      </c>
      <c r="O763" s="133" t="s">
        <v>23</v>
      </c>
      <c r="P763" s="133" t="s">
        <v>24</v>
      </c>
      <c r="R763" s="133">
        <v>1</v>
      </c>
      <c r="S763" s="133" t="s">
        <v>176</v>
      </c>
      <c r="T763" s="133" t="s">
        <v>176</v>
      </c>
      <c r="U763" s="133" t="s">
        <v>24</v>
      </c>
      <c r="V763" s="133" t="s">
        <v>1057</v>
      </c>
      <c r="W763" s="140" t="s">
        <v>23</v>
      </c>
      <c r="X763" s="140" t="s">
        <v>3999</v>
      </c>
      <c r="Y763" s="140" t="s">
        <v>4005</v>
      </c>
      <c r="Z763" s="135"/>
      <c r="AA763" s="135"/>
      <c r="AB763" s="133" t="s">
        <v>24</v>
      </c>
      <c r="AC763" s="134">
        <v>63.738300000000002</v>
      </c>
      <c r="AD763" s="134">
        <v>148.90355</v>
      </c>
      <c r="AE763" s="135"/>
      <c r="AF763" s="135"/>
      <c r="AG763" s="135"/>
      <c r="AH763" s="139">
        <v>26</v>
      </c>
      <c r="AI763" s="139">
        <v>0</v>
      </c>
      <c r="AJ763" s="139">
        <v>26</v>
      </c>
      <c r="AK763" s="139">
        <v>0</v>
      </c>
      <c r="AL763" s="139">
        <v>0</v>
      </c>
      <c r="AM763" s="133">
        <v>0</v>
      </c>
      <c r="AN763" s="133">
        <f t="shared" si="13"/>
        <v>26</v>
      </c>
      <c r="AO763" s="133" t="s">
        <v>375</v>
      </c>
      <c r="AQ763" s="133">
        <v>3</v>
      </c>
      <c r="AR763" s="133">
        <v>0</v>
      </c>
    </row>
    <row r="764" spans="1:48" s="133" customFormat="1" x14ac:dyDescent="0.2">
      <c r="A764" s="133" t="s">
        <v>1529</v>
      </c>
      <c r="B764" s="133" t="s">
        <v>1530</v>
      </c>
      <c r="C764" s="133">
        <v>2</v>
      </c>
      <c r="D764" s="133">
        <v>1</v>
      </c>
      <c r="E764" s="133" t="s">
        <v>834</v>
      </c>
      <c r="F764" s="138">
        <v>43389</v>
      </c>
      <c r="G764" s="136" t="s">
        <v>4033</v>
      </c>
      <c r="H764" s="136" t="s">
        <v>4724</v>
      </c>
      <c r="I764" s="148">
        <v>1.4583333333333332E-2</v>
      </c>
      <c r="J764" s="174">
        <v>2.4305555555555552E-4</v>
      </c>
      <c r="K764" s="139">
        <v>21</v>
      </c>
      <c r="L764" s="133" t="s">
        <v>398</v>
      </c>
      <c r="M764" s="133" t="s">
        <v>466</v>
      </c>
      <c r="N764" s="133" t="s">
        <v>102</v>
      </c>
      <c r="O764" s="133" t="s">
        <v>23</v>
      </c>
      <c r="P764" s="133">
        <v>1</v>
      </c>
      <c r="R764" s="133">
        <v>0</v>
      </c>
      <c r="S764" s="133" t="s">
        <v>176</v>
      </c>
      <c r="T764" s="133" t="s">
        <v>2133</v>
      </c>
      <c r="U764" s="133" t="s">
        <v>1531</v>
      </c>
      <c r="V764" s="133" t="s">
        <v>115</v>
      </c>
      <c r="W764" s="135" t="s">
        <v>115</v>
      </c>
      <c r="X764" s="135" t="s">
        <v>115</v>
      </c>
      <c r="Y764" s="135" t="s">
        <v>115</v>
      </c>
      <c r="AB764" s="133" t="s">
        <v>115</v>
      </c>
      <c r="AC764" s="134" t="s">
        <v>115</v>
      </c>
      <c r="AD764" s="134"/>
      <c r="AH764" s="139">
        <v>0</v>
      </c>
      <c r="AI764" s="139">
        <v>10</v>
      </c>
      <c r="AJ764" s="139">
        <v>0</v>
      </c>
      <c r="AK764" s="139">
        <v>10</v>
      </c>
      <c r="AL764" s="139">
        <v>0</v>
      </c>
      <c r="AM764" s="133">
        <v>0</v>
      </c>
      <c r="AN764" s="133">
        <f t="shared" si="13"/>
        <v>10</v>
      </c>
      <c r="AS764" s="135"/>
      <c r="AT764" s="135"/>
      <c r="AU764" s="135"/>
      <c r="AV764" s="135"/>
    </row>
    <row r="765" spans="1:48" s="133" customFormat="1" x14ac:dyDescent="0.2">
      <c r="A765" s="135" t="s">
        <v>1532</v>
      </c>
      <c r="B765" s="135" t="s">
        <v>1533</v>
      </c>
      <c r="C765" s="135">
        <v>3</v>
      </c>
      <c r="D765" s="135">
        <v>1</v>
      </c>
      <c r="E765" s="135" t="s">
        <v>834</v>
      </c>
      <c r="F765" s="136">
        <v>43389</v>
      </c>
      <c r="G765" s="136" t="s">
        <v>4033</v>
      </c>
      <c r="H765" s="136" t="s">
        <v>4724</v>
      </c>
      <c r="I765" s="172">
        <v>4.8611111111111112E-2</v>
      </c>
      <c r="J765" s="175">
        <v>8.1018518518518516E-4</v>
      </c>
      <c r="K765" s="143">
        <v>70</v>
      </c>
      <c r="L765" s="135" t="s">
        <v>398</v>
      </c>
      <c r="M765" s="135" t="s">
        <v>466</v>
      </c>
      <c r="N765" s="135" t="s">
        <v>187</v>
      </c>
      <c r="O765" s="135" t="s">
        <v>23</v>
      </c>
      <c r="P765" s="135">
        <v>1</v>
      </c>
      <c r="Q765" s="135"/>
      <c r="R765" s="135">
        <v>1</v>
      </c>
      <c r="S765" s="133" t="s">
        <v>176</v>
      </c>
      <c r="T765" s="135" t="s">
        <v>176</v>
      </c>
      <c r="U765" s="135" t="s">
        <v>2094</v>
      </c>
      <c r="V765" s="133" t="s">
        <v>2061</v>
      </c>
      <c r="W765" s="140" t="s">
        <v>23</v>
      </c>
      <c r="X765" s="140" t="s">
        <v>3999</v>
      </c>
      <c r="Y765" s="140" t="s">
        <v>4006</v>
      </c>
      <c r="AB765" s="135">
        <v>7</v>
      </c>
      <c r="AC765" s="137">
        <v>63.738460000000003</v>
      </c>
      <c r="AD765" s="137">
        <v>148.90312</v>
      </c>
      <c r="AH765" s="143">
        <v>0</v>
      </c>
      <c r="AI765" s="143">
        <v>0</v>
      </c>
      <c r="AJ765" s="143">
        <v>0</v>
      </c>
      <c r="AK765" s="143">
        <v>0</v>
      </c>
      <c r="AL765" s="143">
        <v>7</v>
      </c>
      <c r="AM765" s="135">
        <v>0</v>
      </c>
      <c r="AN765" s="135">
        <f t="shared" si="13"/>
        <v>7</v>
      </c>
      <c r="AO765" s="135"/>
      <c r="AP765" s="135" t="s">
        <v>1534</v>
      </c>
      <c r="AQ765" s="135"/>
      <c r="AR765" s="135"/>
      <c r="AS765" s="135"/>
      <c r="AT765" s="135"/>
      <c r="AU765" s="135"/>
      <c r="AV765" s="135"/>
    </row>
    <row r="766" spans="1:48" s="133" customFormat="1" x14ac:dyDescent="0.2">
      <c r="A766" s="133" t="s">
        <v>1532</v>
      </c>
      <c r="B766" s="133" t="s">
        <v>1533</v>
      </c>
      <c r="C766" s="133">
        <v>3</v>
      </c>
      <c r="D766" s="133">
        <v>2</v>
      </c>
      <c r="E766" s="133" t="s">
        <v>834</v>
      </c>
      <c r="F766" s="138">
        <v>43389</v>
      </c>
      <c r="G766" s="136" t="s">
        <v>4033</v>
      </c>
      <c r="H766" s="136" t="s">
        <v>4724</v>
      </c>
      <c r="I766" s="148">
        <v>4.8611111111111112E-2</v>
      </c>
      <c r="J766" s="174">
        <v>8.1018518518518516E-4</v>
      </c>
      <c r="K766" s="139">
        <v>70</v>
      </c>
      <c r="L766" s="133" t="s">
        <v>398</v>
      </c>
      <c r="M766" s="133" t="s">
        <v>466</v>
      </c>
      <c r="N766" s="133" t="s">
        <v>102</v>
      </c>
      <c r="O766" s="133" t="s">
        <v>23</v>
      </c>
      <c r="P766" s="133">
        <v>1</v>
      </c>
      <c r="R766" s="133">
        <v>0</v>
      </c>
      <c r="S766" s="133" t="s">
        <v>14</v>
      </c>
      <c r="T766" s="133" t="s">
        <v>14</v>
      </c>
      <c r="U766" s="133" t="s">
        <v>122</v>
      </c>
      <c r="V766" s="133" t="s">
        <v>115</v>
      </c>
      <c r="W766" s="135" t="s">
        <v>115</v>
      </c>
      <c r="X766" s="135" t="s">
        <v>115</v>
      </c>
      <c r="Y766" s="135" t="s">
        <v>115</v>
      </c>
      <c r="AB766" s="133" t="s">
        <v>115</v>
      </c>
      <c r="AC766" s="134" t="s">
        <v>115</v>
      </c>
      <c r="AD766" s="134"/>
      <c r="AH766" s="139">
        <v>0</v>
      </c>
      <c r="AI766" s="139">
        <v>0</v>
      </c>
      <c r="AJ766" s="139">
        <v>0</v>
      </c>
      <c r="AK766" s="139">
        <v>0</v>
      </c>
      <c r="AL766" s="139">
        <v>0</v>
      </c>
      <c r="AM766" s="133">
        <v>0</v>
      </c>
      <c r="AN766" s="133">
        <f t="shared" si="13"/>
        <v>0</v>
      </c>
      <c r="AP766" s="133" t="s">
        <v>1534</v>
      </c>
      <c r="AS766" s="135"/>
      <c r="AT766" s="135"/>
      <c r="AU766" s="135"/>
      <c r="AV766" s="135"/>
    </row>
    <row r="767" spans="1:48" s="133" customFormat="1" x14ac:dyDescent="0.2">
      <c r="A767" s="133" t="s">
        <v>1543</v>
      </c>
      <c r="B767" s="133" t="s">
        <v>1544</v>
      </c>
      <c r="C767" s="133">
        <v>4</v>
      </c>
      <c r="D767" s="133">
        <v>1</v>
      </c>
      <c r="E767" s="133" t="s">
        <v>834</v>
      </c>
      <c r="F767" s="138">
        <v>43389</v>
      </c>
      <c r="G767" s="136" t="s">
        <v>4033</v>
      </c>
      <c r="H767" s="136" t="s">
        <v>4724</v>
      </c>
      <c r="I767" s="148">
        <v>2.361111111111111E-2</v>
      </c>
      <c r="J767" s="174">
        <v>3.9351851851851852E-4</v>
      </c>
      <c r="K767" s="139">
        <v>34</v>
      </c>
      <c r="L767" s="133" t="s">
        <v>398</v>
      </c>
      <c r="M767" s="133" t="s">
        <v>466</v>
      </c>
      <c r="N767" s="133" t="s">
        <v>102</v>
      </c>
      <c r="O767" s="133" t="s">
        <v>115</v>
      </c>
      <c r="P767" s="133">
        <v>1</v>
      </c>
      <c r="R767" s="133">
        <v>0</v>
      </c>
      <c r="S767" s="133" t="s">
        <v>176</v>
      </c>
      <c r="T767" s="133" t="s">
        <v>176</v>
      </c>
      <c r="U767" s="133" t="s">
        <v>333</v>
      </c>
      <c r="V767" s="133" t="s">
        <v>115</v>
      </c>
      <c r="W767" s="135" t="s">
        <v>115</v>
      </c>
      <c r="X767" s="135" t="s">
        <v>115</v>
      </c>
      <c r="Y767" s="135" t="s">
        <v>115</v>
      </c>
      <c r="Z767" s="135"/>
      <c r="AA767" s="135"/>
      <c r="AB767" s="133" t="s">
        <v>115</v>
      </c>
      <c r="AC767" s="134" t="s">
        <v>115</v>
      </c>
      <c r="AD767" s="134"/>
      <c r="AE767" s="135"/>
      <c r="AF767" s="135"/>
      <c r="AG767" s="135"/>
      <c r="AH767" s="139">
        <v>0</v>
      </c>
      <c r="AI767" s="139">
        <v>0</v>
      </c>
      <c r="AJ767" s="139">
        <v>0</v>
      </c>
      <c r="AK767" s="139">
        <v>0</v>
      </c>
      <c r="AL767" s="139">
        <v>0</v>
      </c>
      <c r="AM767" s="133">
        <v>0</v>
      </c>
      <c r="AN767" s="133">
        <f t="shared" si="13"/>
        <v>0</v>
      </c>
      <c r="AP767" s="133" t="s">
        <v>5007</v>
      </c>
    </row>
    <row r="768" spans="1:48" s="135" customFormat="1" x14ac:dyDescent="0.2">
      <c r="A768" s="133" t="s">
        <v>1546</v>
      </c>
      <c r="B768" s="133" t="s">
        <v>1545</v>
      </c>
      <c r="C768" s="133">
        <v>5</v>
      </c>
      <c r="D768" s="133">
        <v>1</v>
      </c>
      <c r="E768" s="133" t="s">
        <v>834</v>
      </c>
      <c r="F768" s="138">
        <v>43389</v>
      </c>
      <c r="G768" s="136" t="s">
        <v>4033</v>
      </c>
      <c r="H768" s="136" t="s">
        <v>4724</v>
      </c>
      <c r="I768" s="148">
        <v>1.1805555555555555E-2</v>
      </c>
      <c r="J768" s="174">
        <v>8.1018518518518516E-5</v>
      </c>
      <c r="K768" s="139">
        <v>7</v>
      </c>
      <c r="L768" s="133" t="s">
        <v>398</v>
      </c>
      <c r="M768" s="133" t="s">
        <v>466</v>
      </c>
      <c r="N768" s="133" t="s">
        <v>111</v>
      </c>
      <c r="O768" s="133" t="s">
        <v>23</v>
      </c>
      <c r="P768" s="133">
        <v>0</v>
      </c>
      <c r="Q768" s="133"/>
      <c r="R768" s="133">
        <v>1</v>
      </c>
      <c r="S768" s="133" t="s">
        <v>176</v>
      </c>
      <c r="T768" s="133" t="s">
        <v>176</v>
      </c>
      <c r="U768" s="133" t="s">
        <v>24</v>
      </c>
      <c r="V768" s="133" t="s">
        <v>263</v>
      </c>
      <c r="W768" s="140" t="s">
        <v>23</v>
      </c>
      <c r="X768" s="140" t="s">
        <v>4004</v>
      </c>
      <c r="Y768" s="140" t="s">
        <v>4005</v>
      </c>
      <c r="Z768" s="133"/>
      <c r="AA768" s="133"/>
      <c r="AB768" s="133" t="s">
        <v>24</v>
      </c>
      <c r="AC768" s="134">
        <v>63.739269999999998</v>
      </c>
      <c r="AD768" s="134">
        <v>148.98978</v>
      </c>
      <c r="AE768" s="133"/>
      <c r="AF768" s="133"/>
      <c r="AG768" s="133"/>
      <c r="AH768" s="139">
        <v>0</v>
      </c>
      <c r="AI768" s="139">
        <v>0</v>
      </c>
      <c r="AJ768" s="139">
        <v>0</v>
      </c>
      <c r="AK768" s="139">
        <v>0</v>
      </c>
      <c r="AL768" s="139">
        <v>0</v>
      </c>
      <c r="AM768" s="133">
        <v>0</v>
      </c>
      <c r="AN768" s="133">
        <f t="shared" si="13"/>
        <v>0</v>
      </c>
      <c r="AO768" s="133"/>
      <c r="AP768" s="133"/>
      <c r="AQ768" s="133"/>
      <c r="AR768" s="133"/>
      <c r="AS768" s="133"/>
      <c r="AT768" s="133"/>
      <c r="AU768" s="133"/>
      <c r="AV768" s="133"/>
    </row>
    <row r="769" spans="1:48" s="133" customFormat="1" x14ac:dyDescent="0.2">
      <c r="A769" s="133" t="s">
        <v>1773</v>
      </c>
      <c r="B769" s="133" t="s">
        <v>1774</v>
      </c>
      <c r="C769" s="133">
        <v>1</v>
      </c>
      <c r="D769" s="133">
        <v>1</v>
      </c>
      <c r="E769" s="133" t="s">
        <v>834</v>
      </c>
      <c r="F769" s="138">
        <v>43397</v>
      </c>
      <c r="G769" s="136" t="s">
        <v>4033</v>
      </c>
      <c r="H769" s="136" t="s">
        <v>4724</v>
      </c>
      <c r="I769" s="148">
        <v>1.7361111111111112E-2</v>
      </c>
      <c r="J769" s="174">
        <v>2.8935185185185189E-4</v>
      </c>
      <c r="K769" s="139">
        <v>25</v>
      </c>
      <c r="M769" s="133" t="s">
        <v>466</v>
      </c>
      <c r="N769" s="133" t="s">
        <v>102</v>
      </c>
      <c r="O769" s="133" t="s">
        <v>23</v>
      </c>
      <c r="P769" s="133">
        <v>1</v>
      </c>
      <c r="R769" s="133">
        <v>0</v>
      </c>
      <c r="S769" s="133" t="s">
        <v>176</v>
      </c>
      <c r="T769" s="133" t="s">
        <v>176</v>
      </c>
      <c r="U769" s="133" t="s">
        <v>1775</v>
      </c>
      <c r="V769" s="133" t="s">
        <v>115</v>
      </c>
      <c r="W769" s="135" t="s">
        <v>115</v>
      </c>
      <c r="X769" s="135" t="s">
        <v>115</v>
      </c>
      <c r="Y769" s="135" t="s">
        <v>115</v>
      </c>
      <c r="Z769" s="135"/>
      <c r="AA769" s="135"/>
      <c r="AB769" s="133" t="s">
        <v>115</v>
      </c>
      <c r="AC769" s="134" t="s">
        <v>115</v>
      </c>
      <c r="AD769" s="134"/>
      <c r="AE769" s="135"/>
      <c r="AF769" s="135"/>
      <c r="AG769" s="135"/>
      <c r="AH769" s="139">
        <v>7</v>
      </c>
      <c r="AI769" s="139">
        <v>0</v>
      </c>
      <c r="AJ769" s="139">
        <v>7</v>
      </c>
      <c r="AK769" s="139">
        <v>0</v>
      </c>
      <c r="AL769" s="139">
        <v>0</v>
      </c>
      <c r="AM769" s="139">
        <v>0</v>
      </c>
      <c r="AN769" s="133">
        <f t="shared" si="13"/>
        <v>7</v>
      </c>
      <c r="AO769" s="133" t="s">
        <v>188</v>
      </c>
    </row>
    <row r="770" spans="1:48" s="133" customFormat="1" x14ac:dyDescent="0.2">
      <c r="A770" s="133" t="s">
        <v>1776</v>
      </c>
      <c r="B770" s="133" t="s">
        <v>1777</v>
      </c>
      <c r="C770" s="133">
        <v>2</v>
      </c>
      <c r="D770" s="133">
        <v>1</v>
      </c>
      <c r="E770" s="133" t="s">
        <v>834</v>
      </c>
      <c r="F770" s="138">
        <v>43397</v>
      </c>
      <c r="G770" s="136" t="s">
        <v>4033</v>
      </c>
      <c r="H770" s="136" t="s">
        <v>4724</v>
      </c>
      <c r="I770" s="148">
        <v>6.9444444444444441E-3</v>
      </c>
      <c r="J770" s="174">
        <v>1.1574074074074073E-4</v>
      </c>
      <c r="K770" s="139">
        <v>10</v>
      </c>
      <c r="M770" s="133" t="s">
        <v>466</v>
      </c>
      <c r="N770" s="133" t="s">
        <v>102</v>
      </c>
      <c r="O770" s="133" t="s">
        <v>23</v>
      </c>
      <c r="P770" s="133">
        <v>0</v>
      </c>
      <c r="R770" s="133">
        <v>0</v>
      </c>
      <c r="T770" s="133" t="s">
        <v>115</v>
      </c>
      <c r="U770" s="133" t="s">
        <v>115</v>
      </c>
      <c r="V770" s="133" t="s">
        <v>115</v>
      </c>
      <c r="W770" s="135" t="s">
        <v>115</v>
      </c>
      <c r="X770" s="135" t="s">
        <v>115</v>
      </c>
      <c r="Y770" s="135" t="s">
        <v>115</v>
      </c>
      <c r="AB770" s="133" t="s">
        <v>115</v>
      </c>
      <c r="AC770" s="134" t="s">
        <v>115</v>
      </c>
      <c r="AD770" s="134"/>
      <c r="AH770" s="139">
        <v>0</v>
      </c>
      <c r="AI770" s="139">
        <v>8</v>
      </c>
      <c r="AJ770" s="139">
        <v>0</v>
      </c>
      <c r="AK770" s="139">
        <v>8</v>
      </c>
      <c r="AL770" s="139">
        <v>0</v>
      </c>
      <c r="AM770" s="139">
        <v>0</v>
      </c>
      <c r="AN770" s="133">
        <f t="shared" si="13"/>
        <v>8</v>
      </c>
      <c r="AO770" s="133" t="s">
        <v>188</v>
      </c>
      <c r="AS770" s="135"/>
      <c r="AT770" s="135"/>
      <c r="AU770" s="135"/>
      <c r="AV770" s="135"/>
    </row>
    <row r="771" spans="1:48" s="133" customFormat="1" x14ac:dyDescent="0.2">
      <c r="A771" s="133" t="s">
        <v>1780</v>
      </c>
      <c r="B771" s="133" t="s">
        <v>1781</v>
      </c>
      <c r="C771" s="133">
        <v>3</v>
      </c>
      <c r="D771" s="133">
        <v>1</v>
      </c>
      <c r="E771" s="133" t="s">
        <v>834</v>
      </c>
      <c r="F771" s="138">
        <v>43397</v>
      </c>
      <c r="G771" s="136" t="s">
        <v>4033</v>
      </c>
      <c r="H771" s="136" t="s">
        <v>4724</v>
      </c>
      <c r="I771" s="148">
        <v>1.1111111111111112E-2</v>
      </c>
      <c r="J771" s="174">
        <v>1.8518518518518518E-4</v>
      </c>
      <c r="K771" s="139">
        <v>16</v>
      </c>
      <c r="M771" s="133" t="s">
        <v>466</v>
      </c>
      <c r="N771" s="133" t="s">
        <v>1310</v>
      </c>
      <c r="O771" s="133" t="s">
        <v>23</v>
      </c>
      <c r="P771" s="133">
        <v>1</v>
      </c>
      <c r="R771" s="133">
        <v>0</v>
      </c>
      <c r="S771" s="133" t="s">
        <v>14</v>
      </c>
      <c r="T771" s="133" t="s">
        <v>2128</v>
      </c>
      <c r="U771" s="133" t="s">
        <v>973</v>
      </c>
      <c r="V771" s="133" t="s">
        <v>115</v>
      </c>
      <c r="W771" s="135" t="s">
        <v>115</v>
      </c>
      <c r="X771" s="135" t="s">
        <v>115</v>
      </c>
      <c r="Y771" s="135" t="s">
        <v>115</v>
      </c>
      <c r="Z771" s="135"/>
      <c r="AA771" s="135"/>
      <c r="AB771" s="133" t="s">
        <v>115</v>
      </c>
      <c r="AC771" s="134" t="s">
        <v>115</v>
      </c>
      <c r="AD771" s="134"/>
      <c r="AE771" s="135"/>
      <c r="AF771" s="135"/>
      <c r="AG771" s="135"/>
      <c r="AH771" s="139">
        <v>0</v>
      </c>
      <c r="AI771" s="139">
        <v>0</v>
      </c>
      <c r="AJ771" s="139">
        <v>0</v>
      </c>
      <c r="AK771" s="139">
        <v>0</v>
      </c>
      <c r="AL771" s="139">
        <v>0</v>
      </c>
      <c r="AM771" s="139">
        <v>0</v>
      </c>
      <c r="AN771" s="133">
        <f t="shared" si="13"/>
        <v>0</v>
      </c>
      <c r="AP771" s="133" t="s">
        <v>1092</v>
      </c>
      <c r="AS771" s="135"/>
      <c r="AT771" s="135"/>
      <c r="AU771" s="135"/>
      <c r="AV771" s="135"/>
    </row>
    <row r="772" spans="1:48" s="133" customFormat="1" x14ac:dyDescent="0.2">
      <c r="A772" s="133" t="s">
        <v>1782</v>
      </c>
      <c r="B772" s="133" t="s">
        <v>1783</v>
      </c>
      <c r="C772" s="133">
        <v>4</v>
      </c>
      <c r="D772" s="133">
        <v>1</v>
      </c>
      <c r="E772" s="133" t="s">
        <v>834</v>
      </c>
      <c r="F772" s="138">
        <v>43397</v>
      </c>
      <c r="G772" s="136" t="s">
        <v>4033</v>
      </c>
      <c r="H772" s="136" t="s">
        <v>4724</v>
      </c>
      <c r="I772" s="148">
        <v>2.0833333333333332E-2</v>
      </c>
      <c r="J772" s="174">
        <v>3.4722222222222224E-4</v>
      </c>
      <c r="K772" s="139">
        <v>30</v>
      </c>
      <c r="M772" s="133" t="s">
        <v>466</v>
      </c>
      <c r="N772" s="133" t="s">
        <v>102</v>
      </c>
      <c r="O772" s="133" t="s">
        <v>23</v>
      </c>
      <c r="P772" s="133" t="s">
        <v>1784</v>
      </c>
      <c r="R772" s="133">
        <v>0</v>
      </c>
      <c r="S772" s="133" t="s">
        <v>176</v>
      </c>
      <c r="T772" s="133" t="s">
        <v>176</v>
      </c>
      <c r="U772" s="133" t="s">
        <v>948</v>
      </c>
      <c r="V772" s="133" t="s">
        <v>115</v>
      </c>
      <c r="W772" s="135" t="s">
        <v>115</v>
      </c>
      <c r="X772" s="135" t="s">
        <v>115</v>
      </c>
      <c r="Y772" s="135" t="s">
        <v>115</v>
      </c>
      <c r="AB772" s="133" t="s">
        <v>115</v>
      </c>
      <c r="AC772" s="134" t="s">
        <v>115</v>
      </c>
      <c r="AD772" s="134"/>
      <c r="AH772" s="139">
        <v>11</v>
      </c>
      <c r="AI772" s="139">
        <v>9</v>
      </c>
      <c r="AJ772" s="139">
        <v>11</v>
      </c>
      <c r="AK772" s="139">
        <v>9</v>
      </c>
      <c r="AL772" s="139">
        <v>0</v>
      </c>
      <c r="AM772" s="139">
        <v>0</v>
      </c>
      <c r="AN772" s="133">
        <f t="shared" si="13"/>
        <v>20</v>
      </c>
      <c r="AP772" s="133" t="s">
        <v>5021</v>
      </c>
      <c r="AS772" s="135"/>
      <c r="AT772" s="135"/>
      <c r="AU772" s="135"/>
      <c r="AV772" s="135"/>
    </row>
    <row r="773" spans="1:48" s="133" customFormat="1" x14ac:dyDescent="0.2">
      <c r="A773" s="133" t="s">
        <v>1785</v>
      </c>
      <c r="B773" s="133" t="s">
        <v>1786</v>
      </c>
      <c r="C773" s="133">
        <v>5</v>
      </c>
      <c r="D773" s="133">
        <v>1</v>
      </c>
      <c r="E773" s="133" t="s">
        <v>834</v>
      </c>
      <c r="F773" s="138">
        <v>43397</v>
      </c>
      <c r="G773" s="136" t="s">
        <v>4033</v>
      </c>
      <c r="H773" s="136" t="s">
        <v>4724</v>
      </c>
      <c r="I773" s="148">
        <v>6.9444444444444441E-3</v>
      </c>
      <c r="J773" s="174">
        <v>1.1574074074074073E-4</v>
      </c>
      <c r="K773" s="139">
        <v>10</v>
      </c>
      <c r="M773" s="133" t="s">
        <v>466</v>
      </c>
      <c r="N773" s="133" t="s">
        <v>1310</v>
      </c>
      <c r="O773" s="133" t="s">
        <v>23</v>
      </c>
      <c r="P773" s="133">
        <v>1</v>
      </c>
      <c r="R773" s="133">
        <v>0</v>
      </c>
      <c r="S773" s="133" t="s">
        <v>14</v>
      </c>
      <c r="T773" s="133" t="s">
        <v>2128</v>
      </c>
      <c r="U773" s="133" t="s">
        <v>709</v>
      </c>
      <c r="V773" s="133" t="s">
        <v>115</v>
      </c>
      <c r="W773" s="135" t="s">
        <v>115</v>
      </c>
      <c r="X773" s="135" t="s">
        <v>115</v>
      </c>
      <c r="Y773" s="135" t="s">
        <v>115</v>
      </c>
      <c r="Z773" s="135"/>
      <c r="AA773" s="135"/>
      <c r="AB773" s="133" t="s">
        <v>115</v>
      </c>
      <c r="AC773" s="134" t="s">
        <v>115</v>
      </c>
      <c r="AD773" s="134"/>
      <c r="AE773" s="135"/>
      <c r="AF773" s="135"/>
      <c r="AG773" s="135"/>
      <c r="AH773" s="139">
        <v>6</v>
      </c>
      <c r="AI773" s="139">
        <v>2</v>
      </c>
      <c r="AJ773" s="139">
        <v>6</v>
      </c>
      <c r="AK773" s="139">
        <v>2</v>
      </c>
      <c r="AL773" s="139">
        <v>0</v>
      </c>
      <c r="AM773" s="139">
        <v>0</v>
      </c>
      <c r="AN773" s="133">
        <f t="shared" si="13"/>
        <v>8</v>
      </c>
      <c r="AS773" s="135"/>
      <c r="AT773" s="135"/>
      <c r="AU773" s="135"/>
      <c r="AV773" s="135"/>
    </row>
    <row r="774" spans="1:48" s="135" customFormat="1" x14ac:dyDescent="0.2">
      <c r="A774" s="135" t="s">
        <v>1790</v>
      </c>
      <c r="B774" s="135" t="s">
        <v>1789</v>
      </c>
      <c r="C774" s="135">
        <v>6</v>
      </c>
      <c r="D774" s="135">
        <v>1</v>
      </c>
      <c r="E774" s="135" t="s">
        <v>834</v>
      </c>
      <c r="F774" s="136">
        <v>43397</v>
      </c>
      <c r="G774" s="136" t="s">
        <v>4033</v>
      </c>
      <c r="H774" s="136" t="s">
        <v>4724</v>
      </c>
      <c r="I774" s="172">
        <v>3.888888888888889E-2</v>
      </c>
      <c r="J774" s="175">
        <v>6.4814814814814813E-4</v>
      </c>
      <c r="K774" s="143">
        <v>56</v>
      </c>
      <c r="M774" s="135" t="s">
        <v>466</v>
      </c>
      <c r="N774" s="135" t="s">
        <v>102</v>
      </c>
      <c r="O774" s="135" t="s">
        <v>23</v>
      </c>
      <c r="P774" s="135">
        <v>1</v>
      </c>
      <c r="R774" s="135">
        <v>0</v>
      </c>
      <c r="S774" s="133" t="s">
        <v>176</v>
      </c>
      <c r="T774" s="135" t="s">
        <v>176</v>
      </c>
      <c r="U774" s="135" t="s">
        <v>2100</v>
      </c>
      <c r="V774" s="135" t="s">
        <v>115</v>
      </c>
      <c r="W774" s="135" t="s">
        <v>115</v>
      </c>
      <c r="X774" s="135" t="s">
        <v>115</v>
      </c>
      <c r="Y774" s="135" t="s">
        <v>115</v>
      </c>
      <c r="Z774" s="133"/>
      <c r="AA774" s="133"/>
      <c r="AB774" s="135" t="s">
        <v>115</v>
      </c>
      <c r="AC774" s="137" t="s">
        <v>115</v>
      </c>
      <c r="AD774" s="137"/>
      <c r="AE774" s="133"/>
      <c r="AF774" s="133"/>
      <c r="AG774" s="133"/>
      <c r="AH774" s="143">
        <v>0</v>
      </c>
      <c r="AI774" s="143">
        <v>0</v>
      </c>
      <c r="AJ774" s="143">
        <v>0</v>
      </c>
      <c r="AK774" s="143">
        <v>0</v>
      </c>
      <c r="AL774" s="143">
        <v>28</v>
      </c>
      <c r="AM774" s="143">
        <v>0</v>
      </c>
      <c r="AN774" s="135">
        <f t="shared" si="13"/>
        <v>28</v>
      </c>
    </row>
    <row r="775" spans="1:48" s="133" customFormat="1" x14ac:dyDescent="0.2">
      <c r="A775" s="133" t="s">
        <v>1790</v>
      </c>
      <c r="B775" s="133" t="s">
        <v>1789</v>
      </c>
      <c r="C775" s="133">
        <v>6</v>
      </c>
      <c r="D775" s="133">
        <v>2</v>
      </c>
      <c r="E775" s="133" t="s">
        <v>834</v>
      </c>
      <c r="F775" s="138">
        <v>43397</v>
      </c>
      <c r="G775" s="136" t="s">
        <v>4033</v>
      </c>
      <c r="H775" s="136" t="s">
        <v>4724</v>
      </c>
      <c r="I775" s="148">
        <v>3.888888888888889E-2</v>
      </c>
      <c r="J775" s="174">
        <v>6.4814814814814813E-4</v>
      </c>
      <c r="K775" s="139">
        <v>56</v>
      </c>
      <c r="M775" s="133" t="s">
        <v>466</v>
      </c>
      <c r="N775" s="133" t="s">
        <v>102</v>
      </c>
      <c r="O775" s="133" t="s">
        <v>23</v>
      </c>
      <c r="P775" s="133">
        <v>1</v>
      </c>
      <c r="R775" s="133">
        <v>0</v>
      </c>
      <c r="S775" s="133" t="s">
        <v>176</v>
      </c>
      <c r="T775" s="133" t="s">
        <v>176</v>
      </c>
      <c r="U775" s="133" t="s">
        <v>122</v>
      </c>
      <c r="V775" s="133" t="s">
        <v>115</v>
      </c>
      <c r="W775" s="135" t="s">
        <v>115</v>
      </c>
      <c r="X775" s="135" t="s">
        <v>115</v>
      </c>
      <c r="Y775" s="135" t="s">
        <v>115</v>
      </c>
      <c r="AB775" s="133" t="s">
        <v>115</v>
      </c>
      <c r="AC775" s="134" t="s">
        <v>115</v>
      </c>
      <c r="AD775" s="134"/>
      <c r="AH775" s="139">
        <v>0</v>
      </c>
      <c r="AI775" s="139">
        <v>0</v>
      </c>
      <c r="AJ775" s="139">
        <v>0</v>
      </c>
      <c r="AK775" s="139">
        <v>0</v>
      </c>
      <c r="AL775" s="139">
        <v>0</v>
      </c>
      <c r="AM775" s="139">
        <v>0</v>
      </c>
      <c r="AN775" s="133">
        <f t="shared" si="13"/>
        <v>0</v>
      </c>
      <c r="AS775" s="135"/>
      <c r="AT775" s="135"/>
      <c r="AU775" s="135"/>
      <c r="AV775" s="135"/>
    </row>
    <row r="776" spans="1:48" s="135" customFormat="1" x14ac:dyDescent="0.2">
      <c r="A776" s="133" t="s">
        <v>1791</v>
      </c>
      <c r="B776" s="133" t="s">
        <v>1792</v>
      </c>
      <c r="C776" s="133">
        <v>7</v>
      </c>
      <c r="D776" s="133">
        <v>1</v>
      </c>
      <c r="E776" s="133" t="s">
        <v>834</v>
      </c>
      <c r="F776" s="138">
        <v>43397</v>
      </c>
      <c r="G776" s="136" t="s">
        <v>4033</v>
      </c>
      <c r="H776" s="136" t="s">
        <v>4724</v>
      </c>
      <c r="I776" s="148">
        <v>2.2916666666666669E-2</v>
      </c>
      <c r="J776" s="174">
        <v>3.8194444444444446E-4</v>
      </c>
      <c r="K776" s="139">
        <v>33</v>
      </c>
      <c r="L776" s="133"/>
      <c r="M776" s="133" t="s">
        <v>466</v>
      </c>
      <c r="N776" s="133" t="s">
        <v>102</v>
      </c>
      <c r="O776" s="133" t="s">
        <v>23</v>
      </c>
      <c r="P776" s="133">
        <v>0</v>
      </c>
      <c r="Q776" s="133"/>
      <c r="R776" s="133">
        <v>0</v>
      </c>
      <c r="S776" s="133"/>
      <c r="T776" s="133" t="s">
        <v>115</v>
      </c>
      <c r="U776" s="133" t="s">
        <v>115</v>
      </c>
      <c r="V776" s="133" t="s">
        <v>115</v>
      </c>
      <c r="W776" s="135" t="s">
        <v>115</v>
      </c>
      <c r="X776" s="135" t="s">
        <v>115</v>
      </c>
      <c r="Y776" s="135" t="s">
        <v>115</v>
      </c>
      <c r="Z776" s="133"/>
      <c r="AA776" s="133"/>
      <c r="AB776" s="133" t="s">
        <v>115</v>
      </c>
      <c r="AC776" s="134" t="s">
        <v>115</v>
      </c>
      <c r="AD776" s="134"/>
      <c r="AE776" s="133"/>
      <c r="AF776" s="133"/>
      <c r="AG776" s="133"/>
      <c r="AH776" s="139">
        <v>0</v>
      </c>
      <c r="AI776" s="139">
        <v>33</v>
      </c>
      <c r="AJ776" s="139">
        <v>0</v>
      </c>
      <c r="AK776" s="139">
        <v>33</v>
      </c>
      <c r="AL776" s="139">
        <v>0</v>
      </c>
      <c r="AM776" s="139">
        <v>0</v>
      </c>
      <c r="AN776" s="133">
        <f t="shared" si="13"/>
        <v>33</v>
      </c>
      <c r="AO776" s="133" t="s">
        <v>188</v>
      </c>
      <c r="AP776" s="133"/>
      <c r="AQ776" s="133"/>
      <c r="AR776" s="133"/>
    </row>
    <row r="777" spans="1:48" s="135" customFormat="1" x14ac:dyDescent="0.2">
      <c r="A777" s="133" t="s">
        <v>1299</v>
      </c>
      <c r="B777" s="133" t="s">
        <v>1300</v>
      </c>
      <c r="C777" s="133">
        <v>1</v>
      </c>
      <c r="D777" s="133">
        <v>1</v>
      </c>
      <c r="E777" s="133" t="s">
        <v>2462</v>
      </c>
      <c r="F777" s="138">
        <v>43385</v>
      </c>
      <c r="G777" s="136" t="s">
        <v>4033</v>
      </c>
      <c r="H777" s="136" t="s">
        <v>4724</v>
      </c>
      <c r="I777" s="148">
        <v>1.1805555555555555E-2</v>
      </c>
      <c r="J777" s="174">
        <v>1.9675925925925926E-4</v>
      </c>
      <c r="K777" s="139">
        <v>17</v>
      </c>
      <c r="L777" s="133" t="s">
        <v>398</v>
      </c>
      <c r="M777" s="133" t="s">
        <v>363</v>
      </c>
      <c r="N777" s="133" t="s">
        <v>111</v>
      </c>
      <c r="O777" s="133" t="s">
        <v>23</v>
      </c>
      <c r="P777" s="133">
        <v>0</v>
      </c>
      <c r="Q777" s="133"/>
      <c r="R777" s="133">
        <v>1</v>
      </c>
      <c r="S777" s="133" t="s">
        <v>176</v>
      </c>
      <c r="T777" s="133" t="s">
        <v>176</v>
      </c>
      <c r="U777" s="133" t="s">
        <v>24</v>
      </c>
      <c r="V777" s="133" t="s">
        <v>709</v>
      </c>
      <c r="W777" s="135" t="s">
        <v>23</v>
      </c>
      <c r="X777" s="135" t="s">
        <v>4004</v>
      </c>
      <c r="Y777" s="135" t="s">
        <v>4005</v>
      </c>
      <c r="AB777" s="133" t="s">
        <v>24</v>
      </c>
      <c r="AC777" s="134">
        <v>63.733600000000003</v>
      </c>
      <c r="AD777" s="134">
        <v>148.89886000000001</v>
      </c>
      <c r="AH777" s="139">
        <v>0</v>
      </c>
      <c r="AI777" s="139">
        <v>0</v>
      </c>
      <c r="AJ777" s="139">
        <v>0</v>
      </c>
      <c r="AK777" s="139">
        <v>0</v>
      </c>
      <c r="AL777" s="139">
        <v>0</v>
      </c>
      <c r="AM777" s="133">
        <v>0</v>
      </c>
      <c r="AN777" s="133">
        <f t="shared" si="13"/>
        <v>0</v>
      </c>
      <c r="AO777" s="133"/>
      <c r="AP777" s="133"/>
      <c r="AQ777" s="133"/>
      <c r="AR777" s="133"/>
      <c r="AS777" s="133"/>
      <c r="AT777" s="133"/>
      <c r="AU777" s="133"/>
      <c r="AV777" s="133"/>
    </row>
    <row r="778" spans="1:48" s="135" customFormat="1" x14ac:dyDescent="0.2">
      <c r="A778" s="135" t="s">
        <v>1301</v>
      </c>
      <c r="B778" s="135" t="s">
        <v>1302</v>
      </c>
      <c r="C778" s="135">
        <v>2</v>
      </c>
      <c r="D778" s="135">
        <v>1</v>
      </c>
      <c r="E778" s="135" t="s">
        <v>2462</v>
      </c>
      <c r="F778" s="136">
        <v>43385</v>
      </c>
      <c r="G778" s="136" t="s">
        <v>4033</v>
      </c>
      <c r="H778" s="136" t="s">
        <v>4724</v>
      </c>
      <c r="I778" s="172">
        <v>1.1805555555555555E-2</v>
      </c>
      <c r="J778" s="175">
        <v>1.9675925925925926E-4</v>
      </c>
      <c r="K778" s="143">
        <v>17</v>
      </c>
      <c r="L778" s="135" t="s">
        <v>398</v>
      </c>
      <c r="M778" s="135" t="s">
        <v>363</v>
      </c>
      <c r="N778" s="135" t="s">
        <v>102</v>
      </c>
      <c r="O778" s="135" t="s">
        <v>115</v>
      </c>
      <c r="P778" s="135">
        <v>1</v>
      </c>
      <c r="R778" s="135">
        <v>0</v>
      </c>
      <c r="S778" s="133" t="s">
        <v>14</v>
      </c>
      <c r="T778" s="135" t="s">
        <v>2128</v>
      </c>
      <c r="U778" s="135" t="s">
        <v>122</v>
      </c>
      <c r="V778" s="135" t="s">
        <v>115</v>
      </c>
      <c r="W778" s="135" t="s">
        <v>115</v>
      </c>
      <c r="X778" s="135" t="s">
        <v>115</v>
      </c>
      <c r="Y778" s="135" t="s">
        <v>115</v>
      </c>
      <c r="Z778" s="133"/>
      <c r="AA778" s="133"/>
      <c r="AB778" s="135" t="s">
        <v>115</v>
      </c>
      <c r="AC778" s="137" t="s">
        <v>115</v>
      </c>
      <c r="AD778" s="137"/>
      <c r="AE778" s="133"/>
      <c r="AF778" s="133"/>
      <c r="AG778" s="133"/>
      <c r="AH778" s="143">
        <v>0</v>
      </c>
      <c r="AI778" s="143">
        <v>0</v>
      </c>
      <c r="AJ778" s="143">
        <v>0</v>
      </c>
      <c r="AK778" s="143">
        <v>0</v>
      </c>
      <c r="AL778" s="143">
        <v>13</v>
      </c>
      <c r="AM778" s="135">
        <v>0</v>
      </c>
      <c r="AN778" s="135">
        <f t="shared" si="13"/>
        <v>13</v>
      </c>
    </row>
    <row r="779" spans="1:48" s="133" customFormat="1" x14ac:dyDescent="0.2">
      <c r="A779" s="133" t="s">
        <v>1303</v>
      </c>
      <c r="B779" s="133" t="s">
        <v>1304</v>
      </c>
      <c r="C779" s="133">
        <v>3</v>
      </c>
      <c r="D779" s="133">
        <v>1</v>
      </c>
      <c r="E779" s="133" t="s">
        <v>2462</v>
      </c>
      <c r="F779" s="138">
        <v>43385</v>
      </c>
      <c r="G779" s="136" t="s">
        <v>4033</v>
      </c>
      <c r="H779" s="136" t="s">
        <v>4724</v>
      </c>
      <c r="I779" s="148">
        <v>2.7777777777777776E-2</v>
      </c>
      <c r="J779" s="174">
        <v>4.6296296296296293E-4</v>
      </c>
      <c r="K779" s="139">
        <v>40</v>
      </c>
      <c r="L779" s="133" t="s">
        <v>398</v>
      </c>
      <c r="M779" s="133" t="s">
        <v>363</v>
      </c>
      <c r="N779" s="133" t="s">
        <v>111</v>
      </c>
      <c r="O779" s="133" t="s">
        <v>23</v>
      </c>
      <c r="P779" s="133">
        <v>0</v>
      </c>
      <c r="R779" s="133">
        <v>2</v>
      </c>
      <c r="S779" s="133" t="s">
        <v>14</v>
      </c>
      <c r="T779" s="133" t="s">
        <v>2128</v>
      </c>
      <c r="U779" s="133" t="s">
        <v>122</v>
      </c>
      <c r="V779" s="133" t="s">
        <v>333</v>
      </c>
      <c r="W779" s="140" t="s">
        <v>23</v>
      </c>
      <c r="X779" s="140" t="s">
        <v>3999</v>
      </c>
      <c r="Y779" s="140" t="s">
        <v>4006</v>
      </c>
      <c r="Z779" s="135"/>
      <c r="AA779" s="135"/>
      <c r="AB779" s="133">
        <v>4</v>
      </c>
      <c r="AC779" s="134">
        <v>63.732779999999998</v>
      </c>
      <c r="AD779" s="134">
        <v>148.89912000000001</v>
      </c>
      <c r="AE779" s="135"/>
      <c r="AF779" s="135"/>
      <c r="AG779" s="135"/>
      <c r="AH779" s="139">
        <v>0</v>
      </c>
      <c r="AI779" s="139">
        <v>0</v>
      </c>
      <c r="AJ779" s="139">
        <v>0</v>
      </c>
      <c r="AK779" s="139">
        <v>0</v>
      </c>
      <c r="AL779" s="139">
        <v>0</v>
      </c>
      <c r="AM779" s="133">
        <v>0</v>
      </c>
      <c r="AN779" s="133">
        <f t="shared" si="13"/>
        <v>0</v>
      </c>
    </row>
    <row r="780" spans="1:48" s="135" customFormat="1" x14ac:dyDescent="0.2">
      <c r="A780" s="133" t="s">
        <v>1303</v>
      </c>
      <c r="B780" s="133" t="s">
        <v>1304</v>
      </c>
      <c r="C780" s="133">
        <v>3</v>
      </c>
      <c r="D780" s="133">
        <v>2</v>
      </c>
      <c r="E780" s="133" t="s">
        <v>2462</v>
      </c>
      <c r="F780" s="138">
        <v>43385</v>
      </c>
      <c r="G780" s="136" t="s">
        <v>4033</v>
      </c>
      <c r="H780" s="136" t="s">
        <v>4724</v>
      </c>
      <c r="I780" s="148">
        <v>2.7777777777777776E-2</v>
      </c>
      <c r="J780" s="174">
        <v>4.6296296296296293E-4</v>
      </c>
      <c r="K780" s="139">
        <v>40</v>
      </c>
      <c r="L780" s="133" t="s">
        <v>398</v>
      </c>
      <c r="M780" s="133" t="s">
        <v>363</v>
      </c>
      <c r="N780" s="133" t="s">
        <v>111</v>
      </c>
      <c r="O780" s="133" t="s">
        <v>23</v>
      </c>
      <c r="P780" s="133">
        <v>0</v>
      </c>
      <c r="Q780" s="133"/>
      <c r="R780" s="133">
        <v>1</v>
      </c>
      <c r="S780" s="133" t="s">
        <v>14</v>
      </c>
      <c r="T780" s="133" t="s">
        <v>2128</v>
      </c>
      <c r="U780" s="133" t="s">
        <v>122</v>
      </c>
      <c r="V780" s="133" t="s">
        <v>2087</v>
      </c>
      <c r="W780" s="135" t="s">
        <v>23</v>
      </c>
      <c r="X780" s="135" t="s">
        <v>3997</v>
      </c>
      <c r="Y780" s="135" t="s">
        <v>4006</v>
      </c>
      <c r="Z780" s="133"/>
      <c r="AA780" s="133"/>
      <c r="AB780" s="133">
        <v>11</v>
      </c>
      <c r="AC780" s="134">
        <v>63.732810000000001</v>
      </c>
      <c r="AD780" s="134">
        <v>148.89922999999999</v>
      </c>
      <c r="AE780" s="133"/>
      <c r="AF780" s="133"/>
      <c r="AG780" s="133"/>
      <c r="AH780" s="139">
        <v>0</v>
      </c>
      <c r="AI780" s="139">
        <v>0</v>
      </c>
      <c r="AJ780" s="139">
        <v>0</v>
      </c>
      <c r="AK780" s="139">
        <v>0</v>
      </c>
      <c r="AL780" s="139">
        <v>0</v>
      </c>
      <c r="AM780" s="133">
        <v>0</v>
      </c>
      <c r="AN780" s="133">
        <f t="shared" si="13"/>
        <v>0</v>
      </c>
      <c r="AO780" s="133"/>
      <c r="AP780" s="133"/>
      <c r="AQ780" s="133"/>
      <c r="AR780" s="133"/>
      <c r="AU780" s="135" t="s">
        <v>3946</v>
      </c>
    </row>
    <row r="781" spans="1:48" s="135" customFormat="1" x14ac:dyDescent="0.2">
      <c r="A781" s="133" t="s">
        <v>1305</v>
      </c>
      <c r="B781" s="133" t="s">
        <v>1306</v>
      </c>
      <c r="C781" s="133">
        <v>4</v>
      </c>
      <c r="D781" s="133">
        <v>1</v>
      </c>
      <c r="E781" s="133" t="s">
        <v>2462</v>
      </c>
      <c r="F781" s="138">
        <v>43385</v>
      </c>
      <c r="G781" s="136" t="s">
        <v>4033</v>
      </c>
      <c r="H781" s="136" t="s">
        <v>4724</v>
      </c>
      <c r="I781" s="148">
        <v>2.2916666666666669E-2</v>
      </c>
      <c r="J781" s="174">
        <v>3.8194444444444446E-4</v>
      </c>
      <c r="K781" s="139">
        <v>33</v>
      </c>
      <c r="L781" s="133" t="s">
        <v>398</v>
      </c>
      <c r="M781" s="133" t="s">
        <v>363</v>
      </c>
      <c r="N781" s="133" t="s">
        <v>111</v>
      </c>
      <c r="O781" s="133" t="s">
        <v>1307</v>
      </c>
      <c r="P781" s="133">
        <v>0</v>
      </c>
      <c r="Q781" s="133"/>
      <c r="R781" s="133">
        <v>1</v>
      </c>
      <c r="S781" s="133" t="s">
        <v>14</v>
      </c>
      <c r="T781" s="133" t="s">
        <v>2128</v>
      </c>
      <c r="U781" s="133" t="s">
        <v>122</v>
      </c>
      <c r="V781" s="133" t="s">
        <v>2063</v>
      </c>
      <c r="W781" s="135" t="s">
        <v>12</v>
      </c>
      <c r="X781" s="135" t="s">
        <v>3997</v>
      </c>
      <c r="Y781" s="135" t="s">
        <v>4008</v>
      </c>
      <c r="Z781" s="133"/>
      <c r="AA781" s="133"/>
      <c r="AB781" s="133">
        <v>35</v>
      </c>
      <c r="AC781" s="134">
        <v>63.73254</v>
      </c>
      <c r="AD781" s="134">
        <v>148.89954</v>
      </c>
      <c r="AE781" s="133"/>
      <c r="AF781" s="133"/>
      <c r="AG781" s="133"/>
      <c r="AH781" s="139">
        <v>0</v>
      </c>
      <c r="AI781" s="139">
        <v>0</v>
      </c>
      <c r="AJ781" s="139">
        <v>0</v>
      </c>
      <c r="AK781" s="139">
        <v>0</v>
      </c>
      <c r="AL781" s="139">
        <v>0</v>
      </c>
      <c r="AM781" s="133">
        <v>0</v>
      </c>
      <c r="AN781" s="133">
        <f t="shared" si="13"/>
        <v>0</v>
      </c>
      <c r="AO781" s="133"/>
      <c r="AP781" s="133"/>
      <c r="AQ781" s="133"/>
      <c r="AR781" s="133"/>
    </row>
    <row r="782" spans="1:48" s="133" customFormat="1" x14ac:dyDescent="0.2">
      <c r="A782" s="133" t="s">
        <v>1305</v>
      </c>
      <c r="B782" s="133" t="s">
        <v>1306</v>
      </c>
      <c r="C782" s="133">
        <v>4</v>
      </c>
      <c r="D782" s="133">
        <v>2</v>
      </c>
      <c r="E782" s="133" t="s">
        <v>2462</v>
      </c>
      <c r="F782" s="138">
        <v>43385</v>
      </c>
      <c r="G782" s="136" t="s">
        <v>4033</v>
      </c>
      <c r="H782" s="136" t="s">
        <v>4724</v>
      </c>
      <c r="I782" s="148">
        <v>2.2916666666666669E-2</v>
      </c>
      <c r="J782" s="174">
        <v>3.8194444444444446E-4</v>
      </c>
      <c r="K782" s="139">
        <v>33</v>
      </c>
      <c r="L782" s="133" t="s">
        <v>398</v>
      </c>
      <c r="M782" s="133" t="s">
        <v>363</v>
      </c>
      <c r="N782" s="133" t="s">
        <v>111</v>
      </c>
      <c r="O782" s="133" t="s">
        <v>1307</v>
      </c>
      <c r="P782" s="133">
        <v>0</v>
      </c>
      <c r="R782" s="133">
        <v>1</v>
      </c>
      <c r="S782" s="133" t="s">
        <v>14</v>
      </c>
      <c r="T782" s="133" t="s">
        <v>2128</v>
      </c>
      <c r="U782" s="133" t="s">
        <v>122</v>
      </c>
      <c r="V782" s="133" t="s">
        <v>2088</v>
      </c>
      <c r="W782" s="135" t="s">
        <v>23</v>
      </c>
      <c r="X782" s="135" t="s">
        <v>3997</v>
      </c>
      <c r="Y782" s="135" t="s">
        <v>4002</v>
      </c>
      <c r="AB782" s="133">
        <v>45</v>
      </c>
      <c r="AC782" s="134">
        <v>63.73245</v>
      </c>
      <c r="AD782" s="134">
        <v>148.89957000000001</v>
      </c>
      <c r="AH782" s="139">
        <v>0</v>
      </c>
      <c r="AI782" s="139">
        <v>0</v>
      </c>
      <c r="AJ782" s="139">
        <v>0</v>
      </c>
      <c r="AK782" s="139">
        <v>0</v>
      </c>
      <c r="AL782" s="139">
        <v>0</v>
      </c>
      <c r="AM782" s="133">
        <v>0</v>
      </c>
      <c r="AN782" s="133">
        <f t="shared" si="13"/>
        <v>0</v>
      </c>
    </row>
    <row r="783" spans="1:48" s="133" customFormat="1" x14ac:dyDescent="0.2">
      <c r="A783" s="133" t="s">
        <v>1311</v>
      </c>
      <c r="B783" s="133" t="s">
        <v>1312</v>
      </c>
      <c r="C783" s="133">
        <v>6</v>
      </c>
      <c r="D783" s="133">
        <v>1</v>
      </c>
      <c r="E783" s="133" t="s">
        <v>2462</v>
      </c>
      <c r="F783" s="138">
        <v>43385</v>
      </c>
      <c r="G783" s="136" t="s">
        <v>4033</v>
      </c>
      <c r="H783" s="136" t="s">
        <v>4724</v>
      </c>
      <c r="I783" s="148">
        <v>2.013888888888889E-2</v>
      </c>
      <c r="J783" s="174">
        <v>3.3564814814814812E-4</v>
      </c>
      <c r="K783" s="139">
        <v>29</v>
      </c>
      <c r="L783" s="133" t="s">
        <v>398</v>
      </c>
      <c r="M783" s="133" t="s">
        <v>363</v>
      </c>
      <c r="N783" s="133" t="s">
        <v>102</v>
      </c>
      <c r="O783" s="133" t="s">
        <v>12</v>
      </c>
      <c r="P783" s="133">
        <v>0</v>
      </c>
      <c r="R783" s="133">
        <v>0</v>
      </c>
      <c r="T783" s="133" t="s">
        <v>115</v>
      </c>
      <c r="U783" s="133" t="s">
        <v>115</v>
      </c>
      <c r="V783" s="133" t="s">
        <v>115</v>
      </c>
      <c r="W783" s="135" t="s">
        <v>115</v>
      </c>
      <c r="X783" s="135" t="s">
        <v>115</v>
      </c>
      <c r="Y783" s="135" t="s">
        <v>115</v>
      </c>
      <c r="AB783" s="133" t="s">
        <v>115</v>
      </c>
      <c r="AC783" s="134" t="s">
        <v>115</v>
      </c>
      <c r="AD783" s="134"/>
      <c r="AH783" s="139">
        <v>7</v>
      </c>
      <c r="AI783" s="139">
        <v>7</v>
      </c>
      <c r="AJ783" s="139">
        <v>0</v>
      </c>
      <c r="AK783" s="139">
        <f>14</f>
        <v>14</v>
      </c>
      <c r="AL783" s="139">
        <v>0</v>
      </c>
      <c r="AM783" s="133">
        <v>0</v>
      </c>
      <c r="AN783" s="133">
        <f t="shared" si="13"/>
        <v>14</v>
      </c>
      <c r="AO783" s="133" t="s">
        <v>375</v>
      </c>
      <c r="AQ783" s="133">
        <v>1</v>
      </c>
      <c r="AR783" s="133">
        <v>0</v>
      </c>
      <c r="AS783" s="135"/>
      <c r="AT783" s="135"/>
      <c r="AU783" s="135"/>
      <c r="AV783" s="135"/>
    </row>
    <row r="784" spans="1:48" s="135" customFormat="1" x14ac:dyDescent="0.2">
      <c r="A784" s="135" t="s">
        <v>1322</v>
      </c>
      <c r="B784" s="135" t="s">
        <v>1324</v>
      </c>
      <c r="C784" s="135">
        <v>9</v>
      </c>
      <c r="D784" s="135">
        <v>1</v>
      </c>
      <c r="E784" s="135" t="s">
        <v>2462</v>
      </c>
      <c r="F784" s="136">
        <v>43385</v>
      </c>
      <c r="G784" s="136" t="s">
        <v>4033</v>
      </c>
      <c r="H784" s="136" t="s">
        <v>4724</v>
      </c>
      <c r="I784" s="172">
        <v>4.8611111111111112E-3</v>
      </c>
      <c r="J784" s="175">
        <v>8.1018518518518516E-5</v>
      </c>
      <c r="K784" s="143">
        <v>7</v>
      </c>
      <c r="L784" s="135" t="s">
        <v>398</v>
      </c>
      <c r="M784" s="135" t="s">
        <v>363</v>
      </c>
      <c r="N784" s="135" t="s">
        <v>102</v>
      </c>
      <c r="O784" s="135" t="s">
        <v>115</v>
      </c>
      <c r="P784" s="135">
        <v>1</v>
      </c>
      <c r="R784" s="135">
        <v>0</v>
      </c>
      <c r="S784" s="133" t="s">
        <v>14</v>
      </c>
      <c r="T784" s="135" t="s">
        <v>2129</v>
      </c>
      <c r="U784" s="135" t="s">
        <v>122</v>
      </c>
      <c r="V784" s="135" t="s">
        <v>115</v>
      </c>
      <c r="W784" s="135" t="s">
        <v>115</v>
      </c>
      <c r="X784" s="135" t="s">
        <v>115</v>
      </c>
      <c r="Y784" s="135" t="s">
        <v>115</v>
      </c>
      <c r="Z784" s="133"/>
      <c r="AA784" s="133"/>
      <c r="AB784" s="135" t="s">
        <v>115</v>
      </c>
      <c r="AC784" s="137" t="s">
        <v>115</v>
      </c>
      <c r="AD784" s="137"/>
      <c r="AE784" s="133"/>
      <c r="AF784" s="133"/>
      <c r="AG784" s="133"/>
      <c r="AH784" s="143">
        <v>0</v>
      </c>
      <c r="AI784" s="143">
        <v>0</v>
      </c>
      <c r="AJ784" s="143">
        <v>0</v>
      </c>
      <c r="AK784" s="143">
        <v>0</v>
      </c>
      <c r="AL784" s="143">
        <v>5</v>
      </c>
      <c r="AM784" s="135">
        <v>0</v>
      </c>
      <c r="AN784" s="135">
        <f t="shared" si="13"/>
        <v>5</v>
      </c>
      <c r="AS784" s="133"/>
      <c r="AT784" s="133"/>
      <c r="AU784" s="133"/>
      <c r="AV784" s="133"/>
    </row>
    <row r="785" spans="1:48" s="133" customFormat="1" x14ac:dyDescent="0.2">
      <c r="A785" s="133" t="s">
        <v>1607</v>
      </c>
      <c r="B785" s="133" t="s">
        <v>1608</v>
      </c>
      <c r="C785" s="133">
        <v>3</v>
      </c>
      <c r="D785" s="133">
        <v>1</v>
      </c>
      <c r="E785" s="133" t="s">
        <v>2462</v>
      </c>
      <c r="F785" s="138">
        <v>43392</v>
      </c>
      <c r="G785" s="136" t="s">
        <v>4033</v>
      </c>
      <c r="H785" s="136" t="s">
        <v>4724</v>
      </c>
      <c r="I785" s="148">
        <v>3.9583333333333331E-2</v>
      </c>
      <c r="J785" s="174">
        <v>6.5972222222222213E-4</v>
      </c>
      <c r="K785" s="139">
        <v>57</v>
      </c>
      <c r="M785" s="133" t="s">
        <v>363</v>
      </c>
      <c r="N785" s="133" t="s">
        <v>102</v>
      </c>
      <c r="O785" s="133" t="s">
        <v>12</v>
      </c>
      <c r="P785" s="133">
        <v>4</v>
      </c>
      <c r="R785" s="133">
        <v>0</v>
      </c>
      <c r="S785" s="133" t="s">
        <v>176</v>
      </c>
      <c r="T785" s="133" t="s">
        <v>176</v>
      </c>
      <c r="U785" s="133" t="s">
        <v>3979</v>
      </c>
      <c r="V785" s="133" t="s">
        <v>115</v>
      </c>
      <c r="W785" s="135" t="s">
        <v>115</v>
      </c>
      <c r="X785" s="135" t="s">
        <v>115</v>
      </c>
      <c r="Y785" s="135" t="s">
        <v>115</v>
      </c>
      <c r="Z785" s="135"/>
      <c r="AA785" s="135"/>
      <c r="AB785" s="133" t="s">
        <v>115</v>
      </c>
      <c r="AC785" s="134" t="s">
        <v>115</v>
      </c>
      <c r="AD785" s="134"/>
      <c r="AE785" s="135"/>
      <c r="AF785" s="135"/>
      <c r="AG785" s="135"/>
      <c r="AH785" s="139">
        <v>57</v>
      </c>
      <c r="AI785" s="139">
        <v>0</v>
      </c>
      <c r="AJ785" s="139">
        <v>0</v>
      </c>
      <c r="AK785" s="139">
        <v>57</v>
      </c>
      <c r="AL785" s="139">
        <v>0</v>
      </c>
      <c r="AM785" s="133">
        <v>0</v>
      </c>
      <c r="AN785" s="133">
        <f t="shared" si="13"/>
        <v>57</v>
      </c>
      <c r="AO785" s="133" t="s">
        <v>123</v>
      </c>
      <c r="AS785" s="135"/>
      <c r="AT785" s="135"/>
      <c r="AU785" s="135"/>
      <c r="AV785" s="135"/>
    </row>
    <row r="786" spans="1:48" s="135" customFormat="1" x14ac:dyDescent="0.2">
      <c r="A786" s="133" t="s">
        <v>1616</v>
      </c>
      <c r="B786" s="133" t="s">
        <v>1617</v>
      </c>
      <c r="C786" s="133">
        <v>7</v>
      </c>
      <c r="D786" s="133">
        <v>1</v>
      </c>
      <c r="E786" s="133" t="s">
        <v>2462</v>
      </c>
      <c r="F786" s="138">
        <v>43392</v>
      </c>
      <c r="G786" s="136" t="s">
        <v>4033</v>
      </c>
      <c r="H786" s="136" t="s">
        <v>4724</v>
      </c>
      <c r="I786" s="148">
        <v>1.8055555555555557E-2</v>
      </c>
      <c r="J786" s="174">
        <v>3.0092592592592595E-4</v>
      </c>
      <c r="K786" s="139">
        <v>26</v>
      </c>
      <c r="L786" s="133"/>
      <c r="M786" s="133" t="s">
        <v>363</v>
      </c>
      <c r="N786" s="133" t="s">
        <v>102</v>
      </c>
      <c r="O786" s="133" t="s">
        <v>115</v>
      </c>
      <c r="P786" s="133">
        <v>1</v>
      </c>
      <c r="Q786" s="133"/>
      <c r="R786" s="133">
        <v>0</v>
      </c>
      <c r="S786" s="133" t="s">
        <v>1618</v>
      </c>
      <c r="T786" s="133" t="s">
        <v>1618</v>
      </c>
      <c r="U786" s="133" t="s">
        <v>1619</v>
      </c>
      <c r="V786" s="133" t="s">
        <v>115</v>
      </c>
      <c r="W786" s="135" t="s">
        <v>115</v>
      </c>
      <c r="X786" s="135" t="s">
        <v>115</v>
      </c>
      <c r="Y786" s="135" t="s">
        <v>115</v>
      </c>
      <c r="Z786" s="133"/>
      <c r="AA786" s="133"/>
      <c r="AB786" s="133" t="s">
        <v>115</v>
      </c>
      <c r="AC786" s="134" t="s">
        <v>115</v>
      </c>
      <c r="AD786" s="134"/>
      <c r="AE786" s="133"/>
      <c r="AF786" s="133"/>
      <c r="AG786" s="133"/>
      <c r="AH786" s="139">
        <v>0</v>
      </c>
      <c r="AI786" s="139">
        <v>0</v>
      </c>
      <c r="AJ786" s="139">
        <v>0</v>
      </c>
      <c r="AK786" s="139">
        <v>0</v>
      </c>
      <c r="AL786" s="139">
        <v>0</v>
      </c>
      <c r="AM786" s="139">
        <v>22</v>
      </c>
      <c r="AN786" s="133">
        <f t="shared" si="13"/>
        <v>22</v>
      </c>
      <c r="AO786" s="133"/>
      <c r="AP786" s="133" t="s">
        <v>1620</v>
      </c>
      <c r="AQ786" s="133"/>
      <c r="AR786" s="133"/>
    </row>
    <row r="787" spans="1:48" s="135" customFormat="1" x14ac:dyDescent="0.2">
      <c r="A787" s="133" t="s">
        <v>1621</v>
      </c>
      <c r="B787" s="133" t="s">
        <v>1622</v>
      </c>
      <c r="C787" s="133">
        <v>8</v>
      </c>
      <c r="D787" s="133">
        <v>1</v>
      </c>
      <c r="E787" s="133" t="s">
        <v>2462</v>
      </c>
      <c r="F787" s="138">
        <v>43392</v>
      </c>
      <c r="G787" s="136" t="s">
        <v>4033</v>
      </c>
      <c r="H787" s="136" t="s">
        <v>4724</v>
      </c>
      <c r="I787" s="148">
        <v>1.3888888888888888E-2</v>
      </c>
      <c r="J787" s="174">
        <v>2.3148148148148146E-4</v>
      </c>
      <c r="K787" s="139">
        <v>20</v>
      </c>
      <c r="L787" s="133"/>
      <c r="M787" s="133" t="s">
        <v>363</v>
      </c>
      <c r="N787" s="133" t="s">
        <v>102</v>
      </c>
      <c r="O787" s="133" t="s">
        <v>23</v>
      </c>
      <c r="P787" s="133">
        <v>0</v>
      </c>
      <c r="Q787" s="133"/>
      <c r="R787" s="133">
        <v>0</v>
      </c>
      <c r="S787" s="133"/>
      <c r="T787" s="133" t="s">
        <v>115</v>
      </c>
      <c r="U787" s="133" t="s">
        <v>115</v>
      </c>
      <c r="V787" s="133" t="s">
        <v>115</v>
      </c>
      <c r="W787" s="135" t="s">
        <v>115</v>
      </c>
      <c r="X787" s="135" t="s">
        <v>115</v>
      </c>
      <c r="Y787" s="135" t="s">
        <v>115</v>
      </c>
      <c r="Z787" s="133"/>
      <c r="AA787" s="133"/>
      <c r="AB787" s="133" t="s">
        <v>115</v>
      </c>
      <c r="AC787" s="134" t="s">
        <v>115</v>
      </c>
      <c r="AD787" s="134"/>
      <c r="AE787" s="133"/>
      <c r="AF787" s="133"/>
      <c r="AG787" s="133"/>
      <c r="AH787" s="139">
        <v>5</v>
      </c>
      <c r="AI787" s="139">
        <v>9</v>
      </c>
      <c r="AJ787" s="139">
        <v>5</v>
      </c>
      <c r="AK787" s="139">
        <v>9</v>
      </c>
      <c r="AL787" s="139">
        <v>0</v>
      </c>
      <c r="AM787" s="139">
        <v>0</v>
      </c>
      <c r="AN787" s="133">
        <f t="shared" si="13"/>
        <v>14</v>
      </c>
      <c r="AO787" s="133" t="s">
        <v>188</v>
      </c>
      <c r="AP787" s="133"/>
      <c r="AQ787" s="133"/>
      <c r="AR787" s="133"/>
    </row>
    <row r="788" spans="1:48" s="133" customFormat="1" x14ac:dyDescent="0.2">
      <c r="A788" s="133" t="s">
        <v>1623</v>
      </c>
      <c r="B788" s="133" t="s">
        <v>1624</v>
      </c>
      <c r="C788" s="133">
        <v>9</v>
      </c>
      <c r="D788" s="133">
        <v>1</v>
      </c>
      <c r="E788" s="133" t="s">
        <v>2462</v>
      </c>
      <c r="F788" s="138">
        <v>43392</v>
      </c>
      <c r="G788" s="136" t="s">
        <v>4033</v>
      </c>
      <c r="H788" s="136" t="s">
        <v>4724</v>
      </c>
      <c r="I788" s="148">
        <v>3.7499999999999999E-2</v>
      </c>
      <c r="J788" s="174">
        <v>6.2500000000000001E-4</v>
      </c>
      <c r="K788" s="139">
        <v>54</v>
      </c>
      <c r="M788" s="133" t="s">
        <v>363</v>
      </c>
      <c r="N788" s="133" t="s">
        <v>102</v>
      </c>
      <c r="O788" s="133" t="s">
        <v>1307</v>
      </c>
      <c r="P788" s="133">
        <v>1</v>
      </c>
      <c r="R788" s="133">
        <v>0</v>
      </c>
      <c r="S788" s="133" t="s">
        <v>598</v>
      </c>
      <c r="T788" s="133" t="s">
        <v>598</v>
      </c>
      <c r="U788" s="133" t="s">
        <v>1625</v>
      </c>
      <c r="V788" s="133" t="s">
        <v>115</v>
      </c>
      <c r="W788" s="135" t="s">
        <v>115</v>
      </c>
      <c r="X788" s="135" t="s">
        <v>115</v>
      </c>
      <c r="Y788" s="135" t="s">
        <v>115</v>
      </c>
      <c r="AB788" s="133" t="s">
        <v>115</v>
      </c>
      <c r="AC788" s="134" t="s">
        <v>115</v>
      </c>
      <c r="AD788" s="134"/>
      <c r="AH788" s="139">
        <v>10</v>
      </c>
      <c r="AI788" s="139">
        <v>0</v>
      </c>
      <c r="AJ788" s="139">
        <v>0</v>
      </c>
      <c r="AK788" s="139">
        <v>10</v>
      </c>
      <c r="AL788" s="139">
        <v>0</v>
      </c>
      <c r="AM788" s="139">
        <v>0</v>
      </c>
      <c r="AN788" s="133">
        <f t="shared" si="13"/>
        <v>10</v>
      </c>
      <c r="AS788" s="135"/>
      <c r="AT788" s="135"/>
      <c r="AU788" s="135"/>
      <c r="AV788" s="135"/>
    </row>
    <row r="789" spans="1:48" s="133" customFormat="1" x14ac:dyDescent="0.2">
      <c r="A789" s="133" t="s">
        <v>1627</v>
      </c>
      <c r="B789" s="133" t="s">
        <v>1628</v>
      </c>
      <c r="C789" s="133">
        <v>10</v>
      </c>
      <c r="D789" s="133">
        <v>1</v>
      </c>
      <c r="E789" s="133" t="s">
        <v>2462</v>
      </c>
      <c r="F789" s="138">
        <v>43392</v>
      </c>
      <c r="G789" s="136" t="s">
        <v>4033</v>
      </c>
      <c r="H789" s="136" t="s">
        <v>4724</v>
      </c>
      <c r="I789" s="148">
        <v>1.3194444444444444E-2</v>
      </c>
      <c r="J789" s="174">
        <v>2.199074074074074E-4</v>
      </c>
      <c r="K789" s="139">
        <v>19</v>
      </c>
      <c r="M789" s="133" t="s">
        <v>363</v>
      </c>
      <c r="N789" s="133" t="s">
        <v>102</v>
      </c>
      <c r="O789" s="133" t="s">
        <v>1307</v>
      </c>
      <c r="P789" s="133" t="s">
        <v>24</v>
      </c>
      <c r="R789" s="133" t="s">
        <v>24</v>
      </c>
      <c r="S789" s="133" t="s">
        <v>176</v>
      </c>
      <c r="T789" s="133" t="s">
        <v>176</v>
      </c>
      <c r="U789" s="133" t="s">
        <v>115</v>
      </c>
      <c r="V789" s="133" t="s">
        <v>115</v>
      </c>
      <c r="Z789" s="135"/>
      <c r="AA789" s="135"/>
      <c r="AB789" s="133" t="s">
        <v>115</v>
      </c>
      <c r="AC789" s="134" t="s">
        <v>115</v>
      </c>
      <c r="AD789" s="134"/>
      <c r="AE789" s="135"/>
      <c r="AF789" s="135"/>
      <c r="AG789" s="135"/>
      <c r="AH789" s="139">
        <f>6+13</f>
        <v>19</v>
      </c>
      <c r="AI789" s="139">
        <v>0</v>
      </c>
      <c r="AJ789" s="139">
        <v>13</v>
      </c>
      <c r="AK789" s="139">
        <v>6</v>
      </c>
      <c r="AL789" s="139">
        <v>0</v>
      </c>
      <c r="AM789" s="133">
        <v>0</v>
      </c>
      <c r="AN789" s="133">
        <f t="shared" si="13"/>
        <v>19</v>
      </c>
    </row>
    <row r="790" spans="1:48" s="133" customFormat="1" x14ac:dyDescent="0.2">
      <c r="A790" s="133" t="s">
        <v>1629</v>
      </c>
      <c r="B790" s="133" t="s">
        <v>1630</v>
      </c>
      <c r="C790" s="133">
        <v>11</v>
      </c>
      <c r="D790" s="133">
        <v>1</v>
      </c>
      <c r="E790" s="133" t="s">
        <v>2462</v>
      </c>
      <c r="F790" s="138">
        <v>43392</v>
      </c>
      <c r="G790" s="136" t="s">
        <v>4033</v>
      </c>
      <c r="H790" s="136" t="s">
        <v>4724</v>
      </c>
      <c r="I790" s="148">
        <v>3.9583333333333331E-2</v>
      </c>
      <c r="J790" s="174">
        <v>6.5972222222222213E-4</v>
      </c>
      <c r="K790" s="139">
        <v>57</v>
      </c>
      <c r="M790" s="133" t="s">
        <v>363</v>
      </c>
      <c r="N790" s="133" t="s">
        <v>102</v>
      </c>
      <c r="O790" s="133" t="s">
        <v>12</v>
      </c>
      <c r="P790" s="133">
        <v>2</v>
      </c>
      <c r="R790" s="133">
        <v>0</v>
      </c>
      <c r="S790" s="133" t="s">
        <v>176</v>
      </c>
      <c r="T790" s="133" t="s">
        <v>176</v>
      </c>
      <c r="U790" s="133" t="s">
        <v>1631</v>
      </c>
      <c r="V790" s="133" t="s">
        <v>115</v>
      </c>
      <c r="W790" s="135" t="s">
        <v>115</v>
      </c>
      <c r="X790" s="135" t="s">
        <v>115</v>
      </c>
      <c r="Y790" s="135" t="s">
        <v>115</v>
      </c>
      <c r="AB790" s="133" t="s">
        <v>115</v>
      </c>
      <c r="AC790" s="134" t="s">
        <v>115</v>
      </c>
      <c r="AD790" s="134"/>
      <c r="AH790" s="139">
        <f>36+4</f>
        <v>40</v>
      </c>
      <c r="AI790" s="139">
        <v>0</v>
      </c>
      <c r="AJ790" s="139">
        <v>36</v>
      </c>
      <c r="AK790" s="139">
        <v>4</v>
      </c>
      <c r="AL790" s="139">
        <v>0</v>
      </c>
      <c r="AM790" s="133">
        <v>0</v>
      </c>
      <c r="AN790" s="133">
        <f t="shared" si="13"/>
        <v>40</v>
      </c>
      <c r="AO790" s="133" t="s">
        <v>375</v>
      </c>
      <c r="AQ790" s="133">
        <v>4</v>
      </c>
      <c r="AR790" s="133">
        <v>0</v>
      </c>
      <c r="AS790" s="135"/>
      <c r="AT790" s="135"/>
      <c r="AU790" s="135"/>
      <c r="AV790" s="135"/>
    </row>
    <row r="791" spans="1:48" s="133" customFormat="1" x14ac:dyDescent="0.2">
      <c r="A791" s="133" t="s">
        <v>1634</v>
      </c>
      <c r="B791" s="133" t="s">
        <v>1635</v>
      </c>
      <c r="C791" s="133">
        <v>13</v>
      </c>
      <c r="D791" s="133">
        <v>1</v>
      </c>
      <c r="E791" s="133" t="s">
        <v>2462</v>
      </c>
      <c r="F791" s="138">
        <v>43392</v>
      </c>
      <c r="G791" s="136" t="s">
        <v>4033</v>
      </c>
      <c r="H791" s="136" t="s">
        <v>4724</v>
      </c>
      <c r="I791" s="148">
        <v>1.8055555555555557E-2</v>
      </c>
      <c r="J791" s="174">
        <v>3.0092592592592595E-4</v>
      </c>
      <c r="K791" s="139">
        <v>26</v>
      </c>
      <c r="M791" s="133" t="s">
        <v>363</v>
      </c>
      <c r="N791" s="133" t="s">
        <v>102</v>
      </c>
      <c r="O791" s="133" t="s">
        <v>919</v>
      </c>
      <c r="P791" s="133">
        <v>0</v>
      </c>
      <c r="R791" s="133">
        <v>0</v>
      </c>
      <c r="T791" s="133" t="s">
        <v>115</v>
      </c>
      <c r="U791" s="133" t="s">
        <v>115</v>
      </c>
      <c r="V791" s="133" t="s">
        <v>115</v>
      </c>
      <c r="W791" s="135" t="s">
        <v>115</v>
      </c>
      <c r="X791" s="135" t="s">
        <v>115</v>
      </c>
      <c r="Y791" s="135" t="s">
        <v>115</v>
      </c>
      <c r="AB791" s="133" t="s">
        <v>115</v>
      </c>
      <c r="AC791" s="134" t="s">
        <v>115</v>
      </c>
      <c r="AD791" s="134"/>
      <c r="AH791" s="139">
        <v>5</v>
      </c>
      <c r="AI791" s="139">
        <v>13</v>
      </c>
      <c r="AJ791" s="139">
        <v>0</v>
      </c>
      <c r="AK791" s="139">
        <v>18</v>
      </c>
      <c r="AL791" s="139">
        <v>0</v>
      </c>
      <c r="AM791" s="133">
        <v>0</v>
      </c>
      <c r="AN791" s="133">
        <f t="shared" si="13"/>
        <v>18</v>
      </c>
      <c r="AO791" s="133" t="s">
        <v>303</v>
      </c>
    </row>
    <row r="792" spans="1:48" s="133" customFormat="1" x14ac:dyDescent="0.2">
      <c r="A792" s="133" t="s">
        <v>1636</v>
      </c>
      <c r="B792" s="133" t="s">
        <v>1637</v>
      </c>
      <c r="C792" s="133">
        <v>14</v>
      </c>
      <c r="D792" s="133">
        <v>1</v>
      </c>
      <c r="E792" s="133" t="s">
        <v>2462</v>
      </c>
      <c r="F792" s="138">
        <v>43392</v>
      </c>
      <c r="G792" s="136" t="s">
        <v>4033</v>
      </c>
      <c r="H792" s="136" t="s">
        <v>4724</v>
      </c>
      <c r="I792" s="148">
        <v>2.2916666666666669E-2</v>
      </c>
      <c r="J792" s="174">
        <v>3.8194444444444446E-4</v>
      </c>
      <c r="K792" s="139">
        <v>33</v>
      </c>
      <c r="M792" s="133" t="s">
        <v>363</v>
      </c>
      <c r="N792" s="133" t="s">
        <v>102</v>
      </c>
      <c r="O792" s="133" t="s">
        <v>12</v>
      </c>
      <c r="P792" s="133">
        <v>0</v>
      </c>
      <c r="R792" s="133">
        <v>0</v>
      </c>
      <c r="T792" s="133" t="s">
        <v>115</v>
      </c>
      <c r="U792" s="133" t="s">
        <v>115</v>
      </c>
      <c r="V792" s="133" t="s">
        <v>115</v>
      </c>
      <c r="W792" s="135" t="s">
        <v>115</v>
      </c>
      <c r="X792" s="135" t="s">
        <v>115</v>
      </c>
      <c r="Y792" s="135" t="s">
        <v>115</v>
      </c>
      <c r="Z792" s="135"/>
      <c r="AA792" s="135"/>
      <c r="AB792" s="133" t="s">
        <v>115</v>
      </c>
      <c r="AC792" s="134" t="s">
        <v>115</v>
      </c>
      <c r="AD792" s="134"/>
      <c r="AE792" s="135"/>
      <c r="AF792" s="135"/>
      <c r="AG792" s="135"/>
      <c r="AH792" s="139">
        <v>29</v>
      </c>
      <c r="AI792" s="139">
        <v>0</v>
      </c>
      <c r="AJ792" s="139">
        <v>0</v>
      </c>
      <c r="AK792" s="139">
        <v>29</v>
      </c>
      <c r="AL792" s="139">
        <v>0</v>
      </c>
      <c r="AM792" s="133">
        <v>0</v>
      </c>
      <c r="AN792" s="133">
        <f t="shared" si="13"/>
        <v>29</v>
      </c>
      <c r="AO792" s="133" t="s">
        <v>188</v>
      </c>
    </row>
    <row r="793" spans="1:48" s="133" customFormat="1" x14ac:dyDescent="0.2">
      <c r="A793" s="133" t="s">
        <v>1638</v>
      </c>
      <c r="B793" s="133" t="s">
        <v>1639</v>
      </c>
      <c r="C793" s="133">
        <v>15</v>
      </c>
      <c r="D793" s="133">
        <v>1</v>
      </c>
      <c r="E793" s="133" t="s">
        <v>2462</v>
      </c>
      <c r="F793" s="138">
        <v>43392</v>
      </c>
      <c r="G793" s="136" t="s">
        <v>4033</v>
      </c>
      <c r="H793" s="136" t="s">
        <v>4724</v>
      </c>
      <c r="I793" s="148">
        <v>2.9166666666666664E-2</v>
      </c>
      <c r="J793" s="174">
        <v>4.8611111111111104E-4</v>
      </c>
      <c r="K793" s="139">
        <v>42</v>
      </c>
      <c r="M793" s="133" t="s">
        <v>363</v>
      </c>
      <c r="N793" s="133" t="s">
        <v>102</v>
      </c>
      <c r="O793" s="133" t="s">
        <v>23</v>
      </c>
      <c r="P793" s="133">
        <v>1</v>
      </c>
      <c r="R793" s="133">
        <v>0</v>
      </c>
      <c r="S793" s="133" t="s">
        <v>176</v>
      </c>
      <c r="T793" s="133" t="s">
        <v>176</v>
      </c>
      <c r="U793" s="133" t="s">
        <v>3979</v>
      </c>
      <c r="V793" s="133" t="s">
        <v>115</v>
      </c>
      <c r="W793" s="135" t="s">
        <v>115</v>
      </c>
      <c r="X793" s="135" t="s">
        <v>115</v>
      </c>
      <c r="Y793" s="135" t="s">
        <v>115</v>
      </c>
      <c r="Z793" s="135"/>
      <c r="AA793" s="135"/>
      <c r="AB793" s="133" t="s">
        <v>115</v>
      </c>
      <c r="AC793" s="134" t="s">
        <v>115</v>
      </c>
      <c r="AD793" s="134"/>
      <c r="AE793" s="135"/>
      <c r="AF793" s="135"/>
      <c r="AG793" s="135"/>
      <c r="AH793" s="139">
        <v>0</v>
      </c>
      <c r="AI793" s="139">
        <v>20</v>
      </c>
      <c r="AJ793" s="139">
        <v>0</v>
      </c>
      <c r="AK793" s="139">
        <v>20</v>
      </c>
      <c r="AL793" s="139">
        <v>0</v>
      </c>
      <c r="AM793" s="133">
        <v>0</v>
      </c>
      <c r="AN793" s="133">
        <f t="shared" si="13"/>
        <v>20</v>
      </c>
      <c r="AO793" s="133" t="s">
        <v>188</v>
      </c>
      <c r="AS793" s="135"/>
      <c r="AT793" s="135"/>
      <c r="AU793" s="135"/>
      <c r="AV793" s="135"/>
    </row>
    <row r="794" spans="1:48" s="135" customFormat="1" x14ac:dyDescent="0.2">
      <c r="A794" s="133" t="s">
        <v>1640</v>
      </c>
      <c r="B794" s="133" t="s">
        <v>1641</v>
      </c>
      <c r="C794" s="133">
        <v>16</v>
      </c>
      <c r="D794" s="133">
        <v>1</v>
      </c>
      <c r="E794" s="133" t="s">
        <v>2462</v>
      </c>
      <c r="F794" s="138">
        <v>43392</v>
      </c>
      <c r="G794" s="136" t="s">
        <v>4033</v>
      </c>
      <c r="H794" s="136" t="s">
        <v>4724</v>
      </c>
      <c r="I794" s="148">
        <v>6.9444444444444441E-3</v>
      </c>
      <c r="J794" s="174">
        <v>1.1574074074074073E-4</v>
      </c>
      <c r="K794" s="139">
        <v>10</v>
      </c>
      <c r="L794" s="133"/>
      <c r="M794" s="133" t="s">
        <v>363</v>
      </c>
      <c r="N794" s="133" t="s">
        <v>102</v>
      </c>
      <c r="O794" s="133" t="s">
        <v>115</v>
      </c>
      <c r="P794" s="133">
        <v>1</v>
      </c>
      <c r="Q794" s="133"/>
      <c r="R794" s="133">
        <v>0</v>
      </c>
      <c r="S794" s="133" t="s">
        <v>176</v>
      </c>
      <c r="T794" s="133" t="s">
        <v>176</v>
      </c>
      <c r="U794" s="133" t="s">
        <v>122</v>
      </c>
      <c r="V794" s="133" t="s">
        <v>115</v>
      </c>
      <c r="W794" s="135" t="s">
        <v>115</v>
      </c>
      <c r="X794" s="135" t="s">
        <v>115</v>
      </c>
      <c r="Y794" s="135" t="s">
        <v>115</v>
      </c>
      <c r="AB794" s="133" t="s">
        <v>115</v>
      </c>
      <c r="AC794" s="134" t="s">
        <v>115</v>
      </c>
      <c r="AD794" s="134"/>
      <c r="AH794" s="139">
        <v>0</v>
      </c>
      <c r="AI794" s="139">
        <v>0</v>
      </c>
      <c r="AJ794" s="139">
        <v>0</v>
      </c>
      <c r="AK794" s="139">
        <v>0</v>
      </c>
      <c r="AL794" s="139">
        <v>0</v>
      </c>
      <c r="AM794" s="133">
        <v>0</v>
      </c>
      <c r="AN794" s="133">
        <f t="shared" si="13"/>
        <v>0</v>
      </c>
      <c r="AO794" s="133"/>
      <c r="AP794" s="133" t="s">
        <v>1642</v>
      </c>
      <c r="AQ794" s="133"/>
      <c r="AR794" s="133"/>
      <c r="AS794" s="133"/>
      <c r="AT794" s="133"/>
      <c r="AU794" s="133"/>
      <c r="AV794" s="133"/>
    </row>
    <row r="795" spans="1:48" s="133" customFormat="1" x14ac:dyDescent="0.2">
      <c r="A795" s="133" t="s">
        <v>1643</v>
      </c>
      <c r="B795" s="133" t="s">
        <v>1644</v>
      </c>
      <c r="C795" s="133">
        <v>17</v>
      </c>
      <c r="D795" s="133">
        <v>1</v>
      </c>
      <c r="E795" s="133" t="s">
        <v>2462</v>
      </c>
      <c r="F795" s="138">
        <v>43392</v>
      </c>
      <c r="G795" s="136" t="s">
        <v>4033</v>
      </c>
      <c r="H795" s="136" t="s">
        <v>4724</v>
      </c>
      <c r="I795" s="148">
        <v>1.7361111111111112E-2</v>
      </c>
      <c r="J795" s="174">
        <v>2.8935185185185189E-4</v>
      </c>
      <c r="K795" s="139">
        <v>25</v>
      </c>
      <c r="M795" s="133" t="s">
        <v>363</v>
      </c>
      <c r="N795" s="133" t="s">
        <v>221</v>
      </c>
      <c r="O795" s="133" t="s">
        <v>23</v>
      </c>
      <c r="P795" s="133" t="s">
        <v>24</v>
      </c>
      <c r="R795" s="133" t="s">
        <v>24</v>
      </c>
      <c r="S795" s="133" t="s">
        <v>176</v>
      </c>
      <c r="T795" s="133" t="s">
        <v>176</v>
      </c>
      <c r="U795" s="133" t="s">
        <v>115</v>
      </c>
      <c r="V795" s="133" t="s">
        <v>115</v>
      </c>
      <c r="AB795" s="133" t="s">
        <v>115</v>
      </c>
      <c r="AC795" s="134" t="s">
        <v>115</v>
      </c>
      <c r="AD795" s="134"/>
      <c r="AH795" s="139">
        <v>15</v>
      </c>
      <c r="AI795" s="139">
        <v>0</v>
      </c>
      <c r="AJ795" s="139">
        <v>10</v>
      </c>
      <c r="AK795" s="139">
        <v>5</v>
      </c>
      <c r="AL795" s="139">
        <v>0</v>
      </c>
      <c r="AM795" s="133">
        <v>0</v>
      </c>
      <c r="AN795" s="133">
        <f t="shared" si="13"/>
        <v>15</v>
      </c>
      <c r="AO795" s="133" t="s">
        <v>188</v>
      </c>
      <c r="AP795" s="133" t="s">
        <v>1647</v>
      </c>
      <c r="AS795" s="135"/>
      <c r="AT795" s="135"/>
      <c r="AU795" s="135"/>
      <c r="AV795" s="135"/>
    </row>
    <row r="796" spans="1:48" s="133" customFormat="1" x14ac:dyDescent="0.2">
      <c r="A796" s="133" t="s">
        <v>1645</v>
      </c>
      <c r="B796" s="133" t="s">
        <v>1646</v>
      </c>
      <c r="C796" s="133">
        <v>18</v>
      </c>
      <c r="D796" s="133">
        <v>1</v>
      </c>
      <c r="E796" s="133" t="s">
        <v>2462</v>
      </c>
      <c r="F796" s="138">
        <v>43392</v>
      </c>
      <c r="G796" s="136" t="s">
        <v>4033</v>
      </c>
      <c r="H796" s="136" t="s">
        <v>4724</v>
      </c>
      <c r="I796" s="148">
        <v>6.9444444444444441E-3</v>
      </c>
      <c r="J796" s="174">
        <v>1.1574074074074073E-4</v>
      </c>
      <c r="K796" s="139">
        <v>10</v>
      </c>
      <c r="M796" s="133" t="s">
        <v>363</v>
      </c>
      <c r="N796" s="133" t="s">
        <v>221</v>
      </c>
      <c r="O796" s="133" t="s">
        <v>23</v>
      </c>
      <c r="P796" s="133" t="s">
        <v>24</v>
      </c>
      <c r="R796" s="133" t="s">
        <v>24</v>
      </c>
      <c r="S796" s="133" t="s">
        <v>176</v>
      </c>
      <c r="T796" s="133" t="s">
        <v>176</v>
      </c>
      <c r="U796" s="133" t="s">
        <v>115</v>
      </c>
      <c r="V796" s="133" t="s">
        <v>115</v>
      </c>
      <c r="AB796" s="133" t="s">
        <v>115</v>
      </c>
      <c r="AC796" s="134" t="s">
        <v>115</v>
      </c>
      <c r="AD796" s="134"/>
      <c r="AH796" s="139">
        <v>10</v>
      </c>
      <c r="AI796" s="139">
        <v>0</v>
      </c>
      <c r="AJ796" s="139">
        <v>10</v>
      </c>
      <c r="AK796" s="139">
        <v>0</v>
      </c>
      <c r="AL796" s="139">
        <v>0</v>
      </c>
      <c r="AM796" s="133">
        <v>0</v>
      </c>
      <c r="AN796" s="133">
        <f t="shared" si="13"/>
        <v>10</v>
      </c>
    </row>
    <row r="797" spans="1:48" s="133" customFormat="1" x14ac:dyDescent="0.2">
      <c r="A797" s="133" t="s">
        <v>1648</v>
      </c>
      <c r="B797" s="133" t="s">
        <v>1649</v>
      </c>
      <c r="C797" s="133">
        <v>19</v>
      </c>
      <c r="D797" s="133">
        <v>1</v>
      </c>
      <c r="E797" s="133" t="s">
        <v>2462</v>
      </c>
      <c r="F797" s="138">
        <v>43392</v>
      </c>
      <c r="G797" s="136" t="s">
        <v>4033</v>
      </c>
      <c r="H797" s="136" t="s">
        <v>4724</v>
      </c>
      <c r="I797" s="148">
        <v>1.1111111111111112E-2</v>
      </c>
      <c r="J797" s="174">
        <v>1.8518518518518518E-4</v>
      </c>
      <c r="K797" s="139">
        <v>16</v>
      </c>
      <c r="M797" s="133" t="s">
        <v>363</v>
      </c>
      <c r="N797" s="133" t="s">
        <v>111</v>
      </c>
      <c r="O797" s="133" t="s">
        <v>23</v>
      </c>
      <c r="P797" s="133">
        <v>0</v>
      </c>
      <c r="R797" s="133">
        <v>1</v>
      </c>
      <c r="S797" s="133" t="s">
        <v>176</v>
      </c>
      <c r="T797" s="133" t="s">
        <v>176</v>
      </c>
      <c r="U797" s="133" t="s">
        <v>24</v>
      </c>
      <c r="V797" s="133" t="s">
        <v>4010</v>
      </c>
      <c r="W797" s="135" t="s">
        <v>23</v>
      </c>
      <c r="X797" s="135" t="s">
        <v>3997</v>
      </c>
      <c r="Y797" s="135" t="s">
        <v>4005</v>
      </c>
      <c r="AB797" s="133" t="s">
        <v>24</v>
      </c>
      <c r="AC797" s="134">
        <v>63.735639999999997</v>
      </c>
      <c r="AD797" s="134">
        <v>148.89315999999999</v>
      </c>
      <c r="AH797" s="139">
        <v>0</v>
      </c>
      <c r="AI797" s="139">
        <v>0</v>
      </c>
      <c r="AJ797" s="139">
        <v>0</v>
      </c>
      <c r="AK797" s="139">
        <v>0</v>
      </c>
      <c r="AL797" s="139">
        <v>0</v>
      </c>
      <c r="AM797" s="133">
        <v>0</v>
      </c>
      <c r="AN797" s="133">
        <f t="shared" si="13"/>
        <v>0</v>
      </c>
    </row>
    <row r="798" spans="1:48" s="133" customFormat="1" x14ac:dyDescent="0.2">
      <c r="A798" s="133" t="s">
        <v>1653</v>
      </c>
      <c r="B798" s="133" t="s">
        <v>1654</v>
      </c>
      <c r="C798" s="133">
        <v>21</v>
      </c>
      <c r="D798" s="133">
        <v>1</v>
      </c>
      <c r="E798" s="133" t="s">
        <v>2462</v>
      </c>
      <c r="F798" s="138">
        <v>43392</v>
      </c>
      <c r="G798" s="136" t="s">
        <v>4033</v>
      </c>
      <c r="H798" s="136" t="s">
        <v>4724</v>
      </c>
      <c r="I798" s="148">
        <v>3.7499999999999999E-2</v>
      </c>
      <c r="J798" s="174">
        <v>6.2500000000000001E-4</v>
      </c>
      <c r="K798" s="139">
        <v>54</v>
      </c>
      <c r="M798" s="133" t="s">
        <v>363</v>
      </c>
      <c r="N798" s="133" t="s">
        <v>102</v>
      </c>
      <c r="O798" s="133" t="s">
        <v>23</v>
      </c>
      <c r="P798" s="133">
        <v>0</v>
      </c>
      <c r="R798" s="133">
        <v>0</v>
      </c>
      <c r="T798" s="133" t="s">
        <v>115</v>
      </c>
      <c r="U798" s="133" t="s">
        <v>115</v>
      </c>
      <c r="V798" s="133" t="s">
        <v>115</v>
      </c>
      <c r="W798" s="135" t="s">
        <v>115</v>
      </c>
      <c r="X798" s="135" t="s">
        <v>115</v>
      </c>
      <c r="Y798" s="135" t="s">
        <v>115</v>
      </c>
      <c r="AB798" s="133" t="s">
        <v>115</v>
      </c>
      <c r="AC798" s="134" t="s">
        <v>115</v>
      </c>
      <c r="AD798" s="134"/>
      <c r="AH798" s="139">
        <v>7</v>
      </c>
      <c r="AI798" s="139">
        <v>0</v>
      </c>
      <c r="AJ798" s="139">
        <v>7</v>
      </c>
      <c r="AK798" s="139">
        <v>0</v>
      </c>
      <c r="AL798" s="139">
        <v>0</v>
      </c>
      <c r="AM798" s="133">
        <v>0</v>
      </c>
      <c r="AN798" s="133">
        <f t="shared" si="13"/>
        <v>7</v>
      </c>
      <c r="AO798" s="133" t="s">
        <v>375</v>
      </c>
      <c r="AP798" s="133" t="s">
        <v>5016</v>
      </c>
      <c r="AQ798" s="133">
        <v>3</v>
      </c>
      <c r="AR798" s="133">
        <v>0</v>
      </c>
    </row>
    <row r="799" spans="1:48" s="133" customFormat="1" x14ac:dyDescent="0.2">
      <c r="A799" s="133" t="s">
        <v>1657</v>
      </c>
      <c r="B799" s="133" t="s">
        <v>1658</v>
      </c>
      <c r="C799" s="133">
        <v>23</v>
      </c>
      <c r="D799" s="133">
        <v>1</v>
      </c>
      <c r="E799" s="133" t="s">
        <v>2462</v>
      </c>
      <c r="F799" s="138">
        <v>43392</v>
      </c>
      <c r="G799" s="136" t="s">
        <v>4033</v>
      </c>
      <c r="H799" s="136" t="s">
        <v>4724</v>
      </c>
      <c r="I799" s="148">
        <v>9.0277777777777787E-3</v>
      </c>
      <c r="J799" s="174">
        <v>1.5046296296296297E-4</v>
      </c>
      <c r="K799" s="139">
        <v>13</v>
      </c>
      <c r="M799" s="133" t="s">
        <v>363</v>
      </c>
      <c r="N799" s="133" t="s">
        <v>102</v>
      </c>
      <c r="O799" s="133" t="s">
        <v>23</v>
      </c>
      <c r="P799" s="133">
        <v>0</v>
      </c>
      <c r="R799" s="133">
        <v>0</v>
      </c>
      <c r="T799" s="133" t="s">
        <v>115</v>
      </c>
      <c r="U799" s="133" t="s">
        <v>115</v>
      </c>
      <c r="V799" s="133" t="s">
        <v>115</v>
      </c>
      <c r="W799" s="135" t="s">
        <v>115</v>
      </c>
      <c r="X799" s="135" t="s">
        <v>115</v>
      </c>
      <c r="Y799" s="135" t="s">
        <v>115</v>
      </c>
      <c r="AB799" s="133" t="s">
        <v>115</v>
      </c>
      <c r="AC799" s="134" t="s">
        <v>115</v>
      </c>
      <c r="AD799" s="134"/>
      <c r="AH799" s="139">
        <v>0</v>
      </c>
      <c r="AI799" s="139">
        <v>13</v>
      </c>
      <c r="AJ799" s="139">
        <v>0</v>
      </c>
      <c r="AK799" s="139">
        <v>13</v>
      </c>
      <c r="AL799" s="139">
        <v>0</v>
      </c>
      <c r="AM799" s="133">
        <v>0</v>
      </c>
      <c r="AN799" s="133">
        <f t="shared" si="13"/>
        <v>13</v>
      </c>
      <c r="AO799" s="133" t="s">
        <v>188</v>
      </c>
    </row>
    <row r="800" spans="1:48" s="133" customFormat="1" x14ac:dyDescent="0.2">
      <c r="A800" s="133" t="s">
        <v>1661</v>
      </c>
      <c r="B800" s="133" t="s">
        <v>1662</v>
      </c>
      <c r="C800" s="133">
        <v>25</v>
      </c>
      <c r="D800" s="133">
        <v>1</v>
      </c>
      <c r="E800" s="133" t="s">
        <v>2462</v>
      </c>
      <c r="F800" s="138">
        <v>43392</v>
      </c>
      <c r="G800" s="136" t="s">
        <v>4033</v>
      </c>
      <c r="H800" s="136" t="s">
        <v>4724</v>
      </c>
      <c r="I800" s="148">
        <v>1.1111111111111112E-2</v>
      </c>
      <c r="J800" s="174">
        <v>1.8518518518518518E-4</v>
      </c>
      <c r="K800" s="139">
        <v>16</v>
      </c>
      <c r="M800" s="133" t="s">
        <v>363</v>
      </c>
      <c r="N800" s="133" t="s">
        <v>102</v>
      </c>
      <c r="O800" s="133" t="s">
        <v>12</v>
      </c>
      <c r="P800" s="133">
        <v>0</v>
      </c>
      <c r="R800" s="133">
        <v>0</v>
      </c>
      <c r="T800" s="133" t="s">
        <v>115</v>
      </c>
      <c r="U800" s="133" t="s">
        <v>115</v>
      </c>
      <c r="V800" s="133" t="s">
        <v>115</v>
      </c>
      <c r="W800" s="135" t="s">
        <v>115</v>
      </c>
      <c r="X800" s="135" t="s">
        <v>115</v>
      </c>
      <c r="Y800" s="135" t="s">
        <v>115</v>
      </c>
      <c r="AB800" s="133" t="s">
        <v>115</v>
      </c>
      <c r="AC800" s="134" t="s">
        <v>115</v>
      </c>
      <c r="AD800" s="134"/>
      <c r="AH800" s="139">
        <v>13</v>
      </c>
      <c r="AI800" s="139">
        <v>0</v>
      </c>
      <c r="AJ800" s="139">
        <v>0</v>
      </c>
      <c r="AK800" s="139">
        <v>13</v>
      </c>
      <c r="AL800" s="139">
        <v>0</v>
      </c>
      <c r="AM800" s="133">
        <v>0</v>
      </c>
      <c r="AN800" s="133">
        <f t="shared" si="13"/>
        <v>13</v>
      </c>
      <c r="AO800" s="133" t="s">
        <v>375</v>
      </c>
      <c r="AQ800" s="133">
        <v>1</v>
      </c>
      <c r="AR800" s="133">
        <v>0</v>
      </c>
    </row>
    <row r="801" spans="1:48" s="133" customFormat="1" x14ac:dyDescent="0.2">
      <c r="A801" s="133" t="s">
        <v>1663</v>
      </c>
      <c r="B801" s="133" t="s">
        <v>1664</v>
      </c>
      <c r="C801" s="133">
        <v>26</v>
      </c>
      <c r="D801" s="133">
        <v>1</v>
      </c>
      <c r="E801" s="133" t="s">
        <v>2462</v>
      </c>
      <c r="F801" s="138">
        <v>43392</v>
      </c>
      <c r="G801" s="136" t="s">
        <v>4033</v>
      </c>
      <c r="H801" s="136" t="s">
        <v>4724</v>
      </c>
      <c r="I801" s="148">
        <v>1.3194444444444444E-2</v>
      </c>
      <c r="J801" s="174">
        <v>2.199074074074074E-4</v>
      </c>
      <c r="K801" s="139">
        <v>19</v>
      </c>
      <c r="M801" s="133" t="s">
        <v>363</v>
      </c>
      <c r="N801" s="133" t="s">
        <v>102</v>
      </c>
      <c r="O801" s="133" t="s">
        <v>23</v>
      </c>
      <c r="P801" s="133">
        <v>1</v>
      </c>
      <c r="R801" s="133">
        <v>0</v>
      </c>
      <c r="S801" s="133" t="s">
        <v>176</v>
      </c>
      <c r="T801" s="133" t="s">
        <v>176</v>
      </c>
      <c r="U801" s="133" t="s">
        <v>2096</v>
      </c>
      <c r="V801" s="133" t="s">
        <v>115</v>
      </c>
      <c r="W801" s="135" t="s">
        <v>115</v>
      </c>
      <c r="X801" s="135" t="s">
        <v>115</v>
      </c>
      <c r="Y801" s="135" t="s">
        <v>115</v>
      </c>
      <c r="AB801" s="133" t="s">
        <v>115</v>
      </c>
      <c r="AC801" s="134" t="s">
        <v>115</v>
      </c>
      <c r="AD801" s="134"/>
      <c r="AH801" s="139">
        <v>19</v>
      </c>
      <c r="AI801" s="139">
        <v>0</v>
      </c>
      <c r="AJ801" s="139">
        <v>19</v>
      </c>
      <c r="AK801" s="139">
        <v>0</v>
      </c>
      <c r="AL801" s="139">
        <v>0</v>
      </c>
      <c r="AM801" s="133">
        <v>0</v>
      </c>
      <c r="AN801" s="133">
        <f t="shared" si="13"/>
        <v>19</v>
      </c>
      <c r="AO801" s="133" t="s">
        <v>16</v>
      </c>
      <c r="AQ801" s="133">
        <v>0</v>
      </c>
      <c r="AR801" s="133">
        <v>2</v>
      </c>
    </row>
    <row r="802" spans="1:48" s="135" customFormat="1" x14ac:dyDescent="0.2">
      <c r="A802" s="133" t="s">
        <v>1663</v>
      </c>
      <c r="B802" s="133" t="s">
        <v>1664</v>
      </c>
      <c r="C802" s="133">
        <v>26</v>
      </c>
      <c r="D802" s="133">
        <v>2</v>
      </c>
      <c r="E802" s="133" t="s">
        <v>2462</v>
      </c>
      <c r="F802" s="138">
        <v>43392</v>
      </c>
      <c r="G802" s="136" t="s">
        <v>4033</v>
      </c>
      <c r="H802" s="136" t="s">
        <v>4724</v>
      </c>
      <c r="I802" s="148">
        <v>1.3194444444444444E-2</v>
      </c>
      <c r="J802" s="174">
        <v>2.199074074074074E-4</v>
      </c>
      <c r="K802" s="139">
        <v>19</v>
      </c>
      <c r="L802" s="133"/>
      <c r="M802" s="133" t="s">
        <v>363</v>
      </c>
      <c r="N802" s="133" t="s">
        <v>102</v>
      </c>
      <c r="O802" s="133" t="s">
        <v>23</v>
      </c>
      <c r="P802" s="133">
        <v>1</v>
      </c>
      <c r="Q802" s="133"/>
      <c r="R802" s="133">
        <v>0</v>
      </c>
      <c r="S802" s="133" t="s">
        <v>598</v>
      </c>
      <c r="T802" s="133" t="s">
        <v>1012</v>
      </c>
      <c r="U802" s="133" t="s">
        <v>263</v>
      </c>
      <c r="V802" s="133" t="s">
        <v>115</v>
      </c>
      <c r="W802" s="135" t="s">
        <v>115</v>
      </c>
      <c r="X802" s="135" t="s">
        <v>115</v>
      </c>
      <c r="Y802" s="135" t="s">
        <v>115</v>
      </c>
      <c r="Z802" s="133"/>
      <c r="AA802" s="133"/>
      <c r="AB802" s="133" t="s">
        <v>115</v>
      </c>
      <c r="AC802" s="134" t="s">
        <v>115</v>
      </c>
      <c r="AD802" s="134"/>
      <c r="AE802" s="133"/>
      <c r="AF802" s="133"/>
      <c r="AG802" s="133"/>
      <c r="AH802" s="139">
        <v>0</v>
      </c>
      <c r="AI802" s="139">
        <v>0</v>
      </c>
      <c r="AJ802" s="139">
        <v>0</v>
      </c>
      <c r="AK802" s="139">
        <v>0</v>
      </c>
      <c r="AL802" s="139">
        <v>0</v>
      </c>
      <c r="AM802" s="133">
        <v>0</v>
      </c>
      <c r="AN802" s="133">
        <f t="shared" si="13"/>
        <v>0</v>
      </c>
      <c r="AO802" s="133" t="s">
        <v>16</v>
      </c>
      <c r="AP802" s="133"/>
      <c r="AQ802" s="133">
        <v>0</v>
      </c>
      <c r="AR802" s="133">
        <v>2</v>
      </c>
      <c r="AS802" s="133"/>
      <c r="AT802" s="133"/>
      <c r="AU802" s="133"/>
      <c r="AV802" s="133"/>
    </row>
    <row r="803" spans="1:48" s="133" customFormat="1" x14ac:dyDescent="0.2">
      <c r="A803" s="133" t="s">
        <v>1665</v>
      </c>
      <c r="B803" s="133" t="s">
        <v>1666</v>
      </c>
      <c r="C803" s="133">
        <v>27</v>
      </c>
      <c r="D803" s="133">
        <v>1</v>
      </c>
      <c r="E803" s="133" t="s">
        <v>2462</v>
      </c>
      <c r="F803" s="138">
        <v>43392</v>
      </c>
      <c r="G803" s="136" t="s">
        <v>4033</v>
      </c>
      <c r="H803" s="136" t="s">
        <v>4724</v>
      </c>
      <c r="I803" s="148">
        <v>1.5277777777777777E-2</v>
      </c>
      <c r="J803" s="174">
        <v>2.5462962962962961E-4</v>
      </c>
      <c r="K803" s="139">
        <v>22</v>
      </c>
      <c r="M803" s="133" t="s">
        <v>363</v>
      </c>
      <c r="N803" s="133" t="s">
        <v>102</v>
      </c>
      <c r="O803" s="133" t="s">
        <v>1307</v>
      </c>
      <c r="P803" s="133" t="s">
        <v>24</v>
      </c>
      <c r="R803" s="133">
        <v>0</v>
      </c>
      <c r="T803" s="133" t="s">
        <v>115</v>
      </c>
      <c r="U803" s="133" t="s">
        <v>115</v>
      </c>
      <c r="V803" s="133" t="s">
        <v>115</v>
      </c>
      <c r="W803" s="135" t="s">
        <v>115</v>
      </c>
      <c r="X803" s="135" t="s">
        <v>115</v>
      </c>
      <c r="Y803" s="135" t="s">
        <v>115</v>
      </c>
      <c r="AB803" s="133" t="s">
        <v>115</v>
      </c>
      <c r="AC803" s="134" t="s">
        <v>115</v>
      </c>
      <c r="AD803" s="134"/>
      <c r="AH803" s="139">
        <v>9</v>
      </c>
      <c r="AI803" s="139">
        <v>2</v>
      </c>
      <c r="AJ803" s="139">
        <v>0</v>
      </c>
      <c r="AK803" s="139">
        <v>11</v>
      </c>
      <c r="AL803" s="139">
        <v>0</v>
      </c>
      <c r="AM803" s="133">
        <v>0</v>
      </c>
      <c r="AN803" s="133">
        <f t="shared" si="13"/>
        <v>11</v>
      </c>
      <c r="AO803" s="133" t="s">
        <v>188</v>
      </c>
    </row>
    <row r="804" spans="1:48" s="133" customFormat="1" x14ac:dyDescent="0.2">
      <c r="A804" s="135" t="s">
        <v>1667</v>
      </c>
      <c r="B804" s="135" t="s">
        <v>1668</v>
      </c>
      <c r="C804" s="135">
        <v>28</v>
      </c>
      <c r="D804" s="135">
        <v>1</v>
      </c>
      <c r="E804" s="135" t="s">
        <v>2462</v>
      </c>
      <c r="F804" s="136">
        <v>43392</v>
      </c>
      <c r="G804" s="136" t="s">
        <v>4033</v>
      </c>
      <c r="H804" s="136" t="s">
        <v>4724</v>
      </c>
      <c r="I804" s="172">
        <v>9.7222222222222224E-3</v>
      </c>
      <c r="J804" s="175">
        <v>1.6203703703703703E-4</v>
      </c>
      <c r="K804" s="143">
        <v>14</v>
      </c>
      <c r="L804" s="135"/>
      <c r="M804" s="135" t="s">
        <v>363</v>
      </c>
      <c r="N804" s="135" t="s">
        <v>102</v>
      </c>
      <c r="O804" s="135" t="s">
        <v>115</v>
      </c>
      <c r="P804" s="135">
        <v>1</v>
      </c>
      <c r="Q804" s="135"/>
      <c r="R804" s="135">
        <v>0</v>
      </c>
      <c r="S804" s="133" t="s">
        <v>176</v>
      </c>
      <c r="T804" s="135" t="s">
        <v>176</v>
      </c>
      <c r="U804" s="135" t="s">
        <v>122</v>
      </c>
      <c r="V804" s="135" t="s">
        <v>115</v>
      </c>
      <c r="W804" s="135" t="s">
        <v>115</v>
      </c>
      <c r="X804" s="135" t="s">
        <v>115</v>
      </c>
      <c r="Y804" s="135" t="s">
        <v>115</v>
      </c>
      <c r="AB804" s="135" t="s">
        <v>115</v>
      </c>
      <c r="AC804" s="137" t="s">
        <v>115</v>
      </c>
      <c r="AD804" s="137"/>
      <c r="AH804" s="143">
        <v>0</v>
      </c>
      <c r="AI804" s="143">
        <v>0</v>
      </c>
      <c r="AJ804" s="143">
        <v>0</v>
      </c>
      <c r="AK804" s="143">
        <v>0</v>
      </c>
      <c r="AL804" s="143">
        <v>8</v>
      </c>
      <c r="AM804" s="135">
        <v>0</v>
      </c>
      <c r="AN804" s="135">
        <f t="shared" si="13"/>
        <v>8</v>
      </c>
      <c r="AO804" s="135"/>
      <c r="AP804" s="135"/>
      <c r="AQ804" s="135"/>
      <c r="AR804" s="135"/>
      <c r="AS804" s="135"/>
      <c r="AT804" s="135"/>
      <c r="AU804" s="135"/>
      <c r="AV804" s="135"/>
    </row>
    <row r="805" spans="1:48" s="135" customFormat="1" x14ac:dyDescent="0.2">
      <c r="A805" s="133" t="s">
        <v>1760</v>
      </c>
      <c r="B805" s="133" t="s">
        <v>1761</v>
      </c>
      <c r="C805" s="133">
        <v>1</v>
      </c>
      <c r="D805" s="133">
        <v>1</v>
      </c>
      <c r="E805" s="133" t="s">
        <v>2462</v>
      </c>
      <c r="F805" s="138">
        <v>43397</v>
      </c>
      <c r="G805" s="136" t="s">
        <v>4033</v>
      </c>
      <c r="H805" s="136" t="s">
        <v>4724</v>
      </c>
      <c r="I805" s="148">
        <v>1.1111111111111112E-2</v>
      </c>
      <c r="J805" s="174">
        <v>1.8518518518518518E-4</v>
      </c>
      <c r="K805" s="139">
        <v>16</v>
      </c>
      <c r="L805" s="133" t="s">
        <v>398</v>
      </c>
      <c r="M805" s="133" t="s">
        <v>363</v>
      </c>
      <c r="N805" s="133" t="s">
        <v>102</v>
      </c>
      <c r="O805" s="133" t="s">
        <v>23</v>
      </c>
      <c r="P805" s="133">
        <v>1</v>
      </c>
      <c r="Q805" s="133"/>
      <c r="R805" s="133">
        <v>0</v>
      </c>
      <c r="S805" s="133" t="s">
        <v>176</v>
      </c>
      <c r="T805" s="133" t="s">
        <v>176</v>
      </c>
      <c r="U805" s="133" t="s">
        <v>948</v>
      </c>
      <c r="V805" s="133" t="s">
        <v>115</v>
      </c>
      <c r="W805" s="135" t="s">
        <v>115</v>
      </c>
      <c r="X805" s="135" t="s">
        <v>115</v>
      </c>
      <c r="Y805" s="135" t="s">
        <v>115</v>
      </c>
      <c r="Z805" s="133"/>
      <c r="AA805" s="133"/>
      <c r="AB805" s="133" t="s">
        <v>115</v>
      </c>
      <c r="AC805" s="134" t="s">
        <v>115</v>
      </c>
      <c r="AD805" s="134"/>
      <c r="AE805" s="133"/>
      <c r="AF805" s="133"/>
      <c r="AG805" s="133"/>
      <c r="AH805" s="139">
        <v>0</v>
      </c>
      <c r="AI805" s="139">
        <v>6</v>
      </c>
      <c r="AJ805" s="139">
        <v>0</v>
      </c>
      <c r="AK805" s="139">
        <v>6</v>
      </c>
      <c r="AL805" s="139">
        <v>0</v>
      </c>
      <c r="AM805" s="139">
        <v>0</v>
      </c>
      <c r="AN805" s="133">
        <f t="shared" si="13"/>
        <v>6</v>
      </c>
      <c r="AO805" s="133" t="s">
        <v>188</v>
      </c>
      <c r="AP805" s="133"/>
      <c r="AQ805" s="133"/>
      <c r="AR805" s="133"/>
      <c r="AS805" s="133"/>
      <c r="AT805" s="133"/>
      <c r="AU805" s="133"/>
      <c r="AV805" s="133"/>
    </row>
    <row r="806" spans="1:48" s="133" customFormat="1" x14ac:dyDescent="0.2">
      <c r="A806" s="133" t="s">
        <v>1762</v>
      </c>
      <c r="B806" s="133" t="s">
        <v>1763</v>
      </c>
      <c r="C806" s="133">
        <v>2</v>
      </c>
      <c r="D806" s="133">
        <v>1</v>
      </c>
      <c r="E806" s="133" t="s">
        <v>2462</v>
      </c>
      <c r="F806" s="138">
        <v>43397</v>
      </c>
      <c r="G806" s="136" t="s">
        <v>4033</v>
      </c>
      <c r="H806" s="136" t="s">
        <v>4724</v>
      </c>
      <c r="I806" s="148">
        <v>1.1805555555555555E-2</v>
      </c>
      <c r="J806" s="174">
        <v>1.9675925925925926E-4</v>
      </c>
      <c r="K806" s="139">
        <v>17</v>
      </c>
      <c r="M806" s="133" t="s">
        <v>363</v>
      </c>
      <c r="N806" s="133" t="s">
        <v>111</v>
      </c>
      <c r="O806" s="133" t="s">
        <v>23</v>
      </c>
      <c r="P806" s="133">
        <v>0</v>
      </c>
      <c r="R806" s="133">
        <v>1</v>
      </c>
      <c r="S806" s="133" t="s">
        <v>176</v>
      </c>
      <c r="T806" s="133" t="s">
        <v>176</v>
      </c>
      <c r="U806" s="133" t="s">
        <v>948</v>
      </c>
      <c r="V806" s="133" t="s">
        <v>1035</v>
      </c>
      <c r="W806" s="135" t="s">
        <v>23</v>
      </c>
      <c r="X806" s="135" t="s">
        <v>3997</v>
      </c>
      <c r="Y806" s="135" t="s">
        <v>4006</v>
      </c>
      <c r="AB806" s="133">
        <v>5</v>
      </c>
      <c r="AC806" s="134">
        <v>63.736159999999998</v>
      </c>
      <c r="AD806" s="134">
        <v>148.89746</v>
      </c>
      <c r="AH806" s="139">
        <v>0</v>
      </c>
      <c r="AI806" s="139">
        <v>0</v>
      </c>
      <c r="AJ806" s="139">
        <v>0</v>
      </c>
      <c r="AK806" s="139">
        <v>0</v>
      </c>
      <c r="AL806" s="139">
        <v>0</v>
      </c>
      <c r="AM806" s="139">
        <v>0</v>
      </c>
      <c r="AN806" s="133">
        <f t="shared" si="13"/>
        <v>0</v>
      </c>
    </row>
    <row r="807" spans="1:48" s="133" customFormat="1" x14ac:dyDescent="0.2">
      <c r="A807" s="133" t="s">
        <v>1866</v>
      </c>
      <c r="B807" s="133" t="s">
        <v>1867</v>
      </c>
      <c r="C807" s="133">
        <v>4</v>
      </c>
      <c r="D807" s="133">
        <v>1</v>
      </c>
      <c r="E807" s="133" t="s">
        <v>2462</v>
      </c>
      <c r="F807" s="138">
        <v>43398</v>
      </c>
      <c r="G807" s="136" t="s">
        <v>4033</v>
      </c>
      <c r="H807" s="136" t="s">
        <v>4724</v>
      </c>
      <c r="I807" s="148">
        <v>2.6388888888888889E-2</v>
      </c>
      <c r="J807" s="174">
        <v>4.3981481481481481E-4</v>
      </c>
      <c r="K807" s="139">
        <v>38</v>
      </c>
      <c r="M807" s="133" t="s">
        <v>363</v>
      </c>
      <c r="N807" s="133" t="s">
        <v>102</v>
      </c>
      <c r="O807" s="133" t="s">
        <v>919</v>
      </c>
      <c r="P807" s="133">
        <v>0</v>
      </c>
      <c r="R807" s="133">
        <v>0</v>
      </c>
      <c r="T807" s="133" t="s">
        <v>115</v>
      </c>
      <c r="U807" s="133" t="s">
        <v>115</v>
      </c>
      <c r="V807" s="133" t="s">
        <v>115</v>
      </c>
      <c r="W807" s="135" t="s">
        <v>115</v>
      </c>
      <c r="X807" s="135" t="s">
        <v>115</v>
      </c>
      <c r="Y807" s="135" t="s">
        <v>115</v>
      </c>
      <c r="AB807" s="133" t="s">
        <v>115</v>
      </c>
      <c r="AC807" s="134" t="s">
        <v>115</v>
      </c>
      <c r="AD807" s="134"/>
      <c r="AH807" s="139">
        <v>19</v>
      </c>
      <c r="AI807" s="139">
        <v>8</v>
      </c>
      <c r="AJ807" s="139">
        <v>8</v>
      </c>
      <c r="AK807" s="139">
        <v>19</v>
      </c>
      <c r="AL807" s="139">
        <v>0</v>
      </c>
      <c r="AM807" s="139">
        <v>0</v>
      </c>
      <c r="AN807" s="133">
        <f t="shared" si="13"/>
        <v>27</v>
      </c>
      <c r="AO807" s="133" t="s">
        <v>375</v>
      </c>
      <c r="AQ807" s="133">
        <v>1</v>
      </c>
      <c r="AR807" s="133">
        <v>0</v>
      </c>
      <c r="AS807" s="135"/>
      <c r="AT807" s="135"/>
      <c r="AU807" s="135"/>
      <c r="AV807" s="135"/>
    </row>
    <row r="808" spans="1:48" s="135" customFormat="1" x14ac:dyDescent="0.2">
      <c r="A808" s="135" t="s">
        <v>1871</v>
      </c>
      <c r="B808" s="135" t="s">
        <v>1872</v>
      </c>
      <c r="C808" s="135">
        <v>6</v>
      </c>
      <c r="D808" s="135">
        <v>1</v>
      </c>
      <c r="E808" s="135" t="s">
        <v>2462</v>
      </c>
      <c r="F808" s="136">
        <v>43398</v>
      </c>
      <c r="G808" s="136" t="s">
        <v>4033</v>
      </c>
      <c r="H808" s="136" t="s">
        <v>4724</v>
      </c>
      <c r="I808" s="172">
        <v>1.1111111111111112E-2</v>
      </c>
      <c r="J808" s="175">
        <v>1.8518518518518518E-4</v>
      </c>
      <c r="K808" s="143">
        <v>16</v>
      </c>
      <c r="M808" s="135" t="s">
        <v>363</v>
      </c>
      <c r="N808" s="135" t="s">
        <v>102</v>
      </c>
      <c r="O808" s="135" t="s">
        <v>23</v>
      </c>
      <c r="P808" s="135">
        <v>0</v>
      </c>
      <c r="R808" s="135">
        <v>0</v>
      </c>
      <c r="T808" s="135" t="s">
        <v>115</v>
      </c>
      <c r="U808" s="135" t="s">
        <v>115</v>
      </c>
      <c r="V808" s="135" t="s">
        <v>115</v>
      </c>
      <c r="W808" s="135" t="s">
        <v>115</v>
      </c>
      <c r="X808" s="135" t="s">
        <v>115</v>
      </c>
      <c r="Y808" s="135" t="s">
        <v>115</v>
      </c>
      <c r="Z808" s="133"/>
      <c r="AA808" s="133"/>
      <c r="AB808" s="135" t="s">
        <v>115</v>
      </c>
      <c r="AC808" s="137" t="s">
        <v>115</v>
      </c>
      <c r="AD808" s="137"/>
      <c r="AE808" s="133"/>
      <c r="AF808" s="133"/>
      <c r="AG808" s="133"/>
      <c r="AH808" s="143">
        <v>11</v>
      </c>
      <c r="AI808" s="143">
        <v>0</v>
      </c>
      <c r="AJ808" s="143">
        <v>11</v>
      </c>
      <c r="AK808" s="143">
        <v>0</v>
      </c>
      <c r="AL808" s="143">
        <v>6</v>
      </c>
      <c r="AM808" s="143">
        <v>0</v>
      </c>
      <c r="AN808" s="135">
        <f t="shared" si="13"/>
        <v>17</v>
      </c>
      <c r="AS808" s="133"/>
      <c r="AT808" s="133"/>
      <c r="AU808" s="133"/>
      <c r="AV808" s="133"/>
    </row>
    <row r="809" spans="1:48" s="133" customFormat="1" x14ac:dyDescent="0.2">
      <c r="A809" s="133" t="s">
        <v>1876</v>
      </c>
      <c r="B809" s="133" t="s">
        <v>1877</v>
      </c>
      <c r="C809" s="133">
        <v>8</v>
      </c>
      <c r="D809" s="133">
        <v>1</v>
      </c>
      <c r="E809" s="133" t="s">
        <v>2462</v>
      </c>
      <c r="F809" s="138">
        <v>43398</v>
      </c>
      <c r="G809" s="136" t="s">
        <v>4033</v>
      </c>
      <c r="H809" s="136" t="s">
        <v>4724</v>
      </c>
      <c r="I809" s="148">
        <v>5.5555555555555558E-3</v>
      </c>
      <c r="J809" s="174">
        <v>9.2592592592592588E-5</v>
      </c>
      <c r="K809" s="139">
        <v>8</v>
      </c>
      <c r="M809" s="133" t="s">
        <v>363</v>
      </c>
      <c r="N809" s="133" t="s">
        <v>107</v>
      </c>
      <c r="O809" s="133" t="s">
        <v>23</v>
      </c>
      <c r="P809" s="133">
        <v>1</v>
      </c>
      <c r="R809" s="133">
        <v>0</v>
      </c>
      <c r="S809" s="133" t="s">
        <v>176</v>
      </c>
      <c r="T809" s="133" t="s">
        <v>176</v>
      </c>
      <c r="U809" s="133" t="s">
        <v>24</v>
      </c>
      <c r="V809" s="133" t="s">
        <v>115</v>
      </c>
      <c r="W809" s="135" t="s">
        <v>115</v>
      </c>
      <c r="X809" s="135" t="s">
        <v>115</v>
      </c>
      <c r="Y809" s="135" t="s">
        <v>115</v>
      </c>
      <c r="AB809" s="133" t="s">
        <v>115</v>
      </c>
      <c r="AC809" s="134" t="s">
        <v>115</v>
      </c>
      <c r="AD809" s="134"/>
      <c r="AH809" s="139">
        <v>0</v>
      </c>
      <c r="AI809" s="139">
        <v>0</v>
      </c>
      <c r="AJ809" s="139">
        <v>0</v>
      </c>
      <c r="AK809" s="139">
        <v>0</v>
      </c>
      <c r="AL809" s="139">
        <v>0</v>
      </c>
      <c r="AM809" s="139">
        <v>0</v>
      </c>
      <c r="AN809" s="133">
        <f t="shared" si="13"/>
        <v>0</v>
      </c>
      <c r="AP809" s="133" t="s">
        <v>1878</v>
      </c>
    </row>
    <row r="810" spans="1:48" s="133" customFormat="1" x14ac:dyDescent="0.2">
      <c r="A810" s="133" t="s">
        <v>1879</v>
      </c>
      <c r="B810" s="133" t="s">
        <v>1880</v>
      </c>
      <c r="C810" s="133">
        <v>9</v>
      </c>
      <c r="D810" s="133">
        <v>1</v>
      </c>
      <c r="E810" s="133" t="s">
        <v>2462</v>
      </c>
      <c r="F810" s="138">
        <v>43398</v>
      </c>
      <c r="G810" s="136" t="s">
        <v>4033</v>
      </c>
      <c r="H810" s="136" t="s">
        <v>4724</v>
      </c>
      <c r="I810" s="148">
        <v>3.4027777777777775E-2</v>
      </c>
      <c r="J810" s="174">
        <v>5.6712962962962956E-4</v>
      </c>
      <c r="K810" s="139">
        <v>49</v>
      </c>
      <c r="M810" s="133" t="s">
        <v>363</v>
      </c>
      <c r="N810" s="133" t="s">
        <v>102</v>
      </c>
      <c r="O810" s="133" t="s">
        <v>23</v>
      </c>
      <c r="P810" s="133">
        <v>0</v>
      </c>
      <c r="R810" s="133">
        <v>0</v>
      </c>
      <c r="T810" s="133" t="s">
        <v>115</v>
      </c>
      <c r="U810" s="133" t="s">
        <v>115</v>
      </c>
      <c r="V810" s="133" t="s">
        <v>115</v>
      </c>
      <c r="W810" s="135" t="s">
        <v>115</v>
      </c>
      <c r="X810" s="135" t="s">
        <v>115</v>
      </c>
      <c r="Y810" s="135" t="s">
        <v>115</v>
      </c>
      <c r="AB810" s="133" t="s">
        <v>115</v>
      </c>
      <c r="AC810" s="134" t="s">
        <v>115</v>
      </c>
      <c r="AD810" s="134"/>
      <c r="AH810" s="139">
        <v>8</v>
      </c>
      <c r="AI810" s="139">
        <v>2</v>
      </c>
      <c r="AJ810" s="139">
        <v>2</v>
      </c>
      <c r="AK810" s="139">
        <v>8</v>
      </c>
      <c r="AL810" s="139">
        <v>0</v>
      </c>
      <c r="AM810" s="139">
        <v>0</v>
      </c>
      <c r="AN810" s="133">
        <f t="shared" si="13"/>
        <v>10</v>
      </c>
    </row>
    <row r="811" spans="1:48" s="133" customFormat="1" x14ac:dyDescent="0.2">
      <c r="A811" s="133" t="s">
        <v>1881</v>
      </c>
      <c r="B811" s="133" t="s">
        <v>1882</v>
      </c>
      <c r="C811" s="133">
        <v>10</v>
      </c>
      <c r="D811" s="133">
        <v>1</v>
      </c>
      <c r="E811" s="133" t="s">
        <v>2462</v>
      </c>
      <c r="F811" s="138">
        <v>43398</v>
      </c>
      <c r="G811" s="136" t="s">
        <v>4033</v>
      </c>
      <c r="H811" s="136" t="s">
        <v>4724</v>
      </c>
      <c r="I811" s="148">
        <v>6.5972222222222224E-2</v>
      </c>
      <c r="J811" s="174">
        <v>1.0995370370370371E-3</v>
      </c>
      <c r="K811" s="139">
        <v>95</v>
      </c>
      <c r="M811" s="133" t="s">
        <v>363</v>
      </c>
      <c r="N811" s="133" t="s">
        <v>102</v>
      </c>
      <c r="O811" s="133" t="s">
        <v>23</v>
      </c>
      <c r="P811" s="133">
        <v>1</v>
      </c>
      <c r="R811" s="133">
        <v>1</v>
      </c>
      <c r="S811" s="133" t="s">
        <v>461</v>
      </c>
      <c r="T811" s="133" t="s">
        <v>2125</v>
      </c>
      <c r="U811" s="133" t="s">
        <v>122</v>
      </c>
      <c r="V811" s="133" t="s">
        <v>2101</v>
      </c>
      <c r="W811" s="135" t="s">
        <v>23</v>
      </c>
      <c r="X811" s="135" t="s">
        <v>3999</v>
      </c>
      <c r="Y811" s="135" t="s">
        <v>4001</v>
      </c>
      <c r="AB811" s="133">
        <v>9</v>
      </c>
      <c r="AC811" s="134">
        <v>63.732770000000002</v>
      </c>
      <c r="AD811" s="134">
        <v>148.89867000000001</v>
      </c>
      <c r="AH811" s="139">
        <v>0</v>
      </c>
      <c r="AI811" s="139">
        <v>0</v>
      </c>
      <c r="AJ811" s="139">
        <v>0</v>
      </c>
      <c r="AK811" s="139">
        <v>0</v>
      </c>
      <c r="AL811" s="139">
        <v>0</v>
      </c>
      <c r="AM811" s="139">
        <v>0</v>
      </c>
      <c r="AN811" s="133">
        <f t="shared" si="13"/>
        <v>0</v>
      </c>
      <c r="AS811" s="135"/>
      <c r="AT811" s="135"/>
      <c r="AU811" s="135"/>
      <c r="AV811" s="135"/>
    </row>
    <row r="812" spans="1:48" s="133" customFormat="1" x14ac:dyDescent="0.2">
      <c r="A812" s="133" t="s">
        <v>1881</v>
      </c>
      <c r="B812" s="133" t="s">
        <v>1882</v>
      </c>
      <c r="C812" s="133">
        <v>10</v>
      </c>
      <c r="D812" s="133">
        <v>2</v>
      </c>
      <c r="E812" s="133" t="s">
        <v>2462</v>
      </c>
      <c r="F812" s="138">
        <v>43398</v>
      </c>
      <c r="G812" s="136" t="s">
        <v>4033</v>
      </c>
      <c r="H812" s="136" t="s">
        <v>4724</v>
      </c>
      <c r="I812" s="148">
        <v>6.5972222222222224E-2</v>
      </c>
      <c r="J812" s="174">
        <v>1.0995370370370371E-3</v>
      </c>
      <c r="K812" s="139">
        <v>95</v>
      </c>
      <c r="M812" s="133" t="s">
        <v>363</v>
      </c>
      <c r="N812" s="133" t="s">
        <v>102</v>
      </c>
      <c r="O812" s="133" t="s">
        <v>23</v>
      </c>
      <c r="P812" s="133">
        <v>1</v>
      </c>
      <c r="R812" s="133">
        <v>1</v>
      </c>
      <c r="S812" s="133" t="s">
        <v>461</v>
      </c>
      <c r="T812" s="133" t="s">
        <v>2125</v>
      </c>
      <c r="U812" s="133" t="s">
        <v>122</v>
      </c>
      <c r="V812" s="133" t="s">
        <v>1035</v>
      </c>
      <c r="W812" s="135" t="s">
        <v>23</v>
      </c>
      <c r="X812" s="135" t="s">
        <v>3997</v>
      </c>
      <c r="Y812" s="135" t="s">
        <v>4006</v>
      </c>
      <c r="AB812" s="133">
        <v>9</v>
      </c>
      <c r="AC812" s="134">
        <v>63.732770000000002</v>
      </c>
      <c r="AD812" s="134">
        <v>148.89867000000001</v>
      </c>
      <c r="AH812" s="139">
        <v>0</v>
      </c>
      <c r="AI812" s="139">
        <v>0</v>
      </c>
      <c r="AJ812" s="139">
        <v>0</v>
      </c>
      <c r="AK812" s="139">
        <v>0</v>
      </c>
      <c r="AL812" s="139">
        <v>0</v>
      </c>
      <c r="AM812" s="139">
        <v>0</v>
      </c>
      <c r="AN812" s="133">
        <f t="shared" si="13"/>
        <v>0</v>
      </c>
      <c r="AO812" s="133" t="s">
        <v>2102</v>
      </c>
      <c r="AS812" s="135"/>
      <c r="AT812" s="135"/>
      <c r="AU812" s="135"/>
      <c r="AV812" s="135"/>
    </row>
    <row r="813" spans="1:48" s="133" customFormat="1" x14ac:dyDescent="0.2">
      <c r="A813" s="133" t="s">
        <v>1884</v>
      </c>
      <c r="B813" s="133" t="s">
        <v>1885</v>
      </c>
      <c r="C813" s="133">
        <v>11</v>
      </c>
      <c r="D813" s="133">
        <v>1</v>
      </c>
      <c r="E813" s="133" t="s">
        <v>2462</v>
      </c>
      <c r="F813" s="138">
        <v>43398</v>
      </c>
      <c r="G813" s="136" t="s">
        <v>4033</v>
      </c>
      <c r="H813" s="136" t="s">
        <v>4724</v>
      </c>
      <c r="I813" s="148">
        <v>1.9444444444444445E-2</v>
      </c>
      <c r="J813" s="174">
        <v>3.2407407407407406E-4</v>
      </c>
      <c r="K813" s="139">
        <v>28</v>
      </c>
      <c r="M813" s="133" t="s">
        <v>363</v>
      </c>
      <c r="N813" s="133" t="s">
        <v>111</v>
      </c>
      <c r="O813" s="133" t="s">
        <v>23</v>
      </c>
      <c r="P813" s="133">
        <v>0</v>
      </c>
      <c r="R813" s="133">
        <v>1</v>
      </c>
      <c r="S813" s="133" t="s">
        <v>461</v>
      </c>
      <c r="T813" s="133" t="s">
        <v>2125</v>
      </c>
      <c r="U813" s="133" t="s">
        <v>122</v>
      </c>
      <c r="V813" s="133" t="s">
        <v>1035</v>
      </c>
      <c r="W813" s="135" t="s">
        <v>23</v>
      </c>
      <c r="X813" s="135" t="s">
        <v>3997</v>
      </c>
      <c r="Y813" s="135" t="s">
        <v>4006</v>
      </c>
      <c r="Z813" s="135"/>
      <c r="AA813" s="135"/>
      <c r="AB813" s="133">
        <v>25</v>
      </c>
      <c r="AC813" s="134">
        <v>63.733040000000003</v>
      </c>
      <c r="AD813" s="134">
        <v>148.89887999999999</v>
      </c>
      <c r="AE813" s="135"/>
      <c r="AF813" s="135"/>
      <c r="AG813" s="135"/>
      <c r="AH813" s="139">
        <v>0</v>
      </c>
      <c r="AI813" s="139">
        <v>0</v>
      </c>
      <c r="AJ813" s="139">
        <v>0</v>
      </c>
      <c r="AK813" s="139">
        <v>0</v>
      </c>
      <c r="AL813" s="139">
        <v>0</v>
      </c>
      <c r="AM813" s="139">
        <v>0</v>
      </c>
      <c r="AN813" s="133">
        <f t="shared" si="13"/>
        <v>0</v>
      </c>
      <c r="AP813" s="133" t="s">
        <v>1886</v>
      </c>
    </row>
    <row r="814" spans="1:48" s="133" customFormat="1" x14ac:dyDescent="0.2">
      <c r="A814" s="133" t="s">
        <v>1887</v>
      </c>
      <c r="B814" s="133" t="s">
        <v>1888</v>
      </c>
      <c r="C814" s="133">
        <v>12</v>
      </c>
      <c r="D814" s="133">
        <v>1</v>
      </c>
      <c r="E814" s="133" t="s">
        <v>2462</v>
      </c>
      <c r="F814" s="138">
        <v>43398</v>
      </c>
      <c r="G814" s="136" t="s">
        <v>4033</v>
      </c>
      <c r="H814" s="136" t="s">
        <v>4724</v>
      </c>
      <c r="I814" s="148">
        <v>3.4722222222222224E-2</v>
      </c>
      <c r="J814" s="174">
        <v>5.7870370370370366E-5</v>
      </c>
      <c r="K814" s="139">
        <v>5</v>
      </c>
      <c r="M814" s="133" t="s">
        <v>363</v>
      </c>
      <c r="N814" s="133" t="s">
        <v>111</v>
      </c>
      <c r="O814" s="133" t="s">
        <v>23</v>
      </c>
      <c r="P814" s="133">
        <v>0</v>
      </c>
      <c r="R814" s="133">
        <v>1</v>
      </c>
      <c r="S814" s="133" t="s">
        <v>461</v>
      </c>
      <c r="T814" s="133" t="s">
        <v>2125</v>
      </c>
      <c r="U814" s="133" t="s">
        <v>122</v>
      </c>
      <c r="V814" s="133" t="s">
        <v>1035</v>
      </c>
      <c r="W814" s="135" t="s">
        <v>23</v>
      </c>
      <c r="X814" s="135" t="s">
        <v>3997</v>
      </c>
      <c r="Y814" s="135" t="s">
        <v>4006</v>
      </c>
      <c r="AB814" s="133">
        <v>30</v>
      </c>
      <c r="AC814" s="134">
        <v>63.733040000000003</v>
      </c>
      <c r="AD814" s="134">
        <v>148.89893000000001</v>
      </c>
      <c r="AH814" s="139">
        <v>0</v>
      </c>
      <c r="AI814" s="139">
        <v>0</v>
      </c>
      <c r="AJ814" s="139">
        <v>0</v>
      </c>
      <c r="AK814" s="139">
        <v>0</v>
      </c>
      <c r="AL814" s="139">
        <v>0</v>
      </c>
      <c r="AM814" s="139">
        <v>0</v>
      </c>
      <c r="AN814" s="133">
        <f t="shared" ref="AN814:AN877" si="14">SUM(AJ814:AM814)</f>
        <v>0</v>
      </c>
      <c r="AP814" s="133" t="s">
        <v>1889</v>
      </c>
    </row>
    <row r="815" spans="1:48" s="133" customFormat="1" x14ac:dyDescent="0.2">
      <c r="A815" s="133" t="s">
        <v>1887</v>
      </c>
      <c r="B815" s="133" t="s">
        <v>1888</v>
      </c>
      <c r="C815" s="133">
        <v>12</v>
      </c>
      <c r="D815" s="133">
        <v>2</v>
      </c>
      <c r="E815" s="133" t="s">
        <v>2462</v>
      </c>
      <c r="F815" s="138">
        <v>43398</v>
      </c>
      <c r="G815" s="136" t="s">
        <v>4033</v>
      </c>
      <c r="H815" s="136" t="s">
        <v>4724</v>
      </c>
      <c r="I815" s="148">
        <v>3.4722222222222224E-2</v>
      </c>
      <c r="J815" s="174">
        <v>5.7870370370370366E-5</v>
      </c>
      <c r="K815" s="139">
        <v>5</v>
      </c>
      <c r="M815" s="133" t="s">
        <v>363</v>
      </c>
      <c r="N815" s="133" t="s">
        <v>111</v>
      </c>
      <c r="O815" s="133" t="s">
        <v>23</v>
      </c>
      <c r="P815" s="133">
        <v>0</v>
      </c>
      <c r="R815" s="133">
        <v>1</v>
      </c>
      <c r="S815" s="133" t="s">
        <v>461</v>
      </c>
      <c r="T815" s="133" t="s">
        <v>2125</v>
      </c>
      <c r="U815" s="133" t="s">
        <v>122</v>
      </c>
      <c r="V815" s="133" t="s">
        <v>1035</v>
      </c>
      <c r="W815" s="135" t="s">
        <v>23</v>
      </c>
      <c r="X815" s="135" t="s">
        <v>3997</v>
      </c>
      <c r="Y815" s="135" t="s">
        <v>4006</v>
      </c>
      <c r="AB815" s="133">
        <v>30</v>
      </c>
      <c r="AC815" s="134">
        <v>63.733020000000003</v>
      </c>
      <c r="AD815" s="134">
        <v>148.89896999999999</v>
      </c>
      <c r="AH815" s="139">
        <v>0</v>
      </c>
      <c r="AI815" s="139">
        <v>0</v>
      </c>
      <c r="AJ815" s="139">
        <v>0</v>
      </c>
      <c r="AK815" s="139">
        <v>0</v>
      </c>
      <c r="AL815" s="139">
        <v>0</v>
      </c>
      <c r="AM815" s="139">
        <v>0</v>
      </c>
      <c r="AN815" s="133">
        <f t="shared" si="14"/>
        <v>0</v>
      </c>
      <c r="AP815" s="133" t="s">
        <v>1889</v>
      </c>
    </row>
    <row r="816" spans="1:48" s="133" customFormat="1" x14ac:dyDescent="0.2">
      <c r="A816" s="135" t="s">
        <v>1945</v>
      </c>
      <c r="B816" s="135" t="s">
        <v>1946</v>
      </c>
      <c r="C816" s="135">
        <v>1</v>
      </c>
      <c r="D816" s="135">
        <v>1</v>
      </c>
      <c r="E816" s="135" t="s">
        <v>2462</v>
      </c>
      <c r="F816" s="136">
        <v>43402</v>
      </c>
      <c r="G816" s="136" t="s">
        <v>4033</v>
      </c>
      <c r="H816" s="136" t="s">
        <v>4724</v>
      </c>
      <c r="I816" s="172">
        <v>2.7083333333333334E-2</v>
      </c>
      <c r="J816" s="175">
        <v>4.5138888888888892E-4</v>
      </c>
      <c r="K816" s="143">
        <v>39</v>
      </c>
      <c r="L816" s="135" t="s">
        <v>2028</v>
      </c>
      <c r="M816" s="135" t="s">
        <v>363</v>
      </c>
      <c r="N816" s="135" t="s">
        <v>102</v>
      </c>
      <c r="O816" s="135" t="s">
        <v>115</v>
      </c>
      <c r="P816" s="135">
        <v>1</v>
      </c>
      <c r="Q816" s="135"/>
      <c r="R816" s="135">
        <v>0</v>
      </c>
      <c r="S816" s="133" t="s">
        <v>14</v>
      </c>
      <c r="T816" s="135" t="s">
        <v>14</v>
      </c>
      <c r="U816" s="135" t="s">
        <v>122</v>
      </c>
      <c r="V816" s="135" t="s">
        <v>115</v>
      </c>
      <c r="W816" s="135" t="s">
        <v>115</v>
      </c>
      <c r="X816" s="135" t="s">
        <v>115</v>
      </c>
      <c r="Y816" s="135" t="s">
        <v>115</v>
      </c>
      <c r="AB816" s="135" t="s">
        <v>115</v>
      </c>
      <c r="AC816" s="137" t="s">
        <v>115</v>
      </c>
      <c r="AD816" s="137"/>
      <c r="AH816" s="143">
        <v>0</v>
      </c>
      <c r="AI816" s="143">
        <v>0</v>
      </c>
      <c r="AJ816" s="143">
        <v>0</v>
      </c>
      <c r="AK816" s="143">
        <v>0</v>
      </c>
      <c r="AL816" s="143">
        <v>12</v>
      </c>
      <c r="AM816" s="143">
        <v>0</v>
      </c>
      <c r="AN816" s="135">
        <f t="shared" si="14"/>
        <v>12</v>
      </c>
      <c r="AO816" s="135"/>
      <c r="AP816" s="135"/>
      <c r="AQ816" s="135"/>
      <c r="AR816" s="135"/>
    </row>
    <row r="817" spans="1:48" s="135" customFormat="1" x14ac:dyDescent="0.2">
      <c r="A817" s="135" t="s">
        <v>1947</v>
      </c>
      <c r="B817" s="135" t="s">
        <v>1948</v>
      </c>
      <c r="C817" s="135">
        <v>2</v>
      </c>
      <c r="D817" s="135">
        <v>1</v>
      </c>
      <c r="E817" s="135" t="s">
        <v>2462</v>
      </c>
      <c r="F817" s="136">
        <v>43402</v>
      </c>
      <c r="G817" s="136" t="s">
        <v>4033</v>
      </c>
      <c r="H817" s="136" t="s">
        <v>4724</v>
      </c>
      <c r="I817" s="172">
        <v>5.5555555555555558E-3</v>
      </c>
      <c r="J817" s="175">
        <v>9.2592592592592588E-5</v>
      </c>
      <c r="K817" s="143">
        <v>8</v>
      </c>
      <c r="L817" s="135" t="s">
        <v>2028</v>
      </c>
      <c r="M817" s="135" t="s">
        <v>363</v>
      </c>
      <c r="N817" s="135" t="s">
        <v>102</v>
      </c>
      <c r="O817" s="135" t="s">
        <v>115</v>
      </c>
      <c r="P817" s="135" t="s">
        <v>24</v>
      </c>
      <c r="R817" s="135">
        <v>0</v>
      </c>
      <c r="T817" s="135" t="s">
        <v>115</v>
      </c>
      <c r="U817" s="135" t="s">
        <v>115</v>
      </c>
      <c r="V817" s="135" t="s">
        <v>115</v>
      </c>
      <c r="W817" s="135" t="s">
        <v>115</v>
      </c>
      <c r="X817" s="135" t="s">
        <v>115</v>
      </c>
      <c r="Y817" s="135" t="s">
        <v>115</v>
      </c>
      <c r="Z817" s="133"/>
      <c r="AA817" s="133"/>
      <c r="AB817" s="135" t="s">
        <v>115</v>
      </c>
      <c r="AC817" s="137" t="s">
        <v>115</v>
      </c>
      <c r="AD817" s="137"/>
      <c r="AE817" s="133"/>
      <c r="AF817" s="133"/>
      <c r="AG817" s="133"/>
      <c r="AH817" s="143">
        <v>0</v>
      </c>
      <c r="AI817" s="143">
        <v>0</v>
      </c>
      <c r="AJ817" s="143">
        <v>0</v>
      </c>
      <c r="AK817" s="143">
        <v>0</v>
      </c>
      <c r="AL817" s="143">
        <v>4</v>
      </c>
      <c r="AM817" s="143">
        <v>0</v>
      </c>
      <c r="AN817" s="135">
        <f t="shared" si="14"/>
        <v>4</v>
      </c>
      <c r="AS817" s="133"/>
      <c r="AT817" s="133"/>
      <c r="AU817" s="133"/>
      <c r="AV817" s="133"/>
    </row>
    <row r="818" spans="1:48" s="133" customFormat="1" x14ac:dyDescent="0.2">
      <c r="A818" s="133" t="s">
        <v>1949</v>
      </c>
      <c r="B818" s="133" t="s">
        <v>1950</v>
      </c>
      <c r="C818" s="133">
        <v>3</v>
      </c>
      <c r="D818" s="133">
        <v>1</v>
      </c>
      <c r="E818" s="133" t="s">
        <v>2462</v>
      </c>
      <c r="F818" s="138">
        <v>43402</v>
      </c>
      <c r="G818" s="136" t="s">
        <v>4033</v>
      </c>
      <c r="H818" s="136" t="s">
        <v>4724</v>
      </c>
      <c r="I818" s="148">
        <v>3.2638888888888891E-2</v>
      </c>
      <c r="J818" s="174">
        <v>5.4398148148148144E-4</v>
      </c>
      <c r="K818" s="139">
        <v>47</v>
      </c>
      <c r="L818" s="133" t="s">
        <v>2028</v>
      </c>
      <c r="M818" s="133" t="s">
        <v>363</v>
      </c>
      <c r="N818" s="133" t="s">
        <v>1310</v>
      </c>
      <c r="O818" s="133" t="s">
        <v>23</v>
      </c>
      <c r="P818" s="133">
        <v>1</v>
      </c>
      <c r="R818" s="133">
        <v>0</v>
      </c>
      <c r="S818" s="133" t="s">
        <v>14</v>
      </c>
      <c r="T818" s="133" t="s">
        <v>2128</v>
      </c>
      <c r="U818" s="133" t="s">
        <v>1035</v>
      </c>
      <c r="V818" s="133" t="s">
        <v>115</v>
      </c>
      <c r="W818" s="135" t="s">
        <v>115</v>
      </c>
      <c r="X818" s="135" t="s">
        <v>115</v>
      </c>
      <c r="Y818" s="135" t="s">
        <v>115</v>
      </c>
      <c r="AB818" s="133" t="s">
        <v>115</v>
      </c>
      <c r="AC818" s="134" t="s">
        <v>115</v>
      </c>
      <c r="AD818" s="134"/>
      <c r="AH818" s="139">
        <v>0</v>
      </c>
      <c r="AI818" s="139">
        <v>0</v>
      </c>
      <c r="AJ818" s="139">
        <v>0</v>
      </c>
      <c r="AK818" s="139">
        <v>0</v>
      </c>
      <c r="AL818" s="139">
        <v>0</v>
      </c>
      <c r="AM818" s="139">
        <v>0</v>
      </c>
      <c r="AN818" s="133">
        <f t="shared" si="14"/>
        <v>0</v>
      </c>
      <c r="AP818" s="133" t="s">
        <v>1951</v>
      </c>
    </row>
    <row r="819" spans="1:48" s="133" customFormat="1" x14ac:dyDescent="0.2">
      <c r="A819" s="135" t="s">
        <v>1954</v>
      </c>
      <c r="B819" s="135" t="s">
        <v>1952</v>
      </c>
      <c r="C819" s="135">
        <v>4</v>
      </c>
      <c r="D819" s="135">
        <v>1</v>
      </c>
      <c r="E819" s="135" t="s">
        <v>2462</v>
      </c>
      <c r="F819" s="136">
        <v>43402</v>
      </c>
      <c r="G819" s="136" t="s">
        <v>4033</v>
      </c>
      <c r="H819" s="136" t="s">
        <v>4724</v>
      </c>
      <c r="I819" s="172">
        <v>1.6666666666666666E-2</v>
      </c>
      <c r="J819" s="175">
        <v>2.7777777777777778E-4</v>
      </c>
      <c r="K819" s="143">
        <v>24</v>
      </c>
      <c r="L819" s="135" t="s">
        <v>2028</v>
      </c>
      <c r="M819" s="135" t="s">
        <v>363</v>
      </c>
      <c r="N819" s="135" t="s">
        <v>102</v>
      </c>
      <c r="O819" s="135" t="s">
        <v>115</v>
      </c>
      <c r="P819" s="135">
        <v>1</v>
      </c>
      <c r="Q819" s="135"/>
      <c r="R819" s="135">
        <v>0</v>
      </c>
      <c r="S819" s="133" t="s">
        <v>14</v>
      </c>
      <c r="T819" s="135" t="s">
        <v>2128</v>
      </c>
      <c r="U819" s="135" t="s">
        <v>122</v>
      </c>
      <c r="V819" s="135" t="s">
        <v>115</v>
      </c>
      <c r="W819" s="135" t="s">
        <v>115</v>
      </c>
      <c r="X819" s="135" t="s">
        <v>115</v>
      </c>
      <c r="Y819" s="135" t="s">
        <v>115</v>
      </c>
      <c r="AB819" s="135" t="s">
        <v>115</v>
      </c>
      <c r="AC819" s="137" t="s">
        <v>115</v>
      </c>
      <c r="AD819" s="137"/>
      <c r="AH819" s="143">
        <v>0</v>
      </c>
      <c r="AI819" s="143">
        <v>0</v>
      </c>
      <c r="AJ819" s="143">
        <v>0</v>
      </c>
      <c r="AK819" s="143">
        <v>0</v>
      </c>
      <c r="AL819" s="143">
        <v>23</v>
      </c>
      <c r="AM819" s="143">
        <v>0</v>
      </c>
      <c r="AN819" s="135">
        <f t="shared" si="14"/>
        <v>23</v>
      </c>
      <c r="AO819" s="135"/>
      <c r="AP819" s="135"/>
      <c r="AQ819" s="135"/>
      <c r="AR819" s="135"/>
    </row>
    <row r="820" spans="1:48" s="135" customFormat="1" x14ac:dyDescent="0.2">
      <c r="A820" s="133" t="s">
        <v>1953</v>
      </c>
      <c r="B820" s="133" t="s">
        <v>1955</v>
      </c>
      <c r="C820" s="133">
        <v>5</v>
      </c>
      <c r="D820" s="133">
        <v>1</v>
      </c>
      <c r="E820" s="133" t="s">
        <v>2462</v>
      </c>
      <c r="F820" s="138">
        <v>43402</v>
      </c>
      <c r="G820" s="136" t="s">
        <v>4033</v>
      </c>
      <c r="H820" s="136" t="s">
        <v>4724</v>
      </c>
      <c r="I820" s="148">
        <v>2.8472222222222222E-2</v>
      </c>
      <c r="J820" s="174">
        <v>4.7453703703703704E-4</v>
      </c>
      <c r="K820" s="139">
        <v>41</v>
      </c>
      <c r="L820" s="133" t="s">
        <v>2028</v>
      </c>
      <c r="M820" s="133" t="s">
        <v>363</v>
      </c>
      <c r="N820" s="133" t="s">
        <v>102</v>
      </c>
      <c r="O820" s="133" t="s">
        <v>115</v>
      </c>
      <c r="P820" s="133" t="s">
        <v>24</v>
      </c>
      <c r="Q820" s="133"/>
      <c r="R820" s="133" t="s">
        <v>24</v>
      </c>
      <c r="S820" s="133" t="s">
        <v>176</v>
      </c>
      <c r="T820" s="133" t="s">
        <v>176</v>
      </c>
      <c r="U820" s="133" t="s">
        <v>115</v>
      </c>
      <c r="V820" s="133" t="s">
        <v>115</v>
      </c>
      <c r="W820" s="133"/>
      <c r="X820" s="133"/>
      <c r="Y820" s="133"/>
      <c r="Z820" s="133"/>
      <c r="AA820" s="133"/>
      <c r="AB820" s="133" t="s">
        <v>115</v>
      </c>
      <c r="AC820" s="134" t="s">
        <v>115</v>
      </c>
      <c r="AD820" s="134"/>
      <c r="AE820" s="133"/>
      <c r="AF820" s="133"/>
      <c r="AG820" s="133"/>
      <c r="AH820" s="139">
        <v>0</v>
      </c>
      <c r="AI820" s="139">
        <v>41</v>
      </c>
      <c r="AJ820" s="139">
        <v>0</v>
      </c>
      <c r="AK820" s="139">
        <v>41</v>
      </c>
      <c r="AL820" s="139">
        <v>0</v>
      </c>
      <c r="AM820" s="139">
        <v>0</v>
      </c>
      <c r="AN820" s="133">
        <f t="shared" si="14"/>
        <v>41</v>
      </c>
      <c r="AO820" s="133"/>
      <c r="AP820" s="133"/>
      <c r="AQ820" s="133"/>
      <c r="AR820" s="133"/>
      <c r="AS820" s="133"/>
      <c r="AT820" s="133"/>
      <c r="AU820" s="133"/>
      <c r="AV820" s="133"/>
    </row>
    <row r="821" spans="1:48" s="133" customFormat="1" x14ac:dyDescent="0.2">
      <c r="A821" s="133" t="s">
        <v>1565</v>
      </c>
      <c r="B821" s="133" t="s">
        <v>1566</v>
      </c>
      <c r="C821" s="133">
        <v>5</v>
      </c>
      <c r="D821" s="133">
        <v>1</v>
      </c>
      <c r="E821" s="135" t="s">
        <v>3171</v>
      </c>
      <c r="F821" s="138">
        <v>43390</v>
      </c>
      <c r="G821" s="136" t="s">
        <v>4033</v>
      </c>
      <c r="H821" s="136" t="s">
        <v>4724</v>
      </c>
      <c r="I821" s="148">
        <v>1.1111111111111112E-2</v>
      </c>
      <c r="J821" s="174">
        <v>1.8518518518518518E-4</v>
      </c>
      <c r="K821" s="139">
        <v>16</v>
      </c>
      <c r="L821" s="133" t="s">
        <v>398</v>
      </c>
      <c r="M821" s="133" t="s">
        <v>149</v>
      </c>
      <c r="N821" s="133" t="s">
        <v>102</v>
      </c>
      <c r="O821" s="133" t="s">
        <v>23</v>
      </c>
      <c r="P821" s="133" t="s">
        <v>24</v>
      </c>
      <c r="R821" s="133">
        <v>0</v>
      </c>
      <c r="T821" s="133" t="s">
        <v>115</v>
      </c>
      <c r="U821" s="133" t="s">
        <v>115</v>
      </c>
      <c r="V821" s="133" t="s">
        <v>115</v>
      </c>
      <c r="W821" s="135" t="s">
        <v>115</v>
      </c>
      <c r="X821" s="135" t="s">
        <v>115</v>
      </c>
      <c r="Y821" s="135" t="s">
        <v>115</v>
      </c>
      <c r="AB821" s="133" t="s">
        <v>115</v>
      </c>
      <c r="AC821" s="134" t="s">
        <v>115</v>
      </c>
      <c r="AD821" s="134"/>
      <c r="AH821" s="139">
        <v>0</v>
      </c>
      <c r="AI821" s="139">
        <v>16</v>
      </c>
      <c r="AJ821" s="139">
        <v>0</v>
      </c>
      <c r="AK821" s="139">
        <v>16</v>
      </c>
      <c r="AL821" s="139">
        <v>0</v>
      </c>
      <c r="AM821" s="133">
        <v>0</v>
      </c>
      <c r="AN821" s="133">
        <f t="shared" si="14"/>
        <v>16</v>
      </c>
      <c r="AS821" s="135"/>
      <c r="AT821" s="135"/>
      <c r="AU821" s="135" t="s">
        <v>3943</v>
      </c>
      <c r="AV821" s="135"/>
    </row>
    <row r="822" spans="1:48" s="135" customFormat="1" x14ac:dyDescent="0.2">
      <c r="A822" s="135" t="s">
        <v>1189</v>
      </c>
      <c r="B822" s="135" t="s">
        <v>1190</v>
      </c>
      <c r="C822" s="135">
        <v>1</v>
      </c>
      <c r="D822" s="135">
        <v>1</v>
      </c>
      <c r="E822" s="135" t="s">
        <v>3171</v>
      </c>
      <c r="F822" s="136">
        <v>43381</v>
      </c>
      <c r="G822" s="136" t="s">
        <v>4033</v>
      </c>
      <c r="H822" s="136" t="s">
        <v>4724</v>
      </c>
      <c r="I822" s="172">
        <v>2.361111111111111E-2</v>
      </c>
      <c r="J822" s="175">
        <v>3.9351851851851852E-4</v>
      </c>
      <c r="K822" s="143">
        <v>34</v>
      </c>
      <c r="L822" s="135" t="s">
        <v>101</v>
      </c>
      <c r="M822" s="135" t="s">
        <v>149</v>
      </c>
      <c r="N822" s="135" t="s">
        <v>187</v>
      </c>
      <c r="O822" s="135" t="s">
        <v>23</v>
      </c>
      <c r="P822" s="135">
        <v>1</v>
      </c>
      <c r="R822" s="135">
        <v>1</v>
      </c>
      <c r="S822" s="133" t="s">
        <v>176</v>
      </c>
      <c r="T822" s="135" t="s">
        <v>176</v>
      </c>
      <c r="U822" s="135" t="s">
        <v>122</v>
      </c>
      <c r="V822" s="135" t="s">
        <v>1057</v>
      </c>
      <c r="W822" s="135" t="s">
        <v>23</v>
      </c>
      <c r="X822" s="135" t="s">
        <v>3999</v>
      </c>
      <c r="Y822" s="135" t="s">
        <v>4005</v>
      </c>
      <c r="Z822" s="133"/>
      <c r="AA822" s="133"/>
      <c r="AB822" s="135">
        <v>5</v>
      </c>
      <c r="AC822" s="137">
        <v>63.7239</v>
      </c>
      <c r="AD822" s="137">
        <v>148.94981000000001</v>
      </c>
      <c r="AE822" s="133"/>
      <c r="AF822" s="133"/>
      <c r="AG822" s="133"/>
      <c r="AH822" s="143">
        <v>0</v>
      </c>
      <c r="AI822" s="143">
        <v>0</v>
      </c>
      <c r="AJ822" s="143">
        <v>0</v>
      </c>
      <c r="AK822" s="143">
        <v>0</v>
      </c>
      <c r="AL822" s="143">
        <v>2</v>
      </c>
      <c r="AM822" s="135">
        <v>0</v>
      </c>
      <c r="AN822" s="135">
        <f t="shared" si="14"/>
        <v>2</v>
      </c>
      <c r="AS822" s="133"/>
      <c r="AT822" s="133"/>
      <c r="AU822" s="133"/>
      <c r="AV822" s="133"/>
    </row>
    <row r="823" spans="1:48" s="135" customFormat="1" x14ac:dyDescent="0.2">
      <c r="A823" s="133" t="s">
        <v>1192</v>
      </c>
      <c r="B823" s="133" t="s">
        <v>1193</v>
      </c>
      <c r="C823" s="133">
        <v>2</v>
      </c>
      <c r="D823" s="133">
        <v>1</v>
      </c>
      <c r="E823" s="135" t="s">
        <v>3171</v>
      </c>
      <c r="F823" s="138">
        <v>43381</v>
      </c>
      <c r="G823" s="136" t="s">
        <v>4033</v>
      </c>
      <c r="H823" s="136" t="s">
        <v>4724</v>
      </c>
      <c r="I823" s="148">
        <v>5.5555555555555558E-3</v>
      </c>
      <c r="J823" s="174">
        <v>9.2592592592592588E-5</v>
      </c>
      <c r="K823" s="139">
        <v>8</v>
      </c>
      <c r="L823" s="133" t="s">
        <v>640</v>
      </c>
      <c r="M823" s="133" t="s">
        <v>149</v>
      </c>
      <c r="N823" s="133" t="s">
        <v>102</v>
      </c>
      <c r="O823" s="133" t="s">
        <v>23</v>
      </c>
      <c r="P823" s="133">
        <v>1</v>
      </c>
      <c r="Q823" s="133"/>
      <c r="R823" s="133">
        <v>0</v>
      </c>
      <c r="S823" s="133" t="s">
        <v>598</v>
      </c>
      <c r="T823" s="133" t="s">
        <v>1012</v>
      </c>
      <c r="U823" s="133" t="s">
        <v>487</v>
      </c>
      <c r="V823" s="133" t="s">
        <v>115</v>
      </c>
      <c r="W823" s="135" t="s">
        <v>115</v>
      </c>
      <c r="X823" s="135" t="s">
        <v>115</v>
      </c>
      <c r="Y823" s="135" t="s">
        <v>115</v>
      </c>
      <c r="Z823" s="133"/>
      <c r="AA823" s="133"/>
      <c r="AB823" s="133" t="s">
        <v>115</v>
      </c>
      <c r="AC823" s="134" t="s">
        <v>115</v>
      </c>
      <c r="AD823" s="134"/>
      <c r="AE823" s="133"/>
      <c r="AF823" s="133"/>
      <c r="AG823" s="133"/>
      <c r="AH823" s="139">
        <v>5</v>
      </c>
      <c r="AI823" s="139">
        <v>0</v>
      </c>
      <c r="AJ823" s="139">
        <v>0</v>
      </c>
      <c r="AK823" s="139">
        <v>5</v>
      </c>
      <c r="AL823" s="139">
        <v>0</v>
      </c>
      <c r="AM823" s="133">
        <v>0</v>
      </c>
      <c r="AN823" s="133">
        <f t="shared" si="14"/>
        <v>5</v>
      </c>
      <c r="AO823" s="133"/>
      <c r="AP823" s="133"/>
      <c r="AQ823" s="133"/>
      <c r="AR823" s="133"/>
      <c r="AS823" s="133"/>
      <c r="AT823" s="133"/>
      <c r="AU823" s="133"/>
      <c r="AV823" s="133"/>
    </row>
    <row r="824" spans="1:48" s="133" customFormat="1" x14ac:dyDescent="0.2">
      <c r="A824" s="133" t="s">
        <v>1194</v>
      </c>
      <c r="B824" s="133" t="s">
        <v>1195</v>
      </c>
      <c r="C824" s="133">
        <v>3</v>
      </c>
      <c r="D824" s="133">
        <v>1</v>
      </c>
      <c r="E824" s="135" t="s">
        <v>3171</v>
      </c>
      <c r="F824" s="138">
        <v>43381</v>
      </c>
      <c r="G824" s="136" t="s">
        <v>4033</v>
      </c>
      <c r="H824" s="136" t="s">
        <v>4724</v>
      </c>
      <c r="I824" s="148">
        <v>1.1111111111111112E-2</v>
      </c>
      <c r="J824" s="174">
        <v>1.8518518518518518E-4</v>
      </c>
      <c r="K824" s="139">
        <v>16</v>
      </c>
      <c r="L824" s="133" t="s">
        <v>640</v>
      </c>
      <c r="M824" s="133" t="s">
        <v>149</v>
      </c>
      <c r="N824" s="133" t="s">
        <v>187</v>
      </c>
      <c r="O824" s="133" t="s">
        <v>1196</v>
      </c>
      <c r="P824" s="133">
        <v>1</v>
      </c>
      <c r="R824" s="133">
        <v>1</v>
      </c>
      <c r="S824" s="133" t="s">
        <v>14</v>
      </c>
      <c r="T824" s="133" t="s">
        <v>2128</v>
      </c>
      <c r="U824" s="133" t="s">
        <v>122</v>
      </c>
      <c r="V824" s="133" t="s">
        <v>1217</v>
      </c>
      <c r="W824" s="140" t="s">
        <v>4013</v>
      </c>
      <c r="X824" s="140" t="s">
        <v>3997</v>
      </c>
      <c r="Y824" s="140" t="s">
        <v>4005</v>
      </c>
      <c r="AB824" s="133">
        <v>5</v>
      </c>
      <c r="AC824" s="134">
        <v>63.724020000000003</v>
      </c>
      <c r="AD824" s="134">
        <v>148.95114000000001</v>
      </c>
      <c r="AH824" s="139">
        <v>0</v>
      </c>
      <c r="AI824" s="139">
        <v>0</v>
      </c>
      <c r="AJ824" s="139">
        <v>0</v>
      </c>
      <c r="AK824" s="139">
        <v>0</v>
      </c>
      <c r="AL824" s="139">
        <v>0</v>
      </c>
      <c r="AM824" s="133">
        <v>0</v>
      </c>
      <c r="AN824" s="133">
        <f t="shared" si="14"/>
        <v>0</v>
      </c>
      <c r="AP824" s="133" t="s">
        <v>1197</v>
      </c>
    </row>
    <row r="825" spans="1:48" s="133" customFormat="1" x14ac:dyDescent="0.2">
      <c r="A825" s="133" t="s">
        <v>1198</v>
      </c>
      <c r="B825" s="133" t="s">
        <v>1199</v>
      </c>
      <c r="C825" s="133">
        <v>4</v>
      </c>
      <c r="D825" s="133">
        <v>1</v>
      </c>
      <c r="E825" s="135" t="s">
        <v>3171</v>
      </c>
      <c r="F825" s="138">
        <v>43381</v>
      </c>
      <c r="G825" s="136" t="s">
        <v>4033</v>
      </c>
      <c r="H825" s="136" t="s">
        <v>4724</v>
      </c>
      <c r="I825" s="148">
        <v>2.2916666666666669E-2</v>
      </c>
      <c r="J825" s="174">
        <v>3.8194444444444446E-4</v>
      </c>
      <c r="K825" s="139">
        <v>33</v>
      </c>
      <c r="L825" s="133" t="s">
        <v>640</v>
      </c>
      <c r="M825" s="133" t="s">
        <v>149</v>
      </c>
      <c r="N825" s="133" t="s">
        <v>111</v>
      </c>
      <c r="O825" s="133" t="s">
        <v>23</v>
      </c>
      <c r="P825" s="133">
        <v>1</v>
      </c>
      <c r="R825" s="133">
        <v>1</v>
      </c>
      <c r="S825" s="133" t="s">
        <v>176</v>
      </c>
      <c r="T825" s="133" t="s">
        <v>176</v>
      </c>
      <c r="U825" s="133" t="s">
        <v>122</v>
      </c>
      <c r="V825" s="133" t="s">
        <v>1057</v>
      </c>
      <c r="W825" s="140" t="s">
        <v>23</v>
      </c>
      <c r="X825" s="140" t="s">
        <v>3999</v>
      </c>
      <c r="Y825" s="140" t="s">
        <v>4005</v>
      </c>
      <c r="Z825" s="135"/>
      <c r="AA825" s="135"/>
      <c r="AB825" s="133">
        <v>2</v>
      </c>
      <c r="AC825" s="134">
        <v>63.723999999999997</v>
      </c>
      <c r="AD825" s="134">
        <v>148.94900999999999</v>
      </c>
      <c r="AE825" s="135"/>
      <c r="AF825" s="135"/>
      <c r="AG825" s="135"/>
      <c r="AH825" s="139">
        <v>0</v>
      </c>
      <c r="AI825" s="139">
        <v>0</v>
      </c>
      <c r="AJ825" s="139">
        <v>0</v>
      </c>
      <c r="AK825" s="139">
        <v>0</v>
      </c>
      <c r="AL825" s="139">
        <v>0</v>
      </c>
      <c r="AM825" s="133">
        <v>0</v>
      </c>
      <c r="AN825" s="133">
        <f t="shared" si="14"/>
        <v>0</v>
      </c>
      <c r="AP825" s="133" t="s">
        <v>1197</v>
      </c>
    </row>
    <row r="826" spans="1:48" s="135" customFormat="1" x14ac:dyDescent="0.2">
      <c r="A826" s="135" t="s">
        <v>1200</v>
      </c>
      <c r="B826" s="135" t="s">
        <v>1201</v>
      </c>
      <c r="C826" s="135">
        <v>5</v>
      </c>
      <c r="D826" s="135">
        <v>1</v>
      </c>
      <c r="E826" s="135" t="s">
        <v>3171</v>
      </c>
      <c r="F826" s="136">
        <v>43381</v>
      </c>
      <c r="G826" s="136" t="s">
        <v>4033</v>
      </c>
      <c r="H826" s="136" t="s">
        <v>4724</v>
      </c>
      <c r="I826" s="172">
        <v>2.8472222222222222E-2</v>
      </c>
      <c r="J826" s="175">
        <v>4.7453703703703704E-4</v>
      </c>
      <c r="K826" s="143">
        <v>41</v>
      </c>
      <c r="L826" s="135" t="s">
        <v>640</v>
      </c>
      <c r="M826" s="135" t="s">
        <v>149</v>
      </c>
      <c r="N826" s="135" t="s">
        <v>102</v>
      </c>
      <c r="O826" s="135" t="s">
        <v>115</v>
      </c>
      <c r="P826" s="135">
        <v>1</v>
      </c>
      <c r="R826" s="135">
        <v>0</v>
      </c>
      <c r="S826" s="133" t="s">
        <v>176</v>
      </c>
      <c r="T826" s="135" t="s">
        <v>176</v>
      </c>
      <c r="U826" s="135" t="s">
        <v>122</v>
      </c>
      <c r="V826" s="135" t="s">
        <v>115</v>
      </c>
      <c r="W826" s="135" t="s">
        <v>115</v>
      </c>
      <c r="X826" s="135" t="s">
        <v>115</v>
      </c>
      <c r="Y826" s="135" t="s">
        <v>115</v>
      </c>
      <c r="Z826" s="133"/>
      <c r="AA826" s="133"/>
      <c r="AB826" s="135" t="s">
        <v>115</v>
      </c>
      <c r="AC826" s="137" t="s">
        <v>115</v>
      </c>
      <c r="AD826" s="137"/>
      <c r="AE826" s="133"/>
      <c r="AF826" s="133"/>
      <c r="AG826" s="133"/>
      <c r="AH826" s="143">
        <v>0</v>
      </c>
      <c r="AI826" s="143">
        <v>0</v>
      </c>
      <c r="AJ826" s="143">
        <v>0</v>
      </c>
      <c r="AK826" s="143">
        <v>0</v>
      </c>
      <c r="AL826" s="143">
        <v>29</v>
      </c>
      <c r="AM826" s="135">
        <v>0</v>
      </c>
      <c r="AN826" s="135">
        <f t="shared" si="14"/>
        <v>29</v>
      </c>
      <c r="AS826" s="133"/>
      <c r="AT826" s="133"/>
      <c r="AU826" s="133"/>
      <c r="AV826" s="133"/>
    </row>
    <row r="827" spans="1:48" s="133" customFormat="1" x14ac:dyDescent="0.2">
      <c r="A827" s="135" t="s">
        <v>1202</v>
      </c>
      <c r="B827" s="135" t="s">
        <v>1203</v>
      </c>
      <c r="C827" s="135">
        <v>6</v>
      </c>
      <c r="D827" s="135">
        <v>1</v>
      </c>
      <c r="E827" s="135" t="s">
        <v>3171</v>
      </c>
      <c r="F827" s="136">
        <v>43381</v>
      </c>
      <c r="G827" s="136" t="s">
        <v>4033</v>
      </c>
      <c r="H827" s="136" t="s">
        <v>4724</v>
      </c>
      <c r="I827" s="172">
        <v>1.7361111111111112E-2</v>
      </c>
      <c r="J827" s="175">
        <v>2.8935185185185189E-4</v>
      </c>
      <c r="K827" s="143">
        <v>25</v>
      </c>
      <c r="L827" s="135" t="s">
        <v>640</v>
      </c>
      <c r="M827" s="135" t="s">
        <v>149</v>
      </c>
      <c r="N827" s="135" t="s">
        <v>102</v>
      </c>
      <c r="O827" s="135" t="s">
        <v>115</v>
      </c>
      <c r="P827" s="135">
        <v>1</v>
      </c>
      <c r="Q827" s="135"/>
      <c r="R827" s="135">
        <v>0</v>
      </c>
      <c r="S827" s="133" t="s">
        <v>176</v>
      </c>
      <c r="T827" s="135" t="s">
        <v>176</v>
      </c>
      <c r="U827" s="135" t="s">
        <v>122</v>
      </c>
      <c r="V827" s="135" t="s">
        <v>115</v>
      </c>
      <c r="W827" s="135" t="s">
        <v>115</v>
      </c>
      <c r="X827" s="135" t="s">
        <v>115</v>
      </c>
      <c r="Y827" s="135" t="s">
        <v>115</v>
      </c>
      <c r="Z827" s="135"/>
      <c r="AA827" s="135"/>
      <c r="AB827" s="135" t="s">
        <v>115</v>
      </c>
      <c r="AC827" s="137" t="s">
        <v>115</v>
      </c>
      <c r="AD827" s="137"/>
      <c r="AE827" s="135"/>
      <c r="AF827" s="135"/>
      <c r="AG827" s="135"/>
      <c r="AH827" s="143">
        <v>0</v>
      </c>
      <c r="AI827" s="143">
        <v>0</v>
      </c>
      <c r="AJ827" s="143">
        <v>0</v>
      </c>
      <c r="AK827" s="143">
        <v>0</v>
      </c>
      <c r="AL827" s="143">
        <v>2</v>
      </c>
      <c r="AM827" s="135">
        <v>0</v>
      </c>
      <c r="AN827" s="135">
        <f t="shared" si="14"/>
        <v>2</v>
      </c>
      <c r="AO827" s="135"/>
      <c r="AP827" s="135"/>
      <c r="AQ827" s="135"/>
      <c r="AR827" s="135"/>
    </row>
    <row r="828" spans="1:48" s="135" customFormat="1" x14ac:dyDescent="0.2">
      <c r="A828" s="133" t="s">
        <v>1204</v>
      </c>
      <c r="B828" s="133" t="s">
        <v>1205</v>
      </c>
      <c r="C828" s="133">
        <v>7</v>
      </c>
      <c r="D828" s="133">
        <v>1</v>
      </c>
      <c r="E828" s="135" t="s">
        <v>3171</v>
      </c>
      <c r="F828" s="138">
        <v>43381</v>
      </c>
      <c r="G828" s="136" t="s">
        <v>4033</v>
      </c>
      <c r="H828" s="136" t="s">
        <v>4724</v>
      </c>
      <c r="I828" s="148">
        <v>2.2916666666666669E-2</v>
      </c>
      <c r="J828" s="174">
        <v>3.8194444444444446E-4</v>
      </c>
      <c r="K828" s="139">
        <v>33</v>
      </c>
      <c r="L828" s="133" t="s">
        <v>640</v>
      </c>
      <c r="M828" s="133" t="s">
        <v>149</v>
      </c>
      <c r="N828" s="133" t="s">
        <v>111</v>
      </c>
      <c r="O828" s="133" t="s">
        <v>23</v>
      </c>
      <c r="P828" s="133">
        <v>0</v>
      </c>
      <c r="Q828" s="133"/>
      <c r="R828" s="133">
        <v>1</v>
      </c>
      <c r="S828" s="133" t="s">
        <v>176</v>
      </c>
      <c r="T828" s="133" t="s">
        <v>176</v>
      </c>
      <c r="U828" s="133" t="s">
        <v>122</v>
      </c>
      <c r="V828" s="133" t="s">
        <v>1057</v>
      </c>
      <c r="W828" s="140" t="s">
        <v>23</v>
      </c>
      <c r="X828" s="140" t="s">
        <v>3999</v>
      </c>
      <c r="Y828" s="140" t="s">
        <v>4005</v>
      </c>
      <c r="Z828" s="133"/>
      <c r="AA828" s="133"/>
      <c r="AB828" s="133">
        <v>7</v>
      </c>
      <c r="AC828" s="134">
        <v>63.724110000000003</v>
      </c>
      <c r="AD828" s="134">
        <v>148.95033000000001</v>
      </c>
      <c r="AE828" s="133"/>
      <c r="AF828" s="133"/>
      <c r="AG828" s="133"/>
      <c r="AH828" s="139">
        <v>0</v>
      </c>
      <c r="AI828" s="139">
        <v>0</v>
      </c>
      <c r="AJ828" s="139">
        <v>0</v>
      </c>
      <c r="AK828" s="139">
        <v>0</v>
      </c>
      <c r="AL828" s="139">
        <v>0</v>
      </c>
      <c r="AM828" s="133">
        <v>0</v>
      </c>
      <c r="AN828" s="133">
        <f t="shared" si="14"/>
        <v>0</v>
      </c>
      <c r="AO828" s="133"/>
      <c r="AP828" s="133" t="s">
        <v>1206</v>
      </c>
      <c r="AQ828" s="133"/>
      <c r="AR828" s="133"/>
      <c r="AS828" s="133"/>
      <c r="AT828" s="133"/>
      <c r="AU828" s="133"/>
      <c r="AV828" s="133"/>
    </row>
    <row r="829" spans="1:48" s="133" customFormat="1" x14ac:dyDescent="0.2">
      <c r="A829" s="135" t="s">
        <v>1207</v>
      </c>
      <c r="B829" s="135" t="s">
        <v>1208</v>
      </c>
      <c r="C829" s="135">
        <v>8</v>
      </c>
      <c r="D829" s="135">
        <v>1</v>
      </c>
      <c r="E829" s="135" t="s">
        <v>3171</v>
      </c>
      <c r="F829" s="136">
        <v>43381</v>
      </c>
      <c r="G829" s="136" t="s">
        <v>4033</v>
      </c>
      <c r="H829" s="136" t="s">
        <v>4724</v>
      </c>
      <c r="I829" s="172">
        <v>5.4166666666666669E-2</v>
      </c>
      <c r="J829" s="175">
        <v>9.0277777777777784E-4</v>
      </c>
      <c r="K829" s="143">
        <v>78</v>
      </c>
      <c r="L829" s="135" t="s">
        <v>640</v>
      </c>
      <c r="M829" s="135" t="s">
        <v>149</v>
      </c>
      <c r="N829" s="135" t="s">
        <v>187</v>
      </c>
      <c r="O829" s="135" t="s">
        <v>23</v>
      </c>
      <c r="P829" s="135">
        <v>1</v>
      </c>
      <c r="Q829" s="135"/>
      <c r="R829" s="135">
        <v>1</v>
      </c>
      <c r="S829" s="133" t="s">
        <v>176</v>
      </c>
      <c r="T829" s="135" t="s">
        <v>176</v>
      </c>
      <c r="U829" s="135" t="s">
        <v>122</v>
      </c>
      <c r="V829" s="135" t="s">
        <v>1057</v>
      </c>
      <c r="W829" s="135" t="s">
        <v>23</v>
      </c>
      <c r="X829" s="135" t="s">
        <v>3999</v>
      </c>
      <c r="Y829" s="135" t="s">
        <v>4005</v>
      </c>
      <c r="AB829" s="135">
        <v>9</v>
      </c>
      <c r="AC829" s="137">
        <v>63.723779999999998</v>
      </c>
      <c r="AD829" s="137">
        <v>148.95067</v>
      </c>
      <c r="AH829" s="143">
        <v>0</v>
      </c>
      <c r="AI829" s="143">
        <v>0</v>
      </c>
      <c r="AJ829" s="143">
        <v>0</v>
      </c>
      <c r="AK829" s="143">
        <v>0</v>
      </c>
      <c r="AL829" s="143">
        <v>30</v>
      </c>
      <c r="AM829" s="135">
        <v>0</v>
      </c>
      <c r="AN829" s="135">
        <f t="shared" si="14"/>
        <v>30</v>
      </c>
      <c r="AO829" s="135"/>
      <c r="AP829" s="135"/>
      <c r="AQ829" s="135"/>
      <c r="AR829" s="135"/>
      <c r="AS829" s="135"/>
      <c r="AT829" s="135"/>
      <c r="AU829" s="135"/>
      <c r="AV829" s="135"/>
    </row>
    <row r="830" spans="1:48" s="135" customFormat="1" x14ac:dyDescent="0.2">
      <c r="A830" s="135" t="s">
        <v>1209</v>
      </c>
      <c r="B830" s="135" t="s">
        <v>1210</v>
      </c>
      <c r="C830" s="135">
        <v>9</v>
      </c>
      <c r="D830" s="135">
        <v>1</v>
      </c>
      <c r="E830" s="135" t="s">
        <v>3171</v>
      </c>
      <c r="F830" s="136">
        <v>43381</v>
      </c>
      <c r="G830" s="136" t="s">
        <v>4033</v>
      </c>
      <c r="H830" s="136" t="s">
        <v>4724</v>
      </c>
      <c r="I830" s="172">
        <v>9.7222222222222224E-3</v>
      </c>
      <c r="J830" s="175">
        <v>1.6203703703703703E-4</v>
      </c>
      <c r="K830" s="143">
        <v>14</v>
      </c>
      <c r="L830" s="135" t="s">
        <v>640</v>
      </c>
      <c r="M830" s="135" t="s">
        <v>149</v>
      </c>
      <c r="N830" s="135" t="s">
        <v>102</v>
      </c>
      <c r="O830" s="135" t="s">
        <v>115</v>
      </c>
      <c r="P830" s="135" t="s">
        <v>24</v>
      </c>
      <c r="R830" s="135">
        <v>0</v>
      </c>
      <c r="S830" s="133" t="s">
        <v>176</v>
      </c>
      <c r="T830" s="135" t="s">
        <v>176</v>
      </c>
      <c r="U830" s="135" t="s">
        <v>115</v>
      </c>
      <c r="V830" s="135" t="s">
        <v>115</v>
      </c>
      <c r="W830" s="135" t="s">
        <v>115</v>
      </c>
      <c r="X830" s="135" t="s">
        <v>115</v>
      </c>
      <c r="Y830" s="135" t="s">
        <v>115</v>
      </c>
      <c r="Z830" s="133"/>
      <c r="AA830" s="133"/>
      <c r="AB830" s="135" t="s">
        <v>115</v>
      </c>
      <c r="AC830" s="137" t="s">
        <v>115</v>
      </c>
      <c r="AD830" s="137"/>
      <c r="AE830" s="133"/>
      <c r="AF830" s="133"/>
      <c r="AG830" s="133"/>
      <c r="AH830" s="143">
        <v>0</v>
      </c>
      <c r="AI830" s="143">
        <v>0</v>
      </c>
      <c r="AJ830" s="143">
        <v>0</v>
      </c>
      <c r="AK830" s="143">
        <v>0</v>
      </c>
      <c r="AL830" s="143">
        <v>14</v>
      </c>
      <c r="AM830" s="135">
        <v>0</v>
      </c>
      <c r="AN830" s="135">
        <f t="shared" si="14"/>
        <v>14</v>
      </c>
      <c r="AS830" s="133"/>
      <c r="AT830" s="133"/>
      <c r="AU830" s="133"/>
      <c r="AV830" s="133"/>
    </row>
    <row r="831" spans="1:48" s="135" customFormat="1" x14ac:dyDescent="0.2">
      <c r="A831" s="135" t="s">
        <v>1211</v>
      </c>
      <c r="B831" s="135" t="s">
        <v>1212</v>
      </c>
      <c r="C831" s="135">
        <v>10</v>
      </c>
      <c r="D831" s="135">
        <v>1</v>
      </c>
      <c r="E831" s="135" t="s">
        <v>3171</v>
      </c>
      <c r="F831" s="136">
        <v>43381</v>
      </c>
      <c r="G831" s="136" t="s">
        <v>4033</v>
      </c>
      <c r="H831" s="136" t="s">
        <v>4724</v>
      </c>
      <c r="I831" s="172">
        <v>3.6111111111111115E-2</v>
      </c>
      <c r="J831" s="175">
        <v>6.018518518518519E-4</v>
      </c>
      <c r="K831" s="143">
        <v>52</v>
      </c>
      <c r="L831" s="135" t="s">
        <v>640</v>
      </c>
      <c r="M831" s="135" t="s">
        <v>149</v>
      </c>
      <c r="N831" s="135" t="s">
        <v>102</v>
      </c>
      <c r="O831" s="135" t="s">
        <v>115</v>
      </c>
      <c r="P831" s="135">
        <v>1</v>
      </c>
      <c r="R831" s="135">
        <v>0</v>
      </c>
      <c r="S831" s="133" t="s">
        <v>176</v>
      </c>
      <c r="T831" s="135" t="s">
        <v>176</v>
      </c>
      <c r="U831" s="135" t="s">
        <v>122</v>
      </c>
      <c r="V831" s="135" t="s">
        <v>115</v>
      </c>
      <c r="W831" s="135" t="s">
        <v>115</v>
      </c>
      <c r="X831" s="135" t="s">
        <v>115</v>
      </c>
      <c r="Y831" s="135" t="s">
        <v>115</v>
      </c>
      <c r="AB831" s="135" t="s">
        <v>115</v>
      </c>
      <c r="AC831" s="137" t="s">
        <v>115</v>
      </c>
      <c r="AD831" s="137"/>
      <c r="AH831" s="143">
        <v>0</v>
      </c>
      <c r="AI831" s="143">
        <v>0</v>
      </c>
      <c r="AJ831" s="143">
        <v>0</v>
      </c>
      <c r="AK831" s="143">
        <v>0</v>
      </c>
      <c r="AL831" s="143">
        <v>16</v>
      </c>
      <c r="AM831" s="135">
        <v>0</v>
      </c>
      <c r="AN831" s="135">
        <f t="shared" si="14"/>
        <v>16</v>
      </c>
      <c r="AS831" s="133"/>
      <c r="AT831" s="133"/>
      <c r="AU831" s="133"/>
      <c r="AV831" s="133"/>
    </row>
    <row r="832" spans="1:48" s="133" customFormat="1" x14ac:dyDescent="0.2">
      <c r="A832" s="135" t="s">
        <v>1226</v>
      </c>
      <c r="B832" s="135" t="s">
        <v>1227</v>
      </c>
      <c r="C832" s="135">
        <v>2</v>
      </c>
      <c r="D832" s="135">
        <v>1</v>
      </c>
      <c r="E832" s="135" t="s">
        <v>3171</v>
      </c>
      <c r="F832" s="136">
        <v>43382</v>
      </c>
      <c r="G832" s="136" t="s">
        <v>4033</v>
      </c>
      <c r="H832" s="136" t="s">
        <v>4724</v>
      </c>
      <c r="I832" s="172">
        <v>1.2499999999999999E-2</v>
      </c>
      <c r="J832" s="175">
        <v>2.0833333333333335E-4</v>
      </c>
      <c r="K832" s="143">
        <v>18</v>
      </c>
      <c r="L832" s="135" t="s">
        <v>1278</v>
      </c>
      <c r="M832" s="135" t="s">
        <v>149</v>
      </c>
      <c r="N832" s="135" t="s">
        <v>102</v>
      </c>
      <c r="O832" s="135" t="s">
        <v>115</v>
      </c>
      <c r="P832" s="135">
        <v>1</v>
      </c>
      <c r="Q832" s="135"/>
      <c r="R832" s="135">
        <v>0</v>
      </c>
      <c r="S832" s="133" t="s">
        <v>14</v>
      </c>
      <c r="T832" s="135" t="s">
        <v>2130</v>
      </c>
      <c r="U832" s="135" t="s">
        <v>122</v>
      </c>
      <c r="V832" s="135" t="s">
        <v>115</v>
      </c>
      <c r="W832" s="135" t="s">
        <v>115</v>
      </c>
      <c r="X832" s="135" t="s">
        <v>115</v>
      </c>
      <c r="Y832" s="135" t="s">
        <v>115</v>
      </c>
      <c r="AB832" s="135" t="s">
        <v>115</v>
      </c>
      <c r="AC832" s="137" t="s">
        <v>115</v>
      </c>
      <c r="AD832" s="137"/>
      <c r="AH832" s="143">
        <v>0</v>
      </c>
      <c r="AI832" s="143">
        <v>0</v>
      </c>
      <c r="AJ832" s="143">
        <v>0</v>
      </c>
      <c r="AK832" s="143">
        <v>0</v>
      </c>
      <c r="AL832" s="143">
        <v>15</v>
      </c>
      <c r="AM832" s="135">
        <v>0</v>
      </c>
      <c r="AN832" s="135">
        <f t="shared" si="14"/>
        <v>15</v>
      </c>
      <c r="AO832" s="135"/>
      <c r="AP832" s="135"/>
      <c r="AQ832" s="135"/>
      <c r="AR832" s="135"/>
    </row>
    <row r="833" spans="1:48" s="133" customFormat="1" ht="17" customHeight="1" x14ac:dyDescent="0.2">
      <c r="A833" s="133" t="s">
        <v>1231</v>
      </c>
      <c r="B833" s="133" t="s">
        <v>1232</v>
      </c>
      <c r="C833" s="133">
        <v>4</v>
      </c>
      <c r="D833" s="133">
        <v>1</v>
      </c>
      <c r="E833" s="135" t="s">
        <v>3171</v>
      </c>
      <c r="F833" s="138">
        <v>43382</v>
      </c>
      <c r="G833" s="136" t="s">
        <v>4033</v>
      </c>
      <c r="H833" s="136" t="s">
        <v>4724</v>
      </c>
      <c r="I833" s="148">
        <v>6.9444444444444441E-3</v>
      </c>
      <c r="J833" s="174">
        <v>1.1574074074074073E-4</v>
      </c>
      <c r="K833" s="139">
        <v>10</v>
      </c>
      <c r="L833" s="133" t="s">
        <v>1278</v>
      </c>
      <c r="M833" s="133" t="s">
        <v>149</v>
      </c>
      <c r="N833" s="133" t="s">
        <v>111</v>
      </c>
      <c r="O833" s="133" t="s">
        <v>23</v>
      </c>
      <c r="P833" s="133">
        <v>0</v>
      </c>
      <c r="R833" s="133">
        <v>1</v>
      </c>
      <c r="S833" s="133" t="s">
        <v>176</v>
      </c>
      <c r="T833" s="133" t="s">
        <v>176</v>
      </c>
      <c r="U833" s="133" t="s">
        <v>24</v>
      </c>
      <c r="V833" s="133" t="s">
        <v>1233</v>
      </c>
      <c r="W833" s="140" t="s">
        <v>23</v>
      </c>
      <c r="X833" s="140" t="s">
        <v>3997</v>
      </c>
      <c r="Y833" s="140" t="s">
        <v>4016</v>
      </c>
      <c r="Z833" s="135"/>
      <c r="AA833" s="135"/>
      <c r="AB833" s="133" t="s">
        <v>24</v>
      </c>
      <c r="AC833" s="134">
        <v>63.724910000000001</v>
      </c>
      <c r="AD833" s="134">
        <v>148.94807</v>
      </c>
      <c r="AE833" s="135"/>
      <c r="AF833" s="135"/>
      <c r="AG833" s="135"/>
      <c r="AH833" s="139">
        <v>0</v>
      </c>
      <c r="AI833" s="139">
        <v>0</v>
      </c>
      <c r="AJ833" s="139">
        <v>0</v>
      </c>
      <c r="AK833" s="139">
        <v>0</v>
      </c>
      <c r="AL833" s="139">
        <v>0</v>
      </c>
      <c r="AM833" s="133">
        <v>0</v>
      </c>
      <c r="AN833" s="133">
        <f t="shared" si="14"/>
        <v>0</v>
      </c>
      <c r="AS833" s="135"/>
      <c r="AT833" s="135"/>
      <c r="AU833" s="135"/>
      <c r="AV833" s="135"/>
    </row>
    <row r="834" spans="1:48" s="133" customFormat="1" x14ac:dyDescent="0.2">
      <c r="A834" s="133" t="s">
        <v>1234</v>
      </c>
      <c r="B834" s="133" t="s">
        <v>1235</v>
      </c>
      <c r="C834" s="133">
        <v>5</v>
      </c>
      <c r="D834" s="133">
        <v>1</v>
      </c>
      <c r="E834" s="135" t="s">
        <v>3171</v>
      </c>
      <c r="F834" s="138">
        <v>43382</v>
      </c>
      <c r="G834" s="136" t="s">
        <v>4033</v>
      </c>
      <c r="H834" s="136" t="s">
        <v>4724</v>
      </c>
      <c r="I834" s="148">
        <v>9.7222222222222224E-3</v>
      </c>
      <c r="J834" s="174">
        <v>1.6203703703703703E-4</v>
      </c>
      <c r="K834" s="139">
        <v>14</v>
      </c>
      <c r="L834" s="133" t="s">
        <v>1278</v>
      </c>
      <c r="M834" s="133" t="s">
        <v>149</v>
      </c>
      <c r="N834" s="133" t="s">
        <v>111</v>
      </c>
      <c r="O834" s="133" t="s">
        <v>23</v>
      </c>
      <c r="P834" s="133">
        <v>0</v>
      </c>
      <c r="R834" s="133">
        <v>1</v>
      </c>
      <c r="S834" s="133" t="s">
        <v>176</v>
      </c>
      <c r="T834" s="133" t="s">
        <v>176</v>
      </c>
      <c r="U834" s="133" t="s">
        <v>24</v>
      </c>
      <c r="V834" s="133" t="s">
        <v>1057</v>
      </c>
      <c r="W834" s="140" t="s">
        <v>23</v>
      </c>
      <c r="X834" s="140" t="s">
        <v>3999</v>
      </c>
      <c r="Y834" s="140" t="s">
        <v>4005</v>
      </c>
      <c r="AB834" s="133" t="s">
        <v>24</v>
      </c>
      <c r="AC834" s="134">
        <v>63.724910000000001</v>
      </c>
      <c r="AD834" s="134">
        <v>148.94807</v>
      </c>
      <c r="AH834" s="139">
        <v>0</v>
      </c>
      <c r="AI834" s="139">
        <v>0</v>
      </c>
      <c r="AJ834" s="139">
        <v>0</v>
      </c>
      <c r="AK834" s="139">
        <v>0</v>
      </c>
      <c r="AL834" s="139">
        <v>0</v>
      </c>
      <c r="AM834" s="133">
        <v>0</v>
      </c>
      <c r="AN834" s="133">
        <f t="shared" si="14"/>
        <v>0</v>
      </c>
      <c r="AP834" s="133" t="s">
        <v>1236</v>
      </c>
    </row>
    <row r="835" spans="1:48" s="133" customFormat="1" x14ac:dyDescent="0.2">
      <c r="A835" s="133" t="s">
        <v>1240</v>
      </c>
      <c r="B835" s="133" t="s">
        <v>1241</v>
      </c>
      <c r="C835" s="133">
        <v>7</v>
      </c>
      <c r="D835" s="133">
        <v>1</v>
      </c>
      <c r="E835" s="135" t="s">
        <v>3171</v>
      </c>
      <c r="F835" s="138">
        <v>43382</v>
      </c>
      <c r="G835" s="136" t="s">
        <v>4033</v>
      </c>
      <c r="H835" s="136" t="s">
        <v>4724</v>
      </c>
      <c r="I835" s="148">
        <v>9.7222222222222224E-3</v>
      </c>
      <c r="J835" s="174">
        <v>1.6203703703703703E-4</v>
      </c>
      <c r="K835" s="139">
        <v>14</v>
      </c>
      <c r="L835" s="133" t="s">
        <v>1278</v>
      </c>
      <c r="M835" s="133" t="s">
        <v>149</v>
      </c>
      <c r="N835" s="133" t="s">
        <v>102</v>
      </c>
      <c r="O835" s="133" t="s">
        <v>23</v>
      </c>
      <c r="P835" s="133">
        <v>0</v>
      </c>
      <c r="R835" s="133">
        <v>0</v>
      </c>
      <c r="T835" s="133" t="s">
        <v>115</v>
      </c>
      <c r="U835" s="133" t="s">
        <v>115</v>
      </c>
      <c r="V835" s="133" t="s">
        <v>115</v>
      </c>
      <c r="W835" s="135" t="s">
        <v>115</v>
      </c>
      <c r="X835" s="135" t="s">
        <v>115</v>
      </c>
      <c r="Y835" s="135" t="s">
        <v>115</v>
      </c>
      <c r="Z835" s="135"/>
      <c r="AA835" s="135"/>
      <c r="AB835" s="133" t="s">
        <v>115</v>
      </c>
      <c r="AC835" s="134" t="s">
        <v>115</v>
      </c>
      <c r="AD835" s="134"/>
      <c r="AE835" s="135"/>
      <c r="AF835" s="135"/>
      <c r="AG835" s="135"/>
      <c r="AH835" s="139">
        <v>14</v>
      </c>
      <c r="AI835" s="139">
        <v>0</v>
      </c>
      <c r="AJ835" s="139">
        <v>14</v>
      </c>
      <c r="AK835" s="139">
        <v>0</v>
      </c>
      <c r="AL835" s="139">
        <v>0</v>
      </c>
      <c r="AM835" s="133">
        <v>0</v>
      </c>
      <c r="AN835" s="133">
        <f t="shared" si="14"/>
        <v>14</v>
      </c>
      <c r="AO835" s="133" t="s">
        <v>375</v>
      </c>
      <c r="AP835" s="133" t="s">
        <v>4997</v>
      </c>
      <c r="AQ835" s="133">
        <v>1</v>
      </c>
      <c r="AR835" s="133">
        <v>0</v>
      </c>
    </row>
    <row r="836" spans="1:48" s="135" customFormat="1" x14ac:dyDescent="0.2">
      <c r="A836" s="135" t="s">
        <v>1242</v>
      </c>
      <c r="B836" s="135" t="s">
        <v>1243</v>
      </c>
      <c r="C836" s="135">
        <v>8</v>
      </c>
      <c r="D836" s="135">
        <v>1</v>
      </c>
      <c r="E836" s="135" t="s">
        <v>3171</v>
      </c>
      <c r="F836" s="136">
        <v>43382</v>
      </c>
      <c r="G836" s="136" t="s">
        <v>4033</v>
      </c>
      <c r="H836" s="136" t="s">
        <v>4724</v>
      </c>
      <c r="I836" s="172">
        <v>2.0833333333333333E-3</v>
      </c>
      <c r="J836" s="175">
        <v>3.4722222222222222E-5</v>
      </c>
      <c r="K836" s="143">
        <v>3</v>
      </c>
      <c r="L836" s="135" t="s">
        <v>1278</v>
      </c>
      <c r="M836" s="135" t="s">
        <v>149</v>
      </c>
      <c r="N836" s="135" t="s">
        <v>102</v>
      </c>
      <c r="O836" s="135" t="s">
        <v>115</v>
      </c>
      <c r="P836" s="135">
        <v>1</v>
      </c>
      <c r="R836" s="135">
        <v>0</v>
      </c>
      <c r="S836" s="133" t="s">
        <v>176</v>
      </c>
      <c r="T836" s="135" t="s">
        <v>176</v>
      </c>
      <c r="U836" s="135" t="s">
        <v>122</v>
      </c>
      <c r="V836" s="135" t="s">
        <v>115</v>
      </c>
      <c r="W836" s="135" t="s">
        <v>115</v>
      </c>
      <c r="X836" s="135" t="s">
        <v>115</v>
      </c>
      <c r="Y836" s="135" t="s">
        <v>115</v>
      </c>
      <c r="AB836" s="135" t="s">
        <v>115</v>
      </c>
      <c r="AC836" s="137" t="s">
        <v>115</v>
      </c>
      <c r="AD836" s="137"/>
      <c r="AH836" s="143">
        <v>0</v>
      </c>
      <c r="AI836" s="143">
        <v>0</v>
      </c>
      <c r="AJ836" s="143">
        <v>0</v>
      </c>
      <c r="AK836" s="143">
        <v>0</v>
      </c>
      <c r="AL836" s="143">
        <v>10</v>
      </c>
      <c r="AM836" s="135">
        <v>0</v>
      </c>
      <c r="AN836" s="135">
        <f t="shared" si="14"/>
        <v>10</v>
      </c>
      <c r="AP836" s="135" t="s">
        <v>4998</v>
      </c>
      <c r="AS836" s="133"/>
      <c r="AT836" s="133"/>
      <c r="AU836" s="133"/>
      <c r="AV836" s="133"/>
    </row>
    <row r="837" spans="1:48" s="133" customFormat="1" x14ac:dyDescent="0.2">
      <c r="A837" s="135" t="s">
        <v>1244</v>
      </c>
      <c r="B837" s="135" t="s">
        <v>1245</v>
      </c>
      <c r="C837" s="135">
        <v>9</v>
      </c>
      <c r="D837" s="135">
        <v>1</v>
      </c>
      <c r="E837" s="135" t="s">
        <v>3171</v>
      </c>
      <c r="F837" s="136">
        <v>43382</v>
      </c>
      <c r="G837" s="136" t="s">
        <v>4033</v>
      </c>
      <c r="H837" s="136" t="s">
        <v>4724</v>
      </c>
      <c r="I837" s="172">
        <v>8.3333333333333332E-3</v>
      </c>
      <c r="J837" s="175">
        <v>1.3888888888888889E-4</v>
      </c>
      <c r="K837" s="143">
        <v>12</v>
      </c>
      <c r="L837" s="135" t="s">
        <v>1278</v>
      </c>
      <c r="M837" s="135" t="s">
        <v>149</v>
      </c>
      <c r="N837" s="135" t="s">
        <v>102</v>
      </c>
      <c r="O837" s="135" t="s">
        <v>115</v>
      </c>
      <c r="P837" s="135">
        <v>1</v>
      </c>
      <c r="Q837" s="135"/>
      <c r="R837" s="135">
        <v>0</v>
      </c>
      <c r="S837" s="133" t="s">
        <v>176</v>
      </c>
      <c r="T837" s="135" t="s">
        <v>176</v>
      </c>
      <c r="U837" s="135" t="s">
        <v>122</v>
      </c>
      <c r="V837" s="135" t="s">
        <v>115</v>
      </c>
      <c r="W837" s="135" t="s">
        <v>115</v>
      </c>
      <c r="X837" s="135" t="s">
        <v>115</v>
      </c>
      <c r="Y837" s="135" t="s">
        <v>115</v>
      </c>
      <c r="AB837" s="135" t="s">
        <v>115</v>
      </c>
      <c r="AC837" s="137" t="s">
        <v>115</v>
      </c>
      <c r="AD837" s="137"/>
      <c r="AH837" s="143">
        <v>0</v>
      </c>
      <c r="AI837" s="143">
        <v>0</v>
      </c>
      <c r="AJ837" s="143">
        <v>0</v>
      </c>
      <c r="AK837" s="143">
        <v>0</v>
      </c>
      <c r="AL837" s="143">
        <v>9</v>
      </c>
      <c r="AM837" s="135">
        <v>0</v>
      </c>
      <c r="AN837" s="135">
        <f t="shared" si="14"/>
        <v>9</v>
      </c>
      <c r="AO837" s="135"/>
      <c r="AP837" s="135"/>
      <c r="AQ837" s="135"/>
      <c r="AR837" s="135"/>
      <c r="AS837" s="135"/>
      <c r="AT837" s="135"/>
      <c r="AU837" s="135"/>
      <c r="AV837" s="135"/>
    </row>
    <row r="838" spans="1:48" s="135" customFormat="1" x14ac:dyDescent="0.2">
      <c r="A838" s="133" t="s">
        <v>1246</v>
      </c>
      <c r="B838" s="133" t="s">
        <v>1247</v>
      </c>
      <c r="C838" s="133">
        <v>10</v>
      </c>
      <c r="D838" s="133">
        <v>1</v>
      </c>
      <c r="E838" s="135" t="s">
        <v>3171</v>
      </c>
      <c r="F838" s="138">
        <v>43382</v>
      </c>
      <c r="G838" s="136" t="s">
        <v>4033</v>
      </c>
      <c r="H838" s="136" t="s">
        <v>4724</v>
      </c>
      <c r="I838" s="148">
        <v>3.472222222222222E-3</v>
      </c>
      <c r="J838" s="174">
        <v>5.7870370370370366E-5</v>
      </c>
      <c r="K838" s="139">
        <v>5</v>
      </c>
      <c r="L838" s="133" t="s">
        <v>1278</v>
      </c>
      <c r="M838" s="133" t="s">
        <v>149</v>
      </c>
      <c r="N838" s="133" t="s">
        <v>102</v>
      </c>
      <c r="O838" s="133" t="s">
        <v>23</v>
      </c>
      <c r="P838" s="133" t="s">
        <v>24</v>
      </c>
      <c r="Q838" s="133"/>
      <c r="R838" s="133">
        <v>0</v>
      </c>
      <c r="S838" s="133" t="s">
        <v>176</v>
      </c>
      <c r="T838" s="133" t="s">
        <v>176</v>
      </c>
      <c r="U838" s="133" t="s">
        <v>115</v>
      </c>
      <c r="V838" s="133" t="s">
        <v>115</v>
      </c>
      <c r="W838" s="135" t="s">
        <v>115</v>
      </c>
      <c r="X838" s="135" t="s">
        <v>115</v>
      </c>
      <c r="Y838" s="135" t="s">
        <v>115</v>
      </c>
      <c r="AB838" s="133" t="s">
        <v>115</v>
      </c>
      <c r="AC838" s="134" t="s">
        <v>115</v>
      </c>
      <c r="AD838" s="134"/>
      <c r="AH838" s="139">
        <v>5</v>
      </c>
      <c r="AI838" s="139">
        <v>0</v>
      </c>
      <c r="AJ838" s="139">
        <v>5</v>
      </c>
      <c r="AK838" s="139">
        <v>0</v>
      </c>
      <c r="AL838" s="139">
        <v>0</v>
      </c>
      <c r="AM838" s="133">
        <v>0</v>
      </c>
      <c r="AN838" s="133">
        <f t="shared" si="14"/>
        <v>5</v>
      </c>
      <c r="AO838" s="133" t="s">
        <v>375</v>
      </c>
      <c r="AP838" s="144" t="s">
        <v>4997</v>
      </c>
      <c r="AQ838" s="133">
        <v>2</v>
      </c>
      <c r="AR838" s="133">
        <v>0</v>
      </c>
      <c r="AS838" s="133"/>
      <c r="AT838" s="133"/>
      <c r="AU838" s="133"/>
      <c r="AV838" s="133"/>
    </row>
    <row r="839" spans="1:48" s="133" customFormat="1" x14ac:dyDescent="0.2">
      <c r="A839" s="135" t="s">
        <v>1248</v>
      </c>
      <c r="B839" s="135" t="s">
        <v>1249</v>
      </c>
      <c r="C839" s="135">
        <v>11</v>
      </c>
      <c r="D839" s="135">
        <v>1</v>
      </c>
      <c r="E839" s="135" t="s">
        <v>3171</v>
      </c>
      <c r="F839" s="136">
        <v>43382</v>
      </c>
      <c r="G839" s="136" t="s">
        <v>4033</v>
      </c>
      <c r="H839" s="136" t="s">
        <v>4724</v>
      </c>
      <c r="I839" s="172">
        <v>2.013888888888889E-2</v>
      </c>
      <c r="J839" s="175">
        <v>3.3564814814814812E-4</v>
      </c>
      <c r="K839" s="143">
        <v>29</v>
      </c>
      <c r="L839" s="135" t="s">
        <v>1278</v>
      </c>
      <c r="M839" s="135" t="s">
        <v>149</v>
      </c>
      <c r="N839" s="135" t="s">
        <v>102</v>
      </c>
      <c r="O839" s="135" t="s">
        <v>115</v>
      </c>
      <c r="P839" s="135" t="s">
        <v>24</v>
      </c>
      <c r="Q839" s="135"/>
      <c r="R839" s="135">
        <v>0</v>
      </c>
      <c r="S839" s="133" t="s">
        <v>176</v>
      </c>
      <c r="T839" s="135" t="s">
        <v>176</v>
      </c>
      <c r="U839" s="135" t="s">
        <v>115</v>
      </c>
      <c r="V839" s="135" t="s">
        <v>115</v>
      </c>
      <c r="W839" s="135" t="s">
        <v>115</v>
      </c>
      <c r="X839" s="135" t="s">
        <v>115</v>
      </c>
      <c r="Y839" s="135" t="s">
        <v>115</v>
      </c>
      <c r="Z839" s="135"/>
      <c r="AA839" s="135"/>
      <c r="AB839" s="135" t="s">
        <v>115</v>
      </c>
      <c r="AC839" s="137" t="s">
        <v>115</v>
      </c>
      <c r="AD839" s="137"/>
      <c r="AE839" s="135"/>
      <c r="AF839" s="135"/>
      <c r="AG839" s="135"/>
      <c r="AH839" s="143">
        <v>0</v>
      </c>
      <c r="AI839" s="143">
        <v>0</v>
      </c>
      <c r="AJ839" s="143">
        <v>0</v>
      </c>
      <c r="AK839" s="143">
        <v>0</v>
      </c>
      <c r="AL839" s="143">
        <v>21</v>
      </c>
      <c r="AM839" s="135">
        <v>0</v>
      </c>
      <c r="AN839" s="135">
        <f t="shared" si="14"/>
        <v>21</v>
      </c>
      <c r="AO839" s="135"/>
      <c r="AP839" s="135"/>
      <c r="AQ839" s="135"/>
      <c r="AR839" s="135"/>
    </row>
    <row r="840" spans="1:48" s="135" customFormat="1" x14ac:dyDescent="0.2">
      <c r="A840" s="133" t="s">
        <v>1250</v>
      </c>
      <c r="B840" s="133" t="s">
        <v>1251</v>
      </c>
      <c r="C840" s="133">
        <v>12</v>
      </c>
      <c r="D840" s="133">
        <v>1</v>
      </c>
      <c r="E840" s="135" t="s">
        <v>3171</v>
      </c>
      <c r="F840" s="138">
        <v>43382</v>
      </c>
      <c r="G840" s="136" t="s">
        <v>4033</v>
      </c>
      <c r="H840" s="136" t="s">
        <v>4724</v>
      </c>
      <c r="I840" s="148">
        <v>2.4305555555555556E-2</v>
      </c>
      <c r="J840" s="174">
        <v>4.0509259259259258E-4</v>
      </c>
      <c r="K840" s="139">
        <v>35</v>
      </c>
      <c r="L840" s="133" t="s">
        <v>1278</v>
      </c>
      <c r="M840" s="133" t="s">
        <v>149</v>
      </c>
      <c r="N840" s="133" t="s">
        <v>102</v>
      </c>
      <c r="O840" s="133" t="s">
        <v>23</v>
      </c>
      <c r="P840" s="133" t="s">
        <v>24</v>
      </c>
      <c r="Q840" s="133"/>
      <c r="R840" s="133">
        <v>0</v>
      </c>
      <c r="S840" s="133" t="s">
        <v>176</v>
      </c>
      <c r="T840" s="133" t="s">
        <v>176</v>
      </c>
      <c r="U840" s="133" t="s">
        <v>115</v>
      </c>
      <c r="V840" s="133" t="s">
        <v>115</v>
      </c>
      <c r="W840" s="135" t="s">
        <v>115</v>
      </c>
      <c r="X840" s="135" t="s">
        <v>115</v>
      </c>
      <c r="Y840" s="135" t="s">
        <v>115</v>
      </c>
      <c r="Z840" s="133"/>
      <c r="AA840" s="133"/>
      <c r="AB840" s="133" t="s">
        <v>115</v>
      </c>
      <c r="AC840" s="134" t="s">
        <v>115</v>
      </c>
      <c r="AD840" s="134"/>
      <c r="AE840" s="133"/>
      <c r="AF840" s="133"/>
      <c r="AG840" s="133"/>
      <c r="AH840" s="139">
        <v>13</v>
      </c>
      <c r="AI840" s="139">
        <v>0</v>
      </c>
      <c r="AJ840" s="139">
        <v>13</v>
      </c>
      <c r="AK840" s="139">
        <v>0</v>
      </c>
      <c r="AL840" s="139">
        <v>0</v>
      </c>
      <c r="AM840" s="133">
        <v>0</v>
      </c>
      <c r="AN840" s="133">
        <f t="shared" si="14"/>
        <v>13</v>
      </c>
      <c r="AO840" s="133" t="s">
        <v>375</v>
      </c>
      <c r="AP840" s="144" t="s">
        <v>4997</v>
      </c>
      <c r="AQ840" s="133">
        <v>4</v>
      </c>
      <c r="AR840" s="133">
        <v>0</v>
      </c>
    </row>
    <row r="841" spans="1:48" s="133" customFormat="1" x14ac:dyDescent="0.2">
      <c r="A841" s="133" t="s">
        <v>1252</v>
      </c>
      <c r="B841" s="133" t="s">
        <v>1253</v>
      </c>
      <c r="C841" s="133">
        <v>13</v>
      </c>
      <c r="D841" s="133">
        <v>1</v>
      </c>
      <c r="E841" s="135" t="s">
        <v>3171</v>
      </c>
      <c r="F841" s="138">
        <v>43382</v>
      </c>
      <c r="G841" s="136" t="s">
        <v>4033</v>
      </c>
      <c r="H841" s="136" t="s">
        <v>4724</v>
      </c>
      <c r="I841" s="148">
        <v>1.8749999999999999E-2</v>
      </c>
      <c r="J841" s="174">
        <v>3.1250000000000001E-4</v>
      </c>
      <c r="K841" s="139">
        <v>27</v>
      </c>
      <c r="L841" s="133" t="s">
        <v>1278</v>
      </c>
      <c r="M841" s="133" t="s">
        <v>149</v>
      </c>
      <c r="N841" s="133" t="s">
        <v>102</v>
      </c>
      <c r="O841" s="133" t="s">
        <v>23</v>
      </c>
      <c r="P841" s="133">
        <v>1</v>
      </c>
      <c r="R841" s="133">
        <v>0</v>
      </c>
      <c r="S841" s="133" t="s">
        <v>176</v>
      </c>
      <c r="T841" s="133" t="s">
        <v>176</v>
      </c>
      <c r="U841" s="133" t="s">
        <v>1254</v>
      </c>
      <c r="V841" s="133" t="s">
        <v>115</v>
      </c>
      <c r="W841" s="135" t="s">
        <v>115</v>
      </c>
      <c r="X841" s="135" t="s">
        <v>115</v>
      </c>
      <c r="Y841" s="135" t="s">
        <v>115</v>
      </c>
      <c r="AB841" s="133" t="s">
        <v>115</v>
      </c>
      <c r="AC841" s="134" t="s">
        <v>115</v>
      </c>
      <c r="AD841" s="134"/>
      <c r="AH841" s="139">
        <v>27</v>
      </c>
      <c r="AI841" s="139">
        <v>0</v>
      </c>
      <c r="AJ841" s="139">
        <v>0</v>
      </c>
      <c r="AK841" s="139">
        <v>27</v>
      </c>
      <c r="AL841" s="139">
        <v>0</v>
      </c>
      <c r="AM841" s="133">
        <v>0</v>
      </c>
      <c r="AN841" s="133">
        <f t="shared" si="14"/>
        <v>27</v>
      </c>
      <c r="AO841" s="133" t="s">
        <v>16</v>
      </c>
      <c r="AQ841" s="133">
        <v>0</v>
      </c>
      <c r="AR841" s="133">
        <v>5</v>
      </c>
      <c r="AS841" s="135"/>
      <c r="AT841" s="135"/>
      <c r="AU841" s="135"/>
      <c r="AV841" s="135"/>
    </row>
    <row r="842" spans="1:48" s="133" customFormat="1" x14ac:dyDescent="0.2">
      <c r="A842" s="133" t="s">
        <v>1255</v>
      </c>
      <c r="B842" s="133" t="s">
        <v>1256</v>
      </c>
      <c r="C842" s="133">
        <v>14</v>
      </c>
      <c r="D842" s="133">
        <v>1</v>
      </c>
      <c r="E842" s="135" t="s">
        <v>3171</v>
      </c>
      <c r="F842" s="138">
        <v>43382</v>
      </c>
      <c r="G842" s="136" t="s">
        <v>4033</v>
      </c>
      <c r="H842" s="136" t="s">
        <v>4724</v>
      </c>
      <c r="I842" s="148">
        <v>0.10069444444444443</v>
      </c>
      <c r="J842" s="174">
        <v>1.6782407407407406E-3</v>
      </c>
      <c r="K842" s="139">
        <v>145</v>
      </c>
      <c r="L842" s="133" t="s">
        <v>1278</v>
      </c>
      <c r="M842" s="133" t="s">
        <v>149</v>
      </c>
      <c r="N842" s="133" t="s">
        <v>102</v>
      </c>
      <c r="O842" s="133" t="s">
        <v>23</v>
      </c>
      <c r="P842" s="133">
        <v>1</v>
      </c>
      <c r="R842" s="133">
        <v>0</v>
      </c>
      <c r="S842" s="133" t="s">
        <v>176</v>
      </c>
      <c r="T842" s="133" t="s">
        <v>1131</v>
      </c>
      <c r="U842" s="133" t="s">
        <v>1257</v>
      </c>
      <c r="V842" s="133" t="s">
        <v>126</v>
      </c>
      <c r="W842" s="135" t="s">
        <v>115</v>
      </c>
      <c r="X842" s="135" t="s">
        <v>115</v>
      </c>
      <c r="Y842" s="135" t="s">
        <v>115</v>
      </c>
      <c r="Z842" s="135"/>
      <c r="AA842" s="135"/>
      <c r="AB842" s="133" t="s">
        <v>126</v>
      </c>
      <c r="AC842" s="134" t="s">
        <v>115</v>
      </c>
      <c r="AD842" s="134"/>
      <c r="AE842" s="135"/>
      <c r="AF842" s="135"/>
      <c r="AG842" s="135"/>
      <c r="AH842" s="139">
        <f>14+18+13</f>
        <v>45</v>
      </c>
      <c r="AI842" s="139">
        <f>15+21+2</f>
        <v>38</v>
      </c>
      <c r="AJ842" s="139">
        <v>0</v>
      </c>
      <c r="AK842" s="139">
        <f>14+15+18+21+13+2</f>
        <v>83</v>
      </c>
      <c r="AL842" s="139">
        <v>0</v>
      </c>
      <c r="AM842" s="133">
        <v>0</v>
      </c>
      <c r="AN842" s="133">
        <f t="shared" si="14"/>
        <v>83</v>
      </c>
      <c r="AO842" s="133" t="s">
        <v>375</v>
      </c>
      <c r="AQ842" s="133">
        <v>3</v>
      </c>
      <c r="AR842" s="133">
        <v>0</v>
      </c>
      <c r="AS842" s="135"/>
      <c r="AT842" s="135"/>
      <c r="AU842" s="135"/>
      <c r="AV842" s="135"/>
    </row>
    <row r="843" spans="1:48" s="135" customFormat="1" x14ac:dyDescent="0.2">
      <c r="A843" s="135" t="s">
        <v>1334</v>
      </c>
      <c r="B843" s="135" t="s">
        <v>1335</v>
      </c>
      <c r="C843" s="135">
        <v>5</v>
      </c>
      <c r="D843" s="135">
        <v>1</v>
      </c>
      <c r="E843" s="135" t="s">
        <v>3171</v>
      </c>
      <c r="F843" s="136">
        <v>43385</v>
      </c>
      <c r="G843" s="136" t="s">
        <v>4033</v>
      </c>
      <c r="H843" s="136" t="s">
        <v>4724</v>
      </c>
      <c r="I843" s="172">
        <v>3.3333333333333333E-2</v>
      </c>
      <c r="J843" s="175">
        <v>5.5555555555555556E-4</v>
      </c>
      <c r="K843" s="143">
        <v>48</v>
      </c>
      <c r="L843" s="135" t="s">
        <v>398</v>
      </c>
      <c r="M843" s="135" t="s">
        <v>149</v>
      </c>
      <c r="N843" s="135" t="s">
        <v>102</v>
      </c>
      <c r="O843" s="135" t="s">
        <v>115</v>
      </c>
      <c r="P843" s="135">
        <v>1</v>
      </c>
      <c r="R843" s="135">
        <v>0</v>
      </c>
      <c r="S843" s="133" t="s">
        <v>14</v>
      </c>
      <c r="T843" s="135" t="s">
        <v>2128</v>
      </c>
      <c r="U843" s="135" t="s">
        <v>122</v>
      </c>
      <c r="V843" s="135" t="s">
        <v>115</v>
      </c>
      <c r="W843" s="135" t="s">
        <v>115</v>
      </c>
      <c r="X843" s="135" t="s">
        <v>115</v>
      </c>
      <c r="Y843" s="135" t="s">
        <v>115</v>
      </c>
      <c r="AB843" s="135" t="s">
        <v>115</v>
      </c>
      <c r="AC843" s="137" t="s">
        <v>115</v>
      </c>
      <c r="AD843" s="137"/>
      <c r="AH843" s="143">
        <v>0</v>
      </c>
      <c r="AI843" s="143">
        <v>0</v>
      </c>
      <c r="AJ843" s="143">
        <v>0</v>
      </c>
      <c r="AK843" s="143">
        <v>0</v>
      </c>
      <c r="AL843" s="143">
        <v>16</v>
      </c>
      <c r="AM843" s="135">
        <v>0</v>
      </c>
      <c r="AN843" s="135">
        <f t="shared" si="14"/>
        <v>16</v>
      </c>
    </row>
    <row r="844" spans="1:48" s="135" customFormat="1" x14ac:dyDescent="0.2">
      <c r="A844" s="133" t="s">
        <v>1336</v>
      </c>
      <c r="B844" s="133" t="s">
        <v>1337</v>
      </c>
      <c r="C844" s="133">
        <v>6</v>
      </c>
      <c r="D844" s="133">
        <v>1</v>
      </c>
      <c r="E844" s="135" t="s">
        <v>3171</v>
      </c>
      <c r="F844" s="138">
        <v>43385</v>
      </c>
      <c r="G844" s="136" t="s">
        <v>4033</v>
      </c>
      <c r="H844" s="136" t="s">
        <v>4724</v>
      </c>
      <c r="I844" s="148">
        <v>1.1111111111111112E-2</v>
      </c>
      <c r="J844" s="174">
        <v>1.8518518518518518E-4</v>
      </c>
      <c r="K844" s="139">
        <v>16</v>
      </c>
      <c r="L844" s="133" t="s">
        <v>398</v>
      </c>
      <c r="M844" s="133" t="s">
        <v>149</v>
      </c>
      <c r="N844" s="133" t="s">
        <v>111</v>
      </c>
      <c r="O844" s="133" t="s">
        <v>23</v>
      </c>
      <c r="P844" s="133">
        <v>0</v>
      </c>
      <c r="Q844" s="133"/>
      <c r="R844" s="133">
        <v>1</v>
      </c>
      <c r="S844" s="133" t="s">
        <v>14</v>
      </c>
      <c r="T844" s="133" t="s">
        <v>2128</v>
      </c>
      <c r="U844" s="133" t="s">
        <v>122</v>
      </c>
      <c r="V844" s="133" t="s">
        <v>3963</v>
      </c>
      <c r="W844" s="140" t="s">
        <v>23</v>
      </c>
      <c r="X844" s="140" t="s">
        <v>3997</v>
      </c>
      <c r="Y844" s="140" t="s">
        <v>4007</v>
      </c>
      <c r="Z844" s="133"/>
      <c r="AA844" s="133"/>
      <c r="AB844" s="133" t="s">
        <v>1332</v>
      </c>
      <c r="AC844" s="149">
        <v>63.722360000000002</v>
      </c>
      <c r="AD844" s="150" t="s">
        <v>2105</v>
      </c>
      <c r="AE844" s="133"/>
      <c r="AF844" s="133"/>
      <c r="AG844" s="133"/>
      <c r="AH844" s="139">
        <v>0</v>
      </c>
      <c r="AI844" s="139">
        <v>0</v>
      </c>
      <c r="AJ844" s="139">
        <v>0</v>
      </c>
      <c r="AK844" s="139">
        <v>0</v>
      </c>
      <c r="AL844" s="139">
        <v>0</v>
      </c>
      <c r="AM844" s="133">
        <v>0</v>
      </c>
      <c r="AN844" s="133">
        <f t="shared" si="14"/>
        <v>0</v>
      </c>
      <c r="AO844" s="133"/>
      <c r="AP844" s="133"/>
      <c r="AQ844" s="133"/>
      <c r="AR844" s="133"/>
      <c r="AS844" s="133"/>
      <c r="AT844" s="133"/>
      <c r="AU844" s="133"/>
      <c r="AV844" s="133"/>
    </row>
    <row r="845" spans="1:48" s="133" customFormat="1" x14ac:dyDescent="0.2">
      <c r="A845" s="135" t="s">
        <v>1562</v>
      </c>
      <c r="B845" s="135" t="s">
        <v>1563</v>
      </c>
      <c r="C845" s="135">
        <v>4</v>
      </c>
      <c r="D845" s="135">
        <v>1</v>
      </c>
      <c r="E845" s="135" t="s">
        <v>3171</v>
      </c>
      <c r="F845" s="136">
        <v>43390</v>
      </c>
      <c r="G845" s="136" t="s">
        <v>4033</v>
      </c>
      <c r="H845" s="136" t="s">
        <v>4724</v>
      </c>
      <c r="I845" s="172">
        <v>8.3333333333333332E-3</v>
      </c>
      <c r="J845" s="175">
        <v>1.3888888888888889E-4</v>
      </c>
      <c r="K845" s="143">
        <v>12</v>
      </c>
      <c r="L845" s="135" t="s">
        <v>398</v>
      </c>
      <c r="M845" s="135" t="s">
        <v>149</v>
      </c>
      <c r="N845" s="135" t="s">
        <v>102</v>
      </c>
      <c r="O845" s="135" t="s">
        <v>115</v>
      </c>
      <c r="P845" s="135">
        <v>1</v>
      </c>
      <c r="Q845" s="135"/>
      <c r="R845" s="135">
        <v>0</v>
      </c>
      <c r="S845" s="133" t="s">
        <v>176</v>
      </c>
      <c r="T845" s="135" t="s">
        <v>176</v>
      </c>
      <c r="U845" s="135" t="s">
        <v>122</v>
      </c>
      <c r="V845" s="135" t="s">
        <v>115</v>
      </c>
      <c r="W845" s="135" t="s">
        <v>115</v>
      </c>
      <c r="X845" s="135" t="s">
        <v>115</v>
      </c>
      <c r="Y845" s="135" t="s">
        <v>115</v>
      </c>
      <c r="AB845" s="135" t="s">
        <v>115</v>
      </c>
      <c r="AC845" s="137" t="s">
        <v>115</v>
      </c>
      <c r="AD845" s="137"/>
      <c r="AH845" s="143">
        <v>0</v>
      </c>
      <c r="AI845" s="143">
        <v>0</v>
      </c>
      <c r="AJ845" s="143">
        <v>0</v>
      </c>
      <c r="AK845" s="143">
        <v>0</v>
      </c>
      <c r="AL845" s="143">
        <v>9</v>
      </c>
      <c r="AM845" s="135">
        <v>0</v>
      </c>
      <c r="AN845" s="135">
        <f t="shared" si="14"/>
        <v>9</v>
      </c>
      <c r="AO845" s="135"/>
      <c r="AP845" s="135" t="s">
        <v>1564</v>
      </c>
      <c r="AQ845" s="135"/>
      <c r="AR845" s="135"/>
      <c r="AS845" s="135"/>
      <c r="AT845" s="135"/>
      <c r="AU845" s="135"/>
      <c r="AV845" s="135"/>
    </row>
    <row r="846" spans="1:48" s="133" customFormat="1" x14ac:dyDescent="0.2">
      <c r="A846" s="133" t="s">
        <v>1567</v>
      </c>
      <c r="B846" s="133" t="s">
        <v>1576</v>
      </c>
      <c r="C846" s="133">
        <v>6</v>
      </c>
      <c r="D846" s="133">
        <v>1</v>
      </c>
      <c r="E846" s="135" t="s">
        <v>3171</v>
      </c>
      <c r="F846" s="138">
        <v>43390</v>
      </c>
      <c r="G846" s="136" t="s">
        <v>4033</v>
      </c>
      <c r="H846" s="136" t="s">
        <v>4724</v>
      </c>
      <c r="I846" s="148">
        <v>9.0277777777777787E-3</v>
      </c>
      <c r="J846" s="174">
        <v>1.5046296296296297E-4</v>
      </c>
      <c r="K846" s="139">
        <v>13</v>
      </c>
      <c r="L846" s="133" t="s">
        <v>398</v>
      </c>
      <c r="M846" s="133" t="s">
        <v>149</v>
      </c>
      <c r="N846" s="133" t="s">
        <v>102</v>
      </c>
      <c r="O846" s="133" t="s">
        <v>23</v>
      </c>
      <c r="P846" s="133">
        <v>1</v>
      </c>
      <c r="R846" s="133">
        <v>0</v>
      </c>
      <c r="S846" s="133" t="s">
        <v>176</v>
      </c>
      <c r="T846" s="133" t="s">
        <v>1569</v>
      </c>
      <c r="U846" s="133" t="s">
        <v>948</v>
      </c>
      <c r="V846" s="133" t="s">
        <v>115</v>
      </c>
      <c r="W846" s="135" t="s">
        <v>115</v>
      </c>
      <c r="X846" s="135" t="s">
        <v>115</v>
      </c>
      <c r="Y846" s="135" t="s">
        <v>115</v>
      </c>
      <c r="AB846" s="133" t="s">
        <v>115</v>
      </c>
      <c r="AC846" s="134" t="s">
        <v>115</v>
      </c>
      <c r="AD846" s="134"/>
      <c r="AH846" s="139">
        <v>0</v>
      </c>
      <c r="AI846" s="139">
        <v>10</v>
      </c>
      <c r="AJ846" s="139">
        <v>0</v>
      </c>
      <c r="AK846" s="139">
        <v>10</v>
      </c>
      <c r="AL846" s="139">
        <v>0</v>
      </c>
      <c r="AM846" s="133">
        <v>0</v>
      </c>
      <c r="AN846" s="133">
        <f t="shared" si="14"/>
        <v>10</v>
      </c>
      <c r="AS846" s="135"/>
      <c r="AT846" s="135"/>
      <c r="AU846" s="135"/>
      <c r="AV846" s="135"/>
    </row>
    <row r="847" spans="1:48" s="135" customFormat="1" x14ac:dyDescent="0.2">
      <c r="A847" s="133" t="s">
        <v>1570</v>
      </c>
      <c r="B847" s="133" t="s">
        <v>1577</v>
      </c>
      <c r="C847" s="133">
        <v>7</v>
      </c>
      <c r="D847" s="133">
        <v>1</v>
      </c>
      <c r="E847" s="135" t="s">
        <v>3171</v>
      </c>
      <c r="F847" s="138">
        <v>43390</v>
      </c>
      <c r="G847" s="136" t="s">
        <v>4033</v>
      </c>
      <c r="H847" s="136" t="s">
        <v>4724</v>
      </c>
      <c r="I847" s="148">
        <v>2.8472222222222222E-2</v>
      </c>
      <c r="J847" s="174">
        <v>4.7453703703703704E-4</v>
      </c>
      <c r="K847" s="139">
        <v>41</v>
      </c>
      <c r="L847" s="133" t="s">
        <v>398</v>
      </c>
      <c r="M847" s="133" t="s">
        <v>149</v>
      </c>
      <c r="N847" s="133" t="s">
        <v>102</v>
      </c>
      <c r="O847" s="133" t="s">
        <v>23</v>
      </c>
      <c r="P847" s="133" t="s">
        <v>24</v>
      </c>
      <c r="Q847" s="133"/>
      <c r="R847" s="133">
        <v>0</v>
      </c>
      <c r="S847" s="133"/>
      <c r="T847" s="133" t="s">
        <v>115</v>
      </c>
      <c r="U847" s="133" t="s">
        <v>115</v>
      </c>
      <c r="V847" s="133" t="s">
        <v>115</v>
      </c>
      <c r="W847" s="135" t="s">
        <v>115</v>
      </c>
      <c r="X847" s="135" t="s">
        <v>115</v>
      </c>
      <c r="Y847" s="135" t="s">
        <v>115</v>
      </c>
      <c r="AB847" s="133" t="s">
        <v>115</v>
      </c>
      <c r="AC847" s="134" t="s">
        <v>115</v>
      </c>
      <c r="AD847" s="134"/>
      <c r="AH847" s="139">
        <v>5</v>
      </c>
      <c r="AI847" s="139">
        <v>26</v>
      </c>
      <c r="AJ847" s="139">
        <v>0</v>
      </c>
      <c r="AK847" s="139">
        <v>31</v>
      </c>
      <c r="AL847" s="139">
        <v>0</v>
      </c>
      <c r="AM847" s="133">
        <v>0</v>
      </c>
      <c r="AN847" s="133">
        <f t="shared" si="14"/>
        <v>31</v>
      </c>
      <c r="AO847" s="133"/>
      <c r="AP847" s="133"/>
      <c r="AQ847" s="133"/>
      <c r="AR847" s="133"/>
    </row>
    <row r="848" spans="1:48" s="133" customFormat="1" x14ac:dyDescent="0.2">
      <c r="A848" s="133" t="s">
        <v>1793</v>
      </c>
      <c r="B848" s="133" t="s">
        <v>1794</v>
      </c>
      <c r="C848" s="133">
        <v>1</v>
      </c>
      <c r="D848" s="133">
        <v>1</v>
      </c>
      <c r="E848" s="135" t="s">
        <v>3171</v>
      </c>
      <c r="F848" s="138">
        <v>43397</v>
      </c>
      <c r="G848" s="136" t="s">
        <v>4033</v>
      </c>
      <c r="H848" s="136" t="s">
        <v>4724</v>
      </c>
      <c r="I848" s="148">
        <v>6.7361111111111108E-2</v>
      </c>
      <c r="J848" s="174">
        <v>1.1226851851851851E-3</v>
      </c>
      <c r="K848" s="139">
        <v>97</v>
      </c>
      <c r="M848" s="133" t="s">
        <v>149</v>
      </c>
      <c r="N848" s="133" t="s">
        <v>102</v>
      </c>
      <c r="O848" s="133" t="s">
        <v>23</v>
      </c>
      <c r="P848" s="133" t="s">
        <v>24</v>
      </c>
      <c r="R848" s="133">
        <v>0</v>
      </c>
      <c r="T848" s="133" t="s">
        <v>115</v>
      </c>
      <c r="U848" s="133" t="s">
        <v>115</v>
      </c>
      <c r="V848" s="133" t="s">
        <v>115</v>
      </c>
      <c r="W848" s="135" t="s">
        <v>115</v>
      </c>
      <c r="X848" s="135" t="s">
        <v>115</v>
      </c>
      <c r="Y848" s="135" t="s">
        <v>115</v>
      </c>
      <c r="AB848" s="133" t="s">
        <v>115</v>
      </c>
      <c r="AC848" s="134" t="s">
        <v>115</v>
      </c>
      <c r="AD848" s="134"/>
      <c r="AH848" s="139">
        <v>20</v>
      </c>
      <c r="AI848" s="139">
        <v>17</v>
      </c>
      <c r="AJ848" s="139">
        <v>20</v>
      </c>
      <c r="AK848" s="139">
        <v>17</v>
      </c>
      <c r="AL848" s="139">
        <v>0</v>
      </c>
      <c r="AM848" s="139">
        <v>0</v>
      </c>
      <c r="AN848" s="133">
        <f t="shared" si="14"/>
        <v>37</v>
      </c>
      <c r="AO848" s="133" t="s">
        <v>16</v>
      </c>
      <c r="AQ848" s="133">
        <v>0</v>
      </c>
      <c r="AR848" s="133">
        <v>1</v>
      </c>
    </row>
    <row r="849" spans="1:48" s="135" customFormat="1" x14ac:dyDescent="0.2">
      <c r="A849" s="133" t="s">
        <v>1795</v>
      </c>
      <c r="B849" s="133" t="s">
        <v>1796</v>
      </c>
      <c r="C849" s="133">
        <v>2</v>
      </c>
      <c r="D849" s="133">
        <v>1</v>
      </c>
      <c r="E849" s="135" t="s">
        <v>3171</v>
      </c>
      <c r="F849" s="138">
        <v>43397</v>
      </c>
      <c r="G849" s="136" t="s">
        <v>4033</v>
      </c>
      <c r="H849" s="136" t="s">
        <v>4724</v>
      </c>
      <c r="I849" s="148">
        <v>7.6388888888888886E-3</v>
      </c>
      <c r="J849" s="174">
        <v>1.273148148148148E-4</v>
      </c>
      <c r="K849" s="139">
        <v>11</v>
      </c>
      <c r="L849" s="133"/>
      <c r="M849" s="133" t="s">
        <v>149</v>
      </c>
      <c r="N849" s="133" t="s">
        <v>102</v>
      </c>
      <c r="O849" s="133" t="s">
        <v>23</v>
      </c>
      <c r="P849" s="133">
        <v>0</v>
      </c>
      <c r="Q849" s="133"/>
      <c r="R849" s="133">
        <v>0</v>
      </c>
      <c r="S849" s="133"/>
      <c r="T849" s="133" t="s">
        <v>115</v>
      </c>
      <c r="U849" s="133" t="s">
        <v>115</v>
      </c>
      <c r="V849" s="133" t="s">
        <v>115</v>
      </c>
      <c r="W849" s="135" t="s">
        <v>115</v>
      </c>
      <c r="X849" s="135" t="s">
        <v>115</v>
      </c>
      <c r="Y849" s="135" t="s">
        <v>115</v>
      </c>
      <c r="Z849" s="133"/>
      <c r="AA849" s="133"/>
      <c r="AB849" s="133" t="s">
        <v>115</v>
      </c>
      <c r="AC849" s="134" t="s">
        <v>115</v>
      </c>
      <c r="AD849" s="134"/>
      <c r="AE849" s="133"/>
      <c r="AF849" s="133"/>
      <c r="AG849" s="133"/>
      <c r="AH849" s="139">
        <v>8</v>
      </c>
      <c r="AI849" s="139">
        <v>0</v>
      </c>
      <c r="AJ849" s="139">
        <v>8</v>
      </c>
      <c r="AK849" s="139">
        <v>0</v>
      </c>
      <c r="AL849" s="139">
        <v>0</v>
      </c>
      <c r="AM849" s="139">
        <v>0</v>
      </c>
      <c r="AN849" s="133">
        <f t="shared" si="14"/>
        <v>8</v>
      </c>
      <c r="AO849" s="133" t="s">
        <v>188</v>
      </c>
      <c r="AP849" s="133"/>
      <c r="AQ849" s="133"/>
      <c r="AR849" s="133"/>
    </row>
    <row r="850" spans="1:48" s="133" customFormat="1" x14ac:dyDescent="0.2">
      <c r="A850" s="133" t="s">
        <v>1797</v>
      </c>
      <c r="B850" s="133" t="s">
        <v>1798</v>
      </c>
      <c r="C850" s="133">
        <v>3</v>
      </c>
      <c r="D850" s="133">
        <v>1</v>
      </c>
      <c r="E850" s="135" t="s">
        <v>3171</v>
      </c>
      <c r="F850" s="138">
        <v>43397</v>
      </c>
      <c r="G850" s="136" t="s">
        <v>4033</v>
      </c>
      <c r="H850" s="136" t="s">
        <v>4724</v>
      </c>
      <c r="I850" s="148">
        <v>1.7361111111111112E-2</v>
      </c>
      <c r="J850" s="174">
        <v>2.8935185185185189E-4</v>
      </c>
      <c r="K850" s="139">
        <v>25</v>
      </c>
      <c r="M850" s="133" t="s">
        <v>149</v>
      </c>
      <c r="N850" s="133" t="s">
        <v>102</v>
      </c>
      <c r="O850" s="133" t="s">
        <v>23</v>
      </c>
      <c r="P850" s="133" t="s">
        <v>24</v>
      </c>
      <c r="R850" s="133">
        <v>0</v>
      </c>
      <c r="T850" s="133" t="s">
        <v>115</v>
      </c>
      <c r="U850" s="133" t="s">
        <v>115</v>
      </c>
      <c r="V850" s="133" t="s">
        <v>115</v>
      </c>
      <c r="W850" s="135" t="s">
        <v>115</v>
      </c>
      <c r="X850" s="135" t="s">
        <v>115</v>
      </c>
      <c r="Y850" s="135" t="s">
        <v>115</v>
      </c>
      <c r="Z850" s="135"/>
      <c r="AA850" s="135"/>
      <c r="AB850" s="133" t="s">
        <v>115</v>
      </c>
      <c r="AC850" s="134" t="s">
        <v>115</v>
      </c>
      <c r="AD850" s="134"/>
      <c r="AE850" s="135"/>
      <c r="AF850" s="135"/>
      <c r="AG850" s="135"/>
      <c r="AH850" s="139">
        <v>0</v>
      </c>
      <c r="AI850" s="139">
        <v>21</v>
      </c>
      <c r="AJ850" s="139">
        <v>0</v>
      </c>
      <c r="AK850" s="139">
        <v>21</v>
      </c>
      <c r="AL850" s="139">
        <v>0</v>
      </c>
      <c r="AM850" s="139">
        <v>0</v>
      </c>
      <c r="AN850" s="133">
        <f t="shared" si="14"/>
        <v>21</v>
      </c>
      <c r="AO850" s="133" t="s">
        <v>188</v>
      </c>
      <c r="AS850" s="135"/>
      <c r="AT850" s="135"/>
      <c r="AU850" s="135"/>
      <c r="AV850" s="135"/>
    </row>
    <row r="851" spans="1:48" s="135" customFormat="1" x14ac:dyDescent="0.2">
      <c r="A851" s="133" t="s">
        <v>1799</v>
      </c>
      <c r="B851" s="133" t="s">
        <v>1800</v>
      </c>
      <c r="C851" s="133">
        <v>4</v>
      </c>
      <c r="D851" s="133">
        <v>1</v>
      </c>
      <c r="E851" s="135" t="s">
        <v>3171</v>
      </c>
      <c r="F851" s="138">
        <v>43397</v>
      </c>
      <c r="G851" s="136" t="s">
        <v>4033</v>
      </c>
      <c r="H851" s="136" t="s">
        <v>4724</v>
      </c>
      <c r="I851" s="148">
        <v>1.4583333333333332E-2</v>
      </c>
      <c r="J851" s="174">
        <v>2.4305555555555552E-4</v>
      </c>
      <c r="K851" s="139">
        <v>21</v>
      </c>
      <c r="L851" s="133"/>
      <c r="M851" s="133" t="s">
        <v>149</v>
      </c>
      <c r="N851" s="133" t="s">
        <v>102</v>
      </c>
      <c r="O851" s="133" t="s">
        <v>23</v>
      </c>
      <c r="P851" s="133">
        <v>0</v>
      </c>
      <c r="Q851" s="133"/>
      <c r="R851" s="133">
        <v>0</v>
      </c>
      <c r="S851" s="133"/>
      <c r="T851" s="133" t="s">
        <v>115</v>
      </c>
      <c r="U851" s="133" t="s">
        <v>115</v>
      </c>
      <c r="V851" s="133" t="s">
        <v>115</v>
      </c>
      <c r="W851" s="135" t="s">
        <v>115</v>
      </c>
      <c r="X851" s="135" t="s">
        <v>115</v>
      </c>
      <c r="Y851" s="135" t="s">
        <v>115</v>
      </c>
      <c r="Z851" s="133"/>
      <c r="AA851" s="133"/>
      <c r="AB851" s="133" t="s">
        <v>115</v>
      </c>
      <c r="AC851" s="134" t="s">
        <v>115</v>
      </c>
      <c r="AD851" s="134"/>
      <c r="AE851" s="133"/>
      <c r="AF851" s="133"/>
      <c r="AG851" s="133"/>
      <c r="AH851" s="139">
        <v>0</v>
      </c>
      <c r="AI851" s="139">
        <v>20</v>
      </c>
      <c r="AJ851" s="139">
        <v>0</v>
      </c>
      <c r="AK851" s="139">
        <v>20</v>
      </c>
      <c r="AL851" s="139">
        <v>0</v>
      </c>
      <c r="AM851" s="139">
        <v>0</v>
      </c>
      <c r="AN851" s="133">
        <f t="shared" si="14"/>
        <v>20</v>
      </c>
      <c r="AO851" s="133" t="s">
        <v>303</v>
      </c>
      <c r="AP851" s="133"/>
      <c r="AQ851" s="133"/>
      <c r="AR851" s="133"/>
      <c r="AS851" s="133"/>
      <c r="AT851" s="133"/>
      <c r="AU851" s="133"/>
      <c r="AV851" s="133"/>
    </row>
    <row r="852" spans="1:48" s="135" customFormat="1" x14ac:dyDescent="0.2">
      <c r="A852" s="133" t="s">
        <v>1807</v>
      </c>
      <c r="B852" s="133" t="s">
        <v>1808</v>
      </c>
      <c r="C852" s="133">
        <v>7</v>
      </c>
      <c r="D852" s="133">
        <v>1</v>
      </c>
      <c r="E852" s="135" t="s">
        <v>3171</v>
      </c>
      <c r="F852" s="138">
        <v>43397</v>
      </c>
      <c r="G852" s="136" t="s">
        <v>4033</v>
      </c>
      <c r="H852" s="136" t="s">
        <v>4724</v>
      </c>
      <c r="I852" s="148">
        <v>6.9444444444444441E-3</v>
      </c>
      <c r="J852" s="174">
        <v>1.1574074074074073E-4</v>
      </c>
      <c r="K852" s="139">
        <v>10</v>
      </c>
      <c r="L852" s="133"/>
      <c r="M852" s="133" t="s">
        <v>149</v>
      </c>
      <c r="N852" s="133" t="s">
        <v>102</v>
      </c>
      <c r="O852" s="133" t="s">
        <v>23</v>
      </c>
      <c r="P852" s="133">
        <v>0</v>
      </c>
      <c r="Q852" s="133"/>
      <c r="R852" s="133">
        <v>0</v>
      </c>
      <c r="S852" s="133"/>
      <c r="T852" s="133" t="s">
        <v>115</v>
      </c>
      <c r="U852" s="133" t="s">
        <v>115</v>
      </c>
      <c r="V852" s="133" t="s">
        <v>115</v>
      </c>
      <c r="W852" s="135" t="s">
        <v>115</v>
      </c>
      <c r="X852" s="135" t="s">
        <v>115</v>
      </c>
      <c r="Y852" s="135" t="s">
        <v>115</v>
      </c>
      <c r="Z852" s="133"/>
      <c r="AA852" s="133"/>
      <c r="AB852" s="133" t="s">
        <v>115</v>
      </c>
      <c r="AC852" s="134" t="s">
        <v>115</v>
      </c>
      <c r="AD852" s="134"/>
      <c r="AE852" s="133"/>
      <c r="AF852" s="133"/>
      <c r="AG852" s="133"/>
      <c r="AH852" s="139">
        <v>0</v>
      </c>
      <c r="AI852" s="139">
        <v>10</v>
      </c>
      <c r="AJ852" s="139">
        <v>0</v>
      </c>
      <c r="AK852" s="139">
        <v>10</v>
      </c>
      <c r="AL852" s="139">
        <v>0</v>
      </c>
      <c r="AM852" s="139">
        <v>0</v>
      </c>
      <c r="AN852" s="133">
        <f t="shared" si="14"/>
        <v>10</v>
      </c>
      <c r="AO852" s="133" t="s">
        <v>188</v>
      </c>
      <c r="AP852" s="133"/>
      <c r="AQ852" s="133"/>
      <c r="AR852" s="133"/>
    </row>
    <row r="853" spans="1:48" s="135" customFormat="1" x14ac:dyDescent="0.2">
      <c r="A853" s="133" t="s">
        <v>1971</v>
      </c>
      <c r="B853" s="133" t="s">
        <v>1972</v>
      </c>
      <c r="C853" s="133">
        <v>5</v>
      </c>
      <c r="D853" s="133">
        <v>1</v>
      </c>
      <c r="E853" s="135" t="s">
        <v>3171</v>
      </c>
      <c r="F853" s="138">
        <v>43404</v>
      </c>
      <c r="G853" s="136" t="s">
        <v>4033</v>
      </c>
      <c r="H853" s="136" t="s">
        <v>4724</v>
      </c>
      <c r="I853" s="148">
        <v>3.5416666666666666E-2</v>
      </c>
      <c r="J853" s="174">
        <v>5.9027777777777778E-4</v>
      </c>
      <c r="K853" s="139">
        <v>51</v>
      </c>
      <c r="L853" s="133" t="s">
        <v>101</v>
      </c>
      <c r="M853" s="133" t="s">
        <v>149</v>
      </c>
      <c r="N853" s="133" t="s">
        <v>102</v>
      </c>
      <c r="O853" s="133" t="s">
        <v>23</v>
      </c>
      <c r="P853" s="133" t="s">
        <v>24</v>
      </c>
      <c r="Q853" s="133"/>
      <c r="R853" s="133" t="s">
        <v>24</v>
      </c>
      <c r="S853" s="133" t="s">
        <v>176</v>
      </c>
      <c r="T853" s="133" t="s">
        <v>176</v>
      </c>
      <c r="U853" s="133" t="s">
        <v>115</v>
      </c>
      <c r="V853" s="133" t="s">
        <v>115</v>
      </c>
      <c r="W853" s="133"/>
      <c r="X853" s="133"/>
      <c r="Y853" s="133"/>
      <c r="Z853" s="133"/>
      <c r="AA853" s="133"/>
      <c r="AB853" s="133" t="s">
        <v>115</v>
      </c>
      <c r="AC853" s="134" t="s">
        <v>115</v>
      </c>
      <c r="AD853" s="134"/>
      <c r="AE853" s="133"/>
      <c r="AF853" s="133"/>
      <c r="AG853" s="133"/>
      <c r="AH853" s="139">
        <v>0</v>
      </c>
      <c r="AI853" s="139">
        <v>51</v>
      </c>
      <c r="AJ853" s="139">
        <v>0</v>
      </c>
      <c r="AK853" s="139">
        <v>51</v>
      </c>
      <c r="AL853" s="139">
        <v>0</v>
      </c>
      <c r="AM853" s="139">
        <v>0</v>
      </c>
      <c r="AN853" s="133">
        <f t="shared" si="14"/>
        <v>51</v>
      </c>
      <c r="AO853" s="133"/>
      <c r="AP853" s="133"/>
      <c r="AQ853" s="133"/>
      <c r="AR853" s="133"/>
      <c r="AS853" s="133"/>
      <c r="AT853" s="133"/>
      <c r="AU853" s="133"/>
      <c r="AV853" s="133"/>
    </row>
    <row r="854" spans="1:48" s="135" customFormat="1" x14ac:dyDescent="0.2">
      <c r="A854" s="135" t="s">
        <v>1975</v>
      </c>
      <c r="B854" s="135" t="s">
        <v>1976</v>
      </c>
      <c r="C854" s="135">
        <v>7</v>
      </c>
      <c r="D854" s="135">
        <v>1</v>
      </c>
      <c r="E854" s="135" t="s">
        <v>3171</v>
      </c>
      <c r="F854" s="136">
        <v>43404</v>
      </c>
      <c r="G854" s="136" t="s">
        <v>4033</v>
      </c>
      <c r="H854" s="136" t="s">
        <v>4724</v>
      </c>
      <c r="I854" s="172">
        <v>1.2499999999999999E-2</v>
      </c>
      <c r="J854" s="175">
        <v>2.0833333333333335E-4</v>
      </c>
      <c r="K854" s="143">
        <v>18</v>
      </c>
      <c r="L854" s="135" t="s">
        <v>101</v>
      </c>
      <c r="M854" s="135" t="s">
        <v>149</v>
      </c>
      <c r="N854" s="135" t="s">
        <v>102</v>
      </c>
      <c r="O854" s="135" t="s">
        <v>115</v>
      </c>
      <c r="P854" s="135">
        <v>0</v>
      </c>
      <c r="R854" s="135">
        <v>0</v>
      </c>
      <c r="T854" s="135" t="s">
        <v>115</v>
      </c>
      <c r="U854" s="135" t="s">
        <v>115</v>
      </c>
      <c r="V854" s="135" t="s">
        <v>115</v>
      </c>
      <c r="W854" s="135" t="s">
        <v>115</v>
      </c>
      <c r="X854" s="135" t="s">
        <v>115</v>
      </c>
      <c r="Y854" s="135" t="s">
        <v>115</v>
      </c>
      <c r="Z854" s="133"/>
      <c r="AA854" s="133"/>
      <c r="AB854" s="135" t="s">
        <v>115</v>
      </c>
      <c r="AC854" s="137" t="s">
        <v>115</v>
      </c>
      <c r="AD854" s="137"/>
      <c r="AE854" s="133"/>
      <c r="AF854" s="133"/>
      <c r="AG854" s="133"/>
      <c r="AH854" s="143">
        <v>0</v>
      </c>
      <c r="AI854" s="143">
        <v>0</v>
      </c>
      <c r="AJ854" s="143">
        <v>0</v>
      </c>
      <c r="AK854" s="143">
        <v>0</v>
      </c>
      <c r="AL854" s="143">
        <v>10</v>
      </c>
      <c r="AM854" s="143">
        <v>0</v>
      </c>
      <c r="AN854" s="135">
        <f t="shared" si="14"/>
        <v>10</v>
      </c>
      <c r="AS854" s="133"/>
      <c r="AT854" s="133"/>
      <c r="AU854" s="133"/>
      <c r="AV854" s="133"/>
    </row>
    <row r="855" spans="1:48" s="133" customFormat="1" x14ac:dyDescent="0.2">
      <c r="A855" s="135" t="s">
        <v>1977</v>
      </c>
      <c r="B855" s="135" t="s">
        <v>1978</v>
      </c>
      <c r="C855" s="135">
        <v>8</v>
      </c>
      <c r="D855" s="135">
        <v>1</v>
      </c>
      <c r="E855" s="135" t="s">
        <v>3171</v>
      </c>
      <c r="F855" s="136">
        <v>43404</v>
      </c>
      <c r="G855" s="136" t="s">
        <v>4033</v>
      </c>
      <c r="H855" s="136" t="s">
        <v>4724</v>
      </c>
      <c r="I855" s="172">
        <v>9.7222222222222224E-3</v>
      </c>
      <c r="J855" s="175">
        <v>1.6203703703703703E-4</v>
      </c>
      <c r="K855" s="143">
        <v>14</v>
      </c>
      <c r="L855" s="135" t="s">
        <v>101</v>
      </c>
      <c r="M855" s="135" t="s">
        <v>149</v>
      </c>
      <c r="N855" s="135" t="s">
        <v>102</v>
      </c>
      <c r="O855" s="135" t="s">
        <v>23</v>
      </c>
      <c r="P855" s="135" t="s">
        <v>24</v>
      </c>
      <c r="Q855" s="135"/>
      <c r="R855" s="135">
        <v>0</v>
      </c>
      <c r="S855" s="135"/>
      <c r="T855" s="135" t="s">
        <v>115</v>
      </c>
      <c r="U855" s="135" t="s">
        <v>115</v>
      </c>
      <c r="V855" s="135" t="s">
        <v>115</v>
      </c>
      <c r="W855" s="135" t="s">
        <v>115</v>
      </c>
      <c r="X855" s="135" t="s">
        <v>115</v>
      </c>
      <c r="Y855" s="135" t="s">
        <v>115</v>
      </c>
      <c r="Z855" s="135"/>
      <c r="AA855" s="135"/>
      <c r="AB855" s="135" t="s">
        <v>115</v>
      </c>
      <c r="AC855" s="137" t="s">
        <v>115</v>
      </c>
      <c r="AD855" s="137"/>
      <c r="AE855" s="135"/>
      <c r="AF855" s="135"/>
      <c r="AG855" s="135"/>
      <c r="AH855" s="143">
        <v>8</v>
      </c>
      <c r="AI855" s="143">
        <v>0</v>
      </c>
      <c r="AJ855" s="143">
        <v>0</v>
      </c>
      <c r="AK855" s="143">
        <v>8</v>
      </c>
      <c r="AL855" s="143">
        <v>4</v>
      </c>
      <c r="AM855" s="143">
        <v>0</v>
      </c>
      <c r="AN855" s="135">
        <f t="shared" si="14"/>
        <v>12</v>
      </c>
      <c r="AO855" s="135" t="s">
        <v>188</v>
      </c>
      <c r="AP855" s="135"/>
      <c r="AQ855" s="135"/>
      <c r="AR855" s="135"/>
    </row>
    <row r="856" spans="1:48" s="133" customFormat="1" x14ac:dyDescent="0.2">
      <c r="A856" s="133" t="s">
        <v>270</v>
      </c>
      <c r="D856" s="133">
        <v>1</v>
      </c>
      <c r="E856" s="135" t="s">
        <v>3171</v>
      </c>
      <c r="F856" s="138">
        <v>43382</v>
      </c>
      <c r="G856" s="136" t="s">
        <v>4033</v>
      </c>
      <c r="H856" s="136" t="s">
        <v>4724</v>
      </c>
      <c r="I856" s="148"/>
      <c r="J856" s="174"/>
      <c r="K856" s="139">
        <v>0</v>
      </c>
      <c r="L856" s="133" t="s">
        <v>1278</v>
      </c>
      <c r="M856" s="133" t="s">
        <v>149</v>
      </c>
      <c r="N856" s="133" t="s">
        <v>111</v>
      </c>
      <c r="O856" s="133" t="s">
        <v>12</v>
      </c>
      <c r="P856" s="133">
        <v>0</v>
      </c>
      <c r="R856" s="133">
        <v>1</v>
      </c>
      <c r="S856" s="133" t="s">
        <v>176</v>
      </c>
      <c r="T856" s="133" t="s">
        <v>176</v>
      </c>
      <c r="U856" s="133" t="s">
        <v>24</v>
      </c>
      <c r="V856" s="133" t="s">
        <v>24</v>
      </c>
      <c r="W856" s="140" t="s">
        <v>176</v>
      </c>
      <c r="X856" s="140" t="s">
        <v>176</v>
      </c>
      <c r="Y856" s="140" t="s">
        <v>176</v>
      </c>
      <c r="AB856" s="133" t="s">
        <v>24</v>
      </c>
      <c r="AC856" s="134">
        <v>63.723750000000003</v>
      </c>
      <c r="AD856" s="134">
        <v>148.95131000000001</v>
      </c>
      <c r="AH856" s="139">
        <v>0</v>
      </c>
      <c r="AI856" s="139">
        <v>0</v>
      </c>
      <c r="AJ856" s="139">
        <v>0</v>
      </c>
      <c r="AK856" s="139">
        <v>0</v>
      </c>
      <c r="AL856" s="139">
        <v>0</v>
      </c>
      <c r="AM856" s="133">
        <v>0</v>
      </c>
      <c r="AN856" s="133">
        <f t="shared" si="14"/>
        <v>0</v>
      </c>
      <c r="AP856" s="133" t="s">
        <v>4999</v>
      </c>
    </row>
    <row r="857" spans="1:48" s="135" customFormat="1" x14ac:dyDescent="0.2">
      <c r="A857" s="133" t="s">
        <v>1286</v>
      </c>
      <c r="B857" s="133" t="s">
        <v>1287</v>
      </c>
      <c r="C857" s="133">
        <v>3</v>
      </c>
      <c r="D857" s="133">
        <v>1</v>
      </c>
      <c r="E857" s="133" t="s">
        <v>324</v>
      </c>
      <c r="F857" s="138">
        <v>43384</v>
      </c>
      <c r="G857" s="136" t="s">
        <v>4033</v>
      </c>
      <c r="H857" s="136" t="s">
        <v>4724</v>
      </c>
      <c r="I857" s="148">
        <v>1.8055555555555557E-2</v>
      </c>
      <c r="J857" s="174">
        <v>3.0092592592592595E-4</v>
      </c>
      <c r="K857" s="139">
        <v>26</v>
      </c>
      <c r="L857" s="133"/>
      <c r="M857" s="133" t="s">
        <v>337</v>
      </c>
      <c r="N857" s="133" t="s">
        <v>221</v>
      </c>
      <c r="O857" s="133" t="s">
        <v>12</v>
      </c>
      <c r="P857" s="133" t="s">
        <v>24</v>
      </c>
      <c r="Q857" s="133"/>
      <c r="R857" s="133" t="s">
        <v>24</v>
      </c>
      <c r="S857" s="133" t="s">
        <v>176</v>
      </c>
      <c r="T857" s="133" t="s">
        <v>176</v>
      </c>
      <c r="U857" s="133" t="s">
        <v>604</v>
      </c>
      <c r="V857" s="133" t="s">
        <v>604</v>
      </c>
      <c r="W857" s="133"/>
      <c r="X857" s="133"/>
      <c r="Y857" s="133"/>
      <c r="Z857" s="133"/>
      <c r="AA857" s="133"/>
      <c r="AB857" s="133" t="s">
        <v>24</v>
      </c>
      <c r="AC857" s="134">
        <v>63.724080000000001</v>
      </c>
      <c r="AD857" s="134">
        <v>148.88910000000001</v>
      </c>
      <c r="AE857" s="133"/>
      <c r="AF857" s="133"/>
      <c r="AG857" s="133"/>
      <c r="AH857" s="139">
        <v>0</v>
      </c>
      <c r="AI857" s="139">
        <v>0</v>
      </c>
      <c r="AJ857" s="139">
        <v>0</v>
      </c>
      <c r="AK857" s="139">
        <v>0</v>
      </c>
      <c r="AL857" s="139">
        <v>0</v>
      </c>
      <c r="AM857" s="133">
        <v>0</v>
      </c>
      <c r="AN857" s="133">
        <f t="shared" si="14"/>
        <v>0</v>
      </c>
      <c r="AO857" s="133"/>
      <c r="AP857" s="133" t="s">
        <v>1288</v>
      </c>
      <c r="AQ857" s="133"/>
      <c r="AR857" s="133"/>
      <c r="AS857" s="133"/>
      <c r="AT857" s="133"/>
      <c r="AU857" s="133"/>
      <c r="AV857" s="133"/>
    </row>
    <row r="858" spans="1:48" s="133" customFormat="1" x14ac:dyDescent="0.2">
      <c r="A858" s="133" t="s">
        <v>1279</v>
      </c>
      <c r="B858" s="133" t="s">
        <v>1280</v>
      </c>
      <c r="C858" s="133">
        <v>1</v>
      </c>
      <c r="D858" s="133">
        <v>1</v>
      </c>
      <c r="E858" s="133" t="s">
        <v>324</v>
      </c>
      <c r="F858" s="138">
        <v>43384</v>
      </c>
      <c r="G858" s="136" t="s">
        <v>4033</v>
      </c>
      <c r="H858" s="136" t="s">
        <v>4724</v>
      </c>
      <c r="I858" s="148">
        <v>6.9444444444444447E-4</v>
      </c>
      <c r="J858" s="174">
        <v>1.1574074074074073E-5</v>
      </c>
      <c r="K858" s="139">
        <v>1</v>
      </c>
      <c r="L858" s="133" t="s">
        <v>884</v>
      </c>
      <c r="M858" s="133" t="s">
        <v>337</v>
      </c>
      <c r="N858" s="133" t="s">
        <v>107</v>
      </c>
      <c r="O858" s="133" t="s">
        <v>23</v>
      </c>
      <c r="P858" s="133">
        <v>1</v>
      </c>
      <c r="R858" s="133">
        <v>0</v>
      </c>
      <c r="S858" s="133" t="s">
        <v>598</v>
      </c>
      <c r="T858" s="133" t="s">
        <v>2107</v>
      </c>
      <c r="U858" s="133" t="s">
        <v>24</v>
      </c>
      <c r="V858" s="133" t="s">
        <v>115</v>
      </c>
      <c r="W858" s="135" t="s">
        <v>115</v>
      </c>
      <c r="X858" s="135" t="s">
        <v>115</v>
      </c>
      <c r="Y858" s="135" t="s">
        <v>115</v>
      </c>
      <c r="AB858" s="133" t="s">
        <v>115</v>
      </c>
      <c r="AC858" s="134" t="s">
        <v>115</v>
      </c>
      <c r="AD858" s="134"/>
      <c r="AH858" s="133">
        <v>0</v>
      </c>
      <c r="AI858" s="139">
        <v>0</v>
      </c>
      <c r="AJ858" s="139">
        <v>0</v>
      </c>
      <c r="AK858" s="139">
        <v>0</v>
      </c>
      <c r="AL858" s="139">
        <v>0</v>
      </c>
      <c r="AM858" s="133">
        <v>0</v>
      </c>
      <c r="AN858" s="133">
        <f t="shared" si="14"/>
        <v>0</v>
      </c>
      <c r="AP858" s="133" t="s">
        <v>1281</v>
      </c>
      <c r="AS858" s="135"/>
      <c r="AT858" s="135"/>
      <c r="AU858" s="135"/>
      <c r="AV858" s="135"/>
    </row>
    <row r="859" spans="1:48" s="133" customFormat="1" x14ac:dyDescent="0.2">
      <c r="A859" s="133" t="s">
        <v>1282</v>
      </c>
      <c r="B859" s="133" t="s">
        <v>1283</v>
      </c>
      <c r="C859" s="133">
        <v>2</v>
      </c>
      <c r="D859" s="133">
        <v>1</v>
      </c>
      <c r="E859" s="133" t="s">
        <v>324</v>
      </c>
      <c r="F859" s="138">
        <v>43384</v>
      </c>
      <c r="G859" s="136" t="s">
        <v>4033</v>
      </c>
      <c r="H859" s="136" t="s">
        <v>4724</v>
      </c>
      <c r="I859" s="148">
        <v>4.8611111111111112E-3</v>
      </c>
      <c r="J859" s="174">
        <v>4.8611111111111112E-3</v>
      </c>
      <c r="K859" s="139">
        <v>420</v>
      </c>
      <c r="M859" s="133" t="s">
        <v>337</v>
      </c>
      <c r="N859" s="133" t="s">
        <v>111</v>
      </c>
      <c r="O859" s="133" t="s">
        <v>115</v>
      </c>
      <c r="P859" s="133">
        <v>0</v>
      </c>
      <c r="R859" s="133">
        <v>1</v>
      </c>
      <c r="S859" s="133" t="s">
        <v>598</v>
      </c>
      <c r="T859" s="133" t="s">
        <v>2107</v>
      </c>
      <c r="U859" s="133" t="s">
        <v>24</v>
      </c>
      <c r="V859" s="133" t="s">
        <v>3980</v>
      </c>
      <c r="W859" s="135" t="s">
        <v>4013</v>
      </c>
      <c r="X859" s="135" t="s">
        <v>3997</v>
      </c>
      <c r="Y859" s="135" t="s">
        <v>4007</v>
      </c>
      <c r="AB859" s="133" t="s">
        <v>24</v>
      </c>
      <c r="AC859" s="134">
        <v>63.725389999999997</v>
      </c>
      <c r="AD859" s="134">
        <v>148.88972000000001</v>
      </c>
      <c r="AH859" s="139">
        <v>0</v>
      </c>
      <c r="AI859" s="139">
        <v>0</v>
      </c>
      <c r="AJ859" s="139">
        <v>0</v>
      </c>
      <c r="AK859" s="139">
        <v>0</v>
      </c>
      <c r="AL859" s="139">
        <v>0</v>
      </c>
      <c r="AM859" s="133">
        <v>0</v>
      </c>
      <c r="AN859" s="133">
        <f t="shared" si="14"/>
        <v>0</v>
      </c>
      <c r="AP859" s="133" t="s">
        <v>1285</v>
      </c>
    </row>
    <row r="860" spans="1:48" s="133" customFormat="1" x14ac:dyDescent="0.2">
      <c r="A860" s="133" t="s">
        <v>1293</v>
      </c>
      <c r="B860" s="133" t="s">
        <v>1294</v>
      </c>
      <c r="C860" s="133">
        <v>5</v>
      </c>
      <c r="D860" s="133">
        <v>1</v>
      </c>
      <c r="E860" s="133" t="s">
        <v>324</v>
      </c>
      <c r="F860" s="138">
        <v>43384</v>
      </c>
      <c r="G860" s="136" t="s">
        <v>4033</v>
      </c>
      <c r="H860" s="136" t="s">
        <v>4724</v>
      </c>
      <c r="I860" s="148">
        <v>1.3194444444444444E-2</v>
      </c>
      <c r="J860" s="174">
        <v>2.199074074074074E-4</v>
      </c>
      <c r="K860" s="139">
        <v>19</v>
      </c>
      <c r="L860" s="133" t="s">
        <v>398</v>
      </c>
      <c r="M860" s="133" t="s">
        <v>337</v>
      </c>
      <c r="N860" s="133" t="s">
        <v>111</v>
      </c>
      <c r="O860" s="133" t="s">
        <v>23</v>
      </c>
      <c r="P860" s="133">
        <v>0</v>
      </c>
      <c r="R860" s="133">
        <v>1</v>
      </c>
      <c r="S860" s="133" t="s">
        <v>176</v>
      </c>
      <c r="T860" s="133" t="s">
        <v>176</v>
      </c>
      <c r="U860" s="133" t="s">
        <v>122</v>
      </c>
      <c r="V860" s="133" t="s">
        <v>3963</v>
      </c>
      <c r="W860" s="135" t="s">
        <v>23</v>
      </c>
      <c r="X860" s="135" t="s">
        <v>3997</v>
      </c>
      <c r="Y860" s="135" t="s">
        <v>4007</v>
      </c>
      <c r="AB860" s="133">
        <v>101</v>
      </c>
      <c r="AC860" s="134">
        <v>63.72372</v>
      </c>
      <c r="AD860" s="134">
        <v>148.88693000000001</v>
      </c>
      <c r="AH860" s="139">
        <v>0</v>
      </c>
      <c r="AI860" s="139">
        <v>0</v>
      </c>
      <c r="AJ860" s="139">
        <v>0</v>
      </c>
      <c r="AK860" s="139">
        <v>0</v>
      </c>
      <c r="AL860" s="139">
        <v>0</v>
      </c>
      <c r="AM860" s="133">
        <v>0</v>
      </c>
      <c r="AN860" s="133">
        <f t="shared" si="14"/>
        <v>0</v>
      </c>
      <c r="AP860" s="133" t="s">
        <v>1295</v>
      </c>
      <c r="AS860" s="135"/>
      <c r="AT860" s="135"/>
      <c r="AU860" s="135"/>
      <c r="AV860" s="135"/>
    </row>
    <row r="861" spans="1:48" s="133" customFormat="1" x14ac:dyDescent="0.2">
      <c r="A861" s="135" t="s">
        <v>1500</v>
      </c>
      <c r="B861" s="135" t="s">
        <v>1501</v>
      </c>
      <c r="C861" s="135">
        <v>1</v>
      </c>
      <c r="D861" s="135">
        <v>1</v>
      </c>
      <c r="E861" s="135" t="s">
        <v>324</v>
      </c>
      <c r="F861" s="136">
        <v>43389</v>
      </c>
      <c r="G861" s="136" t="s">
        <v>4033</v>
      </c>
      <c r="H861" s="136" t="s">
        <v>4724</v>
      </c>
      <c r="I861" s="172">
        <v>6.2499999999999995E-3</v>
      </c>
      <c r="J861" s="175">
        <v>1.0416666666666667E-4</v>
      </c>
      <c r="K861" s="143">
        <v>9</v>
      </c>
      <c r="L861" s="135" t="s">
        <v>884</v>
      </c>
      <c r="M861" s="135" t="s">
        <v>337</v>
      </c>
      <c r="N861" s="135" t="s">
        <v>102</v>
      </c>
      <c r="O861" s="135" t="s">
        <v>115</v>
      </c>
      <c r="P861" s="135">
        <v>1</v>
      </c>
      <c r="Q861" s="135"/>
      <c r="R861" s="135">
        <v>0</v>
      </c>
      <c r="S861" s="133" t="s">
        <v>176</v>
      </c>
      <c r="T861" s="135" t="s">
        <v>176</v>
      </c>
      <c r="U861" s="135" t="s">
        <v>122</v>
      </c>
      <c r="V861" s="135" t="s">
        <v>115</v>
      </c>
      <c r="W861" s="135" t="s">
        <v>115</v>
      </c>
      <c r="X861" s="135" t="s">
        <v>115</v>
      </c>
      <c r="Y861" s="135" t="s">
        <v>115</v>
      </c>
      <c r="Z861" s="135"/>
      <c r="AA861" s="135"/>
      <c r="AB861" s="135" t="s">
        <v>115</v>
      </c>
      <c r="AC861" s="137" t="s">
        <v>115</v>
      </c>
      <c r="AD861" s="137"/>
      <c r="AE861" s="135"/>
      <c r="AF861" s="135"/>
      <c r="AG861" s="135"/>
      <c r="AH861" s="143">
        <v>0</v>
      </c>
      <c r="AI861" s="143">
        <v>0</v>
      </c>
      <c r="AJ861" s="143">
        <v>0</v>
      </c>
      <c r="AK861" s="143">
        <v>0</v>
      </c>
      <c r="AL861" s="143">
        <v>9</v>
      </c>
      <c r="AM861" s="135">
        <v>0</v>
      </c>
      <c r="AN861" s="135">
        <f t="shared" si="14"/>
        <v>9</v>
      </c>
      <c r="AO861" s="135"/>
      <c r="AP861" s="135" t="s">
        <v>1502</v>
      </c>
      <c r="AQ861" s="135"/>
      <c r="AR861" s="135"/>
    </row>
    <row r="862" spans="1:48" s="133" customFormat="1" x14ac:dyDescent="0.2">
      <c r="A862" s="135" t="s">
        <v>1503</v>
      </c>
      <c r="B862" s="135" t="s">
        <v>1504</v>
      </c>
      <c r="C862" s="135">
        <v>2</v>
      </c>
      <c r="D862" s="135">
        <v>1</v>
      </c>
      <c r="E862" s="135" t="s">
        <v>324</v>
      </c>
      <c r="F862" s="136">
        <v>43389</v>
      </c>
      <c r="G862" s="136" t="s">
        <v>4033</v>
      </c>
      <c r="H862" s="136" t="s">
        <v>4724</v>
      </c>
      <c r="I862" s="172">
        <v>4.027777777777778E-2</v>
      </c>
      <c r="J862" s="175">
        <v>6.7129629629629625E-4</v>
      </c>
      <c r="K862" s="143">
        <v>58</v>
      </c>
      <c r="L862" s="135" t="s">
        <v>398</v>
      </c>
      <c r="M862" s="135" t="s">
        <v>337</v>
      </c>
      <c r="N862" s="135" t="s">
        <v>102</v>
      </c>
      <c r="O862" s="135" t="s">
        <v>115</v>
      </c>
      <c r="P862" s="135">
        <v>2</v>
      </c>
      <c r="Q862" s="135"/>
      <c r="R862" s="135">
        <v>0</v>
      </c>
      <c r="S862" s="133" t="s">
        <v>176</v>
      </c>
      <c r="T862" s="135" t="s">
        <v>176</v>
      </c>
      <c r="U862" s="135" t="s">
        <v>122</v>
      </c>
      <c r="V862" s="135" t="s">
        <v>115</v>
      </c>
      <c r="W862" s="135" t="s">
        <v>115</v>
      </c>
      <c r="X862" s="135" t="s">
        <v>115</v>
      </c>
      <c r="Y862" s="135" t="s">
        <v>115</v>
      </c>
      <c r="AB862" s="135" t="s">
        <v>115</v>
      </c>
      <c r="AC862" s="137" t="s">
        <v>115</v>
      </c>
      <c r="AD862" s="137"/>
      <c r="AH862" s="143">
        <v>0</v>
      </c>
      <c r="AI862" s="143">
        <v>0</v>
      </c>
      <c r="AJ862" s="143">
        <v>0</v>
      </c>
      <c r="AK862" s="143">
        <v>0</v>
      </c>
      <c r="AL862" s="143">
        <v>58</v>
      </c>
      <c r="AM862" s="135">
        <v>0</v>
      </c>
      <c r="AN862" s="135">
        <f t="shared" si="14"/>
        <v>58</v>
      </c>
      <c r="AO862" s="135"/>
      <c r="AP862" s="135" t="s">
        <v>1502</v>
      </c>
      <c r="AQ862" s="135"/>
      <c r="AR862" s="135"/>
    </row>
    <row r="863" spans="1:48" s="133" customFormat="1" x14ac:dyDescent="0.2">
      <c r="A863" s="133" t="s">
        <v>1503</v>
      </c>
      <c r="B863" s="133" t="s">
        <v>1504</v>
      </c>
      <c r="C863" s="133">
        <v>2</v>
      </c>
      <c r="D863" s="133">
        <v>1</v>
      </c>
      <c r="E863" s="133" t="s">
        <v>324</v>
      </c>
      <c r="F863" s="138">
        <v>43389</v>
      </c>
      <c r="G863" s="136" t="s">
        <v>4033</v>
      </c>
      <c r="H863" s="136" t="s">
        <v>4724</v>
      </c>
      <c r="I863" s="148">
        <v>4.027777777777778E-2</v>
      </c>
      <c r="J863" s="174">
        <v>6.7129629629629625E-4</v>
      </c>
      <c r="K863" s="139">
        <v>58</v>
      </c>
      <c r="L863" s="133" t="s">
        <v>398</v>
      </c>
      <c r="M863" s="133" t="s">
        <v>337</v>
      </c>
      <c r="N863" s="133" t="s">
        <v>102</v>
      </c>
      <c r="O863" s="133" t="s">
        <v>115</v>
      </c>
      <c r="P863" s="133">
        <v>2</v>
      </c>
      <c r="R863" s="133">
        <v>0</v>
      </c>
      <c r="S863" s="133" t="s">
        <v>176</v>
      </c>
      <c r="T863" s="133" t="s">
        <v>176</v>
      </c>
      <c r="U863" s="133" t="s">
        <v>122</v>
      </c>
      <c r="V863" s="133" t="s">
        <v>115</v>
      </c>
      <c r="W863" s="135" t="s">
        <v>115</v>
      </c>
      <c r="X863" s="135" t="s">
        <v>115</v>
      </c>
      <c r="Y863" s="135" t="s">
        <v>115</v>
      </c>
      <c r="Z863" s="135"/>
      <c r="AA863" s="135"/>
      <c r="AB863" s="133" t="s">
        <v>115</v>
      </c>
      <c r="AC863" s="134" t="s">
        <v>115</v>
      </c>
      <c r="AD863" s="134"/>
      <c r="AE863" s="135"/>
      <c r="AF863" s="135"/>
      <c r="AG863" s="135"/>
      <c r="AH863" s="139">
        <v>0</v>
      </c>
      <c r="AI863" s="139">
        <v>0</v>
      </c>
      <c r="AJ863" s="139">
        <v>0</v>
      </c>
      <c r="AK863" s="139">
        <v>0</v>
      </c>
      <c r="AL863" s="139">
        <v>58</v>
      </c>
      <c r="AM863" s="133">
        <v>0</v>
      </c>
      <c r="AN863" s="133">
        <f t="shared" si="14"/>
        <v>58</v>
      </c>
      <c r="AP863" s="133" t="s">
        <v>1502</v>
      </c>
    </row>
    <row r="864" spans="1:48" s="133" customFormat="1" x14ac:dyDescent="0.2">
      <c r="A864" s="135" t="s">
        <v>1513</v>
      </c>
      <c r="B864" s="135" t="s">
        <v>1514</v>
      </c>
      <c r="C864" s="135">
        <v>7</v>
      </c>
      <c r="D864" s="135">
        <v>1</v>
      </c>
      <c r="E864" s="135" t="s">
        <v>324</v>
      </c>
      <c r="F864" s="136">
        <v>43389</v>
      </c>
      <c r="G864" s="136" t="s">
        <v>4033</v>
      </c>
      <c r="H864" s="136" t="s">
        <v>4724</v>
      </c>
      <c r="I864" s="172">
        <v>1.0416666666666666E-2</v>
      </c>
      <c r="J864" s="175">
        <v>1.7361111111111112E-4</v>
      </c>
      <c r="K864" s="143">
        <v>15</v>
      </c>
      <c r="L864" s="135" t="s">
        <v>398</v>
      </c>
      <c r="M864" s="135" t="s">
        <v>337</v>
      </c>
      <c r="N864" s="135" t="s">
        <v>102</v>
      </c>
      <c r="O864" s="135" t="s">
        <v>115</v>
      </c>
      <c r="P864" s="135">
        <v>1</v>
      </c>
      <c r="Q864" s="135"/>
      <c r="R864" s="135">
        <v>0</v>
      </c>
      <c r="S864" s="133" t="s">
        <v>176</v>
      </c>
      <c r="T864" s="135" t="s">
        <v>176</v>
      </c>
      <c r="U864" s="135" t="s">
        <v>122</v>
      </c>
      <c r="V864" s="135" t="s">
        <v>115</v>
      </c>
      <c r="W864" s="135" t="s">
        <v>115</v>
      </c>
      <c r="X864" s="135" t="s">
        <v>115</v>
      </c>
      <c r="Y864" s="135" t="s">
        <v>115</v>
      </c>
      <c r="Z864" s="135"/>
      <c r="AA864" s="135"/>
      <c r="AB864" s="135" t="s">
        <v>115</v>
      </c>
      <c r="AC864" s="137" t="s">
        <v>115</v>
      </c>
      <c r="AD864" s="137"/>
      <c r="AE864" s="135"/>
      <c r="AF864" s="135"/>
      <c r="AG864" s="135"/>
      <c r="AH864" s="143">
        <v>0</v>
      </c>
      <c r="AI864" s="143">
        <v>0</v>
      </c>
      <c r="AJ864" s="143">
        <v>0</v>
      </c>
      <c r="AK864" s="143">
        <v>0</v>
      </c>
      <c r="AL864" s="143">
        <v>15</v>
      </c>
      <c r="AM864" s="135">
        <v>0</v>
      </c>
      <c r="AN864" s="135">
        <f t="shared" si="14"/>
        <v>15</v>
      </c>
      <c r="AO864" s="135"/>
      <c r="AP864" s="135" t="s">
        <v>1502</v>
      </c>
      <c r="AQ864" s="135"/>
      <c r="AR864" s="135"/>
    </row>
    <row r="865" spans="1:48" s="133" customFormat="1" x14ac:dyDescent="0.2">
      <c r="A865" s="135" t="s">
        <v>1517</v>
      </c>
      <c r="B865" s="135" t="s">
        <v>1518</v>
      </c>
      <c r="C865" s="135">
        <v>9</v>
      </c>
      <c r="D865" s="135">
        <v>1</v>
      </c>
      <c r="E865" s="135" t="s">
        <v>324</v>
      </c>
      <c r="F865" s="136">
        <v>43389</v>
      </c>
      <c r="G865" s="136" t="s">
        <v>4033</v>
      </c>
      <c r="H865" s="136" t="s">
        <v>4724</v>
      </c>
      <c r="I865" s="172">
        <v>3.3333333333333333E-2</v>
      </c>
      <c r="J865" s="175">
        <v>5.5555555555555556E-4</v>
      </c>
      <c r="K865" s="143">
        <v>48</v>
      </c>
      <c r="L865" s="135" t="s">
        <v>398</v>
      </c>
      <c r="M865" s="135" t="s">
        <v>337</v>
      </c>
      <c r="N865" s="135" t="s">
        <v>102</v>
      </c>
      <c r="O865" s="135" t="s">
        <v>115</v>
      </c>
      <c r="P865" s="135" t="s">
        <v>24</v>
      </c>
      <c r="Q865" s="135"/>
      <c r="R865" s="135">
        <v>0</v>
      </c>
      <c r="S865" s="133" t="s">
        <v>176</v>
      </c>
      <c r="T865" s="135" t="s">
        <v>176</v>
      </c>
      <c r="U865" s="135" t="s">
        <v>115</v>
      </c>
      <c r="V865" s="135" t="s">
        <v>115</v>
      </c>
      <c r="W865" s="135" t="s">
        <v>115</v>
      </c>
      <c r="X865" s="135" t="s">
        <v>115</v>
      </c>
      <c r="Y865" s="135" t="s">
        <v>115</v>
      </c>
      <c r="AB865" s="135" t="s">
        <v>115</v>
      </c>
      <c r="AC865" s="137" t="s">
        <v>115</v>
      </c>
      <c r="AD865" s="137"/>
      <c r="AH865" s="143">
        <v>4</v>
      </c>
      <c r="AI865" s="143">
        <v>0</v>
      </c>
      <c r="AJ865" s="143">
        <v>0</v>
      </c>
      <c r="AK865" s="143">
        <v>4</v>
      </c>
      <c r="AL865" s="143">
        <v>0</v>
      </c>
      <c r="AM865" s="135">
        <v>0</v>
      </c>
      <c r="AN865" s="135">
        <f t="shared" si="14"/>
        <v>4</v>
      </c>
      <c r="AO865" s="135"/>
      <c r="AP865" s="135" t="s">
        <v>3981</v>
      </c>
      <c r="AQ865" s="135"/>
      <c r="AR865" s="135"/>
      <c r="AS865" s="135"/>
      <c r="AT865" s="135"/>
      <c r="AU865" s="135"/>
      <c r="AV865" s="135"/>
    </row>
    <row r="866" spans="1:48" s="135" customFormat="1" x14ac:dyDescent="0.2">
      <c r="A866" s="133" t="s">
        <v>2026</v>
      </c>
      <c r="B866" s="133" t="s">
        <v>2027</v>
      </c>
      <c r="C866" s="133">
        <v>1</v>
      </c>
      <c r="D866" s="133">
        <v>1</v>
      </c>
      <c r="E866" s="133" t="s">
        <v>324</v>
      </c>
      <c r="F866" s="138">
        <v>43403</v>
      </c>
      <c r="G866" s="136" t="s">
        <v>4033</v>
      </c>
      <c r="H866" s="136" t="s">
        <v>4724</v>
      </c>
      <c r="I866" s="148">
        <v>2.7777777777777776E-2</v>
      </c>
      <c r="J866" s="174">
        <v>4.6296296296296293E-4</v>
      </c>
      <c r="K866" s="139">
        <v>40</v>
      </c>
      <c r="L866" s="133" t="s">
        <v>2028</v>
      </c>
      <c r="M866" s="133" t="s">
        <v>337</v>
      </c>
      <c r="N866" s="133" t="s">
        <v>102</v>
      </c>
      <c r="O866" s="133" t="s">
        <v>12</v>
      </c>
      <c r="P866" s="133">
        <v>0</v>
      </c>
      <c r="Q866" s="133"/>
      <c r="R866" s="133">
        <v>0</v>
      </c>
      <c r="S866" s="133"/>
      <c r="T866" s="133" t="s">
        <v>115</v>
      </c>
      <c r="U866" s="133" t="s">
        <v>115</v>
      </c>
      <c r="V866" s="133" t="s">
        <v>115</v>
      </c>
      <c r="W866" s="135" t="s">
        <v>115</v>
      </c>
      <c r="X866" s="135" t="s">
        <v>115</v>
      </c>
      <c r="Y866" s="135" t="s">
        <v>115</v>
      </c>
      <c r="Z866" s="133"/>
      <c r="AA866" s="133"/>
      <c r="AB866" s="133" t="s">
        <v>115</v>
      </c>
      <c r="AC866" s="134" t="s">
        <v>115</v>
      </c>
      <c r="AD866" s="134"/>
      <c r="AE866" s="133"/>
      <c r="AF866" s="133"/>
      <c r="AG866" s="133"/>
      <c r="AH866" s="139">
        <v>17</v>
      </c>
      <c r="AI866" s="139">
        <v>0</v>
      </c>
      <c r="AJ866" s="139">
        <v>0</v>
      </c>
      <c r="AK866" s="139">
        <v>17</v>
      </c>
      <c r="AL866" s="139">
        <v>0</v>
      </c>
      <c r="AM866" s="139">
        <v>0</v>
      </c>
      <c r="AN866" s="133">
        <f t="shared" si="14"/>
        <v>17</v>
      </c>
      <c r="AO866" s="133"/>
      <c r="AP866" s="133"/>
      <c r="AQ866" s="133"/>
      <c r="AR866" s="133"/>
      <c r="AS866" s="133"/>
      <c r="AT866" s="133"/>
      <c r="AU866" s="133"/>
      <c r="AV866" s="133"/>
    </row>
    <row r="867" spans="1:48" s="133" customFormat="1" x14ac:dyDescent="0.2">
      <c r="A867" s="133" t="s">
        <v>1524</v>
      </c>
      <c r="B867" s="133" t="s">
        <v>1523</v>
      </c>
      <c r="C867" s="133">
        <v>1</v>
      </c>
      <c r="D867" s="133">
        <v>1</v>
      </c>
      <c r="E867" s="133" t="s">
        <v>100</v>
      </c>
      <c r="F867" s="138">
        <v>43389</v>
      </c>
      <c r="G867" s="136" t="s">
        <v>4033</v>
      </c>
      <c r="H867" s="136" t="s">
        <v>4724</v>
      </c>
      <c r="I867" s="148">
        <v>2.4305555555555556E-2</v>
      </c>
      <c r="J867" s="174">
        <v>4.0509259259259258E-4</v>
      </c>
      <c r="K867" s="139">
        <v>35</v>
      </c>
      <c r="L867" s="133" t="s">
        <v>398</v>
      </c>
      <c r="M867" s="133" t="s">
        <v>578</v>
      </c>
      <c r="N867" s="133" t="s">
        <v>102</v>
      </c>
      <c r="O867" s="133" t="s">
        <v>23</v>
      </c>
      <c r="P867" s="133">
        <v>0</v>
      </c>
      <c r="R867" s="133">
        <v>0</v>
      </c>
      <c r="T867" s="133" t="s">
        <v>115</v>
      </c>
      <c r="U867" s="133" t="s">
        <v>115</v>
      </c>
      <c r="V867" s="133" t="s">
        <v>115</v>
      </c>
      <c r="W867" s="135" t="s">
        <v>115</v>
      </c>
      <c r="X867" s="135" t="s">
        <v>115</v>
      </c>
      <c r="Y867" s="135" t="s">
        <v>115</v>
      </c>
      <c r="Z867" s="135"/>
      <c r="AA867" s="135"/>
      <c r="AB867" s="133" t="s">
        <v>115</v>
      </c>
      <c r="AC867" s="134" t="s">
        <v>115</v>
      </c>
      <c r="AD867" s="134"/>
      <c r="AE867" s="135"/>
      <c r="AF867" s="135"/>
      <c r="AG867" s="135"/>
      <c r="AH867" s="139">
        <v>5</v>
      </c>
      <c r="AI867" s="139">
        <v>0</v>
      </c>
      <c r="AJ867" s="139">
        <v>5</v>
      </c>
      <c r="AK867" s="139">
        <v>0</v>
      </c>
      <c r="AL867" s="139">
        <v>0</v>
      </c>
      <c r="AM867" s="133">
        <v>0</v>
      </c>
      <c r="AN867" s="133">
        <f t="shared" si="14"/>
        <v>5</v>
      </c>
      <c r="AS867" s="135"/>
      <c r="AT867" s="135"/>
      <c r="AU867" s="135"/>
      <c r="AV867" s="135"/>
    </row>
    <row r="868" spans="1:48" s="135" customFormat="1" x14ac:dyDescent="0.2">
      <c r="A868" s="133" t="s">
        <v>1525</v>
      </c>
      <c r="B868" s="133" t="s">
        <v>1526</v>
      </c>
      <c r="C868" s="133">
        <v>2</v>
      </c>
      <c r="D868" s="133">
        <v>1</v>
      </c>
      <c r="E868" s="133" t="s">
        <v>100</v>
      </c>
      <c r="F868" s="138">
        <v>43389</v>
      </c>
      <c r="G868" s="136" t="s">
        <v>4033</v>
      </c>
      <c r="H868" s="136" t="s">
        <v>4724</v>
      </c>
      <c r="I868" s="148">
        <v>2.013888888888889E-2</v>
      </c>
      <c r="J868" s="174">
        <v>3.3564814814814812E-4</v>
      </c>
      <c r="K868" s="139">
        <v>29</v>
      </c>
      <c r="L868" s="133" t="s">
        <v>398</v>
      </c>
      <c r="M868" s="133" t="s">
        <v>578</v>
      </c>
      <c r="N868" s="133" t="s">
        <v>102</v>
      </c>
      <c r="O868" s="133" t="s">
        <v>23</v>
      </c>
      <c r="P868" s="133">
        <v>0</v>
      </c>
      <c r="Q868" s="133"/>
      <c r="R868" s="133">
        <v>0</v>
      </c>
      <c r="S868" s="133"/>
      <c r="T868" s="133" t="s">
        <v>115</v>
      </c>
      <c r="U868" s="133" t="s">
        <v>115</v>
      </c>
      <c r="V868" s="133" t="s">
        <v>115</v>
      </c>
      <c r="W868" s="135" t="s">
        <v>115</v>
      </c>
      <c r="X868" s="135" t="s">
        <v>115</v>
      </c>
      <c r="Y868" s="135" t="s">
        <v>115</v>
      </c>
      <c r="AB868" s="133" t="s">
        <v>115</v>
      </c>
      <c r="AC868" s="134" t="s">
        <v>115</v>
      </c>
      <c r="AD868" s="134"/>
      <c r="AH868" s="139">
        <v>29</v>
      </c>
      <c r="AI868" s="139">
        <v>0</v>
      </c>
      <c r="AJ868" s="139">
        <v>29</v>
      </c>
      <c r="AK868" s="139">
        <v>0</v>
      </c>
      <c r="AL868" s="139">
        <v>0</v>
      </c>
      <c r="AM868" s="133">
        <v>0</v>
      </c>
      <c r="AN868" s="133">
        <f t="shared" si="14"/>
        <v>29</v>
      </c>
      <c r="AO868" s="133" t="s">
        <v>375</v>
      </c>
      <c r="AP868" s="133"/>
      <c r="AQ868" s="133">
        <v>1</v>
      </c>
      <c r="AR868" s="133">
        <v>0</v>
      </c>
    </row>
    <row r="869" spans="1:48" s="135" customFormat="1" x14ac:dyDescent="0.2">
      <c r="A869" s="133" t="s">
        <v>1535</v>
      </c>
      <c r="B869" s="133" t="s">
        <v>1536</v>
      </c>
      <c r="C869" s="133">
        <v>3</v>
      </c>
      <c r="D869" s="133">
        <v>1</v>
      </c>
      <c r="E869" s="133" t="s">
        <v>100</v>
      </c>
      <c r="F869" s="138">
        <v>43389</v>
      </c>
      <c r="G869" s="136" t="s">
        <v>4033</v>
      </c>
      <c r="H869" s="136" t="s">
        <v>4724</v>
      </c>
      <c r="I869" s="148">
        <v>3.4722222222222224E-2</v>
      </c>
      <c r="J869" s="174">
        <v>5.7870370370370378E-4</v>
      </c>
      <c r="K869" s="139">
        <v>50</v>
      </c>
      <c r="L869" s="133" t="s">
        <v>398</v>
      </c>
      <c r="M869" s="133" t="s">
        <v>578</v>
      </c>
      <c r="N869" s="133" t="s">
        <v>102</v>
      </c>
      <c r="O869" s="133" t="s">
        <v>23</v>
      </c>
      <c r="P869" s="133">
        <v>1</v>
      </c>
      <c r="Q869" s="133"/>
      <c r="R869" s="133">
        <v>0</v>
      </c>
      <c r="S869" s="133" t="s">
        <v>176</v>
      </c>
      <c r="T869" s="133" t="s">
        <v>176</v>
      </c>
      <c r="U869" s="133" t="s">
        <v>709</v>
      </c>
      <c r="V869" s="133" t="s">
        <v>115</v>
      </c>
      <c r="W869" s="135" t="s">
        <v>115</v>
      </c>
      <c r="X869" s="135" t="s">
        <v>115</v>
      </c>
      <c r="Y869" s="135" t="s">
        <v>115</v>
      </c>
      <c r="AB869" s="133" t="s">
        <v>115</v>
      </c>
      <c r="AC869" s="134" t="s">
        <v>115</v>
      </c>
      <c r="AD869" s="134"/>
      <c r="AH869" s="139">
        <v>50</v>
      </c>
      <c r="AI869" s="139">
        <v>0</v>
      </c>
      <c r="AJ869" s="139">
        <v>50</v>
      </c>
      <c r="AK869" s="139">
        <v>0</v>
      </c>
      <c r="AL869" s="139">
        <v>0</v>
      </c>
      <c r="AM869" s="133">
        <v>0</v>
      </c>
      <c r="AN869" s="133">
        <f t="shared" si="14"/>
        <v>50</v>
      </c>
      <c r="AO869" s="133"/>
      <c r="AP869" s="133"/>
      <c r="AQ869" s="133"/>
      <c r="AR869" s="133"/>
    </row>
    <row r="870" spans="1:48" s="135" customFormat="1" x14ac:dyDescent="0.2">
      <c r="A870" s="135" t="s">
        <v>1537</v>
      </c>
      <c r="B870" s="135" t="s">
        <v>1538</v>
      </c>
      <c r="C870" s="135">
        <v>4</v>
      </c>
      <c r="D870" s="135">
        <v>1</v>
      </c>
      <c r="E870" s="135" t="s">
        <v>100</v>
      </c>
      <c r="F870" s="136">
        <v>43389</v>
      </c>
      <c r="G870" s="136" t="s">
        <v>4033</v>
      </c>
      <c r="H870" s="136" t="s">
        <v>4724</v>
      </c>
      <c r="I870" s="172">
        <v>1.4583333333333332E-2</v>
      </c>
      <c r="J870" s="175">
        <v>2.4305555555555552E-4</v>
      </c>
      <c r="K870" s="143">
        <v>21</v>
      </c>
      <c r="L870" s="135" t="s">
        <v>398</v>
      </c>
      <c r="M870" s="135" t="s">
        <v>578</v>
      </c>
      <c r="N870" s="135" t="s">
        <v>102</v>
      </c>
      <c r="O870" s="135" t="s">
        <v>115</v>
      </c>
      <c r="P870" s="135">
        <v>1</v>
      </c>
      <c r="R870" s="135">
        <v>0</v>
      </c>
      <c r="S870" s="133" t="s">
        <v>14</v>
      </c>
      <c r="T870" s="135" t="s">
        <v>2128</v>
      </c>
      <c r="U870" s="135" t="s">
        <v>122</v>
      </c>
      <c r="V870" s="135" t="s">
        <v>115</v>
      </c>
      <c r="W870" s="135" t="s">
        <v>115</v>
      </c>
      <c r="X870" s="135" t="s">
        <v>115</v>
      </c>
      <c r="Y870" s="135" t="s">
        <v>115</v>
      </c>
      <c r="Z870" s="133"/>
      <c r="AA870" s="133"/>
      <c r="AB870" s="135" t="s">
        <v>115</v>
      </c>
      <c r="AC870" s="137" t="s">
        <v>115</v>
      </c>
      <c r="AD870" s="137"/>
      <c r="AE870" s="133"/>
      <c r="AF870" s="133"/>
      <c r="AG870" s="133"/>
      <c r="AH870" s="143">
        <v>0</v>
      </c>
      <c r="AI870" s="143">
        <v>0</v>
      </c>
      <c r="AJ870" s="143">
        <v>0</v>
      </c>
      <c r="AK870" s="143">
        <v>0</v>
      </c>
      <c r="AL870" s="143">
        <v>15</v>
      </c>
      <c r="AM870" s="135">
        <v>0</v>
      </c>
      <c r="AN870" s="135">
        <f t="shared" si="14"/>
        <v>15</v>
      </c>
    </row>
    <row r="871" spans="1:48" s="133" customFormat="1" x14ac:dyDescent="0.2">
      <c r="A871" s="133" t="s">
        <v>1539</v>
      </c>
      <c r="B871" s="133" t="s">
        <v>1540</v>
      </c>
      <c r="C871" s="133">
        <v>5</v>
      </c>
      <c r="D871" s="133">
        <v>1</v>
      </c>
      <c r="E871" s="133" t="s">
        <v>100</v>
      </c>
      <c r="F871" s="138">
        <v>43389</v>
      </c>
      <c r="G871" s="136" t="s">
        <v>4033</v>
      </c>
      <c r="H871" s="136" t="s">
        <v>4724</v>
      </c>
      <c r="I871" s="148">
        <v>1.8055555555555557E-2</v>
      </c>
      <c r="J871" s="174">
        <v>3.0092592592592595E-4</v>
      </c>
      <c r="K871" s="139">
        <v>26</v>
      </c>
      <c r="L871" s="133" t="s">
        <v>398</v>
      </c>
      <c r="M871" s="133" t="s">
        <v>578</v>
      </c>
      <c r="N871" s="133" t="s">
        <v>107</v>
      </c>
      <c r="O871" s="133" t="s">
        <v>115</v>
      </c>
      <c r="P871" s="133">
        <v>1</v>
      </c>
      <c r="R871" s="133">
        <v>0</v>
      </c>
      <c r="S871" s="133" t="s">
        <v>176</v>
      </c>
      <c r="T871" s="133" t="s">
        <v>176</v>
      </c>
      <c r="U871" s="133" t="s">
        <v>24</v>
      </c>
      <c r="V871" s="133" t="s">
        <v>115</v>
      </c>
      <c r="W871" s="135" t="s">
        <v>115</v>
      </c>
      <c r="X871" s="135" t="s">
        <v>115</v>
      </c>
      <c r="Y871" s="135" t="s">
        <v>115</v>
      </c>
      <c r="AB871" s="133" t="s">
        <v>115</v>
      </c>
      <c r="AC871" s="134" t="s">
        <v>115</v>
      </c>
      <c r="AD871" s="134"/>
      <c r="AH871" s="139">
        <v>0</v>
      </c>
      <c r="AI871" s="139">
        <v>0</v>
      </c>
      <c r="AJ871" s="139">
        <v>0</v>
      </c>
      <c r="AK871" s="139">
        <v>0</v>
      </c>
      <c r="AL871" s="139">
        <v>0</v>
      </c>
      <c r="AM871" s="133">
        <v>0</v>
      </c>
      <c r="AN871" s="133">
        <f t="shared" si="14"/>
        <v>0</v>
      </c>
      <c r="AS871" s="135"/>
      <c r="AT871" s="135"/>
      <c r="AU871" s="135"/>
      <c r="AV871" s="135"/>
    </row>
    <row r="872" spans="1:48" s="135" customFormat="1" x14ac:dyDescent="0.2">
      <c r="A872" s="133" t="s">
        <v>1541</v>
      </c>
      <c r="B872" s="133" t="s">
        <v>1542</v>
      </c>
      <c r="C872" s="133">
        <v>6</v>
      </c>
      <c r="D872" s="133">
        <v>1</v>
      </c>
      <c r="E872" s="133" t="s">
        <v>100</v>
      </c>
      <c r="F872" s="138">
        <v>43389</v>
      </c>
      <c r="G872" s="136" t="s">
        <v>4033</v>
      </c>
      <c r="H872" s="136" t="s">
        <v>4724</v>
      </c>
      <c r="I872" s="148">
        <v>1.9444444444444445E-2</v>
      </c>
      <c r="J872" s="174">
        <v>3.2407407407407406E-4</v>
      </c>
      <c r="K872" s="139">
        <v>28</v>
      </c>
      <c r="L872" s="133" t="s">
        <v>398</v>
      </c>
      <c r="M872" s="133" t="s">
        <v>578</v>
      </c>
      <c r="N872" s="133" t="s">
        <v>102</v>
      </c>
      <c r="O872" s="133" t="s">
        <v>23</v>
      </c>
      <c r="P872" s="133">
        <v>0</v>
      </c>
      <c r="Q872" s="133"/>
      <c r="R872" s="133">
        <v>0</v>
      </c>
      <c r="S872" s="133"/>
      <c r="T872" s="133" t="s">
        <v>115</v>
      </c>
      <c r="U872" s="133" t="s">
        <v>115</v>
      </c>
      <c r="V872" s="133" t="s">
        <v>115</v>
      </c>
      <c r="W872" s="135" t="s">
        <v>115</v>
      </c>
      <c r="X872" s="135" t="s">
        <v>115</v>
      </c>
      <c r="Y872" s="135" t="s">
        <v>115</v>
      </c>
      <c r="AB872" s="133" t="s">
        <v>115</v>
      </c>
      <c r="AC872" s="134" t="s">
        <v>115</v>
      </c>
      <c r="AD872" s="134"/>
      <c r="AH872" s="139">
        <v>26</v>
      </c>
      <c r="AI872" s="139">
        <v>0</v>
      </c>
      <c r="AJ872" s="139">
        <v>26</v>
      </c>
      <c r="AK872" s="139">
        <v>0</v>
      </c>
      <c r="AL872" s="139">
        <v>0</v>
      </c>
      <c r="AM872" s="133">
        <v>0</v>
      </c>
      <c r="AN872" s="133">
        <f t="shared" si="14"/>
        <v>26</v>
      </c>
      <c r="AO872" s="133"/>
      <c r="AP872" s="133"/>
      <c r="AQ872" s="133"/>
      <c r="AR872" s="133"/>
      <c r="AS872" s="133"/>
      <c r="AT872" s="133"/>
      <c r="AU872" s="133"/>
      <c r="AV872" s="133"/>
    </row>
    <row r="873" spans="1:48" s="135" customFormat="1" x14ac:dyDescent="0.2">
      <c r="A873" s="133" t="s">
        <v>1764</v>
      </c>
      <c r="B873" s="133" t="s">
        <v>1765</v>
      </c>
      <c r="C873" s="133">
        <v>1</v>
      </c>
      <c r="D873" s="133">
        <v>1</v>
      </c>
      <c r="E873" s="133" t="s">
        <v>100</v>
      </c>
      <c r="F873" s="138">
        <v>43397</v>
      </c>
      <c r="G873" s="136" t="s">
        <v>4033</v>
      </c>
      <c r="H873" s="136" t="s">
        <v>4724</v>
      </c>
      <c r="I873" s="148">
        <v>1.1805555555555555E-2</v>
      </c>
      <c r="J873" s="174">
        <v>1.9675925925925926E-4</v>
      </c>
      <c r="K873" s="139">
        <v>17</v>
      </c>
      <c r="L873" s="133"/>
      <c r="M873" s="133" t="s">
        <v>578</v>
      </c>
      <c r="N873" s="133" t="s">
        <v>107</v>
      </c>
      <c r="O873" s="133" t="s">
        <v>23</v>
      </c>
      <c r="P873" s="133">
        <v>1</v>
      </c>
      <c r="Q873" s="133"/>
      <c r="R873" s="133">
        <v>0</v>
      </c>
      <c r="S873" s="133" t="s">
        <v>461</v>
      </c>
      <c r="T873" s="133" t="s">
        <v>461</v>
      </c>
      <c r="U873" s="133" t="s">
        <v>24</v>
      </c>
      <c r="V873" s="133" t="s">
        <v>115</v>
      </c>
      <c r="W873" s="135" t="s">
        <v>115</v>
      </c>
      <c r="X873" s="135" t="s">
        <v>115</v>
      </c>
      <c r="Y873" s="135" t="s">
        <v>115</v>
      </c>
      <c r="Z873" s="133"/>
      <c r="AA873" s="133"/>
      <c r="AB873" s="133" t="s">
        <v>115</v>
      </c>
      <c r="AC873" s="134" t="s">
        <v>115</v>
      </c>
      <c r="AD873" s="134"/>
      <c r="AE873" s="133"/>
      <c r="AF873" s="133"/>
      <c r="AG873" s="133"/>
      <c r="AH873" s="139">
        <v>0</v>
      </c>
      <c r="AI873" s="139">
        <v>0</v>
      </c>
      <c r="AJ873" s="139">
        <v>0</v>
      </c>
      <c r="AK873" s="139">
        <v>0</v>
      </c>
      <c r="AL873" s="139">
        <v>0</v>
      </c>
      <c r="AM873" s="139">
        <v>0</v>
      </c>
      <c r="AN873" s="133">
        <f t="shared" si="14"/>
        <v>0</v>
      </c>
      <c r="AO873" s="133"/>
      <c r="AP873" s="133"/>
      <c r="AQ873" s="133"/>
      <c r="AR873" s="133"/>
      <c r="AS873" s="133"/>
      <c r="AT873" s="133"/>
      <c r="AU873" s="133"/>
      <c r="AV873" s="133"/>
    </row>
    <row r="874" spans="1:48" s="135" customFormat="1" x14ac:dyDescent="0.2">
      <c r="A874" s="133" t="s">
        <v>1766</v>
      </c>
      <c r="B874" s="133" t="s">
        <v>1767</v>
      </c>
      <c r="C874" s="133">
        <v>2</v>
      </c>
      <c r="D874" s="133">
        <v>1</v>
      </c>
      <c r="E874" s="133" t="s">
        <v>100</v>
      </c>
      <c r="F874" s="138">
        <v>43397</v>
      </c>
      <c r="G874" s="136" t="s">
        <v>4033</v>
      </c>
      <c r="H874" s="136" t="s">
        <v>4724</v>
      </c>
      <c r="I874" s="148">
        <v>1.7361111111111112E-2</v>
      </c>
      <c r="J874" s="174">
        <v>2.8935185185185189E-4</v>
      </c>
      <c r="K874" s="139">
        <v>25</v>
      </c>
      <c r="L874" s="133"/>
      <c r="M874" s="133" t="s">
        <v>578</v>
      </c>
      <c r="N874" s="133" t="s">
        <v>107</v>
      </c>
      <c r="O874" s="133" t="s">
        <v>23</v>
      </c>
      <c r="P874" s="133">
        <v>0</v>
      </c>
      <c r="Q874" s="133"/>
      <c r="R874" s="133">
        <v>0</v>
      </c>
      <c r="S874" s="133" t="s">
        <v>461</v>
      </c>
      <c r="T874" s="133" t="s">
        <v>461</v>
      </c>
      <c r="U874" s="133" t="s">
        <v>24</v>
      </c>
      <c r="V874" s="133" t="s">
        <v>115</v>
      </c>
      <c r="W874" s="135" t="s">
        <v>115</v>
      </c>
      <c r="X874" s="135" t="s">
        <v>115</v>
      </c>
      <c r="Y874" s="135" t="s">
        <v>115</v>
      </c>
      <c r="AB874" s="133" t="s">
        <v>115</v>
      </c>
      <c r="AC874" s="134" t="s">
        <v>115</v>
      </c>
      <c r="AD874" s="134"/>
      <c r="AH874" s="139">
        <v>0</v>
      </c>
      <c r="AI874" s="139">
        <v>0</v>
      </c>
      <c r="AJ874" s="139">
        <v>0</v>
      </c>
      <c r="AK874" s="139">
        <v>0</v>
      </c>
      <c r="AL874" s="139">
        <v>0</v>
      </c>
      <c r="AM874" s="139">
        <v>0</v>
      </c>
      <c r="AN874" s="133">
        <f t="shared" si="14"/>
        <v>0</v>
      </c>
      <c r="AO874" s="133"/>
      <c r="AP874" s="133" t="s">
        <v>1768</v>
      </c>
      <c r="AQ874" s="133"/>
      <c r="AR874" s="133"/>
      <c r="AS874" s="133"/>
      <c r="AT874" s="133"/>
      <c r="AU874" s="133"/>
      <c r="AV874" s="133"/>
    </row>
    <row r="875" spans="1:48" s="133" customFormat="1" x14ac:dyDescent="0.2">
      <c r="A875" s="133" t="s">
        <v>1769</v>
      </c>
      <c r="B875" s="133" t="s">
        <v>1770</v>
      </c>
      <c r="C875" s="133">
        <v>3</v>
      </c>
      <c r="D875" s="133">
        <v>1</v>
      </c>
      <c r="E875" s="133" t="s">
        <v>100</v>
      </c>
      <c r="F875" s="138">
        <v>43397</v>
      </c>
      <c r="G875" s="136" t="s">
        <v>4033</v>
      </c>
      <c r="H875" s="136" t="s">
        <v>4724</v>
      </c>
      <c r="I875" s="148">
        <v>4.8611111111111112E-3</v>
      </c>
      <c r="J875" s="174">
        <v>8.1018518518518516E-5</v>
      </c>
      <c r="K875" s="139">
        <v>7</v>
      </c>
      <c r="M875" s="133" t="s">
        <v>578</v>
      </c>
      <c r="N875" s="133" t="s">
        <v>107</v>
      </c>
      <c r="O875" s="133" t="s">
        <v>23</v>
      </c>
      <c r="P875" s="133">
        <v>0</v>
      </c>
      <c r="R875" s="133">
        <v>0</v>
      </c>
      <c r="S875" s="133" t="s">
        <v>461</v>
      </c>
      <c r="T875" s="133" t="s">
        <v>461</v>
      </c>
      <c r="U875" s="133" t="s">
        <v>24</v>
      </c>
      <c r="V875" s="133" t="s">
        <v>115</v>
      </c>
      <c r="W875" s="135" t="s">
        <v>115</v>
      </c>
      <c r="X875" s="135" t="s">
        <v>115</v>
      </c>
      <c r="Y875" s="135" t="s">
        <v>115</v>
      </c>
      <c r="Z875" s="135"/>
      <c r="AA875" s="135"/>
      <c r="AB875" s="133" t="s">
        <v>115</v>
      </c>
      <c r="AC875" s="134" t="s">
        <v>115</v>
      </c>
      <c r="AD875" s="134"/>
      <c r="AE875" s="135"/>
      <c r="AF875" s="135"/>
      <c r="AG875" s="135"/>
      <c r="AH875" s="133">
        <v>0</v>
      </c>
      <c r="AI875" s="139">
        <v>0</v>
      </c>
      <c r="AJ875" s="139">
        <v>0</v>
      </c>
      <c r="AK875" s="139">
        <v>0</v>
      </c>
      <c r="AL875" s="139">
        <v>0</v>
      </c>
      <c r="AM875" s="139">
        <v>0</v>
      </c>
      <c r="AN875" s="133">
        <f t="shared" si="14"/>
        <v>0</v>
      </c>
      <c r="AP875" s="133" t="s">
        <v>1768</v>
      </c>
    </row>
    <row r="876" spans="1:48" s="135" customFormat="1" x14ac:dyDescent="0.2">
      <c r="A876" s="133" t="s">
        <v>1771</v>
      </c>
      <c r="B876" s="133" t="s">
        <v>1772</v>
      </c>
      <c r="C876" s="133">
        <v>4</v>
      </c>
      <c r="D876" s="133">
        <v>1</v>
      </c>
      <c r="E876" s="133" t="s">
        <v>100</v>
      </c>
      <c r="F876" s="138">
        <v>43397</v>
      </c>
      <c r="G876" s="136" t="s">
        <v>4033</v>
      </c>
      <c r="H876" s="136" t="s">
        <v>4724</v>
      </c>
      <c r="I876" s="148">
        <v>1.7361111111111112E-2</v>
      </c>
      <c r="J876" s="174">
        <v>2.8935185185185189E-4</v>
      </c>
      <c r="K876" s="139">
        <v>25</v>
      </c>
      <c r="L876" s="133"/>
      <c r="M876" s="133" t="s">
        <v>578</v>
      </c>
      <c r="N876" s="133" t="s">
        <v>102</v>
      </c>
      <c r="O876" s="133" t="s">
        <v>23</v>
      </c>
      <c r="P876" s="133" t="s">
        <v>24</v>
      </c>
      <c r="Q876" s="133"/>
      <c r="R876" s="133">
        <v>0</v>
      </c>
      <c r="S876" s="133"/>
      <c r="T876" s="133" t="s">
        <v>115</v>
      </c>
      <c r="U876" s="133" t="s">
        <v>115</v>
      </c>
      <c r="V876" s="133" t="s">
        <v>115</v>
      </c>
      <c r="W876" s="135" t="s">
        <v>115</v>
      </c>
      <c r="X876" s="135" t="s">
        <v>115</v>
      </c>
      <c r="Y876" s="135" t="s">
        <v>115</v>
      </c>
      <c r="AB876" s="133" t="s">
        <v>115</v>
      </c>
      <c r="AC876" s="134" t="s">
        <v>115</v>
      </c>
      <c r="AD876" s="134"/>
      <c r="AH876" s="139">
        <v>25</v>
      </c>
      <c r="AI876" s="139">
        <v>0</v>
      </c>
      <c r="AJ876" s="139">
        <v>25</v>
      </c>
      <c r="AK876" s="139">
        <v>0</v>
      </c>
      <c r="AL876" s="139">
        <v>0</v>
      </c>
      <c r="AM876" s="139">
        <v>0</v>
      </c>
      <c r="AN876" s="133">
        <f t="shared" si="14"/>
        <v>25</v>
      </c>
      <c r="AO876" s="133" t="s">
        <v>188</v>
      </c>
      <c r="AP876" s="133"/>
      <c r="AQ876" s="133"/>
      <c r="AR876" s="133"/>
    </row>
    <row r="877" spans="1:48" s="135" customFormat="1" x14ac:dyDescent="0.2">
      <c r="A877" s="133" t="s">
        <v>1778</v>
      </c>
      <c r="B877" s="133" t="s">
        <v>1779</v>
      </c>
      <c r="C877" s="133">
        <v>5</v>
      </c>
      <c r="D877" s="133">
        <v>1</v>
      </c>
      <c r="E877" s="133" t="s">
        <v>100</v>
      </c>
      <c r="F877" s="138">
        <v>43397</v>
      </c>
      <c r="G877" s="136" t="s">
        <v>4033</v>
      </c>
      <c r="H877" s="136" t="s">
        <v>4724</v>
      </c>
      <c r="I877" s="148">
        <v>1.3888888888888888E-2</v>
      </c>
      <c r="J877" s="174">
        <v>2.3148148148148146E-4</v>
      </c>
      <c r="K877" s="139">
        <v>20</v>
      </c>
      <c r="L877" s="133"/>
      <c r="M877" s="133" t="s">
        <v>578</v>
      </c>
      <c r="N877" s="133" t="s">
        <v>102</v>
      </c>
      <c r="O877" s="133" t="s">
        <v>23</v>
      </c>
      <c r="P877" s="133">
        <v>0</v>
      </c>
      <c r="Q877" s="133"/>
      <c r="R877" s="133">
        <v>0</v>
      </c>
      <c r="S877" s="133"/>
      <c r="T877" s="133" t="s">
        <v>115</v>
      </c>
      <c r="U877" s="133" t="s">
        <v>115</v>
      </c>
      <c r="V877" s="133" t="s">
        <v>115</v>
      </c>
      <c r="W877" s="135" t="s">
        <v>115</v>
      </c>
      <c r="X877" s="135" t="s">
        <v>115</v>
      </c>
      <c r="Y877" s="135" t="s">
        <v>115</v>
      </c>
      <c r="Z877" s="133"/>
      <c r="AA877" s="133"/>
      <c r="AB877" s="133" t="s">
        <v>115</v>
      </c>
      <c r="AC877" s="134" t="s">
        <v>115</v>
      </c>
      <c r="AD877" s="134"/>
      <c r="AE877" s="133"/>
      <c r="AF877" s="133"/>
      <c r="AG877" s="133"/>
      <c r="AH877" s="139">
        <v>10</v>
      </c>
      <c r="AI877" s="139">
        <v>6</v>
      </c>
      <c r="AJ877" s="139">
        <v>10</v>
      </c>
      <c r="AK877" s="139">
        <v>6</v>
      </c>
      <c r="AL877" s="139">
        <v>0</v>
      </c>
      <c r="AM877" s="139">
        <v>0</v>
      </c>
      <c r="AN877" s="133">
        <f t="shared" si="14"/>
        <v>16</v>
      </c>
      <c r="AO877" s="133" t="s">
        <v>188</v>
      </c>
      <c r="AP877" s="133"/>
      <c r="AQ877" s="133"/>
      <c r="AR877" s="133"/>
      <c r="AS877" s="133"/>
      <c r="AT877" s="133"/>
      <c r="AU877" s="133"/>
      <c r="AV877" s="133"/>
    </row>
    <row r="878" spans="1:48" s="133" customFormat="1" x14ac:dyDescent="0.2">
      <c r="A878" s="135" t="s">
        <v>1787</v>
      </c>
      <c r="B878" s="135" t="s">
        <v>1788</v>
      </c>
      <c r="C878" s="135">
        <v>6</v>
      </c>
      <c r="D878" s="135">
        <v>1</v>
      </c>
      <c r="E878" s="135" t="s">
        <v>100</v>
      </c>
      <c r="F878" s="136">
        <v>43397</v>
      </c>
      <c r="G878" s="136" t="s">
        <v>4033</v>
      </c>
      <c r="H878" s="136" t="s">
        <v>4724</v>
      </c>
      <c r="I878" s="172">
        <v>1.8055555555555557E-2</v>
      </c>
      <c r="J878" s="175">
        <v>3.0092592592592595E-4</v>
      </c>
      <c r="K878" s="143">
        <v>26</v>
      </c>
      <c r="L878" s="135"/>
      <c r="M878" s="135" t="s">
        <v>578</v>
      </c>
      <c r="N878" s="135" t="s">
        <v>102</v>
      </c>
      <c r="O878" s="135" t="s">
        <v>23</v>
      </c>
      <c r="P878" s="135" t="s">
        <v>24</v>
      </c>
      <c r="Q878" s="135"/>
      <c r="R878" s="135">
        <v>0</v>
      </c>
      <c r="S878" s="135"/>
      <c r="T878" s="135" t="s">
        <v>115</v>
      </c>
      <c r="U878" s="135" t="s">
        <v>115</v>
      </c>
      <c r="V878" s="135" t="s">
        <v>115</v>
      </c>
      <c r="W878" s="135" t="s">
        <v>115</v>
      </c>
      <c r="X878" s="135" t="s">
        <v>115</v>
      </c>
      <c r="Y878" s="135" t="s">
        <v>115</v>
      </c>
      <c r="Z878" s="135"/>
      <c r="AA878" s="135"/>
      <c r="AB878" s="135" t="s">
        <v>115</v>
      </c>
      <c r="AC878" s="137" t="s">
        <v>115</v>
      </c>
      <c r="AD878" s="137"/>
      <c r="AE878" s="135"/>
      <c r="AF878" s="135"/>
      <c r="AG878" s="135"/>
      <c r="AH878" s="143">
        <v>12</v>
      </c>
      <c r="AI878" s="143">
        <v>0</v>
      </c>
      <c r="AJ878" s="143">
        <v>12</v>
      </c>
      <c r="AK878" s="143">
        <v>0</v>
      </c>
      <c r="AL878" s="143">
        <v>2</v>
      </c>
      <c r="AM878" s="143">
        <v>0</v>
      </c>
      <c r="AN878" s="135">
        <f t="shared" ref="AN878:AN941" si="15">SUM(AJ878:AM878)</f>
        <v>14</v>
      </c>
      <c r="AO878" s="135" t="s">
        <v>188</v>
      </c>
      <c r="AP878" s="135"/>
      <c r="AQ878" s="135"/>
      <c r="AR878" s="135"/>
      <c r="AS878" s="135"/>
      <c r="AT878" s="135"/>
      <c r="AU878" s="135"/>
      <c r="AV878" s="135"/>
    </row>
    <row r="879" spans="1:48" s="133" customFormat="1" x14ac:dyDescent="0.2">
      <c r="A879" s="133" t="s">
        <v>1852</v>
      </c>
      <c r="B879" s="133" t="s">
        <v>1853</v>
      </c>
      <c r="C879" s="133">
        <v>26</v>
      </c>
      <c r="D879" s="133">
        <v>1</v>
      </c>
      <c r="E879" s="133" t="s">
        <v>3171</v>
      </c>
      <c r="F879" s="138">
        <v>43397</v>
      </c>
      <c r="G879" s="136" t="s">
        <v>4033</v>
      </c>
      <c r="H879" s="136" t="s">
        <v>4724</v>
      </c>
      <c r="I879" s="148">
        <v>1.3888888888888888E-2</v>
      </c>
      <c r="J879" s="174">
        <v>2.3148148148148146E-4</v>
      </c>
      <c r="K879" s="139">
        <v>20</v>
      </c>
      <c r="M879" s="133" t="s">
        <v>670</v>
      </c>
      <c r="N879" s="133" t="s">
        <v>111</v>
      </c>
      <c r="O879" s="133" t="s">
        <v>23</v>
      </c>
      <c r="P879" s="133">
        <v>0</v>
      </c>
      <c r="R879" s="133">
        <v>1</v>
      </c>
      <c r="S879" s="133" t="s">
        <v>176</v>
      </c>
      <c r="T879" s="133" t="s">
        <v>176</v>
      </c>
      <c r="U879" s="133" t="s">
        <v>1854</v>
      </c>
      <c r="V879" s="133" t="s">
        <v>263</v>
      </c>
      <c r="W879" s="140" t="s">
        <v>23</v>
      </c>
      <c r="X879" s="140" t="s">
        <v>4004</v>
      </c>
      <c r="Y879" s="140" t="s">
        <v>4005</v>
      </c>
      <c r="Z879" s="135"/>
      <c r="AA879" s="135"/>
      <c r="AB879" s="133">
        <v>10</v>
      </c>
      <c r="AC879" s="134">
        <v>63.722700000000003</v>
      </c>
      <c r="AD879" s="134">
        <v>148.95214999999999</v>
      </c>
      <c r="AE879" s="135"/>
      <c r="AF879" s="135"/>
      <c r="AG879" s="135"/>
      <c r="AH879" s="139">
        <v>0</v>
      </c>
      <c r="AI879" s="139">
        <v>0</v>
      </c>
      <c r="AJ879" s="139">
        <v>0</v>
      </c>
      <c r="AK879" s="139">
        <v>0</v>
      </c>
      <c r="AL879" s="139">
        <v>0</v>
      </c>
      <c r="AM879" s="139">
        <v>0</v>
      </c>
      <c r="AN879" s="133">
        <f t="shared" si="15"/>
        <v>0</v>
      </c>
    </row>
    <row r="880" spans="1:48" s="135" customFormat="1" x14ac:dyDescent="0.2">
      <c r="A880" s="133" t="s">
        <v>1801</v>
      </c>
      <c r="B880" s="133" t="s">
        <v>1802</v>
      </c>
      <c r="C880" s="133">
        <v>5</v>
      </c>
      <c r="D880" s="133">
        <v>1</v>
      </c>
      <c r="E880" s="133" t="s">
        <v>3171</v>
      </c>
      <c r="F880" s="138">
        <v>43397</v>
      </c>
      <c r="G880" s="136" t="s">
        <v>4033</v>
      </c>
      <c r="H880" s="136" t="s">
        <v>4724</v>
      </c>
      <c r="I880" s="148">
        <v>4.1666666666666666E-3</v>
      </c>
      <c r="J880" s="174">
        <v>6.9444444444444444E-5</v>
      </c>
      <c r="K880" s="139">
        <v>6</v>
      </c>
      <c r="L880" s="133"/>
      <c r="M880" s="133" t="s">
        <v>670</v>
      </c>
      <c r="N880" s="133" t="s">
        <v>102</v>
      </c>
      <c r="O880" s="133" t="s">
        <v>115</v>
      </c>
      <c r="P880" s="133">
        <v>1</v>
      </c>
      <c r="Q880" s="133"/>
      <c r="R880" s="133">
        <v>0</v>
      </c>
      <c r="S880" s="133" t="s">
        <v>14</v>
      </c>
      <c r="T880" s="133" t="s">
        <v>2128</v>
      </c>
      <c r="U880" s="133" t="s">
        <v>122</v>
      </c>
      <c r="V880" s="133" t="s">
        <v>115</v>
      </c>
      <c r="W880" s="135" t="s">
        <v>115</v>
      </c>
      <c r="X880" s="135" t="s">
        <v>115</v>
      </c>
      <c r="Y880" s="135" t="s">
        <v>115</v>
      </c>
      <c r="Z880" s="133"/>
      <c r="AA880" s="133"/>
      <c r="AB880" s="133" t="s">
        <v>115</v>
      </c>
      <c r="AC880" s="134" t="s">
        <v>115</v>
      </c>
      <c r="AD880" s="134"/>
      <c r="AE880" s="133"/>
      <c r="AF880" s="133"/>
      <c r="AG880" s="133"/>
      <c r="AH880" s="139">
        <v>0</v>
      </c>
      <c r="AI880" s="139">
        <v>0</v>
      </c>
      <c r="AJ880" s="139">
        <v>0</v>
      </c>
      <c r="AK880" s="139">
        <v>0</v>
      </c>
      <c r="AL880" s="139">
        <v>0</v>
      </c>
      <c r="AM880" s="139">
        <v>0</v>
      </c>
      <c r="AN880" s="133">
        <f t="shared" si="15"/>
        <v>0</v>
      </c>
      <c r="AO880" s="133"/>
      <c r="AP880" s="133" t="s">
        <v>5022</v>
      </c>
      <c r="AQ880" s="133"/>
      <c r="AR880" s="133"/>
      <c r="AS880" s="133"/>
      <c r="AT880" s="133"/>
      <c r="AU880" s="133"/>
      <c r="AV880" s="133"/>
    </row>
    <row r="881" spans="1:48" s="133" customFormat="1" x14ac:dyDescent="0.2">
      <c r="A881" s="133" t="s">
        <v>1803</v>
      </c>
      <c r="B881" s="133" t="s">
        <v>1804</v>
      </c>
      <c r="C881" s="133">
        <v>6</v>
      </c>
      <c r="D881" s="133">
        <v>1</v>
      </c>
      <c r="E881" s="133" t="s">
        <v>3171</v>
      </c>
      <c r="F881" s="138">
        <v>43397</v>
      </c>
      <c r="G881" s="136" t="s">
        <v>4033</v>
      </c>
      <c r="H881" s="136" t="s">
        <v>4724</v>
      </c>
      <c r="I881" s="148">
        <v>1.9444444444444445E-2</v>
      </c>
      <c r="J881" s="174">
        <v>3.2407407407407406E-4</v>
      </c>
      <c r="K881" s="139">
        <v>28</v>
      </c>
      <c r="M881" s="133" t="s">
        <v>670</v>
      </c>
      <c r="N881" s="133" t="s">
        <v>111</v>
      </c>
      <c r="O881" s="133" t="s">
        <v>23</v>
      </c>
      <c r="P881" s="133">
        <v>0</v>
      </c>
      <c r="R881" s="133">
        <v>1</v>
      </c>
      <c r="S881" s="133" t="s">
        <v>14</v>
      </c>
      <c r="T881" s="133" t="s">
        <v>2128</v>
      </c>
      <c r="U881" s="133" t="s">
        <v>122</v>
      </c>
      <c r="V881" s="133" t="s">
        <v>1805</v>
      </c>
      <c r="W881" s="140" t="s">
        <v>23</v>
      </c>
      <c r="X881" s="140" t="s">
        <v>3999</v>
      </c>
      <c r="Y881" s="140" t="s">
        <v>4006</v>
      </c>
      <c r="AB881" s="133">
        <v>8</v>
      </c>
      <c r="AC881" s="134">
        <v>63.723059999999997</v>
      </c>
      <c r="AD881" s="134">
        <v>148.95411999999999</v>
      </c>
      <c r="AH881" s="139">
        <v>0</v>
      </c>
      <c r="AI881" s="139">
        <v>0</v>
      </c>
      <c r="AJ881" s="139">
        <v>0</v>
      </c>
      <c r="AK881" s="139">
        <v>0</v>
      </c>
      <c r="AL881" s="139">
        <v>0</v>
      </c>
      <c r="AM881" s="139">
        <v>0</v>
      </c>
      <c r="AN881" s="133">
        <f t="shared" si="15"/>
        <v>0</v>
      </c>
      <c r="AP881" s="133" t="s">
        <v>1806</v>
      </c>
    </row>
    <row r="882" spans="1:48" s="133" customFormat="1" x14ac:dyDescent="0.2">
      <c r="A882" s="133" t="s">
        <v>1809</v>
      </c>
      <c r="B882" s="133" t="s">
        <v>1810</v>
      </c>
      <c r="C882" s="133">
        <v>8</v>
      </c>
      <c r="D882" s="133">
        <v>2</v>
      </c>
      <c r="E882" s="133" t="s">
        <v>3171</v>
      </c>
      <c r="F882" s="138">
        <v>43397</v>
      </c>
      <c r="G882" s="136" t="s">
        <v>4033</v>
      </c>
      <c r="H882" s="136" t="s">
        <v>4724</v>
      </c>
      <c r="I882" s="148">
        <v>9.7916666666666666E-2</v>
      </c>
      <c r="J882" s="174">
        <v>1.6319444444444445E-3</v>
      </c>
      <c r="K882" s="139">
        <v>141</v>
      </c>
      <c r="M882" s="133" t="s">
        <v>670</v>
      </c>
      <c r="N882" s="133" t="s">
        <v>187</v>
      </c>
      <c r="O882" s="133" t="s">
        <v>23</v>
      </c>
      <c r="P882" s="133">
        <v>2</v>
      </c>
      <c r="R882" s="133">
        <v>2</v>
      </c>
      <c r="S882" s="133" t="s">
        <v>14</v>
      </c>
      <c r="T882" s="133" t="s">
        <v>2128</v>
      </c>
      <c r="U882" s="133" t="s">
        <v>122</v>
      </c>
      <c r="V882" s="133" t="s">
        <v>2099</v>
      </c>
      <c r="W882" s="140" t="s">
        <v>23</v>
      </c>
      <c r="X882" s="140" t="s">
        <v>3997</v>
      </c>
      <c r="Y882" s="140" t="s">
        <v>4002</v>
      </c>
      <c r="AB882" s="133">
        <v>5</v>
      </c>
      <c r="AC882" s="134">
        <v>63.723419999999997</v>
      </c>
      <c r="AD882" s="134">
        <v>148.95421999999999</v>
      </c>
      <c r="AH882" s="139">
        <v>0</v>
      </c>
      <c r="AI882" s="139">
        <v>0</v>
      </c>
      <c r="AJ882" s="139">
        <v>0</v>
      </c>
      <c r="AK882" s="139">
        <v>0</v>
      </c>
      <c r="AL882" s="139">
        <v>0</v>
      </c>
      <c r="AM882" s="133">
        <v>0</v>
      </c>
      <c r="AN882" s="133">
        <f t="shared" si="15"/>
        <v>0</v>
      </c>
      <c r="AO882" s="133" t="s">
        <v>375</v>
      </c>
      <c r="AP882" s="133" t="s">
        <v>2147</v>
      </c>
      <c r="AQ882" s="133">
        <v>3</v>
      </c>
    </row>
    <row r="883" spans="1:48" s="133" customFormat="1" x14ac:dyDescent="0.2">
      <c r="A883" s="135" t="s">
        <v>1809</v>
      </c>
      <c r="B883" s="135" t="s">
        <v>1810</v>
      </c>
      <c r="C883" s="135">
        <v>8</v>
      </c>
      <c r="D883" s="135">
        <v>1</v>
      </c>
      <c r="E883" s="133" t="s">
        <v>3171</v>
      </c>
      <c r="F883" s="136">
        <v>43397</v>
      </c>
      <c r="G883" s="136" t="s">
        <v>4033</v>
      </c>
      <c r="H883" s="136" t="s">
        <v>4724</v>
      </c>
      <c r="I883" s="172">
        <v>9.7916666666666666E-2</v>
      </c>
      <c r="J883" s="175">
        <v>1.6319444444444445E-3</v>
      </c>
      <c r="K883" s="143">
        <v>141</v>
      </c>
      <c r="L883" s="135"/>
      <c r="M883" s="133" t="s">
        <v>670</v>
      </c>
      <c r="N883" s="135" t="s">
        <v>187</v>
      </c>
      <c r="O883" s="135" t="s">
        <v>23</v>
      </c>
      <c r="P883" s="135">
        <v>0</v>
      </c>
      <c r="Q883" s="135"/>
      <c r="R883" s="135">
        <v>1</v>
      </c>
      <c r="S883" s="133" t="s">
        <v>176</v>
      </c>
      <c r="T883" s="135" t="s">
        <v>176</v>
      </c>
      <c r="U883" s="135" t="s">
        <v>176</v>
      </c>
      <c r="V883" s="135" t="s">
        <v>2098</v>
      </c>
      <c r="W883" s="135" t="s">
        <v>23</v>
      </c>
      <c r="X883" s="135" t="s">
        <v>3999</v>
      </c>
      <c r="Y883" s="135" t="s">
        <v>4002</v>
      </c>
      <c r="AB883" s="135" t="s">
        <v>176</v>
      </c>
      <c r="AC883" s="137">
        <v>63.723379999999999</v>
      </c>
      <c r="AD883" s="137">
        <v>148.95421999999999</v>
      </c>
      <c r="AH883" s="143">
        <f>17+8</f>
        <v>25</v>
      </c>
      <c r="AI883" s="143">
        <v>27</v>
      </c>
      <c r="AJ883" s="143">
        <v>8</v>
      </c>
      <c r="AK883" s="143">
        <f>17+27</f>
        <v>44</v>
      </c>
      <c r="AL883" s="143">
        <v>24</v>
      </c>
      <c r="AM883" s="135">
        <v>0</v>
      </c>
      <c r="AN883" s="135">
        <f t="shared" si="15"/>
        <v>76</v>
      </c>
      <c r="AO883" s="135" t="s">
        <v>375</v>
      </c>
      <c r="AP883" s="135" t="s">
        <v>2146</v>
      </c>
      <c r="AQ883" s="135">
        <v>3</v>
      </c>
      <c r="AR883" s="135"/>
    </row>
    <row r="884" spans="1:48" s="133" customFormat="1" x14ac:dyDescent="0.2">
      <c r="A884" s="133" t="s">
        <v>1812</v>
      </c>
      <c r="B884" s="133" t="s">
        <v>1813</v>
      </c>
      <c r="C884" s="133">
        <v>9</v>
      </c>
      <c r="D884" s="133">
        <v>1</v>
      </c>
      <c r="E884" s="133" t="s">
        <v>3171</v>
      </c>
      <c r="F884" s="138">
        <v>43397</v>
      </c>
      <c r="G884" s="136" t="s">
        <v>4033</v>
      </c>
      <c r="H884" s="136" t="s">
        <v>4724</v>
      </c>
      <c r="I884" s="148">
        <v>2.013888888888889E-2</v>
      </c>
      <c r="J884" s="174">
        <v>3.3564814814814812E-4</v>
      </c>
      <c r="K884" s="139">
        <v>29</v>
      </c>
      <c r="M884" s="133" t="s">
        <v>670</v>
      </c>
      <c r="N884" s="133" t="s">
        <v>102</v>
      </c>
      <c r="O884" s="133" t="s">
        <v>23</v>
      </c>
      <c r="P884" s="133">
        <v>0</v>
      </c>
      <c r="R884" s="133">
        <v>0</v>
      </c>
      <c r="T884" s="133" t="s">
        <v>115</v>
      </c>
      <c r="U884" s="133" t="s">
        <v>115</v>
      </c>
      <c r="V884" s="133" t="s">
        <v>115</v>
      </c>
      <c r="W884" s="135" t="s">
        <v>115</v>
      </c>
      <c r="X884" s="135" t="s">
        <v>115</v>
      </c>
      <c r="Y884" s="135" t="s">
        <v>115</v>
      </c>
      <c r="AB884" s="133" t="s">
        <v>115</v>
      </c>
      <c r="AC884" s="134" t="s">
        <v>115</v>
      </c>
      <c r="AD884" s="134"/>
      <c r="AH884" s="139">
        <v>0</v>
      </c>
      <c r="AI884" s="139">
        <v>6</v>
      </c>
      <c r="AJ884" s="139">
        <v>0</v>
      </c>
      <c r="AK884" s="139">
        <v>6</v>
      </c>
      <c r="AL884" s="139">
        <v>0</v>
      </c>
      <c r="AM884" s="139">
        <v>0</v>
      </c>
      <c r="AN884" s="133">
        <f t="shared" si="15"/>
        <v>6</v>
      </c>
      <c r="AO884" s="133" t="s">
        <v>188</v>
      </c>
    </row>
    <row r="885" spans="1:48" s="133" customFormat="1" x14ac:dyDescent="0.2">
      <c r="A885" s="133" t="s">
        <v>1814</v>
      </c>
      <c r="B885" s="133" t="s">
        <v>1815</v>
      </c>
      <c r="C885" s="133">
        <v>10</v>
      </c>
      <c r="D885" s="133">
        <v>1</v>
      </c>
      <c r="E885" s="133" t="s">
        <v>3171</v>
      </c>
      <c r="F885" s="138">
        <v>43397</v>
      </c>
      <c r="G885" s="136" t="s">
        <v>4033</v>
      </c>
      <c r="H885" s="136" t="s">
        <v>4724</v>
      </c>
      <c r="I885" s="148">
        <v>6.9444444444444441E-3</v>
      </c>
      <c r="J885" s="174">
        <v>1.1574074074074073E-4</v>
      </c>
      <c r="K885" s="139">
        <v>10</v>
      </c>
      <c r="M885" s="133" t="s">
        <v>670</v>
      </c>
      <c r="N885" s="133" t="s">
        <v>102</v>
      </c>
      <c r="O885" s="133" t="s">
        <v>23</v>
      </c>
      <c r="P885" s="133">
        <v>0</v>
      </c>
      <c r="R885" s="133">
        <v>0</v>
      </c>
      <c r="T885" s="133" t="s">
        <v>115</v>
      </c>
      <c r="U885" s="133" t="s">
        <v>115</v>
      </c>
      <c r="V885" s="133" t="s">
        <v>115</v>
      </c>
      <c r="W885" s="135" t="s">
        <v>115</v>
      </c>
      <c r="X885" s="135" t="s">
        <v>115</v>
      </c>
      <c r="Y885" s="135" t="s">
        <v>115</v>
      </c>
      <c r="AB885" s="133" t="s">
        <v>115</v>
      </c>
      <c r="AC885" s="134" t="s">
        <v>115</v>
      </c>
      <c r="AD885" s="134"/>
      <c r="AH885" s="139">
        <v>0</v>
      </c>
      <c r="AI885" s="139">
        <v>8</v>
      </c>
      <c r="AJ885" s="139">
        <v>8</v>
      </c>
      <c r="AK885" s="139">
        <v>0</v>
      </c>
      <c r="AL885" s="139">
        <v>0</v>
      </c>
      <c r="AM885" s="139">
        <v>0</v>
      </c>
      <c r="AN885" s="133">
        <f t="shared" si="15"/>
        <v>8</v>
      </c>
      <c r="AO885" s="133" t="s">
        <v>188</v>
      </c>
    </row>
    <row r="886" spans="1:48" s="133" customFormat="1" x14ac:dyDescent="0.2">
      <c r="A886" s="133" t="s">
        <v>1816</v>
      </c>
      <c r="B886" s="133" t="s">
        <v>1817</v>
      </c>
      <c r="C886" s="133">
        <v>11</v>
      </c>
      <c r="D886" s="133">
        <v>1</v>
      </c>
      <c r="E886" s="133" t="s">
        <v>3171</v>
      </c>
      <c r="F886" s="138">
        <v>43397</v>
      </c>
      <c r="G886" s="136" t="s">
        <v>4033</v>
      </c>
      <c r="H886" s="136" t="s">
        <v>4724</v>
      </c>
      <c r="I886" s="148">
        <v>6.9444444444444441E-3</v>
      </c>
      <c r="J886" s="174">
        <v>1.1574074074074073E-4</v>
      </c>
      <c r="K886" s="139">
        <v>10</v>
      </c>
      <c r="M886" s="133" t="s">
        <v>670</v>
      </c>
      <c r="N886" s="133" t="s">
        <v>102</v>
      </c>
      <c r="O886" s="133" t="s">
        <v>23</v>
      </c>
      <c r="P886" s="133">
        <v>0</v>
      </c>
      <c r="R886" s="133">
        <v>0</v>
      </c>
      <c r="T886" s="133" t="s">
        <v>115</v>
      </c>
      <c r="U886" s="133" t="s">
        <v>115</v>
      </c>
      <c r="V886" s="133" t="s">
        <v>115</v>
      </c>
      <c r="W886" s="135" t="s">
        <v>115</v>
      </c>
      <c r="X886" s="135" t="s">
        <v>115</v>
      </c>
      <c r="Y886" s="135" t="s">
        <v>115</v>
      </c>
      <c r="AB886" s="133" t="s">
        <v>115</v>
      </c>
      <c r="AC886" s="134" t="s">
        <v>115</v>
      </c>
      <c r="AD886" s="134"/>
      <c r="AH886" s="139">
        <v>8</v>
      </c>
      <c r="AI886" s="139">
        <v>0</v>
      </c>
      <c r="AJ886" s="139">
        <v>8</v>
      </c>
      <c r="AK886" s="139">
        <v>0</v>
      </c>
      <c r="AL886" s="139">
        <v>0</v>
      </c>
      <c r="AM886" s="139">
        <v>0</v>
      </c>
      <c r="AN886" s="133">
        <f t="shared" si="15"/>
        <v>8</v>
      </c>
      <c r="AO886" s="133" t="s">
        <v>188</v>
      </c>
    </row>
    <row r="887" spans="1:48" s="133" customFormat="1" x14ac:dyDescent="0.2">
      <c r="A887" s="135" t="s">
        <v>1818</v>
      </c>
      <c r="B887" s="135" t="s">
        <v>1819</v>
      </c>
      <c r="C887" s="135">
        <v>12</v>
      </c>
      <c r="D887" s="135">
        <v>1</v>
      </c>
      <c r="E887" s="133" t="s">
        <v>3171</v>
      </c>
      <c r="F887" s="136">
        <v>43397</v>
      </c>
      <c r="G887" s="136" t="s">
        <v>4033</v>
      </c>
      <c r="H887" s="136" t="s">
        <v>4724</v>
      </c>
      <c r="I887" s="172">
        <v>1.7361111111111112E-2</v>
      </c>
      <c r="J887" s="175">
        <v>2.8935185185185189E-4</v>
      </c>
      <c r="K887" s="143">
        <v>25</v>
      </c>
      <c r="L887" s="135"/>
      <c r="M887" s="133" t="s">
        <v>670</v>
      </c>
      <c r="N887" s="135" t="s">
        <v>102</v>
      </c>
      <c r="O887" s="135" t="s">
        <v>115</v>
      </c>
      <c r="P887" s="135">
        <v>1</v>
      </c>
      <c r="Q887" s="135"/>
      <c r="R887" s="135">
        <v>0</v>
      </c>
      <c r="S887" s="133" t="s">
        <v>14</v>
      </c>
      <c r="T887" s="135" t="s">
        <v>2128</v>
      </c>
      <c r="U887" s="135" t="s">
        <v>122</v>
      </c>
      <c r="V887" s="135" t="s">
        <v>115</v>
      </c>
      <c r="W887" s="135" t="s">
        <v>115</v>
      </c>
      <c r="X887" s="135" t="s">
        <v>115</v>
      </c>
      <c r="Y887" s="135" t="s">
        <v>115</v>
      </c>
      <c r="AB887" s="135" t="s">
        <v>115</v>
      </c>
      <c r="AC887" s="137" t="s">
        <v>115</v>
      </c>
      <c r="AD887" s="137"/>
      <c r="AH887" s="143">
        <v>0</v>
      </c>
      <c r="AI887" s="143">
        <v>0</v>
      </c>
      <c r="AJ887" s="143">
        <v>0</v>
      </c>
      <c r="AK887" s="143">
        <v>0</v>
      </c>
      <c r="AL887" s="143">
        <v>23</v>
      </c>
      <c r="AM887" s="143">
        <v>0</v>
      </c>
      <c r="AN887" s="135">
        <f t="shared" si="15"/>
        <v>23</v>
      </c>
      <c r="AO887" s="135"/>
      <c r="AP887" s="135"/>
      <c r="AQ887" s="135"/>
      <c r="AR887" s="135"/>
    </row>
    <row r="888" spans="1:48" s="133" customFormat="1" x14ac:dyDescent="0.2">
      <c r="A888" s="133" t="s">
        <v>1820</v>
      </c>
      <c r="B888" s="133" t="s">
        <v>1821</v>
      </c>
      <c r="C888" s="133">
        <v>13</v>
      </c>
      <c r="D888" s="133">
        <v>1</v>
      </c>
      <c r="E888" s="133" t="s">
        <v>3171</v>
      </c>
      <c r="F888" s="138">
        <v>43397</v>
      </c>
      <c r="G888" s="136" t="s">
        <v>4033</v>
      </c>
      <c r="H888" s="136" t="s">
        <v>4724</v>
      </c>
      <c r="I888" s="148">
        <v>2.7083333333333334E-2</v>
      </c>
      <c r="J888" s="174">
        <v>4.5138888888888892E-4</v>
      </c>
      <c r="K888" s="139">
        <v>39</v>
      </c>
      <c r="M888" s="133" t="s">
        <v>670</v>
      </c>
      <c r="N888" s="133" t="s">
        <v>102</v>
      </c>
      <c r="O888" s="133" t="s">
        <v>23</v>
      </c>
      <c r="P888" s="133" t="s">
        <v>24</v>
      </c>
      <c r="R888" s="133">
        <v>0</v>
      </c>
      <c r="S888" s="133" t="s">
        <v>176</v>
      </c>
      <c r="T888" s="133" t="s">
        <v>176</v>
      </c>
      <c r="U888" s="133" t="s">
        <v>115</v>
      </c>
      <c r="V888" s="133" t="s">
        <v>115</v>
      </c>
      <c r="W888" s="135" t="s">
        <v>115</v>
      </c>
      <c r="X888" s="135" t="s">
        <v>115</v>
      </c>
      <c r="Y888" s="135" t="s">
        <v>115</v>
      </c>
      <c r="Z888" s="135"/>
      <c r="AA888" s="135"/>
      <c r="AB888" s="133" t="s">
        <v>115</v>
      </c>
      <c r="AC888" s="134" t="s">
        <v>115</v>
      </c>
      <c r="AD888" s="134"/>
      <c r="AE888" s="135"/>
      <c r="AF888" s="135"/>
      <c r="AG888" s="135"/>
      <c r="AH888" s="139">
        <v>37</v>
      </c>
      <c r="AI888" s="139">
        <v>0</v>
      </c>
      <c r="AJ888" s="139">
        <v>0</v>
      </c>
      <c r="AK888" s="139">
        <v>37</v>
      </c>
      <c r="AL888" s="139">
        <v>0</v>
      </c>
      <c r="AM888" s="139">
        <v>0</v>
      </c>
      <c r="AN888" s="133">
        <f t="shared" si="15"/>
        <v>37</v>
      </c>
    </row>
    <row r="889" spans="1:48" s="133" customFormat="1" x14ac:dyDescent="0.2">
      <c r="A889" s="133" t="s">
        <v>1828</v>
      </c>
      <c r="B889" s="133" t="s">
        <v>1829</v>
      </c>
      <c r="C889" s="133">
        <v>16</v>
      </c>
      <c r="D889" s="133">
        <v>1</v>
      </c>
      <c r="E889" s="133" t="s">
        <v>3171</v>
      </c>
      <c r="F889" s="138">
        <v>43397</v>
      </c>
      <c r="G889" s="136" t="s">
        <v>4033</v>
      </c>
      <c r="H889" s="136" t="s">
        <v>4724</v>
      </c>
      <c r="I889" s="148">
        <v>4.4444444444444446E-2</v>
      </c>
      <c r="J889" s="174">
        <v>7.407407407407407E-4</v>
      </c>
      <c r="K889" s="139">
        <v>64</v>
      </c>
      <c r="M889" s="133" t="s">
        <v>670</v>
      </c>
      <c r="N889" s="133" t="s">
        <v>102</v>
      </c>
      <c r="O889" s="133" t="s">
        <v>1307</v>
      </c>
      <c r="P889" s="133">
        <v>1</v>
      </c>
      <c r="R889" s="133">
        <v>0</v>
      </c>
      <c r="S889" s="133" t="s">
        <v>176</v>
      </c>
      <c r="T889" s="133" t="s">
        <v>176</v>
      </c>
      <c r="U889" s="133" t="s">
        <v>374</v>
      </c>
      <c r="V889" s="133" t="s">
        <v>115</v>
      </c>
      <c r="W889" s="135" t="s">
        <v>115</v>
      </c>
      <c r="X889" s="135" t="s">
        <v>115</v>
      </c>
      <c r="Y889" s="135" t="s">
        <v>115</v>
      </c>
      <c r="AB889" s="133" t="s">
        <v>115</v>
      </c>
      <c r="AC889" s="134" t="s">
        <v>115</v>
      </c>
      <c r="AD889" s="134"/>
      <c r="AH889" s="139">
        <v>64</v>
      </c>
      <c r="AI889" s="139">
        <v>0</v>
      </c>
      <c r="AJ889" s="139">
        <v>0</v>
      </c>
      <c r="AK889" s="139">
        <v>64</v>
      </c>
      <c r="AL889" s="139">
        <v>0</v>
      </c>
      <c r="AM889" s="139">
        <v>0</v>
      </c>
      <c r="AN889" s="133">
        <f t="shared" si="15"/>
        <v>64</v>
      </c>
      <c r="AO889" s="133" t="s">
        <v>375</v>
      </c>
      <c r="AP889" s="133" t="s">
        <v>1830</v>
      </c>
      <c r="AQ889" s="133">
        <v>1</v>
      </c>
      <c r="AR889" s="133">
        <v>0</v>
      </c>
    </row>
    <row r="890" spans="1:48" s="133" customFormat="1" x14ac:dyDescent="0.2">
      <c r="A890" s="133" t="s">
        <v>1833</v>
      </c>
      <c r="B890" s="133" t="s">
        <v>1834</v>
      </c>
      <c r="C890" s="133">
        <v>18</v>
      </c>
      <c r="D890" s="133">
        <v>1</v>
      </c>
      <c r="E890" s="133" t="s">
        <v>3171</v>
      </c>
      <c r="F890" s="138">
        <v>43397</v>
      </c>
      <c r="G890" s="136" t="s">
        <v>4033</v>
      </c>
      <c r="H890" s="136" t="s">
        <v>4724</v>
      </c>
      <c r="I890" s="148">
        <v>1.8749999999999999E-2</v>
      </c>
      <c r="J890" s="174">
        <v>3.1250000000000001E-4</v>
      </c>
      <c r="K890" s="139">
        <v>27</v>
      </c>
      <c r="M890" s="133" t="s">
        <v>670</v>
      </c>
      <c r="N890" s="133" t="s">
        <v>1835</v>
      </c>
      <c r="O890" s="133" t="s">
        <v>23</v>
      </c>
      <c r="P890" s="133">
        <v>1</v>
      </c>
      <c r="R890" s="133">
        <v>0</v>
      </c>
      <c r="S890" s="133" t="s">
        <v>461</v>
      </c>
      <c r="T890" s="133" t="s">
        <v>2118</v>
      </c>
      <c r="U890" s="133" t="s">
        <v>192</v>
      </c>
      <c r="V890" s="133" t="s">
        <v>115</v>
      </c>
      <c r="W890" s="135" t="s">
        <v>115</v>
      </c>
      <c r="X890" s="135" t="s">
        <v>115</v>
      </c>
      <c r="Y890" s="135" t="s">
        <v>115</v>
      </c>
      <c r="AB890" s="133" t="s">
        <v>115</v>
      </c>
      <c r="AC890" s="134" t="s">
        <v>115</v>
      </c>
      <c r="AD890" s="134"/>
      <c r="AH890" s="139">
        <v>0</v>
      </c>
      <c r="AI890" s="139">
        <v>0</v>
      </c>
      <c r="AJ890" s="139">
        <v>0</v>
      </c>
      <c r="AK890" s="139">
        <v>0</v>
      </c>
      <c r="AL890" s="139">
        <v>0</v>
      </c>
      <c r="AM890" s="139">
        <v>0</v>
      </c>
      <c r="AN890" s="133">
        <f t="shared" si="15"/>
        <v>0</v>
      </c>
    </row>
    <row r="891" spans="1:48" s="133" customFormat="1" x14ac:dyDescent="0.2">
      <c r="A891" s="133" t="s">
        <v>1836</v>
      </c>
      <c r="B891" s="133" t="s">
        <v>1837</v>
      </c>
      <c r="C891" s="133">
        <v>19</v>
      </c>
      <c r="D891" s="133">
        <v>1</v>
      </c>
      <c r="E891" s="133" t="s">
        <v>3171</v>
      </c>
      <c r="F891" s="138">
        <v>43397</v>
      </c>
      <c r="G891" s="136" t="s">
        <v>4033</v>
      </c>
      <c r="H891" s="136" t="s">
        <v>4724</v>
      </c>
      <c r="I891" s="148">
        <v>1.7361111111111112E-2</v>
      </c>
      <c r="J891" s="174">
        <v>2.8935185185185189E-4</v>
      </c>
      <c r="K891" s="139">
        <v>25</v>
      </c>
      <c r="M891" s="133" t="s">
        <v>670</v>
      </c>
      <c r="N891" s="133" t="s">
        <v>107</v>
      </c>
      <c r="O891" s="133" t="s">
        <v>23</v>
      </c>
      <c r="P891" s="133">
        <v>0</v>
      </c>
      <c r="R891" s="133">
        <v>0</v>
      </c>
      <c r="S891" s="133" t="s">
        <v>461</v>
      </c>
      <c r="T891" s="133" t="s">
        <v>2118</v>
      </c>
      <c r="U891" s="133" t="s">
        <v>192</v>
      </c>
      <c r="V891" s="133" t="s">
        <v>115</v>
      </c>
      <c r="W891" s="135" t="s">
        <v>115</v>
      </c>
      <c r="X891" s="135" t="s">
        <v>115</v>
      </c>
      <c r="Y891" s="135" t="s">
        <v>115</v>
      </c>
      <c r="AB891" s="133" t="s">
        <v>115</v>
      </c>
      <c r="AC891" s="134" t="s">
        <v>115</v>
      </c>
      <c r="AD891" s="134"/>
      <c r="AH891" s="133">
        <v>0</v>
      </c>
      <c r="AI891" s="139">
        <v>0</v>
      </c>
      <c r="AJ891" s="139">
        <v>0</v>
      </c>
      <c r="AK891" s="139">
        <v>0</v>
      </c>
      <c r="AL891" s="139">
        <v>0</v>
      </c>
      <c r="AM891" s="139">
        <v>0</v>
      </c>
      <c r="AN891" s="133">
        <f t="shared" si="15"/>
        <v>0</v>
      </c>
      <c r="AP891" s="133" t="s">
        <v>1838</v>
      </c>
    </row>
    <row r="892" spans="1:48" s="133" customFormat="1" x14ac:dyDescent="0.2">
      <c r="A892" s="133" t="s">
        <v>1839</v>
      </c>
      <c r="B892" s="133" t="s">
        <v>1840</v>
      </c>
      <c r="C892" s="133">
        <v>20</v>
      </c>
      <c r="D892" s="133">
        <v>1</v>
      </c>
      <c r="E892" s="133" t="s">
        <v>3171</v>
      </c>
      <c r="F892" s="138">
        <v>43397</v>
      </c>
      <c r="G892" s="136" t="s">
        <v>4033</v>
      </c>
      <c r="H892" s="136" t="s">
        <v>4724</v>
      </c>
      <c r="I892" s="148">
        <v>5.6944444444444443E-2</v>
      </c>
      <c r="J892" s="174">
        <v>9.4907407407407408E-4</v>
      </c>
      <c r="K892" s="139">
        <v>82</v>
      </c>
      <c r="M892" s="133" t="s">
        <v>670</v>
      </c>
      <c r="N892" s="133" t="s">
        <v>242</v>
      </c>
      <c r="O892" s="133" t="s">
        <v>1841</v>
      </c>
      <c r="P892" s="133">
        <v>0</v>
      </c>
      <c r="R892" s="133">
        <v>1</v>
      </c>
      <c r="S892" s="133" t="s">
        <v>461</v>
      </c>
      <c r="T892" s="133" t="s">
        <v>2118</v>
      </c>
      <c r="U892" s="133" t="s">
        <v>192</v>
      </c>
      <c r="V892" s="133" t="s">
        <v>1035</v>
      </c>
      <c r="W892" s="140" t="s">
        <v>23</v>
      </c>
      <c r="X892" s="140" t="s">
        <v>3997</v>
      </c>
      <c r="Y892" s="140" t="s">
        <v>4006</v>
      </c>
      <c r="AB892" s="133">
        <v>8</v>
      </c>
      <c r="AC892" s="134">
        <v>63.724319999999999</v>
      </c>
      <c r="AD892" s="134">
        <v>148.95133999999999</v>
      </c>
      <c r="AH892" s="139">
        <v>0</v>
      </c>
      <c r="AI892" s="139">
        <v>0</v>
      </c>
      <c r="AJ892" s="139">
        <v>0</v>
      </c>
      <c r="AK892" s="139">
        <v>0</v>
      </c>
      <c r="AL892" s="139">
        <v>0</v>
      </c>
      <c r="AM892" s="139">
        <v>0</v>
      </c>
      <c r="AN892" s="133">
        <f t="shared" si="15"/>
        <v>0</v>
      </c>
      <c r="AP892" s="133" t="s">
        <v>1838</v>
      </c>
      <c r="AS892" s="135"/>
      <c r="AT892" s="135"/>
      <c r="AU892" s="135"/>
      <c r="AV892" s="135"/>
    </row>
    <row r="893" spans="1:48" s="133" customFormat="1" x14ac:dyDescent="0.2">
      <c r="A893" s="133" t="s">
        <v>1839</v>
      </c>
      <c r="B893" s="133" t="s">
        <v>1840</v>
      </c>
      <c r="C893" s="133">
        <v>20</v>
      </c>
      <c r="D893" s="133">
        <v>2</v>
      </c>
      <c r="E893" s="133" t="s">
        <v>3171</v>
      </c>
      <c r="F893" s="138">
        <v>43397</v>
      </c>
      <c r="G893" s="136" t="s">
        <v>4033</v>
      </c>
      <c r="H893" s="136" t="s">
        <v>4724</v>
      </c>
      <c r="I893" s="148">
        <v>5.6944444444444443E-2</v>
      </c>
      <c r="J893" s="174">
        <v>9.4907407407407408E-4</v>
      </c>
      <c r="K893" s="139">
        <v>82</v>
      </c>
      <c r="M893" s="133" t="s">
        <v>670</v>
      </c>
      <c r="N893" s="133" t="s">
        <v>242</v>
      </c>
      <c r="O893" s="133" t="s">
        <v>1841</v>
      </c>
      <c r="P893" s="133">
        <v>0</v>
      </c>
      <c r="R893" s="133">
        <v>1</v>
      </c>
      <c r="S893" s="133" t="s">
        <v>461</v>
      </c>
      <c r="T893" s="133" t="s">
        <v>2118</v>
      </c>
      <c r="U893" s="133" t="s">
        <v>192</v>
      </c>
      <c r="V893" s="133" t="s">
        <v>2097</v>
      </c>
      <c r="W893" s="140" t="s">
        <v>4017</v>
      </c>
      <c r="X893" s="140" t="s">
        <v>4004</v>
      </c>
      <c r="Y893" s="140" t="s">
        <v>4005</v>
      </c>
      <c r="AB893" s="133">
        <v>8</v>
      </c>
      <c r="AC893" s="134">
        <v>63.724290000000003</v>
      </c>
      <c r="AD893" s="134">
        <v>148.95132000000001</v>
      </c>
      <c r="AH893" s="139">
        <v>0</v>
      </c>
      <c r="AI893" s="139">
        <v>0</v>
      </c>
      <c r="AJ893" s="139">
        <v>0</v>
      </c>
      <c r="AK893" s="139">
        <v>0</v>
      </c>
      <c r="AL893" s="139">
        <v>0</v>
      </c>
      <c r="AM893" s="139">
        <v>0</v>
      </c>
      <c r="AN893" s="133">
        <f t="shared" si="15"/>
        <v>0</v>
      </c>
      <c r="AP893" s="133" t="s">
        <v>1838</v>
      </c>
    </row>
    <row r="894" spans="1:48" s="133" customFormat="1" x14ac:dyDescent="0.2">
      <c r="A894" s="135" t="s">
        <v>1842</v>
      </c>
      <c r="B894" s="135" t="s">
        <v>1843</v>
      </c>
      <c r="C894" s="135">
        <v>21</v>
      </c>
      <c r="D894" s="135">
        <v>1</v>
      </c>
      <c r="E894" s="133" t="s">
        <v>3171</v>
      </c>
      <c r="F894" s="136">
        <v>43397</v>
      </c>
      <c r="G894" s="136" t="s">
        <v>4033</v>
      </c>
      <c r="H894" s="136" t="s">
        <v>4724</v>
      </c>
      <c r="I894" s="172">
        <v>1.2499999999999999E-2</v>
      </c>
      <c r="J894" s="175">
        <v>2.0833333333333335E-4</v>
      </c>
      <c r="K894" s="143">
        <v>18</v>
      </c>
      <c r="L894" s="135"/>
      <c r="M894" s="133" t="s">
        <v>670</v>
      </c>
      <c r="N894" s="135" t="s">
        <v>102</v>
      </c>
      <c r="O894" s="135" t="s">
        <v>115</v>
      </c>
      <c r="P894" s="135" t="s">
        <v>24</v>
      </c>
      <c r="Q894" s="135"/>
      <c r="R894" s="135">
        <v>0</v>
      </c>
      <c r="S894" s="135"/>
      <c r="T894" s="135" t="s">
        <v>115</v>
      </c>
      <c r="U894" s="135" t="s">
        <v>115</v>
      </c>
      <c r="V894" s="135" t="s">
        <v>115</v>
      </c>
      <c r="W894" s="135" t="s">
        <v>115</v>
      </c>
      <c r="X894" s="135" t="s">
        <v>115</v>
      </c>
      <c r="Y894" s="135" t="s">
        <v>115</v>
      </c>
      <c r="AB894" s="135" t="s">
        <v>115</v>
      </c>
      <c r="AC894" s="137" t="s">
        <v>115</v>
      </c>
      <c r="AD894" s="137"/>
      <c r="AH894" s="143">
        <v>0</v>
      </c>
      <c r="AI894" s="143">
        <v>0</v>
      </c>
      <c r="AJ894" s="143">
        <v>0</v>
      </c>
      <c r="AK894" s="143">
        <v>0</v>
      </c>
      <c r="AL894" s="143">
        <v>2</v>
      </c>
      <c r="AM894" s="143">
        <v>0</v>
      </c>
      <c r="AN894" s="135">
        <f t="shared" si="15"/>
        <v>2</v>
      </c>
      <c r="AO894" s="135"/>
      <c r="AP894" s="135"/>
      <c r="AQ894" s="135"/>
      <c r="AR894" s="135"/>
      <c r="AS894" s="135"/>
      <c r="AT894" s="135"/>
      <c r="AU894" s="135"/>
      <c r="AV894" s="135"/>
    </row>
    <row r="895" spans="1:48" s="133" customFormat="1" x14ac:dyDescent="0.2">
      <c r="A895" s="133" t="s">
        <v>1844</v>
      </c>
      <c r="B895" s="133" t="s">
        <v>1845</v>
      </c>
      <c r="C895" s="133">
        <v>22</v>
      </c>
      <c r="D895" s="133">
        <v>1</v>
      </c>
      <c r="E895" s="133" t="s">
        <v>3171</v>
      </c>
      <c r="F895" s="138">
        <v>43397</v>
      </c>
      <c r="G895" s="136" t="s">
        <v>4033</v>
      </c>
      <c r="H895" s="136" t="s">
        <v>4724</v>
      </c>
      <c r="I895" s="148">
        <v>1.5972222222222224E-2</v>
      </c>
      <c r="J895" s="174">
        <v>2.6620370370370372E-4</v>
      </c>
      <c r="K895" s="139">
        <v>23</v>
      </c>
      <c r="M895" s="133" t="s">
        <v>670</v>
      </c>
      <c r="N895" s="133" t="s">
        <v>102</v>
      </c>
      <c r="O895" s="133" t="s">
        <v>23</v>
      </c>
      <c r="P895" s="133">
        <v>0</v>
      </c>
      <c r="R895" s="133">
        <v>0</v>
      </c>
      <c r="T895" s="133" t="s">
        <v>115</v>
      </c>
      <c r="U895" s="133" t="s">
        <v>115</v>
      </c>
      <c r="V895" s="133" t="s">
        <v>115</v>
      </c>
      <c r="W895" s="135" t="s">
        <v>115</v>
      </c>
      <c r="X895" s="135" t="s">
        <v>115</v>
      </c>
      <c r="Y895" s="135" t="s">
        <v>115</v>
      </c>
      <c r="AB895" s="133" t="s">
        <v>115</v>
      </c>
      <c r="AC895" s="134" t="s">
        <v>115</v>
      </c>
      <c r="AD895" s="134"/>
      <c r="AH895" s="139">
        <v>0</v>
      </c>
      <c r="AI895" s="139">
        <v>21</v>
      </c>
      <c r="AJ895" s="139">
        <v>0</v>
      </c>
      <c r="AK895" s="139">
        <v>21</v>
      </c>
      <c r="AL895" s="139">
        <v>0</v>
      </c>
      <c r="AM895" s="139">
        <v>0</v>
      </c>
      <c r="AN895" s="133">
        <f t="shared" si="15"/>
        <v>21</v>
      </c>
      <c r="AO895" s="133" t="s">
        <v>188</v>
      </c>
      <c r="AS895" s="135"/>
      <c r="AT895" s="135"/>
      <c r="AU895" s="135"/>
      <c r="AV895" s="135"/>
    </row>
    <row r="896" spans="1:48" s="133" customFormat="1" x14ac:dyDescent="0.2">
      <c r="A896" s="133" t="s">
        <v>1846</v>
      </c>
      <c r="B896" s="133" t="s">
        <v>1847</v>
      </c>
      <c r="C896" s="133">
        <v>23</v>
      </c>
      <c r="D896" s="133">
        <v>1</v>
      </c>
      <c r="E896" s="133" t="s">
        <v>3171</v>
      </c>
      <c r="F896" s="138">
        <v>43397</v>
      </c>
      <c r="G896" s="136" t="s">
        <v>4033</v>
      </c>
      <c r="H896" s="136" t="s">
        <v>4724</v>
      </c>
      <c r="I896" s="148">
        <v>4.8611111111111112E-3</v>
      </c>
      <c r="J896" s="174">
        <v>8.1018518518518516E-5</v>
      </c>
      <c r="K896" s="139">
        <v>7</v>
      </c>
      <c r="M896" s="133" t="s">
        <v>670</v>
      </c>
      <c r="N896" s="133" t="s">
        <v>102</v>
      </c>
      <c r="O896" s="133" t="s">
        <v>23</v>
      </c>
      <c r="P896" s="133">
        <v>0</v>
      </c>
      <c r="R896" s="133">
        <v>0</v>
      </c>
      <c r="T896" s="133" t="s">
        <v>115</v>
      </c>
      <c r="U896" s="133" t="s">
        <v>115</v>
      </c>
      <c r="V896" s="133" t="s">
        <v>115</v>
      </c>
      <c r="W896" s="135" t="s">
        <v>115</v>
      </c>
      <c r="X896" s="135" t="s">
        <v>115</v>
      </c>
      <c r="Y896" s="135" t="s">
        <v>115</v>
      </c>
      <c r="AB896" s="133" t="s">
        <v>115</v>
      </c>
      <c r="AC896" s="134" t="s">
        <v>115</v>
      </c>
      <c r="AD896" s="134"/>
      <c r="AH896" s="139">
        <v>6</v>
      </c>
      <c r="AI896" s="139">
        <v>0</v>
      </c>
      <c r="AJ896" s="139">
        <v>6</v>
      </c>
      <c r="AK896" s="139">
        <v>0</v>
      </c>
      <c r="AL896" s="139">
        <v>0</v>
      </c>
      <c r="AM896" s="139">
        <v>0</v>
      </c>
      <c r="AN896" s="133">
        <f t="shared" si="15"/>
        <v>6</v>
      </c>
      <c r="AO896" s="133" t="s">
        <v>188</v>
      </c>
    </row>
    <row r="897" spans="1:48" s="133" customFormat="1" x14ac:dyDescent="0.2">
      <c r="A897" s="133" t="s">
        <v>1849</v>
      </c>
      <c r="B897" s="133" t="s">
        <v>1848</v>
      </c>
      <c r="C897" s="133">
        <v>24</v>
      </c>
      <c r="D897" s="133">
        <v>1</v>
      </c>
      <c r="E897" s="133" t="s">
        <v>3171</v>
      </c>
      <c r="F897" s="138">
        <v>43397</v>
      </c>
      <c r="G897" s="136" t="s">
        <v>4033</v>
      </c>
      <c r="H897" s="136" t="s">
        <v>4724</v>
      </c>
      <c r="I897" s="148">
        <v>1.5972222222222224E-2</v>
      </c>
      <c r="J897" s="174">
        <v>2.6620370370370372E-4</v>
      </c>
      <c r="K897" s="139">
        <v>23</v>
      </c>
      <c r="M897" s="133" t="s">
        <v>670</v>
      </c>
      <c r="N897" s="133" t="s">
        <v>111</v>
      </c>
      <c r="O897" s="133" t="s">
        <v>23</v>
      </c>
      <c r="P897" s="133">
        <v>0</v>
      </c>
      <c r="R897" s="133">
        <v>1</v>
      </c>
      <c r="S897" s="133" t="s">
        <v>176</v>
      </c>
      <c r="T897" s="133" t="s">
        <v>176</v>
      </c>
      <c r="U897" s="133" t="s">
        <v>24</v>
      </c>
      <c r="V897" s="133" t="s">
        <v>709</v>
      </c>
      <c r="W897" s="140" t="s">
        <v>23</v>
      </c>
      <c r="X897" s="140" t="s">
        <v>4004</v>
      </c>
      <c r="Y897" s="140" t="s">
        <v>4005</v>
      </c>
      <c r="AB897" s="133" t="s">
        <v>24</v>
      </c>
      <c r="AC897" s="134">
        <v>63.722619999999999</v>
      </c>
      <c r="AD897" s="134">
        <v>148.95219</v>
      </c>
      <c r="AH897" s="139">
        <v>0</v>
      </c>
      <c r="AI897" s="139">
        <v>0</v>
      </c>
      <c r="AJ897" s="139">
        <v>0</v>
      </c>
      <c r="AK897" s="139">
        <v>0</v>
      </c>
      <c r="AL897" s="139">
        <v>0</v>
      </c>
      <c r="AM897" s="139">
        <v>0</v>
      </c>
      <c r="AN897" s="133">
        <f t="shared" si="15"/>
        <v>0</v>
      </c>
      <c r="AP897" s="133" t="s">
        <v>4894</v>
      </c>
      <c r="AS897" s="135"/>
      <c r="AT897" s="135"/>
      <c r="AU897" s="135"/>
      <c r="AV897" s="135"/>
    </row>
    <row r="898" spans="1:48" s="133" customFormat="1" x14ac:dyDescent="0.2">
      <c r="A898" s="133" t="s">
        <v>1850</v>
      </c>
      <c r="B898" s="133" t="s">
        <v>1851</v>
      </c>
      <c r="C898" s="133">
        <v>25</v>
      </c>
      <c r="D898" s="133">
        <v>1</v>
      </c>
      <c r="E898" s="133" t="s">
        <v>3171</v>
      </c>
      <c r="F898" s="138">
        <v>43397</v>
      </c>
      <c r="G898" s="136" t="s">
        <v>4033</v>
      </c>
      <c r="H898" s="136" t="s">
        <v>4724</v>
      </c>
      <c r="I898" s="148">
        <v>3.472222222222222E-3</v>
      </c>
      <c r="J898" s="174">
        <v>5.7870370370370366E-5</v>
      </c>
      <c r="K898" s="139">
        <v>5</v>
      </c>
      <c r="M898" s="133" t="s">
        <v>670</v>
      </c>
      <c r="N898" s="133" t="s">
        <v>102</v>
      </c>
      <c r="O898" s="133" t="s">
        <v>23</v>
      </c>
      <c r="P898" s="133">
        <v>1</v>
      </c>
      <c r="R898" s="133">
        <v>0</v>
      </c>
      <c r="S898" s="133" t="s">
        <v>176</v>
      </c>
      <c r="T898" s="133" t="s">
        <v>176</v>
      </c>
      <c r="U898" s="133" t="s">
        <v>1854</v>
      </c>
      <c r="V898" s="133" t="s">
        <v>115</v>
      </c>
      <c r="W898" s="135" t="s">
        <v>115</v>
      </c>
      <c r="X898" s="135" t="s">
        <v>115</v>
      </c>
      <c r="Y898" s="135" t="s">
        <v>115</v>
      </c>
      <c r="AB898" s="133" t="s">
        <v>115</v>
      </c>
      <c r="AC898" s="134" t="s">
        <v>115</v>
      </c>
      <c r="AD898" s="134"/>
      <c r="AH898" s="139">
        <v>0</v>
      </c>
      <c r="AI898" s="139">
        <v>0</v>
      </c>
      <c r="AJ898" s="139">
        <v>0</v>
      </c>
      <c r="AK898" s="139">
        <v>0</v>
      </c>
      <c r="AL898" s="139">
        <v>0</v>
      </c>
      <c r="AM898" s="139">
        <v>0</v>
      </c>
      <c r="AN898" s="133">
        <f t="shared" si="15"/>
        <v>0</v>
      </c>
      <c r="AP898" s="133" t="s">
        <v>1092</v>
      </c>
    </row>
    <row r="899" spans="1:48" s="135" customFormat="1" x14ac:dyDescent="0.2">
      <c r="A899" s="133" t="s">
        <v>1855</v>
      </c>
      <c r="B899" s="133" t="s">
        <v>1856</v>
      </c>
      <c r="C899" s="133">
        <v>27</v>
      </c>
      <c r="D899" s="133">
        <v>1</v>
      </c>
      <c r="E899" s="133" t="s">
        <v>3171</v>
      </c>
      <c r="F899" s="138">
        <v>43397</v>
      </c>
      <c r="G899" s="136" t="s">
        <v>4033</v>
      </c>
      <c r="H899" s="136" t="s">
        <v>4724</v>
      </c>
      <c r="I899" s="148">
        <v>2.2222222222222223E-2</v>
      </c>
      <c r="J899" s="174">
        <v>3.7037037037037035E-4</v>
      </c>
      <c r="K899" s="139">
        <v>32</v>
      </c>
      <c r="L899" s="133"/>
      <c r="M899" s="133" t="s">
        <v>670</v>
      </c>
      <c r="N899" s="133" t="s">
        <v>102</v>
      </c>
      <c r="O899" s="133" t="s">
        <v>23</v>
      </c>
      <c r="P899" s="133" t="s">
        <v>24</v>
      </c>
      <c r="Q899" s="133"/>
      <c r="R899" s="133">
        <v>0</v>
      </c>
      <c r="S899" s="133" t="s">
        <v>176</v>
      </c>
      <c r="T899" s="133" t="s">
        <v>176</v>
      </c>
      <c r="U899" s="133" t="s">
        <v>115</v>
      </c>
      <c r="V899" s="133" t="s">
        <v>115</v>
      </c>
      <c r="W899" s="135" t="s">
        <v>115</v>
      </c>
      <c r="X899" s="135" t="s">
        <v>115</v>
      </c>
      <c r="Y899" s="135" t="s">
        <v>115</v>
      </c>
      <c r="AB899" s="133" t="s">
        <v>115</v>
      </c>
      <c r="AC899" s="134" t="s">
        <v>115</v>
      </c>
      <c r="AD899" s="134"/>
      <c r="AH899" s="139">
        <v>7</v>
      </c>
      <c r="AI899" s="139">
        <v>24</v>
      </c>
      <c r="AJ899" s="139">
        <v>14</v>
      </c>
      <c r="AK899" s="139">
        <v>17</v>
      </c>
      <c r="AL899" s="139">
        <v>0</v>
      </c>
      <c r="AM899" s="139">
        <v>0</v>
      </c>
      <c r="AN899" s="133">
        <f t="shared" si="15"/>
        <v>31</v>
      </c>
      <c r="AO899" s="133"/>
      <c r="AP899" s="133"/>
      <c r="AQ899" s="133"/>
      <c r="AR899" s="133"/>
      <c r="AS899" s="133"/>
      <c r="AT899" s="133"/>
      <c r="AU899" s="133"/>
      <c r="AV899" s="133"/>
    </row>
    <row r="900" spans="1:48" s="133" customFormat="1" x14ac:dyDescent="0.2">
      <c r="A900" s="133" t="s">
        <v>1962</v>
      </c>
      <c r="B900" s="133" t="s">
        <v>1963</v>
      </c>
      <c r="C900" s="133">
        <v>1</v>
      </c>
      <c r="D900" s="133">
        <v>1</v>
      </c>
      <c r="E900" s="133" t="s">
        <v>3171</v>
      </c>
      <c r="F900" s="138">
        <v>43404</v>
      </c>
      <c r="G900" s="136" t="s">
        <v>4033</v>
      </c>
      <c r="H900" s="136" t="s">
        <v>4724</v>
      </c>
      <c r="I900" s="148">
        <v>7.6388888888888886E-3</v>
      </c>
      <c r="J900" s="174">
        <v>1.273148148148148E-4</v>
      </c>
      <c r="K900" s="139">
        <v>11</v>
      </c>
      <c r="L900" s="133" t="s">
        <v>101</v>
      </c>
      <c r="M900" s="133" t="s">
        <v>670</v>
      </c>
      <c r="N900" s="133" t="s">
        <v>102</v>
      </c>
      <c r="O900" s="133" t="s">
        <v>23</v>
      </c>
      <c r="P900" s="133">
        <v>1</v>
      </c>
      <c r="R900" s="133">
        <v>0</v>
      </c>
      <c r="S900" s="133" t="s">
        <v>176</v>
      </c>
      <c r="T900" s="133" t="s">
        <v>176</v>
      </c>
      <c r="U900" s="133" t="s">
        <v>1035</v>
      </c>
      <c r="V900" s="133" t="s">
        <v>115</v>
      </c>
      <c r="W900" s="135" t="s">
        <v>115</v>
      </c>
      <c r="X900" s="135" t="s">
        <v>115</v>
      </c>
      <c r="Y900" s="135" t="s">
        <v>115</v>
      </c>
      <c r="AB900" s="133" t="s">
        <v>115</v>
      </c>
      <c r="AC900" s="134" t="s">
        <v>115</v>
      </c>
      <c r="AD900" s="134"/>
      <c r="AH900" s="139">
        <v>0</v>
      </c>
      <c r="AI900" s="139">
        <v>0</v>
      </c>
      <c r="AJ900" s="139">
        <v>0</v>
      </c>
      <c r="AK900" s="139">
        <v>0</v>
      </c>
      <c r="AL900" s="139">
        <v>0</v>
      </c>
      <c r="AM900" s="139">
        <v>0</v>
      </c>
      <c r="AN900" s="133">
        <f t="shared" si="15"/>
        <v>0</v>
      </c>
      <c r="AP900" s="133" t="s">
        <v>1964</v>
      </c>
      <c r="AS900" s="135"/>
      <c r="AT900" s="135"/>
      <c r="AU900" s="135"/>
      <c r="AV900" s="135"/>
    </row>
    <row r="901" spans="1:48" s="133" customFormat="1" x14ac:dyDescent="0.2">
      <c r="A901" s="133" t="s">
        <v>1967</v>
      </c>
      <c r="B901" s="133" t="s">
        <v>1968</v>
      </c>
      <c r="C901" s="133">
        <v>3</v>
      </c>
      <c r="D901" s="133">
        <v>1</v>
      </c>
      <c r="E901" s="133" t="s">
        <v>3171</v>
      </c>
      <c r="F901" s="138">
        <v>43404</v>
      </c>
      <c r="G901" s="136" t="s">
        <v>4033</v>
      </c>
      <c r="H901" s="136" t="s">
        <v>4724</v>
      </c>
      <c r="I901" s="148">
        <v>3.125E-2</v>
      </c>
      <c r="J901" s="174">
        <v>5.2083333333333333E-4</v>
      </c>
      <c r="K901" s="139">
        <v>45</v>
      </c>
      <c r="L901" s="133" t="s">
        <v>101</v>
      </c>
      <c r="M901" s="133" t="s">
        <v>670</v>
      </c>
      <c r="N901" s="133" t="s">
        <v>102</v>
      </c>
      <c r="O901" s="133" t="s">
        <v>23</v>
      </c>
      <c r="P901" s="133">
        <v>1</v>
      </c>
      <c r="R901" s="133">
        <v>0</v>
      </c>
      <c r="S901" s="133" t="s">
        <v>176</v>
      </c>
      <c r="T901" s="133" t="s">
        <v>176</v>
      </c>
      <c r="U901" s="133" t="s">
        <v>1254</v>
      </c>
      <c r="V901" s="133" t="s">
        <v>115</v>
      </c>
      <c r="W901" s="135" t="s">
        <v>115</v>
      </c>
      <c r="X901" s="135" t="s">
        <v>115</v>
      </c>
      <c r="Y901" s="135" t="s">
        <v>115</v>
      </c>
      <c r="AB901" s="133" t="s">
        <v>115</v>
      </c>
      <c r="AC901" s="134" t="s">
        <v>115</v>
      </c>
      <c r="AD901" s="134"/>
      <c r="AH901" s="139">
        <v>45</v>
      </c>
      <c r="AI901" s="139">
        <v>0</v>
      </c>
      <c r="AJ901" s="139">
        <v>0</v>
      </c>
      <c r="AK901" s="139">
        <v>45</v>
      </c>
      <c r="AL901" s="139">
        <v>0</v>
      </c>
      <c r="AM901" s="139">
        <v>0</v>
      </c>
      <c r="AN901" s="133">
        <f t="shared" si="15"/>
        <v>45</v>
      </c>
      <c r="AO901" s="133" t="s">
        <v>16</v>
      </c>
      <c r="AQ901" s="133">
        <v>0</v>
      </c>
      <c r="AR901" s="133">
        <v>3</v>
      </c>
    </row>
    <row r="902" spans="1:48" s="133" customFormat="1" x14ac:dyDescent="0.2">
      <c r="A902" s="133" t="s">
        <v>1973</v>
      </c>
      <c r="B902" s="133" t="s">
        <v>1974</v>
      </c>
      <c r="C902" s="133">
        <v>6</v>
      </c>
      <c r="D902" s="133">
        <v>1</v>
      </c>
      <c r="E902" s="133" t="s">
        <v>3171</v>
      </c>
      <c r="F902" s="138">
        <v>43404</v>
      </c>
      <c r="G902" s="136" t="s">
        <v>4033</v>
      </c>
      <c r="H902" s="136" t="s">
        <v>4724</v>
      </c>
      <c r="I902" s="148">
        <v>2.5694444444444447E-2</v>
      </c>
      <c r="J902" s="174">
        <v>4.2824074074074075E-4</v>
      </c>
      <c r="K902" s="139">
        <v>37</v>
      </c>
      <c r="L902" s="133" t="s">
        <v>101</v>
      </c>
      <c r="M902" s="133" t="s">
        <v>670</v>
      </c>
      <c r="N902" s="133" t="s">
        <v>111</v>
      </c>
      <c r="O902" s="133" t="s">
        <v>23</v>
      </c>
      <c r="P902" s="133">
        <v>0</v>
      </c>
      <c r="R902" s="133">
        <v>1</v>
      </c>
      <c r="S902" s="133" t="s">
        <v>176</v>
      </c>
      <c r="T902" s="133" t="s">
        <v>176</v>
      </c>
      <c r="U902" s="133" t="s">
        <v>24</v>
      </c>
      <c r="V902" s="133" t="s">
        <v>1057</v>
      </c>
      <c r="W902" s="140" t="s">
        <v>23</v>
      </c>
      <c r="X902" s="140" t="s">
        <v>3999</v>
      </c>
      <c r="Y902" s="140" t="s">
        <v>4005</v>
      </c>
      <c r="AB902" s="133" t="s">
        <v>24</v>
      </c>
      <c r="AC902" s="134">
        <v>63.722760000000001</v>
      </c>
      <c r="AD902" s="134">
        <v>148.95087000000001</v>
      </c>
      <c r="AH902" s="139">
        <v>0</v>
      </c>
      <c r="AI902" s="139">
        <v>0</v>
      </c>
      <c r="AJ902" s="139">
        <v>0</v>
      </c>
      <c r="AK902" s="139">
        <v>0</v>
      </c>
      <c r="AL902" s="139">
        <v>0</v>
      </c>
      <c r="AM902" s="139">
        <v>0</v>
      </c>
      <c r="AN902" s="133">
        <f t="shared" si="15"/>
        <v>0</v>
      </c>
    </row>
    <row r="903" spans="1:48" s="133" customFormat="1" x14ac:dyDescent="0.2">
      <c r="A903" s="133" t="s">
        <v>1983</v>
      </c>
      <c r="B903" s="133" t="s">
        <v>1984</v>
      </c>
      <c r="C903" s="133">
        <v>11</v>
      </c>
      <c r="D903" s="133">
        <v>1</v>
      </c>
      <c r="E903" s="133" t="s">
        <v>3171</v>
      </c>
      <c r="F903" s="138">
        <v>43404</v>
      </c>
      <c r="G903" s="136" t="s">
        <v>4033</v>
      </c>
      <c r="H903" s="136" t="s">
        <v>4724</v>
      </c>
      <c r="I903" s="148">
        <v>1.6666666666666666E-2</v>
      </c>
      <c r="J903" s="174">
        <v>2.7777777777777778E-4</v>
      </c>
      <c r="K903" s="139">
        <v>24</v>
      </c>
      <c r="L903" s="133" t="s">
        <v>101</v>
      </c>
      <c r="M903" s="133" t="s">
        <v>670</v>
      </c>
      <c r="N903" s="133" t="s">
        <v>102</v>
      </c>
      <c r="O903" s="133" t="s">
        <v>23</v>
      </c>
      <c r="P903" s="133">
        <v>0</v>
      </c>
      <c r="R903" s="133">
        <v>0</v>
      </c>
      <c r="T903" s="133" t="s">
        <v>115</v>
      </c>
      <c r="U903" s="133" t="s">
        <v>115</v>
      </c>
      <c r="V903" s="133" t="s">
        <v>115</v>
      </c>
      <c r="W903" s="135" t="s">
        <v>115</v>
      </c>
      <c r="X903" s="135" t="s">
        <v>115</v>
      </c>
      <c r="Y903" s="135" t="s">
        <v>115</v>
      </c>
      <c r="Z903" s="135"/>
      <c r="AA903" s="135"/>
      <c r="AB903" s="133" t="s">
        <v>115</v>
      </c>
      <c r="AC903" s="134" t="s">
        <v>115</v>
      </c>
      <c r="AD903" s="134"/>
      <c r="AE903" s="135"/>
      <c r="AF903" s="135"/>
      <c r="AG903" s="135"/>
      <c r="AH903" s="139">
        <v>17</v>
      </c>
      <c r="AI903" s="139">
        <v>0</v>
      </c>
      <c r="AJ903" s="139">
        <v>17</v>
      </c>
      <c r="AK903" s="139">
        <v>0</v>
      </c>
      <c r="AL903" s="139">
        <v>0</v>
      </c>
      <c r="AM903" s="139">
        <v>0</v>
      </c>
      <c r="AN903" s="133">
        <f t="shared" si="15"/>
        <v>17</v>
      </c>
    </row>
    <row r="904" spans="1:48" s="133" customFormat="1" x14ac:dyDescent="0.2">
      <c r="A904" s="135" t="s">
        <v>1128</v>
      </c>
      <c r="B904" s="135" t="s">
        <v>4982</v>
      </c>
      <c r="C904" s="135">
        <v>1</v>
      </c>
      <c r="D904" s="135">
        <v>1</v>
      </c>
      <c r="E904" s="135" t="s">
        <v>2601</v>
      </c>
      <c r="F904" s="136">
        <v>43379</v>
      </c>
      <c r="G904" s="136" t="s">
        <v>4033</v>
      </c>
      <c r="H904" s="136" t="s">
        <v>4724</v>
      </c>
      <c r="I904" s="172">
        <v>6.9444444444444441E-3</v>
      </c>
      <c r="J904" s="175">
        <v>1.1574074074074073E-4</v>
      </c>
      <c r="K904" s="143">
        <v>10</v>
      </c>
      <c r="L904" s="135" t="s">
        <v>640</v>
      </c>
      <c r="M904" s="135" t="s">
        <v>173</v>
      </c>
      <c r="N904" s="135" t="s">
        <v>102</v>
      </c>
      <c r="O904" s="135" t="s">
        <v>115</v>
      </c>
      <c r="P904" s="135">
        <v>1</v>
      </c>
      <c r="Q904" s="135"/>
      <c r="R904" s="135">
        <v>0</v>
      </c>
      <c r="S904" s="133" t="s">
        <v>14</v>
      </c>
      <c r="T904" s="135" t="s">
        <v>2128</v>
      </c>
      <c r="U904" s="135" t="s">
        <v>122</v>
      </c>
      <c r="V904" s="135" t="s">
        <v>115</v>
      </c>
      <c r="W904" s="135" t="s">
        <v>115</v>
      </c>
      <c r="X904" s="135" t="s">
        <v>115</v>
      </c>
      <c r="Y904" s="135" t="s">
        <v>115</v>
      </c>
      <c r="AB904" s="135" t="s">
        <v>115</v>
      </c>
      <c r="AC904" s="137" t="s">
        <v>115</v>
      </c>
      <c r="AD904" s="137"/>
      <c r="AH904" s="143">
        <v>0</v>
      </c>
      <c r="AI904" s="143">
        <v>0</v>
      </c>
      <c r="AJ904" s="143">
        <v>0</v>
      </c>
      <c r="AK904" s="143">
        <v>0</v>
      </c>
      <c r="AL904" s="143">
        <v>10</v>
      </c>
      <c r="AM904" s="135">
        <v>0</v>
      </c>
      <c r="AN904" s="135">
        <f t="shared" si="15"/>
        <v>10</v>
      </c>
      <c r="AO904" s="135" t="s">
        <v>103</v>
      </c>
      <c r="AP904" s="135"/>
      <c r="AQ904" s="135"/>
      <c r="AR904" s="135"/>
    </row>
    <row r="905" spans="1:48" s="133" customFormat="1" x14ac:dyDescent="0.2">
      <c r="A905" s="135" t="s">
        <v>1129</v>
      </c>
      <c r="B905" s="135" t="s">
        <v>4983</v>
      </c>
      <c r="C905" s="135">
        <v>2</v>
      </c>
      <c r="D905" s="135">
        <v>1</v>
      </c>
      <c r="E905" s="135" t="s">
        <v>2601</v>
      </c>
      <c r="F905" s="136">
        <v>43379</v>
      </c>
      <c r="G905" s="136" t="s">
        <v>4033</v>
      </c>
      <c r="H905" s="136" t="s">
        <v>4724</v>
      </c>
      <c r="I905" s="172">
        <v>9.7222222222222224E-3</v>
      </c>
      <c r="J905" s="175">
        <v>1.6203703703703703E-4</v>
      </c>
      <c r="K905" s="143">
        <v>14</v>
      </c>
      <c r="L905" s="135" t="s">
        <v>640</v>
      </c>
      <c r="M905" s="135" t="s">
        <v>173</v>
      </c>
      <c r="N905" s="135" t="s">
        <v>102</v>
      </c>
      <c r="O905" s="135" t="s">
        <v>115</v>
      </c>
      <c r="P905" s="135">
        <v>1</v>
      </c>
      <c r="Q905" s="135"/>
      <c r="R905" s="135">
        <v>0</v>
      </c>
      <c r="S905" s="133" t="s">
        <v>176</v>
      </c>
      <c r="T905" s="135" t="s">
        <v>176</v>
      </c>
      <c r="U905" s="135" t="s">
        <v>122</v>
      </c>
      <c r="V905" s="135" t="s">
        <v>115</v>
      </c>
      <c r="W905" s="135" t="s">
        <v>115</v>
      </c>
      <c r="X905" s="135" t="s">
        <v>115</v>
      </c>
      <c r="Y905" s="135" t="s">
        <v>115</v>
      </c>
      <c r="AB905" s="135" t="s">
        <v>115</v>
      </c>
      <c r="AC905" s="137" t="s">
        <v>115</v>
      </c>
      <c r="AD905" s="137"/>
      <c r="AH905" s="143">
        <v>0</v>
      </c>
      <c r="AI905" s="143">
        <v>0</v>
      </c>
      <c r="AJ905" s="143">
        <v>0</v>
      </c>
      <c r="AK905" s="143">
        <v>0</v>
      </c>
      <c r="AL905" s="143">
        <v>10</v>
      </c>
      <c r="AM905" s="135">
        <v>0</v>
      </c>
      <c r="AN905" s="135">
        <f t="shared" si="15"/>
        <v>10</v>
      </c>
      <c r="AO905" s="135"/>
      <c r="AP905" s="135" t="s">
        <v>4984</v>
      </c>
      <c r="AQ905" s="135"/>
      <c r="AR905" s="135"/>
    </row>
    <row r="906" spans="1:48" s="133" customFormat="1" x14ac:dyDescent="0.2">
      <c r="A906" s="133" t="s">
        <v>1133</v>
      </c>
      <c r="B906" s="133" t="s">
        <v>4986</v>
      </c>
      <c r="C906" s="133">
        <v>4</v>
      </c>
      <c r="D906" s="133">
        <v>1</v>
      </c>
      <c r="E906" s="133" t="s">
        <v>2601</v>
      </c>
      <c r="F906" s="138">
        <v>43379</v>
      </c>
      <c r="G906" s="136" t="s">
        <v>4033</v>
      </c>
      <c r="H906" s="136" t="s">
        <v>4724</v>
      </c>
      <c r="I906" s="148">
        <v>1.1111111111111112E-2</v>
      </c>
      <c r="J906" s="174">
        <v>1.8518518518518518E-4</v>
      </c>
      <c r="K906" s="139">
        <v>16</v>
      </c>
      <c r="L906" s="133" t="s">
        <v>640</v>
      </c>
      <c r="M906" s="133" t="s">
        <v>173</v>
      </c>
      <c r="N906" s="133" t="s">
        <v>102</v>
      </c>
      <c r="O906" s="133" t="s">
        <v>115</v>
      </c>
      <c r="P906" s="133">
        <v>1</v>
      </c>
      <c r="R906" s="133">
        <v>0</v>
      </c>
      <c r="S906" s="133" t="s">
        <v>14</v>
      </c>
      <c r="T906" s="133" t="s">
        <v>2131</v>
      </c>
      <c r="U906" s="133" t="s">
        <v>122</v>
      </c>
      <c r="V906" s="133" t="s">
        <v>115</v>
      </c>
      <c r="W906" s="135" t="s">
        <v>115</v>
      </c>
      <c r="X906" s="135" t="s">
        <v>115</v>
      </c>
      <c r="Y906" s="135" t="s">
        <v>115</v>
      </c>
      <c r="Z906" s="135"/>
      <c r="AA906" s="135"/>
      <c r="AB906" s="133" t="s">
        <v>115</v>
      </c>
      <c r="AC906" s="134" t="s">
        <v>115</v>
      </c>
      <c r="AD906" s="134"/>
      <c r="AE906" s="135"/>
      <c r="AF906" s="135"/>
      <c r="AG906" s="135"/>
      <c r="AH906" s="139">
        <v>0</v>
      </c>
      <c r="AI906" s="139">
        <v>0</v>
      </c>
      <c r="AJ906" s="139">
        <v>0</v>
      </c>
      <c r="AK906" s="139">
        <v>0</v>
      </c>
      <c r="AL906" s="139">
        <v>0</v>
      </c>
      <c r="AM906" s="133">
        <v>0</v>
      </c>
      <c r="AN906" s="133">
        <f t="shared" si="15"/>
        <v>0</v>
      </c>
      <c r="AP906" s="133" t="s">
        <v>1134</v>
      </c>
      <c r="AS906" s="135"/>
      <c r="AT906" s="135"/>
      <c r="AU906" s="135"/>
      <c r="AV906" s="135"/>
    </row>
    <row r="907" spans="1:48" s="135" customFormat="1" x14ac:dyDescent="0.2">
      <c r="A907" s="133" t="s">
        <v>1135</v>
      </c>
      <c r="B907" s="133" t="s">
        <v>4988</v>
      </c>
      <c r="C907" s="133">
        <v>5</v>
      </c>
      <c r="D907" s="133">
        <v>1</v>
      </c>
      <c r="E907" s="133" t="s">
        <v>2601</v>
      </c>
      <c r="F907" s="138">
        <v>43379</v>
      </c>
      <c r="G907" s="136" t="s">
        <v>4033</v>
      </c>
      <c r="H907" s="136" t="s">
        <v>4724</v>
      </c>
      <c r="I907" s="148">
        <v>7.6388888888888886E-3</v>
      </c>
      <c r="J907" s="174">
        <v>1.273148148148148E-4</v>
      </c>
      <c r="K907" s="139">
        <v>11</v>
      </c>
      <c r="L907" s="133" t="s">
        <v>640</v>
      </c>
      <c r="M907" s="133" t="s">
        <v>173</v>
      </c>
      <c r="N907" s="133" t="s">
        <v>107</v>
      </c>
      <c r="O907" s="133" t="s">
        <v>115</v>
      </c>
      <c r="P907" s="133">
        <v>0</v>
      </c>
      <c r="Q907" s="133"/>
      <c r="R907" s="133">
        <v>0</v>
      </c>
      <c r="S907" s="133" t="s">
        <v>14</v>
      </c>
      <c r="T907" s="133" t="s">
        <v>2131</v>
      </c>
      <c r="U907" s="133" t="s">
        <v>115</v>
      </c>
      <c r="V907" s="133" t="s">
        <v>115</v>
      </c>
      <c r="W907" s="135" t="s">
        <v>115</v>
      </c>
      <c r="X907" s="135" t="s">
        <v>115</v>
      </c>
      <c r="Y907" s="135" t="s">
        <v>115</v>
      </c>
      <c r="AB907" s="133" t="s">
        <v>115</v>
      </c>
      <c r="AC907" s="134" t="s">
        <v>115</v>
      </c>
      <c r="AD907" s="134"/>
      <c r="AH907" s="139">
        <v>0</v>
      </c>
      <c r="AI907" s="139">
        <v>0</v>
      </c>
      <c r="AJ907" s="139">
        <v>0</v>
      </c>
      <c r="AK907" s="139">
        <v>0</v>
      </c>
      <c r="AL907" s="139">
        <v>0</v>
      </c>
      <c r="AM907" s="133">
        <v>0</v>
      </c>
      <c r="AN907" s="133">
        <f t="shared" si="15"/>
        <v>0</v>
      </c>
      <c r="AO907" s="133"/>
      <c r="AP907" s="133" t="s">
        <v>1136</v>
      </c>
      <c r="AQ907" s="133"/>
      <c r="AR907" s="133"/>
      <c r="AS907" s="133"/>
      <c r="AT907" s="133"/>
      <c r="AU907" s="133"/>
      <c r="AV907" s="133"/>
    </row>
    <row r="908" spans="1:48" s="133" customFormat="1" x14ac:dyDescent="0.2">
      <c r="A908" s="133" t="s">
        <v>1137</v>
      </c>
      <c r="B908" s="133" t="s">
        <v>4989</v>
      </c>
      <c r="C908" s="133">
        <v>6</v>
      </c>
      <c r="D908" s="133">
        <v>1</v>
      </c>
      <c r="E908" s="133" t="s">
        <v>2601</v>
      </c>
      <c r="F908" s="138">
        <v>43379</v>
      </c>
      <c r="G908" s="136" t="s">
        <v>4033</v>
      </c>
      <c r="H908" s="136" t="s">
        <v>4724</v>
      </c>
      <c r="I908" s="148">
        <v>1.1805555555555555E-2</v>
      </c>
      <c r="J908" s="174">
        <v>1.9675925925925926E-4</v>
      </c>
      <c r="K908" s="139">
        <v>17</v>
      </c>
      <c r="L908" s="133" t="s">
        <v>640</v>
      </c>
      <c r="M908" s="133" t="s">
        <v>173</v>
      </c>
      <c r="N908" s="133" t="s">
        <v>111</v>
      </c>
      <c r="O908" s="133" t="s">
        <v>23</v>
      </c>
      <c r="P908" s="133">
        <v>0</v>
      </c>
      <c r="R908" s="133">
        <v>1</v>
      </c>
      <c r="S908" s="133" t="s">
        <v>176</v>
      </c>
      <c r="T908" s="133" t="s">
        <v>4990</v>
      </c>
      <c r="U908" s="133" t="s">
        <v>24</v>
      </c>
      <c r="V908" s="133" t="s">
        <v>709</v>
      </c>
      <c r="W908" s="140" t="s">
        <v>23</v>
      </c>
      <c r="X908" s="140" t="s">
        <v>4004</v>
      </c>
      <c r="Y908" s="140" t="s">
        <v>4005</v>
      </c>
      <c r="AB908" s="133" t="s">
        <v>24</v>
      </c>
      <c r="AC908" s="134">
        <v>63.724710000000002</v>
      </c>
      <c r="AD908" s="134">
        <v>148.95338000000001</v>
      </c>
      <c r="AH908" s="139">
        <v>0</v>
      </c>
      <c r="AI908" s="139">
        <v>0</v>
      </c>
      <c r="AJ908" s="139">
        <v>0</v>
      </c>
      <c r="AK908" s="139">
        <v>0</v>
      </c>
      <c r="AL908" s="139">
        <v>0</v>
      </c>
      <c r="AM908" s="133">
        <v>0</v>
      </c>
      <c r="AN908" s="133">
        <f t="shared" si="15"/>
        <v>0</v>
      </c>
    </row>
    <row r="909" spans="1:48" s="133" customFormat="1" x14ac:dyDescent="0.2">
      <c r="A909" s="133" t="s">
        <v>1140</v>
      </c>
      <c r="B909" s="133" t="s">
        <v>4991</v>
      </c>
      <c r="C909" s="133">
        <v>7</v>
      </c>
      <c r="D909" s="133">
        <v>1</v>
      </c>
      <c r="E909" s="133" t="s">
        <v>2601</v>
      </c>
      <c r="F909" s="138">
        <v>43379</v>
      </c>
      <c r="G909" s="136" t="s">
        <v>4033</v>
      </c>
      <c r="H909" s="136" t="s">
        <v>4724</v>
      </c>
      <c r="I909" s="148">
        <v>9.0277777777777787E-3</v>
      </c>
      <c r="J909" s="174">
        <v>1.5046296296296297E-4</v>
      </c>
      <c r="K909" s="139">
        <v>13</v>
      </c>
      <c r="L909" s="133" t="s">
        <v>640</v>
      </c>
      <c r="M909" s="133" t="s">
        <v>173</v>
      </c>
      <c r="N909" s="133" t="s">
        <v>111</v>
      </c>
      <c r="O909" s="133" t="s">
        <v>23</v>
      </c>
      <c r="P909" s="133">
        <v>0</v>
      </c>
      <c r="R909" s="133">
        <v>1</v>
      </c>
      <c r="S909" s="133" t="s">
        <v>176</v>
      </c>
      <c r="T909" s="133" t="s">
        <v>176</v>
      </c>
      <c r="U909" s="133" t="s">
        <v>24</v>
      </c>
      <c r="V909" s="133" t="s">
        <v>709</v>
      </c>
      <c r="W909" s="140" t="s">
        <v>23</v>
      </c>
      <c r="X909" s="140" t="s">
        <v>4004</v>
      </c>
      <c r="Y909" s="140" t="s">
        <v>4007</v>
      </c>
      <c r="Z909" s="135"/>
      <c r="AA909" s="135"/>
      <c r="AB909" s="133" t="s">
        <v>24</v>
      </c>
      <c r="AC909" s="134">
        <v>63.72475</v>
      </c>
      <c r="AD909" s="134">
        <v>148.95241999999999</v>
      </c>
      <c r="AE909" s="135"/>
      <c r="AF909" s="135"/>
      <c r="AG909" s="135"/>
      <c r="AH909" s="139">
        <v>0</v>
      </c>
      <c r="AI909" s="139">
        <v>0</v>
      </c>
      <c r="AJ909" s="139">
        <v>0</v>
      </c>
      <c r="AK909" s="139">
        <v>0</v>
      </c>
      <c r="AL909" s="139">
        <v>0</v>
      </c>
      <c r="AM909" s="133">
        <v>0</v>
      </c>
      <c r="AN909" s="133">
        <f t="shared" si="15"/>
        <v>0</v>
      </c>
      <c r="AP909" s="133" t="s">
        <v>1142</v>
      </c>
    </row>
    <row r="910" spans="1:48" s="133" customFormat="1" x14ac:dyDescent="0.2">
      <c r="A910" s="133" t="s">
        <v>1143</v>
      </c>
      <c r="B910" s="133" t="s">
        <v>4987</v>
      </c>
      <c r="C910" s="133">
        <v>8</v>
      </c>
      <c r="D910" s="133">
        <v>1</v>
      </c>
      <c r="E910" s="133" t="s">
        <v>2601</v>
      </c>
      <c r="F910" s="138">
        <v>43379</v>
      </c>
      <c r="G910" s="136" t="s">
        <v>4033</v>
      </c>
      <c r="H910" s="136" t="s">
        <v>4724</v>
      </c>
      <c r="I910" s="148">
        <v>1.5277777777777777E-2</v>
      </c>
      <c r="J910" s="174">
        <v>2.5462962962962961E-4</v>
      </c>
      <c r="K910" s="139">
        <v>22</v>
      </c>
      <c r="L910" s="133" t="s">
        <v>640</v>
      </c>
      <c r="M910" s="133" t="s">
        <v>173</v>
      </c>
      <c r="N910" s="133" t="s">
        <v>111</v>
      </c>
      <c r="O910" s="133" t="s">
        <v>23</v>
      </c>
      <c r="P910" s="133">
        <v>1</v>
      </c>
      <c r="R910" s="133">
        <v>1</v>
      </c>
      <c r="S910" s="133" t="s">
        <v>176</v>
      </c>
      <c r="T910" s="133" t="s">
        <v>176</v>
      </c>
      <c r="U910" s="133" t="s">
        <v>122</v>
      </c>
      <c r="V910" s="133" t="s">
        <v>3963</v>
      </c>
      <c r="W910" s="140" t="s">
        <v>23</v>
      </c>
      <c r="X910" s="140" t="s">
        <v>3997</v>
      </c>
      <c r="Y910" s="140" t="s">
        <v>4007</v>
      </c>
      <c r="Z910" s="135"/>
      <c r="AA910" s="135"/>
      <c r="AB910" s="133">
        <v>1</v>
      </c>
      <c r="AC910" s="134">
        <v>63.724789999999999</v>
      </c>
      <c r="AD910" s="134">
        <v>148.95250999999999</v>
      </c>
      <c r="AE910" s="135"/>
      <c r="AF910" s="135"/>
      <c r="AG910" s="135"/>
      <c r="AH910" s="139">
        <v>0</v>
      </c>
      <c r="AI910" s="139">
        <v>0</v>
      </c>
      <c r="AJ910" s="139">
        <v>0</v>
      </c>
      <c r="AK910" s="139">
        <v>0</v>
      </c>
      <c r="AL910" s="139">
        <v>0</v>
      </c>
      <c r="AM910" s="133">
        <v>0</v>
      </c>
      <c r="AN910" s="133">
        <f t="shared" si="15"/>
        <v>0</v>
      </c>
      <c r="AP910" s="133" t="s">
        <v>1191</v>
      </c>
    </row>
    <row r="911" spans="1:48" s="133" customFormat="1" x14ac:dyDescent="0.2">
      <c r="A911" s="133" t="s">
        <v>1145</v>
      </c>
      <c r="B911" s="133" t="s">
        <v>4992</v>
      </c>
      <c r="C911" s="133">
        <v>9</v>
      </c>
      <c r="D911" s="133">
        <v>1</v>
      </c>
      <c r="E911" s="133" t="s">
        <v>2601</v>
      </c>
      <c r="F911" s="138">
        <v>43379</v>
      </c>
      <c r="G911" s="136" t="s">
        <v>4033</v>
      </c>
      <c r="H911" s="136" t="s">
        <v>4724</v>
      </c>
      <c r="I911" s="148">
        <v>1.2499999999999999E-2</v>
      </c>
      <c r="J911" s="174">
        <v>2.0833333333333335E-4</v>
      </c>
      <c r="K911" s="139">
        <v>18</v>
      </c>
      <c r="L911" s="133" t="s">
        <v>640</v>
      </c>
      <c r="M911" s="133" t="s">
        <v>173</v>
      </c>
      <c r="N911" s="133" t="s">
        <v>111</v>
      </c>
      <c r="O911" s="133" t="s">
        <v>23</v>
      </c>
      <c r="P911" s="133">
        <v>0</v>
      </c>
      <c r="R911" s="133">
        <v>1</v>
      </c>
      <c r="S911" s="133" t="s">
        <v>176</v>
      </c>
      <c r="T911" s="133" t="s">
        <v>176</v>
      </c>
      <c r="U911" s="133" t="s">
        <v>24</v>
      </c>
      <c r="V911" s="133" t="s">
        <v>1035</v>
      </c>
      <c r="W911" s="140" t="s">
        <v>23</v>
      </c>
      <c r="X911" s="140" t="s">
        <v>3997</v>
      </c>
      <c r="Y911" s="140" t="s">
        <v>4006</v>
      </c>
      <c r="AB911" s="133" t="s">
        <v>24</v>
      </c>
      <c r="AC911" s="134">
        <v>63.724919999999997</v>
      </c>
      <c r="AD911" s="134">
        <v>148.95245</v>
      </c>
      <c r="AH911" s="139">
        <v>0</v>
      </c>
      <c r="AI911" s="139">
        <v>0</v>
      </c>
      <c r="AJ911" s="139">
        <v>0</v>
      </c>
      <c r="AK911" s="139">
        <v>0</v>
      </c>
      <c r="AL911" s="139">
        <v>0</v>
      </c>
      <c r="AM911" s="133">
        <v>0</v>
      </c>
      <c r="AN911" s="133">
        <f t="shared" si="15"/>
        <v>0</v>
      </c>
      <c r="AP911" s="133" t="s">
        <v>1147</v>
      </c>
    </row>
    <row r="912" spans="1:48" s="133" customFormat="1" x14ac:dyDescent="0.2">
      <c r="A912" s="133" t="s">
        <v>1145</v>
      </c>
      <c r="B912" s="133" t="s">
        <v>4992</v>
      </c>
      <c r="C912" s="133">
        <v>9</v>
      </c>
      <c r="D912" s="133">
        <v>2</v>
      </c>
      <c r="E912" s="133" t="s">
        <v>2601</v>
      </c>
      <c r="F912" s="138">
        <v>43379</v>
      </c>
      <c r="G912" s="136" t="s">
        <v>4033</v>
      </c>
      <c r="H912" s="136" t="s">
        <v>4724</v>
      </c>
      <c r="I912" s="148">
        <v>1.2499999999999999E-2</v>
      </c>
      <c r="J912" s="174">
        <v>2.0833333333333335E-4</v>
      </c>
      <c r="K912" s="139">
        <v>18</v>
      </c>
      <c r="L912" s="133" t="s">
        <v>640</v>
      </c>
      <c r="M912" s="133" t="s">
        <v>173</v>
      </c>
      <c r="N912" s="133" t="s">
        <v>111</v>
      </c>
      <c r="O912" s="133" t="s">
        <v>23</v>
      </c>
      <c r="P912" s="133">
        <v>0</v>
      </c>
      <c r="R912" s="133">
        <v>1</v>
      </c>
      <c r="S912" s="133" t="s">
        <v>176</v>
      </c>
      <c r="T912" s="133" t="s">
        <v>176</v>
      </c>
      <c r="U912" s="133" t="s">
        <v>24</v>
      </c>
      <c r="V912" s="133" t="s">
        <v>1035</v>
      </c>
      <c r="W912" s="140" t="s">
        <v>23</v>
      </c>
      <c r="X912" s="140" t="s">
        <v>3997</v>
      </c>
      <c r="Y912" s="140" t="s">
        <v>4006</v>
      </c>
      <c r="AB912" s="133" t="s">
        <v>24</v>
      </c>
      <c r="AC912" s="134">
        <v>63.724919999999997</v>
      </c>
      <c r="AD912" s="134">
        <v>148.95258000000001</v>
      </c>
      <c r="AH912" s="139">
        <v>0</v>
      </c>
      <c r="AI912" s="139">
        <v>0</v>
      </c>
      <c r="AJ912" s="139">
        <v>0</v>
      </c>
      <c r="AK912" s="139">
        <v>0</v>
      </c>
      <c r="AL912" s="139">
        <v>0</v>
      </c>
      <c r="AM912" s="133">
        <v>0</v>
      </c>
      <c r="AN912" s="133">
        <f t="shared" si="15"/>
        <v>0</v>
      </c>
      <c r="AP912" s="133" t="s">
        <v>1147</v>
      </c>
    </row>
    <row r="913" spans="1:48" s="133" customFormat="1" x14ac:dyDescent="0.2">
      <c r="A913" s="135" t="s">
        <v>1580</v>
      </c>
      <c r="B913" s="135" t="s">
        <v>5013</v>
      </c>
      <c r="C913" s="135">
        <v>6</v>
      </c>
      <c r="D913" s="135">
        <v>1</v>
      </c>
      <c r="E913" s="135" t="s">
        <v>2601</v>
      </c>
      <c r="F913" s="136">
        <v>43390</v>
      </c>
      <c r="G913" s="136" t="s">
        <v>4033</v>
      </c>
      <c r="H913" s="136" t="s">
        <v>4724</v>
      </c>
      <c r="I913" s="172">
        <v>7.6388888888888886E-3</v>
      </c>
      <c r="J913" s="175">
        <v>1.273148148148148E-4</v>
      </c>
      <c r="K913" s="143">
        <v>11</v>
      </c>
      <c r="L913" s="135" t="s">
        <v>398</v>
      </c>
      <c r="M913" s="135" t="s">
        <v>173</v>
      </c>
      <c r="N913" s="135" t="s">
        <v>102</v>
      </c>
      <c r="O913" s="135" t="s">
        <v>115</v>
      </c>
      <c r="P913" s="135">
        <v>1</v>
      </c>
      <c r="Q913" s="135"/>
      <c r="R913" s="135">
        <v>0</v>
      </c>
      <c r="S913" s="133" t="s">
        <v>14</v>
      </c>
      <c r="T913" s="135" t="s">
        <v>2128</v>
      </c>
      <c r="U913" s="135" t="s">
        <v>122</v>
      </c>
      <c r="V913" s="135" t="s">
        <v>115</v>
      </c>
      <c r="W913" s="135" t="s">
        <v>115</v>
      </c>
      <c r="X913" s="135" t="s">
        <v>115</v>
      </c>
      <c r="Y913" s="135" t="s">
        <v>115</v>
      </c>
      <c r="Z913" s="135"/>
      <c r="AA913" s="135"/>
      <c r="AB913" s="135" t="s">
        <v>115</v>
      </c>
      <c r="AC913" s="137" t="s">
        <v>115</v>
      </c>
      <c r="AD913" s="137"/>
      <c r="AE913" s="135"/>
      <c r="AF913" s="135"/>
      <c r="AG913" s="135"/>
      <c r="AH913" s="143">
        <v>0</v>
      </c>
      <c r="AI913" s="143">
        <v>0</v>
      </c>
      <c r="AJ913" s="143">
        <v>0</v>
      </c>
      <c r="AK913" s="143">
        <v>0</v>
      </c>
      <c r="AL913" s="143">
        <v>10</v>
      </c>
      <c r="AM913" s="135">
        <v>0</v>
      </c>
      <c r="AN913" s="135">
        <f t="shared" si="15"/>
        <v>10</v>
      </c>
      <c r="AO913" s="135"/>
      <c r="AP913" s="135"/>
      <c r="AQ913" s="135"/>
      <c r="AR913" s="135"/>
      <c r="AS913" s="135"/>
      <c r="AT913" s="135"/>
      <c r="AU913" s="135"/>
      <c r="AV913" s="135"/>
    </row>
    <row r="914" spans="1:48" s="133" customFormat="1" x14ac:dyDescent="0.2">
      <c r="A914" s="133" t="s">
        <v>1581</v>
      </c>
      <c r="B914" s="133" t="s">
        <v>5015</v>
      </c>
      <c r="C914" s="133">
        <v>7</v>
      </c>
      <c r="D914" s="133">
        <v>1</v>
      </c>
      <c r="E914" s="133" t="s">
        <v>2601</v>
      </c>
      <c r="F914" s="138">
        <v>43390</v>
      </c>
      <c r="G914" s="136" t="s">
        <v>4033</v>
      </c>
      <c r="H914" s="136" t="s">
        <v>4724</v>
      </c>
      <c r="I914" s="148">
        <v>9.7222222222222224E-3</v>
      </c>
      <c r="J914" s="174">
        <v>1.6203703703703703E-4</v>
      </c>
      <c r="K914" s="139">
        <v>14</v>
      </c>
      <c r="L914" s="133" t="s">
        <v>398</v>
      </c>
      <c r="M914" s="133" t="s">
        <v>173</v>
      </c>
      <c r="N914" s="133" t="s">
        <v>111</v>
      </c>
      <c r="O914" s="133" t="s">
        <v>23</v>
      </c>
      <c r="P914" s="133">
        <v>0</v>
      </c>
      <c r="R914" s="133">
        <v>1</v>
      </c>
      <c r="S914" s="133" t="s">
        <v>14</v>
      </c>
      <c r="T914" s="133" t="s">
        <v>2128</v>
      </c>
      <c r="U914" s="133" t="s">
        <v>122</v>
      </c>
      <c r="V914" s="133" t="s">
        <v>1057</v>
      </c>
      <c r="W914" s="140" t="s">
        <v>23</v>
      </c>
      <c r="X914" s="140" t="s">
        <v>3999</v>
      </c>
      <c r="Y914" s="140" t="s">
        <v>4005</v>
      </c>
      <c r="AB914" s="133">
        <v>8</v>
      </c>
      <c r="AC914" s="134">
        <v>63.725540000000002</v>
      </c>
      <c r="AD914" s="134">
        <v>148.9563</v>
      </c>
      <c r="AH914" s="139">
        <v>0</v>
      </c>
      <c r="AI914" s="139">
        <v>0</v>
      </c>
      <c r="AJ914" s="139">
        <v>0</v>
      </c>
      <c r="AK914" s="139">
        <v>0</v>
      </c>
      <c r="AL914" s="139">
        <v>0</v>
      </c>
      <c r="AM914" s="133">
        <v>0</v>
      </c>
      <c r="AN914" s="133">
        <f t="shared" si="15"/>
        <v>0</v>
      </c>
    </row>
    <row r="915" spans="1:48" s="133" customFormat="1" x14ac:dyDescent="0.2">
      <c r="A915" s="133" t="s">
        <v>1582</v>
      </c>
      <c r="B915" s="133" t="s">
        <v>5008</v>
      </c>
      <c r="C915" s="133">
        <v>8</v>
      </c>
      <c r="D915" s="133">
        <v>1</v>
      </c>
      <c r="E915" s="133" t="s">
        <v>2601</v>
      </c>
      <c r="F915" s="138">
        <v>43390</v>
      </c>
      <c r="G915" s="136" t="s">
        <v>4033</v>
      </c>
      <c r="H915" s="136" t="s">
        <v>4724</v>
      </c>
      <c r="I915" s="148">
        <v>2.8472222222222222E-2</v>
      </c>
      <c r="J915" s="174">
        <v>4.7453703703703704E-4</v>
      </c>
      <c r="K915" s="139">
        <v>41</v>
      </c>
      <c r="L915" s="133" t="s">
        <v>398</v>
      </c>
      <c r="M915" s="133" t="s">
        <v>173</v>
      </c>
      <c r="N915" s="133" t="s">
        <v>102</v>
      </c>
      <c r="O915" s="133" t="s">
        <v>23</v>
      </c>
      <c r="P915" s="133" t="s">
        <v>24</v>
      </c>
      <c r="R915" s="133">
        <v>0</v>
      </c>
      <c r="T915" s="133" t="s">
        <v>115</v>
      </c>
      <c r="U915" s="133" t="s">
        <v>115</v>
      </c>
      <c r="V915" s="133" t="s">
        <v>115</v>
      </c>
      <c r="W915" s="135" t="s">
        <v>115</v>
      </c>
      <c r="X915" s="135" t="s">
        <v>115</v>
      </c>
      <c r="Y915" s="135" t="s">
        <v>115</v>
      </c>
      <c r="AB915" s="133" t="s">
        <v>115</v>
      </c>
      <c r="AC915" s="134" t="s">
        <v>115</v>
      </c>
      <c r="AD915" s="134"/>
      <c r="AH915" s="139">
        <v>0</v>
      </c>
      <c r="AI915" s="139">
        <v>30</v>
      </c>
      <c r="AJ915" s="139">
        <v>0</v>
      </c>
      <c r="AK915" s="139">
        <v>30</v>
      </c>
      <c r="AL915" s="139">
        <v>0</v>
      </c>
      <c r="AM915" s="133">
        <v>0</v>
      </c>
      <c r="AN915" s="133">
        <f t="shared" si="15"/>
        <v>30</v>
      </c>
    </row>
    <row r="916" spans="1:48" s="135" customFormat="1" x14ac:dyDescent="0.2">
      <c r="A916" s="133" t="s">
        <v>1907</v>
      </c>
      <c r="B916" s="133" t="s">
        <v>5025</v>
      </c>
      <c r="C916" s="133">
        <v>1</v>
      </c>
      <c r="D916" s="133">
        <v>1</v>
      </c>
      <c r="E916" s="133" t="s">
        <v>2601</v>
      </c>
      <c r="F916" s="138">
        <v>43402</v>
      </c>
      <c r="G916" s="136" t="s">
        <v>4033</v>
      </c>
      <c r="H916" s="136" t="s">
        <v>4724</v>
      </c>
      <c r="I916" s="148">
        <v>4.6527777777777779E-2</v>
      </c>
      <c r="J916" s="174">
        <v>7.7546296296296304E-4</v>
      </c>
      <c r="K916" s="139">
        <v>67</v>
      </c>
      <c r="L916" s="133" t="s">
        <v>2028</v>
      </c>
      <c r="M916" s="133" t="s">
        <v>173</v>
      </c>
      <c r="N916" s="133" t="s">
        <v>102</v>
      </c>
      <c r="O916" s="133" t="s">
        <v>23</v>
      </c>
      <c r="P916" s="133" t="s">
        <v>24</v>
      </c>
      <c r="Q916" s="133"/>
      <c r="R916" s="133" t="s">
        <v>24</v>
      </c>
      <c r="S916" s="133" t="s">
        <v>176</v>
      </c>
      <c r="T916" s="133" t="s">
        <v>176</v>
      </c>
      <c r="U916" s="133" t="s">
        <v>115</v>
      </c>
      <c r="V916" s="133" t="s">
        <v>115</v>
      </c>
      <c r="W916" s="133"/>
      <c r="X916" s="133"/>
      <c r="Y916" s="133"/>
      <c r="Z916" s="133"/>
      <c r="AA916" s="133"/>
      <c r="AB916" s="133" t="s">
        <v>115</v>
      </c>
      <c r="AC916" s="134" t="s">
        <v>115</v>
      </c>
      <c r="AD916" s="134"/>
      <c r="AE916" s="133"/>
      <c r="AF916" s="133"/>
      <c r="AG916" s="133"/>
      <c r="AH916" s="139">
        <v>0</v>
      </c>
      <c r="AI916" s="139">
        <v>67</v>
      </c>
      <c r="AJ916" s="139">
        <v>0</v>
      </c>
      <c r="AK916" s="139">
        <v>67</v>
      </c>
      <c r="AL916" s="139">
        <v>0</v>
      </c>
      <c r="AM916" s="139">
        <v>0</v>
      </c>
      <c r="AN916" s="133">
        <f t="shared" si="15"/>
        <v>67</v>
      </c>
      <c r="AO916" s="133" t="s">
        <v>303</v>
      </c>
      <c r="AP916" s="133" t="s">
        <v>1908</v>
      </c>
      <c r="AQ916" s="133"/>
      <c r="AR916" s="133"/>
    </row>
    <row r="917" spans="1:48" s="133" customFormat="1" x14ac:dyDescent="0.2">
      <c r="A917" s="133" t="s">
        <v>1909</v>
      </c>
      <c r="B917" s="133" t="s">
        <v>5036</v>
      </c>
      <c r="C917" s="133">
        <v>2</v>
      </c>
      <c r="D917" s="133">
        <v>1</v>
      </c>
      <c r="E917" s="133" t="s">
        <v>2601</v>
      </c>
      <c r="F917" s="138">
        <v>43402</v>
      </c>
      <c r="G917" s="136" t="s">
        <v>4033</v>
      </c>
      <c r="H917" s="136" t="s">
        <v>4724</v>
      </c>
      <c r="I917" s="148">
        <v>3.4722222222222224E-2</v>
      </c>
      <c r="J917" s="174">
        <v>5.7870370370370378E-4</v>
      </c>
      <c r="K917" s="139">
        <v>50</v>
      </c>
      <c r="L917" s="133" t="s">
        <v>2028</v>
      </c>
      <c r="M917" s="133" t="s">
        <v>173</v>
      </c>
      <c r="N917" s="133" t="s">
        <v>102</v>
      </c>
      <c r="O917" s="133" t="s">
        <v>23</v>
      </c>
      <c r="P917" s="133">
        <v>1</v>
      </c>
      <c r="R917" s="133">
        <v>0</v>
      </c>
      <c r="S917" s="133" t="s">
        <v>176</v>
      </c>
      <c r="T917" s="133" t="s">
        <v>176</v>
      </c>
      <c r="U917" s="133" t="s">
        <v>948</v>
      </c>
      <c r="V917" s="133" t="s">
        <v>115</v>
      </c>
      <c r="W917" s="135" t="s">
        <v>115</v>
      </c>
      <c r="X917" s="135" t="s">
        <v>115</v>
      </c>
      <c r="Y917" s="135" t="s">
        <v>115</v>
      </c>
      <c r="AB917" s="133" t="s">
        <v>115</v>
      </c>
      <c r="AC917" s="134" t="s">
        <v>115</v>
      </c>
      <c r="AD917" s="134"/>
      <c r="AH917" s="139">
        <v>0</v>
      </c>
      <c r="AI917" s="139">
        <v>24</v>
      </c>
      <c r="AJ917" s="139">
        <v>0</v>
      </c>
      <c r="AK917" s="139">
        <v>24</v>
      </c>
      <c r="AL917" s="139">
        <v>0</v>
      </c>
      <c r="AM917" s="139">
        <v>0</v>
      </c>
      <c r="AN917" s="133">
        <f t="shared" si="15"/>
        <v>24</v>
      </c>
      <c r="AP917" s="133" t="s">
        <v>5037</v>
      </c>
    </row>
    <row r="918" spans="1:48" s="133" customFormat="1" x14ac:dyDescent="0.2">
      <c r="A918" s="133" t="s">
        <v>1914</v>
      </c>
      <c r="B918" s="133" t="s">
        <v>5030</v>
      </c>
      <c r="C918" s="133">
        <v>7</v>
      </c>
      <c r="D918" s="133">
        <v>1</v>
      </c>
      <c r="E918" s="133" t="s">
        <v>2601</v>
      </c>
      <c r="F918" s="138">
        <v>43402</v>
      </c>
      <c r="G918" s="136" t="s">
        <v>4033</v>
      </c>
      <c r="H918" s="136" t="s">
        <v>4724</v>
      </c>
      <c r="I918" s="148">
        <v>5.2083333333333336E-2</v>
      </c>
      <c r="J918" s="174">
        <v>8.6805555555555551E-4</v>
      </c>
      <c r="K918" s="139">
        <v>75</v>
      </c>
      <c r="L918" s="133" t="s">
        <v>2028</v>
      </c>
      <c r="M918" s="133" t="s">
        <v>173</v>
      </c>
      <c r="N918" s="133" t="s">
        <v>102</v>
      </c>
      <c r="O918" s="133" t="s">
        <v>23</v>
      </c>
      <c r="P918" s="133" t="s">
        <v>24</v>
      </c>
      <c r="R918" s="133">
        <v>0</v>
      </c>
      <c r="T918" s="133" t="s">
        <v>115</v>
      </c>
      <c r="U918" s="133" t="s">
        <v>115</v>
      </c>
      <c r="V918" s="133" t="s">
        <v>115</v>
      </c>
      <c r="W918" s="135" t="s">
        <v>115</v>
      </c>
      <c r="X918" s="135" t="s">
        <v>115</v>
      </c>
      <c r="Y918" s="135" t="s">
        <v>115</v>
      </c>
      <c r="AB918" s="133" t="s">
        <v>115</v>
      </c>
      <c r="AC918" s="134" t="s">
        <v>115</v>
      </c>
      <c r="AD918" s="134"/>
      <c r="AH918" s="139">
        <v>0</v>
      </c>
      <c r="AI918" s="139">
        <v>12</v>
      </c>
      <c r="AJ918" s="139">
        <v>0</v>
      </c>
      <c r="AK918" s="139">
        <v>12</v>
      </c>
      <c r="AL918" s="139">
        <v>0</v>
      </c>
      <c r="AM918" s="139">
        <v>0</v>
      </c>
      <c r="AN918" s="133">
        <f t="shared" si="15"/>
        <v>12</v>
      </c>
    </row>
    <row r="919" spans="1:48" s="135" customFormat="1" x14ac:dyDescent="0.2">
      <c r="A919" s="133" t="s">
        <v>1915</v>
      </c>
      <c r="B919" s="133" t="s">
        <v>5031</v>
      </c>
      <c r="C919" s="133">
        <v>8</v>
      </c>
      <c r="D919" s="133">
        <v>1</v>
      </c>
      <c r="E919" s="133" t="s">
        <v>2601</v>
      </c>
      <c r="F919" s="138">
        <v>43402</v>
      </c>
      <c r="G919" s="136" t="s">
        <v>4033</v>
      </c>
      <c r="H919" s="136" t="s">
        <v>4724</v>
      </c>
      <c r="I919" s="148">
        <v>2.361111111111111E-2</v>
      </c>
      <c r="J919" s="174">
        <v>3.9351851851851852E-4</v>
      </c>
      <c r="K919" s="139">
        <v>34</v>
      </c>
      <c r="L919" s="133" t="s">
        <v>2028</v>
      </c>
      <c r="M919" s="133" t="s">
        <v>173</v>
      </c>
      <c r="N919" s="133" t="s">
        <v>102</v>
      </c>
      <c r="O919" s="133" t="s">
        <v>23</v>
      </c>
      <c r="P919" s="133" t="s">
        <v>24</v>
      </c>
      <c r="Q919" s="133"/>
      <c r="R919" s="133">
        <v>0</v>
      </c>
      <c r="S919" s="133"/>
      <c r="T919" s="133" t="s">
        <v>115</v>
      </c>
      <c r="U919" s="133" t="s">
        <v>115</v>
      </c>
      <c r="V919" s="133" t="s">
        <v>115</v>
      </c>
      <c r="W919" s="135" t="s">
        <v>115</v>
      </c>
      <c r="X919" s="135" t="s">
        <v>115</v>
      </c>
      <c r="Y919" s="135" t="s">
        <v>115</v>
      </c>
      <c r="AB919" s="133" t="s">
        <v>115</v>
      </c>
      <c r="AC919" s="134" t="s">
        <v>115</v>
      </c>
      <c r="AD919" s="134"/>
      <c r="AH919" s="139">
        <v>7</v>
      </c>
      <c r="AI919" s="139">
        <v>27</v>
      </c>
      <c r="AJ919" s="139">
        <v>7</v>
      </c>
      <c r="AK919" s="139">
        <v>27</v>
      </c>
      <c r="AL919" s="139">
        <v>0</v>
      </c>
      <c r="AM919" s="139">
        <v>0</v>
      </c>
      <c r="AN919" s="133">
        <f t="shared" si="15"/>
        <v>34</v>
      </c>
      <c r="AO919" s="133"/>
      <c r="AP919" s="133"/>
      <c r="AQ919" s="133"/>
      <c r="AR919" s="133"/>
      <c r="AS919" s="133"/>
      <c r="AT919" s="133"/>
      <c r="AU919" s="133"/>
      <c r="AV919" s="133"/>
    </row>
    <row r="920" spans="1:48" s="133" customFormat="1" x14ac:dyDescent="0.2">
      <c r="A920" s="133" t="s">
        <v>1916</v>
      </c>
      <c r="B920" s="133" t="s">
        <v>5038</v>
      </c>
      <c r="C920" s="133">
        <v>9</v>
      </c>
      <c r="D920" s="133">
        <v>1</v>
      </c>
      <c r="E920" s="133" t="s">
        <v>2601</v>
      </c>
      <c r="F920" s="138">
        <v>43402</v>
      </c>
      <c r="G920" s="136" t="s">
        <v>4033</v>
      </c>
      <c r="H920" s="136" t="s">
        <v>4724</v>
      </c>
      <c r="I920" s="148">
        <v>4.2361111111111106E-2</v>
      </c>
      <c r="J920" s="174">
        <v>7.0601851851851847E-4</v>
      </c>
      <c r="K920" s="139">
        <v>61</v>
      </c>
      <c r="L920" s="133" t="s">
        <v>2028</v>
      </c>
      <c r="M920" s="133" t="s">
        <v>173</v>
      </c>
      <c r="N920" s="133" t="s">
        <v>102</v>
      </c>
      <c r="O920" s="133" t="s">
        <v>23</v>
      </c>
      <c r="P920" s="133">
        <v>1</v>
      </c>
      <c r="R920" s="133">
        <v>0</v>
      </c>
      <c r="S920" s="133" t="s">
        <v>176</v>
      </c>
      <c r="T920" s="133" t="s">
        <v>176</v>
      </c>
      <c r="U920" s="133" t="s">
        <v>948</v>
      </c>
      <c r="V920" s="133" t="s">
        <v>115</v>
      </c>
      <c r="W920" s="135" t="s">
        <v>115</v>
      </c>
      <c r="X920" s="135" t="s">
        <v>115</v>
      </c>
      <c r="Y920" s="135" t="s">
        <v>115</v>
      </c>
      <c r="Z920" s="135"/>
      <c r="AA920" s="135"/>
      <c r="AB920" s="133" t="s">
        <v>115</v>
      </c>
      <c r="AC920" s="134" t="s">
        <v>115</v>
      </c>
      <c r="AD920" s="134"/>
      <c r="AE920" s="135"/>
      <c r="AF920" s="135"/>
      <c r="AG920" s="135"/>
      <c r="AH920" s="139">
        <v>2</v>
      </c>
      <c r="AI920" s="139">
        <v>10</v>
      </c>
      <c r="AJ920" s="139">
        <v>2</v>
      </c>
      <c r="AK920" s="139">
        <v>10</v>
      </c>
      <c r="AL920" s="139">
        <v>0</v>
      </c>
      <c r="AM920" s="139">
        <v>0</v>
      </c>
      <c r="AN920" s="133">
        <f t="shared" si="15"/>
        <v>12</v>
      </c>
    </row>
    <row r="921" spans="1:48" s="135" customFormat="1" x14ac:dyDescent="0.2">
      <c r="A921" s="133" t="s">
        <v>1918</v>
      </c>
      <c r="B921" s="133" t="s">
        <v>5032</v>
      </c>
      <c r="C921" s="133">
        <v>11</v>
      </c>
      <c r="D921" s="133">
        <v>1</v>
      </c>
      <c r="E921" s="133" t="s">
        <v>2601</v>
      </c>
      <c r="F921" s="138">
        <v>43402</v>
      </c>
      <c r="G921" s="136" t="s">
        <v>4033</v>
      </c>
      <c r="H921" s="136" t="s">
        <v>4724</v>
      </c>
      <c r="I921" s="148">
        <v>1.6666666666666666E-2</v>
      </c>
      <c r="J921" s="174">
        <v>2.7777777777777778E-4</v>
      </c>
      <c r="K921" s="139">
        <v>24</v>
      </c>
      <c r="L921" s="133" t="s">
        <v>2028</v>
      </c>
      <c r="M921" s="133" t="s">
        <v>173</v>
      </c>
      <c r="N921" s="133" t="s">
        <v>102</v>
      </c>
      <c r="O921" s="133" t="s">
        <v>23</v>
      </c>
      <c r="P921" s="133" t="s">
        <v>24</v>
      </c>
      <c r="Q921" s="133"/>
      <c r="R921" s="133" t="s">
        <v>24</v>
      </c>
      <c r="S921" s="133" t="s">
        <v>176</v>
      </c>
      <c r="T921" s="133" t="s">
        <v>176</v>
      </c>
      <c r="U921" s="133" t="s">
        <v>115</v>
      </c>
      <c r="V921" s="133" t="s">
        <v>115</v>
      </c>
      <c r="W921" s="133"/>
      <c r="X921" s="133"/>
      <c r="Y921" s="133"/>
      <c r="AB921" s="133" t="s">
        <v>115</v>
      </c>
      <c r="AC921" s="134" t="s">
        <v>115</v>
      </c>
      <c r="AD921" s="134"/>
      <c r="AH921" s="139">
        <v>22</v>
      </c>
      <c r="AI921" s="139">
        <v>0</v>
      </c>
      <c r="AJ921" s="139">
        <v>22</v>
      </c>
      <c r="AK921" s="139">
        <v>0</v>
      </c>
      <c r="AL921" s="139">
        <v>0</v>
      </c>
      <c r="AM921" s="139">
        <v>0</v>
      </c>
      <c r="AN921" s="133">
        <f t="shared" si="15"/>
        <v>22</v>
      </c>
      <c r="AO921" s="133"/>
      <c r="AP921" s="133"/>
      <c r="AQ921" s="133"/>
      <c r="AR921" s="133"/>
      <c r="AS921" s="133"/>
      <c r="AT921" s="133"/>
      <c r="AU921" s="133"/>
      <c r="AV921" s="133"/>
    </row>
    <row r="922" spans="1:48" s="133" customFormat="1" x14ac:dyDescent="0.2">
      <c r="A922" s="133" t="s">
        <v>1919</v>
      </c>
      <c r="B922" s="133" t="s">
        <v>5044</v>
      </c>
      <c r="C922" s="133">
        <v>12</v>
      </c>
      <c r="D922" s="133">
        <v>1</v>
      </c>
      <c r="E922" s="133" t="s">
        <v>2601</v>
      </c>
      <c r="F922" s="138">
        <v>43402</v>
      </c>
      <c r="G922" s="136" t="s">
        <v>4033</v>
      </c>
      <c r="H922" s="136" t="s">
        <v>4724</v>
      </c>
      <c r="I922" s="148">
        <v>2.2222222222222223E-2</v>
      </c>
      <c r="J922" s="174">
        <v>3.7037037037037035E-4</v>
      </c>
      <c r="K922" s="139">
        <v>32</v>
      </c>
      <c r="L922" s="133" t="s">
        <v>2028</v>
      </c>
      <c r="M922" s="133" t="s">
        <v>173</v>
      </c>
      <c r="N922" s="133" t="s">
        <v>102</v>
      </c>
      <c r="O922" s="133" t="s">
        <v>23</v>
      </c>
      <c r="P922" s="133">
        <v>0</v>
      </c>
      <c r="R922" s="133">
        <v>0</v>
      </c>
      <c r="T922" s="133" t="s">
        <v>115</v>
      </c>
      <c r="U922" s="133" t="s">
        <v>115</v>
      </c>
      <c r="V922" s="133" t="s">
        <v>115</v>
      </c>
      <c r="W922" s="135" t="s">
        <v>115</v>
      </c>
      <c r="X922" s="135" t="s">
        <v>115</v>
      </c>
      <c r="Y922" s="135" t="s">
        <v>115</v>
      </c>
      <c r="AB922" s="133" t="s">
        <v>115</v>
      </c>
      <c r="AC922" s="134" t="s">
        <v>115</v>
      </c>
      <c r="AD922" s="134"/>
      <c r="AH922" s="139">
        <v>0</v>
      </c>
      <c r="AI922" s="139">
        <v>25</v>
      </c>
      <c r="AJ922" s="139">
        <v>0</v>
      </c>
      <c r="AK922" s="139">
        <v>25</v>
      </c>
      <c r="AL922" s="139">
        <v>0</v>
      </c>
      <c r="AM922" s="139">
        <v>0</v>
      </c>
      <c r="AN922" s="133">
        <f t="shared" si="15"/>
        <v>25</v>
      </c>
    </row>
    <row r="923" spans="1:48" s="133" customFormat="1" x14ac:dyDescent="0.2">
      <c r="A923" s="133" t="s">
        <v>1920</v>
      </c>
      <c r="B923" s="133" t="s">
        <v>5039</v>
      </c>
      <c r="C923" s="133">
        <v>13</v>
      </c>
      <c r="D923" s="133">
        <v>1</v>
      </c>
      <c r="E923" s="133" t="s">
        <v>2601</v>
      </c>
      <c r="F923" s="138">
        <v>43402</v>
      </c>
      <c r="G923" s="136" t="s">
        <v>4033</v>
      </c>
      <c r="H923" s="136" t="s">
        <v>4724</v>
      </c>
      <c r="I923" s="148">
        <v>7.1527777777777787E-2</v>
      </c>
      <c r="J923" s="174">
        <v>1.1921296296296296E-3</v>
      </c>
      <c r="K923" s="139">
        <v>103</v>
      </c>
      <c r="L923" s="133" t="s">
        <v>2028</v>
      </c>
      <c r="M923" s="133" t="s">
        <v>173</v>
      </c>
      <c r="N923" s="133" t="s">
        <v>102</v>
      </c>
      <c r="O923" s="133" t="s">
        <v>23</v>
      </c>
      <c r="P923" s="133">
        <v>1</v>
      </c>
      <c r="R923" s="133">
        <v>0</v>
      </c>
      <c r="S923" s="133" t="s">
        <v>176</v>
      </c>
      <c r="T923" s="133" t="s">
        <v>176</v>
      </c>
      <c r="U923" s="133" t="s">
        <v>948</v>
      </c>
      <c r="V923" s="133" t="s">
        <v>115</v>
      </c>
      <c r="W923" s="135" t="s">
        <v>115</v>
      </c>
      <c r="X923" s="135" t="s">
        <v>115</v>
      </c>
      <c r="Y923" s="135" t="s">
        <v>115</v>
      </c>
      <c r="AB923" s="133" t="s">
        <v>115</v>
      </c>
      <c r="AC923" s="134" t="s">
        <v>115</v>
      </c>
      <c r="AD923" s="134"/>
      <c r="AH923" s="139">
        <v>47</v>
      </c>
      <c r="AI923" s="139">
        <v>38</v>
      </c>
      <c r="AJ923" s="139">
        <v>47</v>
      </c>
      <c r="AK923" s="139">
        <v>38</v>
      </c>
      <c r="AL923" s="139">
        <v>0</v>
      </c>
      <c r="AM923" s="139">
        <v>0</v>
      </c>
      <c r="AN923" s="133">
        <f t="shared" si="15"/>
        <v>85</v>
      </c>
      <c r="AO923" s="133" t="s">
        <v>375</v>
      </c>
      <c r="AQ923" s="133">
        <v>2</v>
      </c>
      <c r="AR923" s="133">
        <v>0</v>
      </c>
    </row>
    <row r="924" spans="1:48" s="133" customFormat="1" x14ac:dyDescent="0.2">
      <c r="A924" s="133" t="s">
        <v>1921</v>
      </c>
      <c r="B924" s="133" t="s">
        <v>5040</v>
      </c>
      <c r="C924" s="133">
        <v>14</v>
      </c>
      <c r="D924" s="133">
        <v>1</v>
      </c>
      <c r="E924" s="133" t="s">
        <v>2601</v>
      </c>
      <c r="F924" s="138">
        <v>43402</v>
      </c>
      <c r="G924" s="136" t="s">
        <v>4033</v>
      </c>
      <c r="H924" s="136" t="s">
        <v>4724</v>
      </c>
      <c r="I924" s="148">
        <v>9.7222222222222224E-3</v>
      </c>
      <c r="J924" s="174">
        <v>1.6203703703703703E-4</v>
      </c>
      <c r="K924" s="139">
        <v>14</v>
      </c>
      <c r="L924" s="133" t="s">
        <v>2028</v>
      </c>
      <c r="M924" s="133" t="s">
        <v>173</v>
      </c>
      <c r="N924" s="133" t="s">
        <v>2153</v>
      </c>
      <c r="O924" s="133" t="s">
        <v>23</v>
      </c>
      <c r="P924" s="133">
        <v>1</v>
      </c>
      <c r="R924" s="133">
        <v>0</v>
      </c>
      <c r="S924" s="133" t="s">
        <v>176</v>
      </c>
      <c r="T924" s="133" t="s">
        <v>176</v>
      </c>
      <c r="U924" s="133" t="s">
        <v>1922</v>
      </c>
      <c r="V924" s="133" t="s">
        <v>115</v>
      </c>
      <c r="W924" s="135" t="s">
        <v>115</v>
      </c>
      <c r="X924" s="135" t="s">
        <v>115</v>
      </c>
      <c r="Y924" s="135" t="s">
        <v>115</v>
      </c>
      <c r="AB924" s="133" t="s">
        <v>115</v>
      </c>
      <c r="AC924" s="134" t="s">
        <v>115</v>
      </c>
      <c r="AD924" s="134"/>
      <c r="AH924" s="139">
        <v>0</v>
      </c>
      <c r="AI924" s="139">
        <v>0</v>
      </c>
      <c r="AJ924" s="139">
        <v>0</v>
      </c>
      <c r="AK924" s="139">
        <v>0</v>
      </c>
      <c r="AL924" s="139">
        <v>0</v>
      </c>
      <c r="AM924" s="139">
        <v>0</v>
      </c>
      <c r="AN924" s="133">
        <f t="shared" si="15"/>
        <v>0</v>
      </c>
    </row>
    <row r="925" spans="1:48" s="133" customFormat="1" x14ac:dyDescent="0.2">
      <c r="A925" s="133" t="s">
        <v>1923</v>
      </c>
      <c r="B925" s="133" t="s">
        <v>5045</v>
      </c>
      <c r="C925" s="133">
        <v>15</v>
      </c>
      <c r="D925" s="133">
        <v>1</v>
      </c>
      <c r="E925" s="133" t="s">
        <v>2601</v>
      </c>
      <c r="F925" s="138">
        <v>43402</v>
      </c>
      <c r="G925" s="136" t="s">
        <v>4033</v>
      </c>
      <c r="H925" s="136" t="s">
        <v>4724</v>
      </c>
      <c r="I925" s="148">
        <v>1.5972222222222224E-2</v>
      </c>
      <c r="J925" s="174">
        <v>2.6620370370370372E-4</v>
      </c>
      <c r="K925" s="139">
        <v>23</v>
      </c>
      <c r="L925" s="133" t="s">
        <v>2028</v>
      </c>
      <c r="M925" s="133" t="s">
        <v>173</v>
      </c>
      <c r="N925" s="133" t="s">
        <v>111</v>
      </c>
      <c r="O925" s="133" t="s">
        <v>23</v>
      </c>
      <c r="P925" s="133">
        <v>0</v>
      </c>
      <c r="R925" s="133">
        <v>1</v>
      </c>
      <c r="S925" s="133" t="s">
        <v>176</v>
      </c>
      <c r="T925" s="133" t="s">
        <v>176</v>
      </c>
      <c r="U925" s="133" t="s">
        <v>1922</v>
      </c>
      <c r="V925" s="133" t="s">
        <v>3963</v>
      </c>
      <c r="W925" s="140" t="s">
        <v>23</v>
      </c>
      <c r="X925" s="140" t="s">
        <v>3997</v>
      </c>
      <c r="Y925" s="140" t="s">
        <v>4007</v>
      </c>
      <c r="AB925" s="133" t="s">
        <v>24</v>
      </c>
      <c r="AC925" s="134">
        <v>63.725090000000002</v>
      </c>
      <c r="AD925" s="134">
        <v>148.96426</v>
      </c>
      <c r="AH925" s="139">
        <v>0</v>
      </c>
      <c r="AI925" s="139">
        <v>0</v>
      </c>
      <c r="AJ925" s="139">
        <v>0</v>
      </c>
      <c r="AK925" s="139">
        <v>0</v>
      </c>
      <c r="AL925" s="139">
        <v>0</v>
      </c>
      <c r="AM925" s="139">
        <v>0</v>
      </c>
      <c r="AN925" s="133">
        <f t="shared" si="15"/>
        <v>0</v>
      </c>
      <c r="AP925" s="133" t="s">
        <v>1925</v>
      </c>
      <c r="AS925" s="135"/>
      <c r="AT925" s="135"/>
      <c r="AU925" s="135"/>
      <c r="AV925" s="135"/>
    </row>
    <row r="926" spans="1:48" s="133" customFormat="1" x14ac:dyDescent="0.2">
      <c r="A926" s="133" t="s">
        <v>1927</v>
      </c>
      <c r="B926" s="133" t="s">
        <v>5041</v>
      </c>
      <c r="C926" s="133">
        <v>17</v>
      </c>
      <c r="D926" s="133">
        <v>1</v>
      </c>
      <c r="E926" s="133" t="s">
        <v>2601</v>
      </c>
      <c r="F926" s="138">
        <v>43402</v>
      </c>
      <c r="G926" s="136" t="s">
        <v>4033</v>
      </c>
      <c r="H926" s="136" t="s">
        <v>4724</v>
      </c>
      <c r="I926" s="148">
        <v>1.3888888888888888E-2</v>
      </c>
      <c r="J926" s="174">
        <v>2.3148148148148146E-4</v>
      </c>
      <c r="K926" s="139">
        <v>20</v>
      </c>
      <c r="L926" s="133" t="s">
        <v>2028</v>
      </c>
      <c r="M926" s="133" t="s">
        <v>173</v>
      </c>
      <c r="N926" s="133" t="s">
        <v>1310</v>
      </c>
      <c r="O926" s="133" t="s">
        <v>23</v>
      </c>
      <c r="P926" s="133">
        <v>1</v>
      </c>
      <c r="R926" s="133">
        <v>0</v>
      </c>
      <c r="S926" s="133" t="s">
        <v>176</v>
      </c>
      <c r="T926" s="133" t="s">
        <v>176</v>
      </c>
      <c r="U926" s="133" t="s">
        <v>1057</v>
      </c>
      <c r="V926" s="133" t="s">
        <v>115</v>
      </c>
      <c r="W926" s="135" t="s">
        <v>115</v>
      </c>
      <c r="X926" s="135" t="s">
        <v>115</v>
      </c>
      <c r="Y926" s="135" t="s">
        <v>115</v>
      </c>
      <c r="AB926" s="133" t="s">
        <v>115</v>
      </c>
      <c r="AC926" s="134" t="s">
        <v>115</v>
      </c>
      <c r="AD926" s="134"/>
      <c r="AH926" s="139">
        <v>13</v>
      </c>
      <c r="AI926" s="139">
        <v>0</v>
      </c>
      <c r="AJ926" s="139">
        <v>13</v>
      </c>
      <c r="AK926" s="139">
        <v>0</v>
      </c>
      <c r="AL926" s="139">
        <v>0</v>
      </c>
      <c r="AM926" s="139">
        <v>0</v>
      </c>
      <c r="AN926" s="133">
        <f t="shared" si="15"/>
        <v>13</v>
      </c>
      <c r="AO926" s="133" t="s">
        <v>375</v>
      </c>
      <c r="AQ926" s="133">
        <v>4</v>
      </c>
      <c r="AR926" s="133">
        <v>0</v>
      </c>
    </row>
    <row r="927" spans="1:48" s="133" customFormat="1" x14ac:dyDescent="0.2">
      <c r="A927" s="133" t="s">
        <v>1928</v>
      </c>
      <c r="B927" s="133" t="s">
        <v>5033</v>
      </c>
      <c r="C927" s="133">
        <v>18</v>
      </c>
      <c r="D927" s="133">
        <v>1</v>
      </c>
      <c r="E927" s="133" t="s">
        <v>2601</v>
      </c>
      <c r="F927" s="138">
        <v>43402</v>
      </c>
      <c r="G927" s="136" t="s">
        <v>4033</v>
      </c>
      <c r="H927" s="136" t="s">
        <v>4724</v>
      </c>
      <c r="I927" s="148">
        <v>2.9166666666666664E-2</v>
      </c>
      <c r="J927" s="174">
        <v>4.8611111111111104E-4</v>
      </c>
      <c r="K927" s="139">
        <v>42</v>
      </c>
      <c r="L927" s="133" t="s">
        <v>2028</v>
      </c>
      <c r="M927" s="133" t="s">
        <v>173</v>
      </c>
      <c r="N927" s="133" t="s">
        <v>102</v>
      </c>
      <c r="O927" s="133" t="s">
        <v>23</v>
      </c>
      <c r="P927" s="133" t="s">
        <v>24</v>
      </c>
      <c r="R927" s="133" t="s">
        <v>24</v>
      </c>
      <c r="S927" s="133" t="s">
        <v>176</v>
      </c>
      <c r="T927" s="133" t="s">
        <v>176</v>
      </c>
      <c r="U927" s="133" t="s">
        <v>115</v>
      </c>
      <c r="V927" s="133" t="s">
        <v>115</v>
      </c>
      <c r="AB927" s="133" t="s">
        <v>115</v>
      </c>
      <c r="AC927" s="134" t="s">
        <v>115</v>
      </c>
      <c r="AD927" s="134"/>
      <c r="AH927" s="139">
        <v>0</v>
      </c>
      <c r="AI927" s="139">
        <v>35</v>
      </c>
      <c r="AJ927" s="139">
        <v>0</v>
      </c>
      <c r="AK927" s="139">
        <v>35</v>
      </c>
      <c r="AL927" s="139">
        <v>0</v>
      </c>
      <c r="AM927" s="139">
        <v>0</v>
      </c>
      <c r="AN927" s="133">
        <f t="shared" si="15"/>
        <v>35</v>
      </c>
      <c r="AO927" s="133" t="s">
        <v>188</v>
      </c>
      <c r="AS927" s="135"/>
      <c r="AT927" s="135"/>
      <c r="AU927" s="135"/>
      <c r="AV927" s="135"/>
    </row>
    <row r="928" spans="1:48" s="133" customFormat="1" x14ac:dyDescent="0.2">
      <c r="A928" s="133" t="s">
        <v>1929</v>
      </c>
      <c r="B928" s="133" t="s">
        <v>5034</v>
      </c>
      <c r="C928" s="133">
        <v>19</v>
      </c>
      <c r="D928" s="133">
        <v>1</v>
      </c>
      <c r="E928" s="133" t="s">
        <v>2601</v>
      </c>
      <c r="F928" s="138">
        <v>43402</v>
      </c>
      <c r="G928" s="136" t="s">
        <v>4033</v>
      </c>
      <c r="H928" s="136" t="s">
        <v>4724</v>
      </c>
      <c r="I928" s="148">
        <v>1.8749999999999999E-2</v>
      </c>
      <c r="J928" s="174">
        <v>3.1250000000000001E-4</v>
      </c>
      <c r="K928" s="139">
        <v>27</v>
      </c>
      <c r="L928" s="133" t="s">
        <v>2028</v>
      </c>
      <c r="M928" s="133" t="s">
        <v>173</v>
      </c>
      <c r="N928" s="133" t="s">
        <v>102</v>
      </c>
      <c r="O928" s="133" t="s">
        <v>23</v>
      </c>
      <c r="P928" s="133" t="s">
        <v>24</v>
      </c>
      <c r="R928" s="133" t="s">
        <v>24</v>
      </c>
      <c r="S928" s="133" t="s">
        <v>176</v>
      </c>
      <c r="T928" s="133" t="s">
        <v>176</v>
      </c>
      <c r="U928" s="133" t="s">
        <v>115</v>
      </c>
      <c r="V928" s="133" t="s">
        <v>115</v>
      </c>
      <c r="AB928" s="133" t="s">
        <v>115</v>
      </c>
      <c r="AC928" s="134" t="s">
        <v>115</v>
      </c>
      <c r="AD928" s="134"/>
      <c r="AH928" s="139">
        <v>0</v>
      </c>
      <c r="AI928" s="139">
        <v>6</v>
      </c>
      <c r="AJ928" s="139">
        <v>0</v>
      </c>
      <c r="AK928" s="139">
        <v>6</v>
      </c>
      <c r="AL928" s="139">
        <v>0</v>
      </c>
      <c r="AM928" s="139">
        <v>0</v>
      </c>
      <c r="AN928" s="133">
        <f t="shared" si="15"/>
        <v>6</v>
      </c>
    </row>
    <row r="929" spans="1:48" s="135" customFormat="1" x14ac:dyDescent="0.2">
      <c r="A929" s="133" t="s">
        <v>1930</v>
      </c>
      <c r="B929" s="133" t="s">
        <v>5035</v>
      </c>
      <c r="C929" s="133">
        <v>20</v>
      </c>
      <c r="D929" s="133">
        <v>1</v>
      </c>
      <c r="E929" s="133" t="s">
        <v>2601</v>
      </c>
      <c r="F929" s="138">
        <v>43402</v>
      </c>
      <c r="G929" s="136" t="s">
        <v>4033</v>
      </c>
      <c r="H929" s="136" t="s">
        <v>4724</v>
      </c>
      <c r="I929" s="148">
        <v>1.1805555555555555E-2</v>
      </c>
      <c r="J929" s="174">
        <v>1.9675925925925926E-4</v>
      </c>
      <c r="K929" s="139">
        <v>17</v>
      </c>
      <c r="L929" s="133" t="s">
        <v>2028</v>
      </c>
      <c r="M929" s="133" t="s">
        <v>173</v>
      </c>
      <c r="N929" s="133" t="s">
        <v>102</v>
      </c>
      <c r="O929" s="133" t="s">
        <v>23</v>
      </c>
      <c r="P929" s="133" t="s">
        <v>24</v>
      </c>
      <c r="Q929" s="133"/>
      <c r="R929" s="133" t="s">
        <v>24</v>
      </c>
      <c r="S929" s="133" t="s">
        <v>176</v>
      </c>
      <c r="T929" s="133" t="s">
        <v>176</v>
      </c>
      <c r="U929" s="133" t="s">
        <v>115</v>
      </c>
      <c r="V929" s="133" t="s">
        <v>115</v>
      </c>
      <c r="W929" s="133"/>
      <c r="X929" s="133"/>
      <c r="Y929" s="133"/>
      <c r="Z929" s="133"/>
      <c r="AA929" s="133"/>
      <c r="AB929" s="133" t="s">
        <v>115</v>
      </c>
      <c r="AC929" s="134" t="s">
        <v>115</v>
      </c>
      <c r="AD929" s="134"/>
      <c r="AE929" s="133"/>
      <c r="AF929" s="133"/>
      <c r="AG929" s="133"/>
      <c r="AH929" s="139">
        <v>0</v>
      </c>
      <c r="AI929" s="139">
        <v>16</v>
      </c>
      <c r="AJ929" s="139">
        <v>0</v>
      </c>
      <c r="AK929" s="139">
        <v>16</v>
      </c>
      <c r="AL929" s="139">
        <v>0</v>
      </c>
      <c r="AM929" s="139">
        <v>0</v>
      </c>
      <c r="AN929" s="133">
        <f t="shared" si="15"/>
        <v>16</v>
      </c>
      <c r="AO929" s="133"/>
      <c r="AP929" s="133"/>
      <c r="AQ929" s="133"/>
      <c r="AR929" s="133"/>
      <c r="AS929" s="133"/>
      <c r="AT929" s="133"/>
      <c r="AU929" s="133"/>
      <c r="AV929" s="133"/>
    </row>
    <row r="930" spans="1:48" s="135" customFormat="1" x14ac:dyDescent="0.2">
      <c r="A930" s="133" t="s">
        <v>1213</v>
      </c>
      <c r="B930" s="133" t="s">
        <v>1214</v>
      </c>
      <c r="C930" s="133">
        <v>11</v>
      </c>
      <c r="D930" s="133">
        <v>1</v>
      </c>
      <c r="E930" s="133" t="s">
        <v>201</v>
      </c>
      <c r="F930" s="138">
        <v>43381</v>
      </c>
      <c r="G930" s="136" t="s">
        <v>4033</v>
      </c>
      <c r="H930" s="136" t="s">
        <v>4724</v>
      </c>
      <c r="I930" s="148">
        <v>1.1111111111111112E-2</v>
      </c>
      <c r="J930" s="174">
        <v>1.8518518518518518E-4</v>
      </c>
      <c r="K930" s="139">
        <v>16</v>
      </c>
      <c r="L930" s="133" t="s">
        <v>640</v>
      </c>
      <c r="M930" s="133" t="s">
        <v>1215</v>
      </c>
      <c r="N930" s="133" t="s">
        <v>111</v>
      </c>
      <c r="O930" s="133" t="s">
        <v>23</v>
      </c>
      <c r="P930" s="133">
        <v>1</v>
      </c>
      <c r="Q930" s="133"/>
      <c r="R930" s="133">
        <v>1</v>
      </c>
      <c r="S930" s="133" t="s">
        <v>176</v>
      </c>
      <c r="T930" s="133" t="s">
        <v>176</v>
      </c>
      <c r="U930" s="133" t="s">
        <v>122</v>
      </c>
      <c r="V930" s="133" t="s">
        <v>3963</v>
      </c>
      <c r="W930" s="140" t="s">
        <v>23</v>
      </c>
      <c r="X930" s="140" t="s">
        <v>3997</v>
      </c>
      <c r="Y930" s="140" t="s">
        <v>4007</v>
      </c>
      <c r="Z930" s="133"/>
      <c r="AA930" s="133"/>
      <c r="AB930" s="133">
        <v>1</v>
      </c>
      <c r="AC930" s="134">
        <v>63.723610000000001</v>
      </c>
      <c r="AD930" s="134">
        <v>148.95204000000001</v>
      </c>
      <c r="AE930" s="133"/>
      <c r="AF930" s="133"/>
      <c r="AG930" s="133"/>
      <c r="AH930" s="139">
        <v>0</v>
      </c>
      <c r="AI930" s="139">
        <v>0</v>
      </c>
      <c r="AJ930" s="139">
        <v>0</v>
      </c>
      <c r="AK930" s="139">
        <v>0</v>
      </c>
      <c r="AL930" s="139">
        <v>0</v>
      </c>
      <c r="AM930" s="133">
        <v>0</v>
      </c>
      <c r="AN930" s="133">
        <f t="shared" si="15"/>
        <v>0</v>
      </c>
      <c r="AO930" s="133"/>
      <c r="AP930" s="133" t="s">
        <v>1216</v>
      </c>
      <c r="AQ930" s="133"/>
      <c r="AR930" s="133"/>
      <c r="AS930" s="133"/>
      <c r="AT930" s="133"/>
      <c r="AU930" s="133"/>
      <c r="AV930" s="133"/>
    </row>
    <row r="931" spans="1:48" s="133" customFormat="1" x14ac:dyDescent="0.2">
      <c r="A931" s="135" t="s">
        <v>1218</v>
      </c>
      <c r="B931" s="135" t="s">
        <v>1219</v>
      </c>
      <c r="C931" s="135">
        <v>12</v>
      </c>
      <c r="D931" s="135">
        <v>1</v>
      </c>
      <c r="E931" s="135" t="s">
        <v>201</v>
      </c>
      <c r="F931" s="136">
        <v>43381</v>
      </c>
      <c r="G931" s="136" t="s">
        <v>4033</v>
      </c>
      <c r="H931" s="136" t="s">
        <v>4724</v>
      </c>
      <c r="I931" s="172">
        <v>9.0277777777777787E-3</v>
      </c>
      <c r="J931" s="175">
        <v>1.5046296296296297E-4</v>
      </c>
      <c r="K931" s="143">
        <v>13</v>
      </c>
      <c r="L931" s="135" t="s">
        <v>640</v>
      </c>
      <c r="M931" s="135" t="s">
        <v>1215</v>
      </c>
      <c r="N931" s="135" t="s">
        <v>102</v>
      </c>
      <c r="O931" s="135" t="s">
        <v>115</v>
      </c>
      <c r="P931" s="135">
        <v>2</v>
      </c>
      <c r="Q931" s="135"/>
      <c r="R931" s="135">
        <v>0</v>
      </c>
      <c r="S931" s="133" t="s">
        <v>176</v>
      </c>
      <c r="T931" s="135" t="s">
        <v>176</v>
      </c>
      <c r="U931" s="135" t="s">
        <v>122</v>
      </c>
      <c r="V931" s="135" t="s">
        <v>115</v>
      </c>
      <c r="W931" s="135" t="s">
        <v>115</v>
      </c>
      <c r="X931" s="135" t="s">
        <v>115</v>
      </c>
      <c r="Y931" s="135" t="s">
        <v>115</v>
      </c>
      <c r="Z931" s="135"/>
      <c r="AA931" s="135"/>
      <c r="AB931" s="135" t="s">
        <v>115</v>
      </c>
      <c r="AC931" s="137" t="s">
        <v>115</v>
      </c>
      <c r="AD931" s="137"/>
      <c r="AE931" s="135"/>
      <c r="AF931" s="135"/>
      <c r="AG931" s="135"/>
      <c r="AH931" s="143">
        <v>0</v>
      </c>
      <c r="AI931" s="143">
        <v>0</v>
      </c>
      <c r="AJ931" s="143">
        <v>0</v>
      </c>
      <c r="AK931" s="143">
        <v>0</v>
      </c>
      <c r="AL931" s="143">
        <v>10</v>
      </c>
      <c r="AM931" s="135">
        <v>0</v>
      </c>
      <c r="AN931" s="135">
        <f t="shared" si="15"/>
        <v>10</v>
      </c>
      <c r="AO931" s="135"/>
      <c r="AP931" s="135"/>
      <c r="AQ931" s="135"/>
      <c r="AR931" s="135"/>
      <c r="AS931" s="135"/>
      <c r="AT931" s="135"/>
      <c r="AU931" s="135"/>
      <c r="AV931" s="135"/>
    </row>
    <row r="932" spans="1:48" s="133" customFormat="1" x14ac:dyDescent="0.2">
      <c r="A932" s="135" t="s">
        <v>1220</v>
      </c>
      <c r="B932" s="135" t="s">
        <v>1221</v>
      </c>
      <c r="C932" s="135">
        <v>13</v>
      </c>
      <c r="D932" s="135">
        <v>1</v>
      </c>
      <c r="E932" s="135" t="s">
        <v>201</v>
      </c>
      <c r="F932" s="136">
        <v>43381</v>
      </c>
      <c r="G932" s="136" t="s">
        <v>4033</v>
      </c>
      <c r="H932" s="136" t="s">
        <v>4724</v>
      </c>
      <c r="I932" s="172">
        <v>2.0833333333333332E-2</v>
      </c>
      <c r="J932" s="175">
        <v>3.4722222222222224E-4</v>
      </c>
      <c r="K932" s="143">
        <v>30</v>
      </c>
      <c r="L932" s="135" t="s">
        <v>640</v>
      </c>
      <c r="M932" s="135" t="s">
        <v>1215</v>
      </c>
      <c r="N932" s="135" t="s">
        <v>187</v>
      </c>
      <c r="O932" s="135" t="s">
        <v>23</v>
      </c>
      <c r="P932" s="135">
        <v>1</v>
      </c>
      <c r="Q932" s="135"/>
      <c r="R932" s="135">
        <v>1</v>
      </c>
      <c r="S932" s="133" t="s">
        <v>598</v>
      </c>
      <c r="T932" s="135" t="s">
        <v>2107</v>
      </c>
      <c r="U932" s="135" t="s">
        <v>122</v>
      </c>
      <c r="V932" s="135" t="s">
        <v>3963</v>
      </c>
      <c r="W932" s="140" t="s">
        <v>23</v>
      </c>
      <c r="X932" s="140" t="s">
        <v>3997</v>
      </c>
      <c r="Y932" s="140" t="s">
        <v>4007</v>
      </c>
      <c r="AB932" s="135">
        <v>2</v>
      </c>
      <c r="AC932" s="137">
        <v>63.724409999999999</v>
      </c>
      <c r="AD932" s="137">
        <v>148.95231999999999</v>
      </c>
      <c r="AH932" s="143">
        <v>0</v>
      </c>
      <c r="AI932" s="143">
        <v>0</v>
      </c>
      <c r="AJ932" s="143">
        <v>0</v>
      </c>
      <c r="AK932" s="143">
        <v>0</v>
      </c>
      <c r="AL932" s="143">
        <v>4</v>
      </c>
      <c r="AM932" s="135">
        <v>0</v>
      </c>
      <c r="AN932" s="135">
        <f t="shared" si="15"/>
        <v>4</v>
      </c>
      <c r="AO932" s="135"/>
      <c r="AP932" s="135" t="s">
        <v>1222</v>
      </c>
      <c r="AQ932" s="135"/>
      <c r="AR932" s="135"/>
    </row>
    <row r="933" spans="1:48" s="133" customFormat="1" x14ac:dyDescent="0.2">
      <c r="A933" s="133" t="s">
        <v>1223</v>
      </c>
      <c r="B933" s="133" t="s">
        <v>1224</v>
      </c>
      <c r="C933" s="133">
        <v>1</v>
      </c>
      <c r="D933" s="133">
        <v>1</v>
      </c>
      <c r="E933" s="133" t="s">
        <v>201</v>
      </c>
      <c r="F933" s="138">
        <v>43382</v>
      </c>
      <c r="G933" s="136" t="s">
        <v>4033</v>
      </c>
      <c r="H933" s="136" t="s">
        <v>4724</v>
      </c>
      <c r="I933" s="148">
        <v>9.7222222222222224E-3</v>
      </c>
      <c r="J933" s="174">
        <v>1.6203703703703703E-4</v>
      </c>
      <c r="K933" s="139">
        <v>14</v>
      </c>
      <c r="L933" s="133" t="s">
        <v>1278</v>
      </c>
      <c r="M933" s="133" t="s">
        <v>1215</v>
      </c>
      <c r="N933" s="133" t="s">
        <v>221</v>
      </c>
      <c r="O933" s="133" t="s">
        <v>23</v>
      </c>
      <c r="P933" s="133" t="s">
        <v>24</v>
      </c>
      <c r="R933" s="133" t="s">
        <v>24</v>
      </c>
      <c r="S933" s="133" t="s">
        <v>176</v>
      </c>
      <c r="T933" s="133" t="s">
        <v>176</v>
      </c>
      <c r="U933" s="133" t="s">
        <v>115</v>
      </c>
      <c r="V933" s="133" t="s">
        <v>558</v>
      </c>
      <c r="AB933" s="133" t="s">
        <v>24</v>
      </c>
      <c r="AC933" s="134">
        <v>63.723520000000001</v>
      </c>
      <c r="AD933" s="134">
        <v>148.95076</v>
      </c>
      <c r="AH933" s="139">
        <v>14</v>
      </c>
      <c r="AI933" s="139">
        <v>0</v>
      </c>
      <c r="AJ933" s="139">
        <v>14</v>
      </c>
      <c r="AK933" s="139">
        <v>0</v>
      </c>
      <c r="AL933" s="139">
        <v>0</v>
      </c>
      <c r="AM933" s="133">
        <v>0</v>
      </c>
      <c r="AN933" s="133">
        <f t="shared" si="15"/>
        <v>14</v>
      </c>
      <c r="AP933" s="133" t="s">
        <v>1225</v>
      </c>
    </row>
    <row r="934" spans="1:48" s="133" customFormat="1" ht="15" customHeight="1" x14ac:dyDescent="0.2">
      <c r="A934" s="133" t="s">
        <v>1229</v>
      </c>
      <c r="B934" s="133" t="s">
        <v>1228</v>
      </c>
      <c r="C934" s="133">
        <v>3</v>
      </c>
      <c r="D934" s="133">
        <v>1</v>
      </c>
      <c r="E934" s="133" t="s">
        <v>201</v>
      </c>
      <c r="F934" s="138">
        <v>43382</v>
      </c>
      <c r="G934" s="136" t="s">
        <v>4033</v>
      </c>
      <c r="H934" s="136" t="s">
        <v>4724</v>
      </c>
      <c r="I934" s="148">
        <v>1.1111111111111112E-2</v>
      </c>
      <c r="J934" s="174">
        <v>1.8518518518518518E-4</v>
      </c>
      <c r="K934" s="139">
        <v>16</v>
      </c>
      <c r="L934" s="133" t="s">
        <v>1278</v>
      </c>
      <c r="M934" s="133" t="s">
        <v>1215</v>
      </c>
      <c r="N934" s="133" t="s">
        <v>111</v>
      </c>
      <c r="O934" s="133" t="s">
        <v>23</v>
      </c>
      <c r="P934" s="133">
        <v>0</v>
      </c>
      <c r="R934" s="133">
        <v>1</v>
      </c>
      <c r="S934" s="133" t="s">
        <v>176</v>
      </c>
      <c r="T934" s="133" t="s">
        <v>176</v>
      </c>
      <c r="U934" s="133" t="s">
        <v>24</v>
      </c>
      <c r="V934" s="133" t="s">
        <v>3963</v>
      </c>
      <c r="W934" s="140" t="s">
        <v>23</v>
      </c>
      <c r="X934" s="140" t="s">
        <v>3997</v>
      </c>
      <c r="Y934" s="140" t="s">
        <v>4007</v>
      </c>
      <c r="Z934" s="135"/>
      <c r="AA934" s="135"/>
      <c r="AB934" s="133" t="s">
        <v>24</v>
      </c>
      <c r="AC934" s="134">
        <v>63.724490000000003</v>
      </c>
      <c r="AD934" s="134">
        <v>148.94810000000001</v>
      </c>
      <c r="AE934" s="135"/>
      <c r="AF934" s="135"/>
      <c r="AG934" s="135"/>
      <c r="AH934" s="139">
        <v>0</v>
      </c>
      <c r="AI934" s="139">
        <v>0</v>
      </c>
      <c r="AJ934" s="139">
        <v>0</v>
      </c>
      <c r="AK934" s="139">
        <v>0</v>
      </c>
      <c r="AL934" s="139">
        <v>0</v>
      </c>
      <c r="AM934" s="133">
        <v>0</v>
      </c>
      <c r="AN934" s="133">
        <f t="shared" si="15"/>
        <v>0</v>
      </c>
      <c r="AP934" s="133" t="s">
        <v>1230</v>
      </c>
      <c r="AS934" s="135"/>
      <c r="AT934" s="135"/>
      <c r="AU934" s="135"/>
      <c r="AV934" s="135"/>
    </row>
    <row r="935" spans="1:48" s="133" customFormat="1" x14ac:dyDescent="0.2">
      <c r="A935" s="135" t="s">
        <v>1238</v>
      </c>
      <c r="B935" s="135" t="s">
        <v>1239</v>
      </c>
      <c r="C935" s="135">
        <v>6</v>
      </c>
      <c r="D935" s="135">
        <v>1</v>
      </c>
      <c r="E935" s="135" t="s">
        <v>201</v>
      </c>
      <c r="F935" s="136">
        <v>43382</v>
      </c>
      <c r="G935" s="136" t="s">
        <v>4033</v>
      </c>
      <c r="H935" s="136" t="s">
        <v>4724</v>
      </c>
      <c r="I935" s="172">
        <v>1.7361111111111112E-2</v>
      </c>
      <c r="J935" s="175">
        <v>2.8935185185185189E-4</v>
      </c>
      <c r="K935" s="143">
        <v>25</v>
      </c>
      <c r="L935" s="135" t="s">
        <v>1278</v>
      </c>
      <c r="M935" s="135" t="s">
        <v>1215</v>
      </c>
      <c r="N935" s="135" t="s">
        <v>102</v>
      </c>
      <c r="O935" s="135" t="s">
        <v>115</v>
      </c>
      <c r="P935" s="135" t="s">
        <v>24</v>
      </c>
      <c r="Q935" s="135"/>
      <c r="R935" s="135">
        <v>0</v>
      </c>
      <c r="S935" s="133" t="s">
        <v>176</v>
      </c>
      <c r="T935" s="135" t="s">
        <v>176</v>
      </c>
      <c r="U935" s="135" t="s">
        <v>115</v>
      </c>
      <c r="V935" s="135" t="s">
        <v>115</v>
      </c>
      <c r="W935" s="135" t="s">
        <v>115</v>
      </c>
      <c r="X935" s="135" t="s">
        <v>115</v>
      </c>
      <c r="Y935" s="135" t="s">
        <v>115</v>
      </c>
      <c r="Z935" s="135"/>
      <c r="AA935" s="135"/>
      <c r="AB935" s="135" t="s">
        <v>115</v>
      </c>
      <c r="AC935" s="137" t="s">
        <v>115</v>
      </c>
      <c r="AD935" s="137"/>
      <c r="AE935" s="135"/>
      <c r="AF935" s="135"/>
      <c r="AG935" s="135"/>
      <c r="AH935" s="143">
        <v>0</v>
      </c>
      <c r="AI935" s="143">
        <v>0</v>
      </c>
      <c r="AJ935" s="143">
        <v>0</v>
      </c>
      <c r="AK935" s="143">
        <v>0</v>
      </c>
      <c r="AL935" s="143">
        <v>22</v>
      </c>
      <c r="AM935" s="135">
        <v>0</v>
      </c>
      <c r="AN935" s="135">
        <f t="shared" si="15"/>
        <v>22</v>
      </c>
      <c r="AO935" s="135"/>
      <c r="AP935" s="135"/>
      <c r="AQ935" s="135"/>
      <c r="AR935" s="135"/>
      <c r="AS935" s="135"/>
      <c r="AT935" s="135"/>
      <c r="AU935" s="135"/>
      <c r="AV935" s="135"/>
    </row>
    <row r="936" spans="1:48" s="133" customFormat="1" x14ac:dyDescent="0.2">
      <c r="A936" s="133" t="s">
        <v>1296</v>
      </c>
      <c r="B936" s="133" t="s">
        <v>1297</v>
      </c>
      <c r="C936" s="133">
        <v>1</v>
      </c>
      <c r="D936" s="133">
        <v>1</v>
      </c>
      <c r="E936" s="133" t="s">
        <v>201</v>
      </c>
      <c r="F936" s="138">
        <v>43385</v>
      </c>
      <c r="G936" s="136" t="s">
        <v>4033</v>
      </c>
      <c r="H936" s="136" t="s">
        <v>4724</v>
      </c>
      <c r="I936" s="148">
        <v>7.6388888888888886E-3</v>
      </c>
      <c r="J936" s="174">
        <v>1.273148148148148E-4</v>
      </c>
      <c r="K936" s="139">
        <v>11</v>
      </c>
      <c r="L936" s="133" t="s">
        <v>398</v>
      </c>
      <c r="M936" s="133" t="s">
        <v>1215</v>
      </c>
      <c r="N936" s="133" t="s">
        <v>242</v>
      </c>
      <c r="O936" s="133" t="s">
        <v>23</v>
      </c>
      <c r="P936" s="133">
        <v>1</v>
      </c>
      <c r="R936" s="133">
        <v>1</v>
      </c>
      <c r="S936" s="133" t="s">
        <v>176</v>
      </c>
      <c r="T936" s="133" t="s">
        <v>176</v>
      </c>
      <c r="U936" s="133" t="s">
        <v>24</v>
      </c>
      <c r="V936" s="133" t="s">
        <v>2061</v>
      </c>
      <c r="W936" s="140" t="s">
        <v>23</v>
      </c>
      <c r="X936" s="140" t="s">
        <v>3999</v>
      </c>
      <c r="Y936" s="140" t="s">
        <v>4006</v>
      </c>
      <c r="Z936" s="135"/>
      <c r="AA936" s="135"/>
      <c r="AB936" s="133" t="s">
        <v>24</v>
      </c>
      <c r="AC936" s="134">
        <v>63.722709999999999</v>
      </c>
      <c r="AD936" s="134">
        <v>148.95956000000001</v>
      </c>
      <c r="AE936" s="135"/>
      <c r="AF936" s="135"/>
      <c r="AG936" s="135"/>
      <c r="AH936" s="139">
        <v>0</v>
      </c>
      <c r="AI936" s="139">
        <v>0</v>
      </c>
      <c r="AJ936" s="139">
        <v>0</v>
      </c>
      <c r="AK936" s="139">
        <v>0</v>
      </c>
      <c r="AL936" s="139">
        <v>0</v>
      </c>
      <c r="AM936" s="133">
        <v>0</v>
      </c>
      <c r="AN936" s="133">
        <f t="shared" si="15"/>
        <v>0</v>
      </c>
      <c r="AP936" s="133" t="s">
        <v>1298</v>
      </c>
    </row>
    <row r="937" spans="1:48" s="135" customFormat="1" x14ac:dyDescent="0.2">
      <c r="A937" s="135" t="s">
        <v>1326</v>
      </c>
      <c r="B937" s="135" t="s">
        <v>1327</v>
      </c>
      <c r="C937" s="135">
        <v>3</v>
      </c>
      <c r="D937" s="135">
        <v>1</v>
      </c>
      <c r="E937" s="135" t="s">
        <v>201</v>
      </c>
      <c r="F937" s="136">
        <v>43385</v>
      </c>
      <c r="G937" s="136" t="s">
        <v>4033</v>
      </c>
      <c r="H937" s="136" t="s">
        <v>4724</v>
      </c>
      <c r="I937" s="172">
        <v>3.7499999999999999E-2</v>
      </c>
      <c r="J937" s="175">
        <v>6.2500000000000001E-4</v>
      </c>
      <c r="K937" s="143">
        <v>54</v>
      </c>
      <c r="L937" s="135" t="s">
        <v>398</v>
      </c>
      <c r="M937" s="135" t="s">
        <v>1215</v>
      </c>
      <c r="N937" s="135" t="s">
        <v>187</v>
      </c>
      <c r="O937" s="135" t="s">
        <v>23</v>
      </c>
      <c r="P937" s="135">
        <v>1</v>
      </c>
      <c r="R937" s="135">
        <v>1</v>
      </c>
      <c r="S937" s="133" t="s">
        <v>14</v>
      </c>
      <c r="T937" s="135" t="s">
        <v>2128</v>
      </c>
      <c r="U937" s="135" t="s">
        <v>122</v>
      </c>
      <c r="V937" s="135" t="s">
        <v>1328</v>
      </c>
      <c r="W937" s="135" t="s">
        <v>23</v>
      </c>
      <c r="X937" s="135" t="s">
        <v>4004</v>
      </c>
      <c r="Y937" s="135" t="s">
        <v>4005</v>
      </c>
      <c r="AB937" s="135">
        <v>2</v>
      </c>
      <c r="AC937" s="137">
        <v>63.72354</v>
      </c>
      <c r="AD937" s="137">
        <v>148.94923</v>
      </c>
      <c r="AH937" s="143">
        <v>0</v>
      </c>
      <c r="AI937" s="143">
        <v>0</v>
      </c>
      <c r="AJ937" s="143">
        <v>0</v>
      </c>
      <c r="AK937" s="143">
        <v>0</v>
      </c>
      <c r="AL937" s="143">
        <v>21</v>
      </c>
      <c r="AM937" s="135">
        <v>0</v>
      </c>
      <c r="AN937" s="135">
        <f t="shared" si="15"/>
        <v>21</v>
      </c>
      <c r="AP937" s="135" t="s">
        <v>2145</v>
      </c>
      <c r="AS937" s="133"/>
      <c r="AT937" s="133"/>
      <c r="AU937" s="133"/>
      <c r="AV937" s="133"/>
    </row>
    <row r="938" spans="1:48" s="133" customFormat="1" x14ac:dyDescent="0.2">
      <c r="A938" s="133" t="s">
        <v>1326</v>
      </c>
      <c r="B938" s="133" t="s">
        <v>1327</v>
      </c>
      <c r="C938" s="133">
        <v>3</v>
      </c>
      <c r="D938" s="133">
        <v>2</v>
      </c>
      <c r="E938" s="133" t="s">
        <v>201</v>
      </c>
      <c r="F938" s="138">
        <v>43385</v>
      </c>
      <c r="G938" s="136" t="s">
        <v>4033</v>
      </c>
      <c r="H938" s="136" t="s">
        <v>4724</v>
      </c>
      <c r="I938" s="148">
        <v>3.7499999999999999E-2</v>
      </c>
      <c r="J938" s="174">
        <v>6.2500000000000001E-4</v>
      </c>
      <c r="K938" s="139">
        <v>54</v>
      </c>
      <c r="L938" s="133" t="s">
        <v>398</v>
      </c>
      <c r="M938" s="133" t="s">
        <v>1215</v>
      </c>
      <c r="N938" s="133" t="s">
        <v>102</v>
      </c>
      <c r="O938" s="133" t="s">
        <v>23</v>
      </c>
      <c r="P938" s="133">
        <v>1</v>
      </c>
      <c r="R938" s="133">
        <v>0</v>
      </c>
      <c r="S938" s="133" t="s">
        <v>14</v>
      </c>
      <c r="T938" s="133" t="s">
        <v>2130</v>
      </c>
      <c r="U938" s="133" t="s">
        <v>122</v>
      </c>
      <c r="V938" s="133" t="s">
        <v>115</v>
      </c>
      <c r="W938" s="135" t="s">
        <v>115</v>
      </c>
      <c r="X938" s="135" t="s">
        <v>115</v>
      </c>
      <c r="Y938" s="135" t="s">
        <v>115</v>
      </c>
      <c r="AB938" s="133" t="s">
        <v>115</v>
      </c>
      <c r="AC938" s="134" t="s">
        <v>115</v>
      </c>
      <c r="AD938" s="134"/>
      <c r="AH938" s="139">
        <v>0</v>
      </c>
      <c r="AI938" s="139">
        <v>0</v>
      </c>
      <c r="AJ938" s="139">
        <v>0</v>
      </c>
      <c r="AK938" s="139">
        <v>0</v>
      </c>
      <c r="AL938" s="139">
        <v>0</v>
      </c>
      <c r="AM938" s="133">
        <v>0</v>
      </c>
      <c r="AN938" s="133">
        <f t="shared" si="15"/>
        <v>0</v>
      </c>
      <c r="AP938" s="133" t="s">
        <v>1329</v>
      </c>
    </row>
    <row r="939" spans="1:48" s="133" customFormat="1" x14ac:dyDescent="0.2">
      <c r="A939" s="133" t="s">
        <v>1338</v>
      </c>
      <c r="B939" s="133" t="s">
        <v>1339</v>
      </c>
      <c r="C939" s="133">
        <v>7</v>
      </c>
      <c r="D939" s="133">
        <v>1</v>
      </c>
      <c r="E939" s="133" t="s">
        <v>201</v>
      </c>
      <c r="F939" s="138">
        <v>43385</v>
      </c>
      <c r="G939" s="136" t="s">
        <v>4033</v>
      </c>
      <c r="H939" s="136" t="s">
        <v>4724</v>
      </c>
      <c r="I939" s="148">
        <v>7.6388888888888886E-3</v>
      </c>
      <c r="J939" s="174">
        <v>1.273148148148148E-4</v>
      </c>
      <c r="K939" s="139">
        <v>11</v>
      </c>
      <c r="L939" s="133" t="s">
        <v>398</v>
      </c>
      <c r="M939" s="133" t="s">
        <v>1215</v>
      </c>
      <c r="N939" s="133" t="s">
        <v>102</v>
      </c>
      <c r="O939" s="133" t="s">
        <v>23</v>
      </c>
      <c r="P939" s="133">
        <v>1</v>
      </c>
      <c r="R939" s="133">
        <v>0</v>
      </c>
      <c r="S939" s="133" t="s">
        <v>176</v>
      </c>
      <c r="T939" s="133" t="s">
        <v>176</v>
      </c>
      <c r="U939" s="133" t="s">
        <v>134</v>
      </c>
      <c r="V939" s="133" t="s">
        <v>115</v>
      </c>
      <c r="W939" s="135" t="s">
        <v>115</v>
      </c>
      <c r="X939" s="135" t="s">
        <v>115</v>
      </c>
      <c r="Y939" s="135" t="s">
        <v>115</v>
      </c>
      <c r="AB939" s="133" t="s">
        <v>115</v>
      </c>
      <c r="AC939" s="134" t="s">
        <v>115</v>
      </c>
      <c r="AD939" s="134"/>
      <c r="AH939" s="139">
        <v>0</v>
      </c>
      <c r="AI939" s="139">
        <v>6</v>
      </c>
      <c r="AJ939" s="139">
        <v>0</v>
      </c>
      <c r="AK939" s="139">
        <v>6</v>
      </c>
      <c r="AL939" s="139">
        <v>0</v>
      </c>
      <c r="AM939" s="133">
        <v>0</v>
      </c>
      <c r="AN939" s="133">
        <f t="shared" si="15"/>
        <v>6</v>
      </c>
    </row>
    <row r="940" spans="1:48" s="133" customFormat="1" x14ac:dyDescent="0.2">
      <c r="A940" s="133" t="s">
        <v>1340</v>
      </c>
      <c r="B940" s="133" t="s">
        <v>1341</v>
      </c>
      <c r="C940" s="133">
        <v>8</v>
      </c>
      <c r="D940" s="133">
        <v>1</v>
      </c>
      <c r="E940" s="133" t="s">
        <v>201</v>
      </c>
      <c r="F940" s="138">
        <v>43385</v>
      </c>
      <c r="G940" s="136" t="s">
        <v>4033</v>
      </c>
      <c r="H940" s="136" t="s">
        <v>4724</v>
      </c>
      <c r="I940" s="148">
        <v>1.2499999999999999E-2</v>
      </c>
      <c r="J940" s="174">
        <v>2.0833333333333335E-4</v>
      </c>
      <c r="K940" s="139">
        <v>18</v>
      </c>
      <c r="L940" s="133" t="s">
        <v>398</v>
      </c>
      <c r="M940" s="133" t="s">
        <v>1215</v>
      </c>
      <c r="N940" s="133" t="s">
        <v>102</v>
      </c>
      <c r="O940" s="133" t="s">
        <v>115</v>
      </c>
      <c r="P940" s="133">
        <v>1</v>
      </c>
      <c r="R940" s="133">
        <v>0</v>
      </c>
      <c r="S940" s="133" t="s">
        <v>14</v>
      </c>
      <c r="T940" s="133" t="s">
        <v>14</v>
      </c>
      <c r="U940" s="133" t="s">
        <v>122</v>
      </c>
      <c r="V940" s="133" t="s">
        <v>115</v>
      </c>
      <c r="W940" s="135" t="s">
        <v>115</v>
      </c>
      <c r="X940" s="135" t="s">
        <v>115</v>
      </c>
      <c r="Y940" s="135" t="s">
        <v>115</v>
      </c>
      <c r="AB940" s="133" t="s">
        <v>115</v>
      </c>
      <c r="AC940" s="134" t="s">
        <v>115</v>
      </c>
      <c r="AD940" s="134"/>
      <c r="AH940" s="139">
        <v>0</v>
      </c>
      <c r="AI940" s="139">
        <v>0</v>
      </c>
      <c r="AJ940" s="139">
        <v>0</v>
      </c>
      <c r="AK940" s="139">
        <v>0</v>
      </c>
      <c r="AL940" s="139">
        <v>0</v>
      </c>
      <c r="AM940" s="133">
        <v>0</v>
      </c>
      <c r="AN940" s="133">
        <f t="shared" si="15"/>
        <v>0</v>
      </c>
      <c r="AP940" s="133" t="s">
        <v>1343</v>
      </c>
    </row>
    <row r="941" spans="1:48" s="135" customFormat="1" x14ac:dyDescent="0.2">
      <c r="A941" s="133" t="s">
        <v>1344</v>
      </c>
      <c r="B941" s="133" t="s">
        <v>1345</v>
      </c>
      <c r="C941" s="133">
        <v>9</v>
      </c>
      <c r="D941" s="133">
        <v>1</v>
      </c>
      <c r="E941" s="133" t="s">
        <v>201</v>
      </c>
      <c r="F941" s="138">
        <v>43385</v>
      </c>
      <c r="G941" s="136" t="s">
        <v>4033</v>
      </c>
      <c r="H941" s="136" t="s">
        <v>4724</v>
      </c>
      <c r="I941" s="148">
        <v>2.4999999999999998E-2</v>
      </c>
      <c r="J941" s="174">
        <v>4.1666666666666669E-4</v>
      </c>
      <c r="K941" s="139">
        <v>36</v>
      </c>
      <c r="L941" s="133" t="s">
        <v>398</v>
      </c>
      <c r="M941" s="133" t="s">
        <v>1215</v>
      </c>
      <c r="N941" s="133" t="s">
        <v>111</v>
      </c>
      <c r="O941" s="133" t="s">
        <v>23</v>
      </c>
      <c r="P941" s="133">
        <v>0</v>
      </c>
      <c r="Q941" s="133"/>
      <c r="R941" s="133">
        <v>1</v>
      </c>
      <c r="S941" s="133" t="s">
        <v>14</v>
      </c>
      <c r="T941" s="133" t="s">
        <v>14</v>
      </c>
      <c r="U941" s="133" t="s">
        <v>122</v>
      </c>
      <c r="V941" s="133" t="s">
        <v>1035</v>
      </c>
      <c r="W941" s="140" t="s">
        <v>23</v>
      </c>
      <c r="X941" s="140" t="s">
        <v>3997</v>
      </c>
      <c r="Y941" s="140" t="s">
        <v>4006</v>
      </c>
      <c r="Z941" s="133"/>
      <c r="AA941" s="133"/>
      <c r="AB941" s="133" t="s">
        <v>1332</v>
      </c>
      <c r="AC941" s="134">
        <v>63.722029999999997</v>
      </c>
      <c r="AD941" s="134">
        <v>148.94954999999999</v>
      </c>
      <c r="AE941" s="133"/>
      <c r="AF941" s="133"/>
      <c r="AG941" s="133"/>
      <c r="AH941" s="139">
        <v>0</v>
      </c>
      <c r="AI941" s="139">
        <v>0</v>
      </c>
      <c r="AJ941" s="139">
        <v>0</v>
      </c>
      <c r="AK941" s="139">
        <v>0</v>
      </c>
      <c r="AL941" s="139">
        <v>0</v>
      </c>
      <c r="AM941" s="133">
        <v>0</v>
      </c>
      <c r="AN941" s="133">
        <f t="shared" si="15"/>
        <v>0</v>
      </c>
      <c r="AO941" s="133"/>
      <c r="AP941" s="133"/>
      <c r="AQ941" s="133"/>
      <c r="AR941" s="133"/>
    </row>
    <row r="942" spans="1:48" s="135" customFormat="1" x14ac:dyDescent="0.2">
      <c r="A942" s="133" t="s">
        <v>1346</v>
      </c>
      <c r="B942" s="133" t="s">
        <v>1347</v>
      </c>
      <c r="C942" s="133">
        <v>10</v>
      </c>
      <c r="D942" s="133">
        <v>1</v>
      </c>
      <c r="E942" s="133" t="s">
        <v>201</v>
      </c>
      <c r="F942" s="138">
        <v>43385</v>
      </c>
      <c r="G942" s="136" t="s">
        <v>4033</v>
      </c>
      <c r="H942" s="136" t="s">
        <v>4724</v>
      </c>
      <c r="I942" s="148">
        <v>3.2638888888888891E-2</v>
      </c>
      <c r="J942" s="174">
        <v>5.4398148148148144E-4</v>
      </c>
      <c r="K942" s="139">
        <v>47</v>
      </c>
      <c r="L942" s="133" t="s">
        <v>398</v>
      </c>
      <c r="M942" s="133" t="s">
        <v>1215</v>
      </c>
      <c r="N942" s="133" t="s">
        <v>111</v>
      </c>
      <c r="O942" s="133" t="s">
        <v>23</v>
      </c>
      <c r="P942" s="133">
        <v>0</v>
      </c>
      <c r="Q942" s="133"/>
      <c r="R942" s="133">
        <v>1</v>
      </c>
      <c r="S942" s="133" t="s">
        <v>176</v>
      </c>
      <c r="T942" s="133" t="s">
        <v>176</v>
      </c>
      <c r="U942" s="133" t="s">
        <v>24</v>
      </c>
      <c r="V942" s="133" t="s">
        <v>3964</v>
      </c>
      <c r="W942" s="140" t="s">
        <v>23</v>
      </c>
      <c r="X942" s="140" t="s">
        <v>3997</v>
      </c>
      <c r="Y942" s="140" t="s">
        <v>4007</v>
      </c>
      <c r="Z942" s="133"/>
      <c r="AA942" s="133"/>
      <c r="AB942" s="133" t="s">
        <v>1332</v>
      </c>
      <c r="AC942" s="134">
        <v>63.722029999999997</v>
      </c>
      <c r="AD942" s="134">
        <v>148.94855000000001</v>
      </c>
      <c r="AE942" s="133"/>
      <c r="AF942" s="133"/>
      <c r="AG942" s="133"/>
      <c r="AH942" s="139">
        <v>0</v>
      </c>
      <c r="AI942" s="139">
        <v>0</v>
      </c>
      <c r="AJ942" s="139">
        <v>0</v>
      </c>
      <c r="AK942" s="139">
        <v>0</v>
      </c>
      <c r="AL942" s="139">
        <v>0</v>
      </c>
      <c r="AM942" s="133">
        <v>0</v>
      </c>
      <c r="AN942" s="133">
        <f t="shared" ref="AN942:AN1005" si="16">SUM(AJ942:AM942)</f>
        <v>0</v>
      </c>
      <c r="AO942" s="133"/>
      <c r="AP942" s="133"/>
      <c r="AQ942" s="133"/>
      <c r="AR942" s="133"/>
      <c r="AS942" s="133"/>
      <c r="AT942" s="133"/>
      <c r="AU942" s="133"/>
      <c r="AV942" s="133"/>
    </row>
    <row r="943" spans="1:48" s="133" customFormat="1" x14ac:dyDescent="0.2">
      <c r="A943" s="133" t="s">
        <v>1346</v>
      </c>
      <c r="B943" s="133" t="s">
        <v>1347</v>
      </c>
      <c r="C943" s="133">
        <v>10</v>
      </c>
      <c r="D943" s="133">
        <v>2</v>
      </c>
      <c r="E943" s="133" t="s">
        <v>201</v>
      </c>
      <c r="F943" s="138">
        <v>43385</v>
      </c>
      <c r="G943" s="136" t="s">
        <v>4033</v>
      </c>
      <c r="H943" s="136" t="s">
        <v>4724</v>
      </c>
      <c r="I943" s="148">
        <v>3.2638888888888891E-2</v>
      </c>
      <c r="J943" s="174">
        <v>5.4398148148148144E-4</v>
      </c>
      <c r="K943" s="139">
        <v>47</v>
      </c>
      <c r="L943" s="133" t="s">
        <v>398</v>
      </c>
      <c r="M943" s="133" t="s">
        <v>1215</v>
      </c>
      <c r="N943" s="133" t="s">
        <v>111</v>
      </c>
      <c r="O943" s="133" t="s">
        <v>23</v>
      </c>
      <c r="P943" s="133">
        <v>0</v>
      </c>
      <c r="R943" s="133">
        <v>1</v>
      </c>
      <c r="S943" s="133" t="s">
        <v>176</v>
      </c>
      <c r="T943" s="133" t="s">
        <v>176</v>
      </c>
      <c r="U943" s="133" t="s">
        <v>24</v>
      </c>
      <c r="V943" s="133" t="s">
        <v>2090</v>
      </c>
      <c r="W943" s="140" t="s">
        <v>23</v>
      </c>
      <c r="X943" s="140" t="s">
        <v>3999</v>
      </c>
      <c r="Y943" s="140" t="s">
        <v>4007</v>
      </c>
      <c r="AB943" s="133" t="s">
        <v>1332</v>
      </c>
      <c r="AC943" s="134">
        <v>63.722029999999997</v>
      </c>
      <c r="AD943" s="134">
        <v>148.94855000000001</v>
      </c>
      <c r="AH943" s="139">
        <v>0</v>
      </c>
      <c r="AI943" s="139">
        <v>0</v>
      </c>
      <c r="AJ943" s="139">
        <v>0</v>
      </c>
      <c r="AK943" s="139">
        <v>0</v>
      </c>
      <c r="AL943" s="139">
        <v>0</v>
      </c>
      <c r="AM943" s="133">
        <v>0</v>
      </c>
      <c r="AN943" s="133">
        <f t="shared" si="16"/>
        <v>0</v>
      </c>
      <c r="AP943" s="133" t="s">
        <v>2092</v>
      </c>
      <c r="AS943" s="135"/>
      <c r="AT943" s="135"/>
      <c r="AU943" s="135"/>
      <c r="AV943" s="135"/>
    </row>
    <row r="944" spans="1:48" s="133" customFormat="1" x14ac:dyDescent="0.2">
      <c r="A944" s="133" t="s">
        <v>1346</v>
      </c>
      <c r="B944" s="133" t="s">
        <v>1347</v>
      </c>
      <c r="C944" s="133">
        <v>10</v>
      </c>
      <c r="D944" s="133">
        <v>3</v>
      </c>
      <c r="E944" s="133" t="s">
        <v>201</v>
      </c>
      <c r="F944" s="138">
        <v>43385</v>
      </c>
      <c r="G944" s="136" t="s">
        <v>4033</v>
      </c>
      <c r="H944" s="136" t="s">
        <v>4724</v>
      </c>
      <c r="I944" s="148">
        <v>3.2638888888888891E-2</v>
      </c>
      <c r="J944" s="174">
        <v>5.4398148148148144E-4</v>
      </c>
      <c r="K944" s="139">
        <v>47</v>
      </c>
      <c r="L944" s="133" t="s">
        <v>398</v>
      </c>
      <c r="M944" s="133" t="s">
        <v>1215</v>
      </c>
      <c r="N944" s="133" t="s">
        <v>111</v>
      </c>
      <c r="O944" s="133" t="s">
        <v>23</v>
      </c>
      <c r="P944" s="133">
        <v>0</v>
      </c>
      <c r="R944" s="133">
        <v>1</v>
      </c>
      <c r="S944" s="133" t="s">
        <v>176</v>
      </c>
      <c r="T944" s="133" t="s">
        <v>176</v>
      </c>
      <c r="U944" s="133" t="s">
        <v>24</v>
      </c>
      <c r="V944" s="133" t="s">
        <v>2061</v>
      </c>
      <c r="W944" s="140" t="s">
        <v>23</v>
      </c>
      <c r="X944" s="140" t="s">
        <v>3999</v>
      </c>
      <c r="Y944" s="140" t="s">
        <v>4006</v>
      </c>
      <c r="Z944" s="135"/>
      <c r="AA944" s="135"/>
      <c r="AB944" s="133" t="s">
        <v>1332</v>
      </c>
      <c r="AC944" s="134">
        <v>63.72204</v>
      </c>
      <c r="AD944" s="134">
        <v>148.94962000000001</v>
      </c>
      <c r="AE944" s="135"/>
      <c r="AF944" s="135"/>
      <c r="AG944" s="135"/>
      <c r="AH944" s="139">
        <v>0</v>
      </c>
      <c r="AI944" s="139">
        <v>0</v>
      </c>
      <c r="AJ944" s="139">
        <v>0</v>
      </c>
      <c r="AK944" s="139">
        <v>0</v>
      </c>
      <c r="AL944" s="139">
        <v>0</v>
      </c>
      <c r="AM944" s="133">
        <v>0</v>
      </c>
      <c r="AN944" s="133">
        <f t="shared" si="16"/>
        <v>0</v>
      </c>
    </row>
    <row r="945" spans="1:48" s="133" customFormat="1" x14ac:dyDescent="0.2">
      <c r="A945" s="133" t="s">
        <v>1555</v>
      </c>
      <c r="B945" s="133" t="s">
        <v>1558</v>
      </c>
      <c r="C945" s="133">
        <v>1</v>
      </c>
      <c r="D945" s="133">
        <v>1</v>
      </c>
      <c r="E945" s="133" t="s">
        <v>201</v>
      </c>
      <c r="F945" s="138">
        <v>43390</v>
      </c>
      <c r="G945" s="136" t="s">
        <v>4033</v>
      </c>
      <c r="H945" s="136" t="s">
        <v>4724</v>
      </c>
      <c r="I945" s="148">
        <v>3.0555555555555555E-2</v>
      </c>
      <c r="J945" s="174">
        <v>5.0925925925925921E-4</v>
      </c>
      <c r="K945" s="139">
        <v>44</v>
      </c>
      <c r="L945" s="133" t="s">
        <v>398</v>
      </c>
      <c r="M945" s="133" t="s">
        <v>1215</v>
      </c>
      <c r="N945" s="133" t="s">
        <v>102</v>
      </c>
      <c r="O945" s="133" t="s">
        <v>23</v>
      </c>
      <c r="P945" s="133">
        <v>2</v>
      </c>
      <c r="R945" s="133">
        <v>0</v>
      </c>
      <c r="S945" s="133" t="s">
        <v>176</v>
      </c>
      <c r="T945" s="133" t="s">
        <v>176</v>
      </c>
      <c r="U945" s="133" t="s">
        <v>948</v>
      </c>
      <c r="V945" s="133" t="s">
        <v>115</v>
      </c>
      <c r="W945" s="135" t="s">
        <v>115</v>
      </c>
      <c r="X945" s="135" t="s">
        <v>115</v>
      </c>
      <c r="Y945" s="135" t="s">
        <v>115</v>
      </c>
      <c r="Z945" s="135"/>
      <c r="AA945" s="135"/>
      <c r="AB945" s="133" t="s">
        <v>115</v>
      </c>
      <c r="AC945" s="134" t="s">
        <v>115</v>
      </c>
      <c r="AD945" s="134"/>
      <c r="AE945" s="135"/>
      <c r="AF945" s="135"/>
      <c r="AG945" s="135"/>
      <c r="AH945" s="139">
        <v>0</v>
      </c>
      <c r="AI945" s="139">
        <v>44</v>
      </c>
      <c r="AJ945" s="139">
        <v>0</v>
      </c>
      <c r="AK945" s="139">
        <v>44</v>
      </c>
      <c r="AL945" s="139">
        <v>0</v>
      </c>
      <c r="AM945" s="133">
        <v>0</v>
      </c>
      <c r="AN945" s="133">
        <f t="shared" si="16"/>
        <v>44</v>
      </c>
      <c r="AO945" s="133" t="s">
        <v>188</v>
      </c>
    </row>
    <row r="946" spans="1:48" s="133" customFormat="1" x14ac:dyDescent="0.2">
      <c r="A946" s="133" t="s">
        <v>1556</v>
      </c>
      <c r="B946" s="133" t="s">
        <v>1559</v>
      </c>
      <c r="C946" s="133">
        <v>2</v>
      </c>
      <c r="D946" s="133">
        <v>1</v>
      </c>
      <c r="E946" s="133" t="s">
        <v>201</v>
      </c>
      <c r="F946" s="138">
        <v>43390</v>
      </c>
      <c r="G946" s="136" t="s">
        <v>4033</v>
      </c>
      <c r="H946" s="136" t="s">
        <v>4724</v>
      </c>
      <c r="I946" s="148">
        <v>2.013888888888889E-2</v>
      </c>
      <c r="J946" s="174">
        <v>3.3564814814814812E-4</v>
      </c>
      <c r="K946" s="139">
        <v>29</v>
      </c>
      <c r="L946" s="133" t="s">
        <v>398</v>
      </c>
      <c r="M946" s="133" t="s">
        <v>1215</v>
      </c>
      <c r="N946" s="133" t="s">
        <v>102</v>
      </c>
      <c r="O946" s="133" t="s">
        <v>23</v>
      </c>
      <c r="P946" s="133">
        <v>1</v>
      </c>
      <c r="R946" s="133">
        <v>0</v>
      </c>
      <c r="S946" s="133" t="s">
        <v>176</v>
      </c>
      <c r="T946" s="133" t="s">
        <v>176</v>
      </c>
      <c r="U946" s="133" t="s">
        <v>948</v>
      </c>
      <c r="V946" s="133" t="s">
        <v>115</v>
      </c>
      <c r="W946" s="135" t="s">
        <v>115</v>
      </c>
      <c r="X946" s="135" t="s">
        <v>115</v>
      </c>
      <c r="Y946" s="135" t="s">
        <v>115</v>
      </c>
      <c r="Z946" s="135"/>
      <c r="AA946" s="135"/>
      <c r="AB946" s="133" t="s">
        <v>115</v>
      </c>
      <c r="AC946" s="134" t="s">
        <v>115</v>
      </c>
      <c r="AD946" s="134"/>
      <c r="AE946" s="135"/>
      <c r="AF946" s="135"/>
      <c r="AG946" s="135"/>
      <c r="AH946" s="139">
        <v>0</v>
      </c>
      <c r="AI946" s="139">
        <v>15</v>
      </c>
      <c r="AJ946" s="139">
        <v>0</v>
      </c>
      <c r="AK946" s="139">
        <v>15</v>
      </c>
      <c r="AL946" s="139">
        <v>0</v>
      </c>
      <c r="AM946" s="133">
        <v>0</v>
      </c>
      <c r="AN946" s="133">
        <f t="shared" si="16"/>
        <v>15</v>
      </c>
      <c r="AO946" s="133" t="s">
        <v>188</v>
      </c>
      <c r="AS946" s="135"/>
      <c r="AT946" s="135"/>
      <c r="AU946" s="135"/>
      <c r="AV946" s="135"/>
    </row>
    <row r="947" spans="1:48" s="133" customFormat="1" x14ac:dyDescent="0.2">
      <c r="A947" s="133" t="s">
        <v>1556</v>
      </c>
      <c r="B947" s="133" t="s">
        <v>1559</v>
      </c>
      <c r="C947" s="133">
        <v>2</v>
      </c>
      <c r="D947" s="133">
        <v>1</v>
      </c>
      <c r="E947" s="133" t="s">
        <v>201</v>
      </c>
      <c r="F947" s="138">
        <v>43390</v>
      </c>
      <c r="G947" s="136" t="s">
        <v>4033</v>
      </c>
      <c r="H947" s="136" t="s">
        <v>4724</v>
      </c>
      <c r="I947" s="148">
        <v>2.013888888888889E-2</v>
      </c>
      <c r="J947" s="174">
        <v>3.3564814814814812E-4</v>
      </c>
      <c r="K947" s="139">
        <v>29</v>
      </c>
      <c r="L947" s="133" t="s">
        <v>398</v>
      </c>
      <c r="M947" s="133" t="s">
        <v>1215</v>
      </c>
      <c r="N947" s="133" t="s">
        <v>2095</v>
      </c>
      <c r="O947" s="133" t="s">
        <v>23</v>
      </c>
      <c r="P947" s="133">
        <v>1</v>
      </c>
      <c r="R947" s="133">
        <v>0</v>
      </c>
      <c r="S947" s="133" t="s">
        <v>14</v>
      </c>
      <c r="T947" s="133" t="s">
        <v>2110</v>
      </c>
      <c r="U947" s="133" t="s">
        <v>948</v>
      </c>
      <c r="V947" s="133" t="s">
        <v>115</v>
      </c>
      <c r="W947" s="135" t="s">
        <v>115</v>
      </c>
      <c r="X947" s="135" t="s">
        <v>115</v>
      </c>
      <c r="Y947" s="135" t="s">
        <v>115</v>
      </c>
      <c r="AB947" s="133" t="s">
        <v>115</v>
      </c>
      <c r="AC947" s="134" t="s">
        <v>115</v>
      </c>
      <c r="AD947" s="134"/>
      <c r="AH947" s="139">
        <v>0</v>
      </c>
      <c r="AI947" s="139">
        <v>15</v>
      </c>
      <c r="AJ947" s="139">
        <v>0</v>
      </c>
      <c r="AK947" s="139">
        <v>15</v>
      </c>
      <c r="AL947" s="139">
        <v>0</v>
      </c>
      <c r="AM947" s="133">
        <v>0</v>
      </c>
      <c r="AN947" s="133">
        <f t="shared" si="16"/>
        <v>15</v>
      </c>
      <c r="AO947" s="133" t="s">
        <v>188</v>
      </c>
      <c r="AS947" s="135"/>
      <c r="AT947" s="135"/>
      <c r="AU947" s="135"/>
      <c r="AV947" s="135"/>
    </row>
    <row r="948" spans="1:48" s="133" customFormat="1" x14ac:dyDescent="0.2">
      <c r="A948" s="133" t="s">
        <v>1560</v>
      </c>
      <c r="B948" s="133" t="s">
        <v>1561</v>
      </c>
      <c r="C948" s="133">
        <v>3</v>
      </c>
      <c r="D948" s="133">
        <v>1</v>
      </c>
      <c r="E948" s="133" t="s">
        <v>201</v>
      </c>
      <c r="F948" s="138">
        <v>43390</v>
      </c>
      <c r="G948" s="136" t="s">
        <v>4033</v>
      </c>
      <c r="H948" s="136" t="s">
        <v>4724</v>
      </c>
      <c r="I948" s="148">
        <v>2.2916666666666669E-2</v>
      </c>
      <c r="J948" s="174">
        <v>3.8194444444444446E-4</v>
      </c>
      <c r="K948" s="139">
        <v>33</v>
      </c>
      <c r="L948" s="133" t="s">
        <v>398</v>
      </c>
      <c r="M948" s="133" t="s">
        <v>1215</v>
      </c>
      <c r="N948" s="133" t="s">
        <v>102</v>
      </c>
      <c r="O948" s="133" t="s">
        <v>23</v>
      </c>
      <c r="P948" s="133" t="s">
        <v>24</v>
      </c>
      <c r="R948" s="133">
        <v>0</v>
      </c>
      <c r="T948" s="133" t="s">
        <v>115</v>
      </c>
      <c r="U948" s="133" t="s">
        <v>115</v>
      </c>
      <c r="V948" s="133" t="s">
        <v>115</v>
      </c>
      <c r="W948" s="135" t="s">
        <v>115</v>
      </c>
      <c r="X948" s="135" t="s">
        <v>115</v>
      </c>
      <c r="Y948" s="135" t="s">
        <v>115</v>
      </c>
      <c r="AB948" s="133" t="s">
        <v>115</v>
      </c>
      <c r="AC948" s="134" t="s">
        <v>115</v>
      </c>
      <c r="AD948" s="134"/>
      <c r="AH948" s="139">
        <v>28</v>
      </c>
      <c r="AI948" s="139">
        <v>0</v>
      </c>
      <c r="AJ948" s="139">
        <v>10</v>
      </c>
      <c r="AK948" s="139">
        <v>18</v>
      </c>
      <c r="AL948" s="139">
        <v>0</v>
      </c>
      <c r="AM948" s="133">
        <v>0</v>
      </c>
      <c r="AN948" s="133">
        <f t="shared" si="16"/>
        <v>28</v>
      </c>
      <c r="AO948" s="133" t="s">
        <v>375</v>
      </c>
      <c r="AQ948" s="133">
        <v>2</v>
      </c>
      <c r="AR948" s="133">
        <v>0</v>
      </c>
    </row>
    <row r="949" spans="1:48" s="133" customFormat="1" x14ac:dyDescent="0.2">
      <c r="A949" s="133" t="s">
        <v>1572</v>
      </c>
      <c r="B949" s="133" t="s">
        <v>1568</v>
      </c>
      <c r="C949" s="133">
        <v>8</v>
      </c>
      <c r="D949" s="133">
        <v>1</v>
      </c>
      <c r="E949" s="133" t="s">
        <v>201</v>
      </c>
      <c r="F949" s="138">
        <v>43390</v>
      </c>
      <c r="G949" s="136" t="s">
        <v>4033</v>
      </c>
      <c r="H949" s="136" t="s">
        <v>4724</v>
      </c>
      <c r="I949" s="148">
        <v>1.5277777777777777E-2</v>
      </c>
      <c r="J949" s="174">
        <v>2.5462962962962961E-4</v>
      </c>
      <c r="K949" s="139">
        <v>22</v>
      </c>
      <c r="L949" s="133" t="s">
        <v>398</v>
      </c>
      <c r="M949" s="133" t="s">
        <v>1215</v>
      </c>
      <c r="N949" s="133" t="s">
        <v>111</v>
      </c>
      <c r="O949" s="133" t="s">
        <v>23</v>
      </c>
      <c r="P949" s="133">
        <v>0</v>
      </c>
      <c r="R949" s="133">
        <v>1</v>
      </c>
      <c r="S949" s="133" t="s">
        <v>176</v>
      </c>
      <c r="T949" s="133" t="s">
        <v>176</v>
      </c>
      <c r="U949" s="133" t="s">
        <v>24</v>
      </c>
      <c r="V949" s="133" t="s">
        <v>709</v>
      </c>
      <c r="W949" s="140" t="s">
        <v>23</v>
      </c>
      <c r="X949" s="140" t="s">
        <v>4004</v>
      </c>
      <c r="Y949" s="140" t="s">
        <v>4005</v>
      </c>
      <c r="AB949" s="133" t="s">
        <v>24</v>
      </c>
      <c r="AC949" s="134">
        <v>63.722830000000002</v>
      </c>
      <c r="AD949" s="134">
        <v>148.95454000000001</v>
      </c>
      <c r="AH949" s="139">
        <v>0</v>
      </c>
      <c r="AI949" s="139">
        <v>0</v>
      </c>
      <c r="AJ949" s="139">
        <v>0</v>
      </c>
      <c r="AK949" s="139">
        <v>0</v>
      </c>
      <c r="AL949" s="139">
        <v>0</v>
      </c>
      <c r="AM949" s="133">
        <v>0</v>
      </c>
      <c r="AN949" s="133">
        <f t="shared" si="16"/>
        <v>0</v>
      </c>
      <c r="AS949" s="135"/>
      <c r="AT949" s="135"/>
      <c r="AU949" s="135"/>
      <c r="AV949" s="135"/>
    </row>
    <row r="950" spans="1:48" s="133" customFormat="1" x14ac:dyDescent="0.2">
      <c r="A950" s="133" t="s">
        <v>1574</v>
      </c>
      <c r="B950" s="133" t="s">
        <v>1571</v>
      </c>
      <c r="C950" s="133">
        <v>9</v>
      </c>
      <c r="D950" s="133">
        <v>1</v>
      </c>
      <c r="E950" s="133" t="s">
        <v>201</v>
      </c>
      <c r="F950" s="138">
        <v>43390</v>
      </c>
      <c r="G950" s="136" t="s">
        <v>4033</v>
      </c>
      <c r="H950" s="136" t="s">
        <v>4724</v>
      </c>
      <c r="I950" s="148">
        <v>2.2222222222222223E-2</v>
      </c>
      <c r="J950" s="174">
        <v>3.7037037037037035E-4</v>
      </c>
      <c r="K950" s="139">
        <v>32</v>
      </c>
      <c r="L950" s="133" t="s">
        <v>398</v>
      </c>
      <c r="M950" s="133" t="s">
        <v>1215</v>
      </c>
      <c r="N950" s="133" t="s">
        <v>102</v>
      </c>
      <c r="O950" s="133" t="s">
        <v>23</v>
      </c>
      <c r="P950" s="133" t="s">
        <v>24</v>
      </c>
      <c r="R950" s="133">
        <v>0</v>
      </c>
      <c r="T950" s="133" t="s">
        <v>115</v>
      </c>
      <c r="U950" s="133" t="s">
        <v>115</v>
      </c>
      <c r="V950" s="133" t="s">
        <v>115</v>
      </c>
      <c r="W950" s="135" t="s">
        <v>115</v>
      </c>
      <c r="X950" s="135" t="s">
        <v>115</v>
      </c>
      <c r="Y950" s="135" t="s">
        <v>115</v>
      </c>
      <c r="AB950" s="133" t="s">
        <v>115</v>
      </c>
      <c r="AC950" s="134" t="s">
        <v>115</v>
      </c>
      <c r="AD950" s="134"/>
      <c r="AH950" s="139">
        <v>25</v>
      </c>
      <c r="AI950" s="139">
        <v>0</v>
      </c>
      <c r="AJ950" s="139">
        <v>10</v>
      </c>
      <c r="AK950" s="139">
        <v>15</v>
      </c>
      <c r="AL950" s="139">
        <v>0</v>
      </c>
      <c r="AM950" s="133">
        <v>0</v>
      </c>
      <c r="AN950" s="133">
        <f t="shared" si="16"/>
        <v>25</v>
      </c>
    </row>
    <row r="951" spans="1:48" s="133" customFormat="1" x14ac:dyDescent="0.2">
      <c r="A951" s="133" t="s">
        <v>1578</v>
      </c>
      <c r="B951" s="133" t="s">
        <v>1573</v>
      </c>
      <c r="C951" s="133">
        <v>10</v>
      </c>
      <c r="D951" s="133">
        <v>1</v>
      </c>
      <c r="E951" s="133" t="s">
        <v>201</v>
      </c>
      <c r="F951" s="138">
        <v>43390</v>
      </c>
      <c r="G951" s="136" t="s">
        <v>4033</v>
      </c>
      <c r="H951" s="136" t="s">
        <v>4724</v>
      </c>
      <c r="I951" s="148">
        <v>8.3333333333333332E-3</v>
      </c>
      <c r="J951" s="174">
        <v>1.3888888888888889E-4</v>
      </c>
      <c r="K951" s="139">
        <v>12</v>
      </c>
      <c r="L951" s="133" t="s">
        <v>398</v>
      </c>
      <c r="M951" s="133" t="s">
        <v>1215</v>
      </c>
      <c r="N951" s="133" t="s">
        <v>102</v>
      </c>
      <c r="O951" s="133" t="s">
        <v>23</v>
      </c>
      <c r="P951" s="133">
        <v>1</v>
      </c>
      <c r="R951" s="133">
        <v>0</v>
      </c>
      <c r="S951" s="133" t="s">
        <v>176</v>
      </c>
      <c r="T951" s="133" t="s">
        <v>176</v>
      </c>
      <c r="U951" s="133" t="s">
        <v>487</v>
      </c>
      <c r="V951" s="133" t="s">
        <v>115</v>
      </c>
      <c r="W951" s="135" t="s">
        <v>115</v>
      </c>
      <c r="X951" s="135" t="s">
        <v>115</v>
      </c>
      <c r="Y951" s="135" t="s">
        <v>115</v>
      </c>
      <c r="AB951" s="133" t="s">
        <v>115</v>
      </c>
      <c r="AC951" s="134" t="s">
        <v>115</v>
      </c>
      <c r="AD951" s="134"/>
      <c r="AH951" s="139">
        <v>12</v>
      </c>
      <c r="AI951" s="139">
        <v>0</v>
      </c>
      <c r="AJ951" s="139">
        <v>5</v>
      </c>
      <c r="AK951" s="139">
        <v>7</v>
      </c>
      <c r="AL951" s="139">
        <v>0</v>
      </c>
      <c r="AM951" s="133">
        <v>0</v>
      </c>
      <c r="AN951" s="133">
        <f t="shared" si="16"/>
        <v>12</v>
      </c>
    </row>
    <row r="952" spans="1:48" s="133" customFormat="1" x14ac:dyDescent="0.2">
      <c r="A952" s="135" t="s">
        <v>1579</v>
      </c>
      <c r="B952" s="135" t="s">
        <v>1575</v>
      </c>
      <c r="C952" s="135">
        <v>11</v>
      </c>
      <c r="D952" s="135">
        <v>1</v>
      </c>
      <c r="E952" s="135" t="s">
        <v>201</v>
      </c>
      <c r="F952" s="136">
        <v>43390</v>
      </c>
      <c r="G952" s="136" t="s">
        <v>4033</v>
      </c>
      <c r="H952" s="136" t="s">
        <v>4724</v>
      </c>
      <c r="I952" s="172">
        <v>3.5416666666666666E-2</v>
      </c>
      <c r="J952" s="175">
        <v>5.9027777777777778E-4</v>
      </c>
      <c r="K952" s="143">
        <v>51</v>
      </c>
      <c r="L952" s="135" t="s">
        <v>398</v>
      </c>
      <c r="M952" s="135" t="s">
        <v>1215</v>
      </c>
      <c r="N952" s="135" t="s">
        <v>102</v>
      </c>
      <c r="O952" s="135" t="s">
        <v>23</v>
      </c>
      <c r="P952" s="135">
        <v>1</v>
      </c>
      <c r="Q952" s="135"/>
      <c r="R952" s="135">
        <v>0</v>
      </c>
      <c r="S952" s="133" t="s">
        <v>14</v>
      </c>
      <c r="T952" s="135" t="s">
        <v>2128</v>
      </c>
      <c r="U952" s="135" t="s">
        <v>122</v>
      </c>
      <c r="V952" s="135" t="s">
        <v>115</v>
      </c>
      <c r="W952" s="135" t="s">
        <v>115</v>
      </c>
      <c r="X952" s="135" t="s">
        <v>115</v>
      </c>
      <c r="Y952" s="135" t="s">
        <v>115</v>
      </c>
      <c r="Z952" s="135"/>
      <c r="AA952" s="135"/>
      <c r="AB952" s="135" t="s">
        <v>115</v>
      </c>
      <c r="AC952" s="137" t="s">
        <v>115</v>
      </c>
      <c r="AD952" s="137"/>
      <c r="AE952" s="135"/>
      <c r="AF952" s="135"/>
      <c r="AG952" s="135"/>
      <c r="AH952" s="143">
        <v>13</v>
      </c>
      <c r="AI952" s="143">
        <v>0</v>
      </c>
      <c r="AJ952" s="143">
        <v>0</v>
      </c>
      <c r="AK952" s="143">
        <v>13</v>
      </c>
      <c r="AL952" s="143">
        <v>10</v>
      </c>
      <c r="AM952" s="135">
        <v>0</v>
      </c>
      <c r="AN952" s="135">
        <f t="shared" si="16"/>
        <v>23</v>
      </c>
      <c r="AO952" s="135"/>
      <c r="AP952" s="135"/>
      <c r="AQ952" s="135"/>
      <c r="AR952" s="135"/>
      <c r="AS952" s="135"/>
      <c r="AT952" s="135"/>
      <c r="AU952" s="135"/>
      <c r="AV952" s="135"/>
    </row>
    <row r="953" spans="1:48" s="133" customFormat="1" x14ac:dyDescent="0.2">
      <c r="A953" s="133" t="s">
        <v>1093</v>
      </c>
      <c r="B953" s="133" t="s">
        <v>1094</v>
      </c>
      <c r="C953" s="133">
        <v>1</v>
      </c>
      <c r="D953" s="133">
        <v>1</v>
      </c>
      <c r="E953" s="133" t="s">
        <v>791</v>
      </c>
      <c r="F953" s="138">
        <v>43377</v>
      </c>
      <c r="G953" s="136" t="s">
        <v>4033</v>
      </c>
      <c r="H953" s="136" t="s">
        <v>4724</v>
      </c>
      <c r="I953" s="148">
        <v>1.2499999999999999E-2</v>
      </c>
      <c r="J953" s="174">
        <v>2.0833333333333335E-4</v>
      </c>
      <c r="K953" s="139">
        <v>18</v>
      </c>
      <c r="L953" s="133" t="s">
        <v>398</v>
      </c>
      <c r="M953" s="133" t="s">
        <v>1095</v>
      </c>
      <c r="N953" s="133" t="s">
        <v>107</v>
      </c>
      <c r="O953" s="133" t="s">
        <v>23</v>
      </c>
      <c r="P953" s="133">
        <v>1</v>
      </c>
      <c r="R953" s="133">
        <v>0</v>
      </c>
      <c r="S953" s="133" t="s">
        <v>176</v>
      </c>
      <c r="T953" s="133" t="s">
        <v>176</v>
      </c>
      <c r="U953" s="133" t="s">
        <v>24</v>
      </c>
      <c r="V953" s="133" t="s">
        <v>115</v>
      </c>
      <c r="W953" s="135" t="s">
        <v>115</v>
      </c>
      <c r="X953" s="135" t="s">
        <v>115</v>
      </c>
      <c r="Y953" s="135" t="s">
        <v>115</v>
      </c>
      <c r="AB953" s="133" t="s">
        <v>115</v>
      </c>
      <c r="AC953" s="134" t="s">
        <v>115</v>
      </c>
      <c r="AD953" s="134"/>
      <c r="AH953" s="133">
        <v>0</v>
      </c>
      <c r="AI953" s="139">
        <v>0</v>
      </c>
      <c r="AJ953" s="139">
        <v>0</v>
      </c>
      <c r="AK953" s="139">
        <v>0</v>
      </c>
      <c r="AL953" s="139">
        <v>0</v>
      </c>
      <c r="AM953" s="133">
        <v>0</v>
      </c>
      <c r="AN953" s="139">
        <f t="shared" si="16"/>
        <v>0</v>
      </c>
      <c r="AP953" s="133" t="s">
        <v>1092</v>
      </c>
    </row>
    <row r="954" spans="1:48" s="135" customFormat="1" x14ac:dyDescent="0.2">
      <c r="A954" s="135" t="s">
        <v>1158</v>
      </c>
      <c r="B954" s="135" t="s">
        <v>1159</v>
      </c>
      <c r="C954" s="135">
        <v>5</v>
      </c>
      <c r="D954" s="135">
        <v>1</v>
      </c>
      <c r="E954" s="135" t="s">
        <v>791</v>
      </c>
      <c r="F954" s="136">
        <v>43380</v>
      </c>
      <c r="G954" s="136" t="s">
        <v>4033</v>
      </c>
      <c r="H954" s="136" t="s">
        <v>4724</v>
      </c>
      <c r="I954" s="172">
        <v>5.7638888888888885E-2</v>
      </c>
      <c r="J954" s="175">
        <v>9.6064814814814808E-4</v>
      </c>
      <c r="K954" s="143">
        <v>83</v>
      </c>
      <c r="L954" s="135" t="s">
        <v>398</v>
      </c>
      <c r="M954" s="135" t="s">
        <v>1095</v>
      </c>
      <c r="N954" s="135" t="s">
        <v>102</v>
      </c>
      <c r="O954" s="135" t="s">
        <v>23</v>
      </c>
      <c r="P954" s="135">
        <v>0</v>
      </c>
      <c r="R954" s="135">
        <v>0</v>
      </c>
      <c r="T954" s="135" t="s">
        <v>115</v>
      </c>
      <c r="U954" s="135" t="s">
        <v>115</v>
      </c>
      <c r="V954" s="135" t="s">
        <v>115</v>
      </c>
      <c r="W954" s="135" t="s">
        <v>115</v>
      </c>
      <c r="X954" s="135" t="s">
        <v>115</v>
      </c>
      <c r="Y954" s="135" t="s">
        <v>115</v>
      </c>
      <c r="Z954" s="133"/>
      <c r="AA954" s="133"/>
      <c r="AB954" s="135" t="s">
        <v>115</v>
      </c>
      <c r="AC954" s="137" t="s">
        <v>115</v>
      </c>
      <c r="AD954" s="137" t="s">
        <v>115</v>
      </c>
      <c r="AE954" s="133"/>
      <c r="AF954" s="133"/>
      <c r="AG954" s="133"/>
      <c r="AH954" s="143">
        <v>18</v>
      </c>
      <c r="AI954" s="143">
        <v>0</v>
      </c>
      <c r="AJ954" s="143">
        <v>0</v>
      </c>
      <c r="AK954" s="143">
        <v>18</v>
      </c>
      <c r="AL954" s="143">
        <v>0</v>
      </c>
      <c r="AM954" s="135">
        <v>0</v>
      </c>
      <c r="AN954" s="135">
        <f t="shared" si="16"/>
        <v>18</v>
      </c>
      <c r="AP954" s="135" t="s">
        <v>1160</v>
      </c>
    </row>
    <row r="955" spans="1:48" s="133" customFormat="1" x14ac:dyDescent="0.2">
      <c r="A955" s="135" t="s">
        <v>1348</v>
      </c>
      <c r="B955" s="135" t="s">
        <v>1349</v>
      </c>
      <c r="C955" s="135">
        <v>1</v>
      </c>
      <c r="D955" s="135">
        <v>1</v>
      </c>
      <c r="E955" s="135" t="s">
        <v>791</v>
      </c>
      <c r="F955" s="136">
        <v>43385</v>
      </c>
      <c r="G955" s="136" t="s">
        <v>4033</v>
      </c>
      <c r="H955" s="136" t="s">
        <v>4724</v>
      </c>
      <c r="I955" s="172">
        <v>2.013888888888889E-2</v>
      </c>
      <c r="J955" s="175">
        <v>3.3564814814814812E-4</v>
      </c>
      <c r="K955" s="143">
        <v>29</v>
      </c>
      <c r="L955" s="135" t="s">
        <v>398</v>
      </c>
      <c r="M955" s="135" t="s">
        <v>1095</v>
      </c>
      <c r="N955" s="135" t="s">
        <v>187</v>
      </c>
      <c r="O955" s="135" t="s">
        <v>23</v>
      </c>
      <c r="P955" s="135">
        <v>1</v>
      </c>
      <c r="Q955" s="135"/>
      <c r="R955" s="135">
        <v>1</v>
      </c>
      <c r="S955" s="133" t="s">
        <v>14</v>
      </c>
      <c r="T955" s="135" t="s">
        <v>2128</v>
      </c>
      <c r="U955" s="135" t="s">
        <v>122</v>
      </c>
      <c r="V955" s="135" t="s">
        <v>3963</v>
      </c>
      <c r="W955" s="135" t="s">
        <v>23</v>
      </c>
      <c r="X955" s="135" t="s">
        <v>3997</v>
      </c>
      <c r="Y955" s="135" t="s">
        <v>4002</v>
      </c>
      <c r="AB955" s="135">
        <v>1</v>
      </c>
      <c r="AC955" s="137">
        <v>63.723140000000001</v>
      </c>
      <c r="AD955" s="137">
        <v>148.96843999999999</v>
      </c>
      <c r="AH955" s="143">
        <v>0</v>
      </c>
      <c r="AI955" s="143">
        <v>0</v>
      </c>
      <c r="AJ955" s="143">
        <v>0</v>
      </c>
      <c r="AK955" s="143">
        <v>0</v>
      </c>
      <c r="AL955" s="143">
        <v>12</v>
      </c>
      <c r="AM955" s="135">
        <v>0</v>
      </c>
      <c r="AN955" s="135">
        <f t="shared" si="16"/>
        <v>12</v>
      </c>
      <c r="AO955" s="135"/>
      <c r="AP955" s="135"/>
      <c r="AQ955" s="135"/>
      <c r="AR955" s="135"/>
    </row>
    <row r="956" spans="1:48" s="135" customFormat="1" x14ac:dyDescent="0.2">
      <c r="A956" s="133" t="s">
        <v>1348</v>
      </c>
      <c r="B956" s="133" t="s">
        <v>1349</v>
      </c>
      <c r="C956" s="133">
        <v>1</v>
      </c>
      <c r="D956" s="133">
        <v>1</v>
      </c>
      <c r="E956" s="133" t="s">
        <v>791</v>
      </c>
      <c r="F956" s="138">
        <v>43385</v>
      </c>
      <c r="G956" s="136" t="s">
        <v>4033</v>
      </c>
      <c r="H956" s="136" t="s">
        <v>4724</v>
      </c>
      <c r="I956" s="148">
        <v>2.013888888888889E-2</v>
      </c>
      <c r="J956" s="174">
        <v>3.3564814814814812E-4</v>
      </c>
      <c r="K956" s="139">
        <v>29</v>
      </c>
      <c r="L956" s="133" t="s">
        <v>398</v>
      </c>
      <c r="M956" s="133" t="s">
        <v>1095</v>
      </c>
      <c r="N956" s="133" t="s">
        <v>187</v>
      </c>
      <c r="O956" s="133" t="s">
        <v>23</v>
      </c>
      <c r="P956" s="133">
        <v>1</v>
      </c>
      <c r="Q956" s="133"/>
      <c r="R956" s="133">
        <v>1</v>
      </c>
      <c r="S956" s="133" t="s">
        <v>14</v>
      </c>
      <c r="T956" s="133" t="s">
        <v>2128</v>
      </c>
      <c r="U956" s="133" t="s">
        <v>122</v>
      </c>
      <c r="V956" s="133" t="s">
        <v>3963</v>
      </c>
      <c r="W956" s="135" t="s">
        <v>23</v>
      </c>
      <c r="X956" s="135" t="s">
        <v>3997</v>
      </c>
      <c r="Y956" s="135" t="s">
        <v>4002</v>
      </c>
      <c r="AB956" s="133">
        <v>1</v>
      </c>
      <c r="AC956" s="134">
        <v>63.723140000000001</v>
      </c>
      <c r="AD956" s="134">
        <v>148.96843999999999</v>
      </c>
      <c r="AH956" s="139">
        <v>0</v>
      </c>
      <c r="AI956" s="139">
        <v>0</v>
      </c>
      <c r="AJ956" s="139">
        <v>0</v>
      </c>
      <c r="AK956" s="139">
        <v>0</v>
      </c>
      <c r="AL956" s="139">
        <v>3</v>
      </c>
      <c r="AM956" s="133">
        <v>0</v>
      </c>
      <c r="AN956" s="133">
        <f t="shared" si="16"/>
        <v>3</v>
      </c>
      <c r="AO956" s="133"/>
      <c r="AP956" s="133"/>
      <c r="AQ956" s="133"/>
      <c r="AR956" s="133"/>
    </row>
    <row r="957" spans="1:48" s="133" customFormat="1" x14ac:dyDescent="0.2">
      <c r="A957" s="135" t="s">
        <v>1098</v>
      </c>
      <c r="B957" s="135" t="s">
        <v>1099</v>
      </c>
      <c r="C957" s="135">
        <v>2</v>
      </c>
      <c r="D957" s="135">
        <v>1</v>
      </c>
      <c r="E957" s="135" t="s">
        <v>2487</v>
      </c>
      <c r="F957" s="136">
        <v>43378</v>
      </c>
      <c r="G957" s="136" t="s">
        <v>4033</v>
      </c>
      <c r="H957" s="136" t="s">
        <v>4724</v>
      </c>
      <c r="I957" s="172">
        <v>3.7499999999999999E-2</v>
      </c>
      <c r="J957" s="175">
        <v>6.2500000000000001E-4</v>
      </c>
      <c r="K957" s="143">
        <v>54</v>
      </c>
      <c r="L957" s="135" t="s">
        <v>398</v>
      </c>
      <c r="M957" s="135" t="s">
        <v>2498</v>
      </c>
      <c r="N957" s="135" t="s">
        <v>102</v>
      </c>
      <c r="O957" s="135" t="s">
        <v>115</v>
      </c>
      <c r="P957" s="135" t="s">
        <v>24</v>
      </c>
      <c r="Q957" s="135"/>
      <c r="R957" s="135">
        <v>0</v>
      </c>
      <c r="S957" s="133" t="s">
        <v>176</v>
      </c>
      <c r="T957" s="135" t="s">
        <v>176</v>
      </c>
      <c r="U957" s="135" t="s">
        <v>122</v>
      </c>
      <c r="V957" s="135" t="s">
        <v>115</v>
      </c>
      <c r="W957" s="135" t="s">
        <v>115</v>
      </c>
      <c r="X957" s="135" t="s">
        <v>115</v>
      </c>
      <c r="Y957" s="135" t="s">
        <v>115</v>
      </c>
      <c r="AB957" s="135" t="s">
        <v>115</v>
      </c>
      <c r="AC957" s="137" t="s">
        <v>115</v>
      </c>
      <c r="AD957" s="137"/>
      <c r="AH957" s="143">
        <v>0</v>
      </c>
      <c r="AI957" s="143">
        <v>0</v>
      </c>
      <c r="AJ957" s="143">
        <v>0</v>
      </c>
      <c r="AK957" s="143">
        <v>0</v>
      </c>
      <c r="AL957" s="143">
        <v>44</v>
      </c>
      <c r="AM957" s="135">
        <v>0</v>
      </c>
      <c r="AN957" s="135">
        <f t="shared" si="16"/>
        <v>44</v>
      </c>
      <c r="AO957" s="135"/>
      <c r="AP957" s="135"/>
      <c r="AQ957" s="135"/>
      <c r="AR957" s="135"/>
    </row>
    <row r="958" spans="1:48" s="133" customFormat="1" x14ac:dyDescent="0.2">
      <c r="A958" s="135" t="s">
        <v>1100</v>
      </c>
      <c r="B958" s="135" t="s">
        <v>1101</v>
      </c>
      <c r="C958" s="135">
        <v>3</v>
      </c>
      <c r="D958" s="135">
        <v>1</v>
      </c>
      <c r="E958" s="135" t="s">
        <v>2487</v>
      </c>
      <c r="F958" s="136">
        <v>43378</v>
      </c>
      <c r="G958" s="136" t="s">
        <v>4033</v>
      </c>
      <c r="H958" s="136" t="s">
        <v>4724</v>
      </c>
      <c r="I958" s="172">
        <v>1.5972222222222224E-2</v>
      </c>
      <c r="J958" s="175">
        <v>2.6620370370370372E-4</v>
      </c>
      <c r="K958" s="143">
        <v>23</v>
      </c>
      <c r="L958" s="135" t="s">
        <v>398</v>
      </c>
      <c r="M958" s="135" t="s">
        <v>2498</v>
      </c>
      <c r="N958" s="135" t="s">
        <v>102</v>
      </c>
      <c r="O958" s="135" t="s">
        <v>115</v>
      </c>
      <c r="P958" s="135">
        <v>1</v>
      </c>
      <c r="Q958" s="135"/>
      <c r="R958" s="135">
        <v>0</v>
      </c>
      <c r="S958" s="133" t="s">
        <v>14</v>
      </c>
      <c r="T958" s="135" t="s">
        <v>2128</v>
      </c>
      <c r="U958" s="135" t="s">
        <v>122</v>
      </c>
      <c r="V958" s="135" t="s">
        <v>115</v>
      </c>
      <c r="W958" s="135" t="s">
        <v>115</v>
      </c>
      <c r="X958" s="135" t="s">
        <v>115</v>
      </c>
      <c r="Y958" s="135" t="s">
        <v>115</v>
      </c>
      <c r="AB958" s="135" t="s">
        <v>115</v>
      </c>
      <c r="AC958" s="137" t="s">
        <v>115</v>
      </c>
      <c r="AD958" s="137"/>
      <c r="AH958" s="143">
        <v>0</v>
      </c>
      <c r="AI958" s="143">
        <v>0</v>
      </c>
      <c r="AJ958" s="143">
        <v>0</v>
      </c>
      <c r="AK958" s="143">
        <v>0</v>
      </c>
      <c r="AL958" s="143">
        <v>17</v>
      </c>
      <c r="AM958" s="135">
        <v>0</v>
      </c>
      <c r="AN958" s="135">
        <f t="shared" si="16"/>
        <v>17</v>
      </c>
      <c r="AO958" s="135"/>
      <c r="AP958" s="135"/>
      <c r="AQ958" s="135"/>
      <c r="AR958" s="135"/>
      <c r="AS958" s="135"/>
      <c r="AT958" s="135"/>
      <c r="AU958" s="135"/>
      <c r="AV958" s="135"/>
    </row>
    <row r="959" spans="1:48" s="133" customFormat="1" x14ac:dyDescent="0.2">
      <c r="A959" s="133" t="s">
        <v>1102</v>
      </c>
      <c r="B959" s="133" t="s">
        <v>1103</v>
      </c>
      <c r="C959" s="133">
        <v>4</v>
      </c>
      <c r="D959" s="133">
        <v>1</v>
      </c>
      <c r="E959" s="133" t="s">
        <v>2487</v>
      </c>
      <c r="F959" s="138">
        <v>43378</v>
      </c>
      <c r="G959" s="136" t="s">
        <v>4033</v>
      </c>
      <c r="H959" s="136" t="s">
        <v>4724</v>
      </c>
      <c r="I959" s="148">
        <v>9.7222222222222224E-3</v>
      </c>
      <c r="J959" s="174">
        <v>1.6203703703703703E-4</v>
      </c>
      <c r="K959" s="139">
        <v>14</v>
      </c>
      <c r="L959" s="133" t="s">
        <v>398</v>
      </c>
      <c r="M959" s="133" t="s">
        <v>2498</v>
      </c>
      <c r="N959" s="133" t="s">
        <v>102</v>
      </c>
      <c r="O959" s="133" t="s">
        <v>23</v>
      </c>
      <c r="P959" s="133" t="s">
        <v>24</v>
      </c>
      <c r="R959" s="133">
        <v>1</v>
      </c>
      <c r="S959" s="133" t="s">
        <v>176</v>
      </c>
      <c r="T959" s="133" t="s">
        <v>176</v>
      </c>
      <c r="U959" s="133" t="s">
        <v>122</v>
      </c>
      <c r="V959" s="133" t="s">
        <v>3963</v>
      </c>
      <c r="W959" s="135" t="s">
        <v>23</v>
      </c>
      <c r="X959" s="135" t="s">
        <v>3997</v>
      </c>
      <c r="Y959" s="135" t="s">
        <v>4007</v>
      </c>
      <c r="AB959" s="133">
        <v>10</v>
      </c>
      <c r="AC959" s="134">
        <v>63.721789999999999</v>
      </c>
      <c r="AD959" s="134">
        <v>148.98455999999999</v>
      </c>
      <c r="AH959" s="139">
        <v>0</v>
      </c>
      <c r="AI959" s="139">
        <v>0</v>
      </c>
      <c r="AJ959" s="139">
        <v>0</v>
      </c>
      <c r="AK959" s="139">
        <v>0</v>
      </c>
      <c r="AL959" s="139">
        <v>0</v>
      </c>
      <c r="AM959" s="133">
        <v>0</v>
      </c>
      <c r="AN959" s="133">
        <f t="shared" si="16"/>
        <v>0</v>
      </c>
    </row>
    <row r="960" spans="1:48" s="133" customFormat="1" x14ac:dyDescent="0.2">
      <c r="A960" s="133" t="s">
        <v>1105</v>
      </c>
      <c r="B960" s="133" t="s">
        <v>1106</v>
      </c>
      <c r="C960" s="133">
        <v>5</v>
      </c>
      <c r="D960" s="133">
        <v>1</v>
      </c>
      <c r="E960" s="133" t="s">
        <v>2487</v>
      </c>
      <c r="F960" s="138">
        <v>43378</v>
      </c>
      <c r="G960" s="136" t="s">
        <v>4033</v>
      </c>
      <c r="H960" s="136" t="s">
        <v>4724</v>
      </c>
      <c r="I960" s="148">
        <v>1.0416666666666666E-2</v>
      </c>
      <c r="J960" s="174">
        <v>1.7361111111111112E-4</v>
      </c>
      <c r="K960" s="139">
        <v>15</v>
      </c>
      <c r="L960" s="133" t="s">
        <v>398</v>
      </c>
      <c r="M960" s="133" t="s">
        <v>2498</v>
      </c>
      <c r="N960" s="133" t="s">
        <v>111</v>
      </c>
      <c r="O960" s="133" t="s">
        <v>23</v>
      </c>
      <c r="P960" s="133" t="s">
        <v>24</v>
      </c>
      <c r="R960" s="133">
        <v>1</v>
      </c>
      <c r="S960" s="133" t="s">
        <v>176</v>
      </c>
      <c r="T960" s="133" t="s">
        <v>176</v>
      </c>
      <c r="U960" s="133" t="s">
        <v>122</v>
      </c>
      <c r="V960" s="133" t="s">
        <v>3963</v>
      </c>
      <c r="W960" s="135" t="s">
        <v>23</v>
      </c>
      <c r="X960" s="135" t="s">
        <v>3997</v>
      </c>
      <c r="Y960" s="135" t="s">
        <v>4007</v>
      </c>
      <c r="AB960" s="133" t="s">
        <v>24</v>
      </c>
      <c r="AC960" s="134">
        <v>63.720469999999999</v>
      </c>
      <c r="AD960" s="134">
        <v>148.98471000000001</v>
      </c>
      <c r="AH960" s="139">
        <v>0</v>
      </c>
      <c r="AI960" s="139">
        <v>0</v>
      </c>
      <c r="AJ960" s="139">
        <v>0</v>
      </c>
      <c r="AK960" s="139">
        <v>0</v>
      </c>
      <c r="AL960" s="139">
        <v>0</v>
      </c>
      <c r="AM960" s="133">
        <v>0</v>
      </c>
      <c r="AN960" s="133">
        <f t="shared" si="16"/>
        <v>0</v>
      </c>
      <c r="AP960" s="133" t="s">
        <v>4977</v>
      </c>
    </row>
    <row r="961" spans="1:48" s="133" customFormat="1" x14ac:dyDescent="0.2">
      <c r="A961" s="135" t="s">
        <v>1176</v>
      </c>
      <c r="B961" s="135" t="s">
        <v>1177</v>
      </c>
      <c r="C961" s="135">
        <v>5</v>
      </c>
      <c r="D961" s="135">
        <v>1</v>
      </c>
      <c r="E961" s="135" t="s">
        <v>2487</v>
      </c>
      <c r="F961" s="136">
        <v>43381</v>
      </c>
      <c r="G961" s="136" t="s">
        <v>4033</v>
      </c>
      <c r="H961" s="136" t="s">
        <v>4724</v>
      </c>
      <c r="I961" s="172">
        <v>7.6388888888888886E-3</v>
      </c>
      <c r="J961" s="175">
        <v>1.273148148148148E-4</v>
      </c>
      <c r="K961" s="143">
        <v>11</v>
      </c>
      <c r="L961" s="135" t="s">
        <v>101</v>
      </c>
      <c r="M961" s="135" t="s">
        <v>2498</v>
      </c>
      <c r="N961" s="135" t="s">
        <v>102</v>
      </c>
      <c r="O961" s="135" t="s">
        <v>115</v>
      </c>
      <c r="P961" s="135">
        <v>1</v>
      </c>
      <c r="Q961" s="135"/>
      <c r="R961" s="135">
        <v>0</v>
      </c>
      <c r="S961" s="133" t="s">
        <v>14</v>
      </c>
      <c r="T961" s="135" t="s">
        <v>2128</v>
      </c>
      <c r="U961" s="135" t="s">
        <v>122</v>
      </c>
      <c r="V961" s="135" t="s">
        <v>115</v>
      </c>
      <c r="W961" s="135" t="s">
        <v>115</v>
      </c>
      <c r="X961" s="135" t="s">
        <v>115</v>
      </c>
      <c r="Y961" s="135" t="s">
        <v>115</v>
      </c>
      <c r="AB961" s="135" t="s">
        <v>115</v>
      </c>
      <c r="AC961" s="137" t="s">
        <v>115</v>
      </c>
      <c r="AD961" s="137"/>
      <c r="AH961" s="143">
        <v>0</v>
      </c>
      <c r="AI961" s="143">
        <v>0</v>
      </c>
      <c r="AJ961" s="143">
        <v>0</v>
      </c>
      <c r="AK961" s="143">
        <v>0</v>
      </c>
      <c r="AL961" s="143">
        <v>11</v>
      </c>
      <c r="AM961" s="135">
        <v>0</v>
      </c>
      <c r="AN961" s="135">
        <f t="shared" si="16"/>
        <v>11</v>
      </c>
      <c r="AO961" s="135"/>
      <c r="AP961" s="135"/>
      <c r="AQ961" s="135"/>
      <c r="AR961" s="135"/>
    </row>
    <row r="962" spans="1:48" s="133" customFormat="1" x14ac:dyDescent="0.2">
      <c r="A962" s="133" t="s">
        <v>1178</v>
      </c>
      <c r="B962" s="133" t="s">
        <v>1179</v>
      </c>
      <c r="C962" s="133">
        <v>6</v>
      </c>
      <c r="D962" s="133">
        <v>1</v>
      </c>
      <c r="E962" s="133" t="s">
        <v>2487</v>
      </c>
      <c r="F962" s="138">
        <v>43381</v>
      </c>
      <c r="G962" s="136" t="s">
        <v>4033</v>
      </c>
      <c r="H962" s="136" t="s">
        <v>4724</v>
      </c>
      <c r="I962" s="148">
        <v>2.4305555555555556E-2</v>
      </c>
      <c r="J962" s="174">
        <v>4.0509259259259258E-4</v>
      </c>
      <c r="K962" s="139">
        <v>35</v>
      </c>
      <c r="L962" s="133" t="s">
        <v>101</v>
      </c>
      <c r="M962" s="133" t="s">
        <v>2498</v>
      </c>
      <c r="N962" s="133" t="s">
        <v>111</v>
      </c>
      <c r="O962" s="133" t="s">
        <v>23</v>
      </c>
      <c r="P962" s="133">
        <v>0</v>
      </c>
      <c r="R962" s="133">
        <v>1</v>
      </c>
      <c r="S962" s="133" t="s">
        <v>176</v>
      </c>
      <c r="T962" s="133" t="s">
        <v>176</v>
      </c>
      <c r="U962" s="133" t="s">
        <v>24</v>
      </c>
      <c r="V962" s="133" t="s">
        <v>487</v>
      </c>
      <c r="W962" s="135" t="s">
        <v>23</v>
      </c>
      <c r="X962" s="135" t="s">
        <v>3997</v>
      </c>
      <c r="Y962" s="135" t="s">
        <v>4001</v>
      </c>
      <c r="AB962" s="133" t="s">
        <v>24</v>
      </c>
      <c r="AC962" s="134">
        <v>63.719549999999998</v>
      </c>
      <c r="AD962" s="134">
        <v>148.98508000000001</v>
      </c>
      <c r="AH962" s="139">
        <v>0</v>
      </c>
      <c r="AI962" s="139">
        <v>0</v>
      </c>
      <c r="AJ962" s="139">
        <v>0</v>
      </c>
      <c r="AK962" s="139">
        <v>0</v>
      </c>
      <c r="AL962" s="139">
        <v>0</v>
      </c>
      <c r="AM962" s="133">
        <v>0</v>
      </c>
      <c r="AN962" s="133">
        <f t="shared" si="16"/>
        <v>0</v>
      </c>
      <c r="AP962" s="133" t="s">
        <v>1180</v>
      </c>
      <c r="AS962" s="135"/>
      <c r="AT962" s="135"/>
      <c r="AU962" s="135"/>
      <c r="AV962" s="135"/>
    </row>
    <row r="963" spans="1:48" s="133" customFormat="1" x14ac:dyDescent="0.2">
      <c r="A963" s="135" t="s">
        <v>1350</v>
      </c>
      <c r="B963" s="135" t="s">
        <v>1351</v>
      </c>
      <c r="C963" s="135">
        <v>1</v>
      </c>
      <c r="D963" s="135">
        <v>1</v>
      </c>
      <c r="E963" s="135" t="s">
        <v>2487</v>
      </c>
      <c r="F963" s="136">
        <v>43388</v>
      </c>
      <c r="G963" s="136" t="s">
        <v>4033</v>
      </c>
      <c r="H963" s="136" t="s">
        <v>4724</v>
      </c>
      <c r="I963" s="172">
        <v>1.5972222222222224E-2</v>
      </c>
      <c r="J963" s="175">
        <v>2.6620370370370372E-4</v>
      </c>
      <c r="K963" s="143">
        <v>23</v>
      </c>
      <c r="L963" s="135" t="s">
        <v>398</v>
      </c>
      <c r="M963" s="135" t="s">
        <v>2498</v>
      </c>
      <c r="N963" s="135" t="s">
        <v>102</v>
      </c>
      <c r="O963" s="135" t="s">
        <v>115</v>
      </c>
      <c r="P963" s="135">
        <v>1</v>
      </c>
      <c r="Q963" s="135"/>
      <c r="R963" s="135">
        <v>0</v>
      </c>
      <c r="S963" s="133" t="s">
        <v>14</v>
      </c>
      <c r="T963" s="135" t="s">
        <v>2128</v>
      </c>
      <c r="U963" s="135" t="s">
        <v>122</v>
      </c>
      <c r="V963" s="135" t="s">
        <v>24</v>
      </c>
      <c r="W963" s="135" t="s">
        <v>115</v>
      </c>
      <c r="X963" s="135" t="s">
        <v>115</v>
      </c>
      <c r="Y963" s="135" t="s">
        <v>115</v>
      </c>
      <c r="AB963" s="135" t="s">
        <v>115</v>
      </c>
      <c r="AC963" s="137" t="s">
        <v>115</v>
      </c>
      <c r="AD963" s="137"/>
      <c r="AH963" s="143">
        <v>0</v>
      </c>
      <c r="AI963" s="143">
        <v>0</v>
      </c>
      <c r="AJ963" s="143">
        <v>0</v>
      </c>
      <c r="AK963" s="143">
        <v>0</v>
      </c>
      <c r="AL963" s="143">
        <v>14</v>
      </c>
      <c r="AM963" s="135">
        <v>0</v>
      </c>
      <c r="AN963" s="135">
        <f t="shared" si="16"/>
        <v>14</v>
      </c>
      <c r="AO963" s="135"/>
      <c r="AP963" s="135"/>
      <c r="AQ963" s="135"/>
      <c r="AR963" s="135"/>
    </row>
    <row r="964" spans="1:48" s="133" customFormat="1" x14ac:dyDescent="0.2">
      <c r="A964" s="135" t="s">
        <v>1352</v>
      </c>
      <c r="B964" s="135" t="s">
        <v>1353</v>
      </c>
      <c r="C964" s="135">
        <v>2</v>
      </c>
      <c r="D964" s="135">
        <v>1</v>
      </c>
      <c r="E964" s="135" t="s">
        <v>2487</v>
      </c>
      <c r="F964" s="136">
        <v>43388</v>
      </c>
      <c r="G964" s="136" t="s">
        <v>4033</v>
      </c>
      <c r="H964" s="136" t="s">
        <v>4724</v>
      </c>
      <c r="I964" s="172">
        <v>1.0416666666666666E-2</v>
      </c>
      <c r="J964" s="175">
        <v>1.7361111111111112E-4</v>
      </c>
      <c r="K964" s="143">
        <v>15</v>
      </c>
      <c r="L964" s="135" t="s">
        <v>398</v>
      </c>
      <c r="M964" s="135" t="s">
        <v>2498</v>
      </c>
      <c r="N964" s="135" t="s">
        <v>102</v>
      </c>
      <c r="O964" s="135" t="s">
        <v>115</v>
      </c>
      <c r="P964" s="135">
        <v>1</v>
      </c>
      <c r="Q964" s="135"/>
      <c r="R964" s="135">
        <v>0</v>
      </c>
      <c r="S964" s="133" t="s">
        <v>461</v>
      </c>
      <c r="T964" s="135" t="s">
        <v>2125</v>
      </c>
      <c r="U964" s="135" t="s">
        <v>122</v>
      </c>
      <c r="V964" s="135" t="s">
        <v>115</v>
      </c>
      <c r="W964" s="135" t="s">
        <v>115</v>
      </c>
      <c r="X964" s="135" t="s">
        <v>115</v>
      </c>
      <c r="Y964" s="135" t="s">
        <v>115</v>
      </c>
      <c r="AB964" s="135" t="s">
        <v>115</v>
      </c>
      <c r="AC964" s="137" t="s">
        <v>115</v>
      </c>
      <c r="AD964" s="137"/>
      <c r="AH964" s="143">
        <v>0</v>
      </c>
      <c r="AI964" s="143">
        <v>0</v>
      </c>
      <c r="AJ964" s="143">
        <v>0</v>
      </c>
      <c r="AK964" s="143">
        <v>0</v>
      </c>
      <c r="AL964" s="143">
        <v>0</v>
      </c>
      <c r="AM964" s="135">
        <v>0</v>
      </c>
      <c r="AN964" s="135">
        <f t="shared" si="16"/>
        <v>0</v>
      </c>
      <c r="AO964" s="135"/>
      <c r="AP964" s="135" t="s">
        <v>3952</v>
      </c>
      <c r="AQ964" s="135"/>
      <c r="AR964" s="135"/>
      <c r="AS964" s="135"/>
      <c r="AT964" s="135"/>
      <c r="AU964" s="135"/>
      <c r="AV964" s="135"/>
    </row>
    <row r="965" spans="1:48" s="135" customFormat="1" x14ac:dyDescent="0.2">
      <c r="A965" s="135" t="s">
        <v>1363</v>
      </c>
      <c r="B965" s="135" t="s">
        <v>1364</v>
      </c>
      <c r="C965" s="135">
        <v>7</v>
      </c>
      <c r="D965" s="135">
        <v>1</v>
      </c>
      <c r="E965" s="135" t="s">
        <v>2487</v>
      </c>
      <c r="F965" s="136">
        <v>43388</v>
      </c>
      <c r="G965" s="136" t="s">
        <v>4033</v>
      </c>
      <c r="H965" s="136" t="s">
        <v>4724</v>
      </c>
      <c r="I965" s="172">
        <v>2.4999999999999998E-2</v>
      </c>
      <c r="J965" s="175">
        <v>4.1666666666666669E-4</v>
      </c>
      <c r="K965" s="143">
        <v>36</v>
      </c>
      <c r="L965" s="135" t="s">
        <v>398</v>
      </c>
      <c r="M965" s="135" t="s">
        <v>2498</v>
      </c>
      <c r="N965" s="135" t="s">
        <v>102</v>
      </c>
      <c r="O965" s="135" t="s">
        <v>115</v>
      </c>
      <c r="P965" s="135">
        <v>1</v>
      </c>
      <c r="R965" s="135">
        <v>0</v>
      </c>
      <c r="S965" s="133" t="s">
        <v>461</v>
      </c>
      <c r="T965" s="135" t="s">
        <v>2125</v>
      </c>
      <c r="U965" s="135" t="s">
        <v>122</v>
      </c>
      <c r="V965" s="135" t="s">
        <v>115</v>
      </c>
      <c r="W965" s="135" t="s">
        <v>115</v>
      </c>
      <c r="X965" s="135" t="s">
        <v>115</v>
      </c>
      <c r="Y965" s="135" t="s">
        <v>115</v>
      </c>
      <c r="Z965" s="133"/>
      <c r="AA965" s="133"/>
      <c r="AB965" s="135" t="s">
        <v>115</v>
      </c>
      <c r="AC965" s="137" t="s">
        <v>115</v>
      </c>
      <c r="AD965" s="137"/>
      <c r="AE965" s="133"/>
      <c r="AF965" s="133"/>
      <c r="AG965" s="133"/>
      <c r="AH965" s="143">
        <v>0</v>
      </c>
      <c r="AI965" s="143">
        <v>0</v>
      </c>
      <c r="AJ965" s="143">
        <v>0</v>
      </c>
      <c r="AK965" s="143">
        <v>0</v>
      </c>
      <c r="AL965" s="143">
        <v>0</v>
      </c>
      <c r="AM965" s="135">
        <v>0</v>
      </c>
      <c r="AN965" s="135">
        <f t="shared" si="16"/>
        <v>0</v>
      </c>
    </row>
    <row r="966" spans="1:48" s="133" customFormat="1" x14ac:dyDescent="0.2">
      <c r="A966" s="135" t="s">
        <v>1388</v>
      </c>
      <c r="B966" s="135" t="s">
        <v>1389</v>
      </c>
      <c r="C966" s="135">
        <v>17</v>
      </c>
      <c r="D966" s="135">
        <v>3</v>
      </c>
      <c r="E966" s="135" t="s">
        <v>2487</v>
      </c>
      <c r="F966" s="136">
        <v>43388</v>
      </c>
      <c r="G966" s="136" t="s">
        <v>4033</v>
      </c>
      <c r="H966" s="136" t="s">
        <v>4724</v>
      </c>
      <c r="I966" s="172">
        <v>0.1125</v>
      </c>
      <c r="J966" s="175">
        <v>1.8750000000000001E-3</v>
      </c>
      <c r="K966" s="143">
        <v>162</v>
      </c>
      <c r="L966" s="135" t="s">
        <v>398</v>
      </c>
      <c r="M966" s="135" t="s">
        <v>2498</v>
      </c>
      <c r="N966" s="135" t="s">
        <v>102</v>
      </c>
      <c r="O966" s="135" t="s">
        <v>115</v>
      </c>
      <c r="P966" s="135">
        <v>1</v>
      </c>
      <c r="Q966" s="135"/>
      <c r="R966" s="135">
        <v>0</v>
      </c>
      <c r="S966" s="133" t="s">
        <v>461</v>
      </c>
      <c r="T966" s="135" t="s">
        <v>2125</v>
      </c>
      <c r="U966" s="135" t="s">
        <v>122</v>
      </c>
      <c r="V966" s="135" t="s">
        <v>115</v>
      </c>
      <c r="W966" s="135" t="s">
        <v>115</v>
      </c>
      <c r="X966" s="135" t="s">
        <v>115</v>
      </c>
      <c r="Y966" s="135" t="s">
        <v>115</v>
      </c>
      <c r="Z966" s="135"/>
      <c r="AA966" s="135"/>
      <c r="AB966" s="135" t="s">
        <v>115</v>
      </c>
      <c r="AC966" s="137" t="s">
        <v>115</v>
      </c>
      <c r="AD966" s="137"/>
      <c r="AE966" s="135"/>
      <c r="AF966" s="135"/>
      <c r="AG966" s="135"/>
      <c r="AH966" s="143">
        <v>0</v>
      </c>
      <c r="AI966" s="143">
        <v>0</v>
      </c>
      <c r="AJ966" s="143">
        <v>0</v>
      </c>
      <c r="AK966" s="143">
        <v>0</v>
      </c>
      <c r="AL966" s="143">
        <v>0</v>
      </c>
      <c r="AM966" s="135">
        <v>0</v>
      </c>
      <c r="AN966" s="135">
        <f t="shared" si="16"/>
        <v>0</v>
      </c>
      <c r="AO966" s="135"/>
      <c r="AP966" s="135"/>
      <c r="AQ966" s="135"/>
      <c r="AR966" s="135"/>
      <c r="AS966" s="135"/>
      <c r="AT966" s="135"/>
      <c r="AU966" s="135"/>
      <c r="AV966" s="135"/>
    </row>
    <row r="967" spans="1:48" s="133" customFormat="1" x14ac:dyDescent="0.2">
      <c r="A967" s="135" t="s">
        <v>1399</v>
      </c>
      <c r="B967" s="135" t="s">
        <v>1400</v>
      </c>
      <c r="C967" s="135">
        <v>22</v>
      </c>
      <c r="D967" s="135">
        <v>1</v>
      </c>
      <c r="E967" s="135" t="s">
        <v>2487</v>
      </c>
      <c r="F967" s="136">
        <v>43388</v>
      </c>
      <c r="G967" s="136" t="s">
        <v>4033</v>
      </c>
      <c r="H967" s="136" t="s">
        <v>4724</v>
      </c>
      <c r="I967" s="172">
        <v>1.5277777777777777E-2</v>
      </c>
      <c r="J967" s="175">
        <v>2.5462962962962961E-4</v>
      </c>
      <c r="K967" s="143">
        <v>22</v>
      </c>
      <c r="L967" s="135" t="s">
        <v>398</v>
      </c>
      <c r="M967" s="135" t="s">
        <v>2498</v>
      </c>
      <c r="N967" s="135" t="s">
        <v>102</v>
      </c>
      <c r="O967" s="135" t="s">
        <v>115</v>
      </c>
      <c r="P967" s="135">
        <v>1</v>
      </c>
      <c r="Q967" s="135"/>
      <c r="R967" s="135">
        <v>0</v>
      </c>
      <c r="S967" s="133" t="s">
        <v>461</v>
      </c>
      <c r="T967" s="135" t="s">
        <v>2125</v>
      </c>
      <c r="U967" s="135" t="s">
        <v>122</v>
      </c>
      <c r="V967" s="135" t="s">
        <v>115</v>
      </c>
      <c r="W967" s="135" t="s">
        <v>115</v>
      </c>
      <c r="X967" s="135" t="s">
        <v>115</v>
      </c>
      <c r="Y967" s="135" t="s">
        <v>115</v>
      </c>
      <c r="AB967" s="135" t="s">
        <v>115</v>
      </c>
      <c r="AC967" s="137" t="s">
        <v>115</v>
      </c>
      <c r="AD967" s="137"/>
      <c r="AH967" s="143">
        <v>0</v>
      </c>
      <c r="AI967" s="143">
        <v>0</v>
      </c>
      <c r="AJ967" s="143">
        <v>0</v>
      </c>
      <c r="AK967" s="143">
        <v>0</v>
      </c>
      <c r="AL967" s="143">
        <v>0</v>
      </c>
      <c r="AM967" s="135">
        <v>0</v>
      </c>
      <c r="AN967" s="135">
        <f t="shared" si="16"/>
        <v>0</v>
      </c>
      <c r="AO967" s="135"/>
      <c r="AP967" s="135"/>
      <c r="AQ967" s="135"/>
      <c r="AR967" s="135"/>
      <c r="AS967" s="135"/>
      <c r="AT967" s="135"/>
      <c r="AU967" s="135"/>
      <c r="AV967" s="135"/>
    </row>
    <row r="968" spans="1:48" s="133" customFormat="1" x14ac:dyDescent="0.2">
      <c r="A968" s="133" t="s">
        <v>1403</v>
      </c>
      <c r="B968" s="133" t="s">
        <v>1404</v>
      </c>
      <c r="C968" s="133">
        <v>24</v>
      </c>
      <c r="D968" s="133">
        <v>1</v>
      </c>
      <c r="E968" s="133" t="s">
        <v>2487</v>
      </c>
      <c r="F968" s="138">
        <v>43388</v>
      </c>
      <c r="G968" s="136" t="s">
        <v>4033</v>
      </c>
      <c r="H968" s="136" t="s">
        <v>4724</v>
      </c>
      <c r="I968" s="148">
        <v>1.8749999999999999E-2</v>
      </c>
      <c r="J968" s="174">
        <v>3.1250000000000001E-4</v>
      </c>
      <c r="K968" s="139">
        <v>27</v>
      </c>
      <c r="L968" s="133" t="s">
        <v>398</v>
      </c>
      <c r="M968" s="133" t="s">
        <v>2498</v>
      </c>
      <c r="N968" s="133" t="s">
        <v>111</v>
      </c>
      <c r="O968" s="133" t="s">
        <v>23</v>
      </c>
      <c r="P968" s="133">
        <v>0</v>
      </c>
      <c r="R968" s="133">
        <v>1</v>
      </c>
      <c r="S968" s="133" t="s">
        <v>461</v>
      </c>
      <c r="T968" s="133" t="s">
        <v>2125</v>
      </c>
      <c r="U968" s="133" t="s">
        <v>122</v>
      </c>
      <c r="V968" s="133" t="s">
        <v>1035</v>
      </c>
      <c r="W968" s="135" t="s">
        <v>23</v>
      </c>
      <c r="X968" s="135" t="s">
        <v>3997</v>
      </c>
      <c r="Y968" s="135" t="s">
        <v>4006</v>
      </c>
      <c r="Z968" s="135"/>
      <c r="AA968" s="135"/>
      <c r="AB968" s="133">
        <v>23</v>
      </c>
      <c r="AC968" s="134">
        <v>63.722029999999997</v>
      </c>
      <c r="AD968" s="134">
        <v>148.98781</v>
      </c>
      <c r="AE968" s="135"/>
      <c r="AF968" s="135"/>
      <c r="AG968" s="135"/>
      <c r="AH968" s="139">
        <v>0</v>
      </c>
      <c r="AI968" s="139">
        <v>0</v>
      </c>
      <c r="AJ968" s="139">
        <v>0</v>
      </c>
      <c r="AK968" s="139">
        <v>0</v>
      </c>
      <c r="AL968" s="143">
        <v>0</v>
      </c>
      <c r="AM968" s="133">
        <v>0</v>
      </c>
      <c r="AN968" s="133">
        <f t="shared" si="16"/>
        <v>0</v>
      </c>
    </row>
    <row r="969" spans="1:48" s="135" customFormat="1" x14ac:dyDescent="0.2">
      <c r="A969" s="135" t="s">
        <v>1415</v>
      </c>
      <c r="B969" s="135" t="s">
        <v>1416</v>
      </c>
      <c r="C969" s="135">
        <v>30</v>
      </c>
      <c r="D969" s="135">
        <v>1</v>
      </c>
      <c r="E969" s="135" t="s">
        <v>2487</v>
      </c>
      <c r="F969" s="136">
        <v>43388</v>
      </c>
      <c r="G969" s="136" t="s">
        <v>4033</v>
      </c>
      <c r="H969" s="136" t="s">
        <v>4724</v>
      </c>
      <c r="I969" s="172">
        <v>2.9861111111111113E-2</v>
      </c>
      <c r="J969" s="175">
        <v>4.9768518518518521E-4</v>
      </c>
      <c r="K969" s="143">
        <v>43</v>
      </c>
      <c r="L969" s="135" t="s">
        <v>398</v>
      </c>
      <c r="M969" s="135" t="s">
        <v>2498</v>
      </c>
      <c r="N969" s="135" t="s">
        <v>102</v>
      </c>
      <c r="O969" s="135" t="s">
        <v>115</v>
      </c>
      <c r="P969" s="135">
        <v>1</v>
      </c>
      <c r="R969" s="135">
        <v>0</v>
      </c>
      <c r="S969" s="133" t="s">
        <v>461</v>
      </c>
      <c r="T969" s="135" t="s">
        <v>2125</v>
      </c>
      <c r="U969" s="135" t="s">
        <v>122</v>
      </c>
      <c r="V969" s="135" t="s">
        <v>115</v>
      </c>
      <c r="W969" s="135" t="s">
        <v>115</v>
      </c>
      <c r="X969" s="135" t="s">
        <v>115</v>
      </c>
      <c r="Y969" s="135" t="s">
        <v>115</v>
      </c>
      <c r="Z969" s="133"/>
      <c r="AA969" s="133"/>
      <c r="AB969" s="135" t="s">
        <v>115</v>
      </c>
      <c r="AC969" s="137" t="s">
        <v>115</v>
      </c>
      <c r="AD969" s="137"/>
      <c r="AE969" s="133"/>
      <c r="AF969" s="133"/>
      <c r="AG969" s="133"/>
      <c r="AH969" s="143">
        <v>0</v>
      </c>
      <c r="AI969" s="143">
        <v>0</v>
      </c>
      <c r="AJ969" s="143">
        <v>0</v>
      </c>
      <c r="AK969" s="143">
        <v>0</v>
      </c>
      <c r="AL969" s="143">
        <v>0</v>
      </c>
      <c r="AM969" s="135">
        <v>0</v>
      </c>
      <c r="AN969" s="135">
        <f t="shared" si="16"/>
        <v>0</v>
      </c>
      <c r="AS969" s="133"/>
      <c r="AT969" s="133"/>
      <c r="AU969" s="133"/>
      <c r="AV969" s="133"/>
    </row>
    <row r="970" spans="1:48" s="133" customFormat="1" x14ac:dyDescent="0.2">
      <c r="A970" s="135" t="s">
        <v>1592</v>
      </c>
      <c r="B970" s="135" t="s">
        <v>1593</v>
      </c>
      <c r="C970" s="135">
        <v>3</v>
      </c>
      <c r="D970" s="135">
        <v>1</v>
      </c>
      <c r="E970" s="135" t="s">
        <v>2487</v>
      </c>
      <c r="F970" s="136">
        <v>43391</v>
      </c>
      <c r="G970" s="136" t="s">
        <v>4033</v>
      </c>
      <c r="H970" s="136" t="s">
        <v>4724</v>
      </c>
      <c r="I970" s="172">
        <v>3.1944444444444449E-2</v>
      </c>
      <c r="J970" s="175">
        <v>5.3240740740740744E-4</v>
      </c>
      <c r="K970" s="143">
        <v>46</v>
      </c>
      <c r="L970" s="135" t="s">
        <v>398</v>
      </c>
      <c r="M970" s="135" t="s">
        <v>2498</v>
      </c>
      <c r="N970" s="135" t="s">
        <v>156</v>
      </c>
      <c r="O970" s="135" t="s">
        <v>23</v>
      </c>
      <c r="P970" s="135">
        <v>1</v>
      </c>
      <c r="Q970" s="135"/>
      <c r="R970" s="135">
        <v>1</v>
      </c>
      <c r="S970" s="133" t="s">
        <v>14</v>
      </c>
      <c r="T970" s="135" t="s">
        <v>2128</v>
      </c>
      <c r="U970" s="135" t="s">
        <v>122</v>
      </c>
      <c r="V970" s="133" t="s">
        <v>1035</v>
      </c>
      <c r="W970" s="135" t="s">
        <v>23</v>
      </c>
      <c r="X970" s="135" t="s">
        <v>3997</v>
      </c>
      <c r="Y970" s="135" t="s">
        <v>4006</v>
      </c>
      <c r="AB970" s="135">
        <v>10</v>
      </c>
      <c r="AC970" s="137">
        <v>63.721490000000003</v>
      </c>
      <c r="AD970" s="137">
        <v>148.98593</v>
      </c>
      <c r="AH970" s="143">
        <v>0</v>
      </c>
      <c r="AI970" s="143">
        <v>0</v>
      </c>
      <c r="AJ970" s="143">
        <v>0</v>
      </c>
      <c r="AK970" s="143">
        <v>0</v>
      </c>
      <c r="AL970" s="143">
        <v>22</v>
      </c>
      <c r="AM970" s="135">
        <v>0</v>
      </c>
      <c r="AN970" s="135">
        <f t="shared" si="16"/>
        <v>22</v>
      </c>
      <c r="AO970" s="135"/>
      <c r="AP970" s="135"/>
      <c r="AQ970" s="135"/>
      <c r="AR970" s="135"/>
    </row>
    <row r="971" spans="1:48" s="135" customFormat="1" x14ac:dyDescent="0.2">
      <c r="A971" s="135" t="s">
        <v>1594</v>
      </c>
      <c r="B971" s="135" t="s">
        <v>1595</v>
      </c>
      <c r="C971" s="135">
        <v>4</v>
      </c>
      <c r="D971" s="135">
        <v>1</v>
      </c>
      <c r="E971" s="135" t="s">
        <v>2487</v>
      </c>
      <c r="F971" s="136">
        <v>43391</v>
      </c>
      <c r="G971" s="136" t="s">
        <v>4033</v>
      </c>
      <c r="H971" s="136" t="s">
        <v>4724</v>
      </c>
      <c r="I971" s="172">
        <v>1.3194444444444444E-2</v>
      </c>
      <c r="J971" s="175">
        <v>2.199074074074074E-4</v>
      </c>
      <c r="K971" s="143">
        <v>19</v>
      </c>
      <c r="L971" s="135" t="s">
        <v>398</v>
      </c>
      <c r="M971" s="135" t="s">
        <v>2498</v>
      </c>
      <c r="N971" s="135" t="s">
        <v>156</v>
      </c>
      <c r="O971" s="135" t="s">
        <v>23</v>
      </c>
      <c r="P971" s="135">
        <v>1</v>
      </c>
      <c r="R971" s="135">
        <v>1</v>
      </c>
      <c r="S971" s="133" t="s">
        <v>14</v>
      </c>
      <c r="T971" s="135" t="s">
        <v>2128</v>
      </c>
      <c r="U971" s="135" t="s">
        <v>122</v>
      </c>
      <c r="V971" s="135" t="s">
        <v>3963</v>
      </c>
      <c r="W971" s="135" t="s">
        <v>23</v>
      </c>
      <c r="X971" s="135" t="s">
        <v>3997</v>
      </c>
      <c r="Y971" s="135" t="s">
        <v>4007</v>
      </c>
      <c r="Z971" s="133"/>
      <c r="AA971" s="133"/>
      <c r="AB971" s="135">
        <v>15</v>
      </c>
      <c r="AC971" s="137">
        <v>63.721530000000001</v>
      </c>
      <c r="AD971" s="137">
        <v>148.98598999999999</v>
      </c>
      <c r="AE971" s="133"/>
      <c r="AF971" s="133"/>
      <c r="AG971" s="133"/>
      <c r="AH971" s="143">
        <v>0</v>
      </c>
      <c r="AI971" s="143">
        <v>0</v>
      </c>
      <c r="AJ971" s="143">
        <v>0</v>
      </c>
      <c r="AK971" s="143">
        <v>0</v>
      </c>
      <c r="AL971" s="143">
        <v>7</v>
      </c>
      <c r="AM971" s="135">
        <v>0</v>
      </c>
      <c r="AN971" s="135">
        <f t="shared" si="16"/>
        <v>7</v>
      </c>
    </row>
    <row r="972" spans="1:48" s="135" customFormat="1" x14ac:dyDescent="0.2">
      <c r="A972" s="135" t="s">
        <v>1596</v>
      </c>
      <c r="B972" s="135" t="s">
        <v>1597</v>
      </c>
      <c r="C972" s="135">
        <v>5</v>
      </c>
      <c r="D972" s="135">
        <v>1</v>
      </c>
      <c r="E972" s="135" t="s">
        <v>2487</v>
      </c>
      <c r="F972" s="136">
        <v>43391</v>
      </c>
      <c r="G972" s="136" t="s">
        <v>4033</v>
      </c>
      <c r="H972" s="136" t="s">
        <v>4724</v>
      </c>
      <c r="I972" s="172">
        <v>2.013888888888889E-2</v>
      </c>
      <c r="J972" s="175">
        <v>3.3564814814814812E-4</v>
      </c>
      <c r="K972" s="143">
        <v>29</v>
      </c>
      <c r="L972" s="135" t="s">
        <v>398</v>
      </c>
      <c r="M972" s="135" t="s">
        <v>2498</v>
      </c>
      <c r="N972" s="135" t="s">
        <v>102</v>
      </c>
      <c r="O972" s="135" t="s">
        <v>115</v>
      </c>
      <c r="P972" s="135">
        <v>1</v>
      </c>
      <c r="R972" s="135">
        <v>0</v>
      </c>
      <c r="S972" s="133" t="s">
        <v>14</v>
      </c>
      <c r="T972" s="135" t="s">
        <v>2128</v>
      </c>
      <c r="U972" s="135" t="s">
        <v>122</v>
      </c>
      <c r="V972" s="135" t="s">
        <v>115</v>
      </c>
      <c r="W972" s="135" t="s">
        <v>115</v>
      </c>
      <c r="X972" s="135" t="s">
        <v>115</v>
      </c>
      <c r="Y972" s="135" t="s">
        <v>115</v>
      </c>
      <c r="Z972" s="133"/>
      <c r="AA972" s="133"/>
      <c r="AB972" s="135" t="s">
        <v>115</v>
      </c>
      <c r="AC972" s="137" t="s">
        <v>115</v>
      </c>
      <c r="AD972" s="137"/>
      <c r="AE972" s="133"/>
      <c r="AF972" s="133"/>
      <c r="AG972" s="133"/>
      <c r="AH972" s="143">
        <v>0</v>
      </c>
      <c r="AI972" s="143">
        <v>0</v>
      </c>
      <c r="AJ972" s="143">
        <v>0</v>
      </c>
      <c r="AK972" s="143">
        <v>0</v>
      </c>
      <c r="AL972" s="143">
        <v>20</v>
      </c>
      <c r="AM972" s="135">
        <v>0</v>
      </c>
      <c r="AN972" s="135">
        <f t="shared" si="16"/>
        <v>20</v>
      </c>
    </row>
    <row r="973" spans="1:48" s="135" customFormat="1" x14ac:dyDescent="0.2">
      <c r="A973" s="133" t="s">
        <v>1692</v>
      </c>
      <c r="B973" s="133" t="s">
        <v>1693</v>
      </c>
      <c r="C973" s="133">
        <v>1</v>
      </c>
      <c r="D973" s="133">
        <v>1</v>
      </c>
      <c r="E973" s="133" t="s">
        <v>2487</v>
      </c>
      <c r="F973" s="138">
        <v>43396</v>
      </c>
      <c r="G973" s="136" t="s">
        <v>4033</v>
      </c>
      <c r="H973" s="136" t="s">
        <v>4724</v>
      </c>
      <c r="I973" s="148">
        <v>5.2083333333333336E-2</v>
      </c>
      <c r="J973" s="174">
        <v>8.6805555555555551E-4</v>
      </c>
      <c r="K973" s="139">
        <v>75</v>
      </c>
      <c r="L973" s="133" t="s">
        <v>1278</v>
      </c>
      <c r="M973" s="133" t="s">
        <v>2498</v>
      </c>
      <c r="N973" s="133" t="s">
        <v>102</v>
      </c>
      <c r="O973" s="133" t="s">
        <v>23</v>
      </c>
      <c r="P973" s="133">
        <v>1</v>
      </c>
      <c r="Q973" s="133"/>
      <c r="R973" s="133">
        <v>0</v>
      </c>
      <c r="S973" s="133" t="s">
        <v>1618</v>
      </c>
      <c r="T973" s="133" t="s">
        <v>2134</v>
      </c>
      <c r="U973" s="133" t="s">
        <v>1694</v>
      </c>
      <c r="V973" s="133" t="s">
        <v>115</v>
      </c>
      <c r="W973" s="135" t="s">
        <v>115</v>
      </c>
      <c r="X973" s="135" t="s">
        <v>115</v>
      </c>
      <c r="Y973" s="135" t="s">
        <v>115</v>
      </c>
      <c r="Z973" s="133"/>
      <c r="AA973" s="133"/>
      <c r="AB973" s="133" t="s">
        <v>115</v>
      </c>
      <c r="AC973" s="134" t="s">
        <v>115</v>
      </c>
      <c r="AD973" s="134"/>
      <c r="AE973" s="133"/>
      <c r="AF973" s="133"/>
      <c r="AG973" s="133"/>
      <c r="AH973" s="139">
        <v>0</v>
      </c>
      <c r="AI973" s="139">
        <v>0</v>
      </c>
      <c r="AJ973" s="139">
        <v>0</v>
      </c>
      <c r="AK973" s="139">
        <v>0</v>
      </c>
      <c r="AL973" s="139">
        <v>0</v>
      </c>
      <c r="AM973" s="139">
        <v>0</v>
      </c>
      <c r="AN973" s="133">
        <f t="shared" si="16"/>
        <v>0</v>
      </c>
      <c r="AO973" s="133"/>
      <c r="AP973" s="133" t="s">
        <v>2152</v>
      </c>
      <c r="AQ973" s="133"/>
      <c r="AR973" s="133"/>
      <c r="AS973" s="133"/>
      <c r="AT973" s="133"/>
      <c r="AU973" s="133"/>
      <c r="AV973" s="133"/>
    </row>
    <row r="974" spans="1:48" s="135" customFormat="1" x14ac:dyDescent="0.2">
      <c r="A974" s="133" t="s">
        <v>1735</v>
      </c>
      <c r="B974" s="133" t="s">
        <v>1736</v>
      </c>
      <c r="C974" s="133">
        <v>1</v>
      </c>
      <c r="D974" s="133">
        <v>1</v>
      </c>
      <c r="E974" s="133" t="s">
        <v>1737</v>
      </c>
      <c r="F974" s="138">
        <v>43396</v>
      </c>
      <c r="G974" s="136" t="s">
        <v>4033</v>
      </c>
      <c r="H974" s="136" t="s">
        <v>4724</v>
      </c>
      <c r="I974" s="148">
        <v>2.4305555555555556E-2</v>
      </c>
      <c r="J974" s="174">
        <v>4.0509259259259258E-4</v>
      </c>
      <c r="K974" s="139">
        <v>35</v>
      </c>
      <c r="L974" s="133"/>
      <c r="M974" s="133" t="s">
        <v>1738</v>
      </c>
      <c r="N974" s="133" t="s">
        <v>102</v>
      </c>
      <c r="O974" s="133" t="s">
        <v>23</v>
      </c>
      <c r="P974" s="133" t="s">
        <v>24</v>
      </c>
      <c r="Q974" s="133"/>
      <c r="R974" s="133">
        <v>0</v>
      </c>
      <c r="S974" s="133" t="s">
        <v>176</v>
      </c>
      <c r="T974" s="133" t="s">
        <v>176</v>
      </c>
      <c r="U974" s="133" t="s">
        <v>115</v>
      </c>
      <c r="V974" s="133" t="s">
        <v>115</v>
      </c>
      <c r="W974" s="135" t="s">
        <v>115</v>
      </c>
      <c r="X974" s="135" t="s">
        <v>115</v>
      </c>
      <c r="Y974" s="135" t="s">
        <v>115</v>
      </c>
      <c r="AB974" s="133" t="s">
        <v>115</v>
      </c>
      <c r="AC974" s="134" t="s">
        <v>115</v>
      </c>
      <c r="AD974" s="134"/>
      <c r="AH974" s="139">
        <v>14</v>
      </c>
      <c r="AI974" s="139">
        <v>0</v>
      </c>
      <c r="AJ974" s="139">
        <v>14</v>
      </c>
      <c r="AK974" s="139">
        <v>0</v>
      </c>
      <c r="AL974" s="139">
        <v>0</v>
      </c>
      <c r="AM974" s="139">
        <v>0</v>
      </c>
      <c r="AN974" s="133">
        <f t="shared" si="16"/>
        <v>14</v>
      </c>
      <c r="AO974" s="133" t="s">
        <v>188</v>
      </c>
      <c r="AP974" s="133"/>
      <c r="AQ974" s="133"/>
      <c r="AR974" s="133"/>
      <c r="AS974" s="133"/>
      <c r="AT974" s="133"/>
      <c r="AU974" s="133"/>
      <c r="AV974" s="133"/>
    </row>
    <row r="975" spans="1:48" s="135" customFormat="1" x14ac:dyDescent="0.2">
      <c r="A975" s="133" t="s">
        <v>1148</v>
      </c>
      <c r="B975" s="133" t="s">
        <v>1149</v>
      </c>
      <c r="C975" s="133">
        <v>1</v>
      </c>
      <c r="D975" s="133">
        <v>1</v>
      </c>
      <c r="E975" s="133" t="s">
        <v>791</v>
      </c>
      <c r="F975" s="138">
        <v>43380</v>
      </c>
      <c r="G975" s="136" t="s">
        <v>4033</v>
      </c>
      <c r="H975" s="136" t="s">
        <v>4724</v>
      </c>
      <c r="I975" s="148">
        <v>1.0416666666666666E-2</v>
      </c>
      <c r="J975" s="174">
        <v>1.7361111111111112E-4</v>
      </c>
      <c r="K975" s="139">
        <v>15</v>
      </c>
      <c r="L975" s="133" t="s">
        <v>398</v>
      </c>
      <c r="M975" s="133" t="s">
        <v>924</v>
      </c>
      <c r="N975" s="133" t="s">
        <v>102</v>
      </c>
      <c r="O975" s="133" t="s">
        <v>115</v>
      </c>
      <c r="P975" s="133">
        <v>1</v>
      </c>
      <c r="Q975" s="133"/>
      <c r="R975" s="133">
        <v>0</v>
      </c>
      <c r="S975" s="133" t="s">
        <v>176</v>
      </c>
      <c r="T975" s="133" t="s">
        <v>176</v>
      </c>
      <c r="U975" s="133" t="s">
        <v>122</v>
      </c>
      <c r="V975" s="133" t="s">
        <v>115</v>
      </c>
      <c r="W975" s="135" t="s">
        <v>115</v>
      </c>
      <c r="X975" s="135" t="s">
        <v>115</v>
      </c>
      <c r="Y975" s="135" t="s">
        <v>115</v>
      </c>
      <c r="AB975" s="133" t="s">
        <v>115</v>
      </c>
      <c r="AC975" s="134" t="s">
        <v>115</v>
      </c>
      <c r="AD975" s="134"/>
      <c r="AH975" s="139">
        <v>0</v>
      </c>
      <c r="AI975" s="139">
        <v>0</v>
      </c>
      <c r="AJ975" s="139">
        <v>0</v>
      </c>
      <c r="AK975" s="139">
        <v>0</v>
      </c>
      <c r="AL975" s="139">
        <v>0</v>
      </c>
      <c r="AM975" s="133">
        <v>0</v>
      </c>
      <c r="AN975" s="133">
        <f t="shared" si="16"/>
        <v>0</v>
      </c>
      <c r="AO975" s="133"/>
      <c r="AP975" s="133" t="s">
        <v>1150</v>
      </c>
      <c r="AQ975" s="133"/>
      <c r="AR975" s="133"/>
      <c r="AS975" s="133"/>
      <c r="AT975" s="133"/>
      <c r="AU975" s="133"/>
      <c r="AV975" s="133"/>
    </row>
    <row r="976" spans="1:48" s="133" customFormat="1" x14ac:dyDescent="0.2">
      <c r="A976" s="133" t="s">
        <v>1153</v>
      </c>
      <c r="B976" s="133" t="s">
        <v>1154</v>
      </c>
      <c r="C976" s="133">
        <v>3</v>
      </c>
      <c r="D976" s="133">
        <v>1</v>
      </c>
      <c r="E976" s="133" t="s">
        <v>791</v>
      </c>
      <c r="F976" s="138">
        <v>43380</v>
      </c>
      <c r="G976" s="136" t="s">
        <v>4033</v>
      </c>
      <c r="H976" s="136" t="s">
        <v>4724</v>
      </c>
      <c r="I976" s="148">
        <v>6.0416666666666667E-2</v>
      </c>
      <c r="J976" s="174">
        <v>1.0069444444444444E-3</v>
      </c>
      <c r="K976" s="139">
        <v>87</v>
      </c>
      <c r="L976" s="133" t="s">
        <v>398</v>
      </c>
      <c r="M976" s="133" t="s">
        <v>924</v>
      </c>
      <c r="N976" s="133" t="s">
        <v>111</v>
      </c>
      <c r="O976" s="133" t="s">
        <v>23</v>
      </c>
      <c r="P976" s="133">
        <v>1</v>
      </c>
      <c r="R976" s="133">
        <v>1</v>
      </c>
      <c r="S976" s="133" t="s">
        <v>176</v>
      </c>
      <c r="T976" s="133" t="s">
        <v>176</v>
      </c>
      <c r="U976" s="133" t="s">
        <v>1155</v>
      </c>
      <c r="V976" s="133" t="s">
        <v>2068</v>
      </c>
      <c r="W976" s="135" t="s">
        <v>23</v>
      </c>
      <c r="X976" s="135" t="s">
        <v>3997</v>
      </c>
      <c r="Y976" s="135" t="s">
        <v>4003</v>
      </c>
      <c r="Z976" s="135"/>
      <c r="AA976" s="135"/>
      <c r="AB976" s="133" t="s">
        <v>24</v>
      </c>
      <c r="AC976" s="134">
        <v>63.721200000000003</v>
      </c>
      <c r="AD976" s="134">
        <v>148.96514999999999</v>
      </c>
      <c r="AE976" s="135"/>
      <c r="AF976" s="135"/>
      <c r="AG976" s="135"/>
      <c r="AH976" s="139">
        <v>0</v>
      </c>
      <c r="AI976" s="139">
        <v>0</v>
      </c>
      <c r="AJ976" s="139">
        <v>0</v>
      </c>
      <c r="AK976" s="139">
        <v>0</v>
      </c>
      <c r="AL976" s="139">
        <v>0</v>
      </c>
      <c r="AM976" s="133">
        <v>0</v>
      </c>
      <c r="AN976" s="133">
        <f t="shared" si="16"/>
        <v>0</v>
      </c>
      <c r="AS976" s="135"/>
      <c r="AT976" s="135"/>
      <c r="AU976" s="135"/>
      <c r="AV976" s="135"/>
    </row>
    <row r="977" spans="1:48" s="133" customFormat="1" x14ac:dyDescent="0.2">
      <c r="A977" s="133" t="s">
        <v>1153</v>
      </c>
      <c r="B977" s="133" t="s">
        <v>1154</v>
      </c>
      <c r="C977" s="133">
        <v>3</v>
      </c>
      <c r="D977" s="133">
        <v>2</v>
      </c>
      <c r="E977" s="133" t="s">
        <v>791</v>
      </c>
      <c r="F977" s="138">
        <v>43380</v>
      </c>
      <c r="G977" s="136" t="s">
        <v>4033</v>
      </c>
      <c r="H977" s="136" t="s">
        <v>4724</v>
      </c>
      <c r="I977" s="148">
        <v>6.0416666666666667E-2</v>
      </c>
      <c r="J977" s="174">
        <v>1.0069444444444444E-3</v>
      </c>
      <c r="K977" s="139">
        <v>87</v>
      </c>
      <c r="L977" s="133" t="s">
        <v>398</v>
      </c>
      <c r="M977" s="133" t="s">
        <v>924</v>
      </c>
      <c r="N977" s="133" t="s">
        <v>111</v>
      </c>
      <c r="O977" s="133" t="s">
        <v>23</v>
      </c>
      <c r="P977" s="133">
        <v>0</v>
      </c>
      <c r="R977" s="133">
        <v>2</v>
      </c>
      <c r="S977" s="133" t="s">
        <v>176</v>
      </c>
      <c r="T977" s="133" t="s">
        <v>176</v>
      </c>
      <c r="U977" s="133" t="s">
        <v>1155</v>
      </c>
      <c r="V977" s="133" t="s">
        <v>2068</v>
      </c>
      <c r="W977" s="140" t="s">
        <v>23</v>
      </c>
      <c r="X977" s="140" t="s">
        <v>3997</v>
      </c>
      <c r="Y977" s="140" t="s">
        <v>4005</v>
      </c>
      <c r="Z977" s="135"/>
      <c r="AA977" s="135"/>
      <c r="AB977" s="133" t="s">
        <v>24</v>
      </c>
      <c r="AC977" s="134">
        <v>63.721200000000003</v>
      </c>
      <c r="AD977" s="134">
        <v>148.96527</v>
      </c>
      <c r="AE977" s="135"/>
      <c r="AF977" s="135"/>
      <c r="AG977" s="135"/>
      <c r="AH977" s="139">
        <v>0</v>
      </c>
      <c r="AI977" s="139">
        <v>0</v>
      </c>
      <c r="AJ977" s="139">
        <v>0</v>
      </c>
      <c r="AK977" s="139">
        <v>0</v>
      </c>
      <c r="AL977" s="139">
        <v>0</v>
      </c>
      <c r="AM977" s="133">
        <v>0</v>
      </c>
      <c r="AN977" s="133">
        <f t="shared" si="16"/>
        <v>0</v>
      </c>
    </row>
    <row r="978" spans="1:48" s="133" customFormat="1" x14ac:dyDescent="0.2">
      <c r="A978" s="133" t="s">
        <v>1156</v>
      </c>
      <c r="B978" s="133" t="s">
        <v>1157</v>
      </c>
      <c r="C978" s="133">
        <v>4</v>
      </c>
      <c r="D978" s="133">
        <v>1</v>
      </c>
      <c r="E978" s="133" t="s">
        <v>791</v>
      </c>
      <c r="F978" s="138">
        <v>43380</v>
      </c>
      <c r="G978" s="136" t="s">
        <v>4033</v>
      </c>
      <c r="H978" s="136" t="s">
        <v>4724</v>
      </c>
      <c r="I978" s="148">
        <v>2.361111111111111E-2</v>
      </c>
      <c r="J978" s="174">
        <v>3.9351851851851852E-4</v>
      </c>
      <c r="K978" s="139">
        <v>34</v>
      </c>
      <c r="L978" s="133" t="s">
        <v>398</v>
      </c>
      <c r="M978" s="133" t="s">
        <v>924</v>
      </c>
      <c r="N978" s="133" t="s">
        <v>102</v>
      </c>
      <c r="O978" s="133" t="s">
        <v>23</v>
      </c>
      <c r="P978" s="133">
        <v>1</v>
      </c>
      <c r="R978" s="133">
        <v>0</v>
      </c>
      <c r="S978" s="133" t="s">
        <v>176</v>
      </c>
      <c r="T978" s="133" t="s">
        <v>176</v>
      </c>
      <c r="U978" s="133" t="s">
        <v>501</v>
      </c>
      <c r="V978" s="133" t="s">
        <v>115</v>
      </c>
      <c r="W978" s="135" t="s">
        <v>115</v>
      </c>
      <c r="X978" s="135" t="s">
        <v>115</v>
      </c>
      <c r="Y978" s="135" t="s">
        <v>115</v>
      </c>
      <c r="AB978" s="133" t="s">
        <v>115</v>
      </c>
      <c r="AC978" s="134" t="s">
        <v>115</v>
      </c>
      <c r="AD978" s="134"/>
      <c r="AH978" s="139">
        <v>0</v>
      </c>
      <c r="AI978" s="139">
        <v>33</v>
      </c>
      <c r="AJ978" s="139">
        <v>0</v>
      </c>
      <c r="AK978" s="139">
        <v>33</v>
      </c>
      <c r="AL978" s="139">
        <v>0</v>
      </c>
      <c r="AM978" s="133">
        <v>0</v>
      </c>
      <c r="AN978" s="133">
        <f t="shared" si="16"/>
        <v>33</v>
      </c>
      <c r="AO978" s="133" t="s">
        <v>188</v>
      </c>
      <c r="AS978" s="135"/>
      <c r="AT978" s="135"/>
      <c r="AU978" s="135"/>
      <c r="AV978" s="135"/>
    </row>
    <row r="979" spans="1:48" s="133" customFormat="1" x14ac:dyDescent="0.2">
      <c r="A979" s="135" t="s">
        <v>1158</v>
      </c>
      <c r="B979" s="135" t="s">
        <v>1159</v>
      </c>
      <c r="C979" s="135">
        <v>5</v>
      </c>
      <c r="D979" s="135">
        <v>1</v>
      </c>
      <c r="E979" s="135" t="s">
        <v>791</v>
      </c>
      <c r="F979" s="136">
        <v>43380</v>
      </c>
      <c r="G979" s="136" t="s">
        <v>4033</v>
      </c>
      <c r="H979" s="136" t="s">
        <v>4724</v>
      </c>
      <c r="I979" s="172">
        <v>5.7638888888888885E-2</v>
      </c>
      <c r="J979" s="175">
        <v>9.6064814814814808E-4</v>
      </c>
      <c r="K979" s="143">
        <v>83</v>
      </c>
      <c r="L979" s="135" t="s">
        <v>398</v>
      </c>
      <c r="M979" s="135" t="s">
        <v>924</v>
      </c>
      <c r="N979" s="135" t="s">
        <v>187</v>
      </c>
      <c r="O979" s="135" t="s">
        <v>23</v>
      </c>
      <c r="P979" s="135">
        <v>2</v>
      </c>
      <c r="Q979" s="135"/>
      <c r="R979" s="135">
        <v>1</v>
      </c>
      <c r="S979" s="133" t="s">
        <v>14</v>
      </c>
      <c r="T979" s="135" t="s">
        <v>2128</v>
      </c>
      <c r="U979" s="135" t="s">
        <v>122</v>
      </c>
      <c r="V979" s="135" t="s">
        <v>2084</v>
      </c>
      <c r="W979" s="135" t="s">
        <v>23</v>
      </c>
      <c r="X979" s="135" t="s">
        <v>3997</v>
      </c>
      <c r="Y979" s="135" t="s">
        <v>3998</v>
      </c>
      <c r="AB979" s="135">
        <v>4</v>
      </c>
      <c r="AC979" s="137">
        <v>63.722389999999997</v>
      </c>
      <c r="AD979" s="137">
        <v>148.96592999999999</v>
      </c>
      <c r="AH979" s="143">
        <v>0</v>
      </c>
      <c r="AI979" s="143">
        <v>0</v>
      </c>
      <c r="AJ979" s="143">
        <v>0</v>
      </c>
      <c r="AK979" s="143">
        <v>0</v>
      </c>
      <c r="AL979" s="143">
        <v>18</v>
      </c>
      <c r="AM979" s="135">
        <v>0</v>
      </c>
      <c r="AN979" s="135">
        <f t="shared" si="16"/>
        <v>18</v>
      </c>
      <c r="AO979" s="135"/>
      <c r="AP979" s="135" t="s">
        <v>1160</v>
      </c>
      <c r="AQ979" s="135"/>
      <c r="AR979" s="135"/>
      <c r="AS979" s="135"/>
      <c r="AT979" s="135"/>
      <c r="AU979" s="135" t="s">
        <v>3940</v>
      </c>
      <c r="AV979" s="135"/>
    </row>
    <row r="980" spans="1:48" s="133" customFormat="1" x14ac:dyDescent="0.2">
      <c r="A980" s="133" t="s">
        <v>1158</v>
      </c>
      <c r="B980" s="133" t="s">
        <v>1159</v>
      </c>
      <c r="C980" s="133">
        <v>5</v>
      </c>
      <c r="D980" s="133">
        <v>3</v>
      </c>
      <c r="E980" s="133" t="s">
        <v>791</v>
      </c>
      <c r="F980" s="138">
        <v>43380</v>
      </c>
      <c r="G980" s="136" t="s">
        <v>4033</v>
      </c>
      <c r="H980" s="136" t="s">
        <v>4724</v>
      </c>
      <c r="I980" s="148">
        <v>5.7638888888888885E-2</v>
      </c>
      <c r="J980" s="174">
        <v>9.6064814814814808E-4</v>
      </c>
      <c r="K980" s="139">
        <v>83</v>
      </c>
      <c r="L980" s="133" t="s">
        <v>398</v>
      </c>
      <c r="M980" s="133" t="s">
        <v>924</v>
      </c>
      <c r="N980" s="133" t="s">
        <v>111</v>
      </c>
      <c r="O980" s="133" t="s">
        <v>23</v>
      </c>
      <c r="P980" s="133">
        <v>1</v>
      </c>
      <c r="R980" s="133">
        <v>1</v>
      </c>
      <c r="S980" s="133" t="s">
        <v>14</v>
      </c>
      <c r="T980" s="133" t="s">
        <v>2128</v>
      </c>
      <c r="U980" s="133" t="s">
        <v>122</v>
      </c>
      <c r="V980" s="133" t="s">
        <v>2085</v>
      </c>
      <c r="W980" s="135" t="s">
        <v>23</v>
      </c>
      <c r="X980" s="135" t="s">
        <v>3999</v>
      </c>
      <c r="Y980" s="135" t="s">
        <v>4001</v>
      </c>
      <c r="AB980" s="133">
        <v>13</v>
      </c>
      <c r="AC980" s="134">
        <v>63.722320000000003</v>
      </c>
      <c r="AD980" s="134">
        <v>148.96617000000001</v>
      </c>
      <c r="AH980" s="139">
        <v>0</v>
      </c>
      <c r="AI980" s="139">
        <v>0</v>
      </c>
      <c r="AJ980" s="139">
        <v>0</v>
      </c>
      <c r="AK980" s="139">
        <v>0</v>
      </c>
      <c r="AL980" s="139">
        <v>0</v>
      </c>
      <c r="AM980" s="133">
        <v>0</v>
      </c>
      <c r="AN980" s="133">
        <f t="shared" si="16"/>
        <v>0</v>
      </c>
      <c r="AP980" s="133" t="s">
        <v>2086</v>
      </c>
    </row>
    <row r="981" spans="1:48" s="135" customFormat="1" x14ac:dyDescent="0.2">
      <c r="A981" s="133" t="s">
        <v>1158</v>
      </c>
      <c r="B981" s="133" t="s">
        <v>1159</v>
      </c>
      <c r="C981" s="133">
        <v>5</v>
      </c>
      <c r="D981" s="133">
        <v>2</v>
      </c>
      <c r="E981" s="133" t="s">
        <v>791</v>
      </c>
      <c r="F981" s="138">
        <v>43380</v>
      </c>
      <c r="G981" s="136" t="s">
        <v>4033</v>
      </c>
      <c r="H981" s="136" t="s">
        <v>4724</v>
      </c>
      <c r="I981" s="148">
        <v>5.7638888888888885E-2</v>
      </c>
      <c r="J981" s="174">
        <v>9.6064814814814808E-4</v>
      </c>
      <c r="K981" s="139">
        <v>83</v>
      </c>
      <c r="L981" s="133" t="s">
        <v>398</v>
      </c>
      <c r="M981" s="133" t="s">
        <v>924</v>
      </c>
      <c r="N981" s="133" t="s">
        <v>111</v>
      </c>
      <c r="O981" s="133" t="s">
        <v>23</v>
      </c>
      <c r="P981" s="133">
        <v>0</v>
      </c>
      <c r="Q981" s="133"/>
      <c r="R981" s="133">
        <v>2</v>
      </c>
      <c r="S981" s="133" t="s">
        <v>176</v>
      </c>
      <c r="T981" s="133" t="s">
        <v>176</v>
      </c>
      <c r="U981" s="133" t="s">
        <v>122</v>
      </c>
      <c r="V981" s="133" t="s">
        <v>2084</v>
      </c>
      <c r="W981" s="140" t="s">
        <v>23</v>
      </c>
      <c r="X981" s="140" t="s">
        <v>3997</v>
      </c>
      <c r="Y981" s="140" t="s">
        <v>4006</v>
      </c>
      <c r="Z981" s="133"/>
      <c r="AA981" s="133"/>
      <c r="AB981" s="133">
        <v>21</v>
      </c>
      <c r="AC981" s="134">
        <v>63.722290000000001</v>
      </c>
      <c r="AD981" s="134">
        <v>148.96632</v>
      </c>
      <c r="AE981" s="133"/>
      <c r="AF981" s="133"/>
      <c r="AG981" s="133"/>
      <c r="AH981" s="139">
        <v>0</v>
      </c>
      <c r="AI981" s="139">
        <v>0</v>
      </c>
      <c r="AJ981" s="139">
        <v>0</v>
      </c>
      <c r="AK981" s="139">
        <v>0</v>
      </c>
      <c r="AL981" s="139">
        <v>0</v>
      </c>
      <c r="AM981" s="133">
        <v>0</v>
      </c>
      <c r="AN981" s="133">
        <f t="shared" si="16"/>
        <v>0</v>
      </c>
      <c r="AO981" s="133"/>
      <c r="AP981" s="133"/>
      <c r="AQ981" s="133"/>
      <c r="AR981" s="133"/>
      <c r="AS981" s="133"/>
      <c r="AT981" s="133"/>
      <c r="AU981" s="133"/>
      <c r="AV981" s="133"/>
    </row>
    <row r="982" spans="1:48" s="135" customFormat="1" x14ac:dyDescent="0.2">
      <c r="A982" s="135" t="s">
        <v>1745</v>
      </c>
      <c r="B982" s="135" t="s">
        <v>1746</v>
      </c>
      <c r="C982" s="135">
        <v>1</v>
      </c>
      <c r="D982" s="135">
        <v>1</v>
      </c>
      <c r="E982" s="135" t="s">
        <v>791</v>
      </c>
      <c r="F982" s="136">
        <v>43396</v>
      </c>
      <c r="G982" s="136" t="s">
        <v>4033</v>
      </c>
      <c r="H982" s="136" t="s">
        <v>4724</v>
      </c>
      <c r="I982" s="172">
        <v>1.8749999999999999E-2</v>
      </c>
      <c r="J982" s="175">
        <v>3.1250000000000001E-4</v>
      </c>
      <c r="K982" s="143">
        <v>27</v>
      </c>
      <c r="M982" s="135" t="s">
        <v>924</v>
      </c>
      <c r="N982" s="135" t="s">
        <v>102</v>
      </c>
      <c r="O982" s="135" t="s">
        <v>115</v>
      </c>
      <c r="P982" s="135" t="s">
        <v>24</v>
      </c>
      <c r="R982" s="135">
        <v>0</v>
      </c>
      <c r="S982" s="133" t="s">
        <v>176</v>
      </c>
      <c r="T982" s="135" t="s">
        <v>176</v>
      </c>
      <c r="U982" s="135" t="s">
        <v>115</v>
      </c>
      <c r="V982" s="135" t="s">
        <v>115</v>
      </c>
      <c r="W982" s="135" t="s">
        <v>115</v>
      </c>
      <c r="X982" s="135" t="s">
        <v>115</v>
      </c>
      <c r="Y982" s="135" t="s">
        <v>115</v>
      </c>
      <c r="AB982" s="135" t="s">
        <v>115</v>
      </c>
      <c r="AC982" s="137" t="s">
        <v>115</v>
      </c>
      <c r="AD982" s="137"/>
      <c r="AH982" s="143">
        <v>0</v>
      </c>
      <c r="AI982" s="143">
        <v>0</v>
      </c>
      <c r="AJ982" s="143">
        <v>0</v>
      </c>
      <c r="AK982" s="143">
        <v>0</v>
      </c>
      <c r="AL982" s="143">
        <v>27</v>
      </c>
      <c r="AM982" s="143">
        <v>0</v>
      </c>
      <c r="AN982" s="135">
        <f t="shared" si="16"/>
        <v>27</v>
      </c>
    </row>
    <row r="983" spans="1:48" s="133" customFormat="1" x14ac:dyDescent="0.2">
      <c r="A983" s="135" t="s">
        <v>1749</v>
      </c>
      <c r="B983" s="135" t="s">
        <v>1750</v>
      </c>
      <c r="C983" s="135">
        <v>3</v>
      </c>
      <c r="D983" s="135">
        <v>1</v>
      </c>
      <c r="E983" s="135" t="s">
        <v>791</v>
      </c>
      <c r="F983" s="136">
        <v>43396</v>
      </c>
      <c r="G983" s="136" t="s">
        <v>4033</v>
      </c>
      <c r="H983" s="136" t="s">
        <v>4724</v>
      </c>
      <c r="I983" s="172">
        <v>1.8749999999999999E-2</v>
      </c>
      <c r="J983" s="175">
        <v>3.1250000000000001E-4</v>
      </c>
      <c r="K983" s="143">
        <v>27</v>
      </c>
      <c r="L983" s="135"/>
      <c r="M983" s="135" t="s">
        <v>924</v>
      </c>
      <c r="N983" s="135" t="s">
        <v>102</v>
      </c>
      <c r="O983" s="135" t="s">
        <v>115</v>
      </c>
      <c r="P983" s="135">
        <v>0</v>
      </c>
      <c r="Q983" s="135"/>
      <c r="R983" s="135">
        <v>0</v>
      </c>
      <c r="S983" s="135"/>
      <c r="T983" s="135" t="s">
        <v>115</v>
      </c>
      <c r="U983" s="135" t="s">
        <v>115</v>
      </c>
      <c r="V983" s="135" t="s">
        <v>115</v>
      </c>
      <c r="W983" s="135" t="s">
        <v>115</v>
      </c>
      <c r="X983" s="135" t="s">
        <v>115</v>
      </c>
      <c r="Y983" s="135" t="s">
        <v>115</v>
      </c>
      <c r="Z983" s="135"/>
      <c r="AA983" s="135"/>
      <c r="AB983" s="135" t="s">
        <v>115</v>
      </c>
      <c r="AC983" s="137" t="s">
        <v>115</v>
      </c>
      <c r="AD983" s="137"/>
      <c r="AE983" s="135"/>
      <c r="AF983" s="135"/>
      <c r="AG983" s="135"/>
      <c r="AH983" s="143">
        <v>0</v>
      </c>
      <c r="AI983" s="143">
        <v>0</v>
      </c>
      <c r="AJ983" s="143">
        <v>0</v>
      </c>
      <c r="AK983" s="143">
        <v>0</v>
      </c>
      <c r="AL983" s="143">
        <v>27</v>
      </c>
      <c r="AM983" s="143">
        <v>0</v>
      </c>
      <c r="AN983" s="135">
        <f t="shared" si="16"/>
        <v>27</v>
      </c>
      <c r="AO983" s="135"/>
      <c r="AP983" s="135" t="s">
        <v>3973</v>
      </c>
      <c r="AQ983" s="135"/>
      <c r="AR983" s="135"/>
    </row>
    <row r="984" spans="1:48" s="133" customFormat="1" x14ac:dyDescent="0.2">
      <c r="A984" s="135" t="s">
        <v>1751</v>
      </c>
      <c r="B984" s="135" t="s">
        <v>1752</v>
      </c>
      <c r="C984" s="135">
        <v>4</v>
      </c>
      <c r="D984" s="135">
        <v>1</v>
      </c>
      <c r="E984" s="135" t="s">
        <v>791</v>
      </c>
      <c r="F984" s="136">
        <v>43396</v>
      </c>
      <c r="G984" s="136" t="s">
        <v>4033</v>
      </c>
      <c r="H984" s="136" t="s">
        <v>4724</v>
      </c>
      <c r="I984" s="172">
        <v>1.1805555555555555E-2</v>
      </c>
      <c r="J984" s="175">
        <v>1.9675925925925926E-4</v>
      </c>
      <c r="K984" s="143">
        <v>17</v>
      </c>
      <c r="L984" s="135"/>
      <c r="M984" s="135" t="s">
        <v>924</v>
      </c>
      <c r="N984" s="135" t="s">
        <v>102</v>
      </c>
      <c r="O984" s="135" t="s">
        <v>115</v>
      </c>
      <c r="P984" s="135">
        <v>0</v>
      </c>
      <c r="Q984" s="135"/>
      <c r="R984" s="135">
        <v>0</v>
      </c>
      <c r="S984" s="135"/>
      <c r="T984" s="135" t="s">
        <v>115</v>
      </c>
      <c r="U984" s="135" t="s">
        <v>115</v>
      </c>
      <c r="V984" s="135" t="s">
        <v>115</v>
      </c>
      <c r="W984" s="135" t="s">
        <v>115</v>
      </c>
      <c r="X984" s="135" t="s">
        <v>115</v>
      </c>
      <c r="Y984" s="135" t="s">
        <v>115</v>
      </c>
      <c r="Z984" s="135"/>
      <c r="AA984" s="135"/>
      <c r="AB984" s="135" t="s">
        <v>115</v>
      </c>
      <c r="AC984" s="137" t="s">
        <v>115</v>
      </c>
      <c r="AD984" s="137"/>
      <c r="AE984" s="135"/>
      <c r="AF984" s="135"/>
      <c r="AG984" s="135"/>
      <c r="AH984" s="143">
        <v>0</v>
      </c>
      <c r="AI984" s="143">
        <v>0</v>
      </c>
      <c r="AJ984" s="143">
        <v>0</v>
      </c>
      <c r="AK984" s="143">
        <v>0</v>
      </c>
      <c r="AL984" s="143">
        <v>16</v>
      </c>
      <c r="AM984" s="143">
        <v>0</v>
      </c>
      <c r="AN984" s="135">
        <f t="shared" si="16"/>
        <v>16</v>
      </c>
      <c r="AO984" s="135"/>
      <c r="AP984" s="135" t="s">
        <v>3973</v>
      </c>
      <c r="AQ984" s="135"/>
      <c r="AR984" s="135"/>
    </row>
    <row r="985" spans="1:48" s="133" customFormat="1" x14ac:dyDescent="0.2">
      <c r="A985" s="135" t="s">
        <v>1756</v>
      </c>
      <c r="B985" s="135" t="s">
        <v>1757</v>
      </c>
      <c r="C985" s="135">
        <v>6</v>
      </c>
      <c r="D985" s="135">
        <v>1</v>
      </c>
      <c r="E985" s="135" t="s">
        <v>791</v>
      </c>
      <c r="F985" s="136">
        <v>43396</v>
      </c>
      <c r="G985" s="136" t="s">
        <v>4033</v>
      </c>
      <c r="H985" s="136" t="s">
        <v>4724</v>
      </c>
      <c r="I985" s="172">
        <v>6.9444444444444441E-3</v>
      </c>
      <c r="J985" s="175">
        <v>1.1574074074074073E-4</v>
      </c>
      <c r="K985" s="143">
        <v>10</v>
      </c>
      <c r="L985" s="135"/>
      <c r="M985" s="135" t="s">
        <v>924</v>
      </c>
      <c r="N985" s="135" t="s">
        <v>102</v>
      </c>
      <c r="O985" s="135" t="s">
        <v>115</v>
      </c>
      <c r="P985" s="135" t="s">
        <v>24</v>
      </c>
      <c r="Q985" s="135"/>
      <c r="R985" s="135">
        <v>0</v>
      </c>
      <c r="S985" s="135"/>
      <c r="T985" s="135" t="s">
        <v>115</v>
      </c>
      <c r="U985" s="135" t="s">
        <v>115</v>
      </c>
      <c r="V985" s="135" t="s">
        <v>115</v>
      </c>
      <c r="W985" s="135" t="s">
        <v>115</v>
      </c>
      <c r="X985" s="135" t="s">
        <v>115</v>
      </c>
      <c r="Y985" s="135" t="s">
        <v>115</v>
      </c>
      <c r="AB985" s="135" t="s">
        <v>115</v>
      </c>
      <c r="AC985" s="137" t="s">
        <v>115</v>
      </c>
      <c r="AD985" s="137"/>
      <c r="AH985" s="143">
        <v>0</v>
      </c>
      <c r="AI985" s="143">
        <v>0</v>
      </c>
      <c r="AJ985" s="143">
        <v>0</v>
      </c>
      <c r="AK985" s="143">
        <v>0</v>
      </c>
      <c r="AL985" s="143">
        <v>2</v>
      </c>
      <c r="AM985" s="143">
        <v>0</v>
      </c>
      <c r="AN985" s="135">
        <f t="shared" si="16"/>
        <v>2</v>
      </c>
      <c r="AO985" s="135"/>
      <c r="AP985" s="135"/>
      <c r="AQ985" s="135"/>
      <c r="AR985" s="135"/>
      <c r="AS985" s="135"/>
      <c r="AT985" s="135"/>
      <c r="AU985" s="135"/>
      <c r="AV985" s="135"/>
    </row>
    <row r="986" spans="1:48" s="133" customFormat="1" x14ac:dyDescent="0.2">
      <c r="A986" s="135" t="s">
        <v>1758</v>
      </c>
      <c r="B986" s="135" t="s">
        <v>1759</v>
      </c>
      <c r="C986" s="135">
        <v>7</v>
      </c>
      <c r="D986" s="135">
        <v>1</v>
      </c>
      <c r="E986" s="135" t="s">
        <v>791</v>
      </c>
      <c r="F986" s="136">
        <v>43396</v>
      </c>
      <c r="G986" s="136" t="s">
        <v>4033</v>
      </c>
      <c r="H986" s="136" t="s">
        <v>4724</v>
      </c>
      <c r="I986" s="172">
        <v>2.9861111111111113E-2</v>
      </c>
      <c r="J986" s="175">
        <v>4.9768518518518521E-4</v>
      </c>
      <c r="K986" s="143">
        <v>43</v>
      </c>
      <c r="L986" s="135"/>
      <c r="M986" s="135" t="s">
        <v>924</v>
      </c>
      <c r="N986" s="135" t="s">
        <v>102</v>
      </c>
      <c r="O986" s="135" t="s">
        <v>115</v>
      </c>
      <c r="P986" s="135">
        <v>1</v>
      </c>
      <c r="Q986" s="135"/>
      <c r="R986" s="135">
        <v>0</v>
      </c>
      <c r="S986" s="133" t="s">
        <v>598</v>
      </c>
      <c r="T986" s="135" t="s">
        <v>1012</v>
      </c>
      <c r="U986" s="135" t="s">
        <v>122</v>
      </c>
      <c r="V986" s="135" t="s">
        <v>115</v>
      </c>
      <c r="W986" s="135" t="s">
        <v>115</v>
      </c>
      <c r="X986" s="135" t="s">
        <v>115</v>
      </c>
      <c r="Y986" s="135" t="s">
        <v>115</v>
      </c>
      <c r="AB986" s="135" t="s">
        <v>115</v>
      </c>
      <c r="AC986" s="137" t="s">
        <v>115</v>
      </c>
      <c r="AD986" s="137"/>
      <c r="AH986" s="143">
        <v>0</v>
      </c>
      <c r="AI986" s="143">
        <v>0</v>
      </c>
      <c r="AJ986" s="143">
        <v>0</v>
      </c>
      <c r="AK986" s="143">
        <v>0</v>
      </c>
      <c r="AL986" s="143">
        <v>23</v>
      </c>
      <c r="AM986" s="143">
        <v>0</v>
      </c>
      <c r="AN986" s="135">
        <f t="shared" si="16"/>
        <v>23</v>
      </c>
      <c r="AO986" s="135"/>
      <c r="AP986" s="135" t="s">
        <v>3974</v>
      </c>
      <c r="AQ986" s="135"/>
      <c r="AR986" s="135"/>
    </row>
    <row r="987" spans="1:48" s="133" customFormat="1" x14ac:dyDescent="0.2">
      <c r="A987" s="135" t="s">
        <v>1151</v>
      </c>
      <c r="B987" s="135" t="s">
        <v>1152</v>
      </c>
      <c r="C987" s="135">
        <v>2</v>
      </c>
      <c r="D987" s="135">
        <v>1</v>
      </c>
      <c r="E987" s="135" t="s">
        <v>791</v>
      </c>
      <c r="F987" s="136">
        <v>43380</v>
      </c>
      <c r="G987" s="136" t="s">
        <v>4033</v>
      </c>
      <c r="H987" s="136" t="s">
        <v>4724</v>
      </c>
      <c r="I987" s="172">
        <v>4.8611111111111112E-3</v>
      </c>
      <c r="J987" s="175">
        <v>8.1018518518518516E-5</v>
      </c>
      <c r="K987" s="143">
        <v>7</v>
      </c>
      <c r="L987" s="135" t="s">
        <v>398</v>
      </c>
      <c r="M987" s="135" t="s">
        <v>927</v>
      </c>
      <c r="N987" s="135" t="s">
        <v>102</v>
      </c>
      <c r="O987" s="135" t="s">
        <v>115</v>
      </c>
      <c r="P987" s="135">
        <v>1</v>
      </c>
      <c r="Q987" s="135"/>
      <c r="R987" s="135">
        <v>0</v>
      </c>
      <c r="S987" s="133" t="s">
        <v>14</v>
      </c>
      <c r="T987" s="135" t="s">
        <v>2128</v>
      </c>
      <c r="U987" s="135" t="s">
        <v>122</v>
      </c>
      <c r="V987" s="135" t="s">
        <v>115</v>
      </c>
      <c r="W987" s="135" t="s">
        <v>115</v>
      </c>
      <c r="X987" s="135" t="s">
        <v>115</v>
      </c>
      <c r="Y987" s="135" t="s">
        <v>115</v>
      </c>
      <c r="Z987" s="135"/>
      <c r="AA987" s="135"/>
      <c r="AB987" s="135" t="s">
        <v>115</v>
      </c>
      <c r="AC987" s="137" t="s">
        <v>115</v>
      </c>
      <c r="AD987" s="137"/>
      <c r="AE987" s="135"/>
      <c r="AF987" s="135"/>
      <c r="AG987" s="135"/>
      <c r="AH987" s="143">
        <v>0</v>
      </c>
      <c r="AI987" s="143">
        <v>0</v>
      </c>
      <c r="AJ987" s="143">
        <v>0</v>
      </c>
      <c r="AK987" s="143">
        <v>0</v>
      </c>
      <c r="AL987" s="143">
        <v>6</v>
      </c>
      <c r="AM987" s="135">
        <v>0</v>
      </c>
      <c r="AN987" s="135">
        <f t="shared" si="16"/>
        <v>6</v>
      </c>
      <c r="AO987" s="135"/>
      <c r="AP987" s="135"/>
      <c r="AQ987" s="135"/>
      <c r="AR987" s="135"/>
      <c r="AS987" s="135"/>
      <c r="AT987" s="135"/>
      <c r="AU987" s="135" t="s">
        <v>3945</v>
      </c>
      <c r="AV987" s="135"/>
    </row>
    <row r="988" spans="1:48" s="133" customFormat="1" x14ac:dyDescent="0.2">
      <c r="A988" s="133" t="s">
        <v>1583</v>
      </c>
      <c r="B988" s="133" t="s">
        <v>1584</v>
      </c>
      <c r="C988" s="133">
        <v>1</v>
      </c>
      <c r="D988" s="133">
        <v>1</v>
      </c>
      <c r="E988" s="133" t="s">
        <v>791</v>
      </c>
      <c r="F988" s="138">
        <v>43390</v>
      </c>
      <c r="G988" s="136" t="s">
        <v>4033</v>
      </c>
      <c r="H988" s="136" t="s">
        <v>4724</v>
      </c>
      <c r="I988" s="148">
        <v>2.1527777777777781E-2</v>
      </c>
      <c r="J988" s="174">
        <v>3.5879629629629635E-4</v>
      </c>
      <c r="K988" s="139">
        <v>31</v>
      </c>
      <c r="L988" s="133" t="s">
        <v>398</v>
      </c>
      <c r="M988" s="133" t="s">
        <v>927</v>
      </c>
      <c r="N988" s="133" t="s">
        <v>156</v>
      </c>
      <c r="O988" s="133" t="s">
        <v>23</v>
      </c>
      <c r="P988" s="133">
        <v>2</v>
      </c>
      <c r="R988" s="133">
        <v>1</v>
      </c>
      <c r="S988" s="133" t="s">
        <v>176</v>
      </c>
      <c r="T988" s="133" t="s">
        <v>1585</v>
      </c>
      <c r="U988" s="133" t="s">
        <v>1586</v>
      </c>
      <c r="V988" s="133" t="s">
        <v>3963</v>
      </c>
      <c r="W988" s="135" t="s">
        <v>23</v>
      </c>
      <c r="X988" s="135" t="s">
        <v>3997</v>
      </c>
      <c r="Y988" s="135" t="s">
        <v>4002</v>
      </c>
      <c r="Z988" s="135"/>
      <c r="AA988" s="135"/>
      <c r="AB988" s="133" t="s">
        <v>24</v>
      </c>
      <c r="AC988" s="134">
        <v>63.723950000000002</v>
      </c>
      <c r="AD988" s="134">
        <v>148.96271999999999</v>
      </c>
      <c r="AE988" s="135"/>
      <c r="AF988" s="135"/>
      <c r="AG988" s="135"/>
      <c r="AH988" s="139">
        <v>10</v>
      </c>
      <c r="AI988" s="139">
        <v>0</v>
      </c>
      <c r="AJ988" s="139">
        <v>0</v>
      </c>
      <c r="AK988" s="139">
        <v>10</v>
      </c>
      <c r="AL988" s="139">
        <v>0</v>
      </c>
      <c r="AM988" s="133">
        <v>0</v>
      </c>
      <c r="AN988" s="133">
        <f t="shared" si="16"/>
        <v>10</v>
      </c>
      <c r="AP988" s="133" t="s">
        <v>1587</v>
      </c>
    </row>
    <row r="989" spans="1:48" s="133" customFormat="1" x14ac:dyDescent="0.2">
      <c r="A989" s="135" t="s">
        <v>1747</v>
      </c>
      <c r="B989" s="135" t="s">
        <v>1748</v>
      </c>
      <c r="C989" s="135">
        <v>2</v>
      </c>
      <c r="D989" s="135">
        <v>1</v>
      </c>
      <c r="E989" s="135" t="s">
        <v>791</v>
      </c>
      <c r="F989" s="136">
        <v>43396</v>
      </c>
      <c r="G989" s="136" t="s">
        <v>4033</v>
      </c>
      <c r="H989" s="136" t="s">
        <v>4724</v>
      </c>
      <c r="I989" s="172">
        <v>8.3333333333333332E-3</v>
      </c>
      <c r="J989" s="175">
        <v>1.3888888888888889E-4</v>
      </c>
      <c r="K989" s="143">
        <v>12</v>
      </c>
      <c r="L989" s="135"/>
      <c r="M989" s="135" t="s">
        <v>927</v>
      </c>
      <c r="N989" s="135" t="s">
        <v>102</v>
      </c>
      <c r="O989" s="135" t="s">
        <v>115</v>
      </c>
      <c r="P989" s="135">
        <v>2</v>
      </c>
      <c r="Q989" s="135"/>
      <c r="R989" s="135">
        <v>0</v>
      </c>
      <c r="S989" s="133" t="s">
        <v>176</v>
      </c>
      <c r="T989" s="135" t="s">
        <v>176</v>
      </c>
      <c r="U989" s="135" t="s">
        <v>122</v>
      </c>
      <c r="V989" s="135" t="s">
        <v>115</v>
      </c>
      <c r="W989" s="135" t="s">
        <v>115</v>
      </c>
      <c r="X989" s="135" t="s">
        <v>115</v>
      </c>
      <c r="Y989" s="135" t="s">
        <v>115</v>
      </c>
      <c r="Z989" s="135"/>
      <c r="AA989" s="135"/>
      <c r="AB989" s="135" t="s">
        <v>115</v>
      </c>
      <c r="AC989" s="137" t="s">
        <v>115</v>
      </c>
      <c r="AD989" s="137"/>
      <c r="AE989" s="135"/>
      <c r="AF989" s="135"/>
      <c r="AG989" s="135"/>
      <c r="AH989" s="143">
        <v>0</v>
      </c>
      <c r="AI989" s="143">
        <v>0</v>
      </c>
      <c r="AJ989" s="143">
        <v>0</v>
      </c>
      <c r="AK989" s="143">
        <v>0</v>
      </c>
      <c r="AL989" s="143">
        <v>12</v>
      </c>
      <c r="AM989" s="135">
        <v>0</v>
      </c>
      <c r="AN989" s="135">
        <f t="shared" si="16"/>
        <v>12</v>
      </c>
      <c r="AO989" s="135"/>
      <c r="AP989" s="135"/>
      <c r="AQ989" s="135"/>
      <c r="AR989" s="135"/>
    </row>
    <row r="990" spans="1:48" s="133" customFormat="1" x14ac:dyDescent="0.2">
      <c r="A990" s="135" t="s">
        <v>1753</v>
      </c>
      <c r="B990" s="135" t="s">
        <v>1754</v>
      </c>
      <c r="C990" s="135">
        <v>5</v>
      </c>
      <c r="D990" s="135">
        <v>1</v>
      </c>
      <c r="E990" s="135" t="s">
        <v>791</v>
      </c>
      <c r="F990" s="136">
        <v>43396</v>
      </c>
      <c r="G990" s="136" t="s">
        <v>4033</v>
      </c>
      <c r="H990" s="136" t="s">
        <v>4724</v>
      </c>
      <c r="I990" s="172">
        <v>7.6388888888888886E-3</v>
      </c>
      <c r="J990" s="175">
        <v>1.273148148148148E-4</v>
      </c>
      <c r="K990" s="143">
        <v>11</v>
      </c>
      <c r="L990" s="135"/>
      <c r="M990" s="135" t="s">
        <v>927</v>
      </c>
      <c r="N990" s="135" t="s">
        <v>102</v>
      </c>
      <c r="O990" s="135" t="s">
        <v>115</v>
      </c>
      <c r="P990" s="135">
        <v>1</v>
      </c>
      <c r="Q990" s="135"/>
      <c r="R990" s="135">
        <v>0</v>
      </c>
      <c r="S990" s="133" t="s">
        <v>176</v>
      </c>
      <c r="T990" s="135" t="s">
        <v>176</v>
      </c>
      <c r="U990" s="135" t="s">
        <v>122</v>
      </c>
      <c r="V990" s="135" t="s">
        <v>115</v>
      </c>
      <c r="W990" s="135" t="s">
        <v>115</v>
      </c>
      <c r="X990" s="135" t="s">
        <v>115</v>
      </c>
      <c r="Y990" s="135" t="s">
        <v>115</v>
      </c>
      <c r="AB990" s="135" t="s">
        <v>115</v>
      </c>
      <c r="AC990" s="137" t="s">
        <v>115</v>
      </c>
      <c r="AD990" s="137"/>
      <c r="AH990" s="143">
        <v>0</v>
      </c>
      <c r="AI990" s="143">
        <v>0</v>
      </c>
      <c r="AJ990" s="143">
        <v>0</v>
      </c>
      <c r="AK990" s="143">
        <v>0</v>
      </c>
      <c r="AL990" s="143">
        <v>9</v>
      </c>
      <c r="AM990" s="143">
        <v>0</v>
      </c>
      <c r="AN990" s="135">
        <f t="shared" si="16"/>
        <v>9</v>
      </c>
      <c r="AO990" s="135"/>
      <c r="AP990" s="135" t="s">
        <v>1755</v>
      </c>
      <c r="AQ990" s="135"/>
      <c r="AR990" s="135"/>
    </row>
    <row r="991" spans="1:48" s="133" customFormat="1" ht="17" customHeight="1" x14ac:dyDescent="0.2">
      <c r="A991" s="133" t="s">
        <v>1717</v>
      </c>
      <c r="B991" s="133" t="s">
        <v>1715</v>
      </c>
      <c r="C991" s="133">
        <v>1</v>
      </c>
      <c r="D991" s="133">
        <v>1</v>
      </c>
      <c r="E991" s="133" t="s">
        <v>1716</v>
      </c>
      <c r="F991" s="138">
        <v>43396</v>
      </c>
      <c r="G991" s="136" t="s">
        <v>4033</v>
      </c>
      <c r="H991" s="136" t="s">
        <v>4724</v>
      </c>
      <c r="I991" s="148">
        <v>1.0416666666666666E-2</v>
      </c>
      <c r="J991" s="174">
        <v>1.7361111111111112E-4</v>
      </c>
      <c r="K991" s="139">
        <v>15</v>
      </c>
      <c r="M991" s="133" t="s">
        <v>1718</v>
      </c>
      <c r="N991" s="133" t="s">
        <v>102</v>
      </c>
      <c r="O991" s="133" t="s">
        <v>23</v>
      </c>
      <c r="P991" s="133" t="s">
        <v>24</v>
      </c>
      <c r="R991" s="133">
        <v>0</v>
      </c>
      <c r="T991" s="133" t="s">
        <v>115</v>
      </c>
      <c r="U991" s="133" t="s">
        <v>115</v>
      </c>
      <c r="V991" s="133" t="s">
        <v>115</v>
      </c>
      <c r="W991" s="135" t="s">
        <v>115</v>
      </c>
      <c r="X991" s="135" t="s">
        <v>115</v>
      </c>
      <c r="Y991" s="135" t="s">
        <v>115</v>
      </c>
      <c r="Z991" s="135"/>
      <c r="AA991" s="135"/>
      <c r="AB991" s="133" t="s">
        <v>115</v>
      </c>
      <c r="AC991" s="134" t="s">
        <v>115</v>
      </c>
      <c r="AD991" s="134"/>
      <c r="AE991" s="135"/>
      <c r="AF991" s="135"/>
      <c r="AG991" s="135"/>
      <c r="AH991" s="139">
        <v>0</v>
      </c>
      <c r="AI991" s="139">
        <v>15</v>
      </c>
      <c r="AJ991" s="139">
        <v>0</v>
      </c>
      <c r="AK991" s="139">
        <v>15</v>
      </c>
      <c r="AL991" s="139">
        <v>0</v>
      </c>
      <c r="AM991" s="139">
        <v>0</v>
      </c>
      <c r="AN991" s="133">
        <f t="shared" si="16"/>
        <v>15</v>
      </c>
      <c r="AO991" s="133" t="s">
        <v>188</v>
      </c>
    </row>
    <row r="992" spans="1:48" s="135" customFormat="1" x14ac:dyDescent="0.2">
      <c r="A992" s="133" t="s">
        <v>1739</v>
      </c>
      <c r="B992" s="133" t="s">
        <v>1740</v>
      </c>
      <c r="C992" s="133">
        <v>1</v>
      </c>
      <c r="D992" s="133">
        <v>1</v>
      </c>
      <c r="E992" s="133" t="s">
        <v>1741</v>
      </c>
      <c r="F992" s="138">
        <v>43396</v>
      </c>
      <c r="G992" s="136" t="s">
        <v>4033</v>
      </c>
      <c r="H992" s="136" t="s">
        <v>4724</v>
      </c>
      <c r="I992" s="148">
        <v>2.9861111111111113E-2</v>
      </c>
      <c r="J992" s="174">
        <v>4.9768518518518521E-4</v>
      </c>
      <c r="K992" s="139">
        <v>43</v>
      </c>
      <c r="L992" s="133"/>
      <c r="M992" s="133" t="s">
        <v>1742</v>
      </c>
      <c r="N992" s="133" t="s">
        <v>102</v>
      </c>
      <c r="O992" s="133" t="s">
        <v>23</v>
      </c>
      <c r="P992" s="133">
        <v>2</v>
      </c>
      <c r="Q992" s="133"/>
      <c r="R992" s="133">
        <v>0</v>
      </c>
      <c r="S992" s="133" t="s">
        <v>176</v>
      </c>
      <c r="T992" s="133" t="s">
        <v>176</v>
      </c>
      <c r="U992" s="133" t="s">
        <v>1743</v>
      </c>
      <c r="V992" s="133" t="s">
        <v>115</v>
      </c>
      <c r="W992" s="135" t="s">
        <v>115</v>
      </c>
      <c r="X992" s="135" t="s">
        <v>115</v>
      </c>
      <c r="Y992" s="135" t="s">
        <v>115</v>
      </c>
      <c r="AB992" s="133" t="s">
        <v>115</v>
      </c>
      <c r="AC992" s="134" t="s">
        <v>115</v>
      </c>
      <c r="AD992" s="134"/>
      <c r="AH992" s="139">
        <v>41</v>
      </c>
      <c r="AI992" s="139">
        <v>0</v>
      </c>
      <c r="AJ992" s="139">
        <v>41</v>
      </c>
      <c r="AK992" s="139">
        <v>0</v>
      </c>
      <c r="AL992" s="139">
        <v>0</v>
      </c>
      <c r="AM992" s="139">
        <v>0</v>
      </c>
      <c r="AN992" s="133">
        <f t="shared" si="16"/>
        <v>41</v>
      </c>
      <c r="AO992" s="133" t="s">
        <v>375</v>
      </c>
      <c r="AP992" s="133" t="s">
        <v>1744</v>
      </c>
      <c r="AQ992" s="133">
        <v>3</v>
      </c>
      <c r="AR992" s="133">
        <v>0</v>
      </c>
      <c r="AS992" s="133"/>
      <c r="AT992" s="133"/>
      <c r="AU992" s="133"/>
      <c r="AV992" s="133"/>
    </row>
    <row r="993" spans="1:48" s="135" customFormat="1" x14ac:dyDescent="0.2">
      <c r="A993" s="135" t="s">
        <v>1458</v>
      </c>
      <c r="B993" s="135" t="s">
        <v>1459</v>
      </c>
      <c r="C993" s="135">
        <v>50</v>
      </c>
      <c r="D993" s="135">
        <v>2</v>
      </c>
      <c r="E993" s="135" t="s">
        <v>2487</v>
      </c>
      <c r="F993" s="136">
        <v>43388</v>
      </c>
      <c r="G993" s="136" t="s">
        <v>4033</v>
      </c>
      <c r="H993" s="136" t="s">
        <v>4724</v>
      </c>
      <c r="I993" s="172">
        <v>5.9027777777777783E-2</v>
      </c>
      <c r="J993" s="175">
        <v>9.8379629629629642E-4</v>
      </c>
      <c r="K993" s="143">
        <v>85</v>
      </c>
      <c r="L993" s="135" t="s">
        <v>398</v>
      </c>
      <c r="M993" s="135" t="s">
        <v>241</v>
      </c>
      <c r="N993" s="135" t="s">
        <v>102</v>
      </c>
      <c r="O993" s="135" t="s">
        <v>115</v>
      </c>
      <c r="P993" s="135">
        <v>1</v>
      </c>
      <c r="R993" s="135">
        <v>0</v>
      </c>
      <c r="S993" s="133" t="s">
        <v>461</v>
      </c>
      <c r="T993" s="135" t="s">
        <v>2125</v>
      </c>
      <c r="U993" s="135" t="s">
        <v>122</v>
      </c>
      <c r="V993" s="135" t="s">
        <v>115</v>
      </c>
      <c r="W993" s="135" t="s">
        <v>115</v>
      </c>
      <c r="X993" s="135" t="s">
        <v>115</v>
      </c>
      <c r="Y993" s="135" t="s">
        <v>115</v>
      </c>
      <c r="AB993" s="135" t="s">
        <v>115</v>
      </c>
      <c r="AC993" s="137" t="s">
        <v>115</v>
      </c>
      <c r="AD993" s="137"/>
      <c r="AH993" s="143">
        <v>0</v>
      </c>
      <c r="AI993" s="143">
        <v>0</v>
      </c>
      <c r="AJ993" s="143">
        <v>0</v>
      </c>
      <c r="AK993" s="143">
        <v>0</v>
      </c>
      <c r="AL993" s="143">
        <v>0</v>
      </c>
      <c r="AM993" s="135">
        <v>0</v>
      </c>
      <c r="AN993" s="135">
        <f t="shared" si="16"/>
        <v>0</v>
      </c>
      <c r="AP993" s="135" t="s">
        <v>1460</v>
      </c>
      <c r="AS993" s="133"/>
      <c r="AT993" s="133"/>
      <c r="AU993" s="133"/>
      <c r="AV993" s="133"/>
    </row>
    <row r="994" spans="1:48" s="133" customFormat="1" x14ac:dyDescent="0.2">
      <c r="A994" s="135" t="s">
        <v>1464</v>
      </c>
      <c r="B994" s="135" t="s">
        <v>1465</v>
      </c>
      <c r="C994" s="135">
        <v>52</v>
      </c>
      <c r="D994" s="135">
        <v>1</v>
      </c>
      <c r="E994" s="135" t="s">
        <v>2487</v>
      </c>
      <c r="F994" s="136">
        <v>43388</v>
      </c>
      <c r="G994" s="136" t="s">
        <v>4033</v>
      </c>
      <c r="H994" s="136" t="s">
        <v>4724</v>
      </c>
      <c r="I994" s="172">
        <v>2.2222222222222223E-2</v>
      </c>
      <c r="J994" s="175">
        <v>3.7037037037037035E-4</v>
      </c>
      <c r="K994" s="143">
        <v>32</v>
      </c>
      <c r="L994" s="135" t="s">
        <v>398</v>
      </c>
      <c r="M994" s="135" t="s">
        <v>241</v>
      </c>
      <c r="N994" s="135" t="s">
        <v>102</v>
      </c>
      <c r="O994" s="135" t="s">
        <v>115</v>
      </c>
      <c r="P994" s="135">
        <v>1</v>
      </c>
      <c r="Q994" s="135"/>
      <c r="R994" s="135">
        <v>0</v>
      </c>
      <c r="S994" s="133" t="s">
        <v>461</v>
      </c>
      <c r="T994" s="135" t="s">
        <v>2125</v>
      </c>
      <c r="U994" s="135" t="s">
        <v>122</v>
      </c>
      <c r="V994" s="135" t="s">
        <v>115</v>
      </c>
      <c r="W994" s="135" t="s">
        <v>115</v>
      </c>
      <c r="X994" s="135" t="s">
        <v>115</v>
      </c>
      <c r="Y994" s="135" t="s">
        <v>115</v>
      </c>
      <c r="Z994" s="135"/>
      <c r="AA994" s="135"/>
      <c r="AB994" s="135" t="s">
        <v>115</v>
      </c>
      <c r="AC994" s="137" t="s">
        <v>115</v>
      </c>
      <c r="AD994" s="137"/>
      <c r="AE994" s="135"/>
      <c r="AF994" s="135"/>
      <c r="AG994" s="135"/>
      <c r="AH994" s="143">
        <v>0</v>
      </c>
      <c r="AI994" s="143">
        <v>0</v>
      </c>
      <c r="AJ994" s="143">
        <v>0</v>
      </c>
      <c r="AK994" s="143">
        <v>0</v>
      </c>
      <c r="AL994" s="143">
        <v>0</v>
      </c>
      <c r="AM994" s="135">
        <v>0</v>
      </c>
      <c r="AN994" s="135">
        <f t="shared" si="16"/>
        <v>0</v>
      </c>
      <c r="AO994" s="135"/>
      <c r="AP994" s="135"/>
      <c r="AQ994" s="135"/>
      <c r="AR994" s="135"/>
    </row>
    <row r="995" spans="1:48" s="133" customFormat="1" x14ac:dyDescent="0.2">
      <c r="A995" s="133" t="s">
        <v>1466</v>
      </c>
      <c r="B995" s="133" t="s">
        <v>1467</v>
      </c>
      <c r="C995" s="133">
        <v>53</v>
      </c>
      <c r="D995" s="133">
        <v>1</v>
      </c>
      <c r="E995" s="133" t="s">
        <v>2487</v>
      </c>
      <c r="F995" s="138">
        <v>43388</v>
      </c>
      <c r="G995" s="136" t="s">
        <v>4033</v>
      </c>
      <c r="H995" s="136" t="s">
        <v>4724</v>
      </c>
      <c r="I995" s="148">
        <v>8.3333333333333332E-3</v>
      </c>
      <c r="J995" s="174">
        <v>1.3888888888888889E-4</v>
      </c>
      <c r="K995" s="139">
        <v>12</v>
      </c>
      <c r="L995" s="133" t="s">
        <v>398</v>
      </c>
      <c r="M995" s="133" t="s">
        <v>241</v>
      </c>
      <c r="N995" s="133" t="s">
        <v>111</v>
      </c>
      <c r="O995" s="133" t="s">
        <v>115</v>
      </c>
      <c r="P995" s="133">
        <v>0</v>
      </c>
      <c r="R995" s="133">
        <v>1</v>
      </c>
      <c r="S995" s="133" t="s">
        <v>461</v>
      </c>
      <c r="T995" s="133" t="s">
        <v>2125</v>
      </c>
      <c r="U995" s="133" t="s">
        <v>122</v>
      </c>
      <c r="V995" s="133" t="s">
        <v>2061</v>
      </c>
      <c r="W995" s="135" t="s">
        <v>23</v>
      </c>
      <c r="X995" s="135" t="s">
        <v>3999</v>
      </c>
      <c r="Y995" s="135" t="s">
        <v>4006</v>
      </c>
      <c r="Z995" s="135"/>
      <c r="AA995" s="135"/>
      <c r="AB995" s="133">
        <v>37</v>
      </c>
      <c r="AC995" s="134">
        <v>63.721760000000003</v>
      </c>
      <c r="AD995" s="134">
        <v>148.98801</v>
      </c>
      <c r="AE995" s="135"/>
      <c r="AF995" s="135"/>
      <c r="AG995" s="135"/>
      <c r="AH995" s="139">
        <v>0</v>
      </c>
      <c r="AI995" s="139">
        <v>0</v>
      </c>
      <c r="AJ995" s="139">
        <v>0</v>
      </c>
      <c r="AK995" s="139">
        <v>0</v>
      </c>
      <c r="AL995" s="143">
        <v>0</v>
      </c>
      <c r="AM995" s="133">
        <v>0</v>
      </c>
      <c r="AN995" s="133">
        <f t="shared" si="16"/>
        <v>0</v>
      </c>
      <c r="AS995" s="135"/>
      <c r="AT995" s="135"/>
      <c r="AU995" s="135"/>
      <c r="AV995" s="135"/>
    </row>
    <row r="996" spans="1:48" s="133" customFormat="1" x14ac:dyDescent="0.2">
      <c r="A996" s="135" t="s">
        <v>1468</v>
      </c>
      <c r="B996" s="135" t="s">
        <v>1469</v>
      </c>
      <c r="C996" s="135">
        <v>54</v>
      </c>
      <c r="D996" s="135">
        <v>1</v>
      </c>
      <c r="E996" s="135" t="s">
        <v>2487</v>
      </c>
      <c r="F996" s="136">
        <v>43388</v>
      </c>
      <c r="G996" s="136" t="s">
        <v>4033</v>
      </c>
      <c r="H996" s="136" t="s">
        <v>4724</v>
      </c>
      <c r="I996" s="172">
        <v>3.6111111111111115E-2</v>
      </c>
      <c r="J996" s="175">
        <v>6.018518518518519E-4</v>
      </c>
      <c r="K996" s="143">
        <v>52</v>
      </c>
      <c r="L996" s="135" t="s">
        <v>398</v>
      </c>
      <c r="M996" s="135" t="s">
        <v>241</v>
      </c>
      <c r="N996" s="135" t="s">
        <v>102</v>
      </c>
      <c r="O996" s="135" t="s">
        <v>115</v>
      </c>
      <c r="P996" s="135">
        <v>1</v>
      </c>
      <c r="Q996" s="135"/>
      <c r="R996" s="135">
        <v>0</v>
      </c>
      <c r="S996" s="133" t="s">
        <v>461</v>
      </c>
      <c r="T996" s="135" t="s">
        <v>2125</v>
      </c>
      <c r="U996" s="135" t="s">
        <v>122</v>
      </c>
      <c r="V996" s="135" t="s">
        <v>115</v>
      </c>
      <c r="W996" s="135" t="s">
        <v>115</v>
      </c>
      <c r="X996" s="135" t="s">
        <v>115</v>
      </c>
      <c r="Y996" s="135" t="s">
        <v>115</v>
      </c>
      <c r="Z996" s="135"/>
      <c r="AA996" s="135"/>
      <c r="AB996" s="135" t="s">
        <v>115</v>
      </c>
      <c r="AC996" s="137" t="s">
        <v>115</v>
      </c>
      <c r="AD996" s="137"/>
      <c r="AE996" s="135"/>
      <c r="AF996" s="135"/>
      <c r="AG996" s="135"/>
      <c r="AH996" s="143">
        <v>0</v>
      </c>
      <c r="AI996" s="143">
        <v>0</v>
      </c>
      <c r="AJ996" s="143">
        <v>0</v>
      </c>
      <c r="AK996" s="143">
        <v>0</v>
      </c>
      <c r="AL996" s="143">
        <v>0</v>
      </c>
      <c r="AM996" s="135">
        <v>0</v>
      </c>
      <c r="AN996" s="135">
        <f t="shared" si="16"/>
        <v>0</v>
      </c>
      <c r="AO996" s="135"/>
      <c r="AP996" s="135"/>
      <c r="AQ996" s="135"/>
      <c r="AR996" s="135"/>
      <c r="AS996" s="135"/>
      <c r="AT996" s="135"/>
      <c r="AU996" s="135"/>
      <c r="AV996" s="135"/>
    </row>
    <row r="997" spans="1:48" s="133" customFormat="1" x14ac:dyDescent="0.2">
      <c r="A997" s="135" t="s">
        <v>1470</v>
      </c>
      <c r="B997" s="135" t="s">
        <v>1471</v>
      </c>
      <c r="C997" s="135">
        <v>55</v>
      </c>
      <c r="D997" s="135">
        <v>1</v>
      </c>
      <c r="E997" s="135" t="s">
        <v>2487</v>
      </c>
      <c r="F997" s="136">
        <v>43388</v>
      </c>
      <c r="G997" s="136" t="s">
        <v>4033</v>
      </c>
      <c r="H997" s="136" t="s">
        <v>4724</v>
      </c>
      <c r="I997" s="172">
        <v>4.5833333333333337E-2</v>
      </c>
      <c r="J997" s="175">
        <v>7.6388888888888893E-4</v>
      </c>
      <c r="K997" s="143">
        <v>66</v>
      </c>
      <c r="L997" s="135" t="s">
        <v>398</v>
      </c>
      <c r="M997" s="135" t="s">
        <v>241</v>
      </c>
      <c r="N997" s="135" t="s">
        <v>102</v>
      </c>
      <c r="O997" s="135" t="s">
        <v>115</v>
      </c>
      <c r="P997" s="135">
        <v>1</v>
      </c>
      <c r="Q997" s="135"/>
      <c r="R997" s="135">
        <v>0</v>
      </c>
      <c r="S997" s="133" t="s">
        <v>461</v>
      </c>
      <c r="T997" s="135" t="s">
        <v>2125</v>
      </c>
      <c r="U997" s="135" t="s">
        <v>122</v>
      </c>
      <c r="V997" s="135" t="s">
        <v>115</v>
      </c>
      <c r="W997" s="135" t="s">
        <v>115</v>
      </c>
      <c r="X997" s="135" t="s">
        <v>115</v>
      </c>
      <c r="Y997" s="135" t="s">
        <v>115</v>
      </c>
      <c r="AB997" s="135" t="s">
        <v>115</v>
      </c>
      <c r="AC997" s="137" t="s">
        <v>115</v>
      </c>
      <c r="AD997" s="137"/>
      <c r="AH997" s="143">
        <v>0</v>
      </c>
      <c r="AI997" s="143">
        <v>0</v>
      </c>
      <c r="AJ997" s="143">
        <v>0</v>
      </c>
      <c r="AK997" s="143">
        <v>0</v>
      </c>
      <c r="AL997" s="143">
        <v>0</v>
      </c>
      <c r="AM997" s="135">
        <v>0</v>
      </c>
      <c r="AN997" s="135">
        <f t="shared" si="16"/>
        <v>0</v>
      </c>
      <c r="AO997" s="135"/>
      <c r="AP997" s="135"/>
      <c r="AQ997" s="135"/>
      <c r="AR997" s="135"/>
    </row>
    <row r="998" spans="1:48" s="133" customFormat="1" x14ac:dyDescent="0.2">
      <c r="A998" s="135" t="s">
        <v>1477</v>
      </c>
      <c r="B998" s="135" t="s">
        <v>1478</v>
      </c>
      <c r="C998" s="135">
        <v>58</v>
      </c>
      <c r="D998" s="135">
        <v>1</v>
      </c>
      <c r="E998" s="135" t="s">
        <v>2487</v>
      </c>
      <c r="F998" s="136">
        <v>43388</v>
      </c>
      <c r="G998" s="136" t="s">
        <v>4033</v>
      </c>
      <c r="H998" s="136" t="s">
        <v>4724</v>
      </c>
      <c r="I998" s="172">
        <v>1.6666666666666666E-2</v>
      </c>
      <c r="J998" s="175">
        <v>2.7777777777777778E-4</v>
      </c>
      <c r="K998" s="143">
        <v>24</v>
      </c>
      <c r="L998" s="135" t="s">
        <v>398</v>
      </c>
      <c r="M998" s="135" t="s">
        <v>241</v>
      </c>
      <c r="N998" s="135" t="s">
        <v>102</v>
      </c>
      <c r="O998" s="135" t="s">
        <v>115</v>
      </c>
      <c r="P998" s="135">
        <v>1</v>
      </c>
      <c r="Q998" s="135"/>
      <c r="R998" s="135">
        <v>0</v>
      </c>
      <c r="S998" s="133" t="s">
        <v>461</v>
      </c>
      <c r="T998" s="135" t="s">
        <v>2125</v>
      </c>
      <c r="U998" s="135" t="s">
        <v>122</v>
      </c>
      <c r="V998" s="135" t="s">
        <v>115</v>
      </c>
      <c r="W998" s="135" t="s">
        <v>115</v>
      </c>
      <c r="X998" s="135" t="s">
        <v>115</v>
      </c>
      <c r="Y998" s="135" t="s">
        <v>115</v>
      </c>
      <c r="Z998" s="135"/>
      <c r="AA998" s="135"/>
      <c r="AB998" s="135" t="s">
        <v>115</v>
      </c>
      <c r="AC998" s="137" t="s">
        <v>115</v>
      </c>
      <c r="AD998" s="137"/>
      <c r="AE998" s="135"/>
      <c r="AF998" s="135"/>
      <c r="AG998" s="135"/>
      <c r="AH998" s="143">
        <v>0</v>
      </c>
      <c r="AI998" s="143">
        <v>0</v>
      </c>
      <c r="AJ998" s="143">
        <v>0</v>
      </c>
      <c r="AK998" s="143">
        <v>0</v>
      </c>
      <c r="AL998" s="139">
        <v>0</v>
      </c>
      <c r="AM998" s="135">
        <v>0</v>
      </c>
      <c r="AN998" s="135">
        <f t="shared" si="16"/>
        <v>0</v>
      </c>
      <c r="AO998" s="135"/>
      <c r="AP998" s="135"/>
      <c r="AQ998" s="135"/>
      <c r="AR998" s="135"/>
    </row>
    <row r="999" spans="1:48" s="133" customFormat="1" x14ac:dyDescent="0.2">
      <c r="A999" s="135" t="s">
        <v>1483</v>
      </c>
      <c r="B999" s="135" t="s">
        <v>1484</v>
      </c>
      <c r="C999" s="135">
        <v>61</v>
      </c>
      <c r="D999" s="135">
        <v>1</v>
      </c>
      <c r="E999" s="135" t="s">
        <v>2487</v>
      </c>
      <c r="F999" s="136">
        <v>43388</v>
      </c>
      <c r="G999" s="136" t="s">
        <v>4033</v>
      </c>
      <c r="H999" s="136" t="s">
        <v>4724</v>
      </c>
      <c r="I999" s="172">
        <v>1.1111111111111112E-2</v>
      </c>
      <c r="J999" s="175">
        <v>1.8518518518518518E-4</v>
      </c>
      <c r="K999" s="143">
        <v>16</v>
      </c>
      <c r="L999" s="135" t="s">
        <v>398</v>
      </c>
      <c r="M999" s="135" t="s">
        <v>241</v>
      </c>
      <c r="N999" s="135" t="s">
        <v>102</v>
      </c>
      <c r="O999" s="135" t="s">
        <v>115</v>
      </c>
      <c r="P999" s="135">
        <v>1</v>
      </c>
      <c r="Q999" s="135"/>
      <c r="R999" s="135">
        <v>0</v>
      </c>
      <c r="S999" s="133" t="s">
        <v>461</v>
      </c>
      <c r="T999" s="135" t="s">
        <v>2125</v>
      </c>
      <c r="U999" s="135" t="s">
        <v>122</v>
      </c>
      <c r="V999" s="135" t="s">
        <v>115</v>
      </c>
      <c r="W999" s="135" t="s">
        <v>115</v>
      </c>
      <c r="X999" s="135" t="s">
        <v>115</v>
      </c>
      <c r="Y999" s="135" t="s">
        <v>115</v>
      </c>
      <c r="Z999" s="135"/>
      <c r="AA999" s="135"/>
      <c r="AB999" s="135" t="s">
        <v>115</v>
      </c>
      <c r="AC999" s="137" t="s">
        <v>115</v>
      </c>
      <c r="AD999" s="137"/>
      <c r="AE999" s="135"/>
      <c r="AF999" s="135"/>
      <c r="AG999" s="135"/>
      <c r="AH999" s="135">
        <v>0</v>
      </c>
      <c r="AI999" s="143">
        <v>0</v>
      </c>
      <c r="AJ999" s="143">
        <v>0</v>
      </c>
      <c r="AK999" s="143">
        <v>0</v>
      </c>
      <c r="AL999" s="139">
        <v>0</v>
      </c>
      <c r="AM999" s="135">
        <v>0</v>
      </c>
      <c r="AN999" s="135">
        <f t="shared" si="16"/>
        <v>0</v>
      </c>
      <c r="AO999" s="135"/>
      <c r="AP999" s="135"/>
      <c r="AQ999" s="135"/>
      <c r="AR999" s="135"/>
      <c r="AS999" s="135"/>
      <c r="AT999" s="135"/>
      <c r="AU999" s="135"/>
      <c r="AV999" s="135"/>
    </row>
    <row r="1000" spans="1:48" s="133" customFormat="1" ht="16" customHeight="1" x14ac:dyDescent="0.2">
      <c r="A1000" s="135" t="s">
        <v>1485</v>
      </c>
      <c r="B1000" s="135" t="s">
        <v>1486</v>
      </c>
      <c r="C1000" s="135">
        <v>62</v>
      </c>
      <c r="D1000" s="135">
        <v>1</v>
      </c>
      <c r="E1000" s="135" t="s">
        <v>2487</v>
      </c>
      <c r="F1000" s="136">
        <v>43388</v>
      </c>
      <c r="G1000" s="136" t="s">
        <v>4033</v>
      </c>
      <c r="H1000" s="136" t="s">
        <v>4724</v>
      </c>
      <c r="I1000" s="172">
        <v>2.4999999999999998E-2</v>
      </c>
      <c r="J1000" s="175">
        <v>4.1666666666666669E-4</v>
      </c>
      <c r="K1000" s="143">
        <v>36</v>
      </c>
      <c r="L1000" s="135" t="s">
        <v>398</v>
      </c>
      <c r="M1000" s="135" t="s">
        <v>241</v>
      </c>
      <c r="N1000" s="135" t="s">
        <v>102</v>
      </c>
      <c r="O1000" s="135" t="s">
        <v>115</v>
      </c>
      <c r="P1000" s="135">
        <v>1</v>
      </c>
      <c r="Q1000" s="135"/>
      <c r="R1000" s="135">
        <v>0</v>
      </c>
      <c r="S1000" s="133" t="s">
        <v>461</v>
      </c>
      <c r="T1000" s="135" t="s">
        <v>2125</v>
      </c>
      <c r="U1000" s="135" t="s">
        <v>122</v>
      </c>
      <c r="V1000" s="135" t="s">
        <v>115</v>
      </c>
      <c r="W1000" s="135" t="s">
        <v>115</v>
      </c>
      <c r="X1000" s="135" t="s">
        <v>115</v>
      </c>
      <c r="Y1000" s="135" t="s">
        <v>115</v>
      </c>
      <c r="Z1000" s="135"/>
      <c r="AA1000" s="135"/>
      <c r="AB1000" s="135" t="s">
        <v>115</v>
      </c>
      <c r="AC1000" s="137" t="s">
        <v>115</v>
      </c>
      <c r="AD1000" s="137"/>
      <c r="AE1000" s="135"/>
      <c r="AF1000" s="135"/>
      <c r="AG1000" s="135"/>
      <c r="AH1000" s="143">
        <v>0</v>
      </c>
      <c r="AI1000" s="143">
        <v>0</v>
      </c>
      <c r="AJ1000" s="143">
        <v>0</v>
      </c>
      <c r="AK1000" s="143">
        <v>0</v>
      </c>
      <c r="AL1000" s="139">
        <v>0</v>
      </c>
      <c r="AM1000" s="135">
        <v>0</v>
      </c>
      <c r="AN1000" s="135">
        <f t="shared" si="16"/>
        <v>0</v>
      </c>
      <c r="AO1000" s="135"/>
      <c r="AP1000" s="135"/>
      <c r="AQ1000" s="135"/>
      <c r="AR1000" s="135"/>
    </row>
    <row r="1001" spans="1:48" s="135" customFormat="1" x14ac:dyDescent="0.2">
      <c r="A1001" s="135" t="s">
        <v>1487</v>
      </c>
      <c r="B1001" s="135" t="s">
        <v>1488</v>
      </c>
      <c r="C1001" s="135">
        <v>63</v>
      </c>
      <c r="D1001" s="135">
        <v>1</v>
      </c>
      <c r="E1001" s="135" t="s">
        <v>2487</v>
      </c>
      <c r="F1001" s="136">
        <v>43388</v>
      </c>
      <c r="G1001" s="136" t="s">
        <v>4033</v>
      </c>
      <c r="H1001" s="136" t="s">
        <v>4724</v>
      </c>
      <c r="I1001" s="172">
        <v>7.013888888888889E-2</v>
      </c>
      <c r="J1001" s="175">
        <v>1.1689814814814816E-3</v>
      </c>
      <c r="K1001" s="143">
        <v>101</v>
      </c>
      <c r="L1001" s="135" t="s">
        <v>398</v>
      </c>
      <c r="M1001" s="135" t="s">
        <v>241</v>
      </c>
      <c r="N1001" s="135" t="s">
        <v>102</v>
      </c>
      <c r="O1001" s="135" t="s">
        <v>115</v>
      </c>
      <c r="P1001" s="135">
        <v>1</v>
      </c>
      <c r="R1001" s="135">
        <v>0</v>
      </c>
      <c r="S1001" s="133" t="s">
        <v>461</v>
      </c>
      <c r="T1001" s="135" t="s">
        <v>2125</v>
      </c>
      <c r="U1001" s="135" t="s">
        <v>122</v>
      </c>
      <c r="V1001" s="135" t="s">
        <v>115</v>
      </c>
      <c r="W1001" s="135" t="s">
        <v>115</v>
      </c>
      <c r="X1001" s="135" t="s">
        <v>115</v>
      </c>
      <c r="Y1001" s="135" t="s">
        <v>115</v>
      </c>
      <c r="AB1001" s="135" t="s">
        <v>115</v>
      </c>
      <c r="AC1001" s="137" t="s">
        <v>115</v>
      </c>
      <c r="AD1001" s="137"/>
      <c r="AH1001" s="143">
        <v>0</v>
      </c>
      <c r="AI1001" s="143">
        <v>0</v>
      </c>
      <c r="AJ1001" s="143">
        <v>0</v>
      </c>
      <c r="AK1001" s="143">
        <v>0</v>
      </c>
      <c r="AL1001" s="139">
        <v>0</v>
      </c>
      <c r="AM1001" s="135">
        <v>0</v>
      </c>
      <c r="AN1001" s="135">
        <f t="shared" si="16"/>
        <v>0</v>
      </c>
      <c r="AS1001" s="133"/>
      <c r="AT1001" s="133"/>
      <c r="AU1001" s="133"/>
      <c r="AV1001" s="133"/>
    </row>
    <row r="1002" spans="1:48" s="133" customFormat="1" x14ac:dyDescent="0.2">
      <c r="A1002" s="133" t="s">
        <v>1489</v>
      </c>
      <c r="B1002" s="133" t="s">
        <v>1490</v>
      </c>
      <c r="C1002" s="133">
        <v>64</v>
      </c>
      <c r="D1002" s="133">
        <v>1</v>
      </c>
      <c r="E1002" s="133" t="s">
        <v>2487</v>
      </c>
      <c r="F1002" s="138">
        <v>43388</v>
      </c>
      <c r="G1002" s="136" t="s">
        <v>4033</v>
      </c>
      <c r="H1002" s="136" t="s">
        <v>4724</v>
      </c>
      <c r="I1002" s="148">
        <v>1.7361111111111112E-2</v>
      </c>
      <c r="J1002" s="174">
        <v>2.8935185185185189E-4</v>
      </c>
      <c r="K1002" s="139">
        <v>25</v>
      </c>
      <c r="L1002" s="133" t="s">
        <v>398</v>
      </c>
      <c r="M1002" s="133" t="s">
        <v>241</v>
      </c>
      <c r="N1002" s="133" t="s">
        <v>111</v>
      </c>
      <c r="O1002" s="133" t="s">
        <v>23</v>
      </c>
      <c r="P1002" s="133">
        <v>0</v>
      </c>
      <c r="R1002" s="133">
        <v>1</v>
      </c>
      <c r="S1002" s="133" t="s">
        <v>461</v>
      </c>
      <c r="T1002" s="133" t="s">
        <v>2125</v>
      </c>
      <c r="U1002" s="133" t="s">
        <v>122</v>
      </c>
      <c r="V1002" s="133" t="s">
        <v>1035</v>
      </c>
      <c r="W1002" s="135" t="s">
        <v>23</v>
      </c>
      <c r="X1002" s="135" t="s">
        <v>3997</v>
      </c>
      <c r="Y1002" s="135" t="s">
        <v>4006</v>
      </c>
      <c r="AB1002" s="133" t="s">
        <v>24</v>
      </c>
      <c r="AC1002" s="134">
        <v>63.721519999999998</v>
      </c>
      <c r="AD1002" s="134">
        <v>148.98714000000001</v>
      </c>
      <c r="AH1002" s="139">
        <v>0</v>
      </c>
      <c r="AI1002" s="139">
        <v>0</v>
      </c>
      <c r="AJ1002" s="139">
        <v>0</v>
      </c>
      <c r="AK1002" s="139">
        <v>0</v>
      </c>
      <c r="AL1002" s="139">
        <v>0</v>
      </c>
      <c r="AM1002" s="133">
        <v>0</v>
      </c>
      <c r="AN1002" s="133">
        <f t="shared" si="16"/>
        <v>0</v>
      </c>
    </row>
    <row r="1003" spans="1:48" s="133" customFormat="1" x14ac:dyDescent="0.2">
      <c r="A1003" s="133" t="s">
        <v>1719</v>
      </c>
      <c r="B1003" s="133" t="s">
        <v>1720</v>
      </c>
      <c r="C1003" s="133">
        <v>6</v>
      </c>
      <c r="D1003" s="133">
        <v>1</v>
      </c>
      <c r="E1003" s="133" t="s">
        <v>2487</v>
      </c>
      <c r="F1003" s="138">
        <v>43396</v>
      </c>
      <c r="G1003" s="136" t="s">
        <v>4033</v>
      </c>
      <c r="H1003" s="136" t="s">
        <v>4724</v>
      </c>
      <c r="I1003" s="148">
        <v>3.888888888888889E-2</v>
      </c>
      <c r="J1003" s="174">
        <v>6.4814814814814813E-4</v>
      </c>
      <c r="K1003" s="139">
        <v>56</v>
      </c>
      <c r="M1003" s="133" t="s">
        <v>241</v>
      </c>
      <c r="N1003" s="133" t="s">
        <v>102</v>
      </c>
      <c r="O1003" s="133" t="s">
        <v>23</v>
      </c>
      <c r="P1003" s="133">
        <v>1</v>
      </c>
      <c r="R1003" s="133">
        <v>0</v>
      </c>
      <c r="S1003" s="133" t="s">
        <v>176</v>
      </c>
      <c r="T1003" s="133" t="s">
        <v>176</v>
      </c>
      <c r="U1003" s="133" t="s">
        <v>948</v>
      </c>
      <c r="V1003" s="133" t="s">
        <v>115</v>
      </c>
      <c r="W1003" s="135" t="s">
        <v>115</v>
      </c>
      <c r="X1003" s="135" t="s">
        <v>115</v>
      </c>
      <c r="Y1003" s="135" t="s">
        <v>115</v>
      </c>
      <c r="Z1003" s="135"/>
      <c r="AA1003" s="135"/>
      <c r="AB1003" s="133" t="s">
        <v>115</v>
      </c>
      <c r="AC1003" s="134" t="s">
        <v>115</v>
      </c>
      <c r="AD1003" s="134"/>
      <c r="AE1003" s="135"/>
      <c r="AF1003" s="135"/>
      <c r="AG1003" s="135"/>
      <c r="AH1003" s="139">
        <v>0</v>
      </c>
      <c r="AI1003" s="139">
        <v>17</v>
      </c>
      <c r="AJ1003" s="139">
        <v>0</v>
      </c>
      <c r="AK1003" s="139">
        <v>17</v>
      </c>
      <c r="AL1003" s="139">
        <v>0</v>
      </c>
      <c r="AM1003" s="139">
        <v>0</v>
      </c>
      <c r="AN1003" s="133">
        <f t="shared" si="16"/>
        <v>17</v>
      </c>
      <c r="AO1003" s="133" t="s">
        <v>188</v>
      </c>
      <c r="AS1003" s="135"/>
      <c r="AT1003" s="135"/>
      <c r="AU1003" s="135" t="s">
        <v>3942</v>
      </c>
      <c r="AV1003" s="135"/>
    </row>
    <row r="1004" spans="1:48" s="133" customFormat="1" x14ac:dyDescent="0.2">
      <c r="A1004" s="133" t="s">
        <v>1721</v>
      </c>
      <c r="B1004" s="133" t="s">
        <v>1722</v>
      </c>
      <c r="C1004" s="133">
        <v>7</v>
      </c>
      <c r="D1004" s="133">
        <v>1</v>
      </c>
      <c r="E1004" s="133" t="s">
        <v>2487</v>
      </c>
      <c r="F1004" s="138">
        <v>43396</v>
      </c>
      <c r="G1004" s="136" t="s">
        <v>4033</v>
      </c>
      <c r="H1004" s="136" t="s">
        <v>4724</v>
      </c>
      <c r="I1004" s="148">
        <v>3.6805555555555557E-2</v>
      </c>
      <c r="J1004" s="174">
        <v>6.134259259259259E-4</v>
      </c>
      <c r="K1004" s="139">
        <v>53</v>
      </c>
      <c r="M1004" s="133" t="s">
        <v>241</v>
      </c>
      <c r="N1004" s="133" t="s">
        <v>111</v>
      </c>
      <c r="O1004" s="133" t="s">
        <v>23</v>
      </c>
      <c r="P1004" s="133">
        <v>0</v>
      </c>
      <c r="R1004" s="133">
        <v>1</v>
      </c>
      <c r="S1004" s="133" t="s">
        <v>176</v>
      </c>
      <c r="T1004" s="133" t="s">
        <v>176</v>
      </c>
      <c r="U1004" s="133" t="s">
        <v>948</v>
      </c>
      <c r="V1004" s="133" t="s">
        <v>1723</v>
      </c>
      <c r="W1004" s="135" t="s">
        <v>23</v>
      </c>
      <c r="X1004" s="135" t="s">
        <v>3999</v>
      </c>
      <c r="Y1004" s="135" t="s">
        <v>4006</v>
      </c>
      <c r="AB1004" s="133">
        <v>10</v>
      </c>
      <c r="AC1004" s="134">
        <v>63.720440000000004</v>
      </c>
      <c r="AD1004" s="134">
        <v>148.98979</v>
      </c>
      <c r="AH1004" s="139">
        <v>0</v>
      </c>
      <c r="AI1004" s="139">
        <v>0</v>
      </c>
      <c r="AJ1004" s="139">
        <v>0</v>
      </c>
      <c r="AK1004" s="139">
        <v>0</v>
      </c>
      <c r="AL1004" s="139">
        <v>0</v>
      </c>
      <c r="AM1004" s="139">
        <v>0</v>
      </c>
      <c r="AN1004" s="133">
        <f t="shared" si="16"/>
        <v>0</v>
      </c>
      <c r="AP1004" s="133" t="s">
        <v>5020</v>
      </c>
      <c r="AS1004" s="135"/>
      <c r="AT1004" s="135"/>
      <c r="AU1004" s="135"/>
      <c r="AV1004" s="135"/>
    </row>
    <row r="1005" spans="1:48" s="133" customFormat="1" x14ac:dyDescent="0.2">
      <c r="A1005" s="135" t="s">
        <v>1725</v>
      </c>
      <c r="B1005" s="135" t="s">
        <v>1726</v>
      </c>
      <c r="C1005" s="135">
        <v>8</v>
      </c>
      <c r="D1005" s="135">
        <v>1</v>
      </c>
      <c r="E1005" s="135" t="s">
        <v>2487</v>
      </c>
      <c r="F1005" s="136">
        <v>43396</v>
      </c>
      <c r="G1005" s="136" t="s">
        <v>4033</v>
      </c>
      <c r="H1005" s="136" t="s">
        <v>4724</v>
      </c>
      <c r="I1005" s="172">
        <v>2.2222222222222223E-2</v>
      </c>
      <c r="J1005" s="175">
        <v>3.7037037037037035E-4</v>
      </c>
      <c r="K1005" s="143">
        <v>32</v>
      </c>
      <c r="L1005" s="135"/>
      <c r="M1005" s="135" t="s">
        <v>241</v>
      </c>
      <c r="N1005" s="135" t="s">
        <v>102</v>
      </c>
      <c r="O1005" s="135" t="s">
        <v>115</v>
      </c>
      <c r="P1005" s="135">
        <v>1</v>
      </c>
      <c r="Q1005" s="135"/>
      <c r="R1005" s="135">
        <v>0</v>
      </c>
      <c r="S1005" s="133" t="s">
        <v>14</v>
      </c>
      <c r="T1005" s="135" t="s">
        <v>2128</v>
      </c>
      <c r="U1005" s="135" t="s">
        <v>122</v>
      </c>
      <c r="V1005" s="135" t="s">
        <v>115</v>
      </c>
      <c r="W1005" s="135" t="s">
        <v>115</v>
      </c>
      <c r="X1005" s="135" t="s">
        <v>115</v>
      </c>
      <c r="Y1005" s="135" t="s">
        <v>115</v>
      </c>
      <c r="AB1005" s="135" t="s">
        <v>115</v>
      </c>
      <c r="AC1005" s="137" t="s">
        <v>115</v>
      </c>
      <c r="AD1005" s="137"/>
      <c r="AH1005" s="143">
        <v>0</v>
      </c>
      <c r="AI1005" s="143">
        <v>0</v>
      </c>
      <c r="AJ1005" s="143">
        <v>0</v>
      </c>
      <c r="AK1005" s="143">
        <v>0</v>
      </c>
      <c r="AL1005" s="143">
        <v>6</v>
      </c>
      <c r="AM1005" s="143">
        <v>0</v>
      </c>
      <c r="AN1005" s="135">
        <f t="shared" si="16"/>
        <v>6</v>
      </c>
      <c r="AO1005" s="135"/>
      <c r="AP1005" s="135"/>
      <c r="AQ1005" s="135"/>
      <c r="AR1005" s="135"/>
      <c r="AS1005" s="135"/>
      <c r="AT1005" s="135"/>
      <c r="AU1005" s="135"/>
      <c r="AV1005" s="135"/>
    </row>
    <row r="1006" spans="1:48" s="133" customFormat="1" x14ac:dyDescent="0.2">
      <c r="A1006" s="133" t="s">
        <v>1727</v>
      </c>
      <c r="B1006" s="133" t="s">
        <v>1728</v>
      </c>
      <c r="C1006" s="133">
        <v>9</v>
      </c>
      <c r="D1006" s="133">
        <v>1</v>
      </c>
      <c r="E1006" s="133" t="s">
        <v>2487</v>
      </c>
      <c r="F1006" s="138">
        <v>43396</v>
      </c>
      <c r="G1006" s="136" t="s">
        <v>4033</v>
      </c>
      <c r="H1006" s="136" t="s">
        <v>4724</v>
      </c>
      <c r="I1006" s="148">
        <v>4.1666666666666666E-3</v>
      </c>
      <c r="J1006" s="174">
        <v>6.9444444444444444E-5</v>
      </c>
      <c r="K1006" s="139">
        <v>6</v>
      </c>
      <c r="M1006" s="133" t="s">
        <v>241</v>
      </c>
      <c r="N1006" s="133" t="s">
        <v>102</v>
      </c>
      <c r="O1006" s="133" t="s">
        <v>115</v>
      </c>
      <c r="P1006" s="133">
        <v>1</v>
      </c>
      <c r="R1006" s="133">
        <v>0</v>
      </c>
      <c r="S1006" s="133" t="s">
        <v>176</v>
      </c>
      <c r="T1006" s="133" t="s">
        <v>176</v>
      </c>
      <c r="U1006" s="133" t="s">
        <v>122</v>
      </c>
      <c r="V1006" s="133" t="s">
        <v>115</v>
      </c>
      <c r="W1006" s="135" t="s">
        <v>115</v>
      </c>
      <c r="X1006" s="135" t="s">
        <v>115</v>
      </c>
      <c r="Y1006" s="135" t="s">
        <v>115</v>
      </c>
      <c r="AB1006" s="133" t="s">
        <v>115</v>
      </c>
      <c r="AC1006" s="134" t="s">
        <v>115</v>
      </c>
      <c r="AD1006" s="134"/>
      <c r="AH1006" s="139">
        <v>0</v>
      </c>
      <c r="AI1006" s="139">
        <v>0</v>
      </c>
      <c r="AJ1006" s="139">
        <v>0</v>
      </c>
      <c r="AK1006" s="139">
        <v>0</v>
      </c>
      <c r="AL1006" s="139">
        <v>0</v>
      </c>
      <c r="AM1006" s="139">
        <v>0</v>
      </c>
      <c r="AN1006" s="133">
        <f t="shared" ref="AN1006:AN1069" si="17">SUM(AJ1006:AM1006)</f>
        <v>0</v>
      </c>
      <c r="AP1006" s="133" t="s">
        <v>1729</v>
      </c>
    </row>
    <row r="1007" spans="1:48" s="133" customFormat="1" x14ac:dyDescent="0.2">
      <c r="A1007" s="135" t="s">
        <v>1733</v>
      </c>
      <c r="B1007" s="135" t="s">
        <v>1734</v>
      </c>
      <c r="C1007" s="135">
        <v>11</v>
      </c>
      <c r="D1007" s="135">
        <v>1</v>
      </c>
      <c r="E1007" s="135" t="s">
        <v>2487</v>
      </c>
      <c r="F1007" s="136">
        <v>43396</v>
      </c>
      <c r="G1007" s="136" t="s">
        <v>4033</v>
      </c>
      <c r="H1007" s="136" t="s">
        <v>4724</v>
      </c>
      <c r="I1007" s="172">
        <v>2.8472222222222222E-2</v>
      </c>
      <c r="J1007" s="175">
        <v>4.7453703703703704E-4</v>
      </c>
      <c r="K1007" s="143">
        <v>41</v>
      </c>
      <c r="L1007" s="135"/>
      <c r="M1007" s="135" t="s">
        <v>241</v>
      </c>
      <c r="N1007" s="135" t="s">
        <v>102</v>
      </c>
      <c r="O1007" s="135" t="s">
        <v>23</v>
      </c>
      <c r="P1007" s="135">
        <v>1</v>
      </c>
      <c r="Q1007" s="135"/>
      <c r="R1007" s="135">
        <v>0</v>
      </c>
      <c r="S1007" s="133" t="s">
        <v>176</v>
      </c>
      <c r="T1007" s="135" t="s">
        <v>176</v>
      </c>
      <c r="U1007" s="135" t="s">
        <v>948</v>
      </c>
      <c r="V1007" s="135" t="s">
        <v>115</v>
      </c>
      <c r="W1007" s="135" t="s">
        <v>115</v>
      </c>
      <c r="X1007" s="135" t="s">
        <v>115</v>
      </c>
      <c r="Y1007" s="135" t="s">
        <v>115</v>
      </c>
      <c r="AB1007" s="135" t="s">
        <v>115</v>
      </c>
      <c r="AC1007" s="137" t="s">
        <v>115</v>
      </c>
      <c r="AD1007" s="137"/>
      <c r="AH1007" s="143">
        <v>3</v>
      </c>
      <c r="AI1007" s="143">
        <v>2</v>
      </c>
      <c r="AJ1007" s="143">
        <v>0</v>
      </c>
      <c r="AK1007" s="143">
        <v>5</v>
      </c>
      <c r="AL1007" s="143">
        <v>4</v>
      </c>
      <c r="AM1007" s="143">
        <v>0</v>
      </c>
      <c r="AN1007" s="135">
        <f t="shared" si="17"/>
        <v>9</v>
      </c>
      <c r="AO1007" s="135"/>
      <c r="AP1007" s="135"/>
      <c r="AQ1007" s="135"/>
      <c r="AR1007" s="135"/>
    </row>
    <row r="1008" spans="1:48" s="133" customFormat="1" x14ac:dyDescent="0.2">
      <c r="A1008" s="133" t="s">
        <v>2024</v>
      </c>
      <c r="B1008" s="133" t="s">
        <v>2025</v>
      </c>
      <c r="C1008" s="133">
        <v>1</v>
      </c>
      <c r="D1008" s="133">
        <v>1</v>
      </c>
      <c r="E1008" s="133" t="s">
        <v>2487</v>
      </c>
      <c r="F1008" s="138">
        <v>43403</v>
      </c>
      <c r="G1008" s="136" t="s">
        <v>4033</v>
      </c>
      <c r="H1008" s="136" t="s">
        <v>4724</v>
      </c>
      <c r="I1008" s="148">
        <v>1.1111111111111112E-2</v>
      </c>
      <c r="J1008" s="174">
        <v>1.8518518518518518E-4</v>
      </c>
      <c r="K1008" s="139">
        <v>16</v>
      </c>
      <c r="L1008" s="133" t="s">
        <v>2028</v>
      </c>
      <c r="M1008" s="133" t="s">
        <v>241</v>
      </c>
      <c r="N1008" s="133" t="s">
        <v>102</v>
      </c>
      <c r="O1008" s="133" t="s">
        <v>23</v>
      </c>
      <c r="P1008" s="133">
        <v>0</v>
      </c>
      <c r="R1008" s="133">
        <v>0</v>
      </c>
      <c r="T1008" s="133" t="s">
        <v>115</v>
      </c>
      <c r="U1008" s="133" t="s">
        <v>115</v>
      </c>
      <c r="V1008" s="133" t="s">
        <v>115</v>
      </c>
      <c r="W1008" s="135" t="s">
        <v>115</v>
      </c>
      <c r="X1008" s="135" t="s">
        <v>115</v>
      </c>
      <c r="Y1008" s="135" t="s">
        <v>115</v>
      </c>
      <c r="AB1008" s="133" t="s">
        <v>115</v>
      </c>
      <c r="AC1008" s="134" t="s">
        <v>115</v>
      </c>
      <c r="AD1008" s="134"/>
      <c r="AH1008" s="139">
        <v>0</v>
      </c>
      <c r="AI1008" s="139">
        <v>8</v>
      </c>
      <c r="AJ1008" s="139">
        <v>0</v>
      </c>
      <c r="AK1008" s="139">
        <v>8</v>
      </c>
      <c r="AL1008" s="139">
        <v>0</v>
      </c>
      <c r="AM1008" s="139">
        <v>0</v>
      </c>
      <c r="AN1008" s="133">
        <f t="shared" si="17"/>
        <v>8</v>
      </c>
    </row>
    <row r="1009" spans="1:48" s="133" customFormat="1" x14ac:dyDescent="0.2">
      <c r="A1009" s="133" t="s">
        <v>1088</v>
      </c>
      <c r="B1009" s="133" t="s">
        <v>4976</v>
      </c>
      <c r="C1009" s="133">
        <v>1</v>
      </c>
      <c r="D1009" s="133">
        <v>1</v>
      </c>
      <c r="E1009" s="133" t="s">
        <v>2601</v>
      </c>
      <c r="F1009" s="138">
        <v>43376</v>
      </c>
      <c r="G1009" s="136" t="s">
        <v>4033</v>
      </c>
      <c r="H1009" s="136" t="s">
        <v>4724</v>
      </c>
      <c r="I1009" s="148">
        <v>4.1666666666666664E-2</v>
      </c>
      <c r="J1009" s="174">
        <v>6.9444444444444447E-4</v>
      </c>
      <c r="K1009" s="139">
        <v>60</v>
      </c>
      <c r="L1009" s="133" t="s">
        <v>483</v>
      </c>
      <c r="M1009" s="133" t="s">
        <v>176</v>
      </c>
      <c r="N1009" s="133" t="s">
        <v>102</v>
      </c>
      <c r="O1009" s="133" t="s">
        <v>23</v>
      </c>
      <c r="P1009" s="133">
        <v>1</v>
      </c>
      <c r="R1009" s="133">
        <v>0</v>
      </c>
      <c r="S1009" s="133" t="s">
        <v>176</v>
      </c>
      <c r="T1009" s="133" t="s">
        <v>176</v>
      </c>
      <c r="U1009" s="133" t="s">
        <v>948</v>
      </c>
      <c r="V1009" s="133" t="s">
        <v>115</v>
      </c>
      <c r="W1009" s="135" t="s">
        <v>115</v>
      </c>
      <c r="X1009" s="135" t="s">
        <v>115</v>
      </c>
      <c r="Y1009" s="135" t="s">
        <v>115</v>
      </c>
      <c r="AB1009" s="133" t="s">
        <v>115</v>
      </c>
      <c r="AC1009" s="134" t="s">
        <v>115</v>
      </c>
      <c r="AD1009" s="134"/>
      <c r="AH1009" s="139">
        <v>0</v>
      </c>
      <c r="AI1009" s="139">
        <v>13</v>
      </c>
      <c r="AJ1009" s="139">
        <v>0</v>
      </c>
      <c r="AK1009" s="139">
        <v>13</v>
      </c>
      <c r="AL1009" s="139">
        <v>0</v>
      </c>
      <c r="AM1009" s="133">
        <v>0</v>
      </c>
      <c r="AN1009" s="133">
        <f t="shared" si="17"/>
        <v>13</v>
      </c>
      <c r="AO1009" s="133" t="s">
        <v>103</v>
      </c>
      <c r="AP1009" s="133" t="s">
        <v>1089</v>
      </c>
    </row>
    <row r="1010" spans="1:48" s="133" customFormat="1" x14ac:dyDescent="0.2">
      <c r="A1010" s="133" t="s">
        <v>1096</v>
      </c>
      <c r="B1010" s="133" t="s">
        <v>1097</v>
      </c>
      <c r="C1010" s="133">
        <v>1</v>
      </c>
      <c r="D1010" s="133">
        <v>1</v>
      </c>
      <c r="E1010" s="133" t="s">
        <v>2487</v>
      </c>
      <c r="F1010" s="138">
        <v>43378</v>
      </c>
      <c r="G1010" s="136" t="s">
        <v>4033</v>
      </c>
      <c r="H1010" s="136" t="s">
        <v>4724</v>
      </c>
      <c r="I1010" s="148">
        <v>2.013888888888889E-2</v>
      </c>
      <c r="J1010" s="174">
        <v>3.3564814814814812E-4</v>
      </c>
      <c r="K1010" s="139">
        <v>29</v>
      </c>
      <c r="L1010" s="133" t="s">
        <v>398</v>
      </c>
      <c r="M1010" s="133" t="s">
        <v>176</v>
      </c>
      <c r="N1010" s="133" t="s">
        <v>111</v>
      </c>
      <c r="O1010" s="133" t="s">
        <v>23</v>
      </c>
      <c r="P1010" s="133">
        <v>1</v>
      </c>
      <c r="R1010" s="133">
        <v>1</v>
      </c>
      <c r="S1010" s="133" t="s">
        <v>176</v>
      </c>
      <c r="T1010" s="133" t="s">
        <v>176</v>
      </c>
      <c r="U1010" s="133" t="s">
        <v>122</v>
      </c>
      <c r="V1010" s="133" t="s">
        <v>1035</v>
      </c>
      <c r="W1010" s="135" t="s">
        <v>23</v>
      </c>
      <c r="X1010" s="135" t="s">
        <v>3997</v>
      </c>
      <c r="Y1010" s="135" t="s">
        <v>4006</v>
      </c>
      <c r="Z1010" s="135"/>
      <c r="AA1010" s="135"/>
      <c r="AB1010" s="133">
        <v>7</v>
      </c>
      <c r="AC1010" s="134">
        <v>63.723480000000002</v>
      </c>
      <c r="AD1010" s="134">
        <v>148.98240999999999</v>
      </c>
      <c r="AE1010" s="135"/>
      <c r="AF1010" s="135"/>
      <c r="AG1010" s="135"/>
      <c r="AH1010" s="139">
        <v>0</v>
      </c>
      <c r="AI1010" s="139">
        <v>0</v>
      </c>
      <c r="AJ1010" s="139">
        <v>0</v>
      </c>
      <c r="AK1010" s="139">
        <v>0</v>
      </c>
      <c r="AL1010" s="139">
        <v>0</v>
      </c>
      <c r="AM1010" s="133">
        <v>0</v>
      </c>
      <c r="AN1010" s="133">
        <f t="shared" si="17"/>
        <v>0</v>
      </c>
      <c r="AP1010" s="133" t="s">
        <v>4894</v>
      </c>
    </row>
    <row r="1011" spans="1:48" s="133" customFormat="1" x14ac:dyDescent="0.2">
      <c r="A1011" s="133" t="s">
        <v>1258</v>
      </c>
      <c r="B1011" s="133" t="s">
        <v>1259</v>
      </c>
      <c r="C1011" s="133">
        <v>1</v>
      </c>
      <c r="D1011" s="133">
        <v>1</v>
      </c>
      <c r="E1011" s="133" t="s">
        <v>100</v>
      </c>
      <c r="F1011" s="138">
        <v>43382</v>
      </c>
      <c r="G1011" s="136" t="s">
        <v>4033</v>
      </c>
      <c r="H1011" s="136" t="s">
        <v>4724</v>
      </c>
      <c r="I1011" s="148">
        <v>4.8611111111111112E-3</v>
      </c>
      <c r="J1011" s="174">
        <v>8.1018518518518516E-5</v>
      </c>
      <c r="K1011" s="139">
        <v>7</v>
      </c>
      <c r="L1011" s="133" t="s">
        <v>1278</v>
      </c>
      <c r="M1011" s="133" t="s">
        <v>176</v>
      </c>
      <c r="N1011" s="133" t="s">
        <v>107</v>
      </c>
      <c r="O1011" s="133" t="s">
        <v>115</v>
      </c>
      <c r="P1011" s="133">
        <v>1</v>
      </c>
      <c r="R1011" s="133">
        <v>0</v>
      </c>
      <c r="S1011" s="133" t="s">
        <v>461</v>
      </c>
      <c r="T1011" s="133" t="s">
        <v>461</v>
      </c>
      <c r="U1011" s="133" t="s">
        <v>24</v>
      </c>
      <c r="V1011" s="133" t="s">
        <v>115</v>
      </c>
      <c r="W1011" s="135" t="s">
        <v>115</v>
      </c>
      <c r="X1011" s="135" t="s">
        <v>115</v>
      </c>
      <c r="Y1011" s="135" t="s">
        <v>115</v>
      </c>
      <c r="AB1011" s="133" t="s">
        <v>115</v>
      </c>
      <c r="AC1011" s="134" t="s">
        <v>115</v>
      </c>
      <c r="AD1011" s="134"/>
      <c r="AH1011" s="139">
        <v>0</v>
      </c>
      <c r="AI1011" s="139">
        <v>0</v>
      </c>
      <c r="AJ1011" s="139">
        <v>0</v>
      </c>
      <c r="AK1011" s="139">
        <v>0</v>
      </c>
      <c r="AL1011" s="139">
        <v>0</v>
      </c>
      <c r="AM1011" s="133">
        <v>0</v>
      </c>
      <c r="AN1011" s="133">
        <f t="shared" si="17"/>
        <v>0</v>
      </c>
      <c r="AP1011" s="133" t="s">
        <v>1260</v>
      </c>
      <c r="AS1011" s="135"/>
      <c r="AT1011" s="135"/>
      <c r="AU1011" s="135"/>
      <c r="AV1011" s="135"/>
    </row>
    <row r="1012" spans="1:48" s="135" customFormat="1" x14ac:dyDescent="0.2">
      <c r="A1012" s="133" t="s">
        <v>1289</v>
      </c>
      <c r="B1012" s="133" t="s">
        <v>1290</v>
      </c>
      <c r="C1012" s="133">
        <v>4</v>
      </c>
      <c r="D1012" s="133">
        <v>1</v>
      </c>
      <c r="E1012" s="133" t="s">
        <v>324</v>
      </c>
      <c r="F1012" s="138">
        <v>43384</v>
      </c>
      <c r="G1012" s="136" t="s">
        <v>4033</v>
      </c>
      <c r="H1012" s="136" t="s">
        <v>4724</v>
      </c>
      <c r="I1012" s="148">
        <v>2.013888888888889E-2</v>
      </c>
      <c r="J1012" s="174">
        <v>3.3564814814814812E-4</v>
      </c>
      <c r="K1012" s="139">
        <v>29</v>
      </c>
      <c r="L1012" s="133" t="s">
        <v>398</v>
      </c>
      <c r="M1012" s="133" t="s">
        <v>176</v>
      </c>
      <c r="N1012" s="133" t="s">
        <v>115</v>
      </c>
      <c r="O1012" s="133" t="s">
        <v>12</v>
      </c>
      <c r="P1012" s="133">
        <v>0</v>
      </c>
      <c r="Q1012" s="133"/>
      <c r="R1012" s="133">
        <v>1</v>
      </c>
      <c r="S1012" s="133" t="s">
        <v>14</v>
      </c>
      <c r="T1012" s="133" t="s">
        <v>2130</v>
      </c>
      <c r="U1012" s="133" t="s">
        <v>24</v>
      </c>
      <c r="V1012" s="133" t="s">
        <v>1291</v>
      </c>
      <c r="W1012" s="135" t="s">
        <v>12</v>
      </c>
      <c r="X1012" s="135" t="s">
        <v>4004</v>
      </c>
      <c r="Y1012" s="135" t="s">
        <v>4005</v>
      </c>
      <c r="AB1012" s="133" t="s">
        <v>24</v>
      </c>
      <c r="AC1012" s="134">
        <v>63.724260000000001</v>
      </c>
      <c r="AD1012" s="134">
        <v>148.88929999999999</v>
      </c>
      <c r="AH1012" s="139">
        <v>0</v>
      </c>
      <c r="AI1012" s="139">
        <v>0</v>
      </c>
      <c r="AJ1012" s="139">
        <v>0</v>
      </c>
      <c r="AK1012" s="139">
        <v>0</v>
      </c>
      <c r="AL1012" s="139">
        <v>0</v>
      </c>
      <c r="AM1012" s="133">
        <v>0</v>
      </c>
      <c r="AN1012" s="133">
        <f t="shared" si="17"/>
        <v>0</v>
      </c>
      <c r="AO1012" s="133"/>
      <c r="AP1012" s="133" t="s">
        <v>1292</v>
      </c>
      <c r="AQ1012" s="133"/>
      <c r="AR1012" s="133"/>
      <c r="AS1012" s="133"/>
      <c r="AT1012" s="133"/>
      <c r="AU1012" s="133"/>
      <c r="AV1012" s="133"/>
    </row>
    <row r="1013" spans="1:48" s="135" customFormat="1" x14ac:dyDescent="0.2">
      <c r="A1013" s="133" t="s">
        <v>1325</v>
      </c>
      <c r="B1013" s="133" t="s">
        <v>1323</v>
      </c>
      <c r="C1013" s="133">
        <v>2</v>
      </c>
      <c r="D1013" s="133">
        <v>1</v>
      </c>
      <c r="E1013" s="133" t="s">
        <v>201</v>
      </c>
      <c r="F1013" s="138">
        <v>43385</v>
      </c>
      <c r="G1013" s="136" t="s">
        <v>4033</v>
      </c>
      <c r="H1013" s="136" t="s">
        <v>4724</v>
      </c>
      <c r="I1013" s="148">
        <v>1.8749999999999999E-2</v>
      </c>
      <c r="J1013" s="174">
        <v>3.1250000000000001E-4</v>
      </c>
      <c r="K1013" s="139">
        <v>27</v>
      </c>
      <c r="L1013" s="133" t="s">
        <v>398</v>
      </c>
      <c r="M1013" s="133" t="s">
        <v>176</v>
      </c>
      <c r="N1013" s="133" t="s">
        <v>111</v>
      </c>
      <c r="O1013" s="133" t="s">
        <v>23</v>
      </c>
      <c r="P1013" s="133">
        <v>0</v>
      </c>
      <c r="Q1013" s="133"/>
      <c r="R1013" s="133">
        <v>1</v>
      </c>
      <c r="S1013" s="133" t="s">
        <v>176</v>
      </c>
      <c r="T1013" s="133" t="s">
        <v>176</v>
      </c>
      <c r="U1013" s="133" t="s">
        <v>24</v>
      </c>
      <c r="V1013" s="133" t="s">
        <v>1265</v>
      </c>
      <c r="W1013" s="140" t="s">
        <v>23</v>
      </c>
      <c r="X1013" s="140" t="s">
        <v>4004</v>
      </c>
      <c r="Y1013" s="140" t="s">
        <v>4005</v>
      </c>
      <c r="Z1013" s="133"/>
      <c r="AA1013" s="133"/>
      <c r="AB1013" s="133" t="s">
        <v>24</v>
      </c>
      <c r="AC1013" s="134">
        <v>63.723970000000001</v>
      </c>
      <c r="AD1013" s="134">
        <v>148.94882000000001</v>
      </c>
      <c r="AE1013" s="133"/>
      <c r="AF1013" s="133"/>
      <c r="AG1013" s="133"/>
      <c r="AH1013" s="139">
        <v>0</v>
      </c>
      <c r="AI1013" s="139">
        <v>0</v>
      </c>
      <c r="AJ1013" s="139">
        <v>0</v>
      </c>
      <c r="AK1013" s="139">
        <v>0</v>
      </c>
      <c r="AL1013" s="139">
        <v>0</v>
      </c>
      <c r="AM1013" s="133">
        <v>0</v>
      </c>
      <c r="AN1013" s="133">
        <f t="shared" si="17"/>
        <v>0</v>
      </c>
      <c r="AO1013" s="133"/>
      <c r="AP1013" s="133"/>
      <c r="AQ1013" s="133"/>
      <c r="AR1013" s="133"/>
      <c r="AS1013" s="133"/>
      <c r="AT1013" s="133"/>
      <c r="AU1013" s="133"/>
      <c r="AV1013" s="133"/>
    </row>
    <row r="1014" spans="1:48" s="133" customFormat="1" x14ac:dyDescent="0.2">
      <c r="A1014" s="135" t="s">
        <v>1330</v>
      </c>
      <c r="B1014" s="135" t="s">
        <v>1331</v>
      </c>
      <c r="C1014" s="135">
        <v>4</v>
      </c>
      <c r="D1014" s="135">
        <v>1</v>
      </c>
      <c r="E1014" s="135" t="s">
        <v>201</v>
      </c>
      <c r="F1014" s="136">
        <v>43385</v>
      </c>
      <c r="G1014" s="136" t="s">
        <v>4033</v>
      </c>
      <c r="H1014" s="136" t="s">
        <v>4724</v>
      </c>
      <c r="I1014" s="172">
        <v>1.1111111111111112E-2</v>
      </c>
      <c r="J1014" s="175">
        <v>1.8518518518518518E-4</v>
      </c>
      <c r="K1014" s="143">
        <v>16</v>
      </c>
      <c r="L1014" s="135" t="s">
        <v>398</v>
      </c>
      <c r="M1014" s="135" t="s">
        <v>176</v>
      </c>
      <c r="N1014" s="135" t="s">
        <v>187</v>
      </c>
      <c r="O1014" s="135" t="s">
        <v>23</v>
      </c>
      <c r="P1014" s="135">
        <v>1</v>
      </c>
      <c r="Q1014" s="135"/>
      <c r="R1014" s="135">
        <v>1</v>
      </c>
      <c r="S1014" s="133" t="s">
        <v>14</v>
      </c>
      <c r="T1014" s="135" t="s">
        <v>14</v>
      </c>
      <c r="U1014" s="135" t="s">
        <v>122</v>
      </c>
      <c r="V1014" s="135" t="s">
        <v>1265</v>
      </c>
      <c r="W1014" s="135" t="s">
        <v>23</v>
      </c>
      <c r="X1014" s="135" t="s">
        <v>4004</v>
      </c>
      <c r="Y1014" s="135" t="s">
        <v>4005</v>
      </c>
      <c r="AB1014" s="135">
        <v>7</v>
      </c>
      <c r="AC1014" s="137">
        <v>63.722360000000002</v>
      </c>
      <c r="AD1014" s="137">
        <v>148.94922</v>
      </c>
      <c r="AH1014" s="143">
        <v>0</v>
      </c>
      <c r="AI1014" s="143">
        <v>0</v>
      </c>
      <c r="AJ1014" s="143">
        <v>0</v>
      </c>
      <c r="AK1014" s="143">
        <v>0</v>
      </c>
      <c r="AL1014" s="143">
        <v>5</v>
      </c>
      <c r="AM1014" s="135">
        <v>0</v>
      </c>
      <c r="AN1014" s="135">
        <f t="shared" si="17"/>
        <v>5</v>
      </c>
      <c r="AO1014" s="135"/>
      <c r="AP1014" s="135" t="s">
        <v>1333</v>
      </c>
      <c r="AQ1014" s="135"/>
      <c r="AR1014" s="135"/>
      <c r="AS1014" s="135"/>
      <c r="AT1014" s="135"/>
      <c r="AU1014" s="135"/>
      <c r="AV1014" s="135"/>
    </row>
    <row r="1015" spans="1:48" s="135" customFormat="1" x14ac:dyDescent="0.2">
      <c r="A1015" s="133" t="s">
        <v>1354</v>
      </c>
      <c r="B1015" s="133" t="s">
        <v>1355</v>
      </c>
      <c r="C1015" s="133">
        <v>3</v>
      </c>
      <c r="D1015" s="133">
        <v>1</v>
      </c>
      <c r="E1015" s="133" t="s">
        <v>2487</v>
      </c>
      <c r="F1015" s="138">
        <v>43388</v>
      </c>
      <c r="G1015" s="136" t="s">
        <v>4033</v>
      </c>
      <c r="H1015" s="136" t="s">
        <v>4724</v>
      </c>
      <c r="I1015" s="148">
        <v>2.7777777777777779E-3</v>
      </c>
      <c r="J1015" s="174">
        <v>4.6296296296296294E-5</v>
      </c>
      <c r="K1015" s="139">
        <v>4</v>
      </c>
      <c r="L1015" s="133" t="s">
        <v>398</v>
      </c>
      <c r="M1015" s="133" t="s">
        <v>176</v>
      </c>
      <c r="N1015" s="133" t="s">
        <v>111</v>
      </c>
      <c r="O1015" s="133" t="s">
        <v>23</v>
      </c>
      <c r="P1015" s="133">
        <v>0</v>
      </c>
      <c r="Q1015" s="133"/>
      <c r="R1015" s="133">
        <v>1</v>
      </c>
      <c r="S1015" s="133" t="s">
        <v>461</v>
      </c>
      <c r="T1015" s="133" t="s">
        <v>2125</v>
      </c>
      <c r="U1015" s="133" t="s">
        <v>122</v>
      </c>
      <c r="V1015" s="133" t="s">
        <v>1035</v>
      </c>
      <c r="W1015" s="135" t="s">
        <v>23</v>
      </c>
      <c r="X1015" s="135" t="s">
        <v>3997</v>
      </c>
      <c r="Y1015" s="135" t="s">
        <v>4006</v>
      </c>
      <c r="AB1015" s="133">
        <v>6</v>
      </c>
      <c r="AC1015" s="134">
        <v>63.72184</v>
      </c>
      <c r="AD1015" s="134">
        <v>148.98740000000001</v>
      </c>
      <c r="AH1015" s="139">
        <v>0</v>
      </c>
      <c r="AI1015" s="139">
        <v>0</v>
      </c>
      <c r="AJ1015" s="139">
        <v>0</v>
      </c>
      <c r="AK1015" s="139">
        <v>0</v>
      </c>
      <c r="AL1015" s="143">
        <v>0</v>
      </c>
      <c r="AM1015" s="133">
        <v>0</v>
      </c>
      <c r="AN1015" s="133">
        <f t="shared" si="17"/>
        <v>0</v>
      </c>
      <c r="AO1015" s="133"/>
      <c r="AP1015" s="133" t="s">
        <v>5002</v>
      </c>
      <c r="AQ1015" s="133"/>
      <c r="AR1015" s="133"/>
      <c r="AU1015" s="135" t="s">
        <v>3944</v>
      </c>
    </row>
    <row r="1016" spans="1:48" s="135" customFormat="1" x14ac:dyDescent="0.2">
      <c r="A1016" s="133" t="s">
        <v>1357</v>
      </c>
      <c r="B1016" s="133" t="s">
        <v>1358</v>
      </c>
      <c r="C1016" s="133">
        <v>4</v>
      </c>
      <c r="D1016" s="133">
        <v>1</v>
      </c>
      <c r="E1016" s="133" t="s">
        <v>2487</v>
      </c>
      <c r="F1016" s="138">
        <v>43388</v>
      </c>
      <c r="G1016" s="136" t="s">
        <v>4033</v>
      </c>
      <c r="H1016" s="136" t="s">
        <v>4724</v>
      </c>
      <c r="I1016" s="148">
        <v>4.1666666666666666E-3</v>
      </c>
      <c r="J1016" s="174">
        <v>6.9444444444444444E-5</v>
      </c>
      <c r="K1016" s="139">
        <v>6</v>
      </c>
      <c r="L1016" s="133" t="s">
        <v>398</v>
      </c>
      <c r="M1016" s="133" t="s">
        <v>176</v>
      </c>
      <c r="N1016" s="133" t="s">
        <v>111</v>
      </c>
      <c r="O1016" s="133" t="s">
        <v>23</v>
      </c>
      <c r="P1016" s="133">
        <v>0</v>
      </c>
      <c r="Q1016" s="133"/>
      <c r="R1016" s="133">
        <v>1</v>
      </c>
      <c r="S1016" s="133" t="s">
        <v>461</v>
      </c>
      <c r="T1016" s="133" t="s">
        <v>2125</v>
      </c>
      <c r="U1016" s="133" t="s">
        <v>122</v>
      </c>
      <c r="V1016" s="133" t="s">
        <v>2061</v>
      </c>
      <c r="W1016" s="135" t="s">
        <v>23</v>
      </c>
      <c r="X1016" s="135" t="s">
        <v>3999</v>
      </c>
      <c r="Y1016" s="135" t="s">
        <v>4006</v>
      </c>
      <c r="AB1016" s="133">
        <v>22</v>
      </c>
      <c r="AC1016" s="134">
        <v>63.721739999999997</v>
      </c>
      <c r="AD1016" s="134">
        <v>148.98759000000001</v>
      </c>
      <c r="AH1016" s="139">
        <v>0</v>
      </c>
      <c r="AI1016" s="139">
        <v>0</v>
      </c>
      <c r="AJ1016" s="139">
        <v>0</v>
      </c>
      <c r="AK1016" s="139">
        <v>0</v>
      </c>
      <c r="AL1016" s="143">
        <v>0</v>
      </c>
      <c r="AM1016" s="133">
        <v>0</v>
      </c>
      <c r="AN1016" s="133">
        <f t="shared" si="17"/>
        <v>0</v>
      </c>
      <c r="AO1016" s="133"/>
      <c r="AP1016" s="144" t="s">
        <v>5002</v>
      </c>
      <c r="AQ1016" s="133"/>
      <c r="AR1016" s="133"/>
      <c r="AS1016" s="133"/>
      <c r="AT1016" s="133"/>
      <c r="AU1016" s="133"/>
      <c r="AV1016" s="133"/>
    </row>
    <row r="1017" spans="1:48" s="135" customFormat="1" x14ac:dyDescent="0.2">
      <c r="A1017" s="135" t="s">
        <v>1359</v>
      </c>
      <c r="B1017" s="135" t="s">
        <v>1360</v>
      </c>
      <c r="C1017" s="135">
        <v>5</v>
      </c>
      <c r="D1017" s="135">
        <v>1</v>
      </c>
      <c r="E1017" s="135" t="s">
        <v>2487</v>
      </c>
      <c r="F1017" s="136">
        <v>43388</v>
      </c>
      <c r="G1017" s="136" t="s">
        <v>4033</v>
      </c>
      <c r="H1017" s="136" t="s">
        <v>4724</v>
      </c>
      <c r="I1017" s="172">
        <v>6.9444444444444441E-3</v>
      </c>
      <c r="J1017" s="175">
        <v>1.1574074074074073E-4</v>
      </c>
      <c r="K1017" s="143">
        <v>10</v>
      </c>
      <c r="L1017" s="135" t="s">
        <v>398</v>
      </c>
      <c r="M1017" s="135" t="s">
        <v>176</v>
      </c>
      <c r="N1017" s="135" t="s">
        <v>102</v>
      </c>
      <c r="O1017" s="135" t="s">
        <v>23</v>
      </c>
      <c r="P1017" s="135">
        <v>1</v>
      </c>
      <c r="R1017" s="135">
        <v>0</v>
      </c>
      <c r="S1017" s="133" t="s">
        <v>461</v>
      </c>
      <c r="T1017" s="135" t="s">
        <v>2125</v>
      </c>
      <c r="U1017" s="135" t="s">
        <v>122</v>
      </c>
      <c r="V1017" s="135" t="s">
        <v>115</v>
      </c>
      <c r="W1017" s="135" t="s">
        <v>115</v>
      </c>
      <c r="X1017" s="135" t="s">
        <v>115</v>
      </c>
      <c r="Y1017" s="135" t="s">
        <v>115</v>
      </c>
      <c r="AB1017" s="135" t="s">
        <v>115</v>
      </c>
      <c r="AC1017" s="137" t="s">
        <v>115</v>
      </c>
      <c r="AD1017" s="137"/>
      <c r="AH1017" s="143">
        <v>0</v>
      </c>
      <c r="AI1017" s="143">
        <v>0</v>
      </c>
      <c r="AJ1017" s="143">
        <v>0</v>
      </c>
      <c r="AK1017" s="143">
        <v>0</v>
      </c>
      <c r="AL1017" s="143">
        <v>0</v>
      </c>
      <c r="AM1017" s="135">
        <v>0</v>
      </c>
      <c r="AN1017" s="135">
        <f t="shared" si="17"/>
        <v>0</v>
      </c>
      <c r="AS1017" s="133"/>
      <c r="AT1017" s="133"/>
      <c r="AU1017" s="133"/>
      <c r="AV1017" s="133"/>
    </row>
    <row r="1018" spans="1:48" s="133" customFormat="1" x14ac:dyDescent="0.2">
      <c r="A1018" s="133" t="s">
        <v>1361</v>
      </c>
      <c r="B1018" s="133" t="s">
        <v>1362</v>
      </c>
      <c r="C1018" s="133">
        <v>6</v>
      </c>
      <c r="D1018" s="133">
        <v>1</v>
      </c>
      <c r="E1018" s="133" t="s">
        <v>2487</v>
      </c>
      <c r="F1018" s="138">
        <v>43388</v>
      </c>
      <c r="G1018" s="136" t="s">
        <v>4033</v>
      </c>
      <c r="H1018" s="136" t="s">
        <v>4724</v>
      </c>
      <c r="I1018" s="148">
        <v>6.2499999999999995E-3</v>
      </c>
      <c r="J1018" s="174">
        <v>1.0416666666666667E-4</v>
      </c>
      <c r="K1018" s="139">
        <v>9</v>
      </c>
      <c r="L1018" s="133" t="s">
        <v>398</v>
      </c>
      <c r="M1018" s="133" t="s">
        <v>176</v>
      </c>
      <c r="N1018" s="133" t="s">
        <v>111</v>
      </c>
      <c r="O1018" s="133" t="s">
        <v>23</v>
      </c>
      <c r="P1018" s="133">
        <v>0</v>
      </c>
      <c r="R1018" s="133">
        <v>1</v>
      </c>
      <c r="S1018" s="133" t="s">
        <v>461</v>
      </c>
      <c r="T1018" s="133" t="s">
        <v>2125</v>
      </c>
      <c r="U1018" s="133" t="s">
        <v>122</v>
      </c>
      <c r="V1018" s="133" t="s">
        <v>1035</v>
      </c>
      <c r="W1018" s="140" t="s">
        <v>23</v>
      </c>
      <c r="X1018" s="140" t="s">
        <v>3997</v>
      </c>
      <c r="Y1018" s="140" t="s">
        <v>4006</v>
      </c>
      <c r="AB1018" s="133">
        <v>7</v>
      </c>
      <c r="AC1018" s="134">
        <v>63.721829999999997</v>
      </c>
      <c r="AD1018" s="134">
        <v>148.98707999999999</v>
      </c>
      <c r="AH1018" s="139">
        <v>0</v>
      </c>
      <c r="AI1018" s="139">
        <v>0</v>
      </c>
      <c r="AJ1018" s="139">
        <v>0</v>
      </c>
      <c r="AK1018" s="139">
        <v>0</v>
      </c>
      <c r="AL1018" s="143">
        <v>0</v>
      </c>
      <c r="AM1018" s="133">
        <v>0</v>
      </c>
      <c r="AN1018" s="133">
        <f t="shared" si="17"/>
        <v>0</v>
      </c>
      <c r="AS1018" s="135"/>
      <c r="AT1018" s="135"/>
      <c r="AU1018" s="135"/>
      <c r="AV1018" s="135"/>
    </row>
    <row r="1019" spans="1:48" s="133" customFormat="1" x14ac:dyDescent="0.2">
      <c r="A1019" s="135" t="s">
        <v>1365</v>
      </c>
      <c r="B1019" s="135" t="s">
        <v>1366</v>
      </c>
      <c r="C1019" s="135">
        <v>8</v>
      </c>
      <c r="D1019" s="135">
        <v>1</v>
      </c>
      <c r="E1019" s="135" t="s">
        <v>2487</v>
      </c>
      <c r="F1019" s="136">
        <v>43388</v>
      </c>
      <c r="G1019" s="136" t="s">
        <v>4033</v>
      </c>
      <c r="H1019" s="136" t="s">
        <v>4724</v>
      </c>
      <c r="I1019" s="172">
        <v>2.7083333333333334E-2</v>
      </c>
      <c r="J1019" s="175">
        <v>4.5138888888888892E-4</v>
      </c>
      <c r="K1019" s="143">
        <v>39</v>
      </c>
      <c r="L1019" s="135" t="s">
        <v>398</v>
      </c>
      <c r="M1019" s="135" t="s">
        <v>176</v>
      </c>
      <c r="N1019" s="135" t="s">
        <v>102</v>
      </c>
      <c r="O1019" s="135" t="s">
        <v>115</v>
      </c>
      <c r="P1019" s="135">
        <v>1</v>
      </c>
      <c r="Q1019" s="135"/>
      <c r="R1019" s="135">
        <v>0</v>
      </c>
      <c r="S1019" s="133" t="s">
        <v>461</v>
      </c>
      <c r="T1019" s="135" t="s">
        <v>2125</v>
      </c>
      <c r="U1019" s="135" t="s">
        <v>122</v>
      </c>
      <c r="V1019" s="135" t="s">
        <v>115</v>
      </c>
      <c r="W1019" s="135" t="s">
        <v>115</v>
      </c>
      <c r="X1019" s="135" t="s">
        <v>115</v>
      </c>
      <c r="Y1019" s="135" t="s">
        <v>115</v>
      </c>
      <c r="AB1019" s="135" t="s">
        <v>115</v>
      </c>
      <c r="AC1019" s="137" t="s">
        <v>115</v>
      </c>
      <c r="AD1019" s="137"/>
      <c r="AH1019" s="143">
        <v>0</v>
      </c>
      <c r="AI1019" s="143">
        <v>0</v>
      </c>
      <c r="AJ1019" s="143">
        <v>0</v>
      </c>
      <c r="AK1019" s="143">
        <v>0</v>
      </c>
      <c r="AL1019" s="143">
        <v>0</v>
      </c>
      <c r="AM1019" s="135">
        <v>0</v>
      </c>
      <c r="AN1019" s="135">
        <f t="shared" si="17"/>
        <v>0</v>
      </c>
      <c r="AO1019" s="135"/>
      <c r="AP1019" s="135"/>
      <c r="AQ1019" s="135"/>
      <c r="AR1019" s="135"/>
    </row>
    <row r="1020" spans="1:48" s="133" customFormat="1" x14ac:dyDescent="0.2">
      <c r="A1020" s="133" t="s">
        <v>1367</v>
      </c>
      <c r="B1020" s="133" t="s">
        <v>1368</v>
      </c>
      <c r="C1020" s="133">
        <v>9</v>
      </c>
      <c r="D1020" s="133">
        <v>1</v>
      </c>
      <c r="E1020" s="133" t="s">
        <v>2487</v>
      </c>
      <c r="F1020" s="138">
        <v>43388</v>
      </c>
      <c r="G1020" s="136" t="s">
        <v>4033</v>
      </c>
      <c r="H1020" s="136" t="s">
        <v>4724</v>
      </c>
      <c r="I1020" s="148">
        <v>2.7777777777777779E-3</v>
      </c>
      <c r="J1020" s="174">
        <v>4.6296296296296294E-5</v>
      </c>
      <c r="K1020" s="139">
        <v>4</v>
      </c>
      <c r="L1020" s="133" t="s">
        <v>398</v>
      </c>
      <c r="M1020" s="133" t="s">
        <v>176</v>
      </c>
      <c r="N1020" s="133" t="s">
        <v>111</v>
      </c>
      <c r="O1020" s="133" t="s">
        <v>23</v>
      </c>
      <c r="P1020" s="133">
        <v>0</v>
      </c>
      <c r="R1020" s="133">
        <v>1</v>
      </c>
      <c r="S1020" s="133" t="s">
        <v>461</v>
      </c>
      <c r="T1020" s="133" t="s">
        <v>2125</v>
      </c>
      <c r="U1020" s="133" t="s">
        <v>122</v>
      </c>
      <c r="V1020" s="133" t="s">
        <v>2061</v>
      </c>
      <c r="W1020" s="140" t="s">
        <v>23</v>
      </c>
      <c r="X1020" s="140" t="s">
        <v>3999</v>
      </c>
      <c r="Y1020" s="140" t="s">
        <v>4006</v>
      </c>
      <c r="AB1020" s="133">
        <v>16</v>
      </c>
      <c r="AC1020" s="134">
        <v>63.72195</v>
      </c>
      <c r="AD1020" s="134">
        <v>148.98760999999999</v>
      </c>
      <c r="AH1020" s="139">
        <v>0</v>
      </c>
      <c r="AI1020" s="139">
        <v>0</v>
      </c>
      <c r="AJ1020" s="139">
        <v>0</v>
      </c>
      <c r="AK1020" s="139">
        <v>0</v>
      </c>
      <c r="AL1020" s="143">
        <v>0</v>
      </c>
      <c r="AM1020" s="133">
        <v>0</v>
      </c>
      <c r="AN1020" s="133">
        <f t="shared" si="17"/>
        <v>0</v>
      </c>
      <c r="AP1020" s="144" t="s">
        <v>5002</v>
      </c>
    </row>
    <row r="1021" spans="1:48" s="133" customFormat="1" x14ac:dyDescent="0.2">
      <c r="A1021" s="133" t="s">
        <v>1382</v>
      </c>
      <c r="B1021" s="133" t="s">
        <v>1378</v>
      </c>
      <c r="C1021" s="133">
        <v>13</v>
      </c>
      <c r="D1021" s="133">
        <v>1</v>
      </c>
      <c r="E1021" s="133" t="s">
        <v>2487</v>
      </c>
      <c r="F1021" s="138">
        <v>43388</v>
      </c>
      <c r="G1021" s="136" t="s">
        <v>4033</v>
      </c>
      <c r="H1021" s="136" t="s">
        <v>4724</v>
      </c>
      <c r="I1021" s="148">
        <v>2.5694444444444447E-2</v>
      </c>
      <c r="J1021" s="174">
        <v>4.2824074074074075E-4</v>
      </c>
      <c r="K1021" s="139">
        <v>37</v>
      </c>
      <c r="L1021" s="133" t="s">
        <v>398</v>
      </c>
      <c r="M1021" s="133" t="s">
        <v>176</v>
      </c>
      <c r="N1021" s="133" t="s">
        <v>111</v>
      </c>
      <c r="O1021" s="133" t="s">
        <v>516</v>
      </c>
      <c r="P1021" s="133">
        <v>0</v>
      </c>
      <c r="R1021" s="133">
        <v>2</v>
      </c>
      <c r="S1021" s="133" t="s">
        <v>461</v>
      </c>
      <c r="T1021" s="133" t="s">
        <v>2125</v>
      </c>
      <c r="U1021" s="133" t="s">
        <v>122</v>
      </c>
      <c r="V1021" s="133" t="s">
        <v>3986</v>
      </c>
      <c r="W1021" s="140" t="s">
        <v>516</v>
      </c>
      <c r="X1021" s="140" t="s">
        <v>3997</v>
      </c>
      <c r="Y1021" s="140" t="s">
        <v>4001</v>
      </c>
      <c r="Z1021" s="135"/>
      <c r="AA1021" s="135"/>
      <c r="AB1021" s="133">
        <v>25</v>
      </c>
      <c r="AC1021" s="134">
        <v>63.722020000000001</v>
      </c>
      <c r="AD1021" s="134">
        <v>148.98776000000001</v>
      </c>
      <c r="AE1021" s="135"/>
      <c r="AF1021" s="135"/>
      <c r="AG1021" s="135"/>
      <c r="AH1021" s="139">
        <v>0</v>
      </c>
      <c r="AI1021" s="139">
        <v>0</v>
      </c>
      <c r="AJ1021" s="139">
        <v>0</v>
      </c>
      <c r="AK1021" s="139">
        <v>0</v>
      </c>
      <c r="AL1021" s="143">
        <v>0</v>
      </c>
      <c r="AM1021" s="133">
        <v>0</v>
      </c>
      <c r="AN1021" s="133">
        <f t="shared" si="17"/>
        <v>0</v>
      </c>
      <c r="AP1021" s="133" t="s">
        <v>1381</v>
      </c>
    </row>
    <row r="1022" spans="1:48" s="133" customFormat="1" x14ac:dyDescent="0.2">
      <c r="A1022" s="135" t="s">
        <v>1386</v>
      </c>
      <c r="B1022" s="135" t="s">
        <v>1387</v>
      </c>
      <c r="C1022" s="135">
        <v>16</v>
      </c>
      <c r="D1022" s="135">
        <v>1</v>
      </c>
      <c r="E1022" s="135" t="s">
        <v>2487</v>
      </c>
      <c r="F1022" s="136">
        <v>43388</v>
      </c>
      <c r="G1022" s="136" t="s">
        <v>4033</v>
      </c>
      <c r="H1022" s="136" t="s">
        <v>4724</v>
      </c>
      <c r="I1022" s="172">
        <v>3.888888888888889E-2</v>
      </c>
      <c r="J1022" s="175">
        <v>6.4814814814814813E-4</v>
      </c>
      <c r="K1022" s="143">
        <v>56</v>
      </c>
      <c r="L1022" s="135" t="s">
        <v>398</v>
      </c>
      <c r="M1022" s="135" t="s">
        <v>176</v>
      </c>
      <c r="N1022" s="135" t="s">
        <v>102</v>
      </c>
      <c r="O1022" s="135" t="s">
        <v>115</v>
      </c>
      <c r="P1022" s="135">
        <v>1</v>
      </c>
      <c r="Q1022" s="135"/>
      <c r="R1022" s="135">
        <v>0</v>
      </c>
      <c r="S1022" s="133" t="s">
        <v>461</v>
      </c>
      <c r="T1022" s="135" t="s">
        <v>2125</v>
      </c>
      <c r="U1022" s="135" t="s">
        <v>122</v>
      </c>
      <c r="V1022" s="135" t="s">
        <v>115</v>
      </c>
      <c r="W1022" s="135" t="s">
        <v>115</v>
      </c>
      <c r="X1022" s="135" t="s">
        <v>115</v>
      </c>
      <c r="Y1022" s="135" t="s">
        <v>115</v>
      </c>
      <c r="AB1022" s="135" t="s">
        <v>115</v>
      </c>
      <c r="AC1022" s="137" t="s">
        <v>115</v>
      </c>
      <c r="AD1022" s="137"/>
      <c r="AH1022" s="143">
        <v>0</v>
      </c>
      <c r="AI1022" s="143">
        <v>0</v>
      </c>
      <c r="AJ1022" s="143">
        <v>0</v>
      </c>
      <c r="AK1022" s="143">
        <v>0</v>
      </c>
      <c r="AL1022" s="143">
        <v>0</v>
      </c>
      <c r="AM1022" s="135">
        <v>0</v>
      </c>
      <c r="AN1022" s="135">
        <f t="shared" si="17"/>
        <v>0</v>
      </c>
      <c r="AO1022" s="135"/>
      <c r="AP1022" s="135"/>
      <c r="AQ1022" s="135"/>
      <c r="AR1022" s="135"/>
    </row>
    <row r="1023" spans="1:48" s="133" customFormat="1" x14ac:dyDescent="0.2">
      <c r="A1023" s="133" t="s">
        <v>1394</v>
      </c>
      <c r="B1023" s="133" t="s">
        <v>1395</v>
      </c>
      <c r="C1023" s="133">
        <v>20</v>
      </c>
      <c r="D1023" s="133">
        <v>2</v>
      </c>
      <c r="E1023" s="133" t="s">
        <v>2487</v>
      </c>
      <c r="F1023" s="138">
        <v>43388</v>
      </c>
      <c r="G1023" s="136" t="s">
        <v>4033</v>
      </c>
      <c r="H1023" s="136" t="s">
        <v>4724</v>
      </c>
      <c r="I1023" s="148">
        <v>1.0416666666666666E-2</v>
      </c>
      <c r="J1023" s="174">
        <v>1.7361111111111112E-4</v>
      </c>
      <c r="K1023" s="139">
        <v>15</v>
      </c>
      <c r="L1023" s="133" t="s">
        <v>398</v>
      </c>
      <c r="M1023" s="133" t="s">
        <v>176</v>
      </c>
      <c r="N1023" s="133" t="s">
        <v>111</v>
      </c>
      <c r="O1023" s="133" t="s">
        <v>23</v>
      </c>
      <c r="P1023" s="133">
        <v>0</v>
      </c>
      <c r="R1023" s="133">
        <v>1</v>
      </c>
      <c r="S1023" s="133" t="s">
        <v>461</v>
      </c>
      <c r="T1023" s="133" t="s">
        <v>2125</v>
      </c>
      <c r="U1023" s="133" t="s">
        <v>122</v>
      </c>
      <c r="V1023" s="133" t="s">
        <v>2061</v>
      </c>
      <c r="W1023" s="140" t="s">
        <v>23</v>
      </c>
      <c r="X1023" s="140" t="s">
        <v>3999</v>
      </c>
      <c r="Y1023" s="140" t="s">
        <v>4006</v>
      </c>
      <c r="Z1023" s="135"/>
      <c r="AA1023" s="135"/>
      <c r="AB1023" s="133">
        <v>8</v>
      </c>
      <c r="AC1023" s="134">
        <v>63.72184</v>
      </c>
      <c r="AD1023" s="134">
        <v>148.98740000000001</v>
      </c>
      <c r="AE1023" s="135"/>
      <c r="AF1023" s="135"/>
      <c r="AG1023" s="135"/>
      <c r="AH1023" s="139">
        <v>0</v>
      </c>
      <c r="AI1023" s="139">
        <v>0</v>
      </c>
      <c r="AJ1023" s="139">
        <v>0</v>
      </c>
      <c r="AK1023" s="139">
        <v>0</v>
      </c>
      <c r="AL1023" s="143">
        <v>0</v>
      </c>
      <c r="AM1023" s="133">
        <v>0</v>
      </c>
      <c r="AN1023" s="133">
        <f t="shared" si="17"/>
        <v>0</v>
      </c>
      <c r="AP1023" s="144" t="s">
        <v>5004</v>
      </c>
    </row>
    <row r="1024" spans="1:48" s="135" customFormat="1" x14ac:dyDescent="0.2">
      <c r="A1024" s="135" t="s">
        <v>1397</v>
      </c>
      <c r="B1024" s="135" t="s">
        <v>1398</v>
      </c>
      <c r="C1024" s="135">
        <v>21</v>
      </c>
      <c r="D1024" s="135">
        <v>1</v>
      </c>
      <c r="E1024" s="135" t="s">
        <v>2487</v>
      </c>
      <c r="F1024" s="136">
        <v>43388</v>
      </c>
      <c r="G1024" s="136" t="s">
        <v>4033</v>
      </c>
      <c r="H1024" s="136" t="s">
        <v>4724</v>
      </c>
      <c r="I1024" s="172">
        <v>4.027777777777778E-2</v>
      </c>
      <c r="J1024" s="175">
        <v>6.7129629629629625E-4</v>
      </c>
      <c r="K1024" s="143">
        <v>58</v>
      </c>
      <c r="L1024" s="135" t="s">
        <v>398</v>
      </c>
      <c r="M1024" s="135" t="s">
        <v>176</v>
      </c>
      <c r="N1024" s="135" t="s">
        <v>102</v>
      </c>
      <c r="O1024" s="135" t="s">
        <v>115</v>
      </c>
      <c r="P1024" s="135">
        <v>1</v>
      </c>
      <c r="R1024" s="135">
        <v>0</v>
      </c>
      <c r="S1024" s="133" t="s">
        <v>461</v>
      </c>
      <c r="T1024" s="135" t="s">
        <v>2125</v>
      </c>
      <c r="U1024" s="135" t="s">
        <v>122</v>
      </c>
      <c r="V1024" s="135" t="s">
        <v>115</v>
      </c>
      <c r="W1024" s="135" t="s">
        <v>115</v>
      </c>
      <c r="X1024" s="135" t="s">
        <v>115</v>
      </c>
      <c r="Y1024" s="135" t="s">
        <v>115</v>
      </c>
      <c r="Z1024" s="133"/>
      <c r="AA1024" s="133"/>
      <c r="AB1024" s="135" t="s">
        <v>115</v>
      </c>
      <c r="AC1024" s="137" t="s">
        <v>115</v>
      </c>
      <c r="AD1024" s="137"/>
      <c r="AE1024" s="133"/>
      <c r="AF1024" s="133"/>
      <c r="AG1024" s="133"/>
      <c r="AH1024" s="143">
        <v>0</v>
      </c>
      <c r="AI1024" s="143">
        <v>0</v>
      </c>
      <c r="AJ1024" s="143">
        <v>0</v>
      </c>
      <c r="AK1024" s="143">
        <v>0</v>
      </c>
      <c r="AL1024" s="143">
        <v>0</v>
      </c>
      <c r="AM1024" s="135">
        <v>0</v>
      </c>
      <c r="AN1024" s="135">
        <f t="shared" si="17"/>
        <v>0</v>
      </c>
    </row>
    <row r="1025" spans="1:48" s="133" customFormat="1" x14ac:dyDescent="0.2">
      <c r="A1025" s="133" t="s">
        <v>1402</v>
      </c>
      <c r="B1025" s="133" t="s">
        <v>1401</v>
      </c>
      <c r="C1025" s="133">
        <v>23</v>
      </c>
      <c r="D1025" s="133">
        <v>1</v>
      </c>
      <c r="E1025" s="133" t="s">
        <v>2487</v>
      </c>
      <c r="F1025" s="138">
        <v>43388</v>
      </c>
      <c r="G1025" s="136" t="s">
        <v>4033</v>
      </c>
      <c r="H1025" s="136" t="s">
        <v>4724</v>
      </c>
      <c r="I1025" s="148">
        <v>1.6666666666666666E-2</v>
      </c>
      <c r="J1025" s="174">
        <v>2.7777777777777778E-4</v>
      </c>
      <c r="K1025" s="139">
        <v>24</v>
      </c>
      <c r="L1025" s="133" t="s">
        <v>398</v>
      </c>
      <c r="M1025" s="133" t="s">
        <v>176</v>
      </c>
      <c r="N1025" s="133" t="s">
        <v>111</v>
      </c>
      <c r="O1025" s="133" t="s">
        <v>23</v>
      </c>
      <c r="P1025" s="133">
        <v>0</v>
      </c>
      <c r="R1025" s="133">
        <v>1</v>
      </c>
      <c r="S1025" s="133" t="s">
        <v>461</v>
      </c>
      <c r="T1025" s="133" t="s">
        <v>2125</v>
      </c>
      <c r="U1025" s="133" t="s">
        <v>122</v>
      </c>
      <c r="V1025" s="133" t="s">
        <v>1035</v>
      </c>
      <c r="W1025" s="140" t="s">
        <v>23</v>
      </c>
      <c r="X1025" s="140" t="s">
        <v>3997</v>
      </c>
      <c r="Y1025" s="140" t="s">
        <v>4006</v>
      </c>
      <c r="Z1025" s="135"/>
      <c r="AA1025" s="135"/>
      <c r="AB1025" s="133">
        <v>10</v>
      </c>
      <c r="AC1025" s="134">
        <v>63.721899999999998</v>
      </c>
      <c r="AD1025" s="134">
        <v>148.98749000000001</v>
      </c>
      <c r="AE1025" s="135"/>
      <c r="AF1025" s="135"/>
      <c r="AG1025" s="135"/>
      <c r="AH1025" s="139">
        <v>0</v>
      </c>
      <c r="AI1025" s="139">
        <v>0</v>
      </c>
      <c r="AJ1025" s="139">
        <v>0</v>
      </c>
      <c r="AK1025" s="139">
        <v>0</v>
      </c>
      <c r="AL1025" s="143">
        <v>0</v>
      </c>
      <c r="AM1025" s="133">
        <v>0</v>
      </c>
      <c r="AN1025" s="133">
        <f t="shared" si="17"/>
        <v>0</v>
      </c>
    </row>
    <row r="1026" spans="1:48" s="135" customFormat="1" x14ac:dyDescent="0.2">
      <c r="A1026" s="133" t="s">
        <v>1407</v>
      </c>
      <c r="B1026" s="133" t="s">
        <v>1408</v>
      </c>
      <c r="C1026" s="133">
        <v>26</v>
      </c>
      <c r="D1026" s="133">
        <v>1</v>
      </c>
      <c r="E1026" s="133" t="s">
        <v>2487</v>
      </c>
      <c r="F1026" s="138">
        <v>43388</v>
      </c>
      <c r="G1026" s="136" t="s">
        <v>4033</v>
      </c>
      <c r="H1026" s="136" t="s">
        <v>4724</v>
      </c>
      <c r="I1026" s="148">
        <v>8.7500000000000008E-2</v>
      </c>
      <c r="J1026" s="174">
        <v>1.4583333333333334E-3</v>
      </c>
      <c r="K1026" s="139">
        <v>126</v>
      </c>
      <c r="L1026" s="133" t="s">
        <v>398</v>
      </c>
      <c r="M1026" s="133" t="s">
        <v>176</v>
      </c>
      <c r="N1026" s="133" t="s">
        <v>111</v>
      </c>
      <c r="O1026" s="133" t="s">
        <v>23</v>
      </c>
      <c r="P1026" s="133">
        <v>0</v>
      </c>
      <c r="Q1026" s="133"/>
      <c r="R1026" s="133">
        <v>1</v>
      </c>
      <c r="S1026" s="133" t="s">
        <v>461</v>
      </c>
      <c r="T1026" s="133" t="s">
        <v>2125</v>
      </c>
      <c r="U1026" s="133" t="s">
        <v>122</v>
      </c>
      <c r="V1026" s="133" t="s">
        <v>1035</v>
      </c>
      <c r="W1026" s="140" t="s">
        <v>23</v>
      </c>
      <c r="X1026" s="140" t="s">
        <v>3997</v>
      </c>
      <c r="Y1026" s="140" t="s">
        <v>4006</v>
      </c>
      <c r="AB1026" s="133">
        <v>60</v>
      </c>
      <c r="AC1026" s="134">
        <v>63.72137</v>
      </c>
      <c r="AD1026" s="134">
        <v>148.98742999999999</v>
      </c>
      <c r="AH1026" s="139">
        <v>0</v>
      </c>
      <c r="AI1026" s="139">
        <v>0</v>
      </c>
      <c r="AJ1026" s="139">
        <v>0</v>
      </c>
      <c r="AK1026" s="139">
        <v>0</v>
      </c>
      <c r="AL1026" s="143">
        <v>0</v>
      </c>
      <c r="AM1026" s="133">
        <v>0</v>
      </c>
      <c r="AN1026" s="133">
        <f t="shared" si="17"/>
        <v>0</v>
      </c>
      <c r="AO1026" s="133"/>
      <c r="AP1026" s="144" t="s">
        <v>5002</v>
      </c>
      <c r="AQ1026" s="133"/>
      <c r="AR1026" s="133"/>
      <c r="AS1026" s="133"/>
      <c r="AT1026" s="133"/>
      <c r="AU1026" s="133"/>
      <c r="AV1026" s="133"/>
    </row>
    <row r="1027" spans="1:48" s="135" customFormat="1" x14ac:dyDescent="0.2">
      <c r="A1027" s="133" t="s">
        <v>1411</v>
      </c>
      <c r="B1027" s="133" t="s">
        <v>1412</v>
      </c>
      <c r="C1027" s="133">
        <v>28</v>
      </c>
      <c r="D1027" s="133">
        <v>1</v>
      </c>
      <c r="E1027" s="133" t="s">
        <v>2487</v>
      </c>
      <c r="F1027" s="138">
        <v>43388</v>
      </c>
      <c r="G1027" s="136" t="s">
        <v>4033</v>
      </c>
      <c r="H1027" s="136" t="s">
        <v>4724</v>
      </c>
      <c r="I1027" s="148">
        <v>1.1805555555555555E-2</v>
      </c>
      <c r="J1027" s="174">
        <v>1.9675925925925926E-4</v>
      </c>
      <c r="K1027" s="139">
        <v>17</v>
      </c>
      <c r="L1027" s="133" t="s">
        <v>398</v>
      </c>
      <c r="M1027" s="133" t="s">
        <v>176</v>
      </c>
      <c r="N1027" s="133" t="s">
        <v>111</v>
      </c>
      <c r="O1027" s="133" t="s">
        <v>23</v>
      </c>
      <c r="P1027" s="133">
        <v>0</v>
      </c>
      <c r="Q1027" s="133"/>
      <c r="R1027" s="133">
        <v>1</v>
      </c>
      <c r="S1027" s="133" t="s">
        <v>461</v>
      </c>
      <c r="T1027" s="133" t="s">
        <v>2125</v>
      </c>
      <c r="U1027" s="133" t="s">
        <v>122</v>
      </c>
      <c r="V1027" s="133" t="s">
        <v>1035</v>
      </c>
      <c r="W1027" s="140" t="s">
        <v>23</v>
      </c>
      <c r="X1027" s="140" t="s">
        <v>3997</v>
      </c>
      <c r="Y1027" s="140" t="s">
        <v>4006</v>
      </c>
      <c r="AB1027" s="133">
        <v>37</v>
      </c>
      <c r="AC1027" s="134">
        <v>63.721769999999999</v>
      </c>
      <c r="AD1027" s="134">
        <v>148.98671999999999</v>
      </c>
      <c r="AH1027" s="139">
        <v>0</v>
      </c>
      <c r="AI1027" s="139">
        <v>0</v>
      </c>
      <c r="AJ1027" s="139">
        <v>0</v>
      </c>
      <c r="AK1027" s="139">
        <v>0</v>
      </c>
      <c r="AL1027" s="143">
        <v>0</v>
      </c>
      <c r="AM1027" s="133">
        <v>0</v>
      </c>
      <c r="AN1027" s="133">
        <f t="shared" si="17"/>
        <v>0</v>
      </c>
      <c r="AO1027" s="133"/>
      <c r="AP1027" s="144" t="s">
        <v>5002</v>
      </c>
      <c r="AQ1027" s="133"/>
      <c r="AR1027" s="133"/>
    </row>
    <row r="1028" spans="1:48" s="135" customFormat="1" x14ac:dyDescent="0.2">
      <c r="A1028" s="133" t="s">
        <v>1472</v>
      </c>
      <c r="B1028" s="133" t="s">
        <v>1473</v>
      </c>
      <c r="C1028" s="133">
        <v>56</v>
      </c>
      <c r="D1028" s="133">
        <v>1</v>
      </c>
      <c r="E1028" s="133" t="s">
        <v>2487</v>
      </c>
      <c r="F1028" s="138">
        <v>43388</v>
      </c>
      <c r="G1028" s="136" t="s">
        <v>4033</v>
      </c>
      <c r="H1028" s="136" t="s">
        <v>4724</v>
      </c>
      <c r="I1028" s="148">
        <v>1.4583333333333332E-2</v>
      </c>
      <c r="J1028" s="174">
        <v>2.4305555555555552E-4</v>
      </c>
      <c r="K1028" s="139">
        <v>21</v>
      </c>
      <c r="L1028" s="133" t="s">
        <v>398</v>
      </c>
      <c r="M1028" s="133" t="s">
        <v>176</v>
      </c>
      <c r="N1028" s="133"/>
      <c r="O1028" s="133" t="s">
        <v>115</v>
      </c>
      <c r="P1028" s="133">
        <v>0</v>
      </c>
      <c r="Q1028" s="133"/>
      <c r="R1028" s="133">
        <v>1</v>
      </c>
      <c r="S1028" s="133" t="s">
        <v>14</v>
      </c>
      <c r="T1028" s="133" t="s">
        <v>2128</v>
      </c>
      <c r="U1028" s="133" t="s">
        <v>122</v>
      </c>
      <c r="V1028" s="133" t="s">
        <v>1035</v>
      </c>
      <c r="W1028" s="140" t="s">
        <v>23</v>
      </c>
      <c r="X1028" s="140" t="s">
        <v>3997</v>
      </c>
      <c r="Y1028" s="140" t="s">
        <v>4006</v>
      </c>
      <c r="AB1028" s="133" t="s">
        <v>24</v>
      </c>
      <c r="AC1028" s="134">
        <v>63.721649999999997</v>
      </c>
      <c r="AD1028" s="134">
        <v>148.98887999999999</v>
      </c>
      <c r="AH1028" s="139">
        <v>0</v>
      </c>
      <c r="AI1028" s="139">
        <v>0</v>
      </c>
      <c r="AJ1028" s="139">
        <v>0</v>
      </c>
      <c r="AK1028" s="139">
        <v>0</v>
      </c>
      <c r="AL1028" s="139">
        <v>0</v>
      </c>
      <c r="AM1028" s="133">
        <v>0</v>
      </c>
      <c r="AN1028" s="133">
        <f t="shared" si="17"/>
        <v>0</v>
      </c>
      <c r="AO1028" s="133"/>
      <c r="AP1028" s="133" t="s">
        <v>5006</v>
      </c>
      <c r="AQ1028" s="133"/>
      <c r="AR1028" s="133"/>
    </row>
    <row r="1029" spans="1:48" s="133" customFormat="1" x14ac:dyDescent="0.2">
      <c r="A1029" s="133" t="s">
        <v>1519</v>
      </c>
      <c r="B1029" s="133" t="s">
        <v>1520</v>
      </c>
      <c r="C1029" s="133">
        <v>10</v>
      </c>
      <c r="D1029" s="133">
        <v>1</v>
      </c>
      <c r="E1029" s="133" t="s">
        <v>324</v>
      </c>
      <c r="F1029" s="138">
        <v>43389</v>
      </c>
      <c r="G1029" s="136" t="s">
        <v>4033</v>
      </c>
      <c r="H1029" s="136" t="s">
        <v>4724</v>
      </c>
      <c r="I1029" s="148">
        <v>1.5277777777777777E-2</v>
      </c>
      <c r="J1029" s="174">
        <v>2.5462962962962961E-4</v>
      </c>
      <c r="K1029" s="139">
        <v>22</v>
      </c>
      <c r="L1029" s="133" t="s">
        <v>398</v>
      </c>
      <c r="M1029" s="133" t="s">
        <v>176</v>
      </c>
      <c r="O1029" s="133" t="s">
        <v>1196</v>
      </c>
      <c r="P1029" s="133">
        <v>0</v>
      </c>
      <c r="R1029" s="133">
        <v>1</v>
      </c>
      <c r="S1029" s="133" t="s">
        <v>14</v>
      </c>
      <c r="T1029" s="133" t="s">
        <v>2129</v>
      </c>
      <c r="U1029" s="133" t="s">
        <v>122</v>
      </c>
      <c r="V1029" s="133" t="s">
        <v>1521</v>
      </c>
      <c r="W1029" s="135" t="s">
        <v>1196</v>
      </c>
      <c r="X1029" s="135" t="s">
        <v>3997</v>
      </c>
      <c r="Y1029" s="135" t="s">
        <v>4005</v>
      </c>
      <c r="Z1029" s="135"/>
      <c r="AA1029" s="135"/>
      <c r="AB1029" s="133" t="s">
        <v>24</v>
      </c>
      <c r="AC1029" s="134">
        <v>63.723840000000003</v>
      </c>
      <c r="AD1029" s="134">
        <v>148.88453999999999</v>
      </c>
      <c r="AE1029" s="135"/>
      <c r="AF1029" s="135"/>
      <c r="AG1029" s="135"/>
      <c r="AH1029" s="139">
        <v>0</v>
      </c>
      <c r="AI1029" s="139">
        <v>0</v>
      </c>
      <c r="AJ1029" s="139">
        <v>0</v>
      </c>
      <c r="AK1029" s="139">
        <v>0</v>
      </c>
      <c r="AL1029" s="139">
        <v>0</v>
      </c>
      <c r="AM1029" s="133">
        <v>0</v>
      </c>
      <c r="AN1029" s="133">
        <f t="shared" si="17"/>
        <v>0</v>
      </c>
      <c r="AP1029" s="133" t="s">
        <v>1522</v>
      </c>
    </row>
    <row r="1030" spans="1:48" s="133" customFormat="1" x14ac:dyDescent="0.2">
      <c r="A1030" s="133" t="s">
        <v>1550</v>
      </c>
      <c r="B1030" s="133" t="s">
        <v>5014</v>
      </c>
      <c r="C1030" s="133">
        <v>3</v>
      </c>
      <c r="D1030" s="133">
        <v>1</v>
      </c>
      <c r="E1030" s="133" t="s">
        <v>2601</v>
      </c>
      <c r="F1030" s="138">
        <v>43390</v>
      </c>
      <c r="G1030" s="136" t="s">
        <v>4033</v>
      </c>
      <c r="H1030" s="136" t="s">
        <v>4724</v>
      </c>
      <c r="I1030" s="148">
        <v>1.5972222222222224E-2</v>
      </c>
      <c r="J1030" s="174">
        <v>2.6620370370370372E-4</v>
      </c>
      <c r="K1030" s="139">
        <v>23</v>
      </c>
      <c r="L1030" s="133" t="s">
        <v>398</v>
      </c>
      <c r="M1030" s="133" t="s">
        <v>176</v>
      </c>
      <c r="N1030" s="133" t="s">
        <v>111</v>
      </c>
      <c r="O1030" s="133" t="s">
        <v>23</v>
      </c>
      <c r="P1030" s="133">
        <v>0</v>
      </c>
      <c r="R1030" s="133">
        <v>1</v>
      </c>
      <c r="S1030" s="133" t="s">
        <v>176</v>
      </c>
      <c r="T1030" s="133" t="s">
        <v>176</v>
      </c>
      <c r="U1030" s="133" t="s">
        <v>24</v>
      </c>
      <c r="V1030" s="133" t="s">
        <v>3963</v>
      </c>
      <c r="W1030" s="140" t="s">
        <v>23</v>
      </c>
      <c r="X1030" s="133" t="s">
        <v>3997</v>
      </c>
      <c r="Y1030" s="133" t="s">
        <v>4007</v>
      </c>
      <c r="Z1030" s="135"/>
      <c r="AA1030" s="135"/>
      <c r="AB1030" s="133" t="s">
        <v>24</v>
      </c>
      <c r="AC1030" s="134">
        <v>63.724910000000001</v>
      </c>
      <c r="AD1030" s="134">
        <v>148.96313000000001</v>
      </c>
      <c r="AE1030" s="135"/>
      <c r="AF1030" s="135"/>
      <c r="AG1030" s="135"/>
      <c r="AH1030" s="139">
        <v>0</v>
      </c>
      <c r="AI1030" s="139">
        <v>0</v>
      </c>
      <c r="AJ1030" s="139">
        <v>0</v>
      </c>
      <c r="AK1030" s="139">
        <v>0</v>
      </c>
      <c r="AL1030" s="139">
        <v>0</v>
      </c>
      <c r="AM1030" s="133">
        <v>0</v>
      </c>
      <c r="AN1030" s="133">
        <f t="shared" si="17"/>
        <v>0</v>
      </c>
    </row>
    <row r="1031" spans="1:48" s="133" customFormat="1" x14ac:dyDescent="0.2">
      <c r="A1031" s="133" t="s">
        <v>1552</v>
      </c>
      <c r="B1031" s="133" t="s">
        <v>5011</v>
      </c>
      <c r="C1031" s="133">
        <v>4</v>
      </c>
      <c r="D1031" s="133">
        <v>1</v>
      </c>
      <c r="E1031" s="133" t="s">
        <v>2601</v>
      </c>
      <c r="F1031" s="138">
        <v>43390</v>
      </c>
      <c r="G1031" s="136" t="s">
        <v>4033</v>
      </c>
      <c r="H1031" s="136" t="s">
        <v>4724</v>
      </c>
      <c r="I1031" s="148">
        <v>4.1666666666666666E-3</v>
      </c>
      <c r="J1031" s="174">
        <v>6.9444444444444444E-5</v>
      </c>
      <c r="K1031" s="139">
        <v>6</v>
      </c>
      <c r="L1031" s="133" t="s">
        <v>398</v>
      </c>
      <c r="M1031" s="133" t="s">
        <v>176</v>
      </c>
      <c r="N1031" s="133" t="s">
        <v>102</v>
      </c>
      <c r="O1031" s="133" t="s">
        <v>115</v>
      </c>
      <c r="P1031" s="133">
        <v>1</v>
      </c>
      <c r="R1031" s="133">
        <v>0</v>
      </c>
      <c r="S1031" s="133" t="s">
        <v>176</v>
      </c>
      <c r="T1031" s="133" t="s">
        <v>176</v>
      </c>
      <c r="U1031" s="133" t="s">
        <v>122</v>
      </c>
      <c r="V1031" s="133" t="s">
        <v>115</v>
      </c>
      <c r="W1031" s="135" t="s">
        <v>115</v>
      </c>
      <c r="X1031" s="135" t="s">
        <v>115</v>
      </c>
      <c r="Y1031" s="135" t="s">
        <v>115</v>
      </c>
      <c r="Z1031" s="135"/>
      <c r="AA1031" s="135"/>
      <c r="AB1031" s="133" t="s">
        <v>115</v>
      </c>
      <c r="AC1031" s="134" t="s">
        <v>115</v>
      </c>
      <c r="AD1031" s="134"/>
      <c r="AE1031" s="135"/>
      <c r="AF1031" s="135"/>
      <c r="AG1031" s="135"/>
      <c r="AH1031" s="139">
        <v>0</v>
      </c>
      <c r="AI1031" s="139">
        <v>0</v>
      </c>
      <c r="AJ1031" s="139">
        <v>0</v>
      </c>
      <c r="AK1031" s="139">
        <v>0</v>
      </c>
      <c r="AL1031" s="139">
        <v>0</v>
      </c>
      <c r="AM1031" s="133">
        <v>0</v>
      </c>
      <c r="AN1031" s="133">
        <f t="shared" si="17"/>
        <v>0</v>
      </c>
      <c r="AP1031" s="133" t="s">
        <v>1553</v>
      </c>
    </row>
    <row r="1032" spans="1:48" s="135" customFormat="1" x14ac:dyDescent="0.2">
      <c r="A1032" s="135" t="s">
        <v>1554</v>
      </c>
      <c r="B1032" s="135" t="s">
        <v>5012</v>
      </c>
      <c r="C1032" s="135">
        <v>5</v>
      </c>
      <c r="D1032" s="135">
        <v>1</v>
      </c>
      <c r="E1032" s="135" t="s">
        <v>2601</v>
      </c>
      <c r="F1032" s="136">
        <v>43390</v>
      </c>
      <c r="G1032" s="136" t="s">
        <v>4033</v>
      </c>
      <c r="H1032" s="136" t="s">
        <v>4724</v>
      </c>
      <c r="I1032" s="172">
        <v>7.6388888888888886E-3</v>
      </c>
      <c r="J1032" s="175">
        <v>1.273148148148148E-4</v>
      </c>
      <c r="K1032" s="143">
        <v>11</v>
      </c>
      <c r="L1032" s="135" t="s">
        <v>398</v>
      </c>
      <c r="M1032" s="135" t="s">
        <v>176</v>
      </c>
      <c r="N1032" s="135" t="s">
        <v>102</v>
      </c>
      <c r="O1032" s="135" t="s">
        <v>115</v>
      </c>
      <c r="P1032" s="135">
        <v>1</v>
      </c>
      <c r="R1032" s="135">
        <v>0</v>
      </c>
      <c r="S1032" s="133" t="s">
        <v>176</v>
      </c>
      <c r="T1032" s="135" t="s">
        <v>176</v>
      </c>
      <c r="U1032" s="135" t="s">
        <v>122</v>
      </c>
      <c r="V1032" s="135" t="s">
        <v>115</v>
      </c>
      <c r="W1032" s="135" t="s">
        <v>115</v>
      </c>
      <c r="X1032" s="135" t="s">
        <v>115</v>
      </c>
      <c r="Y1032" s="135" t="s">
        <v>115</v>
      </c>
      <c r="AB1032" s="135" t="s">
        <v>115</v>
      </c>
      <c r="AC1032" s="137" t="s">
        <v>115</v>
      </c>
      <c r="AD1032" s="137"/>
      <c r="AH1032" s="143">
        <v>0</v>
      </c>
      <c r="AI1032" s="143">
        <v>0</v>
      </c>
      <c r="AJ1032" s="143">
        <v>0</v>
      </c>
      <c r="AK1032" s="143">
        <v>0</v>
      </c>
      <c r="AL1032" s="143">
        <v>5</v>
      </c>
      <c r="AM1032" s="135">
        <v>0</v>
      </c>
      <c r="AN1032" s="135">
        <f t="shared" si="17"/>
        <v>5</v>
      </c>
      <c r="AS1032" s="133"/>
      <c r="AT1032" s="133"/>
      <c r="AU1032" s="133"/>
      <c r="AV1032" s="133"/>
    </row>
    <row r="1033" spans="1:48" s="133" customFormat="1" x14ac:dyDescent="0.2">
      <c r="A1033" s="135" t="s">
        <v>1588</v>
      </c>
      <c r="B1033" s="135" t="s">
        <v>1589</v>
      </c>
      <c r="C1033" s="135">
        <v>1</v>
      </c>
      <c r="D1033" s="135">
        <v>1</v>
      </c>
      <c r="E1033" s="135" t="s">
        <v>2487</v>
      </c>
      <c r="F1033" s="136">
        <v>43391</v>
      </c>
      <c r="G1033" s="136" t="s">
        <v>4033</v>
      </c>
      <c r="H1033" s="136" t="s">
        <v>4724</v>
      </c>
      <c r="I1033" s="172">
        <v>8.3333333333333332E-3</v>
      </c>
      <c r="J1033" s="175">
        <v>1.3888888888888889E-4</v>
      </c>
      <c r="K1033" s="143">
        <v>12</v>
      </c>
      <c r="L1033" s="135" t="s">
        <v>398</v>
      </c>
      <c r="M1033" s="135" t="s">
        <v>176</v>
      </c>
      <c r="N1033" s="135" t="s">
        <v>102</v>
      </c>
      <c r="O1033" s="135" t="s">
        <v>115</v>
      </c>
      <c r="P1033" s="135" t="s">
        <v>24</v>
      </c>
      <c r="Q1033" s="135"/>
      <c r="R1033" s="135">
        <v>0</v>
      </c>
      <c r="S1033" s="133" t="s">
        <v>176</v>
      </c>
      <c r="T1033" s="135" t="s">
        <v>176</v>
      </c>
      <c r="U1033" s="135" t="s">
        <v>115</v>
      </c>
      <c r="V1033" s="135" t="s">
        <v>115</v>
      </c>
      <c r="W1033" s="135" t="s">
        <v>115</v>
      </c>
      <c r="X1033" s="135" t="s">
        <v>115</v>
      </c>
      <c r="Y1033" s="135" t="s">
        <v>115</v>
      </c>
      <c r="Z1033" s="135"/>
      <c r="AA1033" s="135"/>
      <c r="AB1033" s="135" t="s">
        <v>115</v>
      </c>
      <c r="AC1033" s="137" t="s">
        <v>115</v>
      </c>
      <c r="AD1033" s="137"/>
      <c r="AE1033" s="135"/>
      <c r="AF1033" s="135"/>
      <c r="AG1033" s="135"/>
      <c r="AH1033" s="143">
        <v>0</v>
      </c>
      <c r="AI1033" s="143">
        <v>0</v>
      </c>
      <c r="AJ1033" s="143">
        <v>0</v>
      </c>
      <c r="AK1033" s="143">
        <v>0</v>
      </c>
      <c r="AL1033" s="143">
        <v>11</v>
      </c>
      <c r="AM1033" s="135">
        <v>0</v>
      </c>
      <c r="AN1033" s="135">
        <f t="shared" si="17"/>
        <v>11</v>
      </c>
      <c r="AO1033" s="135"/>
      <c r="AP1033" s="135"/>
      <c r="AQ1033" s="135"/>
      <c r="AR1033" s="135"/>
    </row>
    <row r="1034" spans="1:48" s="135" customFormat="1" x14ac:dyDescent="0.2">
      <c r="A1034" s="133" t="s">
        <v>1598</v>
      </c>
      <c r="B1034" s="133" t="s">
        <v>1599</v>
      </c>
      <c r="C1034" s="133">
        <v>1</v>
      </c>
      <c r="D1034" s="133">
        <v>1</v>
      </c>
      <c r="E1034" s="133" t="s">
        <v>791</v>
      </c>
      <c r="F1034" s="138">
        <v>43391</v>
      </c>
      <c r="G1034" s="136" t="s">
        <v>4033</v>
      </c>
      <c r="H1034" s="136" t="s">
        <v>4724</v>
      </c>
      <c r="I1034" s="148">
        <v>1.2499999999999999E-2</v>
      </c>
      <c r="J1034" s="174">
        <v>2.0833333333333335E-4</v>
      </c>
      <c r="K1034" s="139">
        <v>18</v>
      </c>
      <c r="L1034" s="133" t="s">
        <v>398</v>
      </c>
      <c r="M1034" s="133" t="s">
        <v>176</v>
      </c>
      <c r="N1034" s="133"/>
      <c r="O1034" s="133" t="s">
        <v>23</v>
      </c>
      <c r="P1034" s="133">
        <v>0</v>
      </c>
      <c r="Q1034" s="133"/>
      <c r="R1034" s="133">
        <v>1</v>
      </c>
      <c r="S1034" s="133" t="s">
        <v>14</v>
      </c>
      <c r="T1034" s="133" t="s">
        <v>2128</v>
      </c>
      <c r="U1034" s="133" t="s">
        <v>24</v>
      </c>
      <c r="V1034" s="133" t="s">
        <v>1035</v>
      </c>
      <c r="W1034" s="135" t="s">
        <v>23</v>
      </c>
      <c r="X1034" s="135" t="s">
        <v>3997</v>
      </c>
      <c r="Y1034" s="135" t="s">
        <v>4006</v>
      </c>
      <c r="Z1034" s="133"/>
      <c r="AA1034" s="133"/>
      <c r="AB1034" s="133" t="s">
        <v>24</v>
      </c>
      <c r="AC1034" s="134">
        <v>63.723109999999998</v>
      </c>
      <c r="AD1034" s="134">
        <v>148.96836999999999</v>
      </c>
      <c r="AE1034" s="133"/>
      <c r="AF1034" s="133"/>
      <c r="AG1034" s="133"/>
      <c r="AH1034" s="139">
        <v>0</v>
      </c>
      <c r="AI1034" s="139">
        <v>0</v>
      </c>
      <c r="AJ1034" s="139">
        <v>0</v>
      </c>
      <c r="AK1034" s="139">
        <v>0</v>
      </c>
      <c r="AL1034" s="139">
        <v>0</v>
      </c>
      <c r="AM1034" s="133">
        <v>0</v>
      </c>
      <c r="AN1034" s="133">
        <f t="shared" si="17"/>
        <v>0</v>
      </c>
      <c r="AO1034" s="133"/>
      <c r="AP1034" s="133" t="s">
        <v>1600</v>
      </c>
      <c r="AQ1034" s="133"/>
      <c r="AR1034" s="133"/>
      <c r="AS1034" s="133"/>
      <c r="AT1034" s="133"/>
      <c r="AU1034" s="133"/>
      <c r="AV1034" s="133"/>
    </row>
    <row r="1035" spans="1:48" s="133" customFormat="1" x14ac:dyDescent="0.2">
      <c r="A1035" s="135" t="s">
        <v>1695</v>
      </c>
      <c r="B1035" s="135" t="s">
        <v>1696</v>
      </c>
      <c r="C1035" s="135">
        <v>2</v>
      </c>
      <c r="D1035" s="135">
        <v>1</v>
      </c>
      <c r="E1035" s="135" t="s">
        <v>2487</v>
      </c>
      <c r="F1035" s="136">
        <v>43396</v>
      </c>
      <c r="G1035" s="136" t="s">
        <v>4033</v>
      </c>
      <c r="H1035" s="136" t="s">
        <v>4724</v>
      </c>
      <c r="I1035" s="172">
        <v>9.0277777777777787E-3</v>
      </c>
      <c r="J1035" s="175">
        <v>1.5046296296296297E-4</v>
      </c>
      <c r="K1035" s="143">
        <v>13</v>
      </c>
      <c r="L1035" s="135"/>
      <c r="M1035" s="135" t="s">
        <v>176</v>
      </c>
      <c r="N1035" s="135" t="s">
        <v>102</v>
      </c>
      <c r="O1035" s="135" t="s">
        <v>115</v>
      </c>
      <c r="P1035" s="135" t="s">
        <v>24</v>
      </c>
      <c r="Q1035" s="135"/>
      <c r="R1035" s="135">
        <v>0</v>
      </c>
      <c r="S1035" s="133" t="s">
        <v>176</v>
      </c>
      <c r="T1035" s="135" t="s">
        <v>176</v>
      </c>
      <c r="U1035" s="135" t="s">
        <v>115</v>
      </c>
      <c r="V1035" s="135" t="s">
        <v>115</v>
      </c>
      <c r="W1035" s="135" t="s">
        <v>115</v>
      </c>
      <c r="X1035" s="135" t="s">
        <v>115</v>
      </c>
      <c r="Y1035" s="135" t="s">
        <v>115</v>
      </c>
      <c r="AB1035" s="135" t="s">
        <v>115</v>
      </c>
      <c r="AC1035" s="137" t="s">
        <v>115</v>
      </c>
      <c r="AD1035" s="137"/>
      <c r="AH1035" s="143">
        <v>0</v>
      </c>
      <c r="AI1035" s="143">
        <v>0</v>
      </c>
      <c r="AJ1035" s="143">
        <v>0</v>
      </c>
      <c r="AK1035" s="143">
        <v>0</v>
      </c>
      <c r="AL1035" s="143">
        <v>11</v>
      </c>
      <c r="AM1035" s="143">
        <v>0</v>
      </c>
      <c r="AN1035" s="135">
        <f t="shared" si="17"/>
        <v>11</v>
      </c>
      <c r="AO1035" s="135"/>
      <c r="AP1035" s="135"/>
      <c r="AQ1035" s="135"/>
      <c r="AR1035" s="135"/>
    </row>
    <row r="1036" spans="1:48" s="135" customFormat="1" x14ac:dyDescent="0.2">
      <c r="A1036" s="135" t="s">
        <v>1700</v>
      </c>
      <c r="B1036" s="135" t="s">
        <v>1698</v>
      </c>
      <c r="C1036" s="135">
        <v>3</v>
      </c>
      <c r="D1036" s="135">
        <v>1</v>
      </c>
      <c r="E1036" s="135" t="s">
        <v>2487</v>
      </c>
      <c r="F1036" s="136">
        <v>43396</v>
      </c>
      <c r="G1036" s="136" t="s">
        <v>4033</v>
      </c>
      <c r="H1036" s="136" t="s">
        <v>4724</v>
      </c>
      <c r="I1036" s="172">
        <v>2.2222222222222223E-2</v>
      </c>
      <c r="J1036" s="175">
        <v>3.7037037037037035E-4</v>
      </c>
      <c r="K1036" s="143">
        <v>32</v>
      </c>
      <c r="M1036" s="135" t="s">
        <v>176</v>
      </c>
      <c r="N1036" s="135" t="s">
        <v>102</v>
      </c>
      <c r="O1036" s="135" t="s">
        <v>115</v>
      </c>
      <c r="P1036" s="135">
        <v>1</v>
      </c>
      <c r="R1036" s="135">
        <v>0</v>
      </c>
      <c r="S1036" s="133" t="s">
        <v>14</v>
      </c>
      <c r="T1036" s="135" t="s">
        <v>2128</v>
      </c>
      <c r="U1036" s="135" t="s">
        <v>122</v>
      </c>
      <c r="V1036" s="135" t="s">
        <v>115</v>
      </c>
      <c r="W1036" s="135" t="s">
        <v>115</v>
      </c>
      <c r="X1036" s="135" t="s">
        <v>115</v>
      </c>
      <c r="Y1036" s="135" t="s">
        <v>115</v>
      </c>
      <c r="Z1036" s="133"/>
      <c r="AA1036" s="133"/>
      <c r="AB1036" s="135" t="s">
        <v>115</v>
      </c>
      <c r="AC1036" s="137" t="s">
        <v>115</v>
      </c>
      <c r="AD1036" s="137"/>
      <c r="AE1036" s="133"/>
      <c r="AF1036" s="133"/>
      <c r="AG1036" s="133"/>
      <c r="AH1036" s="143">
        <v>0</v>
      </c>
      <c r="AI1036" s="143">
        <v>0</v>
      </c>
      <c r="AJ1036" s="143">
        <v>0</v>
      </c>
      <c r="AK1036" s="143">
        <v>0</v>
      </c>
      <c r="AL1036" s="143">
        <v>32</v>
      </c>
      <c r="AM1036" s="143">
        <v>0</v>
      </c>
      <c r="AN1036" s="135">
        <f t="shared" si="17"/>
        <v>32</v>
      </c>
    </row>
    <row r="1037" spans="1:48" s="133" customFormat="1" x14ac:dyDescent="0.2">
      <c r="A1037" s="135" t="s">
        <v>1704</v>
      </c>
      <c r="B1037" s="135" t="s">
        <v>1701</v>
      </c>
      <c r="C1037" s="135">
        <v>4</v>
      </c>
      <c r="D1037" s="135">
        <v>1</v>
      </c>
      <c r="E1037" s="135" t="s">
        <v>2487</v>
      </c>
      <c r="F1037" s="136">
        <v>43396</v>
      </c>
      <c r="G1037" s="136" t="s">
        <v>4033</v>
      </c>
      <c r="H1037" s="136" t="s">
        <v>4724</v>
      </c>
      <c r="I1037" s="172">
        <v>4.8611111111111112E-3</v>
      </c>
      <c r="J1037" s="175">
        <v>8.1018518518518516E-5</v>
      </c>
      <c r="K1037" s="143">
        <v>7</v>
      </c>
      <c r="L1037" s="135"/>
      <c r="M1037" s="135" t="s">
        <v>176</v>
      </c>
      <c r="N1037" s="135" t="s">
        <v>102</v>
      </c>
      <c r="O1037" s="135" t="s">
        <v>115</v>
      </c>
      <c r="P1037" s="135">
        <v>1</v>
      </c>
      <c r="Q1037" s="135"/>
      <c r="R1037" s="135">
        <v>0</v>
      </c>
      <c r="S1037" s="133" t="s">
        <v>176</v>
      </c>
      <c r="T1037" s="135" t="s">
        <v>176</v>
      </c>
      <c r="U1037" s="135" t="s">
        <v>122</v>
      </c>
      <c r="V1037" s="135" t="s">
        <v>115</v>
      </c>
      <c r="W1037" s="135" t="s">
        <v>115</v>
      </c>
      <c r="X1037" s="135" t="s">
        <v>115</v>
      </c>
      <c r="Y1037" s="135" t="s">
        <v>115</v>
      </c>
      <c r="AB1037" s="135" t="s">
        <v>115</v>
      </c>
      <c r="AC1037" s="137" t="s">
        <v>115</v>
      </c>
      <c r="AD1037" s="137"/>
      <c r="AH1037" s="143">
        <v>0</v>
      </c>
      <c r="AI1037" s="143">
        <v>0</v>
      </c>
      <c r="AJ1037" s="143">
        <v>0</v>
      </c>
      <c r="AK1037" s="143">
        <v>0</v>
      </c>
      <c r="AL1037" s="143">
        <v>7</v>
      </c>
      <c r="AM1037" s="143">
        <v>0</v>
      </c>
      <c r="AN1037" s="135">
        <f t="shared" si="17"/>
        <v>7</v>
      </c>
      <c r="AO1037" s="135"/>
      <c r="AP1037" s="135" t="s">
        <v>1705</v>
      </c>
      <c r="AQ1037" s="135"/>
      <c r="AR1037" s="135"/>
    </row>
    <row r="1038" spans="1:48" s="135" customFormat="1" x14ac:dyDescent="0.2">
      <c r="A1038" s="135" t="s">
        <v>1706</v>
      </c>
      <c r="B1038" s="135" t="s">
        <v>1707</v>
      </c>
      <c r="C1038" s="135">
        <v>5</v>
      </c>
      <c r="D1038" s="135">
        <v>1</v>
      </c>
      <c r="E1038" s="135" t="s">
        <v>2487</v>
      </c>
      <c r="F1038" s="136">
        <v>43396</v>
      </c>
      <c r="G1038" s="136" t="s">
        <v>4033</v>
      </c>
      <c r="H1038" s="136" t="s">
        <v>4724</v>
      </c>
      <c r="I1038" s="172">
        <v>1.9444444444444445E-2</v>
      </c>
      <c r="J1038" s="175">
        <v>3.2407407407407406E-4</v>
      </c>
      <c r="K1038" s="143">
        <v>28</v>
      </c>
      <c r="M1038" s="135" t="s">
        <v>176</v>
      </c>
      <c r="N1038" s="135" t="s">
        <v>24</v>
      </c>
      <c r="O1038" s="135" t="s">
        <v>115</v>
      </c>
      <c r="P1038" s="135">
        <v>0</v>
      </c>
      <c r="R1038" s="135">
        <v>0</v>
      </c>
      <c r="S1038" s="133" t="s">
        <v>14</v>
      </c>
      <c r="T1038" s="135" t="s">
        <v>2128</v>
      </c>
      <c r="U1038" s="135" t="s">
        <v>24</v>
      </c>
      <c r="V1038" s="133" t="s">
        <v>1035</v>
      </c>
      <c r="W1038" s="135" t="s">
        <v>115</v>
      </c>
      <c r="X1038" s="135" t="s">
        <v>115</v>
      </c>
      <c r="Y1038" s="135" t="s">
        <v>115</v>
      </c>
      <c r="Z1038" s="133"/>
      <c r="AA1038" s="133"/>
      <c r="AB1038" s="135" t="s">
        <v>24</v>
      </c>
      <c r="AC1038" s="137">
        <v>63.719949999999997</v>
      </c>
      <c r="AD1038" s="137">
        <v>148.99030999999999</v>
      </c>
      <c r="AE1038" s="133"/>
      <c r="AF1038" s="133"/>
      <c r="AG1038" s="133"/>
      <c r="AH1038" s="143">
        <v>0</v>
      </c>
      <c r="AI1038" s="143">
        <v>0</v>
      </c>
      <c r="AJ1038" s="143">
        <v>0</v>
      </c>
      <c r="AK1038" s="143">
        <v>0</v>
      </c>
      <c r="AL1038" s="143">
        <v>18</v>
      </c>
      <c r="AM1038" s="143">
        <v>0</v>
      </c>
      <c r="AN1038" s="135">
        <f t="shared" si="17"/>
        <v>18</v>
      </c>
      <c r="AP1038" s="135" t="s">
        <v>5019</v>
      </c>
      <c r="AS1038" s="133"/>
      <c r="AT1038" s="133"/>
      <c r="AU1038" s="133"/>
      <c r="AV1038" s="133"/>
    </row>
    <row r="1039" spans="1:48" s="133" customFormat="1" x14ac:dyDescent="0.2">
      <c r="A1039" s="135" t="s">
        <v>1730</v>
      </c>
      <c r="B1039" s="135" t="s">
        <v>1731</v>
      </c>
      <c r="C1039" s="135">
        <v>10</v>
      </c>
      <c r="D1039" s="135">
        <v>1</v>
      </c>
      <c r="E1039" s="135" t="s">
        <v>2487</v>
      </c>
      <c r="F1039" s="136">
        <v>43396</v>
      </c>
      <c r="G1039" s="136" t="s">
        <v>4033</v>
      </c>
      <c r="H1039" s="136" t="s">
        <v>4724</v>
      </c>
      <c r="I1039" s="172">
        <v>2.2916666666666669E-2</v>
      </c>
      <c r="J1039" s="175">
        <v>3.8194444444444446E-4</v>
      </c>
      <c r="K1039" s="143">
        <v>33</v>
      </c>
      <c r="L1039" s="135"/>
      <c r="M1039" s="135" t="s">
        <v>176</v>
      </c>
      <c r="N1039" s="135" t="s">
        <v>102</v>
      </c>
      <c r="O1039" s="135" t="s">
        <v>115</v>
      </c>
      <c r="P1039" s="135">
        <v>2</v>
      </c>
      <c r="Q1039" s="135"/>
      <c r="R1039" s="135">
        <v>0</v>
      </c>
      <c r="S1039" s="133" t="s">
        <v>14</v>
      </c>
      <c r="T1039" s="135" t="s">
        <v>14</v>
      </c>
      <c r="U1039" s="135" t="s">
        <v>122</v>
      </c>
      <c r="V1039" s="135" t="s">
        <v>115</v>
      </c>
      <c r="W1039" s="135" t="s">
        <v>115</v>
      </c>
      <c r="X1039" s="135" t="s">
        <v>115</v>
      </c>
      <c r="Y1039" s="135" t="s">
        <v>115</v>
      </c>
      <c r="AB1039" s="135" t="s">
        <v>115</v>
      </c>
      <c r="AC1039" s="137" t="s">
        <v>115</v>
      </c>
      <c r="AD1039" s="137"/>
      <c r="AH1039" s="143">
        <v>0</v>
      </c>
      <c r="AI1039" s="143">
        <v>0</v>
      </c>
      <c r="AJ1039" s="143">
        <v>0</v>
      </c>
      <c r="AK1039" s="143">
        <v>0</v>
      </c>
      <c r="AL1039" s="143">
        <v>13</v>
      </c>
      <c r="AM1039" s="143">
        <v>0</v>
      </c>
      <c r="AN1039" s="135">
        <f t="shared" si="17"/>
        <v>13</v>
      </c>
      <c r="AO1039" s="135"/>
      <c r="AP1039" s="135" t="s">
        <v>1732</v>
      </c>
      <c r="AQ1039" s="135"/>
      <c r="AR1039" s="135"/>
    </row>
    <row r="1040" spans="1:48" s="133" customFormat="1" x14ac:dyDescent="0.2">
      <c r="A1040" s="133" t="s">
        <v>1904</v>
      </c>
      <c r="B1040" s="133" t="s">
        <v>1905</v>
      </c>
      <c r="C1040" s="133">
        <v>1</v>
      </c>
      <c r="D1040" s="133">
        <v>1</v>
      </c>
      <c r="E1040" s="133" t="s">
        <v>2487</v>
      </c>
      <c r="F1040" s="138">
        <v>43399</v>
      </c>
      <c r="G1040" s="136" t="s">
        <v>4033</v>
      </c>
      <c r="H1040" s="136" t="s">
        <v>4724</v>
      </c>
      <c r="I1040" s="148">
        <v>1.8055555555555557E-2</v>
      </c>
      <c r="J1040" s="174">
        <v>3.0092592592592595E-4</v>
      </c>
      <c r="K1040" s="139">
        <v>26</v>
      </c>
      <c r="M1040" s="133" t="s">
        <v>176</v>
      </c>
      <c r="N1040" s="133" t="s">
        <v>111</v>
      </c>
      <c r="O1040" s="133" t="s">
        <v>23</v>
      </c>
      <c r="P1040" s="133">
        <v>0</v>
      </c>
      <c r="R1040" s="133">
        <v>1</v>
      </c>
      <c r="S1040" s="133" t="s">
        <v>14</v>
      </c>
      <c r="T1040" s="133" t="s">
        <v>2128</v>
      </c>
      <c r="U1040" s="133" t="s">
        <v>24</v>
      </c>
      <c r="V1040" s="133" t="s">
        <v>1035</v>
      </c>
      <c r="W1040" s="140" t="s">
        <v>23</v>
      </c>
      <c r="X1040" s="140" t="s">
        <v>3997</v>
      </c>
      <c r="Y1040" s="140" t="s">
        <v>4006</v>
      </c>
      <c r="AB1040" s="133" t="s">
        <v>24</v>
      </c>
      <c r="AC1040" s="134">
        <v>63.719990000000003</v>
      </c>
      <c r="AD1040" s="134">
        <v>148.98468</v>
      </c>
      <c r="AH1040" s="139">
        <v>0</v>
      </c>
      <c r="AI1040" s="139">
        <v>0</v>
      </c>
      <c r="AJ1040" s="139">
        <v>0</v>
      </c>
      <c r="AK1040" s="139">
        <v>0</v>
      </c>
      <c r="AL1040" s="139">
        <v>0</v>
      </c>
      <c r="AM1040" s="139">
        <v>0</v>
      </c>
      <c r="AN1040" s="133">
        <f t="shared" si="17"/>
        <v>0</v>
      </c>
      <c r="AP1040" s="133" t="s">
        <v>1906</v>
      </c>
      <c r="AS1040" s="135"/>
      <c r="AT1040" s="135"/>
      <c r="AU1040" s="135"/>
      <c r="AV1040" s="135"/>
    </row>
    <row r="1041" spans="1:48" s="133" customFormat="1" x14ac:dyDescent="0.2">
      <c r="A1041" s="133" t="s">
        <v>1822</v>
      </c>
      <c r="B1041" s="133" t="s">
        <v>1823</v>
      </c>
      <c r="C1041" s="133">
        <v>14</v>
      </c>
      <c r="D1041" s="133">
        <v>1</v>
      </c>
      <c r="E1041" s="133" t="s">
        <v>201</v>
      </c>
      <c r="F1041" s="138">
        <v>43397</v>
      </c>
      <c r="G1041" s="136" t="s">
        <v>4033</v>
      </c>
      <c r="H1041" s="136" t="s">
        <v>4724</v>
      </c>
      <c r="I1041" s="148">
        <v>6.2499999999999995E-3</v>
      </c>
      <c r="J1041" s="174">
        <v>1.0416666666666667E-4</v>
      </c>
      <c r="K1041" s="139">
        <v>9</v>
      </c>
      <c r="M1041" s="133" t="s">
        <v>176</v>
      </c>
      <c r="N1041" s="133" t="s">
        <v>102</v>
      </c>
      <c r="O1041" s="133" t="s">
        <v>23</v>
      </c>
      <c r="P1041" s="133">
        <v>1</v>
      </c>
      <c r="R1041" s="133">
        <v>0</v>
      </c>
      <c r="S1041" s="133" t="s">
        <v>176</v>
      </c>
      <c r="T1041" s="133" t="s">
        <v>176</v>
      </c>
      <c r="U1041" s="133" t="s">
        <v>1824</v>
      </c>
      <c r="V1041" s="133" t="s">
        <v>115</v>
      </c>
      <c r="W1041" s="135" t="s">
        <v>115</v>
      </c>
      <c r="X1041" s="135" t="s">
        <v>115</v>
      </c>
      <c r="Y1041" s="135" t="s">
        <v>115</v>
      </c>
      <c r="AB1041" s="133" t="s">
        <v>115</v>
      </c>
      <c r="AC1041" s="134" t="s">
        <v>115</v>
      </c>
      <c r="AD1041" s="134"/>
      <c r="AH1041" s="139">
        <v>0</v>
      </c>
      <c r="AI1041" s="139">
        <v>0</v>
      </c>
      <c r="AJ1041" s="139">
        <v>0</v>
      </c>
      <c r="AK1041" s="139">
        <v>0</v>
      </c>
      <c r="AL1041" s="139">
        <v>0</v>
      </c>
      <c r="AM1041" s="139">
        <v>0</v>
      </c>
      <c r="AN1041" s="133">
        <f t="shared" si="17"/>
        <v>0</v>
      </c>
      <c r="AP1041" s="133" t="s">
        <v>1825</v>
      </c>
      <c r="AS1041" s="135"/>
      <c r="AT1041" s="135"/>
      <c r="AU1041" s="135"/>
      <c r="AV1041" s="135"/>
    </row>
    <row r="1042" spans="1:48" s="133" customFormat="1" x14ac:dyDescent="0.2">
      <c r="A1042" s="133" t="s">
        <v>1826</v>
      </c>
      <c r="B1042" s="133" t="s">
        <v>1827</v>
      </c>
      <c r="C1042" s="133">
        <v>15</v>
      </c>
      <c r="D1042" s="133">
        <v>1</v>
      </c>
      <c r="E1042" s="133" t="s">
        <v>201</v>
      </c>
      <c r="F1042" s="138">
        <v>43397</v>
      </c>
      <c r="G1042" s="136" t="s">
        <v>4033</v>
      </c>
      <c r="H1042" s="136" t="s">
        <v>4724</v>
      </c>
      <c r="I1042" s="148">
        <v>1.5972222222222224E-2</v>
      </c>
      <c r="J1042" s="174">
        <v>2.6620370370370372E-4</v>
      </c>
      <c r="K1042" s="139">
        <v>23</v>
      </c>
      <c r="M1042" s="133" t="s">
        <v>176</v>
      </c>
      <c r="N1042" s="133" t="s">
        <v>102</v>
      </c>
      <c r="O1042" s="133" t="s">
        <v>23</v>
      </c>
      <c r="P1042" s="133">
        <v>0</v>
      </c>
      <c r="R1042" s="133">
        <v>0</v>
      </c>
      <c r="S1042" s="133" t="s">
        <v>176</v>
      </c>
      <c r="T1042" s="133" t="s">
        <v>176</v>
      </c>
      <c r="U1042" s="133" t="s">
        <v>24</v>
      </c>
      <c r="V1042" s="133" t="s">
        <v>115</v>
      </c>
      <c r="W1042" s="135" t="s">
        <v>115</v>
      </c>
      <c r="X1042" s="135" t="s">
        <v>115</v>
      </c>
      <c r="Y1042" s="135" t="s">
        <v>115</v>
      </c>
      <c r="AB1042" s="133" t="s">
        <v>115</v>
      </c>
      <c r="AC1042" s="134" t="s">
        <v>115</v>
      </c>
      <c r="AD1042" s="134"/>
      <c r="AH1042" s="139">
        <v>21</v>
      </c>
      <c r="AI1042" s="139">
        <v>0</v>
      </c>
      <c r="AJ1042" s="139">
        <v>21</v>
      </c>
      <c r="AK1042" s="139">
        <v>0</v>
      </c>
      <c r="AL1042" s="139">
        <v>0</v>
      </c>
      <c r="AM1042" s="139">
        <v>0</v>
      </c>
      <c r="AN1042" s="133">
        <f t="shared" si="17"/>
        <v>21</v>
      </c>
      <c r="AP1042" s="133" t="s">
        <v>5023</v>
      </c>
      <c r="AS1042" s="135"/>
      <c r="AT1042" s="135"/>
      <c r="AU1042" s="135" t="s">
        <v>3951</v>
      </c>
      <c r="AV1042" s="135"/>
    </row>
    <row r="1043" spans="1:48" s="133" customFormat="1" x14ac:dyDescent="0.2">
      <c r="A1043" s="133" t="s">
        <v>1831</v>
      </c>
      <c r="B1043" s="133" t="s">
        <v>1832</v>
      </c>
      <c r="C1043" s="133">
        <v>17</v>
      </c>
      <c r="D1043" s="133">
        <v>1</v>
      </c>
      <c r="E1043" s="133" t="s">
        <v>201</v>
      </c>
      <c r="F1043" s="138">
        <v>43397</v>
      </c>
      <c r="G1043" s="136" t="s">
        <v>4033</v>
      </c>
      <c r="H1043" s="136" t="s">
        <v>4724</v>
      </c>
      <c r="I1043" s="148">
        <v>1.8749999999999999E-2</v>
      </c>
      <c r="J1043" s="174">
        <v>3.1250000000000001E-4</v>
      </c>
      <c r="K1043" s="139">
        <v>27</v>
      </c>
      <c r="M1043" s="133" t="s">
        <v>176</v>
      </c>
      <c r="N1043" s="133" t="s">
        <v>102</v>
      </c>
      <c r="O1043" s="133" t="s">
        <v>23</v>
      </c>
      <c r="P1043" s="133" t="s">
        <v>24</v>
      </c>
      <c r="R1043" s="133">
        <v>0</v>
      </c>
      <c r="T1043" s="133" t="s">
        <v>115</v>
      </c>
      <c r="U1043" s="133" t="s">
        <v>115</v>
      </c>
      <c r="V1043" s="133" t="s">
        <v>115</v>
      </c>
      <c r="W1043" s="135" t="s">
        <v>115</v>
      </c>
      <c r="X1043" s="135" t="s">
        <v>115</v>
      </c>
      <c r="Y1043" s="135" t="s">
        <v>115</v>
      </c>
      <c r="Z1043" s="135"/>
      <c r="AA1043" s="135"/>
      <c r="AB1043" s="133" t="s">
        <v>115</v>
      </c>
      <c r="AC1043" s="134" t="s">
        <v>115</v>
      </c>
      <c r="AD1043" s="134"/>
      <c r="AE1043" s="135"/>
      <c r="AF1043" s="135"/>
      <c r="AG1043" s="135"/>
      <c r="AH1043" s="139">
        <v>27</v>
      </c>
      <c r="AI1043" s="139">
        <v>0</v>
      </c>
      <c r="AJ1043" s="139">
        <v>0</v>
      </c>
      <c r="AK1043" s="139">
        <v>27</v>
      </c>
      <c r="AL1043" s="139">
        <v>0</v>
      </c>
      <c r="AM1043" s="139">
        <v>0</v>
      </c>
      <c r="AN1043" s="133">
        <f t="shared" si="17"/>
        <v>27</v>
      </c>
    </row>
    <row r="1044" spans="1:48" s="133" customFormat="1" x14ac:dyDescent="0.2">
      <c r="A1044" s="135" t="s">
        <v>1965</v>
      </c>
      <c r="B1044" s="135" t="s">
        <v>1966</v>
      </c>
      <c r="C1044" s="135">
        <v>2</v>
      </c>
      <c r="D1044" s="135">
        <v>1</v>
      </c>
      <c r="E1044" s="135" t="s">
        <v>201</v>
      </c>
      <c r="F1044" s="136">
        <v>43404</v>
      </c>
      <c r="G1044" s="136" t="s">
        <v>4033</v>
      </c>
      <c r="H1044" s="136" t="s">
        <v>4724</v>
      </c>
      <c r="I1044" s="172">
        <v>1.1805555555555555E-2</v>
      </c>
      <c r="J1044" s="175">
        <v>1.9675925925925926E-4</v>
      </c>
      <c r="K1044" s="143">
        <v>17</v>
      </c>
      <c r="L1044" s="135" t="s">
        <v>101</v>
      </c>
      <c r="M1044" s="135" t="s">
        <v>176</v>
      </c>
      <c r="N1044" s="135" t="s">
        <v>102</v>
      </c>
      <c r="O1044" s="135" t="s">
        <v>115</v>
      </c>
      <c r="P1044" s="135">
        <v>1</v>
      </c>
      <c r="Q1044" s="135"/>
      <c r="R1044" s="135">
        <v>0</v>
      </c>
      <c r="S1044" s="133" t="s">
        <v>176</v>
      </c>
      <c r="T1044" s="135" t="s">
        <v>176</v>
      </c>
      <c r="U1044" s="135" t="s">
        <v>122</v>
      </c>
      <c r="V1044" s="135" t="s">
        <v>115</v>
      </c>
      <c r="W1044" s="135" t="s">
        <v>115</v>
      </c>
      <c r="X1044" s="135" t="s">
        <v>115</v>
      </c>
      <c r="Y1044" s="135" t="s">
        <v>115</v>
      </c>
      <c r="AB1044" s="135" t="s">
        <v>115</v>
      </c>
      <c r="AC1044" s="137" t="s">
        <v>115</v>
      </c>
      <c r="AD1044" s="137"/>
      <c r="AH1044" s="143">
        <v>0</v>
      </c>
      <c r="AI1044" s="143">
        <v>0</v>
      </c>
      <c r="AJ1044" s="143">
        <v>0</v>
      </c>
      <c r="AK1044" s="143">
        <v>0</v>
      </c>
      <c r="AL1044" s="143">
        <v>17</v>
      </c>
      <c r="AM1044" s="143">
        <v>0</v>
      </c>
      <c r="AN1044" s="135">
        <f t="shared" si="17"/>
        <v>17</v>
      </c>
      <c r="AO1044" s="135"/>
      <c r="AP1044" s="135"/>
      <c r="AQ1044" s="135"/>
      <c r="AR1044" s="135"/>
    </row>
    <row r="1045" spans="1:48" s="133" customFormat="1" x14ac:dyDescent="0.2">
      <c r="A1045" s="133" t="s">
        <v>1969</v>
      </c>
      <c r="B1045" s="133" t="s">
        <v>1970</v>
      </c>
      <c r="C1045" s="133">
        <v>4</v>
      </c>
      <c r="D1045" s="133">
        <v>1</v>
      </c>
      <c r="E1045" s="133" t="s">
        <v>201</v>
      </c>
      <c r="F1045" s="138">
        <v>43404</v>
      </c>
      <c r="G1045" s="136" t="s">
        <v>4033</v>
      </c>
      <c r="H1045" s="136" t="s">
        <v>4724</v>
      </c>
      <c r="I1045" s="148">
        <v>6.9444444444444441E-3</v>
      </c>
      <c r="J1045" s="174">
        <v>1.1574074074074073E-4</v>
      </c>
      <c r="K1045" s="139">
        <v>10</v>
      </c>
      <c r="L1045" s="133" t="s">
        <v>101</v>
      </c>
      <c r="M1045" s="133" t="s">
        <v>176</v>
      </c>
      <c r="N1045" s="133" t="s">
        <v>102</v>
      </c>
      <c r="O1045" s="133" t="s">
        <v>23</v>
      </c>
      <c r="P1045" s="133">
        <v>0</v>
      </c>
      <c r="R1045" s="133">
        <v>0</v>
      </c>
      <c r="T1045" s="133" t="s">
        <v>115</v>
      </c>
      <c r="U1045" s="133" t="s">
        <v>115</v>
      </c>
      <c r="V1045" s="133" t="s">
        <v>115</v>
      </c>
      <c r="W1045" s="135" t="s">
        <v>115</v>
      </c>
      <c r="X1045" s="135" t="s">
        <v>115</v>
      </c>
      <c r="Y1045" s="135" t="s">
        <v>115</v>
      </c>
      <c r="AB1045" s="133" t="s">
        <v>115</v>
      </c>
      <c r="AC1045" s="134" t="s">
        <v>115</v>
      </c>
      <c r="AD1045" s="134"/>
      <c r="AH1045" s="139">
        <v>0</v>
      </c>
      <c r="AI1045" s="139">
        <v>8</v>
      </c>
      <c r="AJ1045" s="139">
        <v>0</v>
      </c>
      <c r="AK1045" s="139">
        <v>8</v>
      </c>
      <c r="AL1045" s="139">
        <v>0</v>
      </c>
      <c r="AM1045" s="139">
        <v>0</v>
      </c>
      <c r="AN1045" s="133">
        <f t="shared" si="17"/>
        <v>8</v>
      </c>
      <c r="AS1045" s="135"/>
      <c r="AT1045" s="135"/>
      <c r="AU1045" s="135"/>
      <c r="AV1045" s="135"/>
    </row>
    <row r="1046" spans="1:48" s="133" customFormat="1" x14ac:dyDescent="0.2">
      <c r="A1046" s="133" t="s">
        <v>1979</v>
      </c>
      <c r="B1046" s="133" t="s">
        <v>1980</v>
      </c>
      <c r="C1046" s="133">
        <v>9</v>
      </c>
      <c r="D1046" s="133">
        <v>1</v>
      </c>
      <c r="E1046" s="133" t="s">
        <v>201</v>
      </c>
      <c r="F1046" s="138">
        <v>43404</v>
      </c>
      <c r="G1046" s="136" t="s">
        <v>4033</v>
      </c>
      <c r="H1046" s="136" t="s">
        <v>4724</v>
      </c>
      <c r="I1046" s="148">
        <v>2.2222222222222223E-2</v>
      </c>
      <c r="J1046" s="174">
        <v>3.7037037037037035E-4</v>
      </c>
      <c r="K1046" s="139">
        <v>32</v>
      </c>
      <c r="L1046" s="133" t="s">
        <v>101</v>
      </c>
      <c r="M1046" s="133" t="s">
        <v>176</v>
      </c>
      <c r="N1046" s="133" t="s">
        <v>102</v>
      </c>
      <c r="O1046" s="133" t="s">
        <v>23</v>
      </c>
      <c r="P1046" s="133" t="s">
        <v>24</v>
      </c>
      <c r="R1046" s="133">
        <v>0</v>
      </c>
      <c r="S1046" s="133" t="s">
        <v>176</v>
      </c>
      <c r="T1046" s="133" t="s">
        <v>176</v>
      </c>
      <c r="U1046" s="133" t="s">
        <v>115</v>
      </c>
      <c r="V1046" s="133" t="s">
        <v>115</v>
      </c>
      <c r="W1046" s="135" t="s">
        <v>115</v>
      </c>
      <c r="X1046" s="135" t="s">
        <v>115</v>
      </c>
      <c r="Y1046" s="135" t="s">
        <v>115</v>
      </c>
      <c r="Z1046" s="135"/>
      <c r="AA1046" s="135"/>
      <c r="AB1046" s="133" t="s">
        <v>115</v>
      </c>
      <c r="AC1046" s="134" t="s">
        <v>115</v>
      </c>
      <c r="AD1046" s="134"/>
      <c r="AE1046" s="135"/>
      <c r="AF1046" s="135"/>
      <c r="AG1046" s="135"/>
      <c r="AH1046" s="139">
        <v>11</v>
      </c>
      <c r="AI1046" s="139">
        <v>0</v>
      </c>
      <c r="AJ1046" s="139">
        <v>11</v>
      </c>
      <c r="AK1046" s="139">
        <v>0</v>
      </c>
      <c r="AL1046" s="139">
        <v>0</v>
      </c>
      <c r="AM1046" s="139">
        <v>0</v>
      </c>
      <c r="AN1046" s="133">
        <f t="shared" si="17"/>
        <v>11</v>
      </c>
      <c r="AO1046" s="133" t="s">
        <v>375</v>
      </c>
      <c r="AQ1046" s="133">
        <v>3</v>
      </c>
      <c r="AR1046" s="133">
        <v>0</v>
      </c>
    </row>
    <row r="1047" spans="1:48" s="135" customFormat="1" x14ac:dyDescent="0.2">
      <c r="A1047" s="133" t="s">
        <v>1981</v>
      </c>
      <c r="B1047" s="133" t="s">
        <v>1982</v>
      </c>
      <c r="C1047" s="133">
        <v>10</v>
      </c>
      <c r="D1047" s="133">
        <v>1</v>
      </c>
      <c r="E1047" s="133" t="s">
        <v>201</v>
      </c>
      <c r="F1047" s="138">
        <v>43404</v>
      </c>
      <c r="G1047" s="136" t="s">
        <v>4033</v>
      </c>
      <c r="H1047" s="136" t="s">
        <v>4724</v>
      </c>
      <c r="I1047" s="148">
        <v>9.0277777777777787E-3</v>
      </c>
      <c r="J1047" s="174">
        <v>1.5046296296296297E-4</v>
      </c>
      <c r="K1047" s="139">
        <v>13</v>
      </c>
      <c r="L1047" s="133" t="s">
        <v>101</v>
      </c>
      <c r="M1047" s="133" t="s">
        <v>176</v>
      </c>
      <c r="N1047" s="133" t="s">
        <v>102</v>
      </c>
      <c r="O1047" s="133" t="s">
        <v>23</v>
      </c>
      <c r="P1047" s="133" t="s">
        <v>24</v>
      </c>
      <c r="Q1047" s="133"/>
      <c r="R1047" s="133" t="s">
        <v>24</v>
      </c>
      <c r="S1047" s="133" t="s">
        <v>176</v>
      </c>
      <c r="T1047" s="133" t="s">
        <v>176</v>
      </c>
      <c r="U1047" s="133" t="s">
        <v>115</v>
      </c>
      <c r="V1047" s="133" t="s">
        <v>115</v>
      </c>
      <c r="W1047" s="133"/>
      <c r="X1047" s="133"/>
      <c r="Y1047" s="133"/>
      <c r="Z1047" s="133"/>
      <c r="AA1047" s="133"/>
      <c r="AB1047" s="133" t="s">
        <v>115</v>
      </c>
      <c r="AC1047" s="134" t="s">
        <v>115</v>
      </c>
      <c r="AD1047" s="134"/>
      <c r="AE1047" s="133"/>
      <c r="AF1047" s="133"/>
      <c r="AG1047" s="133"/>
      <c r="AH1047" s="139">
        <v>11</v>
      </c>
      <c r="AI1047" s="139">
        <v>0</v>
      </c>
      <c r="AJ1047" s="139">
        <v>0</v>
      </c>
      <c r="AK1047" s="139">
        <v>11</v>
      </c>
      <c r="AL1047" s="139">
        <v>0</v>
      </c>
      <c r="AM1047" s="139">
        <v>0</v>
      </c>
      <c r="AN1047" s="133">
        <f t="shared" si="17"/>
        <v>11</v>
      </c>
      <c r="AO1047" s="133" t="s">
        <v>16</v>
      </c>
      <c r="AP1047" s="133"/>
      <c r="AQ1047" s="133">
        <v>0</v>
      </c>
      <c r="AR1047" s="133">
        <v>2</v>
      </c>
    </row>
    <row r="1048" spans="1:48" s="133" customFormat="1" x14ac:dyDescent="0.2">
      <c r="A1048" s="133" t="s">
        <v>1989</v>
      </c>
      <c r="B1048" s="133" t="s">
        <v>1990</v>
      </c>
      <c r="C1048" s="133">
        <v>2</v>
      </c>
      <c r="D1048" s="133">
        <v>1</v>
      </c>
      <c r="E1048" s="133" t="s">
        <v>272</v>
      </c>
      <c r="F1048" s="138">
        <v>43404</v>
      </c>
      <c r="G1048" s="136" t="s">
        <v>4033</v>
      </c>
      <c r="H1048" s="136" t="s">
        <v>4724</v>
      </c>
      <c r="I1048" s="148">
        <v>2.2916666666666669E-2</v>
      </c>
      <c r="J1048" s="174">
        <v>3.8194444444444446E-4</v>
      </c>
      <c r="K1048" s="139">
        <v>33</v>
      </c>
      <c r="L1048" s="133" t="s">
        <v>2029</v>
      </c>
      <c r="M1048" s="133" t="s">
        <v>176</v>
      </c>
      <c r="N1048" s="133" t="s">
        <v>102</v>
      </c>
      <c r="O1048" s="133" t="s">
        <v>23</v>
      </c>
      <c r="P1048" s="133" t="s">
        <v>24</v>
      </c>
      <c r="R1048" s="133" t="s">
        <v>24</v>
      </c>
      <c r="S1048" s="133" t="s">
        <v>176</v>
      </c>
      <c r="T1048" s="133" t="s">
        <v>176</v>
      </c>
      <c r="U1048" s="133" t="s">
        <v>115</v>
      </c>
      <c r="V1048" s="133" t="s">
        <v>115</v>
      </c>
      <c r="AB1048" s="133" t="s">
        <v>115</v>
      </c>
      <c r="AC1048" s="134" t="s">
        <v>115</v>
      </c>
      <c r="AD1048" s="134"/>
      <c r="AH1048" s="139">
        <v>0</v>
      </c>
      <c r="AI1048" s="139">
        <v>22</v>
      </c>
      <c r="AJ1048" s="139">
        <v>22</v>
      </c>
      <c r="AK1048" s="139">
        <v>0</v>
      </c>
      <c r="AL1048" s="139">
        <v>0</v>
      </c>
      <c r="AM1048" s="139">
        <v>0</v>
      </c>
      <c r="AN1048" s="133">
        <f t="shared" si="17"/>
        <v>22</v>
      </c>
    </row>
    <row r="1049" spans="1:48" s="133" customFormat="1" x14ac:dyDescent="0.2">
      <c r="A1049" s="133" t="s">
        <v>2021</v>
      </c>
      <c r="B1049" s="133" t="s">
        <v>2022</v>
      </c>
      <c r="C1049" s="133">
        <v>15</v>
      </c>
      <c r="D1049" s="133">
        <v>1</v>
      </c>
      <c r="E1049" s="133" t="s">
        <v>272</v>
      </c>
      <c r="F1049" s="138">
        <v>43404</v>
      </c>
      <c r="G1049" s="136" t="s">
        <v>4033</v>
      </c>
      <c r="H1049" s="136" t="s">
        <v>4724</v>
      </c>
      <c r="I1049" s="148">
        <v>1.4583333333333332E-2</v>
      </c>
      <c r="J1049" s="174">
        <v>2.4305555555555552E-4</v>
      </c>
      <c r="K1049" s="139">
        <v>21</v>
      </c>
      <c r="L1049" s="133" t="s">
        <v>2029</v>
      </c>
      <c r="M1049" s="133" t="s">
        <v>176</v>
      </c>
      <c r="N1049" s="133" t="s">
        <v>102</v>
      </c>
      <c r="O1049" s="133" t="s">
        <v>23</v>
      </c>
      <c r="P1049" s="133" t="s">
        <v>24</v>
      </c>
      <c r="R1049" s="133" t="s">
        <v>24</v>
      </c>
      <c r="S1049" s="133" t="s">
        <v>176</v>
      </c>
      <c r="T1049" s="133" t="s">
        <v>176</v>
      </c>
      <c r="U1049" s="133" t="s">
        <v>115</v>
      </c>
      <c r="V1049" s="133" t="s">
        <v>115</v>
      </c>
      <c r="AB1049" s="133" t="s">
        <v>115</v>
      </c>
      <c r="AC1049" s="134" t="s">
        <v>115</v>
      </c>
      <c r="AD1049" s="134"/>
      <c r="AH1049" s="139">
        <v>0</v>
      </c>
      <c r="AI1049" s="139">
        <v>21</v>
      </c>
      <c r="AJ1049" s="139">
        <v>21</v>
      </c>
      <c r="AK1049" s="139">
        <v>0</v>
      </c>
      <c r="AL1049" s="139">
        <v>0</v>
      </c>
      <c r="AM1049" s="139">
        <v>0</v>
      </c>
      <c r="AN1049" s="133">
        <f t="shared" si="17"/>
        <v>21</v>
      </c>
      <c r="AP1049" s="133" t="s">
        <v>2023</v>
      </c>
    </row>
    <row r="1050" spans="1:48" s="135" customFormat="1" x14ac:dyDescent="0.2">
      <c r="A1050" s="133" t="s">
        <v>1985</v>
      </c>
      <c r="B1050" s="133" t="s">
        <v>1986</v>
      </c>
      <c r="C1050" s="133">
        <v>1</v>
      </c>
      <c r="D1050" s="133">
        <v>1</v>
      </c>
      <c r="E1050" s="133" t="s">
        <v>272</v>
      </c>
      <c r="F1050" s="138">
        <v>43404</v>
      </c>
      <c r="G1050" s="136" t="s">
        <v>4033</v>
      </c>
      <c r="H1050" s="136" t="s">
        <v>4724</v>
      </c>
      <c r="I1050" s="148">
        <v>3.3333333333333333E-2</v>
      </c>
      <c r="J1050" s="174">
        <v>5.5555555555555556E-4</v>
      </c>
      <c r="K1050" s="139">
        <v>48</v>
      </c>
      <c r="L1050" s="133" t="s">
        <v>2029</v>
      </c>
      <c r="M1050" s="133" t="s">
        <v>1987</v>
      </c>
      <c r="N1050" s="133" t="s">
        <v>102</v>
      </c>
      <c r="O1050" s="133" t="s">
        <v>23</v>
      </c>
      <c r="P1050" s="133">
        <v>1</v>
      </c>
      <c r="Q1050" s="133"/>
      <c r="R1050" s="133">
        <v>0</v>
      </c>
      <c r="S1050" s="133" t="s">
        <v>14</v>
      </c>
      <c r="T1050" s="133" t="s">
        <v>14</v>
      </c>
      <c r="U1050" s="133" t="s">
        <v>122</v>
      </c>
      <c r="V1050" s="133" t="s">
        <v>115</v>
      </c>
      <c r="W1050" s="135" t="s">
        <v>115</v>
      </c>
      <c r="X1050" s="135" t="s">
        <v>115</v>
      </c>
      <c r="Y1050" s="135" t="s">
        <v>115</v>
      </c>
      <c r="Z1050" s="133"/>
      <c r="AA1050" s="133"/>
      <c r="AB1050" s="133" t="s">
        <v>115</v>
      </c>
      <c r="AC1050" s="134" t="s">
        <v>115</v>
      </c>
      <c r="AD1050" s="134"/>
      <c r="AE1050" s="133"/>
      <c r="AF1050" s="133"/>
      <c r="AG1050" s="133"/>
      <c r="AH1050" s="139">
        <v>12</v>
      </c>
      <c r="AI1050" s="139">
        <v>0</v>
      </c>
      <c r="AJ1050" s="139">
        <v>12</v>
      </c>
      <c r="AK1050" s="139">
        <v>0</v>
      </c>
      <c r="AL1050" s="139">
        <v>0</v>
      </c>
      <c r="AM1050" s="139">
        <v>0</v>
      </c>
      <c r="AN1050" s="133">
        <f t="shared" si="17"/>
        <v>12</v>
      </c>
      <c r="AO1050" s="133"/>
      <c r="AP1050" s="133" t="s">
        <v>1988</v>
      </c>
      <c r="AQ1050" s="133"/>
      <c r="AR1050" s="133"/>
      <c r="AS1050" s="133"/>
      <c r="AT1050" s="133"/>
      <c r="AU1050" s="133"/>
      <c r="AV1050" s="133"/>
    </row>
    <row r="1051" spans="1:48" s="135" customFormat="1" x14ac:dyDescent="0.2">
      <c r="A1051" s="135" t="s">
        <v>1108</v>
      </c>
      <c r="B1051" s="135" t="s">
        <v>1109</v>
      </c>
      <c r="C1051" s="135">
        <v>6</v>
      </c>
      <c r="D1051" s="135">
        <v>1</v>
      </c>
      <c r="E1051" s="135" t="s">
        <v>2487</v>
      </c>
      <c r="F1051" s="136">
        <v>43378</v>
      </c>
      <c r="G1051" s="136" t="s">
        <v>4033</v>
      </c>
      <c r="H1051" s="136" t="s">
        <v>4724</v>
      </c>
      <c r="I1051" s="172">
        <v>3.5416666666666666E-2</v>
      </c>
      <c r="J1051" s="175">
        <v>5.9027777777777778E-4</v>
      </c>
      <c r="K1051" s="143">
        <v>51</v>
      </c>
      <c r="L1051" s="135" t="s">
        <v>398</v>
      </c>
      <c r="M1051" s="135" t="s">
        <v>344</v>
      </c>
      <c r="N1051" s="135" t="s">
        <v>102</v>
      </c>
      <c r="O1051" s="135" t="s">
        <v>115</v>
      </c>
      <c r="P1051" s="135">
        <v>1</v>
      </c>
      <c r="R1051" s="135">
        <v>0</v>
      </c>
      <c r="S1051" s="133" t="s">
        <v>176</v>
      </c>
      <c r="T1051" s="135" t="s">
        <v>176</v>
      </c>
      <c r="U1051" s="135" t="s">
        <v>122</v>
      </c>
      <c r="V1051" s="135" t="s">
        <v>115</v>
      </c>
      <c r="W1051" s="135" t="s">
        <v>115</v>
      </c>
      <c r="X1051" s="135" t="s">
        <v>115</v>
      </c>
      <c r="Y1051" s="135" t="s">
        <v>115</v>
      </c>
      <c r="Z1051" s="133"/>
      <c r="AA1051" s="133"/>
      <c r="AB1051" s="135" t="s">
        <v>115</v>
      </c>
      <c r="AC1051" s="137" t="s">
        <v>115</v>
      </c>
      <c r="AD1051" s="137"/>
      <c r="AE1051" s="133"/>
      <c r="AF1051" s="133"/>
      <c r="AG1051" s="133"/>
      <c r="AH1051" s="143">
        <v>0</v>
      </c>
      <c r="AI1051" s="143">
        <v>0</v>
      </c>
      <c r="AJ1051" s="143">
        <v>0</v>
      </c>
      <c r="AK1051" s="143">
        <v>0</v>
      </c>
      <c r="AL1051" s="143">
        <v>26</v>
      </c>
      <c r="AM1051" s="135">
        <v>0</v>
      </c>
      <c r="AN1051" s="135">
        <f t="shared" si="17"/>
        <v>26</v>
      </c>
      <c r="AS1051" s="133"/>
      <c r="AT1051" s="133"/>
      <c r="AU1051" s="133"/>
      <c r="AV1051" s="133"/>
    </row>
    <row r="1052" spans="1:48" s="135" customFormat="1" x14ac:dyDescent="0.2">
      <c r="A1052" s="135" t="s">
        <v>1164</v>
      </c>
      <c r="B1052" s="135" t="s">
        <v>1165</v>
      </c>
      <c r="C1052" s="135">
        <v>1</v>
      </c>
      <c r="D1052" s="135">
        <v>1</v>
      </c>
      <c r="E1052" s="135" t="s">
        <v>2487</v>
      </c>
      <c r="F1052" s="136">
        <v>43381</v>
      </c>
      <c r="G1052" s="136" t="s">
        <v>4033</v>
      </c>
      <c r="H1052" s="136" t="s">
        <v>4724</v>
      </c>
      <c r="I1052" s="172">
        <v>1.5972222222222224E-2</v>
      </c>
      <c r="J1052" s="175">
        <v>2.6620370370370372E-4</v>
      </c>
      <c r="K1052" s="143">
        <v>23</v>
      </c>
      <c r="L1052" s="135" t="s">
        <v>1167</v>
      </c>
      <c r="M1052" s="135" t="s">
        <v>344</v>
      </c>
      <c r="N1052" s="135" t="s">
        <v>102</v>
      </c>
      <c r="O1052" s="135" t="s">
        <v>115</v>
      </c>
      <c r="P1052" s="135">
        <v>2</v>
      </c>
      <c r="R1052" s="135">
        <v>0</v>
      </c>
      <c r="S1052" s="133" t="s">
        <v>176</v>
      </c>
      <c r="T1052" s="135" t="s">
        <v>176</v>
      </c>
      <c r="U1052" s="135" t="s">
        <v>122</v>
      </c>
      <c r="V1052" s="135" t="s">
        <v>115</v>
      </c>
      <c r="W1052" s="135" t="s">
        <v>115</v>
      </c>
      <c r="X1052" s="135" t="s">
        <v>115</v>
      </c>
      <c r="Y1052" s="135" t="s">
        <v>115</v>
      </c>
      <c r="Z1052" s="133"/>
      <c r="AA1052" s="133"/>
      <c r="AB1052" s="135" t="s">
        <v>115</v>
      </c>
      <c r="AC1052" s="137" t="s">
        <v>115</v>
      </c>
      <c r="AD1052" s="137"/>
      <c r="AE1052" s="133"/>
      <c r="AF1052" s="133"/>
      <c r="AG1052" s="133"/>
      <c r="AH1052" s="143">
        <v>0</v>
      </c>
      <c r="AI1052" s="143">
        <v>0</v>
      </c>
      <c r="AJ1052" s="143">
        <v>0</v>
      </c>
      <c r="AK1052" s="143">
        <v>0</v>
      </c>
      <c r="AL1052" s="143">
        <v>20</v>
      </c>
      <c r="AM1052" s="135">
        <v>0</v>
      </c>
      <c r="AN1052" s="135">
        <f t="shared" si="17"/>
        <v>20</v>
      </c>
      <c r="AS1052" s="133"/>
      <c r="AT1052" s="133"/>
      <c r="AU1052" s="133"/>
      <c r="AV1052" s="133"/>
    </row>
    <row r="1053" spans="1:48" s="135" customFormat="1" x14ac:dyDescent="0.2">
      <c r="A1053" s="133" t="s">
        <v>1166</v>
      </c>
      <c r="B1053" s="133" t="s">
        <v>1171</v>
      </c>
      <c r="C1053" s="133">
        <v>2</v>
      </c>
      <c r="D1053" s="133">
        <v>1</v>
      </c>
      <c r="E1053" s="133" t="s">
        <v>2487</v>
      </c>
      <c r="F1053" s="138">
        <v>43381</v>
      </c>
      <c r="G1053" s="136" t="s">
        <v>4033</v>
      </c>
      <c r="H1053" s="136" t="s">
        <v>4724</v>
      </c>
      <c r="I1053" s="148">
        <v>1.5972222222222224E-2</v>
      </c>
      <c r="J1053" s="174">
        <v>2.6620370370370372E-4</v>
      </c>
      <c r="K1053" s="139">
        <v>23</v>
      </c>
      <c r="L1053" s="133" t="s">
        <v>101</v>
      </c>
      <c r="M1053" s="133" t="s">
        <v>344</v>
      </c>
      <c r="N1053" s="133" t="s">
        <v>102</v>
      </c>
      <c r="O1053" s="133" t="s">
        <v>115</v>
      </c>
      <c r="P1053" s="133">
        <v>1</v>
      </c>
      <c r="Q1053" s="133"/>
      <c r="R1053" s="133">
        <v>0</v>
      </c>
      <c r="S1053" s="133" t="s">
        <v>14</v>
      </c>
      <c r="T1053" s="133" t="s">
        <v>2128</v>
      </c>
      <c r="U1053" s="133" t="s">
        <v>122</v>
      </c>
      <c r="V1053" s="133" t="s">
        <v>115</v>
      </c>
      <c r="W1053" s="135" t="s">
        <v>115</v>
      </c>
      <c r="X1053" s="135" t="s">
        <v>115</v>
      </c>
      <c r="Y1053" s="135" t="s">
        <v>115</v>
      </c>
      <c r="Z1053" s="133"/>
      <c r="AA1053" s="133"/>
      <c r="AB1053" s="133" t="s">
        <v>115</v>
      </c>
      <c r="AC1053" s="134" t="s">
        <v>115</v>
      </c>
      <c r="AD1053" s="134"/>
      <c r="AE1053" s="133"/>
      <c r="AF1053" s="133"/>
      <c r="AG1053" s="133"/>
      <c r="AH1053" s="139">
        <v>0</v>
      </c>
      <c r="AI1053" s="139">
        <v>0</v>
      </c>
      <c r="AJ1053" s="139">
        <v>0</v>
      </c>
      <c r="AK1053" s="139">
        <v>0</v>
      </c>
      <c r="AL1053" s="139">
        <v>0</v>
      </c>
      <c r="AM1053" s="133">
        <v>0</v>
      </c>
      <c r="AN1053" s="133">
        <f t="shared" si="17"/>
        <v>0</v>
      </c>
      <c r="AO1053" s="133"/>
      <c r="AP1053" s="133" t="s">
        <v>1168</v>
      </c>
      <c r="AQ1053" s="133"/>
      <c r="AR1053" s="133"/>
    </row>
    <row r="1054" spans="1:48" s="133" customFormat="1" x14ac:dyDescent="0.2">
      <c r="A1054" s="133" t="s">
        <v>1169</v>
      </c>
      <c r="B1054" s="133" t="s">
        <v>1170</v>
      </c>
      <c r="C1054" s="133">
        <v>3</v>
      </c>
      <c r="D1054" s="133">
        <v>1</v>
      </c>
      <c r="E1054" s="133" t="s">
        <v>2487</v>
      </c>
      <c r="F1054" s="138">
        <v>43381</v>
      </c>
      <c r="G1054" s="136" t="s">
        <v>4033</v>
      </c>
      <c r="H1054" s="136" t="s">
        <v>4724</v>
      </c>
      <c r="I1054" s="148">
        <v>1.0416666666666666E-2</v>
      </c>
      <c r="J1054" s="174">
        <v>1.7361111111111112E-4</v>
      </c>
      <c r="K1054" s="139">
        <v>15</v>
      </c>
      <c r="L1054" s="133" t="s">
        <v>101</v>
      </c>
      <c r="M1054" s="133" t="s">
        <v>344</v>
      </c>
      <c r="N1054" s="133" t="s">
        <v>1172</v>
      </c>
      <c r="O1054" s="133" t="s">
        <v>23</v>
      </c>
      <c r="P1054" s="133">
        <v>1</v>
      </c>
      <c r="R1054" s="133">
        <v>1</v>
      </c>
      <c r="S1054" s="133" t="s">
        <v>14</v>
      </c>
      <c r="T1054" s="133" t="s">
        <v>2110</v>
      </c>
      <c r="U1054" s="133" t="s">
        <v>333</v>
      </c>
      <c r="V1054" s="133" t="s">
        <v>3975</v>
      </c>
      <c r="W1054" s="140" t="s">
        <v>23</v>
      </c>
      <c r="X1054" s="140" t="s">
        <v>3999</v>
      </c>
      <c r="Y1054" s="140" t="s">
        <v>4016</v>
      </c>
      <c r="AB1054" s="133">
        <v>3</v>
      </c>
      <c r="AC1054" s="134">
        <v>63.718719999999998</v>
      </c>
      <c r="AD1054" s="134">
        <v>148.9863</v>
      </c>
      <c r="AH1054" s="139">
        <v>0</v>
      </c>
      <c r="AI1054" s="139">
        <v>0</v>
      </c>
      <c r="AJ1054" s="139">
        <v>0</v>
      </c>
      <c r="AK1054" s="139">
        <v>0</v>
      </c>
      <c r="AL1054" s="139">
        <v>0</v>
      </c>
      <c r="AM1054" s="133">
        <v>0</v>
      </c>
      <c r="AN1054" s="133">
        <f t="shared" si="17"/>
        <v>0</v>
      </c>
      <c r="AP1054" s="133" t="s">
        <v>4994</v>
      </c>
      <c r="AS1054" s="135"/>
      <c r="AT1054" s="135"/>
      <c r="AU1054" s="135" t="s">
        <v>3942</v>
      </c>
      <c r="AV1054" s="135"/>
    </row>
    <row r="1055" spans="1:48" s="133" customFormat="1" x14ac:dyDescent="0.2">
      <c r="A1055" s="133" t="s">
        <v>1174</v>
      </c>
      <c r="B1055" s="133" t="s">
        <v>1175</v>
      </c>
      <c r="C1055" s="133">
        <v>4</v>
      </c>
      <c r="D1055" s="133">
        <v>1</v>
      </c>
      <c r="E1055" s="133" t="s">
        <v>2487</v>
      </c>
      <c r="F1055" s="138">
        <v>43381</v>
      </c>
      <c r="G1055" s="136" t="s">
        <v>4033</v>
      </c>
      <c r="H1055" s="136" t="s">
        <v>4724</v>
      </c>
      <c r="I1055" s="148">
        <v>2.2916666666666669E-2</v>
      </c>
      <c r="J1055" s="174">
        <v>3.8194444444444446E-4</v>
      </c>
      <c r="K1055" s="139">
        <v>33</v>
      </c>
      <c r="L1055" s="133" t="s">
        <v>101</v>
      </c>
      <c r="M1055" s="133" t="s">
        <v>344</v>
      </c>
      <c r="N1055" s="133" t="s">
        <v>111</v>
      </c>
      <c r="O1055" s="133" t="s">
        <v>23</v>
      </c>
      <c r="P1055" s="133">
        <v>0</v>
      </c>
      <c r="R1055" s="133">
        <v>1</v>
      </c>
      <c r="S1055" s="133" t="s">
        <v>176</v>
      </c>
      <c r="T1055" s="133" t="s">
        <v>176</v>
      </c>
      <c r="U1055" s="133" t="s">
        <v>24</v>
      </c>
      <c r="V1055" s="133" t="s">
        <v>709</v>
      </c>
      <c r="W1055" s="140" t="s">
        <v>23</v>
      </c>
      <c r="X1055" s="140" t="s">
        <v>4004</v>
      </c>
      <c r="Y1055" s="140" t="s">
        <v>4005</v>
      </c>
      <c r="Z1055" s="135"/>
      <c r="AA1055" s="135"/>
      <c r="AB1055" s="133" t="s">
        <v>24</v>
      </c>
      <c r="AC1055" s="134">
        <v>63.719540000000002</v>
      </c>
      <c r="AD1055" s="134">
        <v>148.98489000000001</v>
      </c>
      <c r="AE1055" s="135"/>
      <c r="AF1055" s="135"/>
      <c r="AG1055" s="135"/>
      <c r="AH1055" s="139">
        <v>0</v>
      </c>
      <c r="AI1055" s="139">
        <v>0</v>
      </c>
      <c r="AJ1055" s="139">
        <v>0</v>
      </c>
      <c r="AK1055" s="139">
        <v>0</v>
      </c>
      <c r="AL1055" s="139">
        <v>0</v>
      </c>
      <c r="AM1055" s="133">
        <v>0</v>
      </c>
      <c r="AN1055" s="133">
        <f t="shared" si="17"/>
        <v>0</v>
      </c>
      <c r="AP1055" s="133" t="s">
        <v>2032</v>
      </c>
    </row>
    <row r="1056" spans="1:48" s="133" customFormat="1" x14ac:dyDescent="0.2">
      <c r="A1056" s="133" t="s">
        <v>1352</v>
      </c>
      <c r="B1056" s="133" t="s">
        <v>1353</v>
      </c>
      <c r="C1056" s="133">
        <v>2</v>
      </c>
      <c r="D1056" s="133">
        <v>2</v>
      </c>
      <c r="E1056" s="133" t="s">
        <v>2487</v>
      </c>
      <c r="F1056" s="138">
        <v>43388</v>
      </c>
      <c r="G1056" s="136" t="s">
        <v>4033</v>
      </c>
      <c r="H1056" s="136" t="s">
        <v>4724</v>
      </c>
      <c r="I1056" s="148">
        <v>1.0416666666666666E-2</v>
      </c>
      <c r="J1056" s="174">
        <v>1.7361111111111112E-4</v>
      </c>
      <c r="K1056" s="139">
        <v>15</v>
      </c>
      <c r="L1056" s="133" t="s">
        <v>398</v>
      </c>
      <c r="M1056" s="133" t="s">
        <v>344</v>
      </c>
      <c r="N1056" s="133" t="s">
        <v>102</v>
      </c>
      <c r="O1056" s="133" t="s">
        <v>115</v>
      </c>
      <c r="P1056" s="133">
        <v>1</v>
      </c>
      <c r="R1056" s="133">
        <v>0</v>
      </c>
      <c r="S1056" s="133" t="s">
        <v>461</v>
      </c>
      <c r="T1056" s="133" t="s">
        <v>2125</v>
      </c>
      <c r="U1056" s="133" t="s">
        <v>122</v>
      </c>
      <c r="V1056" s="133" t="s">
        <v>115</v>
      </c>
      <c r="W1056" s="135" t="s">
        <v>115</v>
      </c>
      <c r="X1056" s="135" t="s">
        <v>115</v>
      </c>
      <c r="Y1056" s="135" t="s">
        <v>115</v>
      </c>
      <c r="AB1056" s="133" t="s">
        <v>115</v>
      </c>
      <c r="AC1056" s="134" t="s">
        <v>115</v>
      </c>
      <c r="AD1056" s="134"/>
      <c r="AH1056" s="139">
        <v>0</v>
      </c>
      <c r="AI1056" s="139">
        <v>0</v>
      </c>
      <c r="AJ1056" s="139">
        <v>0</v>
      </c>
      <c r="AK1056" s="139">
        <v>0</v>
      </c>
      <c r="AL1056" s="143">
        <v>0</v>
      </c>
      <c r="AM1056" s="133">
        <v>0</v>
      </c>
      <c r="AN1056" s="133">
        <f t="shared" si="17"/>
        <v>0</v>
      </c>
      <c r="AP1056" s="133" t="s">
        <v>3952</v>
      </c>
    </row>
    <row r="1057" spans="1:48" s="133" customFormat="1" x14ac:dyDescent="0.2">
      <c r="A1057" s="133" t="s">
        <v>1369</v>
      </c>
      <c r="B1057" s="133" t="s">
        <v>1370</v>
      </c>
      <c r="C1057" s="133">
        <v>10</v>
      </c>
      <c r="D1057" s="133">
        <v>1</v>
      </c>
      <c r="E1057" s="133" t="s">
        <v>2487</v>
      </c>
      <c r="F1057" s="138">
        <v>43388</v>
      </c>
      <c r="G1057" s="136" t="s">
        <v>4033</v>
      </c>
      <c r="H1057" s="136" t="s">
        <v>4724</v>
      </c>
      <c r="I1057" s="148">
        <v>1.7361111111111112E-2</v>
      </c>
      <c r="J1057" s="174">
        <v>2.8935185185185189E-4</v>
      </c>
      <c r="K1057" s="139">
        <v>25</v>
      </c>
      <c r="L1057" s="133" t="s">
        <v>398</v>
      </c>
      <c r="M1057" s="133" t="s">
        <v>344</v>
      </c>
      <c r="N1057" s="133" t="s">
        <v>111</v>
      </c>
      <c r="O1057" s="133" t="s">
        <v>23</v>
      </c>
      <c r="P1057" s="133">
        <v>0</v>
      </c>
      <c r="R1057" s="133">
        <v>1</v>
      </c>
      <c r="S1057" s="133" t="s">
        <v>461</v>
      </c>
      <c r="T1057" s="133" t="s">
        <v>2125</v>
      </c>
      <c r="U1057" s="133" t="s">
        <v>122</v>
      </c>
      <c r="V1057" s="133" t="s">
        <v>709</v>
      </c>
      <c r="W1057" s="140" t="s">
        <v>23</v>
      </c>
      <c r="X1057" s="140" t="s">
        <v>4004</v>
      </c>
      <c r="Y1057" s="140" t="s">
        <v>4005</v>
      </c>
      <c r="AB1057" s="133">
        <v>1</v>
      </c>
      <c r="AC1057" s="134">
        <v>63.721919999999997</v>
      </c>
      <c r="AD1057" s="134">
        <v>148.98732000000001</v>
      </c>
      <c r="AH1057" s="139">
        <v>0</v>
      </c>
      <c r="AI1057" s="139">
        <v>0</v>
      </c>
      <c r="AJ1057" s="139">
        <v>0</v>
      </c>
      <c r="AK1057" s="139">
        <v>0</v>
      </c>
      <c r="AL1057" s="143">
        <v>0</v>
      </c>
      <c r="AM1057" s="133">
        <v>0</v>
      </c>
      <c r="AN1057" s="133">
        <f t="shared" si="17"/>
        <v>0</v>
      </c>
      <c r="AP1057" s="133" t="s">
        <v>1371</v>
      </c>
      <c r="AS1057" s="135"/>
      <c r="AT1057" s="135"/>
      <c r="AU1057" s="135"/>
      <c r="AV1057" s="135"/>
    </row>
    <row r="1058" spans="1:48" s="135" customFormat="1" x14ac:dyDescent="0.2">
      <c r="A1058" s="135" t="s">
        <v>1377</v>
      </c>
      <c r="B1058" s="135" t="s">
        <v>1383</v>
      </c>
      <c r="C1058" s="135">
        <v>14</v>
      </c>
      <c r="D1058" s="135">
        <v>1</v>
      </c>
      <c r="E1058" s="135" t="s">
        <v>2487</v>
      </c>
      <c r="F1058" s="136">
        <v>43388</v>
      </c>
      <c r="G1058" s="136" t="s">
        <v>4033</v>
      </c>
      <c r="H1058" s="136" t="s">
        <v>4724</v>
      </c>
      <c r="I1058" s="172">
        <v>4.0972222222222222E-2</v>
      </c>
      <c r="J1058" s="175">
        <v>6.8287037037037025E-4</v>
      </c>
      <c r="K1058" s="143">
        <v>59</v>
      </c>
      <c r="L1058" s="135" t="s">
        <v>398</v>
      </c>
      <c r="M1058" s="135" t="s">
        <v>344</v>
      </c>
      <c r="N1058" s="135" t="s">
        <v>102</v>
      </c>
      <c r="O1058" s="135" t="s">
        <v>115</v>
      </c>
      <c r="P1058" s="135">
        <v>1</v>
      </c>
      <c r="R1058" s="135">
        <v>0</v>
      </c>
      <c r="S1058" s="133" t="s">
        <v>461</v>
      </c>
      <c r="T1058" s="135" t="s">
        <v>2125</v>
      </c>
      <c r="U1058" s="135" t="s">
        <v>122</v>
      </c>
      <c r="V1058" s="135" t="s">
        <v>115</v>
      </c>
      <c r="W1058" s="135" t="s">
        <v>115</v>
      </c>
      <c r="X1058" s="135" t="s">
        <v>115</v>
      </c>
      <c r="Y1058" s="135" t="s">
        <v>115</v>
      </c>
      <c r="Z1058" s="133"/>
      <c r="AA1058" s="133"/>
      <c r="AB1058" s="135" t="s">
        <v>115</v>
      </c>
      <c r="AC1058" s="137" t="s">
        <v>115</v>
      </c>
      <c r="AD1058" s="137"/>
      <c r="AE1058" s="133"/>
      <c r="AF1058" s="133"/>
      <c r="AG1058" s="133"/>
      <c r="AH1058" s="143">
        <v>0</v>
      </c>
      <c r="AI1058" s="143">
        <v>0</v>
      </c>
      <c r="AJ1058" s="143">
        <v>0</v>
      </c>
      <c r="AK1058" s="143">
        <v>0</v>
      </c>
      <c r="AL1058" s="143">
        <v>0</v>
      </c>
      <c r="AM1058" s="135">
        <v>0</v>
      </c>
      <c r="AN1058" s="135">
        <f t="shared" si="17"/>
        <v>0</v>
      </c>
      <c r="AS1058" s="133"/>
      <c r="AT1058" s="133"/>
      <c r="AU1058" s="133"/>
      <c r="AV1058" s="133"/>
    </row>
    <row r="1059" spans="1:48" s="133" customFormat="1" x14ac:dyDescent="0.2">
      <c r="A1059" s="135" t="s">
        <v>1388</v>
      </c>
      <c r="B1059" s="135" t="s">
        <v>1389</v>
      </c>
      <c r="C1059" s="135">
        <v>17</v>
      </c>
      <c r="D1059" s="135">
        <v>2</v>
      </c>
      <c r="E1059" s="135" t="s">
        <v>2487</v>
      </c>
      <c r="F1059" s="136">
        <v>43388</v>
      </c>
      <c r="G1059" s="136" t="s">
        <v>4033</v>
      </c>
      <c r="H1059" s="136" t="s">
        <v>4724</v>
      </c>
      <c r="I1059" s="172">
        <v>0.1125</v>
      </c>
      <c r="J1059" s="175">
        <v>1.8750000000000001E-3</v>
      </c>
      <c r="K1059" s="143">
        <v>162</v>
      </c>
      <c r="L1059" s="135" t="s">
        <v>398</v>
      </c>
      <c r="M1059" s="135" t="s">
        <v>344</v>
      </c>
      <c r="N1059" s="135" t="s">
        <v>102</v>
      </c>
      <c r="O1059" s="135" t="s">
        <v>115</v>
      </c>
      <c r="P1059" s="135">
        <v>2</v>
      </c>
      <c r="Q1059" s="135"/>
      <c r="R1059" s="135">
        <v>0</v>
      </c>
      <c r="S1059" s="133" t="s">
        <v>461</v>
      </c>
      <c r="T1059" s="135" t="s">
        <v>2125</v>
      </c>
      <c r="U1059" s="135" t="s">
        <v>122</v>
      </c>
      <c r="V1059" s="135" t="s">
        <v>115</v>
      </c>
      <c r="W1059" s="135" t="s">
        <v>115</v>
      </c>
      <c r="X1059" s="135" t="s">
        <v>115</v>
      </c>
      <c r="Y1059" s="135" t="s">
        <v>115</v>
      </c>
      <c r="AB1059" s="135" t="s">
        <v>115</v>
      </c>
      <c r="AC1059" s="137" t="s">
        <v>115</v>
      </c>
      <c r="AD1059" s="137"/>
      <c r="AH1059" s="143">
        <v>0</v>
      </c>
      <c r="AI1059" s="143">
        <v>0</v>
      </c>
      <c r="AJ1059" s="143">
        <v>0</v>
      </c>
      <c r="AK1059" s="143">
        <v>0</v>
      </c>
      <c r="AL1059" s="143">
        <v>0</v>
      </c>
      <c r="AM1059" s="135">
        <v>0</v>
      </c>
      <c r="AN1059" s="135">
        <f t="shared" si="17"/>
        <v>0</v>
      </c>
      <c r="AO1059" s="135"/>
      <c r="AP1059" s="135"/>
      <c r="AQ1059" s="135"/>
      <c r="AR1059" s="135"/>
    </row>
    <row r="1060" spans="1:48" s="133" customFormat="1" x14ac:dyDescent="0.2">
      <c r="A1060" s="133" t="s">
        <v>1405</v>
      </c>
      <c r="B1060" s="133" t="s">
        <v>1406</v>
      </c>
      <c r="C1060" s="133">
        <v>25</v>
      </c>
      <c r="D1060" s="133">
        <v>2</v>
      </c>
      <c r="E1060" s="133" t="s">
        <v>2487</v>
      </c>
      <c r="F1060" s="138">
        <v>43388</v>
      </c>
      <c r="G1060" s="136" t="s">
        <v>4033</v>
      </c>
      <c r="H1060" s="136" t="s">
        <v>4724</v>
      </c>
      <c r="I1060" s="148">
        <v>1.3194444444444444E-2</v>
      </c>
      <c r="J1060" s="174">
        <v>2.199074074074074E-4</v>
      </c>
      <c r="K1060" s="139">
        <v>19</v>
      </c>
      <c r="L1060" s="133" t="s">
        <v>398</v>
      </c>
      <c r="M1060" s="133" t="s">
        <v>344</v>
      </c>
      <c r="N1060" s="133" t="s">
        <v>102</v>
      </c>
      <c r="O1060" s="133" t="s">
        <v>115</v>
      </c>
      <c r="P1060" s="133">
        <v>1</v>
      </c>
      <c r="R1060" s="133">
        <v>0</v>
      </c>
      <c r="S1060" s="133" t="s">
        <v>461</v>
      </c>
      <c r="T1060" s="133" t="s">
        <v>2125</v>
      </c>
      <c r="U1060" s="133" t="s">
        <v>122</v>
      </c>
      <c r="V1060" s="133" t="s">
        <v>115</v>
      </c>
      <c r="W1060" s="135" t="s">
        <v>115</v>
      </c>
      <c r="X1060" s="135" t="s">
        <v>115</v>
      </c>
      <c r="Y1060" s="135" t="s">
        <v>115</v>
      </c>
      <c r="Z1060" s="135"/>
      <c r="AA1060" s="135"/>
      <c r="AB1060" s="133" t="s">
        <v>115</v>
      </c>
      <c r="AC1060" s="134" t="s">
        <v>115</v>
      </c>
      <c r="AD1060" s="134"/>
      <c r="AE1060" s="135"/>
      <c r="AF1060" s="135"/>
      <c r="AG1060" s="135"/>
      <c r="AH1060" s="139">
        <v>0</v>
      </c>
      <c r="AI1060" s="139">
        <v>0</v>
      </c>
      <c r="AJ1060" s="139">
        <v>0</v>
      </c>
      <c r="AK1060" s="139">
        <v>0</v>
      </c>
      <c r="AL1060" s="143">
        <v>0</v>
      </c>
      <c r="AM1060" s="133">
        <v>0</v>
      </c>
      <c r="AN1060" s="133">
        <f t="shared" si="17"/>
        <v>0</v>
      </c>
    </row>
    <row r="1061" spans="1:48" s="133" customFormat="1" x14ac:dyDescent="0.2">
      <c r="A1061" s="135" t="s">
        <v>1438</v>
      </c>
      <c r="B1061" s="135" t="s">
        <v>1439</v>
      </c>
      <c r="C1061" s="135">
        <v>41</v>
      </c>
      <c r="D1061" s="135">
        <v>1</v>
      </c>
      <c r="E1061" s="135" t="s">
        <v>2487</v>
      </c>
      <c r="F1061" s="136">
        <v>43388</v>
      </c>
      <c r="G1061" s="136" t="s">
        <v>4033</v>
      </c>
      <c r="H1061" s="136" t="s">
        <v>4724</v>
      </c>
      <c r="I1061" s="172">
        <v>2.7777777777777776E-2</v>
      </c>
      <c r="J1061" s="175">
        <v>4.6296296296296293E-4</v>
      </c>
      <c r="K1061" s="143">
        <v>40</v>
      </c>
      <c r="L1061" s="135" t="s">
        <v>398</v>
      </c>
      <c r="M1061" s="135" t="s">
        <v>344</v>
      </c>
      <c r="N1061" s="135" t="s">
        <v>187</v>
      </c>
      <c r="O1061" s="135" t="s">
        <v>23</v>
      </c>
      <c r="P1061" s="135">
        <v>2</v>
      </c>
      <c r="Q1061" s="135"/>
      <c r="R1061" s="135">
        <v>1</v>
      </c>
      <c r="S1061" s="133" t="s">
        <v>14</v>
      </c>
      <c r="T1061" s="135" t="s">
        <v>2128</v>
      </c>
      <c r="U1061" s="135" t="s">
        <v>122</v>
      </c>
      <c r="V1061" s="135" t="s">
        <v>3963</v>
      </c>
      <c r="W1061" s="135" t="s">
        <v>23</v>
      </c>
      <c r="X1061" s="135" t="s">
        <v>3997</v>
      </c>
      <c r="Y1061" s="135" t="s">
        <v>4007</v>
      </c>
      <c r="AB1061" s="135">
        <v>32</v>
      </c>
      <c r="AC1061" s="137">
        <v>63.721510000000002</v>
      </c>
      <c r="AD1061" s="137">
        <v>148.98741000000001</v>
      </c>
      <c r="AH1061" s="143">
        <v>0</v>
      </c>
      <c r="AI1061" s="143">
        <v>0</v>
      </c>
      <c r="AJ1061" s="143">
        <v>0</v>
      </c>
      <c r="AK1061" s="143">
        <v>0</v>
      </c>
      <c r="AL1061" s="143">
        <v>10</v>
      </c>
      <c r="AM1061" s="135">
        <v>0</v>
      </c>
      <c r="AN1061" s="135">
        <f t="shared" si="17"/>
        <v>10</v>
      </c>
      <c r="AO1061" s="135"/>
      <c r="AP1061" s="135"/>
      <c r="AQ1061" s="135"/>
      <c r="AR1061" s="135"/>
      <c r="AS1061" s="135"/>
      <c r="AT1061" s="135"/>
      <c r="AU1061" s="135"/>
      <c r="AV1061" s="135"/>
    </row>
    <row r="1062" spans="1:48" s="133" customFormat="1" x14ac:dyDescent="0.2">
      <c r="A1062" s="133" t="s">
        <v>1590</v>
      </c>
      <c r="B1062" s="133" t="s">
        <v>1591</v>
      </c>
      <c r="C1062" s="133">
        <v>2</v>
      </c>
      <c r="D1062" s="133">
        <v>1</v>
      </c>
      <c r="E1062" s="133" t="s">
        <v>2487</v>
      </c>
      <c r="F1062" s="138">
        <v>43391</v>
      </c>
      <c r="G1062" s="136" t="s">
        <v>4033</v>
      </c>
      <c r="H1062" s="136" t="s">
        <v>4724</v>
      </c>
      <c r="I1062" s="148">
        <v>1.9444444444444445E-2</v>
      </c>
      <c r="J1062" s="174">
        <v>3.2407407407407406E-4</v>
      </c>
      <c r="K1062" s="139">
        <v>28</v>
      </c>
      <c r="L1062" s="133" t="s">
        <v>398</v>
      </c>
      <c r="M1062" s="133" t="s">
        <v>344</v>
      </c>
      <c r="N1062" s="133" t="s">
        <v>102</v>
      </c>
      <c r="O1062" s="133" t="s">
        <v>23</v>
      </c>
      <c r="P1062" s="133">
        <v>1</v>
      </c>
      <c r="R1062" s="133">
        <v>0</v>
      </c>
      <c r="S1062" s="133" t="s">
        <v>176</v>
      </c>
      <c r="T1062" s="133" t="s">
        <v>176</v>
      </c>
      <c r="U1062" s="133" t="s">
        <v>948</v>
      </c>
      <c r="V1062" s="133" t="s">
        <v>115</v>
      </c>
      <c r="W1062" s="135" t="s">
        <v>115</v>
      </c>
      <c r="X1062" s="135" t="s">
        <v>115</v>
      </c>
      <c r="Y1062" s="135" t="s">
        <v>115</v>
      </c>
      <c r="AB1062" s="133" t="s">
        <v>115</v>
      </c>
      <c r="AC1062" s="134" t="s">
        <v>115</v>
      </c>
      <c r="AD1062" s="134"/>
      <c r="AH1062" s="139">
        <v>0</v>
      </c>
      <c r="AI1062" s="139">
        <v>18</v>
      </c>
      <c r="AJ1062" s="139">
        <v>0</v>
      </c>
      <c r="AK1062" s="139">
        <v>18</v>
      </c>
      <c r="AL1062" s="139">
        <v>0</v>
      </c>
      <c r="AM1062" s="133">
        <v>0</v>
      </c>
      <c r="AN1062" s="133">
        <f t="shared" si="17"/>
        <v>18</v>
      </c>
      <c r="AO1062" s="133" t="s">
        <v>188</v>
      </c>
    </row>
    <row r="1063" spans="1:48" s="135" customFormat="1" x14ac:dyDescent="0.2">
      <c r="A1063" s="133" t="s">
        <v>1857</v>
      </c>
      <c r="B1063" s="133" t="s">
        <v>1859</v>
      </c>
      <c r="C1063" s="133">
        <v>1</v>
      </c>
      <c r="D1063" s="133">
        <v>1</v>
      </c>
      <c r="E1063" s="133" t="s">
        <v>1858</v>
      </c>
      <c r="F1063" s="138">
        <v>43398</v>
      </c>
      <c r="G1063" s="136" t="s">
        <v>4033</v>
      </c>
      <c r="H1063" s="136" t="s">
        <v>4724</v>
      </c>
      <c r="I1063" s="148">
        <v>9.7222222222222224E-3</v>
      </c>
      <c r="J1063" s="174">
        <v>1.6203703703703703E-4</v>
      </c>
      <c r="K1063" s="139">
        <v>14</v>
      </c>
      <c r="L1063" s="133"/>
      <c r="M1063" s="133" t="s">
        <v>255</v>
      </c>
      <c r="N1063" s="133" t="s">
        <v>102</v>
      </c>
      <c r="O1063" s="133" t="s">
        <v>23</v>
      </c>
      <c r="P1063" s="133">
        <v>1</v>
      </c>
      <c r="Q1063" s="133"/>
      <c r="R1063" s="133">
        <v>0</v>
      </c>
      <c r="S1063" s="133" t="s">
        <v>176</v>
      </c>
      <c r="T1063" s="133" t="s">
        <v>176</v>
      </c>
      <c r="U1063" s="133" t="s">
        <v>487</v>
      </c>
      <c r="V1063" s="133" t="s">
        <v>115</v>
      </c>
      <c r="W1063" s="135" t="s">
        <v>115</v>
      </c>
      <c r="X1063" s="135" t="s">
        <v>115</v>
      </c>
      <c r="Y1063" s="135" t="s">
        <v>115</v>
      </c>
      <c r="Z1063" s="133"/>
      <c r="AA1063" s="133"/>
      <c r="AB1063" s="133" t="s">
        <v>115</v>
      </c>
      <c r="AC1063" s="134" t="s">
        <v>115</v>
      </c>
      <c r="AD1063" s="134"/>
      <c r="AE1063" s="133"/>
      <c r="AF1063" s="133"/>
      <c r="AG1063" s="133"/>
      <c r="AH1063" s="139">
        <v>14</v>
      </c>
      <c r="AI1063" s="139">
        <v>0</v>
      </c>
      <c r="AJ1063" s="139">
        <v>0</v>
      </c>
      <c r="AK1063" s="139">
        <v>14</v>
      </c>
      <c r="AL1063" s="139">
        <v>0</v>
      </c>
      <c r="AM1063" s="139">
        <v>0</v>
      </c>
      <c r="AN1063" s="133">
        <f t="shared" si="17"/>
        <v>14</v>
      </c>
      <c r="AO1063" s="133" t="s">
        <v>16</v>
      </c>
      <c r="AP1063" s="133"/>
      <c r="AQ1063" s="133">
        <v>0</v>
      </c>
      <c r="AR1063" s="133">
        <v>1</v>
      </c>
      <c r="AS1063" s="133"/>
      <c r="AT1063" s="133"/>
      <c r="AU1063" s="133"/>
      <c r="AV1063" s="133"/>
    </row>
    <row r="1064" spans="1:48" s="133" customFormat="1" x14ac:dyDescent="0.2">
      <c r="A1064" s="135" t="s">
        <v>1999</v>
      </c>
      <c r="B1064" s="135" t="s">
        <v>2000</v>
      </c>
      <c r="C1064" s="135">
        <v>5</v>
      </c>
      <c r="D1064" s="135">
        <v>1</v>
      </c>
      <c r="E1064" s="135" t="s">
        <v>272</v>
      </c>
      <c r="F1064" s="136">
        <v>43404</v>
      </c>
      <c r="G1064" s="136" t="s">
        <v>4033</v>
      </c>
      <c r="H1064" s="136" t="s">
        <v>4724</v>
      </c>
      <c r="I1064" s="172">
        <v>2.2916666666666669E-2</v>
      </c>
      <c r="J1064" s="175">
        <v>3.8194444444444446E-4</v>
      </c>
      <c r="K1064" s="143">
        <v>33</v>
      </c>
      <c r="L1064" s="135" t="s">
        <v>2029</v>
      </c>
      <c r="M1064" s="135" t="s">
        <v>255</v>
      </c>
      <c r="N1064" s="135" t="s">
        <v>102</v>
      </c>
      <c r="O1064" s="135" t="s">
        <v>23</v>
      </c>
      <c r="P1064" s="135">
        <v>1</v>
      </c>
      <c r="Q1064" s="135"/>
      <c r="R1064" s="135">
        <v>0</v>
      </c>
      <c r="S1064" s="133" t="s">
        <v>176</v>
      </c>
      <c r="T1064" s="135" t="s">
        <v>176</v>
      </c>
      <c r="U1064" s="135" t="s">
        <v>122</v>
      </c>
      <c r="V1064" s="135" t="s">
        <v>115</v>
      </c>
      <c r="W1064" s="135" t="s">
        <v>115</v>
      </c>
      <c r="X1064" s="135" t="s">
        <v>115</v>
      </c>
      <c r="Y1064" s="135" t="s">
        <v>115</v>
      </c>
      <c r="AB1064" s="135" t="s">
        <v>115</v>
      </c>
      <c r="AC1064" s="137" t="s">
        <v>115</v>
      </c>
      <c r="AD1064" s="137"/>
      <c r="AH1064" s="143">
        <v>7</v>
      </c>
      <c r="AI1064" s="143">
        <v>0</v>
      </c>
      <c r="AJ1064" s="143">
        <v>0</v>
      </c>
      <c r="AK1064" s="143">
        <v>7</v>
      </c>
      <c r="AL1064" s="143">
        <v>17</v>
      </c>
      <c r="AM1064" s="143">
        <v>0</v>
      </c>
      <c r="AN1064" s="135">
        <f t="shared" si="17"/>
        <v>24</v>
      </c>
      <c r="AO1064" s="135"/>
      <c r="AP1064" s="135"/>
      <c r="AQ1064" s="135"/>
      <c r="AR1064" s="135"/>
      <c r="AS1064" s="135"/>
      <c r="AT1064" s="135"/>
      <c r="AU1064" s="135"/>
      <c r="AV1064" s="135"/>
    </row>
    <row r="1065" spans="1:48" s="133" customFormat="1" x14ac:dyDescent="0.2">
      <c r="A1065" s="135" t="s">
        <v>2001</v>
      </c>
      <c r="B1065" s="135" t="s">
        <v>2002</v>
      </c>
      <c r="C1065" s="135">
        <v>6</v>
      </c>
      <c r="D1065" s="135">
        <v>1</v>
      </c>
      <c r="E1065" s="135" t="s">
        <v>272</v>
      </c>
      <c r="F1065" s="136">
        <v>43404</v>
      </c>
      <c r="G1065" s="136" t="s">
        <v>4033</v>
      </c>
      <c r="H1065" s="136" t="s">
        <v>4724</v>
      </c>
      <c r="I1065" s="172">
        <v>2.7777777777777776E-2</v>
      </c>
      <c r="J1065" s="175">
        <v>4.6296296296296293E-4</v>
      </c>
      <c r="K1065" s="143">
        <v>40</v>
      </c>
      <c r="L1065" s="135" t="s">
        <v>2029</v>
      </c>
      <c r="M1065" s="135" t="s">
        <v>255</v>
      </c>
      <c r="N1065" s="135" t="s">
        <v>102</v>
      </c>
      <c r="O1065" s="135" t="s">
        <v>1307</v>
      </c>
      <c r="P1065" s="135">
        <v>1</v>
      </c>
      <c r="Q1065" s="135"/>
      <c r="R1065" s="135">
        <v>0</v>
      </c>
      <c r="S1065" s="133" t="s">
        <v>176</v>
      </c>
      <c r="T1065" s="135" t="s">
        <v>176</v>
      </c>
      <c r="U1065" s="135" t="s">
        <v>122</v>
      </c>
      <c r="V1065" s="135" t="s">
        <v>115</v>
      </c>
      <c r="W1065" s="135" t="s">
        <v>115</v>
      </c>
      <c r="X1065" s="135" t="s">
        <v>115</v>
      </c>
      <c r="Y1065" s="135" t="s">
        <v>115</v>
      </c>
      <c r="AB1065" s="135" t="s">
        <v>115</v>
      </c>
      <c r="AC1065" s="137" t="s">
        <v>115</v>
      </c>
      <c r="AD1065" s="137"/>
      <c r="AH1065" s="143">
        <v>14</v>
      </c>
      <c r="AI1065" s="143">
        <v>0</v>
      </c>
      <c r="AJ1065" s="143">
        <v>0</v>
      </c>
      <c r="AK1065" s="143">
        <v>14</v>
      </c>
      <c r="AL1065" s="143">
        <v>19</v>
      </c>
      <c r="AM1065" s="143">
        <v>0</v>
      </c>
      <c r="AN1065" s="135">
        <f t="shared" si="17"/>
        <v>33</v>
      </c>
      <c r="AO1065" s="135"/>
      <c r="AP1065" s="135"/>
      <c r="AQ1065" s="135"/>
      <c r="AR1065" s="135"/>
    </row>
    <row r="1066" spans="1:48" s="133" customFormat="1" x14ac:dyDescent="0.2">
      <c r="A1066" s="135" t="s">
        <v>2003</v>
      </c>
      <c r="B1066" s="135" t="s">
        <v>2004</v>
      </c>
      <c r="C1066" s="135">
        <v>7</v>
      </c>
      <c r="D1066" s="135">
        <v>1</v>
      </c>
      <c r="E1066" s="135" t="s">
        <v>272</v>
      </c>
      <c r="F1066" s="136">
        <v>43404</v>
      </c>
      <c r="G1066" s="136" t="s">
        <v>4033</v>
      </c>
      <c r="H1066" s="136" t="s">
        <v>4724</v>
      </c>
      <c r="I1066" s="172">
        <v>1.9444444444444445E-2</v>
      </c>
      <c r="J1066" s="175">
        <v>3.2407407407407406E-4</v>
      </c>
      <c r="K1066" s="143">
        <v>28</v>
      </c>
      <c r="L1066" s="135" t="s">
        <v>2029</v>
      </c>
      <c r="M1066" s="135" t="s">
        <v>255</v>
      </c>
      <c r="N1066" s="135" t="s">
        <v>102</v>
      </c>
      <c r="O1066" s="135" t="s">
        <v>115</v>
      </c>
      <c r="P1066" s="135">
        <v>1</v>
      </c>
      <c r="Q1066" s="135"/>
      <c r="R1066" s="135">
        <v>0</v>
      </c>
      <c r="S1066" s="133" t="s">
        <v>176</v>
      </c>
      <c r="T1066" s="135" t="s">
        <v>176</v>
      </c>
      <c r="U1066" s="135" t="s">
        <v>122</v>
      </c>
      <c r="V1066" s="135" t="s">
        <v>115</v>
      </c>
      <c r="W1066" s="135" t="s">
        <v>115</v>
      </c>
      <c r="X1066" s="135" t="s">
        <v>115</v>
      </c>
      <c r="Y1066" s="135" t="s">
        <v>115</v>
      </c>
      <c r="Z1066" s="135"/>
      <c r="AA1066" s="135"/>
      <c r="AB1066" s="135" t="s">
        <v>115</v>
      </c>
      <c r="AC1066" s="137" t="s">
        <v>115</v>
      </c>
      <c r="AD1066" s="137"/>
      <c r="AE1066" s="135"/>
      <c r="AF1066" s="135"/>
      <c r="AG1066" s="135"/>
      <c r="AH1066" s="143">
        <v>0</v>
      </c>
      <c r="AI1066" s="143">
        <v>0</v>
      </c>
      <c r="AJ1066" s="143">
        <v>0</v>
      </c>
      <c r="AK1066" s="143">
        <v>0</v>
      </c>
      <c r="AL1066" s="143">
        <v>8</v>
      </c>
      <c r="AM1066" s="143">
        <v>0</v>
      </c>
      <c r="AN1066" s="135">
        <f t="shared" si="17"/>
        <v>8</v>
      </c>
      <c r="AO1066" s="135"/>
      <c r="AP1066" s="135"/>
      <c r="AQ1066" s="135"/>
      <c r="AR1066" s="135"/>
    </row>
    <row r="1067" spans="1:48" s="133" customFormat="1" x14ac:dyDescent="0.2">
      <c r="A1067" s="133" t="s">
        <v>2005</v>
      </c>
      <c r="B1067" s="133" t="s">
        <v>2006</v>
      </c>
      <c r="C1067" s="133">
        <v>8</v>
      </c>
      <c r="D1067" s="133">
        <v>1</v>
      </c>
      <c r="E1067" s="133" t="s">
        <v>272</v>
      </c>
      <c r="F1067" s="138">
        <v>43404</v>
      </c>
      <c r="G1067" s="136" t="s">
        <v>4033</v>
      </c>
      <c r="H1067" s="136" t="s">
        <v>4724</v>
      </c>
      <c r="I1067" s="148">
        <v>2.2222222222222223E-2</v>
      </c>
      <c r="J1067" s="174">
        <v>3.7037037037037035E-4</v>
      </c>
      <c r="K1067" s="139">
        <v>32</v>
      </c>
      <c r="L1067" s="133" t="s">
        <v>2029</v>
      </c>
      <c r="M1067" s="133" t="s">
        <v>255</v>
      </c>
      <c r="N1067" s="133" t="s">
        <v>102</v>
      </c>
      <c r="O1067" s="133" t="s">
        <v>1307</v>
      </c>
      <c r="P1067" s="133" t="s">
        <v>24</v>
      </c>
      <c r="R1067" s="133" t="s">
        <v>24</v>
      </c>
      <c r="S1067" s="133" t="s">
        <v>176</v>
      </c>
      <c r="T1067" s="133" t="s">
        <v>176</v>
      </c>
      <c r="U1067" s="133" t="s">
        <v>115</v>
      </c>
      <c r="V1067" s="133" t="s">
        <v>115</v>
      </c>
      <c r="AB1067" s="133" t="s">
        <v>115</v>
      </c>
      <c r="AC1067" s="134" t="s">
        <v>115</v>
      </c>
      <c r="AD1067" s="134"/>
      <c r="AH1067" s="139">
        <v>21</v>
      </c>
      <c r="AI1067" s="139">
        <v>7</v>
      </c>
      <c r="AJ1067" s="139">
        <v>7</v>
      </c>
      <c r="AK1067" s="139">
        <v>21</v>
      </c>
      <c r="AL1067" s="139">
        <v>0</v>
      </c>
      <c r="AM1067" s="139">
        <v>0</v>
      </c>
      <c r="AN1067" s="133">
        <f t="shared" si="17"/>
        <v>28</v>
      </c>
      <c r="AS1067" s="135"/>
      <c r="AT1067" s="135"/>
      <c r="AU1067" s="135"/>
      <c r="AV1067" s="135"/>
    </row>
    <row r="1068" spans="1:48" s="133" customFormat="1" x14ac:dyDescent="0.2">
      <c r="A1068" s="133" t="s">
        <v>2007</v>
      </c>
      <c r="B1068" s="133" t="s">
        <v>2008</v>
      </c>
      <c r="C1068" s="133">
        <v>9</v>
      </c>
      <c r="D1068" s="133">
        <v>1</v>
      </c>
      <c r="E1068" s="133" t="s">
        <v>272</v>
      </c>
      <c r="F1068" s="138">
        <v>43404</v>
      </c>
      <c r="G1068" s="136" t="s">
        <v>4033</v>
      </c>
      <c r="H1068" s="136" t="s">
        <v>4724</v>
      </c>
      <c r="I1068" s="148">
        <v>3.9583333333333331E-2</v>
      </c>
      <c r="J1068" s="174">
        <v>6.5972222222222213E-4</v>
      </c>
      <c r="K1068" s="139">
        <v>57</v>
      </c>
      <c r="L1068" s="133" t="s">
        <v>2029</v>
      </c>
      <c r="M1068" s="133" t="s">
        <v>255</v>
      </c>
      <c r="N1068" s="133" t="s">
        <v>111</v>
      </c>
      <c r="O1068" s="133" t="s">
        <v>23</v>
      </c>
      <c r="P1068" s="133">
        <v>0</v>
      </c>
      <c r="R1068" s="133">
        <v>1</v>
      </c>
      <c r="S1068" s="133" t="s">
        <v>176</v>
      </c>
      <c r="T1068" s="133" t="s">
        <v>176</v>
      </c>
      <c r="U1068" s="133" t="s">
        <v>24</v>
      </c>
      <c r="V1068" s="133" t="s">
        <v>2104</v>
      </c>
      <c r="W1068" s="140" t="s">
        <v>23</v>
      </c>
      <c r="X1068" s="140" t="s">
        <v>3997</v>
      </c>
      <c r="Y1068" s="140" t="s">
        <v>4006</v>
      </c>
      <c r="AB1068" s="133" t="s">
        <v>24</v>
      </c>
      <c r="AC1068" s="134">
        <v>63.73171</v>
      </c>
      <c r="AD1068" s="134">
        <v>148.90314000000001</v>
      </c>
      <c r="AH1068" s="139">
        <v>0</v>
      </c>
      <c r="AI1068" s="139">
        <v>0</v>
      </c>
      <c r="AJ1068" s="139">
        <v>0</v>
      </c>
      <c r="AK1068" s="139">
        <v>0</v>
      </c>
      <c r="AL1068" s="139">
        <v>0</v>
      </c>
      <c r="AM1068" s="139">
        <v>0</v>
      </c>
      <c r="AN1068" s="133">
        <f t="shared" si="17"/>
        <v>0</v>
      </c>
      <c r="AP1068" s="133" t="s">
        <v>5047</v>
      </c>
    </row>
    <row r="1069" spans="1:48" s="135" customFormat="1" x14ac:dyDescent="0.2">
      <c r="A1069" s="133" t="s">
        <v>2007</v>
      </c>
      <c r="B1069" s="133" t="s">
        <v>2008</v>
      </c>
      <c r="C1069" s="133">
        <v>9</v>
      </c>
      <c r="D1069" s="133">
        <v>2</v>
      </c>
      <c r="E1069" s="133" t="s">
        <v>272</v>
      </c>
      <c r="F1069" s="138">
        <v>43404</v>
      </c>
      <c r="G1069" s="136" t="s">
        <v>4033</v>
      </c>
      <c r="H1069" s="136" t="s">
        <v>4724</v>
      </c>
      <c r="I1069" s="148">
        <v>3.9583333333333331E-2</v>
      </c>
      <c r="J1069" s="174">
        <v>6.5972222222222213E-4</v>
      </c>
      <c r="K1069" s="139">
        <v>57</v>
      </c>
      <c r="L1069" s="133" t="s">
        <v>2029</v>
      </c>
      <c r="M1069" s="133" t="s">
        <v>255</v>
      </c>
      <c r="N1069" s="133" t="s">
        <v>111</v>
      </c>
      <c r="O1069" s="133" t="s">
        <v>23</v>
      </c>
      <c r="P1069" s="133">
        <v>0</v>
      </c>
      <c r="Q1069" s="133"/>
      <c r="R1069" s="133">
        <v>1</v>
      </c>
      <c r="S1069" s="133" t="s">
        <v>176</v>
      </c>
      <c r="T1069" s="133" t="s">
        <v>176</v>
      </c>
      <c r="U1069" s="133" t="s">
        <v>24</v>
      </c>
      <c r="V1069" s="133" t="s">
        <v>2103</v>
      </c>
      <c r="W1069" s="140" t="s">
        <v>23</v>
      </c>
      <c r="X1069" s="140" t="s">
        <v>4004</v>
      </c>
      <c r="Y1069" s="140" t="s">
        <v>4005</v>
      </c>
      <c r="Z1069" s="133"/>
      <c r="AA1069" s="133"/>
      <c r="AB1069" s="133" t="s">
        <v>24</v>
      </c>
      <c r="AC1069" s="134">
        <v>63.73171</v>
      </c>
      <c r="AD1069" s="134">
        <v>148.90315000000001</v>
      </c>
      <c r="AE1069" s="133"/>
      <c r="AF1069" s="133"/>
      <c r="AG1069" s="133"/>
      <c r="AH1069" s="139">
        <v>0</v>
      </c>
      <c r="AI1069" s="139">
        <v>0</v>
      </c>
      <c r="AJ1069" s="139">
        <v>0</v>
      </c>
      <c r="AK1069" s="139">
        <v>0</v>
      </c>
      <c r="AL1069" s="139">
        <v>0</v>
      </c>
      <c r="AM1069" s="139">
        <v>0</v>
      </c>
      <c r="AN1069" s="133">
        <f t="shared" si="17"/>
        <v>0</v>
      </c>
      <c r="AO1069" s="133"/>
      <c r="AP1069" s="133" t="s">
        <v>5047</v>
      </c>
      <c r="AQ1069" s="133"/>
      <c r="AR1069" s="133"/>
      <c r="AS1069" s="133"/>
      <c r="AT1069" s="133"/>
      <c r="AU1069" s="133"/>
      <c r="AV1069" s="133"/>
    </row>
    <row r="1070" spans="1:48" s="133" customFormat="1" x14ac:dyDescent="0.2">
      <c r="A1070" s="135" t="s">
        <v>2010</v>
      </c>
      <c r="B1070" s="135" t="s">
        <v>2011</v>
      </c>
      <c r="C1070" s="135">
        <v>10</v>
      </c>
      <c r="D1070" s="135">
        <v>1</v>
      </c>
      <c r="E1070" s="135" t="s">
        <v>272</v>
      </c>
      <c r="F1070" s="136">
        <v>43404</v>
      </c>
      <c r="G1070" s="136" t="s">
        <v>4033</v>
      </c>
      <c r="H1070" s="136" t="s">
        <v>4724</v>
      </c>
      <c r="I1070" s="172">
        <v>1.1111111111111112E-2</v>
      </c>
      <c r="J1070" s="175">
        <v>1.8518518518518518E-4</v>
      </c>
      <c r="K1070" s="143">
        <v>16</v>
      </c>
      <c r="L1070" s="135" t="s">
        <v>2029</v>
      </c>
      <c r="M1070" s="135" t="s">
        <v>255</v>
      </c>
      <c r="N1070" s="135" t="s">
        <v>102</v>
      </c>
      <c r="O1070" s="135" t="s">
        <v>115</v>
      </c>
      <c r="P1070" s="135">
        <v>1</v>
      </c>
      <c r="Q1070" s="135"/>
      <c r="R1070" s="135">
        <v>0</v>
      </c>
      <c r="S1070" s="133" t="s">
        <v>176</v>
      </c>
      <c r="T1070" s="135" t="s">
        <v>176</v>
      </c>
      <c r="U1070" s="135" t="s">
        <v>122</v>
      </c>
      <c r="V1070" s="135" t="s">
        <v>115</v>
      </c>
      <c r="W1070" s="135" t="s">
        <v>115</v>
      </c>
      <c r="X1070" s="135" t="s">
        <v>115</v>
      </c>
      <c r="Y1070" s="135" t="s">
        <v>115</v>
      </c>
      <c r="AB1070" s="135" t="s">
        <v>115</v>
      </c>
      <c r="AC1070" s="137" t="s">
        <v>115</v>
      </c>
      <c r="AD1070" s="137"/>
      <c r="AH1070" s="143">
        <v>0</v>
      </c>
      <c r="AI1070" s="143">
        <v>0</v>
      </c>
      <c r="AJ1070" s="143">
        <v>0</v>
      </c>
      <c r="AK1070" s="143">
        <v>0</v>
      </c>
      <c r="AL1070" s="143">
        <v>7</v>
      </c>
      <c r="AM1070" s="143">
        <v>0</v>
      </c>
      <c r="AN1070" s="135">
        <f t="shared" ref="AN1070:AN1133" si="18">SUM(AJ1070:AM1070)</f>
        <v>7</v>
      </c>
      <c r="AO1070" s="135"/>
      <c r="AP1070" s="135"/>
      <c r="AQ1070" s="135"/>
      <c r="AR1070" s="135"/>
    </row>
    <row r="1071" spans="1:48" s="133" customFormat="1" x14ac:dyDescent="0.2">
      <c r="A1071" s="133" t="s">
        <v>2014</v>
      </c>
      <c r="B1071" s="133" t="s">
        <v>2015</v>
      </c>
      <c r="C1071" s="133">
        <v>12</v>
      </c>
      <c r="D1071" s="133">
        <v>1</v>
      </c>
      <c r="E1071" s="133" t="s">
        <v>272</v>
      </c>
      <c r="F1071" s="138">
        <v>43404</v>
      </c>
      <c r="G1071" s="136" t="s">
        <v>4033</v>
      </c>
      <c r="H1071" s="136" t="s">
        <v>4724</v>
      </c>
      <c r="I1071" s="148">
        <v>1.3888888888888888E-2</v>
      </c>
      <c r="J1071" s="174">
        <v>2.3148148148148146E-4</v>
      </c>
      <c r="K1071" s="139">
        <v>20</v>
      </c>
      <c r="L1071" s="133" t="s">
        <v>2029</v>
      </c>
      <c r="M1071" s="133" t="s">
        <v>255</v>
      </c>
      <c r="N1071" s="133" t="s">
        <v>107</v>
      </c>
      <c r="O1071" s="133" t="s">
        <v>23</v>
      </c>
      <c r="P1071" s="133">
        <v>1</v>
      </c>
      <c r="R1071" s="133">
        <v>0</v>
      </c>
      <c r="S1071" s="133" t="s">
        <v>176</v>
      </c>
      <c r="T1071" s="133" t="s">
        <v>176</v>
      </c>
      <c r="U1071" s="133" t="s">
        <v>24</v>
      </c>
      <c r="V1071" s="133" t="s">
        <v>115</v>
      </c>
      <c r="W1071" s="135" t="s">
        <v>115</v>
      </c>
      <c r="X1071" s="135" t="s">
        <v>115</v>
      </c>
      <c r="Y1071" s="135" t="s">
        <v>115</v>
      </c>
      <c r="Z1071" s="135"/>
      <c r="AA1071" s="135"/>
      <c r="AB1071" s="133" t="s">
        <v>115</v>
      </c>
      <c r="AC1071" s="134" t="s">
        <v>115</v>
      </c>
      <c r="AD1071" s="134"/>
      <c r="AE1071" s="135"/>
      <c r="AF1071" s="135"/>
      <c r="AG1071" s="135"/>
      <c r="AH1071" s="139">
        <v>0</v>
      </c>
      <c r="AI1071" s="139">
        <v>0</v>
      </c>
      <c r="AJ1071" s="139">
        <v>0</v>
      </c>
      <c r="AK1071" s="139">
        <v>0</v>
      </c>
      <c r="AL1071" s="139">
        <v>0</v>
      </c>
      <c r="AM1071" s="139">
        <v>0</v>
      </c>
      <c r="AN1071" s="133">
        <f t="shared" si="18"/>
        <v>0</v>
      </c>
      <c r="AS1071" s="135"/>
      <c r="AT1071" s="135"/>
      <c r="AU1071" s="135"/>
      <c r="AV1071" s="135"/>
    </row>
    <row r="1072" spans="1:48" s="133" customFormat="1" x14ac:dyDescent="0.2">
      <c r="A1072" s="133" t="s">
        <v>2016</v>
      </c>
      <c r="B1072" s="133" t="s">
        <v>2017</v>
      </c>
      <c r="C1072" s="133">
        <v>13</v>
      </c>
      <c r="D1072" s="133">
        <v>1</v>
      </c>
      <c r="E1072" s="133" t="s">
        <v>272</v>
      </c>
      <c r="F1072" s="138">
        <v>43404</v>
      </c>
      <c r="G1072" s="136" t="s">
        <v>4033</v>
      </c>
      <c r="H1072" s="136" t="s">
        <v>4724</v>
      </c>
      <c r="I1072" s="148">
        <v>1.1111111111111112E-2</v>
      </c>
      <c r="J1072" s="174">
        <v>1.8518518518518518E-4</v>
      </c>
      <c r="K1072" s="139">
        <v>16</v>
      </c>
      <c r="L1072" s="133" t="s">
        <v>2029</v>
      </c>
      <c r="M1072" s="133" t="s">
        <v>255</v>
      </c>
      <c r="N1072" s="133" t="s">
        <v>102</v>
      </c>
      <c r="O1072" s="133" t="s">
        <v>23</v>
      </c>
      <c r="P1072" s="133">
        <v>0</v>
      </c>
      <c r="R1072" s="133">
        <v>0</v>
      </c>
      <c r="T1072" s="133" t="s">
        <v>115</v>
      </c>
      <c r="U1072" s="133" t="s">
        <v>115</v>
      </c>
      <c r="V1072" s="133" t="s">
        <v>115</v>
      </c>
      <c r="W1072" s="135" t="s">
        <v>115</v>
      </c>
      <c r="X1072" s="135" t="s">
        <v>115</v>
      </c>
      <c r="Y1072" s="135" t="s">
        <v>115</v>
      </c>
      <c r="AB1072" s="133" t="s">
        <v>115</v>
      </c>
      <c r="AC1072" s="134" t="s">
        <v>115</v>
      </c>
      <c r="AD1072" s="134"/>
      <c r="AH1072" s="139">
        <v>11</v>
      </c>
      <c r="AI1072" s="139">
        <v>0</v>
      </c>
      <c r="AJ1072" s="139">
        <v>11</v>
      </c>
      <c r="AK1072" s="139">
        <v>0</v>
      </c>
      <c r="AL1072" s="139">
        <v>0</v>
      </c>
      <c r="AM1072" s="139">
        <v>0</v>
      </c>
      <c r="AN1072" s="133">
        <f t="shared" si="18"/>
        <v>11</v>
      </c>
    </row>
    <row r="1073" spans="1:48" s="135" customFormat="1" x14ac:dyDescent="0.2">
      <c r="A1073" s="133" t="s">
        <v>1697</v>
      </c>
      <c r="B1073" s="133" t="s">
        <v>1703</v>
      </c>
      <c r="C1073" s="133">
        <v>1</v>
      </c>
      <c r="D1073" s="133">
        <v>1</v>
      </c>
      <c r="E1073" s="133" t="s">
        <v>213</v>
      </c>
      <c r="F1073" s="138">
        <v>43396</v>
      </c>
      <c r="G1073" s="136" t="s">
        <v>4033</v>
      </c>
      <c r="H1073" s="136" t="s">
        <v>4724</v>
      </c>
      <c r="I1073" s="148">
        <v>1.9444444444444445E-2</v>
      </c>
      <c r="J1073" s="174">
        <v>3.2407407407407406E-4</v>
      </c>
      <c r="K1073" s="139">
        <v>28</v>
      </c>
      <c r="L1073" s="133"/>
      <c r="M1073" s="133" t="s">
        <v>1699</v>
      </c>
      <c r="N1073" s="133" t="s">
        <v>102</v>
      </c>
      <c r="O1073" s="133" t="s">
        <v>23</v>
      </c>
      <c r="P1073" s="133" t="s">
        <v>24</v>
      </c>
      <c r="Q1073" s="133"/>
      <c r="R1073" s="133">
        <v>0</v>
      </c>
      <c r="S1073" s="133" t="s">
        <v>176</v>
      </c>
      <c r="T1073" s="133" t="s">
        <v>176</v>
      </c>
      <c r="U1073" s="133" t="s">
        <v>115</v>
      </c>
      <c r="V1073" s="133" t="s">
        <v>115</v>
      </c>
      <c r="W1073" s="135" t="s">
        <v>115</v>
      </c>
      <c r="X1073" s="135" t="s">
        <v>115</v>
      </c>
      <c r="Y1073" s="135" t="s">
        <v>115</v>
      </c>
      <c r="Z1073" s="133"/>
      <c r="AA1073" s="133"/>
      <c r="AB1073" s="133" t="s">
        <v>115</v>
      </c>
      <c r="AC1073" s="134" t="s">
        <v>115</v>
      </c>
      <c r="AD1073" s="134"/>
      <c r="AE1073" s="133"/>
      <c r="AF1073" s="133"/>
      <c r="AG1073" s="133"/>
      <c r="AH1073" s="139">
        <v>0</v>
      </c>
      <c r="AI1073" s="139">
        <v>16</v>
      </c>
      <c r="AJ1073" s="139">
        <v>0</v>
      </c>
      <c r="AK1073" s="139">
        <v>16</v>
      </c>
      <c r="AL1073" s="139">
        <v>0</v>
      </c>
      <c r="AM1073" s="139">
        <v>0</v>
      </c>
      <c r="AN1073" s="133">
        <f t="shared" si="18"/>
        <v>16</v>
      </c>
      <c r="AO1073" s="133" t="s">
        <v>188</v>
      </c>
      <c r="AP1073" s="133" t="s">
        <v>5018</v>
      </c>
      <c r="AQ1073" s="133"/>
      <c r="AR1073" s="133"/>
      <c r="AS1073" s="133"/>
      <c r="AT1073" s="133"/>
      <c r="AU1073" s="133"/>
      <c r="AV1073" s="133"/>
    </row>
    <row r="1074" spans="1:48" s="135" customFormat="1" x14ac:dyDescent="0.2">
      <c r="A1074" s="133" t="s">
        <v>1308</v>
      </c>
      <c r="B1074" s="133" t="s">
        <v>1309</v>
      </c>
      <c r="C1074" s="133">
        <v>5</v>
      </c>
      <c r="D1074" s="133">
        <v>1</v>
      </c>
      <c r="E1074" s="133" t="s">
        <v>2462</v>
      </c>
      <c r="F1074" s="138">
        <v>43385</v>
      </c>
      <c r="G1074" s="136" t="s">
        <v>4033</v>
      </c>
      <c r="H1074" s="136" t="s">
        <v>4724</v>
      </c>
      <c r="I1074" s="148">
        <v>6.5972222222222224E-2</v>
      </c>
      <c r="J1074" s="174">
        <v>1.0995370370370371E-3</v>
      </c>
      <c r="K1074" s="139">
        <v>95</v>
      </c>
      <c r="L1074" s="133" t="s">
        <v>398</v>
      </c>
      <c r="M1074" s="133" t="s">
        <v>64</v>
      </c>
      <c r="N1074" s="133" t="s">
        <v>1310</v>
      </c>
      <c r="O1074" s="133" t="s">
        <v>23</v>
      </c>
      <c r="P1074" s="133">
        <v>1</v>
      </c>
      <c r="Q1074" s="133"/>
      <c r="R1074" s="133">
        <v>0</v>
      </c>
      <c r="S1074" s="133" t="s">
        <v>176</v>
      </c>
      <c r="T1074" s="133" t="s">
        <v>176</v>
      </c>
      <c r="U1074" s="133" t="s">
        <v>604</v>
      </c>
      <c r="V1074" s="133" t="s">
        <v>115</v>
      </c>
      <c r="W1074" s="135" t="s">
        <v>115</v>
      </c>
      <c r="X1074" s="135" t="s">
        <v>115</v>
      </c>
      <c r="Y1074" s="135" t="s">
        <v>115</v>
      </c>
      <c r="Z1074" s="133"/>
      <c r="AA1074" s="133"/>
      <c r="AB1074" s="133" t="s">
        <v>115</v>
      </c>
      <c r="AC1074" s="134" t="s">
        <v>115</v>
      </c>
      <c r="AD1074" s="134"/>
      <c r="AE1074" s="133"/>
      <c r="AF1074" s="133"/>
      <c r="AG1074" s="133"/>
      <c r="AH1074" s="139">
        <v>45</v>
      </c>
      <c r="AI1074" s="139">
        <v>0</v>
      </c>
      <c r="AJ1074" s="139">
        <v>45</v>
      </c>
      <c r="AK1074" s="139">
        <v>0</v>
      </c>
      <c r="AL1074" s="139">
        <v>0</v>
      </c>
      <c r="AM1074" s="133">
        <v>0</v>
      </c>
      <c r="AN1074" s="133">
        <f t="shared" si="18"/>
        <v>45</v>
      </c>
      <c r="AO1074" s="133" t="s">
        <v>375</v>
      </c>
      <c r="AP1074" s="139"/>
      <c r="AQ1074" s="133">
        <v>3</v>
      </c>
      <c r="AR1074" s="133">
        <v>0</v>
      </c>
      <c r="AS1074" s="133"/>
      <c r="AT1074" s="133"/>
      <c r="AU1074" s="133"/>
      <c r="AV1074" s="133"/>
    </row>
    <row r="1075" spans="1:48" s="133" customFormat="1" x14ac:dyDescent="0.2">
      <c r="A1075" s="135" t="s">
        <v>1313</v>
      </c>
      <c r="B1075" s="135" t="s">
        <v>1314</v>
      </c>
      <c r="C1075" s="135">
        <v>7</v>
      </c>
      <c r="D1075" s="135">
        <v>1</v>
      </c>
      <c r="E1075" s="135" t="s">
        <v>2462</v>
      </c>
      <c r="F1075" s="136">
        <v>43385</v>
      </c>
      <c r="G1075" s="136" t="s">
        <v>4033</v>
      </c>
      <c r="H1075" s="136" t="s">
        <v>4724</v>
      </c>
      <c r="I1075" s="172">
        <v>2.8472222222222222E-2</v>
      </c>
      <c r="J1075" s="175">
        <v>4.7453703703703704E-4</v>
      </c>
      <c r="K1075" s="143">
        <v>41</v>
      </c>
      <c r="L1075" s="135" t="s">
        <v>398</v>
      </c>
      <c r="M1075" s="135" t="s">
        <v>64</v>
      </c>
      <c r="N1075" s="135" t="s">
        <v>187</v>
      </c>
      <c r="O1075" s="135" t="s">
        <v>23</v>
      </c>
      <c r="P1075" s="135">
        <v>1</v>
      </c>
      <c r="Q1075" s="135"/>
      <c r="R1075" s="135">
        <v>1</v>
      </c>
      <c r="S1075" s="133" t="s">
        <v>176</v>
      </c>
      <c r="T1075" s="135" t="s">
        <v>176</v>
      </c>
      <c r="U1075" s="135" t="s">
        <v>122</v>
      </c>
      <c r="V1075" s="135" t="s">
        <v>3963</v>
      </c>
      <c r="W1075" s="135" t="s">
        <v>23</v>
      </c>
      <c r="X1075" s="135" t="s">
        <v>3997</v>
      </c>
      <c r="Y1075" s="135" t="s">
        <v>4007</v>
      </c>
      <c r="AB1075" s="135">
        <v>3</v>
      </c>
      <c r="AC1075" s="137">
        <v>63.731409999999997</v>
      </c>
      <c r="AD1075" s="137">
        <v>148.89959999999999</v>
      </c>
      <c r="AH1075" s="143">
        <v>0</v>
      </c>
      <c r="AI1075" s="143">
        <v>0</v>
      </c>
      <c r="AJ1075" s="143">
        <v>0</v>
      </c>
      <c r="AK1075" s="143">
        <v>0</v>
      </c>
      <c r="AL1075" s="143">
        <v>7</v>
      </c>
      <c r="AM1075" s="135">
        <v>0</v>
      </c>
      <c r="AN1075" s="135">
        <f t="shared" si="18"/>
        <v>7</v>
      </c>
      <c r="AO1075" s="135"/>
      <c r="AP1075" s="135"/>
      <c r="AQ1075" s="135"/>
      <c r="AR1075" s="135"/>
    </row>
    <row r="1076" spans="1:48" s="133" customFormat="1" x14ac:dyDescent="0.2">
      <c r="A1076" s="133" t="s">
        <v>1315</v>
      </c>
      <c r="B1076" s="133" t="s">
        <v>1316</v>
      </c>
      <c r="C1076" s="133">
        <v>8</v>
      </c>
      <c r="D1076" s="133">
        <v>1</v>
      </c>
      <c r="E1076" s="133" t="s">
        <v>2462</v>
      </c>
      <c r="F1076" s="138">
        <v>43385</v>
      </c>
      <c r="G1076" s="136" t="s">
        <v>4033</v>
      </c>
      <c r="H1076" s="136" t="s">
        <v>4724</v>
      </c>
      <c r="I1076" s="148">
        <v>2.5694444444444447E-2</v>
      </c>
      <c r="J1076" s="174">
        <v>4.2824074074074075E-4</v>
      </c>
      <c r="K1076" s="139">
        <v>37</v>
      </c>
      <c r="L1076" s="133" t="s">
        <v>398</v>
      </c>
      <c r="M1076" s="133" t="s">
        <v>64</v>
      </c>
      <c r="N1076" s="133" t="s">
        <v>187</v>
      </c>
      <c r="O1076" s="133" t="s">
        <v>12</v>
      </c>
      <c r="P1076" s="133">
        <v>1</v>
      </c>
      <c r="R1076" s="133">
        <v>1</v>
      </c>
      <c r="S1076" s="133" t="s">
        <v>176</v>
      </c>
      <c r="T1076" s="133" t="s">
        <v>176</v>
      </c>
      <c r="U1076" s="133" t="s">
        <v>1317</v>
      </c>
      <c r="V1076" s="133" t="s">
        <v>1318</v>
      </c>
      <c r="W1076" s="135" t="s">
        <v>12</v>
      </c>
      <c r="X1076" s="135" t="s">
        <v>3997</v>
      </c>
      <c r="Y1076" s="135" t="s">
        <v>4008</v>
      </c>
      <c r="AB1076" s="133">
        <v>0</v>
      </c>
      <c r="AC1076" s="134">
        <v>63.731270000000002</v>
      </c>
      <c r="AD1076" s="134">
        <v>148.90007</v>
      </c>
      <c r="AH1076" s="139">
        <v>12</v>
      </c>
      <c r="AI1076" s="139">
        <v>0</v>
      </c>
      <c r="AJ1076" s="139">
        <v>0</v>
      </c>
      <c r="AK1076" s="139">
        <v>12</v>
      </c>
      <c r="AL1076" s="139">
        <v>0</v>
      </c>
      <c r="AM1076" s="133">
        <v>0</v>
      </c>
      <c r="AN1076" s="133">
        <f t="shared" si="18"/>
        <v>12</v>
      </c>
      <c r="AO1076" s="133" t="s">
        <v>1319</v>
      </c>
      <c r="AP1076" s="133" t="s">
        <v>1321</v>
      </c>
      <c r="AQ1076" s="133">
        <v>5</v>
      </c>
      <c r="AR1076" s="133">
        <v>0</v>
      </c>
    </row>
    <row r="1077" spans="1:48" s="133" customFormat="1" x14ac:dyDescent="0.2">
      <c r="A1077" s="133" t="s">
        <v>1601</v>
      </c>
      <c r="B1077" s="133" t="s">
        <v>1602</v>
      </c>
      <c r="C1077" s="133">
        <v>1</v>
      </c>
      <c r="D1077" s="133">
        <v>1</v>
      </c>
      <c r="E1077" s="133" t="s">
        <v>2462</v>
      </c>
      <c r="F1077" s="138">
        <v>43392</v>
      </c>
      <c r="G1077" s="136" t="s">
        <v>4033</v>
      </c>
      <c r="H1077" s="136" t="s">
        <v>4724</v>
      </c>
      <c r="I1077" s="148">
        <v>1.2499999999999999E-2</v>
      </c>
      <c r="J1077" s="174">
        <v>2.0833333333333335E-4</v>
      </c>
      <c r="K1077" s="139">
        <v>18</v>
      </c>
      <c r="L1077" s="133" t="s">
        <v>398</v>
      </c>
      <c r="M1077" s="133" t="s">
        <v>64</v>
      </c>
      <c r="N1077" s="133" t="s">
        <v>102</v>
      </c>
      <c r="O1077" s="133" t="s">
        <v>23</v>
      </c>
      <c r="P1077" s="133">
        <v>1</v>
      </c>
      <c r="R1077" s="133">
        <v>0</v>
      </c>
      <c r="S1077" s="133" t="s">
        <v>176</v>
      </c>
      <c r="T1077" s="133" t="s">
        <v>176</v>
      </c>
      <c r="U1077" s="133" t="s">
        <v>1603</v>
      </c>
      <c r="V1077" s="133" t="s">
        <v>115</v>
      </c>
      <c r="W1077" s="135" t="s">
        <v>115</v>
      </c>
      <c r="X1077" s="135" t="s">
        <v>115</v>
      </c>
      <c r="Y1077" s="135" t="s">
        <v>115</v>
      </c>
      <c r="AB1077" s="133" t="s">
        <v>115</v>
      </c>
      <c r="AC1077" s="134" t="s">
        <v>115</v>
      </c>
      <c r="AD1077" s="134"/>
      <c r="AH1077" s="139">
        <v>0</v>
      </c>
      <c r="AI1077" s="139">
        <v>10</v>
      </c>
      <c r="AJ1077" s="139">
        <v>0</v>
      </c>
      <c r="AK1077" s="139">
        <v>10</v>
      </c>
      <c r="AL1077" s="139">
        <v>0</v>
      </c>
      <c r="AM1077" s="133">
        <v>0</v>
      </c>
      <c r="AN1077" s="133">
        <f t="shared" si="18"/>
        <v>10</v>
      </c>
      <c r="AO1077" s="133" t="s">
        <v>188</v>
      </c>
      <c r="AP1077" s="133" t="s">
        <v>1604</v>
      </c>
    </row>
    <row r="1078" spans="1:48" s="135" customFormat="1" x14ac:dyDescent="0.2">
      <c r="A1078" s="133" t="s">
        <v>1605</v>
      </c>
      <c r="B1078" s="133" t="s">
        <v>1606</v>
      </c>
      <c r="C1078" s="133">
        <v>2</v>
      </c>
      <c r="D1078" s="133">
        <v>1</v>
      </c>
      <c r="E1078" s="133" t="s">
        <v>2462</v>
      </c>
      <c r="F1078" s="138">
        <v>43392</v>
      </c>
      <c r="G1078" s="136" t="s">
        <v>4033</v>
      </c>
      <c r="H1078" s="136" t="s">
        <v>4724</v>
      </c>
      <c r="I1078" s="148">
        <v>1.1805555555555555E-2</v>
      </c>
      <c r="J1078" s="174">
        <v>1.9675925925925926E-4</v>
      </c>
      <c r="K1078" s="139">
        <v>17</v>
      </c>
      <c r="L1078" s="133" t="s">
        <v>398</v>
      </c>
      <c r="M1078" s="133" t="s">
        <v>64</v>
      </c>
      <c r="N1078" s="133" t="s">
        <v>111</v>
      </c>
      <c r="O1078" s="133" t="s">
        <v>12</v>
      </c>
      <c r="P1078" s="133">
        <v>0</v>
      </c>
      <c r="Q1078" s="133"/>
      <c r="R1078" s="133">
        <v>1</v>
      </c>
      <c r="S1078" s="133" t="s">
        <v>176</v>
      </c>
      <c r="T1078" s="133" t="s">
        <v>176</v>
      </c>
      <c r="U1078" s="133" t="s">
        <v>1603</v>
      </c>
      <c r="V1078" s="133" t="s">
        <v>1318</v>
      </c>
      <c r="W1078" s="135" t="s">
        <v>12</v>
      </c>
      <c r="X1078" s="135" t="s">
        <v>3997</v>
      </c>
      <c r="Y1078" s="135" t="s">
        <v>4008</v>
      </c>
      <c r="Z1078" s="133"/>
      <c r="AA1078" s="133"/>
      <c r="AB1078" s="133" t="s">
        <v>24</v>
      </c>
      <c r="AC1078" s="134" t="s">
        <v>246</v>
      </c>
      <c r="AD1078" s="134"/>
      <c r="AE1078" s="133"/>
      <c r="AF1078" s="133"/>
      <c r="AG1078" s="133"/>
      <c r="AH1078" s="139">
        <v>0</v>
      </c>
      <c r="AI1078" s="139">
        <v>0</v>
      </c>
      <c r="AJ1078" s="139">
        <v>0</v>
      </c>
      <c r="AK1078" s="139">
        <v>0</v>
      </c>
      <c r="AL1078" s="139">
        <v>0</v>
      </c>
      <c r="AM1078" s="133">
        <v>0</v>
      </c>
      <c r="AN1078" s="133">
        <f t="shared" si="18"/>
        <v>0</v>
      </c>
      <c r="AO1078" s="133"/>
      <c r="AP1078" s="133"/>
      <c r="AQ1078" s="133"/>
      <c r="AR1078" s="133"/>
      <c r="AS1078" s="133"/>
      <c r="AT1078" s="133"/>
      <c r="AU1078" s="133"/>
      <c r="AV1078" s="133"/>
    </row>
    <row r="1079" spans="1:48" s="133" customFormat="1" x14ac:dyDescent="0.2">
      <c r="A1079" s="133" t="s">
        <v>1609</v>
      </c>
      <c r="B1079" s="133" t="s">
        <v>1610</v>
      </c>
      <c r="C1079" s="133">
        <v>4</v>
      </c>
      <c r="D1079" s="133">
        <v>1</v>
      </c>
      <c r="E1079" s="133" t="s">
        <v>2462</v>
      </c>
      <c r="F1079" s="138">
        <v>43392</v>
      </c>
      <c r="G1079" s="136" t="s">
        <v>4033</v>
      </c>
      <c r="H1079" s="136" t="s">
        <v>4724</v>
      </c>
      <c r="I1079" s="148">
        <v>2.0833333333333332E-2</v>
      </c>
      <c r="J1079" s="174">
        <v>3.4722222222222224E-4</v>
      </c>
      <c r="K1079" s="139">
        <v>30</v>
      </c>
      <c r="M1079" s="133" t="s">
        <v>64</v>
      </c>
      <c r="N1079" s="133" t="s">
        <v>102</v>
      </c>
      <c r="O1079" s="133" t="s">
        <v>23</v>
      </c>
      <c r="P1079" s="133" t="s">
        <v>24</v>
      </c>
      <c r="R1079" s="133">
        <v>0</v>
      </c>
      <c r="S1079" s="133" t="s">
        <v>176</v>
      </c>
      <c r="T1079" s="133" t="s">
        <v>176</v>
      </c>
      <c r="U1079" s="133" t="s">
        <v>115</v>
      </c>
      <c r="V1079" s="133" t="s">
        <v>115</v>
      </c>
      <c r="W1079" s="135" t="s">
        <v>115</v>
      </c>
      <c r="X1079" s="135" t="s">
        <v>115</v>
      </c>
      <c r="Y1079" s="135" t="s">
        <v>115</v>
      </c>
      <c r="AB1079" s="133" t="s">
        <v>115</v>
      </c>
      <c r="AC1079" s="134" t="s">
        <v>115</v>
      </c>
      <c r="AD1079" s="134"/>
      <c r="AH1079" s="139">
        <v>0</v>
      </c>
      <c r="AI1079" s="139">
        <v>29</v>
      </c>
      <c r="AJ1079" s="139">
        <v>0</v>
      </c>
      <c r="AK1079" s="139">
        <v>29</v>
      </c>
      <c r="AL1079" s="139">
        <v>0</v>
      </c>
      <c r="AM1079" s="133">
        <v>0</v>
      </c>
      <c r="AN1079" s="133">
        <f t="shared" si="18"/>
        <v>29</v>
      </c>
      <c r="AO1079" s="133" t="s">
        <v>188</v>
      </c>
    </row>
    <row r="1080" spans="1:48" s="133" customFormat="1" x14ac:dyDescent="0.2">
      <c r="A1080" s="133" t="s">
        <v>1611</v>
      </c>
      <c r="B1080" s="133" t="s">
        <v>1612</v>
      </c>
      <c r="C1080" s="133">
        <v>5</v>
      </c>
      <c r="D1080" s="133">
        <v>1</v>
      </c>
      <c r="E1080" s="133" t="s">
        <v>2462</v>
      </c>
      <c r="F1080" s="138">
        <v>43392</v>
      </c>
      <c r="G1080" s="136" t="s">
        <v>4033</v>
      </c>
      <c r="H1080" s="136" t="s">
        <v>4724</v>
      </c>
      <c r="I1080" s="148">
        <v>9.0277777777777787E-3</v>
      </c>
      <c r="J1080" s="174">
        <v>1.5046296296296297E-4</v>
      </c>
      <c r="K1080" s="139">
        <v>13</v>
      </c>
      <c r="M1080" s="133" t="s">
        <v>64</v>
      </c>
      <c r="N1080" s="133" t="s">
        <v>102</v>
      </c>
      <c r="O1080" s="133" t="s">
        <v>12</v>
      </c>
      <c r="P1080" s="133">
        <v>0</v>
      </c>
      <c r="R1080" s="133">
        <v>0</v>
      </c>
      <c r="T1080" s="133" t="s">
        <v>115</v>
      </c>
      <c r="U1080" s="133" t="s">
        <v>115</v>
      </c>
      <c r="V1080" s="133" t="s">
        <v>115</v>
      </c>
      <c r="W1080" s="135" t="s">
        <v>115</v>
      </c>
      <c r="X1080" s="135" t="s">
        <v>115</v>
      </c>
      <c r="Y1080" s="135" t="s">
        <v>115</v>
      </c>
      <c r="AB1080" s="133" t="s">
        <v>115</v>
      </c>
      <c r="AC1080" s="134" t="s">
        <v>115</v>
      </c>
      <c r="AD1080" s="134"/>
      <c r="AH1080" s="139">
        <v>13</v>
      </c>
      <c r="AI1080" s="139">
        <v>0</v>
      </c>
      <c r="AJ1080" s="139">
        <v>0</v>
      </c>
      <c r="AK1080" s="139">
        <v>13</v>
      </c>
      <c r="AL1080" s="139">
        <v>0</v>
      </c>
      <c r="AM1080" s="133">
        <v>0</v>
      </c>
      <c r="AN1080" s="133">
        <f t="shared" si="18"/>
        <v>13</v>
      </c>
      <c r="AS1080" s="135"/>
      <c r="AT1080" s="135"/>
      <c r="AU1080" s="135"/>
      <c r="AV1080" s="135"/>
    </row>
    <row r="1081" spans="1:48" s="133" customFormat="1" x14ac:dyDescent="0.2">
      <c r="A1081" s="133" t="s">
        <v>1613</v>
      </c>
      <c r="B1081" s="133" t="s">
        <v>1614</v>
      </c>
      <c r="C1081" s="133">
        <v>6</v>
      </c>
      <c r="D1081" s="133">
        <v>1</v>
      </c>
      <c r="E1081" s="133" t="s">
        <v>2462</v>
      </c>
      <c r="F1081" s="138">
        <v>43392</v>
      </c>
      <c r="G1081" s="136" t="s">
        <v>4033</v>
      </c>
      <c r="H1081" s="136" t="s">
        <v>4724</v>
      </c>
      <c r="I1081" s="148">
        <v>6.2499999999999995E-3</v>
      </c>
      <c r="J1081" s="174">
        <v>1.0416666666666667E-4</v>
      </c>
      <c r="K1081" s="139">
        <v>9</v>
      </c>
      <c r="M1081" s="133" t="s">
        <v>64</v>
      </c>
      <c r="N1081" s="133" t="s">
        <v>102</v>
      </c>
      <c r="O1081" s="133" t="s">
        <v>115</v>
      </c>
      <c r="P1081" s="133">
        <v>0</v>
      </c>
      <c r="R1081" s="133">
        <v>0</v>
      </c>
      <c r="T1081" s="133" t="s">
        <v>115</v>
      </c>
      <c r="U1081" s="133" t="s">
        <v>115</v>
      </c>
      <c r="V1081" s="133" t="s">
        <v>115</v>
      </c>
      <c r="W1081" s="135" t="s">
        <v>115</v>
      </c>
      <c r="X1081" s="135" t="s">
        <v>115</v>
      </c>
      <c r="Y1081" s="135" t="s">
        <v>115</v>
      </c>
      <c r="AB1081" s="133" t="s">
        <v>115</v>
      </c>
      <c r="AC1081" s="134" t="s">
        <v>115</v>
      </c>
      <c r="AD1081" s="134"/>
      <c r="AH1081" s="139">
        <v>0</v>
      </c>
      <c r="AI1081" s="139">
        <v>0</v>
      </c>
      <c r="AJ1081" s="139">
        <v>0</v>
      </c>
      <c r="AK1081" s="133">
        <v>0</v>
      </c>
      <c r="AL1081" s="139">
        <v>0</v>
      </c>
      <c r="AM1081" s="139">
        <v>9</v>
      </c>
      <c r="AN1081" s="133">
        <f t="shared" si="18"/>
        <v>9</v>
      </c>
      <c r="AP1081" s="133" t="s">
        <v>1615</v>
      </c>
    </row>
    <row r="1082" spans="1:48" s="133" customFormat="1" x14ac:dyDescent="0.2">
      <c r="A1082" s="133" t="s">
        <v>1632</v>
      </c>
      <c r="B1082" s="133" t="s">
        <v>1633</v>
      </c>
      <c r="C1082" s="133">
        <v>12</v>
      </c>
      <c r="D1082" s="133">
        <v>1</v>
      </c>
      <c r="E1082" s="133" t="s">
        <v>2462</v>
      </c>
      <c r="F1082" s="138">
        <v>43392</v>
      </c>
      <c r="G1082" s="136" t="s">
        <v>4033</v>
      </c>
      <c r="H1082" s="136" t="s">
        <v>4724</v>
      </c>
      <c r="I1082" s="148">
        <v>1.0416666666666666E-2</v>
      </c>
      <c r="J1082" s="174">
        <v>1.7361111111111112E-4</v>
      </c>
      <c r="K1082" s="139">
        <v>15</v>
      </c>
      <c r="M1082" s="133" t="s">
        <v>64</v>
      </c>
      <c r="N1082" s="133" t="s">
        <v>102</v>
      </c>
      <c r="O1082" s="133" t="s">
        <v>23</v>
      </c>
      <c r="P1082" s="133">
        <v>0</v>
      </c>
      <c r="R1082" s="133">
        <v>0</v>
      </c>
      <c r="T1082" s="133" t="s">
        <v>115</v>
      </c>
      <c r="U1082" s="133" t="s">
        <v>115</v>
      </c>
      <c r="V1082" s="133" t="s">
        <v>115</v>
      </c>
      <c r="W1082" s="135" t="s">
        <v>115</v>
      </c>
      <c r="X1082" s="135" t="s">
        <v>115</v>
      </c>
      <c r="Y1082" s="135" t="s">
        <v>115</v>
      </c>
      <c r="Z1082" s="135"/>
      <c r="AA1082" s="135"/>
      <c r="AB1082" s="133" t="s">
        <v>115</v>
      </c>
      <c r="AC1082" s="134" t="s">
        <v>115</v>
      </c>
      <c r="AD1082" s="134"/>
      <c r="AE1082" s="135"/>
      <c r="AF1082" s="135"/>
      <c r="AG1082" s="135"/>
      <c r="AH1082" s="139">
        <v>15</v>
      </c>
      <c r="AI1082" s="139">
        <v>0</v>
      </c>
      <c r="AJ1082" s="139">
        <v>0</v>
      </c>
      <c r="AK1082" s="139">
        <v>15</v>
      </c>
      <c r="AL1082" s="139">
        <v>0</v>
      </c>
      <c r="AM1082" s="133">
        <v>0</v>
      </c>
      <c r="AN1082" s="133">
        <f t="shared" si="18"/>
        <v>15</v>
      </c>
    </row>
    <row r="1083" spans="1:48" s="133" customFormat="1" x14ac:dyDescent="0.2">
      <c r="A1083" s="135" t="s">
        <v>1651</v>
      </c>
      <c r="B1083" s="135" t="s">
        <v>1652</v>
      </c>
      <c r="C1083" s="135">
        <v>20</v>
      </c>
      <c r="D1083" s="135">
        <v>1</v>
      </c>
      <c r="E1083" s="135" t="s">
        <v>2462</v>
      </c>
      <c r="F1083" s="136">
        <v>43392</v>
      </c>
      <c r="G1083" s="136" t="s">
        <v>4033</v>
      </c>
      <c r="H1083" s="136" t="s">
        <v>4724</v>
      </c>
      <c r="I1083" s="172">
        <v>4.027777777777778E-2</v>
      </c>
      <c r="J1083" s="175">
        <v>6.7129629629629625E-4</v>
      </c>
      <c r="K1083" s="143">
        <v>58</v>
      </c>
      <c r="L1083" s="135"/>
      <c r="M1083" s="135" t="s">
        <v>64</v>
      </c>
      <c r="N1083" s="135" t="s">
        <v>102</v>
      </c>
      <c r="O1083" s="135" t="s">
        <v>115</v>
      </c>
      <c r="P1083" s="135">
        <v>1</v>
      </c>
      <c r="Q1083" s="135"/>
      <c r="R1083" s="135">
        <v>0</v>
      </c>
      <c r="S1083" s="133" t="s">
        <v>598</v>
      </c>
      <c r="T1083" s="135" t="s">
        <v>598</v>
      </c>
      <c r="U1083" s="135" t="s">
        <v>122</v>
      </c>
      <c r="V1083" s="135" t="s">
        <v>115</v>
      </c>
      <c r="W1083" s="135" t="s">
        <v>115</v>
      </c>
      <c r="X1083" s="135" t="s">
        <v>115</v>
      </c>
      <c r="Y1083" s="135" t="s">
        <v>115</v>
      </c>
      <c r="AB1083" s="135" t="s">
        <v>115</v>
      </c>
      <c r="AC1083" s="137" t="s">
        <v>115</v>
      </c>
      <c r="AD1083" s="137"/>
      <c r="AH1083" s="143">
        <v>0</v>
      </c>
      <c r="AI1083" s="143">
        <v>0</v>
      </c>
      <c r="AJ1083" s="143">
        <v>0</v>
      </c>
      <c r="AK1083" s="143">
        <v>0</v>
      </c>
      <c r="AL1083" s="143">
        <v>15</v>
      </c>
      <c r="AM1083" s="135">
        <v>0</v>
      </c>
      <c r="AN1083" s="135">
        <f t="shared" si="18"/>
        <v>15</v>
      </c>
      <c r="AO1083" s="135"/>
      <c r="AP1083" s="135"/>
      <c r="AQ1083" s="135"/>
      <c r="AR1083" s="135"/>
    </row>
    <row r="1084" spans="1:48" s="133" customFormat="1" x14ac:dyDescent="0.2">
      <c r="A1084" s="133" t="s">
        <v>1655</v>
      </c>
      <c r="B1084" s="133" t="s">
        <v>1656</v>
      </c>
      <c r="C1084" s="133">
        <v>22</v>
      </c>
      <c r="D1084" s="133">
        <v>1</v>
      </c>
      <c r="E1084" s="133" t="s">
        <v>2462</v>
      </c>
      <c r="F1084" s="138">
        <v>43392</v>
      </c>
      <c r="G1084" s="136" t="s">
        <v>4033</v>
      </c>
      <c r="H1084" s="136" t="s">
        <v>4724</v>
      </c>
      <c r="I1084" s="148">
        <v>2.013888888888889E-2</v>
      </c>
      <c r="J1084" s="174">
        <v>3.3564814814814812E-4</v>
      </c>
      <c r="K1084" s="139">
        <v>29</v>
      </c>
      <c r="M1084" s="133" t="s">
        <v>64</v>
      </c>
      <c r="N1084" s="133" t="s">
        <v>111</v>
      </c>
      <c r="O1084" s="133" t="s">
        <v>12</v>
      </c>
      <c r="P1084" s="133">
        <v>0</v>
      </c>
      <c r="R1084" s="133">
        <v>1</v>
      </c>
      <c r="S1084" s="133" t="s">
        <v>176</v>
      </c>
      <c r="T1084" s="133" t="s">
        <v>176</v>
      </c>
      <c r="U1084" s="133" t="s">
        <v>122</v>
      </c>
      <c r="V1084" s="133" t="s">
        <v>3972</v>
      </c>
      <c r="W1084" s="135" t="s">
        <v>12</v>
      </c>
      <c r="X1084" s="135" t="s">
        <v>3997</v>
      </c>
      <c r="Y1084" s="135" t="s">
        <v>4005</v>
      </c>
      <c r="AB1084" s="133">
        <v>1</v>
      </c>
      <c r="AC1084" s="134">
        <v>63.736020000000003</v>
      </c>
      <c r="AD1084" s="134">
        <v>148.89214000000001</v>
      </c>
      <c r="AH1084" s="139">
        <v>0</v>
      </c>
      <c r="AI1084" s="139">
        <v>0</v>
      </c>
      <c r="AJ1084" s="139">
        <v>0</v>
      </c>
      <c r="AK1084" s="139">
        <v>0</v>
      </c>
      <c r="AL1084" s="139">
        <v>0</v>
      </c>
      <c r="AM1084" s="133">
        <v>0</v>
      </c>
      <c r="AN1084" s="133">
        <f t="shared" si="18"/>
        <v>0</v>
      </c>
    </row>
    <row r="1085" spans="1:48" s="135" customFormat="1" x14ac:dyDescent="0.2">
      <c r="A1085" s="133" t="s">
        <v>1659</v>
      </c>
      <c r="B1085" s="133" t="s">
        <v>1660</v>
      </c>
      <c r="C1085" s="133">
        <v>24</v>
      </c>
      <c r="D1085" s="133">
        <v>1</v>
      </c>
      <c r="E1085" s="133" t="s">
        <v>2462</v>
      </c>
      <c r="F1085" s="138">
        <v>43392</v>
      </c>
      <c r="G1085" s="136" t="s">
        <v>4033</v>
      </c>
      <c r="H1085" s="136" t="s">
        <v>4724</v>
      </c>
      <c r="I1085" s="148">
        <v>1.3888888888888888E-2</v>
      </c>
      <c r="J1085" s="174">
        <v>2.3148148148148146E-4</v>
      </c>
      <c r="K1085" s="139">
        <v>20</v>
      </c>
      <c r="L1085" s="133"/>
      <c r="M1085" s="133" t="s">
        <v>64</v>
      </c>
      <c r="N1085" s="133" t="s">
        <v>102</v>
      </c>
      <c r="O1085" s="133" t="s">
        <v>1307</v>
      </c>
      <c r="P1085" s="133" t="s">
        <v>24</v>
      </c>
      <c r="Q1085" s="133"/>
      <c r="R1085" s="133">
        <v>0</v>
      </c>
      <c r="S1085" s="133"/>
      <c r="T1085" s="133" t="s">
        <v>115</v>
      </c>
      <c r="U1085" s="133" t="s">
        <v>115</v>
      </c>
      <c r="V1085" s="133" t="s">
        <v>115</v>
      </c>
      <c r="W1085" s="135" t="s">
        <v>115</v>
      </c>
      <c r="X1085" s="135" t="s">
        <v>115</v>
      </c>
      <c r="Y1085" s="135" t="s">
        <v>115</v>
      </c>
      <c r="Z1085" s="133"/>
      <c r="AA1085" s="133"/>
      <c r="AB1085" s="133" t="s">
        <v>115</v>
      </c>
      <c r="AC1085" s="134" t="s">
        <v>115</v>
      </c>
      <c r="AD1085" s="134"/>
      <c r="AE1085" s="133"/>
      <c r="AF1085" s="133"/>
      <c r="AG1085" s="133"/>
      <c r="AH1085" s="139">
        <v>13</v>
      </c>
      <c r="AI1085" s="139">
        <v>4</v>
      </c>
      <c r="AJ1085" s="139">
        <v>0</v>
      </c>
      <c r="AK1085" s="139">
        <v>17</v>
      </c>
      <c r="AL1085" s="139">
        <v>0</v>
      </c>
      <c r="AM1085" s="133">
        <v>0</v>
      </c>
      <c r="AN1085" s="133">
        <f t="shared" si="18"/>
        <v>17</v>
      </c>
      <c r="AO1085" s="133" t="s">
        <v>1042</v>
      </c>
      <c r="AP1085" s="133"/>
      <c r="AQ1085" s="133">
        <v>1</v>
      </c>
      <c r="AR1085" s="133">
        <v>0</v>
      </c>
      <c r="AS1085" s="133"/>
      <c r="AT1085" s="133"/>
      <c r="AU1085" s="133"/>
      <c r="AV1085" s="133"/>
    </row>
    <row r="1086" spans="1:48" s="135" customFormat="1" x14ac:dyDescent="0.2">
      <c r="A1086" s="133" t="s">
        <v>1860</v>
      </c>
      <c r="B1086" s="133" t="s">
        <v>1861</v>
      </c>
      <c r="C1086" s="133">
        <v>1</v>
      </c>
      <c r="D1086" s="133">
        <v>1</v>
      </c>
      <c r="E1086" s="133" t="s">
        <v>2462</v>
      </c>
      <c r="F1086" s="138">
        <v>43398</v>
      </c>
      <c r="G1086" s="136" t="s">
        <v>4033</v>
      </c>
      <c r="H1086" s="136" t="s">
        <v>4724</v>
      </c>
      <c r="I1086" s="148">
        <v>8.3333333333333332E-3</v>
      </c>
      <c r="J1086" s="174">
        <v>1.3888888888888889E-4</v>
      </c>
      <c r="K1086" s="139">
        <v>12</v>
      </c>
      <c r="L1086" s="133"/>
      <c r="M1086" s="133" t="s">
        <v>64</v>
      </c>
      <c r="N1086" s="133" t="s">
        <v>102</v>
      </c>
      <c r="O1086" s="133" t="s">
        <v>23</v>
      </c>
      <c r="P1086" s="133">
        <v>1</v>
      </c>
      <c r="Q1086" s="133"/>
      <c r="R1086" s="133">
        <v>0</v>
      </c>
      <c r="S1086" s="133" t="s">
        <v>176</v>
      </c>
      <c r="T1086" s="133" t="s">
        <v>176</v>
      </c>
      <c r="U1086" s="133" t="s">
        <v>948</v>
      </c>
      <c r="V1086" s="133"/>
      <c r="W1086" s="135" t="s">
        <v>115</v>
      </c>
      <c r="X1086" s="135" t="s">
        <v>115</v>
      </c>
      <c r="Y1086" s="135" t="s">
        <v>115</v>
      </c>
      <c r="Z1086" s="133"/>
      <c r="AA1086" s="133"/>
      <c r="AB1086" s="133" t="s">
        <v>115</v>
      </c>
      <c r="AC1086" s="134" t="s">
        <v>115</v>
      </c>
      <c r="AD1086" s="134"/>
      <c r="AE1086" s="133"/>
      <c r="AF1086" s="133"/>
      <c r="AG1086" s="133"/>
      <c r="AH1086" s="139">
        <v>0</v>
      </c>
      <c r="AI1086" s="139">
        <v>10</v>
      </c>
      <c r="AJ1086" s="139">
        <v>0</v>
      </c>
      <c r="AK1086" s="139">
        <v>10</v>
      </c>
      <c r="AL1086" s="139">
        <v>0</v>
      </c>
      <c r="AM1086" s="139">
        <v>0</v>
      </c>
      <c r="AN1086" s="133">
        <f t="shared" si="18"/>
        <v>10</v>
      </c>
      <c r="AO1086" s="133" t="s">
        <v>16</v>
      </c>
      <c r="AP1086" s="133"/>
      <c r="AQ1086" s="133">
        <v>0</v>
      </c>
      <c r="AR1086" s="133">
        <v>1</v>
      </c>
      <c r="AS1086" s="133"/>
      <c r="AT1086" s="133"/>
      <c r="AU1086" s="133"/>
      <c r="AV1086" s="133"/>
    </row>
    <row r="1087" spans="1:48" s="135" customFormat="1" x14ac:dyDescent="0.2">
      <c r="A1087" s="133" t="s">
        <v>1862</v>
      </c>
      <c r="B1087" s="133" t="s">
        <v>1863</v>
      </c>
      <c r="C1087" s="133">
        <v>2</v>
      </c>
      <c r="D1087" s="133">
        <v>1</v>
      </c>
      <c r="E1087" s="133" t="s">
        <v>2462</v>
      </c>
      <c r="F1087" s="138">
        <v>43398</v>
      </c>
      <c r="G1087" s="136" t="s">
        <v>4033</v>
      </c>
      <c r="H1087" s="136" t="s">
        <v>4724</v>
      </c>
      <c r="I1087" s="148">
        <v>2.4305555555555556E-2</v>
      </c>
      <c r="J1087" s="174">
        <v>4.0509259259259258E-4</v>
      </c>
      <c r="K1087" s="139">
        <v>35</v>
      </c>
      <c r="L1087" s="133"/>
      <c r="M1087" s="133" t="s">
        <v>64</v>
      </c>
      <c r="N1087" s="133" t="s">
        <v>102</v>
      </c>
      <c r="O1087" s="133" t="s">
        <v>23</v>
      </c>
      <c r="P1087" s="133" t="s">
        <v>24</v>
      </c>
      <c r="Q1087" s="133"/>
      <c r="R1087" s="133">
        <v>0</v>
      </c>
      <c r="S1087" s="133" t="s">
        <v>176</v>
      </c>
      <c r="T1087" s="133" t="s">
        <v>176</v>
      </c>
      <c r="U1087" s="133" t="s">
        <v>115</v>
      </c>
      <c r="V1087" s="133" t="s">
        <v>115</v>
      </c>
      <c r="W1087" s="135" t="s">
        <v>115</v>
      </c>
      <c r="X1087" s="135" t="s">
        <v>115</v>
      </c>
      <c r="Y1087" s="135" t="s">
        <v>115</v>
      </c>
      <c r="Z1087" s="133"/>
      <c r="AA1087" s="133"/>
      <c r="AB1087" s="133" t="s">
        <v>115</v>
      </c>
      <c r="AC1087" s="134" t="s">
        <v>115</v>
      </c>
      <c r="AD1087" s="134"/>
      <c r="AE1087" s="133"/>
      <c r="AF1087" s="133"/>
      <c r="AG1087" s="133"/>
      <c r="AH1087" s="139">
        <v>0</v>
      </c>
      <c r="AI1087" s="139">
        <v>35</v>
      </c>
      <c r="AJ1087" s="139">
        <v>0</v>
      </c>
      <c r="AK1087" s="139">
        <v>35</v>
      </c>
      <c r="AL1087" s="139">
        <v>0</v>
      </c>
      <c r="AM1087" s="139">
        <v>0</v>
      </c>
      <c r="AN1087" s="133">
        <f t="shared" si="18"/>
        <v>35</v>
      </c>
      <c r="AO1087" s="133"/>
      <c r="AP1087" s="133"/>
      <c r="AQ1087" s="133"/>
      <c r="AR1087" s="133"/>
      <c r="AS1087" s="133"/>
      <c r="AT1087" s="133"/>
      <c r="AU1087" s="133"/>
      <c r="AV1087" s="133"/>
    </row>
    <row r="1088" spans="1:48" s="135" customFormat="1" x14ac:dyDescent="0.2">
      <c r="A1088" s="133" t="s">
        <v>1864</v>
      </c>
      <c r="B1088" s="133" t="s">
        <v>1865</v>
      </c>
      <c r="C1088" s="133">
        <v>3</v>
      </c>
      <c r="D1088" s="133">
        <v>1</v>
      </c>
      <c r="E1088" s="133" t="s">
        <v>2462</v>
      </c>
      <c r="F1088" s="138">
        <v>43398</v>
      </c>
      <c r="G1088" s="136" t="s">
        <v>4033</v>
      </c>
      <c r="H1088" s="136" t="s">
        <v>4724</v>
      </c>
      <c r="I1088" s="148">
        <v>2.5694444444444447E-2</v>
      </c>
      <c r="J1088" s="174">
        <v>4.2824074074074075E-4</v>
      </c>
      <c r="K1088" s="139">
        <v>37</v>
      </c>
      <c r="L1088" s="133"/>
      <c r="M1088" s="133" t="s">
        <v>64</v>
      </c>
      <c r="N1088" s="133" t="s">
        <v>102</v>
      </c>
      <c r="O1088" s="133" t="s">
        <v>23</v>
      </c>
      <c r="P1088" s="133" t="s">
        <v>24</v>
      </c>
      <c r="Q1088" s="133"/>
      <c r="R1088" s="133">
        <v>0</v>
      </c>
      <c r="S1088" s="133"/>
      <c r="T1088" s="133" t="s">
        <v>115</v>
      </c>
      <c r="U1088" s="133" t="s">
        <v>115</v>
      </c>
      <c r="V1088" s="133" t="s">
        <v>115</v>
      </c>
      <c r="W1088" s="135" t="s">
        <v>115</v>
      </c>
      <c r="X1088" s="135" t="s">
        <v>115</v>
      </c>
      <c r="Y1088" s="135" t="s">
        <v>115</v>
      </c>
      <c r="Z1088" s="133"/>
      <c r="AA1088" s="133"/>
      <c r="AB1088" s="133" t="s">
        <v>115</v>
      </c>
      <c r="AC1088" s="134" t="s">
        <v>115</v>
      </c>
      <c r="AD1088" s="134"/>
      <c r="AE1088" s="133"/>
      <c r="AF1088" s="133"/>
      <c r="AG1088" s="133"/>
      <c r="AH1088" s="139">
        <v>0</v>
      </c>
      <c r="AI1088" s="139">
        <f>26+11</f>
        <v>37</v>
      </c>
      <c r="AJ1088" s="139">
        <v>11</v>
      </c>
      <c r="AK1088" s="139">
        <v>26</v>
      </c>
      <c r="AL1088" s="139">
        <v>0</v>
      </c>
      <c r="AM1088" s="139">
        <v>0</v>
      </c>
      <c r="AN1088" s="133">
        <f t="shared" si="18"/>
        <v>37</v>
      </c>
      <c r="AO1088" s="133"/>
      <c r="AP1088" s="133"/>
      <c r="AQ1088" s="133"/>
      <c r="AR1088" s="133"/>
      <c r="AS1088" s="133"/>
      <c r="AT1088" s="133"/>
      <c r="AU1088" s="133"/>
      <c r="AV1088" s="133"/>
    </row>
    <row r="1089" spans="1:48" s="135" customFormat="1" x14ac:dyDescent="0.2">
      <c r="A1089" s="133" t="s">
        <v>1868</v>
      </c>
      <c r="B1089" s="133" t="s">
        <v>1873</v>
      </c>
      <c r="C1089" s="133">
        <v>5</v>
      </c>
      <c r="D1089" s="133">
        <v>1</v>
      </c>
      <c r="E1089" s="133" t="s">
        <v>2462</v>
      </c>
      <c r="F1089" s="138">
        <v>43398</v>
      </c>
      <c r="G1089" s="136" t="s">
        <v>4033</v>
      </c>
      <c r="H1089" s="136" t="s">
        <v>4724</v>
      </c>
      <c r="I1089" s="148">
        <v>3.2638888888888891E-2</v>
      </c>
      <c r="J1089" s="174">
        <v>5.4398148148148144E-4</v>
      </c>
      <c r="K1089" s="139">
        <v>47</v>
      </c>
      <c r="L1089" s="133"/>
      <c r="M1089" s="133" t="s">
        <v>64</v>
      </c>
      <c r="N1089" s="133" t="s">
        <v>111</v>
      </c>
      <c r="O1089" s="133" t="s">
        <v>12</v>
      </c>
      <c r="P1089" s="133">
        <v>0</v>
      </c>
      <c r="Q1089" s="133"/>
      <c r="R1089" s="133">
        <v>1</v>
      </c>
      <c r="S1089" s="133" t="s">
        <v>176</v>
      </c>
      <c r="T1089" s="133" t="s">
        <v>176</v>
      </c>
      <c r="U1089" s="133" t="s">
        <v>24</v>
      </c>
      <c r="V1089" s="133" t="s">
        <v>1869</v>
      </c>
      <c r="W1089" s="135" t="s">
        <v>12</v>
      </c>
      <c r="X1089" s="135" t="s">
        <v>3997</v>
      </c>
      <c r="Y1089" s="135" t="s">
        <v>4005</v>
      </c>
      <c r="Z1089" s="133"/>
      <c r="AA1089" s="133"/>
      <c r="AB1089" s="133" t="s">
        <v>24</v>
      </c>
      <c r="AC1089" s="134">
        <v>63.73254</v>
      </c>
      <c r="AD1089" s="134">
        <v>148.89940000000001</v>
      </c>
      <c r="AE1089" s="133"/>
      <c r="AF1089" s="133"/>
      <c r="AG1089" s="133"/>
      <c r="AH1089" s="139">
        <v>0</v>
      </c>
      <c r="AI1089" s="139">
        <v>0</v>
      </c>
      <c r="AJ1089" s="139">
        <v>0</v>
      </c>
      <c r="AK1089" s="139">
        <v>0</v>
      </c>
      <c r="AL1089" s="139">
        <v>0</v>
      </c>
      <c r="AM1089" s="139">
        <v>0</v>
      </c>
      <c r="AN1089" s="133">
        <f t="shared" si="18"/>
        <v>0</v>
      </c>
      <c r="AO1089" s="133"/>
      <c r="AP1089" s="133" t="s">
        <v>5024</v>
      </c>
      <c r="AQ1089" s="133"/>
      <c r="AR1089" s="133"/>
      <c r="AS1089" s="133"/>
      <c r="AT1089" s="133"/>
      <c r="AU1089" s="133"/>
      <c r="AV1089" s="133"/>
    </row>
    <row r="1090" spans="1:48" s="133" customFormat="1" x14ac:dyDescent="0.2">
      <c r="A1090" s="135" t="s">
        <v>1874</v>
      </c>
      <c r="B1090" s="135" t="s">
        <v>1875</v>
      </c>
      <c r="C1090" s="135">
        <v>7</v>
      </c>
      <c r="D1090" s="135">
        <v>1</v>
      </c>
      <c r="E1090" s="135" t="s">
        <v>2462</v>
      </c>
      <c r="F1090" s="136">
        <v>43398</v>
      </c>
      <c r="G1090" s="136" t="s">
        <v>4033</v>
      </c>
      <c r="H1090" s="136" t="s">
        <v>4724</v>
      </c>
      <c r="I1090" s="172">
        <v>4.4444444444444446E-2</v>
      </c>
      <c r="J1090" s="175">
        <v>7.407407407407407E-4</v>
      </c>
      <c r="K1090" s="143">
        <v>64</v>
      </c>
      <c r="L1090" s="135"/>
      <c r="M1090" s="135" t="s">
        <v>64</v>
      </c>
      <c r="N1090" s="135" t="s">
        <v>156</v>
      </c>
      <c r="O1090" s="135" t="s">
        <v>23</v>
      </c>
      <c r="P1090" s="135">
        <v>1</v>
      </c>
      <c r="Q1090" s="135"/>
      <c r="R1090" s="135">
        <v>1</v>
      </c>
      <c r="S1090" s="133" t="s">
        <v>112</v>
      </c>
      <c r="T1090" s="135" t="s">
        <v>2111</v>
      </c>
      <c r="U1090" s="135" t="s">
        <v>192</v>
      </c>
      <c r="V1090" s="133" t="s">
        <v>1035</v>
      </c>
      <c r="W1090" s="135" t="s">
        <v>23</v>
      </c>
      <c r="X1090" s="135" t="s">
        <v>3997</v>
      </c>
      <c r="Y1090" s="135" t="s">
        <v>4006</v>
      </c>
      <c r="AB1090" s="135">
        <v>6</v>
      </c>
      <c r="AC1090" s="137">
        <v>63.732669999999999</v>
      </c>
      <c r="AD1090" s="137">
        <v>148.89955</v>
      </c>
      <c r="AH1090" s="143">
        <v>29</v>
      </c>
      <c r="AI1090" s="143">
        <v>0</v>
      </c>
      <c r="AJ1090" s="143">
        <v>0</v>
      </c>
      <c r="AK1090" s="143">
        <v>29</v>
      </c>
      <c r="AL1090" s="143">
        <v>9</v>
      </c>
      <c r="AM1090" s="143">
        <v>0</v>
      </c>
      <c r="AN1090" s="135">
        <f t="shared" si="18"/>
        <v>38</v>
      </c>
      <c r="AO1090" s="135"/>
      <c r="AP1090" s="135"/>
      <c r="AQ1090" s="135"/>
      <c r="AR1090" s="135"/>
    </row>
    <row r="1091" spans="1:48" s="135" customFormat="1" x14ac:dyDescent="0.2">
      <c r="A1091" s="133" t="s">
        <v>1956</v>
      </c>
      <c r="B1091" s="133" t="s">
        <v>1957</v>
      </c>
      <c r="C1091" s="133">
        <v>6</v>
      </c>
      <c r="D1091" s="133">
        <v>1</v>
      </c>
      <c r="E1091" s="133" t="s">
        <v>2462</v>
      </c>
      <c r="F1091" s="138">
        <v>43402</v>
      </c>
      <c r="G1091" s="136" t="s">
        <v>4033</v>
      </c>
      <c r="H1091" s="136" t="s">
        <v>4724</v>
      </c>
      <c r="I1091" s="148">
        <v>4.8611111111111112E-3</v>
      </c>
      <c r="J1091" s="174">
        <v>8.1018518518518516E-5</v>
      </c>
      <c r="K1091" s="139">
        <v>7</v>
      </c>
      <c r="L1091" s="133" t="s">
        <v>2028</v>
      </c>
      <c r="M1091" s="133" t="s">
        <v>64</v>
      </c>
      <c r="N1091" s="133" t="s">
        <v>102</v>
      </c>
      <c r="O1091" s="133" t="s">
        <v>23</v>
      </c>
      <c r="P1091" s="133">
        <v>1</v>
      </c>
      <c r="Q1091" s="133"/>
      <c r="R1091" s="133">
        <v>0</v>
      </c>
      <c r="S1091" s="133" t="s">
        <v>176</v>
      </c>
      <c r="T1091" s="133" t="s">
        <v>2116</v>
      </c>
      <c r="U1091" s="133" t="s">
        <v>1958</v>
      </c>
      <c r="V1091" s="133" t="s">
        <v>115</v>
      </c>
      <c r="W1091" s="135" t="s">
        <v>115</v>
      </c>
      <c r="X1091" s="135" t="s">
        <v>115</v>
      </c>
      <c r="Y1091" s="135" t="s">
        <v>115</v>
      </c>
      <c r="Z1091" s="133"/>
      <c r="AA1091" s="133"/>
      <c r="AB1091" s="133" t="s">
        <v>115</v>
      </c>
      <c r="AC1091" s="134" t="s">
        <v>115</v>
      </c>
      <c r="AD1091" s="134"/>
      <c r="AE1091" s="133"/>
      <c r="AF1091" s="133"/>
      <c r="AG1091" s="133"/>
      <c r="AH1091" s="139">
        <v>0</v>
      </c>
      <c r="AI1091" s="139">
        <v>0</v>
      </c>
      <c r="AJ1091" s="139">
        <v>0</v>
      </c>
      <c r="AK1091" s="139">
        <v>0</v>
      </c>
      <c r="AL1091" s="139">
        <v>0</v>
      </c>
      <c r="AM1091" s="139">
        <v>0</v>
      </c>
      <c r="AN1091" s="133">
        <f t="shared" si="18"/>
        <v>0</v>
      </c>
      <c r="AO1091" s="133"/>
      <c r="AP1091" s="133" t="s">
        <v>5042</v>
      </c>
      <c r="AQ1091" s="133"/>
      <c r="AR1091" s="133"/>
      <c r="AS1091" s="133"/>
      <c r="AT1091" s="133"/>
      <c r="AU1091" s="133"/>
      <c r="AV1091" s="133"/>
    </row>
    <row r="1092" spans="1:48" s="133" customFormat="1" x14ac:dyDescent="0.2">
      <c r="A1092" s="133" t="s">
        <v>1959</v>
      </c>
      <c r="B1092" s="133" t="s">
        <v>1960</v>
      </c>
      <c r="C1092" s="133">
        <v>7</v>
      </c>
      <c r="D1092" s="133">
        <v>1</v>
      </c>
      <c r="E1092" s="133" t="s">
        <v>2462</v>
      </c>
      <c r="F1092" s="138">
        <v>43402</v>
      </c>
      <c r="G1092" s="136" t="s">
        <v>4033</v>
      </c>
      <c r="H1092" s="136" t="s">
        <v>4724</v>
      </c>
      <c r="I1092" s="148">
        <v>2.5694444444444447E-2</v>
      </c>
      <c r="J1092" s="174">
        <v>4.2824074074074075E-4</v>
      </c>
      <c r="K1092" s="139">
        <v>37</v>
      </c>
      <c r="L1092" s="133" t="s">
        <v>2028</v>
      </c>
      <c r="M1092" s="133" t="s">
        <v>64</v>
      </c>
      <c r="N1092" s="133" t="s">
        <v>111</v>
      </c>
      <c r="O1092" s="133" t="s">
        <v>23</v>
      </c>
      <c r="P1092" s="133">
        <v>0</v>
      </c>
      <c r="R1092" s="133">
        <v>2</v>
      </c>
      <c r="S1092" s="133" t="s">
        <v>176</v>
      </c>
      <c r="T1092" s="133" t="s">
        <v>2116</v>
      </c>
      <c r="U1092" s="133" t="s">
        <v>1958</v>
      </c>
      <c r="V1092" s="133" t="s">
        <v>1961</v>
      </c>
      <c r="W1092" s="140" t="s">
        <v>23</v>
      </c>
      <c r="X1092" s="140" t="s">
        <v>3999</v>
      </c>
      <c r="Y1092" s="140" t="s">
        <v>4006</v>
      </c>
      <c r="AB1092" s="133">
        <v>7</v>
      </c>
      <c r="AC1092" s="134">
        <v>63.736229999999999</v>
      </c>
      <c r="AD1092" s="134">
        <v>148.90009000000001</v>
      </c>
      <c r="AH1092" s="139">
        <v>0</v>
      </c>
      <c r="AI1092" s="139">
        <v>0</v>
      </c>
      <c r="AJ1092" s="139">
        <v>0</v>
      </c>
      <c r="AK1092" s="139">
        <v>0</v>
      </c>
      <c r="AL1092" s="139">
        <v>0</v>
      </c>
      <c r="AM1092" s="139">
        <v>0</v>
      </c>
      <c r="AN1092" s="133">
        <f t="shared" si="18"/>
        <v>0</v>
      </c>
      <c r="AP1092" s="133" t="s">
        <v>1028</v>
      </c>
    </row>
    <row r="1093" spans="1:48" s="133" customFormat="1" x14ac:dyDescent="0.2">
      <c r="A1093" s="133" t="s">
        <v>1931</v>
      </c>
      <c r="B1093" s="133" t="s">
        <v>1932</v>
      </c>
      <c r="C1093" s="133">
        <v>1</v>
      </c>
      <c r="D1093" s="133">
        <v>1</v>
      </c>
      <c r="E1093" s="133" t="s">
        <v>791</v>
      </c>
      <c r="F1093" s="138">
        <v>43402</v>
      </c>
      <c r="G1093" s="136" t="s">
        <v>4033</v>
      </c>
      <c r="H1093" s="136" t="s">
        <v>4724</v>
      </c>
      <c r="I1093" s="148">
        <v>1.1111111111111112E-2</v>
      </c>
      <c r="J1093" s="174">
        <v>1.8518518518518518E-4</v>
      </c>
      <c r="K1093" s="139">
        <v>16</v>
      </c>
      <c r="L1093" s="133" t="s">
        <v>2028</v>
      </c>
      <c r="M1093" s="133" t="s">
        <v>217</v>
      </c>
      <c r="N1093" s="133" t="s">
        <v>1933</v>
      </c>
      <c r="O1093" s="133" t="s">
        <v>23</v>
      </c>
      <c r="P1093" s="133" t="s">
        <v>24</v>
      </c>
      <c r="R1093" s="133">
        <v>0</v>
      </c>
      <c r="S1093" s="133" t="s">
        <v>176</v>
      </c>
      <c r="T1093" s="133" t="s">
        <v>176</v>
      </c>
      <c r="U1093" s="133" t="s">
        <v>115</v>
      </c>
      <c r="V1093" s="133" t="s">
        <v>115</v>
      </c>
      <c r="W1093" s="135" t="s">
        <v>115</v>
      </c>
      <c r="X1093" s="135" t="s">
        <v>115</v>
      </c>
      <c r="Y1093" s="135" t="s">
        <v>115</v>
      </c>
      <c r="AB1093" s="133" t="s">
        <v>115</v>
      </c>
      <c r="AC1093" s="134" t="s">
        <v>115</v>
      </c>
      <c r="AD1093" s="134"/>
      <c r="AH1093" s="139">
        <v>15</v>
      </c>
      <c r="AI1093" s="139">
        <v>0</v>
      </c>
      <c r="AJ1093" s="139">
        <v>0</v>
      </c>
      <c r="AK1093" s="139">
        <v>15</v>
      </c>
      <c r="AL1093" s="139">
        <v>0</v>
      </c>
      <c r="AM1093" s="139">
        <v>0</v>
      </c>
      <c r="AN1093" s="133">
        <f t="shared" si="18"/>
        <v>15</v>
      </c>
    </row>
    <row r="1094" spans="1:48" s="133" customFormat="1" x14ac:dyDescent="0.2">
      <c r="A1094" s="133" t="s">
        <v>1934</v>
      </c>
      <c r="B1094" s="133" t="s">
        <v>1935</v>
      </c>
      <c r="C1094" s="133">
        <v>2</v>
      </c>
      <c r="D1094" s="133">
        <v>1</v>
      </c>
      <c r="E1094" s="133" t="s">
        <v>791</v>
      </c>
      <c r="F1094" s="138">
        <v>43402</v>
      </c>
      <c r="G1094" s="136" t="s">
        <v>4033</v>
      </c>
      <c r="H1094" s="136" t="s">
        <v>4724</v>
      </c>
      <c r="I1094" s="148">
        <v>4.6527777777777779E-2</v>
      </c>
      <c r="J1094" s="174">
        <v>7.7546296296296304E-4</v>
      </c>
      <c r="K1094" s="139">
        <v>67</v>
      </c>
      <c r="L1094" s="133" t="s">
        <v>2028</v>
      </c>
      <c r="M1094" s="133" t="s">
        <v>217</v>
      </c>
      <c r="N1094" s="133" t="s">
        <v>1310</v>
      </c>
      <c r="O1094" s="133" t="s">
        <v>23</v>
      </c>
      <c r="P1094" s="133">
        <v>1</v>
      </c>
      <c r="R1094" s="133">
        <v>0</v>
      </c>
      <c r="S1094" s="133" t="s">
        <v>176</v>
      </c>
      <c r="T1094" s="133" t="s">
        <v>2119</v>
      </c>
      <c r="U1094" s="133" t="s">
        <v>1937</v>
      </c>
      <c r="V1094" s="133" t="s">
        <v>115</v>
      </c>
      <c r="W1094" s="135" t="s">
        <v>115</v>
      </c>
      <c r="X1094" s="135" t="s">
        <v>115</v>
      </c>
      <c r="Y1094" s="135" t="s">
        <v>115</v>
      </c>
      <c r="AB1094" s="133" t="s">
        <v>115</v>
      </c>
      <c r="AC1094" s="134" t="s">
        <v>115</v>
      </c>
      <c r="AD1094" s="134"/>
      <c r="AH1094" s="139">
        <v>68</v>
      </c>
      <c r="AI1094" s="139">
        <v>0</v>
      </c>
      <c r="AJ1094" s="139">
        <v>68</v>
      </c>
      <c r="AK1094" s="139">
        <v>0</v>
      </c>
      <c r="AL1094" s="139">
        <v>0</v>
      </c>
      <c r="AM1094" s="139">
        <v>0</v>
      </c>
      <c r="AN1094" s="133">
        <f t="shared" si="18"/>
        <v>68</v>
      </c>
      <c r="AO1094" s="133" t="s">
        <v>1319</v>
      </c>
      <c r="AP1094" s="133" t="s">
        <v>1936</v>
      </c>
      <c r="AQ1094" s="133">
        <v>1</v>
      </c>
      <c r="AR1094" s="133">
        <v>0</v>
      </c>
    </row>
    <row r="1095" spans="1:48" s="135" customFormat="1" x14ac:dyDescent="0.2">
      <c r="A1095" s="133" t="s">
        <v>1938</v>
      </c>
      <c r="B1095" s="133" t="s">
        <v>1939</v>
      </c>
      <c r="C1095" s="133">
        <v>3</v>
      </c>
      <c r="D1095" s="133">
        <v>1</v>
      </c>
      <c r="E1095" s="133" t="s">
        <v>791</v>
      </c>
      <c r="F1095" s="138">
        <v>43402</v>
      </c>
      <c r="G1095" s="136" t="s">
        <v>4033</v>
      </c>
      <c r="H1095" s="136" t="s">
        <v>4724</v>
      </c>
      <c r="I1095" s="148">
        <v>6.9444444444444441E-3</v>
      </c>
      <c r="J1095" s="174">
        <v>1.1574074074074073E-4</v>
      </c>
      <c r="K1095" s="139">
        <v>10</v>
      </c>
      <c r="L1095" s="133" t="s">
        <v>2028</v>
      </c>
      <c r="M1095" s="133" t="s">
        <v>217</v>
      </c>
      <c r="N1095" s="133" t="s">
        <v>102</v>
      </c>
      <c r="O1095" s="133" t="s">
        <v>23</v>
      </c>
      <c r="P1095" s="133">
        <v>1</v>
      </c>
      <c r="Q1095" s="133"/>
      <c r="R1095" s="133">
        <v>0</v>
      </c>
      <c r="S1095" s="133" t="s">
        <v>176</v>
      </c>
      <c r="T1095" s="133" t="s">
        <v>176</v>
      </c>
      <c r="U1095" s="133" t="s">
        <v>1940</v>
      </c>
      <c r="V1095" s="133" t="s">
        <v>115</v>
      </c>
      <c r="W1095" s="135" t="s">
        <v>115</v>
      </c>
      <c r="X1095" s="135" t="s">
        <v>115</v>
      </c>
      <c r="Y1095" s="135" t="s">
        <v>115</v>
      </c>
      <c r="Z1095" s="133"/>
      <c r="AA1095" s="133"/>
      <c r="AB1095" s="133" t="s">
        <v>115</v>
      </c>
      <c r="AC1095" s="134" t="s">
        <v>115</v>
      </c>
      <c r="AD1095" s="134"/>
      <c r="AE1095" s="133"/>
      <c r="AF1095" s="133"/>
      <c r="AG1095" s="133"/>
      <c r="AH1095" s="139">
        <v>10</v>
      </c>
      <c r="AI1095" s="139">
        <v>0</v>
      </c>
      <c r="AJ1095" s="139">
        <v>10</v>
      </c>
      <c r="AK1095" s="139">
        <v>0</v>
      </c>
      <c r="AL1095" s="139">
        <v>0</v>
      </c>
      <c r="AM1095" s="139">
        <v>0</v>
      </c>
      <c r="AN1095" s="133">
        <f t="shared" si="18"/>
        <v>10</v>
      </c>
      <c r="AO1095" s="133" t="s">
        <v>16</v>
      </c>
      <c r="AP1095" s="133"/>
      <c r="AQ1095" s="133">
        <v>0</v>
      </c>
      <c r="AR1095" s="133">
        <v>1</v>
      </c>
      <c r="AS1095" s="133"/>
      <c r="AT1095" s="133"/>
      <c r="AU1095" s="133"/>
      <c r="AV1095" s="133"/>
    </row>
    <row r="1096" spans="1:48" s="133" customFormat="1" x14ac:dyDescent="0.2">
      <c r="A1096" s="133" t="s">
        <v>1941</v>
      </c>
      <c r="B1096" s="133" t="s">
        <v>1942</v>
      </c>
      <c r="C1096" s="133">
        <v>4</v>
      </c>
      <c r="D1096" s="133">
        <v>1</v>
      </c>
      <c r="E1096" s="133" t="s">
        <v>791</v>
      </c>
      <c r="F1096" s="138">
        <v>43402</v>
      </c>
      <c r="G1096" s="136" t="s">
        <v>4033</v>
      </c>
      <c r="H1096" s="136" t="s">
        <v>4724</v>
      </c>
      <c r="I1096" s="148">
        <v>4.8611111111111112E-3</v>
      </c>
      <c r="J1096" s="174">
        <v>8.1018518518518516E-5</v>
      </c>
      <c r="K1096" s="139">
        <v>7</v>
      </c>
      <c r="L1096" s="133" t="s">
        <v>2028</v>
      </c>
      <c r="M1096" s="133" t="s">
        <v>217</v>
      </c>
      <c r="N1096" s="133" t="s">
        <v>102</v>
      </c>
      <c r="O1096" s="133" t="s">
        <v>23</v>
      </c>
      <c r="P1096" s="133" t="s">
        <v>24</v>
      </c>
      <c r="R1096" s="133" t="s">
        <v>24</v>
      </c>
      <c r="S1096" s="133" t="s">
        <v>176</v>
      </c>
      <c r="T1096" s="133" t="s">
        <v>176</v>
      </c>
      <c r="U1096" s="133" t="s">
        <v>115</v>
      </c>
      <c r="V1096" s="133" t="s">
        <v>115</v>
      </c>
      <c r="AB1096" s="133" t="s">
        <v>115</v>
      </c>
      <c r="AC1096" s="134" t="s">
        <v>115</v>
      </c>
      <c r="AD1096" s="134"/>
      <c r="AH1096" s="139">
        <v>7</v>
      </c>
      <c r="AI1096" s="139">
        <v>0</v>
      </c>
      <c r="AJ1096" s="139">
        <v>7</v>
      </c>
      <c r="AK1096" s="139">
        <v>0</v>
      </c>
      <c r="AL1096" s="139">
        <v>0</v>
      </c>
      <c r="AM1096" s="139">
        <v>0</v>
      </c>
      <c r="AN1096" s="133">
        <f t="shared" si="18"/>
        <v>7</v>
      </c>
    </row>
    <row r="1097" spans="1:48" s="135" customFormat="1" x14ac:dyDescent="0.2">
      <c r="A1097" s="133" t="s">
        <v>1943</v>
      </c>
      <c r="B1097" s="133" t="s">
        <v>1944</v>
      </c>
      <c r="C1097" s="133">
        <v>5</v>
      </c>
      <c r="D1097" s="133">
        <v>1</v>
      </c>
      <c r="E1097" s="133" t="s">
        <v>791</v>
      </c>
      <c r="F1097" s="138">
        <v>43402</v>
      </c>
      <c r="G1097" s="136" t="s">
        <v>4033</v>
      </c>
      <c r="H1097" s="136" t="s">
        <v>4724</v>
      </c>
      <c r="I1097" s="148">
        <v>2.2916666666666669E-2</v>
      </c>
      <c r="J1097" s="174">
        <v>3.8194444444444446E-4</v>
      </c>
      <c r="K1097" s="139">
        <v>33</v>
      </c>
      <c r="L1097" s="133" t="s">
        <v>2028</v>
      </c>
      <c r="M1097" s="133" t="s">
        <v>217</v>
      </c>
      <c r="N1097" s="133" t="s">
        <v>102</v>
      </c>
      <c r="O1097" s="133" t="s">
        <v>23</v>
      </c>
      <c r="P1097" s="133" t="s">
        <v>24</v>
      </c>
      <c r="Q1097" s="133"/>
      <c r="R1097" s="133" t="s">
        <v>24</v>
      </c>
      <c r="S1097" s="133" t="s">
        <v>176</v>
      </c>
      <c r="T1097" s="133" t="s">
        <v>176</v>
      </c>
      <c r="U1097" s="133" t="s">
        <v>115</v>
      </c>
      <c r="V1097" s="133" t="s">
        <v>115</v>
      </c>
      <c r="W1097" s="133"/>
      <c r="X1097" s="133"/>
      <c r="Y1097" s="133"/>
      <c r="Z1097" s="133"/>
      <c r="AA1097" s="133"/>
      <c r="AB1097" s="133" t="s">
        <v>115</v>
      </c>
      <c r="AC1097" s="134" t="s">
        <v>115</v>
      </c>
      <c r="AD1097" s="134"/>
      <c r="AE1097" s="133"/>
      <c r="AF1097" s="133"/>
      <c r="AG1097" s="133"/>
      <c r="AH1097" s="139">
        <v>30</v>
      </c>
      <c r="AI1097" s="139">
        <v>0</v>
      </c>
      <c r="AJ1097" s="139">
        <v>30</v>
      </c>
      <c r="AK1097" s="139">
        <v>0</v>
      </c>
      <c r="AL1097" s="139">
        <v>0</v>
      </c>
      <c r="AM1097" s="139">
        <v>0</v>
      </c>
      <c r="AN1097" s="133">
        <f t="shared" si="18"/>
        <v>30</v>
      </c>
      <c r="AO1097" s="133"/>
      <c r="AP1097" s="133"/>
      <c r="AQ1097" s="133"/>
      <c r="AR1097" s="133"/>
    </row>
    <row r="1098" spans="1:48" s="133" customFormat="1" x14ac:dyDescent="0.2">
      <c r="A1098" s="133" t="s">
        <v>1130</v>
      </c>
      <c r="B1098" s="133" t="s">
        <v>4985</v>
      </c>
      <c r="C1098" s="133">
        <v>3</v>
      </c>
      <c r="D1098" s="133">
        <v>1</v>
      </c>
      <c r="E1098" s="133" t="s">
        <v>2601</v>
      </c>
      <c r="F1098" s="138">
        <v>43379</v>
      </c>
      <c r="G1098" s="136" t="s">
        <v>4033</v>
      </c>
      <c r="H1098" s="136" t="s">
        <v>4724</v>
      </c>
      <c r="I1098" s="148">
        <v>1.9444444444444445E-2</v>
      </c>
      <c r="J1098" s="174">
        <v>3.2407407407407406E-4</v>
      </c>
      <c r="K1098" s="139">
        <v>28</v>
      </c>
      <c r="L1098" s="133" t="s">
        <v>640</v>
      </c>
      <c r="M1098" s="133" t="s">
        <v>177</v>
      </c>
      <c r="N1098" s="133" t="s">
        <v>1116</v>
      </c>
      <c r="O1098" s="133" t="s">
        <v>23</v>
      </c>
      <c r="P1098" s="133">
        <v>1</v>
      </c>
      <c r="R1098" s="133">
        <v>0</v>
      </c>
      <c r="S1098" s="133" t="s">
        <v>176</v>
      </c>
      <c r="T1098" s="133" t="s">
        <v>1131</v>
      </c>
      <c r="U1098" s="133" t="s">
        <v>907</v>
      </c>
      <c r="V1098" s="133" t="s">
        <v>115</v>
      </c>
      <c r="W1098" s="135" t="s">
        <v>115</v>
      </c>
      <c r="X1098" s="135" t="s">
        <v>115</v>
      </c>
      <c r="Y1098" s="135" t="s">
        <v>115</v>
      </c>
      <c r="Z1098" s="135"/>
      <c r="AA1098" s="135"/>
      <c r="AB1098" s="133" t="s">
        <v>115</v>
      </c>
      <c r="AC1098" s="134" t="s">
        <v>115</v>
      </c>
      <c r="AD1098" s="134"/>
      <c r="AE1098" s="135"/>
      <c r="AF1098" s="135"/>
      <c r="AG1098" s="135"/>
      <c r="AH1098" s="139">
        <v>2</v>
      </c>
      <c r="AI1098" s="139">
        <v>0</v>
      </c>
      <c r="AJ1098" s="139">
        <v>2</v>
      </c>
      <c r="AK1098" s="139">
        <v>0</v>
      </c>
      <c r="AL1098" s="139">
        <v>0</v>
      </c>
      <c r="AM1098" s="133">
        <v>0</v>
      </c>
      <c r="AN1098" s="133">
        <f t="shared" si="18"/>
        <v>2</v>
      </c>
      <c r="AP1098" s="133" t="s">
        <v>1132</v>
      </c>
    </row>
    <row r="1099" spans="1:48" s="135" customFormat="1" x14ac:dyDescent="0.2">
      <c r="A1099" s="135" t="s">
        <v>1547</v>
      </c>
      <c r="B1099" s="135" t="s">
        <v>5009</v>
      </c>
      <c r="C1099" s="135">
        <v>1</v>
      </c>
      <c r="D1099" s="135">
        <v>1</v>
      </c>
      <c r="E1099" s="135" t="s">
        <v>2601</v>
      </c>
      <c r="F1099" s="136">
        <v>43390</v>
      </c>
      <c r="G1099" s="136" t="s">
        <v>4033</v>
      </c>
      <c r="H1099" s="136" t="s">
        <v>4724</v>
      </c>
      <c r="I1099" s="172">
        <v>6.9444444444444441E-3</v>
      </c>
      <c r="J1099" s="175">
        <v>1.1574074074074073E-4</v>
      </c>
      <c r="K1099" s="143">
        <v>10</v>
      </c>
      <c r="L1099" s="135" t="s">
        <v>398</v>
      </c>
      <c r="M1099" s="135" t="s">
        <v>177</v>
      </c>
      <c r="N1099" s="135" t="s">
        <v>102</v>
      </c>
      <c r="O1099" s="135" t="s">
        <v>115</v>
      </c>
      <c r="P1099" s="135">
        <v>1</v>
      </c>
      <c r="R1099" s="135">
        <v>0</v>
      </c>
      <c r="S1099" s="133" t="s">
        <v>14</v>
      </c>
      <c r="T1099" s="135" t="s">
        <v>2128</v>
      </c>
      <c r="U1099" s="135" t="s">
        <v>122</v>
      </c>
      <c r="V1099" s="135" t="s">
        <v>115</v>
      </c>
      <c r="W1099" s="135" t="s">
        <v>115</v>
      </c>
      <c r="X1099" s="135" t="s">
        <v>115</v>
      </c>
      <c r="Y1099" s="135" t="s">
        <v>115</v>
      </c>
      <c r="AB1099" s="135" t="s">
        <v>115</v>
      </c>
      <c r="AC1099" s="137" t="s">
        <v>115</v>
      </c>
      <c r="AD1099" s="137"/>
      <c r="AH1099" s="143">
        <v>0</v>
      </c>
      <c r="AI1099" s="143">
        <v>0</v>
      </c>
      <c r="AJ1099" s="143">
        <v>0</v>
      </c>
      <c r="AK1099" s="143">
        <v>0</v>
      </c>
      <c r="AL1099" s="143">
        <v>10</v>
      </c>
      <c r="AM1099" s="135">
        <v>0</v>
      </c>
      <c r="AN1099" s="135">
        <f t="shared" si="18"/>
        <v>10</v>
      </c>
      <c r="AS1099" s="133"/>
      <c r="AT1099" s="133"/>
      <c r="AU1099" s="133"/>
      <c r="AV1099" s="133"/>
    </row>
    <row r="1100" spans="1:48" s="135" customFormat="1" x14ac:dyDescent="0.2">
      <c r="A1100" s="135" t="s">
        <v>1548</v>
      </c>
      <c r="B1100" s="135" t="s">
        <v>5010</v>
      </c>
      <c r="C1100" s="135">
        <v>2</v>
      </c>
      <c r="D1100" s="135">
        <v>1</v>
      </c>
      <c r="E1100" s="135" t="s">
        <v>2601</v>
      </c>
      <c r="F1100" s="136">
        <v>43390</v>
      </c>
      <c r="G1100" s="136" t="s">
        <v>4033</v>
      </c>
      <c r="H1100" s="136" t="s">
        <v>4724</v>
      </c>
      <c r="I1100" s="172">
        <v>2.361111111111111E-2</v>
      </c>
      <c r="J1100" s="175">
        <v>3.9351851851851852E-4</v>
      </c>
      <c r="K1100" s="143">
        <v>34</v>
      </c>
      <c r="L1100" s="135" t="s">
        <v>398</v>
      </c>
      <c r="M1100" s="135" t="s">
        <v>177</v>
      </c>
      <c r="N1100" s="135" t="s">
        <v>156</v>
      </c>
      <c r="O1100" s="135" t="s">
        <v>23</v>
      </c>
      <c r="P1100" s="135">
        <v>1</v>
      </c>
      <c r="R1100" s="135">
        <v>1</v>
      </c>
      <c r="S1100" s="133" t="s">
        <v>14</v>
      </c>
      <c r="T1100" s="135" t="s">
        <v>2128</v>
      </c>
      <c r="U1100" s="135" t="s">
        <v>122</v>
      </c>
      <c r="V1100" s="135" t="s">
        <v>333</v>
      </c>
      <c r="W1100" s="135" t="s">
        <v>84</v>
      </c>
      <c r="X1100" s="135" t="s">
        <v>3999</v>
      </c>
      <c r="Y1100" s="135" t="s">
        <v>4006</v>
      </c>
      <c r="AB1100" s="135">
        <v>6</v>
      </c>
      <c r="AC1100" s="137">
        <v>63.725520000000003</v>
      </c>
      <c r="AD1100" s="137">
        <v>148.95973000000001</v>
      </c>
      <c r="AH1100" s="135">
        <v>0</v>
      </c>
      <c r="AI1100" s="143">
        <v>0</v>
      </c>
      <c r="AJ1100" s="143">
        <v>0</v>
      </c>
      <c r="AK1100" s="143">
        <v>0</v>
      </c>
      <c r="AL1100" s="143">
        <v>12</v>
      </c>
      <c r="AM1100" s="135">
        <v>0</v>
      </c>
      <c r="AN1100" s="135">
        <f t="shared" si="18"/>
        <v>12</v>
      </c>
    </row>
    <row r="1101" spans="1:48" s="135" customFormat="1" x14ac:dyDescent="0.2">
      <c r="A1101" s="133" t="s">
        <v>1910</v>
      </c>
      <c r="B1101" s="133" t="s">
        <v>5026</v>
      </c>
      <c r="C1101" s="133">
        <v>3</v>
      </c>
      <c r="D1101" s="133">
        <v>1</v>
      </c>
      <c r="E1101" s="133" t="s">
        <v>2601</v>
      </c>
      <c r="F1101" s="138">
        <v>43402</v>
      </c>
      <c r="G1101" s="136" t="s">
        <v>4033</v>
      </c>
      <c r="H1101" s="136" t="s">
        <v>4724</v>
      </c>
      <c r="I1101" s="148">
        <v>2.4305555555555556E-2</v>
      </c>
      <c r="J1101" s="174">
        <v>4.0509259259259258E-4</v>
      </c>
      <c r="K1101" s="139">
        <v>35</v>
      </c>
      <c r="L1101" s="133" t="s">
        <v>2028</v>
      </c>
      <c r="M1101" s="133" t="s">
        <v>177</v>
      </c>
      <c r="N1101" s="133" t="s">
        <v>102</v>
      </c>
      <c r="O1101" s="133" t="s">
        <v>23</v>
      </c>
      <c r="P1101" s="133" t="s">
        <v>24</v>
      </c>
      <c r="Q1101" s="133"/>
      <c r="R1101" s="133">
        <v>0</v>
      </c>
      <c r="S1101" s="133"/>
      <c r="T1101" s="133" t="s">
        <v>115</v>
      </c>
      <c r="U1101" s="133" t="s">
        <v>115</v>
      </c>
      <c r="V1101" s="133" t="s">
        <v>115</v>
      </c>
      <c r="W1101" s="135" t="s">
        <v>115</v>
      </c>
      <c r="X1101" s="135" t="s">
        <v>115</v>
      </c>
      <c r="Y1101" s="135" t="s">
        <v>115</v>
      </c>
      <c r="Z1101" s="133"/>
      <c r="AA1101" s="133"/>
      <c r="AB1101" s="133" t="s">
        <v>115</v>
      </c>
      <c r="AC1101" s="134" t="s">
        <v>115</v>
      </c>
      <c r="AD1101" s="134"/>
      <c r="AE1101" s="133"/>
      <c r="AF1101" s="133"/>
      <c r="AG1101" s="133"/>
      <c r="AH1101" s="139">
        <v>0</v>
      </c>
      <c r="AI1101" s="139">
        <v>35</v>
      </c>
      <c r="AJ1101" s="139">
        <v>0</v>
      </c>
      <c r="AK1101" s="139">
        <v>35</v>
      </c>
      <c r="AL1101" s="139">
        <v>0</v>
      </c>
      <c r="AM1101" s="139">
        <v>0</v>
      </c>
      <c r="AN1101" s="133">
        <f t="shared" si="18"/>
        <v>35</v>
      </c>
      <c r="AO1101" s="133"/>
      <c r="AP1101" s="133"/>
      <c r="AQ1101" s="133"/>
      <c r="AR1101" s="133"/>
      <c r="AS1101" s="133"/>
      <c r="AT1101" s="133"/>
      <c r="AU1101" s="133"/>
      <c r="AV1101" s="133"/>
    </row>
    <row r="1102" spans="1:48" s="133" customFormat="1" x14ac:dyDescent="0.2">
      <c r="A1102" s="133" t="s">
        <v>1911</v>
      </c>
      <c r="B1102" s="133" t="s">
        <v>5027</v>
      </c>
      <c r="C1102" s="133">
        <v>4</v>
      </c>
      <c r="D1102" s="133">
        <v>1</v>
      </c>
      <c r="E1102" s="133" t="s">
        <v>2601</v>
      </c>
      <c r="F1102" s="138">
        <v>43402</v>
      </c>
      <c r="G1102" s="136" t="s">
        <v>4033</v>
      </c>
      <c r="H1102" s="136" t="s">
        <v>4724</v>
      </c>
      <c r="I1102" s="148">
        <v>1.3888888888888888E-2</v>
      </c>
      <c r="J1102" s="174">
        <v>2.3148148148148146E-4</v>
      </c>
      <c r="K1102" s="139">
        <v>20</v>
      </c>
      <c r="L1102" s="133" t="s">
        <v>2028</v>
      </c>
      <c r="M1102" s="133" t="s">
        <v>177</v>
      </c>
      <c r="N1102" s="133" t="s">
        <v>102</v>
      </c>
      <c r="O1102" s="133" t="s">
        <v>23</v>
      </c>
      <c r="P1102" s="133" t="s">
        <v>24</v>
      </c>
      <c r="R1102" s="133">
        <v>0</v>
      </c>
      <c r="T1102" s="133" t="s">
        <v>115</v>
      </c>
      <c r="U1102" s="133" t="s">
        <v>115</v>
      </c>
      <c r="V1102" s="133" t="s">
        <v>115</v>
      </c>
      <c r="W1102" s="135" t="s">
        <v>115</v>
      </c>
      <c r="X1102" s="135" t="s">
        <v>115</v>
      </c>
      <c r="Y1102" s="135" t="s">
        <v>115</v>
      </c>
      <c r="AB1102" s="133" t="s">
        <v>115</v>
      </c>
      <c r="AC1102" s="134" t="s">
        <v>115</v>
      </c>
      <c r="AD1102" s="134"/>
      <c r="AH1102" s="139">
        <v>0</v>
      </c>
      <c r="AI1102" s="139">
        <v>20</v>
      </c>
      <c r="AJ1102" s="139">
        <v>0</v>
      </c>
      <c r="AK1102" s="139">
        <v>20</v>
      </c>
      <c r="AL1102" s="139">
        <v>0</v>
      </c>
      <c r="AM1102" s="139">
        <v>0</v>
      </c>
      <c r="AN1102" s="133">
        <f t="shared" si="18"/>
        <v>20</v>
      </c>
    </row>
    <row r="1103" spans="1:48" s="133" customFormat="1" x14ac:dyDescent="0.2">
      <c r="A1103" s="133" t="s">
        <v>1912</v>
      </c>
      <c r="B1103" s="133" t="s">
        <v>5028</v>
      </c>
      <c r="C1103" s="133">
        <v>5</v>
      </c>
      <c r="D1103" s="133">
        <v>1</v>
      </c>
      <c r="E1103" s="133" t="s">
        <v>2601</v>
      </c>
      <c r="F1103" s="138">
        <v>43402</v>
      </c>
      <c r="G1103" s="136" t="s">
        <v>4033</v>
      </c>
      <c r="H1103" s="136" t="s">
        <v>4724</v>
      </c>
      <c r="I1103" s="148">
        <v>3.125E-2</v>
      </c>
      <c r="J1103" s="174">
        <v>5.2083333333333333E-4</v>
      </c>
      <c r="K1103" s="139">
        <v>45</v>
      </c>
      <c r="L1103" s="133" t="s">
        <v>2028</v>
      </c>
      <c r="M1103" s="133" t="s">
        <v>177</v>
      </c>
      <c r="N1103" s="133" t="s">
        <v>102</v>
      </c>
      <c r="O1103" s="133" t="s">
        <v>23</v>
      </c>
      <c r="P1103" s="133" t="s">
        <v>24</v>
      </c>
      <c r="R1103" s="133" t="s">
        <v>24</v>
      </c>
      <c r="S1103" s="133" t="s">
        <v>176</v>
      </c>
      <c r="T1103" s="133" t="s">
        <v>176</v>
      </c>
      <c r="U1103" s="133" t="s">
        <v>115</v>
      </c>
      <c r="V1103" s="133" t="s">
        <v>115</v>
      </c>
      <c r="AB1103" s="133" t="s">
        <v>115</v>
      </c>
      <c r="AC1103" s="134" t="s">
        <v>115</v>
      </c>
      <c r="AD1103" s="134"/>
      <c r="AH1103" s="139">
        <v>0</v>
      </c>
      <c r="AI1103" s="139">
        <v>45</v>
      </c>
      <c r="AJ1103" s="139">
        <v>13</v>
      </c>
      <c r="AK1103" s="139">
        <v>32</v>
      </c>
      <c r="AL1103" s="139">
        <v>0</v>
      </c>
      <c r="AM1103" s="139">
        <v>0</v>
      </c>
      <c r="AN1103" s="133">
        <f t="shared" si="18"/>
        <v>45</v>
      </c>
      <c r="AS1103" s="135"/>
      <c r="AT1103" s="135"/>
      <c r="AU1103" s="135"/>
      <c r="AV1103" s="135"/>
    </row>
    <row r="1104" spans="1:48" s="133" customFormat="1" x14ac:dyDescent="0.2">
      <c r="A1104" s="133" t="s">
        <v>1913</v>
      </c>
      <c r="B1104" s="133" t="s">
        <v>5029</v>
      </c>
      <c r="C1104" s="133">
        <v>6</v>
      </c>
      <c r="D1104" s="133">
        <v>1</v>
      </c>
      <c r="E1104" s="133" t="s">
        <v>2601</v>
      </c>
      <c r="F1104" s="138">
        <v>43402</v>
      </c>
      <c r="G1104" s="136" t="s">
        <v>4033</v>
      </c>
      <c r="H1104" s="136" t="s">
        <v>4724</v>
      </c>
      <c r="I1104" s="148">
        <v>2.4999999999999998E-2</v>
      </c>
      <c r="J1104" s="174">
        <v>4.1666666666666669E-4</v>
      </c>
      <c r="K1104" s="139">
        <v>36</v>
      </c>
      <c r="L1104" s="133" t="s">
        <v>2028</v>
      </c>
      <c r="M1104" s="133" t="s">
        <v>177</v>
      </c>
      <c r="N1104" s="133" t="s">
        <v>102</v>
      </c>
      <c r="O1104" s="133" t="s">
        <v>23</v>
      </c>
      <c r="P1104" s="133" t="s">
        <v>24</v>
      </c>
      <c r="R1104" s="133" t="s">
        <v>24</v>
      </c>
      <c r="S1104" s="133" t="s">
        <v>176</v>
      </c>
      <c r="T1104" s="133" t="s">
        <v>176</v>
      </c>
      <c r="U1104" s="133" t="s">
        <v>115</v>
      </c>
      <c r="V1104" s="133" t="s">
        <v>115</v>
      </c>
      <c r="AB1104" s="133" t="s">
        <v>115</v>
      </c>
      <c r="AC1104" s="134" t="s">
        <v>115</v>
      </c>
      <c r="AD1104" s="134"/>
      <c r="AH1104" s="139">
        <v>7</v>
      </c>
      <c r="AI1104" s="139">
        <v>13</v>
      </c>
      <c r="AJ1104" s="139">
        <v>7</v>
      </c>
      <c r="AK1104" s="139">
        <v>13</v>
      </c>
      <c r="AL1104" s="139">
        <v>0</v>
      </c>
      <c r="AM1104" s="139">
        <v>0</v>
      </c>
      <c r="AN1104" s="133">
        <f t="shared" si="18"/>
        <v>20</v>
      </c>
    </row>
    <row r="1105" spans="1:48" s="133" customFormat="1" x14ac:dyDescent="0.2">
      <c r="A1105" s="133" t="s">
        <v>1917</v>
      </c>
      <c r="B1105" s="133" t="s">
        <v>5043</v>
      </c>
      <c r="C1105" s="133">
        <v>10</v>
      </c>
      <c r="D1105" s="133">
        <v>1</v>
      </c>
      <c r="E1105" s="133" t="s">
        <v>2601</v>
      </c>
      <c r="F1105" s="138">
        <v>43402</v>
      </c>
      <c r="G1105" s="136" t="s">
        <v>4033</v>
      </c>
      <c r="H1105" s="136" t="s">
        <v>4724</v>
      </c>
      <c r="I1105" s="148">
        <v>2.0833333333333332E-2</v>
      </c>
      <c r="J1105" s="174">
        <v>3.4722222222222224E-4</v>
      </c>
      <c r="K1105" s="139">
        <v>30</v>
      </c>
      <c r="L1105" s="133" t="s">
        <v>2028</v>
      </c>
      <c r="M1105" s="133" t="s">
        <v>177</v>
      </c>
      <c r="N1105" s="133" t="s">
        <v>102</v>
      </c>
      <c r="O1105" s="133" t="s">
        <v>23</v>
      </c>
      <c r="P1105" s="133">
        <v>0</v>
      </c>
      <c r="R1105" s="133">
        <v>0</v>
      </c>
      <c r="T1105" s="133" t="s">
        <v>115</v>
      </c>
      <c r="U1105" s="133" t="s">
        <v>115</v>
      </c>
      <c r="V1105" s="133" t="s">
        <v>115</v>
      </c>
      <c r="W1105" s="135" t="s">
        <v>115</v>
      </c>
      <c r="X1105" s="135" t="s">
        <v>115</v>
      </c>
      <c r="Y1105" s="135" t="s">
        <v>115</v>
      </c>
      <c r="Z1105" s="135"/>
      <c r="AA1105" s="135"/>
      <c r="AB1105" s="133" t="s">
        <v>115</v>
      </c>
      <c r="AC1105" s="134" t="s">
        <v>115</v>
      </c>
      <c r="AD1105" s="134"/>
      <c r="AE1105" s="135"/>
      <c r="AF1105" s="135"/>
      <c r="AG1105" s="135"/>
      <c r="AH1105" s="139">
        <v>0</v>
      </c>
      <c r="AI1105" s="139">
        <v>19</v>
      </c>
      <c r="AJ1105" s="139">
        <v>0</v>
      </c>
      <c r="AK1105" s="139">
        <v>19</v>
      </c>
      <c r="AL1105" s="139">
        <v>0</v>
      </c>
      <c r="AM1105" s="139">
        <v>0</v>
      </c>
      <c r="AN1105" s="133">
        <f t="shared" si="18"/>
        <v>19</v>
      </c>
    </row>
    <row r="1106" spans="1:48" s="135" customFormat="1" x14ac:dyDescent="0.2">
      <c r="A1106" s="133" t="s">
        <v>1926</v>
      </c>
      <c r="B1106" s="133" t="s">
        <v>5046</v>
      </c>
      <c r="C1106" s="133">
        <v>16</v>
      </c>
      <c r="D1106" s="133">
        <v>1</v>
      </c>
      <c r="E1106" s="133" t="s">
        <v>2601</v>
      </c>
      <c r="F1106" s="138">
        <v>43402</v>
      </c>
      <c r="G1106" s="136" t="s">
        <v>4033</v>
      </c>
      <c r="H1106" s="136" t="s">
        <v>4724</v>
      </c>
      <c r="I1106" s="148">
        <v>4.8611111111111112E-3</v>
      </c>
      <c r="J1106" s="174">
        <v>8.1018518518518516E-5</v>
      </c>
      <c r="K1106" s="139">
        <v>7</v>
      </c>
      <c r="L1106" s="133" t="s">
        <v>2028</v>
      </c>
      <c r="M1106" s="133" t="s">
        <v>177</v>
      </c>
      <c r="N1106" s="133" t="s">
        <v>102</v>
      </c>
      <c r="O1106" s="133" t="s">
        <v>23</v>
      </c>
      <c r="P1106" s="133">
        <v>0</v>
      </c>
      <c r="Q1106" s="133"/>
      <c r="R1106" s="133">
        <v>0</v>
      </c>
      <c r="S1106" s="133"/>
      <c r="T1106" s="133" t="s">
        <v>115</v>
      </c>
      <c r="U1106" s="133" t="s">
        <v>115</v>
      </c>
      <c r="V1106" s="133" t="s">
        <v>115</v>
      </c>
      <c r="W1106" s="135" t="s">
        <v>115</v>
      </c>
      <c r="X1106" s="135" t="s">
        <v>115</v>
      </c>
      <c r="Y1106" s="135" t="s">
        <v>115</v>
      </c>
      <c r="Z1106" s="133"/>
      <c r="AA1106" s="133"/>
      <c r="AB1106" s="133" t="s">
        <v>115</v>
      </c>
      <c r="AC1106" s="134" t="s">
        <v>115</v>
      </c>
      <c r="AD1106" s="134"/>
      <c r="AE1106" s="133"/>
      <c r="AF1106" s="133"/>
      <c r="AG1106" s="133"/>
      <c r="AH1106" s="139">
        <v>0</v>
      </c>
      <c r="AI1106" s="139">
        <v>7</v>
      </c>
      <c r="AJ1106" s="139">
        <v>0</v>
      </c>
      <c r="AK1106" s="139">
        <v>7</v>
      </c>
      <c r="AL1106" s="139">
        <v>0</v>
      </c>
      <c r="AM1106" s="139">
        <v>0</v>
      </c>
      <c r="AN1106" s="133">
        <f t="shared" si="18"/>
        <v>7</v>
      </c>
      <c r="AO1106" s="133"/>
      <c r="AP1106" s="133"/>
      <c r="AQ1106" s="133"/>
      <c r="AR1106" s="133"/>
      <c r="AS1106" s="133"/>
      <c r="AT1106" s="133"/>
      <c r="AU1106" s="133"/>
      <c r="AV1106" s="133"/>
    </row>
    <row r="1107" spans="1:48" s="133" customFormat="1" x14ac:dyDescent="0.2">
      <c r="A1107" s="133" t="s">
        <v>1709</v>
      </c>
      <c r="B1107" s="133" t="s">
        <v>1710</v>
      </c>
      <c r="C1107" s="133">
        <v>2</v>
      </c>
      <c r="D1107" s="133">
        <v>1</v>
      </c>
      <c r="E1107" s="133" t="s">
        <v>213</v>
      </c>
      <c r="F1107" s="138">
        <v>43396</v>
      </c>
      <c r="G1107" s="136" t="s">
        <v>4033</v>
      </c>
      <c r="H1107" s="136" t="s">
        <v>4724</v>
      </c>
      <c r="I1107" s="148">
        <v>1.1805555555555555E-2</v>
      </c>
      <c r="J1107" s="174">
        <v>1.9675925925925926E-4</v>
      </c>
      <c r="K1107" s="139">
        <v>17</v>
      </c>
      <c r="M1107" s="133" t="s">
        <v>1711</v>
      </c>
      <c r="N1107" s="133" t="s">
        <v>1310</v>
      </c>
      <c r="O1107" s="133" t="s">
        <v>23</v>
      </c>
      <c r="P1107" s="133">
        <v>1</v>
      </c>
      <c r="R1107" s="133">
        <v>0</v>
      </c>
      <c r="S1107" s="133" t="s">
        <v>176</v>
      </c>
      <c r="T1107" s="133" t="s">
        <v>1712</v>
      </c>
      <c r="U1107" s="133" t="s">
        <v>1254</v>
      </c>
      <c r="V1107" s="133" t="s">
        <v>115</v>
      </c>
      <c r="W1107" s="135" t="s">
        <v>115</v>
      </c>
      <c r="X1107" s="135" t="s">
        <v>115</v>
      </c>
      <c r="Y1107" s="135" t="s">
        <v>115</v>
      </c>
      <c r="Z1107" s="135"/>
      <c r="AA1107" s="135"/>
      <c r="AB1107" s="133" t="s">
        <v>115</v>
      </c>
      <c r="AC1107" s="134" t="s">
        <v>115</v>
      </c>
      <c r="AD1107" s="134"/>
      <c r="AE1107" s="135"/>
      <c r="AF1107" s="135"/>
      <c r="AG1107" s="135"/>
      <c r="AH1107" s="139">
        <v>10</v>
      </c>
      <c r="AI1107" s="139">
        <v>0</v>
      </c>
      <c r="AJ1107" s="139">
        <v>0</v>
      </c>
      <c r="AK1107" s="139">
        <v>10</v>
      </c>
      <c r="AL1107" s="139">
        <v>0</v>
      </c>
      <c r="AM1107" s="139">
        <v>0</v>
      </c>
      <c r="AN1107" s="133">
        <f t="shared" si="18"/>
        <v>10</v>
      </c>
      <c r="AS1107" s="135"/>
      <c r="AT1107" s="135"/>
      <c r="AU1107" s="135"/>
      <c r="AV1107" s="135"/>
    </row>
    <row r="1108" spans="1:48" s="133" customFormat="1" x14ac:dyDescent="0.2">
      <c r="A1108" s="133" t="s">
        <v>1713</v>
      </c>
      <c r="B1108" s="133" t="s">
        <v>1702</v>
      </c>
      <c r="C1108" s="133">
        <v>3</v>
      </c>
      <c r="D1108" s="133">
        <v>1</v>
      </c>
      <c r="E1108" s="133" t="s">
        <v>213</v>
      </c>
      <c r="F1108" s="138">
        <v>43396</v>
      </c>
      <c r="G1108" s="136" t="s">
        <v>4033</v>
      </c>
      <c r="H1108" s="136" t="s">
        <v>4724</v>
      </c>
      <c r="I1108" s="148">
        <v>9.7222222222222224E-3</v>
      </c>
      <c r="J1108" s="174">
        <v>1.6203703703703703E-4</v>
      </c>
      <c r="K1108" s="139">
        <v>14</v>
      </c>
      <c r="M1108" s="133" t="s">
        <v>1711</v>
      </c>
      <c r="N1108" s="133" t="s">
        <v>107</v>
      </c>
      <c r="O1108" s="133" t="s">
        <v>23</v>
      </c>
      <c r="P1108" s="133">
        <v>1</v>
      </c>
      <c r="R1108" s="133">
        <v>0</v>
      </c>
      <c r="S1108" s="133" t="s">
        <v>176</v>
      </c>
      <c r="T1108" s="133" t="s">
        <v>1712</v>
      </c>
      <c r="U1108" s="133" t="s">
        <v>24</v>
      </c>
      <c r="V1108" s="133" t="s">
        <v>115</v>
      </c>
      <c r="W1108" s="135" t="s">
        <v>115</v>
      </c>
      <c r="X1108" s="135" t="s">
        <v>115</v>
      </c>
      <c r="Y1108" s="135" t="s">
        <v>115</v>
      </c>
      <c r="Z1108" s="135"/>
      <c r="AA1108" s="135"/>
      <c r="AB1108" s="133" t="s">
        <v>115</v>
      </c>
      <c r="AC1108" s="134" t="s">
        <v>115</v>
      </c>
      <c r="AD1108" s="134"/>
      <c r="AE1108" s="135"/>
      <c r="AF1108" s="135"/>
      <c r="AG1108" s="135"/>
      <c r="AH1108" s="139">
        <v>0</v>
      </c>
      <c r="AI1108" s="139">
        <v>0</v>
      </c>
      <c r="AJ1108" s="139">
        <v>0</v>
      </c>
      <c r="AK1108" s="139">
        <v>0</v>
      </c>
      <c r="AL1108" s="139">
        <v>0</v>
      </c>
      <c r="AM1108" s="139">
        <v>0</v>
      </c>
      <c r="AN1108" s="133">
        <f t="shared" si="18"/>
        <v>0</v>
      </c>
      <c r="AP1108" s="133" t="s">
        <v>1714</v>
      </c>
      <c r="AS1108" s="135"/>
      <c r="AT1108" s="135"/>
      <c r="AU1108" s="135"/>
      <c r="AV1108" s="135"/>
    </row>
    <row r="1109" spans="1:48" s="133" customFormat="1" x14ac:dyDescent="0.2">
      <c r="A1109" s="133" t="s">
        <v>1181</v>
      </c>
      <c r="B1109" s="133" t="s">
        <v>1184</v>
      </c>
      <c r="C1109" s="133">
        <v>1</v>
      </c>
      <c r="D1109" s="133">
        <v>1</v>
      </c>
      <c r="E1109" s="133" t="s">
        <v>521</v>
      </c>
      <c r="F1109" s="138">
        <v>43381</v>
      </c>
      <c r="G1109" s="136" t="s">
        <v>4033</v>
      </c>
      <c r="H1109" s="136" t="s">
        <v>4724</v>
      </c>
      <c r="I1109" s="148">
        <v>1.1805555555555555E-2</v>
      </c>
      <c r="J1109" s="174">
        <v>1.9675925925925926E-4</v>
      </c>
      <c r="K1109" s="139">
        <v>17</v>
      </c>
      <c r="L1109" s="133" t="s">
        <v>101</v>
      </c>
      <c r="M1109" s="133" t="s">
        <v>2488</v>
      </c>
      <c r="N1109" s="133" t="s">
        <v>111</v>
      </c>
      <c r="O1109" s="133" t="s">
        <v>23</v>
      </c>
      <c r="P1109" s="133">
        <v>0</v>
      </c>
      <c r="R1109" s="133">
        <v>2</v>
      </c>
      <c r="S1109" s="133" t="s">
        <v>176</v>
      </c>
      <c r="T1109" s="133" t="s">
        <v>176</v>
      </c>
      <c r="U1109" s="133" t="s">
        <v>24</v>
      </c>
      <c r="V1109" s="133" t="s">
        <v>709</v>
      </c>
      <c r="W1109" s="140" t="s">
        <v>23</v>
      </c>
      <c r="X1109" s="140" t="s">
        <v>4004</v>
      </c>
      <c r="Y1109" s="140" t="s">
        <v>4005</v>
      </c>
      <c r="AB1109" s="133" t="s">
        <v>24</v>
      </c>
      <c r="AC1109" s="134" t="s">
        <v>246</v>
      </c>
      <c r="AD1109" s="134"/>
      <c r="AH1109" s="139">
        <v>0</v>
      </c>
      <c r="AI1109" s="139">
        <v>0</v>
      </c>
      <c r="AJ1109" s="139">
        <v>0</v>
      </c>
      <c r="AK1109" s="139">
        <v>0</v>
      </c>
      <c r="AL1109" s="139">
        <v>0</v>
      </c>
      <c r="AM1109" s="133">
        <v>0</v>
      </c>
      <c r="AN1109" s="133">
        <f t="shared" si="18"/>
        <v>0</v>
      </c>
      <c r="AP1109" s="133" t="s">
        <v>4995</v>
      </c>
    </row>
    <row r="1110" spans="1:48" s="133" customFormat="1" x14ac:dyDescent="0.2">
      <c r="A1110" s="135" t="s">
        <v>1183</v>
      </c>
      <c r="B1110" s="135" t="s">
        <v>1185</v>
      </c>
      <c r="C1110" s="135">
        <v>2</v>
      </c>
      <c r="D1110" s="135">
        <v>1</v>
      </c>
      <c r="E1110" s="135" t="s">
        <v>521</v>
      </c>
      <c r="F1110" s="136">
        <v>43381</v>
      </c>
      <c r="G1110" s="136" t="s">
        <v>4033</v>
      </c>
      <c r="H1110" s="136" t="s">
        <v>4724</v>
      </c>
      <c r="I1110" s="172">
        <v>2.2916666666666669E-2</v>
      </c>
      <c r="J1110" s="175">
        <v>3.8194444444444446E-4</v>
      </c>
      <c r="K1110" s="143">
        <v>33</v>
      </c>
      <c r="L1110" s="135" t="s">
        <v>101</v>
      </c>
      <c r="M1110" s="133" t="s">
        <v>2488</v>
      </c>
      <c r="N1110" s="135" t="s">
        <v>111</v>
      </c>
      <c r="O1110" s="135" t="s">
        <v>23</v>
      </c>
      <c r="P1110" s="135">
        <v>1</v>
      </c>
      <c r="Q1110" s="135"/>
      <c r="R1110" s="135">
        <v>1</v>
      </c>
      <c r="S1110" s="133" t="s">
        <v>176</v>
      </c>
      <c r="T1110" s="135" t="s">
        <v>176</v>
      </c>
      <c r="U1110" s="135" t="s">
        <v>122</v>
      </c>
      <c r="V1110" s="135" t="s">
        <v>3963</v>
      </c>
      <c r="W1110" s="135" t="s">
        <v>23</v>
      </c>
      <c r="X1110" s="135" t="s">
        <v>3997</v>
      </c>
      <c r="Y1110" s="135" t="s">
        <v>4007</v>
      </c>
      <c r="AB1110" s="135">
        <v>2</v>
      </c>
      <c r="AC1110" s="137">
        <v>63.719540000000002</v>
      </c>
      <c r="AD1110" s="137">
        <v>148.98946000000001</v>
      </c>
      <c r="AH1110" s="143">
        <v>0</v>
      </c>
      <c r="AI1110" s="143">
        <v>0</v>
      </c>
      <c r="AJ1110" s="143">
        <v>0</v>
      </c>
      <c r="AK1110" s="143">
        <v>0</v>
      </c>
      <c r="AL1110" s="143">
        <v>13</v>
      </c>
      <c r="AM1110" s="135">
        <v>0</v>
      </c>
      <c r="AN1110" s="135">
        <f t="shared" si="18"/>
        <v>13</v>
      </c>
      <c r="AO1110" s="135"/>
      <c r="AP1110" s="135"/>
      <c r="AQ1110" s="135"/>
      <c r="AR1110" s="135"/>
      <c r="AS1110" s="135"/>
      <c r="AT1110" s="135"/>
      <c r="AU1110" s="135"/>
      <c r="AV1110" s="135"/>
    </row>
    <row r="1111" spans="1:48" s="133" customFormat="1" x14ac:dyDescent="0.2">
      <c r="A1111" s="133" t="s">
        <v>1183</v>
      </c>
      <c r="B1111" s="133" t="s">
        <v>1185</v>
      </c>
      <c r="C1111" s="133">
        <v>2</v>
      </c>
      <c r="D1111" s="133">
        <v>2</v>
      </c>
      <c r="E1111" s="133" t="s">
        <v>521</v>
      </c>
      <c r="F1111" s="138">
        <v>43381</v>
      </c>
      <c r="G1111" s="136" t="s">
        <v>4033</v>
      </c>
      <c r="H1111" s="136" t="s">
        <v>4724</v>
      </c>
      <c r="I1111" s="148">
        <v>2.2916666666666669E-2</v>
      </c>
      <c r="J1111" s="174">
        <v>3.8194444444444446E-4</v>
      </c>
      <c r="K1111" s="139">
        <v>33</v>
      </c>
      <c r="L1111" s="133" t="s">
        <v>101</v>
      </c>
      <c r="M1111" s="133" t="s">
        <v>2488</v>
      </c>
      <c r="N1111" s="133" t="s">
        <v>156</v>
      </c>
      <c r="O1111" s="133" t="s">
        <v>23</v>
      </c>
      <c r="P1111" s="133">
        <v>1</v>
      </c>
      <c r="R1111" s="133">
        <v>1</v>
      </c>
      <c r="S1111" s="133" t="s">
        <v>14</v>
      </c>
      <c r="T1111" s="133" t="s">
        <v>2128</v>
      </c>
      <c r="U1111" s="133" t="s">
        <v>122</v>
      </c>
      <c r="V1111" s="133" t="s">
        <v>2061</v>
      </c>
      <c r="W1111" s="135" t="s">
        <v>23</v>
      </c>
      <c r="X1111" s="135" t="s">
        <v>3999</v>
      </c>
      <c r="Y1111" s="135" t="s">
        <v>4006</v>
      </c>
      <c r="AB1111" s="133">
        <v>14</v>
      </c>
      <c r="AC1111" s="134">
        <v>63.719450000000002</v>
      </c>
      <c r="AD1111" s="134">
        <v>148.98935</v>
      </c>
      <c r="AH1111" s="139">
        <v>0</v>
      </c>
      <c r="AI1111" s="139">
        <v>0</v>
      </c>
      <c r="AJ1111" s="139">
        <v>0</v>
      </c>
      <c r="AK1111" s="139">
        <v>0</v>
      </c>
      <c r="AL1111" s="139">
        <v>0</v>
      </c>
      <c r="AM1111" s="133">
        <v>0</v>
      </c>
      <c r="AN1111" s="133">
        <f t="shared" si="18"/>
        <v>0</v>
      </c>
    </row>
    <row r="1112" spans="1:48" s="133" customFormat="1" x14ac:dyDescent="0.2">
      <c r="A1112" s="133" t="s">
        <v>1186</v>
      </c>
      <c r="B1112" s="133" t="s">
        <v>1187</v>
      </c>
      <c r="C1112" s="133">
        <v>3</v>
      </c>
      <c r="D1112" s="133">
        <v>1</v>
      </c>
      <c r="E1112" s="133" t="s">
        <v>521</v>
      </c>
      <c r="F1112" s="138">
        <v>43381</v>
      </c>
      <c r="G1112" s="136" t="s">
        <v>4033</v>
      </c>
      <c r="H1112" s="136" t="s">
        <v>4724</v>
      </c>
      <c r="I1112" s="148">
        <v>2.2222222222222223E-2</v>
      </c>
      <c r="J1112" s="174">
        <v>3.7037037037037035E-4</v>
      </c>
      <c r="K1112" s="139">
        <v>32</v>
      </c>
      <c r="L1112" s="133" t="s">
        <v>101</v>
      </c>
      <c r="M1112" s="133" t="s">
        <v>2488</v>
      </c>
      <c r="N1112" s="133" t="s">
        <v>111</v>
      </c>
      <c r="O1112" s="133" t="s">
        <v>23</v>
      </c>
      <c r="P1112" s="133">
        <v>0</v>
      </c>
      <c r="R1112" s="133">
        <v>1</v>
      </c>
      <c r="S1112" s="133" t="s">
        <v>14</v>
      </c>
      <c r="T1112" s="133" t="s">
        <v>2128</v>
      </c>
      <c r="U1112" s="133" t="s">
        <v>122</v>
      </c>
      <c r="V1112" s="133" t="s">
        <v>2061</v>
      </c>
      <c r="W1112" s="135" t="s">
        <v>23</v>
      </c>
      <c r="X1112" s="135" t="s">
        <v>3999</v>
      </c>
      <c r="Y1112" s="135" t="s">
        <v>4006</v>
      </c>
      <c r="Z1112" s="135"/>
      <c r="AA1112" s="135"/>
      <c r="AB1112" s="133">
        <v>14</v>
      </c>
      <c r="AC1112" s="134">
        <v>63.719450000000002</v>
      </c>
      <c r="AD1112" s="134">
        <v>148.98935</v>
      </c>
      <c r="AE1112" s="135"/>
      <c r="AF1112" s="135"/>
      <c r="AG1112" s="135"/>
      <c r="AH1112" s="139">
        <v>0</v>
      </c>
      <c r="AI1112" s="139">
        <v>0</v>
      </c>
      <c r="AJ1112" s="139">
        <v>0</v>
      </c>
      <c r="AK1112" s="139">
        <v>0</v>
      </c>
      <c r="AL1112" s="139">
        <v>0</v>
      </c>
      <c r="AM1112" s="133">
        <v>0</v>
      </c>
      <c r="AN1112" s="133">
        <f t="shared" si="18"/>
        <v>0</v>
      </c>
      <c r="AP1112" s="133" t="s">
        <v>4996</v>
      </c>
    </row>
    <row r="1113" spans="1:48" s="133" customFormat="1" x14ac:dyDescent="0.2">
      <c r="A1113" s="135" t="s">
        <v>1372</v>
      </c>
      <c r="B1113" s="135" t="s">
        <v>1373</v>
      </c>
      <c r="C1113" s="135">
        <v>11</v>
      </c>
      <c r="D1113" s="135">
        <v>1</v>
      </c>
      <c r="E1113" s="135" t="s">
        <v>2487</v>
      </c>
      <c r="F1113" s="136">
        <v>43388</v>
      </c>
      <c r="G1113" s="136" t="s">
        <v>4033</v>
      </c>
      <c r="H1113" s="136" t="s">
        <v>4724</v>
      </c>
      <c r="I1113" s="172">
        <v>4.8611111111111112E-2</v>
      </c>
      <c r="J1113" s="175">
        <v>8.1018518518518516E-4</v>
      </c>
      <c r="K1113" s="143">
        <v>70</v>
      </c>
      <c r="L1113" s="135" t="s">
        <v>398</v>
      </c>
      <c r="M1113" s="133" t="s">
        <v>2488</v>
      </c>
      <c r="N1113" s="135" t="s">
        <v>102</v>
      </c>
      <c r="O1113" s="135" t="s">
        <v>115</v>
      </c>
      <c r="P1113" s="135">
        <v>1</v>
      </c>
      <c r="Q1113" s="135"/>
      <c r="R1113" s="135">
        <v>0</v>
      </c>
      <c r="S1113" s="133" t="s">
        <v>461</v>
      </c>
      <c r="T1113" s="135" t="s">
        <v>2125</v>
      </c>
      <c r="U1113" s="135" t="s">
        <v>122</v>
      </c>
      <c r="V1113" s="135" t="s">
        <v>115</v>
      </c>
      <c r="W1113" s="135" t="s">
        <v>115</v>
      </c>
      <c r="X1113" s="135" t="s">
        <v>115</v>
      </c>
      <c r="Y1113" s="135" t="s">
        <v>115</v>
      </c>
      <c r="AB1113" s="135" t="s">
        <v>115</v>
      </c>
      <c r="AC1113" s="137" t="s">
        <v>115</v>
      </c>
      <c r="AD1113" s="137"/>
      <c r="AH1113" s="143">
        <v>0</v>
      </c>
      <c r="AI1113" s="143">
        <v>0</v>
      </c>
      <c r="AJ1113" s="143">
        <v>0</v>
      </c>
      <c r="AK1113" s="143">
        <v>0</v>
      </c>
      <c r="AL1113" s="143">
        <v>0</v>
      </c>
      <c r="AM1113" s="135">
        <v>0</v>
      </c>
      <c r="AN1113" s="135">
        <f t="shared" si="18"/>
        <v>0</v>
      </c>
      <c r="AO1113" s="135"/>
      <c r="AP1113" s="135"/>
      <c r="AQ1113" s="135"/>
      <c r="AR1113" s="135"/>
    </row>
    <row r="1114" spans="1:48" s="133" customFormat="1" x14ac:dyDescent="0.2">
      <c r="A1114" s="133" t="s">
        <v>1374</v>
      </c>
      <c r="B1114" s="133" t="s">
        <v>1375</v>
      </c>
      <c r="C1114" s="133">
        <v>12</v>
      </c>
      <c r="D1114" s="133">
        <v>1</v>
      </c>
      <c r="E1114" s="133" t="s">
        <v>2487</v>
      </c>
      <c r="F1114" s="138">
        <v>43388</v>
      </c>
      <c r="G1114" s="136" t="s">
        <v>4033</v>
      </c>
      <c r="H1114" s="136" t="s">
        <v>4724</v>
      </c>
      <c r="I1114" s="148">
        <v>6.9444444444444441E-3</v>
      </c>
      <c r="J1114" s="174">
        <v>1.1574074074074073E-4</v>
      </c>
      <c r="K1114" s="139">
        <v>10</v>
      </c>
      <c r="L1114" s="133" t="s">
        <v>398</v>
      </c>
      <c r="M1114" s="133" t="s">
        <v>2488</v>
      </c>
      <c r="N1114" s="133" t="s">
        <v>111</v>
      </c>
      <c r="O1114" s="133" t="s">
        <v>23</v>
      </c>
      <c r="P1114" s="133">
        <v>0</v>
      </c>
      <c r="R1114" s="133">
        <v>1</v>
      </c>
      <c r="S1114" s="133" t="s">
        <v>461</v>
      </c>
      <c r="T1114" s="133" t="s">
        <v>2125</v>
      </c>
      <c r="U1114" s="133" t="s">
        <v>122</v>
      </c>
      <c r="V1114" s="133" t="s">
        <v>1035</v>
      </c>
      <c r="W1114" s="135" t="s">
        <v>23</v>
      </c>
      <c r="X1114" s="135" t="s">
        <v>3997</v>
      </c>
      <c r="Y1114" s="135" t="s">
        <v>4006</v>
      </c>
      <c r="AB1114" s="133">
        <v>31</v>
      </c>
      <c r="AC1114" s="134">
        <v>63.721730000000001</v>
      </c>
      <c r="AD1114" s="134">
        <v>148.98685</v>
      </c>
      <c r="AH1114" s="139">
        <v>0</v>
      </c>
      <c r="AI1114" s="139">
        <v>0</v>
      </c>
      <c r="AJ1114" s="139">
        <v>0</v>
      </c>
      <c r="AK1114" s="139">
        <v>0</v>
      </c>
      <c r="AL1114" s="143">
        <v>0</v>
      </c>
      <c r="AM1114" s="133">
        <v>0</v>
      </c>
      <c r="AN1114" s="133">
        <f t="shared" si="18"/>
        <v>0</v>
      </c>
      <c r="AP1114" s="133" t="s">
        <v>5003</v>
      </c>
      <c r="AS1114" s="135"/>
      <c r="AT1114" s="135"/>
      <c r="AU1114" s="135"/>
      <c r="AV1114" s="135"/>
    </row>
    <row r="1115" spans="1:48" s="133" customFormat="1" x14ac:dyDescent="0.2">
      <c r="A1115" s="135" t="s">
        <v>1377</v>
      </c>
      <c r="B1115" s="135" t="s">
        <v>1383</v>
      </c>
      <c r="C1115" s="135">
        <v>14</v>
      </c>
      <c r="D1115" s="135">
        <v>2</v>
      </c>
      <c r="E1115" s="135" t="s">
        <v>2487</v>
      </c>
      <c r="F1115" s="136">
        <v>43388</v>
      </c>
      <c r="G1115" s="136" t="s">
        <v>4033</v>
      </c>
      <c r="H1115" s="136" t="s">
        <v>4724</v>
      </c>
      <c r="I1115" s="172">
        <v>4.0972222222222222E-2</v>
      </c>
      <c r="J1115" s="175">
        <v>6.8287037037037025E-4</v>
      </c>
      <c r="K1115" s="143">
        <v>59</v>
      </c>
      <c r="L1115" s="135" t="s">
        <v>398</v>
      </c>
      <c r="M1115" s="133" t="s">
        <v>2488</v>
      </c>
      <c r="N1115" s="135" t="s">
        <v>102</v>
      </c>
      <c r="O1115" s="135" t="s">
        <v>115</v>
      </c>
      <c r="P1115" s="135">
        <v>1</v>
      </c>
      <c r="Q1115" s="135"/>
      <c r="R1115" s="135">
        <v>0</v>
      </c>
      <c r="S1115" s="133" t="s">
        <v>461</v>
      </c>
      <c r="T1115" s="135" t="s">
        <v>2125</v>
      </c>
      <c r="U1115" s="135" t="s">
        <v>122</v>
      </c>
      <c r="V1115" s="135" t="s">
        <v>115</v>
      </c>
      <c r="W1115" s="135" t="s">
        <v>115</v>
      </c>
      <c r="X1115" s="135" t="s">
        <v>115</v>
      </c>
      <c r="Y1115" s="135" t="s">
        <v>115</v>
      </c>
      <c r="Z1115" s="135"/>
      <c r="AA1115" s="135"/>
      <c r="AB1115" s="135" t="s">
        <v>115</v>
      </c>
      <c r="AC1115" s="137" t="s">
        <v>115</v>
      </c>
      <c r="AD1115" s="137"/>
      <c r="AE1115" s="135"/>
      <c r="AF1115" s="135"/>
      <c r="AG1115" s="135"/>
      <c r="AH1115" s="143">
        <v>0</v>
      </c>
      <c r="AI1115" s="143">
        <v>0</v>
      </c>
      <c r="AJ1115" s="143">
        <v>0</v>
      </c>
      <c r="AK1115" s="143">
        <v>0</v>
      </c>
      <c r="AL1115" s="143">
        <v>0</v>
      </c>
      <c r="AM1115" s="135">
        <v>0</v>
      </c>
      <c r="AN1115" s="135">
        <f t="shared" si="18"/>
        <v>0</v>
      </c>
      <c r="AO1115" s="135"/>
      <c r="AP1115" s="135"/>
      <c r="AQ1115" s="135"/>
      <c r="AR1115" s="135"/>
    </row>
    <row r="1116" spans="1:48" s="133" customFormat="1" x14ac:dyDescent="0.2">
      <c r="A1116" s="135" t="s">
        <v>1384</v>
      </c>
      <c r="B1116" s="135" t="s">
        <v>1385</v>
      </c>
      <c r="C1116" s="135">
        <v>15</v>
      </c>
      <c r="D1116" s="135">
        <v>1</v>
      </c>
      <c r="E1116" s="135" t="s">
        <v>2487</v>
      </c>
      <c r="F1116" s="136">
        <v>43388</v>
      </c>
      <c r="G1116" s="136" t="s">
        <v>4033</v>
      </c>
      <c r="H1116" s="136" t="s">
        <v>4724</v>
      </c>
      <c r="I1116" s="172">
        <v>2.6388888888888889E-2</v>
      </c>
      <c r="J1116" s="175">
        <v>4.3981481481481481E-4</v>
      </c>
      <c r="K1116" s="143">
        <v>38</v>
      </c>
      <c r="L1116" s="135" t="s">
        <v>398</v>
      </c>
      <c r="M1116" s="133" t="s">
        <v>2488</v>
      </c>
      <c r="N1116" s="135" t="s">
        <v>102</v>
      </c>
      <c r="O1116" s="135" t="s">
        <v>115</v>
      </c>
      <c r="P1116" s="135">
        <v>1</v>
      </c>
      <c r="Q1116" s="135"/>
      <c r="R1116" s="135">
        <v>0</v>
      </c>
      <c r="S1116" s="133" t="s">
        <v>461</v>
      </c>
      <c r="T1116" s="135" t="s">
        <v>2125</v>
      </c>
      <c r="U1116" s="135" t="s">
        <v>122</v>
      </c>
      <c r="V1116" s="135" t="s">
        <v>115</v>
      </c>
      <c r="W1116" s="135" t="s">
        <v>115</v>
      </c>
      <c r="X1116" s="135" t="s">
        <v>115</v>
      </c>
      <c r="Y1116" s="135" t="s">
        <v>115</v>
      </c>
      <c r="AB1116" s="135" t="s">
        <v>115</v>
      </c>
      <c r="AC1116" s="137" t="s">
        <v>115</v>
      </c>
      <c r="AD1116" s="137"/>
      <c r="AH1116" s="143">
        <v>0</v>
      </c>
      <c r="AI1116" s="143">
        <v>0</v>
      </c>
      <c r="AJ1116" s="143">
        <v>0</v>
      </c>
      <c r="AK1116" s="143">
        <v>0</v>
      </c>
      <c r="AL1116" s="143">
        <v>0</v>
      </c>
      <c r="AM1116" s="135">
        <v>0</v>
      </c>
      <c r="AN1116" s="135">
        <f t="shared" si="18"/>
        <v>0</v>
      </c>
      <c r="AO1116" s="135"/>
      <c r="AP1116" s="135"/>
      <c r="AQ1116" s="135"/>
      <c r="AR1116" s="135"/>
    </row>
    <row r="1117" spans="1:48" s="133" customFormat="1" x14ac:dyDescent="0.2">
      <c r="A1117" s="135" t="s">
        <v>1388</v>
      </c>
      <c r="B1117" s="135" t="s">
        <v>1389</v>
      </c>
      <c r="C1117" s="135">
        <v>17</v>
      </c>
      <c r="D1117" s="135">
        <v>1</v>
      </c>
      <c r="E1117" s="135" t="s">
        <v>2487</v>
      </c>
      <c r="F1117" s="136">
        <v>43388</v>
      </c>
      <c r="G1117" s="136" t="s">
        <v>4033</v>
      </c>
      <c r="H1117" s="136" t="s">
        <v>4724</v>
      </c>
      <c r="I1117" s="172">
        <v>0.1125</v>
      </c>
      <c r="J1117" s="175">
        <v>1.8750000000000001E-3</v>
      </c>
      <c r="K1117" s="143">
        <v>162</v>
      </c>
      <c r="L1117" s="135" t="s">
        <v>398</v>
      </c>
      <c r="M1117" s="133" t="s">
        <v>2488</v>
      </c>
      <c r="N1117" s="135" t="s">
        <v>102</v>
      </c>
      <c r="O1117" s="135" t="s">
        <v>115</v>
      </c>
      <c r="P1117" s="135">
        <v>2</v>
      </c>
      <c r="Q1117" s="135"/>
      <c r="R1117" s="135">
        <v>0</v>
      </c>
      <c r="S1117" s="133" t="s">
        <v>461</v>
      </c>
      <c r="T1117" s="135" t="s">
        <v>2125</v>
      </c>
      <c r="U1117" s="135" t="s">
        <v>122</v>
      </c>
      <c r="V1117" s="135" t="s">
        <v>115</v>
      </c>
      <c r="W1117" s="135" t="s">
        <v>115</v>
      </c>
      <c r="X1117" s="135" t="s">
        <v>115</v>
      </c>
      <c r="Y1117" s="135" t="s">
        <v>115</v>
      </c>
      <c r="Z1117" s="135"/>
      <c r="AA1117" s="135"/>
      <c r="AB1117" s="135" t="s">
        <v>115</v>
      </c>
      <c r="AC1117" s="137" t="s">
        <v>115</v>
      </c>
      <c r="AD1117" s="137"/>
      <c r="AE1117" s="135"/>
      <c r="AF1117" s="135"/>
      <c r="AG1117" s="135"/>
      <c r="AH1117" s="143">
        <v>0</v>
      </c>
      <c r="AI1117" s="143">
        <v>0</v>
      </c>
      <c r="AJ1117" s="143">
        <v>0</v>
      </c>
      <c r="AK1117" s="143">
        <v>0</v>
      </c>
      <c r="AL1117" s="143">
        <v>0</v>
      </c>
      <c r="AM1117" s="135">
        <v>0</v>
      </c>
      <c r="AN1117" s="135">
        <f t="shared" si="18"/>
        <v>0</v>
      </c>
      <c r="AO1117" s="135"/>
      <c r="AP1117" s="135"/>
      <c r="AQ1117" s="135"/>
      <c r="AR1117" s="135"/>
    </row>
    <row r="1118" spans="1:48" s="133" customFormat="1" x14ac:dyDescent="0.2">
      <c r="A1118" s="133" t="s">
        <v>1390</v>
      </c>
      <c r="B1118" s="133" t="s">
        <v>1391</v>
      </c>
      <c r="C1118" s="133">
        <v>18</v>
      </c>
      <c r="D1118" s="133">
        <v>1</v>
      </c>
      <c r="E1118" s="133" t="s">
        <v>2487</v>
      </c>
      <c r="F1118" s="138">
        <v>43388</v>
      </c>
      <c r="G1118" s="136" t="s">
        <v>4033</v>
      </c>
      <c r="H1118" s="136" t="s">
        <v>4724</v>
      </c>
      <c r="I1118" s="148">
        <v>9.0277777777777787E-3</v>
      </c>
      <c r="J1118" s="174">
        <v>1.5046296296296297E-4</v>
      </c>
      <c r="K1118" s="139">
        <v>13</v>
      </c>
      <c r="L1118" s="133" t="s">
        <v>398</v>
      </c>
      <c r="M1118" s="133" t="s">
        <v>2488</v>
      </c>
      <c r="N1118" s="133" t="s">
        <v>111</v>
      </c>
      <c r="O1118" s="133" t="s">
        <v>115</v>
      </c>
      <c r="P1118" s="133">
        <v>0</v>
      </c>
      <c r="R1118" s="133">
        <v>1</v>
      </c>
      <c r="S1118" s="133" t="s">
        <v>461</v>
      </c>
      <c r="T1118" s="133" t="s">
        <v>2125</v>
      </c>
      <c r="U1118" s="133" t="s">
        <v>122</v>
      </c>
      <c r="V1118" s="133" t="s">
        <v>2061</v>
      </c>
      <c r="W1118" s="135" t="s">
        <v>23</v>
      </c>
      <c r="X1118" s="135" t="s">
        <v>3999</v>
      </c>
      <c r="Y1118" s="135" t="s">
        <v>4006</v>
      </c>
      <c r="Z1118" s="135"/>
      <c r="AA1118" s="135"/>
      <c r="AB1118" s="133">
        <v>45</v>
      </c>
      <c r="AC1118" s="134">
        <v>63.721649999999997</v>
      </c>
      <c r="AD1118" s="134">
        <v>148.98674</v>
      </c>
      <c r="AE1118" s="135"/>
      <c r="AF1118" s="135"/>
      <c r="AG1118" s="135"/>
      <c r="AH1118" s="139">
        <v>0</v>
      </c>
      <c r="AI1118" s="139">
        <v>0</v>
      </c>
      <c r="AJ1118" s="139">
        <v>0</v>
      </c>
      <c r="AK1118" s="139">
        <v>0</v>
      </c>
      <c r="AL1118" s="143">
        <v>0</v>
      </c>
      <c r="AM1118" s="133">
        <v>0</v>
      </c>
      <c r="AN1118" s="133">
        <f t="shared" si="18"/>
        <v>0</v>
      </c>
      <c r="AP1118" s="144" t="s">
        <v>5002</v>
      </c>
    </row>
    <row r="1119" spans="1:48" s="135" customFormat="1" x14ac:dyDescent="0.2">
      <c r="A1119" s="135" t="s">
        <v>1392</v>
      </c>
      <c r="B1119" s="135" t="s">
        <v>1393</v>
      </c>
      <c r="C1119" s="135">
        <v>19</v>
      </c>
      <c r="D1119" s="135">
        <v>1</v>
      </c>
      <c r="E1119" s="135" t="s">
        <v>2487</v>
      </c>
      <c r="F1119" s="136">
        <v>43388</v>
      </c>
      <c r="G1119" s="136" t="s">
        <v>4033</v>
      </c>
      <c r="H1119" s="136" t="s">
        <v>4724</v>
      </c>
      <c r="I1119" s="172">
        <v>3.6805555555555557E-2</v>
      </c>
      <c r="J1119" s="175">
        <v>6.134259259259259E-4</v>
      </c>
      <c r="K1119" s="143">
        <v>53</v>
      </c>
      <c r="L1119" s="135" t="s">
        <v>398</v>
      </c>
      <c r="M1119" s="133" t="s">
        <v>2488</v>
      </c>
      <c r="N1119" s="135" t="s">
        <v>102</v>
      </c>
      <c r="O1119" s="135" t="s">
        <v>115</v>
      </c>
      <c r="P1119" s="135">
        <v>1</v>
      </c>
      <c r="R1119" s="135">
        <v>0</v>
      </c>
      <c r="S1119" s="133" t="s">
        <v>461</v>
      </c>
      <c r="T1119" s="135" t="s">
        <v>2125</v>
      </c>
      <c r="U1119" s="135" t="s">
        <v>122</v>
      </c>
      <c r="V1119" s="135" t="s">
        <v>115</v>
      </c>
      <c r="W1119" s="135" t="s">
        <v>115</v>
      </c>
      <c r="X1119" s="135" t="s">
        <v>115</v>
      </c>
      <c r="Y1119" s="135" t="s">
        <v>115</v>
      </c>
      <c r="Z1119" s="133"/>
      <c r="AA1119" s="133"/>
      <c r="AB1119" s="135" t="s">
        <v>115</v>
      </c>
      <c r="AC1119" s="137" t="s">
        <v>115</v>
      </c>
      <c r="AD1119" s="137"/>
      <c r="AE1119" s="133"/>
      <c r="AF1119" s="133"/>
      <c r="AG1119" s="133"/>
      <c r="AH1119" s="143">
        <v>0</v>
      </c>
      <c r="AI1119" s="143">
        <v>0</v>
      </c>
      <c r="AJ1119" s="143">
        <v>0</v>
      </c>
      <c r="AK1119" s="143">
        <v>0</v>
      </c>
      <c r="AL1119" s="143">
        <v>0</v>
      </c>
      <c r="AM1119" s="135">
        <v>0</v>
      </c>
      <c r="AN1119" s="135">
        <f t="shared" si="18"/>
        <v>0</v>
      </c>
    </row>
    <row r="1120" spans="1:48" s="135" customFormat="1" x14ac:dyDescent="0.2">
      <c r="A1120" s="133" t="s">
        <v>1394</v>
      </c>
      <c r="B1120" s="133" t="s">
        <v>1395</v>
      </c>
      <c r="C1120" s="133">
        <v>20</v>
      </c>
      <c r="D1120" s="133">
        <v>1</v>
      </c>
      <c r="E1120" s="133" t="s">
        <v>2487</v>
      </c>
      <c r="F1120" s="138">
        <v>43388</v>
      </c>
      <c r="G1120" s="136" t="s">
        <v>4033</v>
      </c>
      <c r="H1120" s="136" t="s">
        <v>4724</v>
      </c>
      <c r="I1120" s="148">
        <v>1.0416666666666666E-2</v>
      </c>
      <c r="J1120" s="174">
        <v>1.7361111111111112E-4</v>
      </c>
      <c r="K1120" s="139">
        <v>15</v>
      </c>
      <c r="L1120" s="133" t="s">
        <v>398</v>
      </c>
      <c r="M1120" s="133" t="s">
        <v>2488</v>
      </c>
      <c r="N1120" s="133" t="s">
        <v>111</v>
      </c>
      <c r="O1120" s="133" t="s">
        <v>23</v>
      </c>
      <c r="P1120" s="133">
        <v>0</v>
      </c>
      <c r="Q1120" s="133"/>
      <c r="R1120" s="133">
        <v>1</v>
      </c>
      <c r="S1120" s="133" t="s">
        <v>461</v>
      </c>
      <c r="T1120" s="133" t="s">
        <v>2125</v>
      </c>
      <c r="U1120" s="133" t="s">
        <v>122</v>
      </c>
      <c r="V1120" s="133" t="s">
        <v>695</v>
      </c>
      <c r="W1120" s="135" t="s">
        <v>23</v>
      </c>
      <c r="X1120" s="135" t="s">
        <v>3999</v>
      </c>
      <c r="Y1120" s="135" t="s">
        <v>4001</v>
      </c>
      <c r="Z1120" s="133"/>
      <c r="AA1120" s="133"/>
      <c r="AB1120" s="133">
        <v>6</v>
      </c>
      <c r="AC1120" s="134">
        <v>63.721870000000003</v>
      </c>
      <c r="AD1120" s="134">
        <v>148.98738</v>
      </c>
      <c r="AE1120" s="133"/>
      <c r="AF1120" s="133"/>
      <c r="AG1120" s="133"/>
      <c r="AH1120" s="139">
        <v>0</v>
      </c>
      <c r="AI1120" s="139">
        <v>0</v>
      </c>
      <c r="AJ1120" s="139">
        <v>0</v>
      </c>
      <c r="AK1120" s="139">
        <v>0</v>
      </c>
      <c r="AL1120" s="143">
        <v>0</v>
      </c>
      <c r="AM1120" s="133">
        <v>0</v>
      </c>
      <c r="AN1120" s="133">
        <f t="shared" si="18"/>
        <v>0</v>
      </c>
      <c r="AO1120" s="133"/>
      <c r="AP1120" s="144" t="s">
        <v>5004</v>
      </c>
      <c r="AQ1120" s="133"/>
      <c r="AR1120" s="133"/>
      <c r="AS1120" s="133"/>
      <c r="AT1120" s="133"/>
      <c r="AU1120" s="133"/>
      <c r="AV1120" s="133"/>
    </row>
    <row r="1121" spans="1:48" s="133" customFormat="1" x14ac:dyDescent="0.2">
      <c r="A1121" s="135" t="s">
        <v>1405</v>
      </c>
      <c r="B1121" s="135" t="s">
        <v>1406</v>
      </c>
      <c r="C1121" s="135">
        <v>25</v>
      </c>
      <c r="D1121" s="135">
        <v>1</v>
      </c>
      <c r="E1121" s="135" t="s">
        <v>2487</v>
      </c>
      <c r="F1121" s="136">
        <v>43388</v>
      </c>
      <c r="G1121" s="136" t="s">
        <v>4033</v>
      </c>
      <c r="H1121" s="136" t="s">
        <v>4724</v>
      </c>
      <c r="I1121" s="172">
        <v>1.3194444444444444E-2</v>
      </c>
      <c r="J1121" s="175">
        <v>2.199074074074074E-4</v>
      </c>
      <c r="K1121" s="143">
        <v>19</v>
      </c>
      <c r="L1121" s="135" t="s">
        <v>398</v>
      </c>
      <c r="M1121" s="133" t="s">
        <v>2488</v>
      </c>
      <c r="N1121" s="135" t="s">
        <v>102</v>
      </c>
      <c r="O1121" s="135" t="s">
        <v>115</v>
      </c>
      <c r="P1121" s="135">
        <v>1</v>
      </c>
      <c r="Q1121" s="135"/>
      <c r="R1121" s="135">
        <v>0</v>
      </c>
      <c r="S1121" s="133" t="s">
        <v>461</v>
      </c>
      <c r="T1121" s="135" t="s">
        <v>2125</v>
      </c>
      <c r="U1121" s="135" t="s">
        <v>122</v>
      </c>
      <c r="V1121" s="135" t="s">
        <v>115</v>
      </c>
      <c r="W1121" s="135" t="s">
        <v>115</v>
      </c>
      <c r="X1121" s="135" t="s">
        <v>115</v>
      </c>
      <c r="Y1121" s="135" t="s">
        <v>115</v>
      </c>
      <c r="Z1121" s="135"/>
      <c r="AA1121" s="135"/>
      <c r="AB1121" s="135" t="s">
        <v>115</v>
      </c>
      <c r="AC1121" s="137" t="s">
        <v>115</v>
      </c>
      <c r="AD1121" s="137"/>
      <c r="AE1121" s="135"/>
      <c r="AF1121" s="135"/>
      <c r="AG1121" s="135"/>
      <c r="AH1121" s="143">
        <v>0</v>
      </c>
      <c r="AI1121" s="143">
        <v>0</v>
      </c>
      <c r="AJ1121" s="143">
        <v>0</v>
      </c>
      <c r="AK1121" s="143">
        <v>0</v>
      </c>
      <c r="AL1121" s="143">
        <v>0</v>
      </c>
      <c r="AM1121" s="135">
        <v>0</v>
      </c>
      <c r="AN1121" s="135">
        <f t="shared" si="18"/>
        <v>0</v>
      </c>
      <c r="AO1121" s="135"/>
      <c r="AP1121" s="135"/>
      <c r="AQ1121" s="135"/>
      <c r="AR1121" s="135"/>
    </row>
    <row r="1122" spans="1:48" s="133" customFormat="1" x14ac:dyDescent="0.2">
      <c r="A1122" s="135" t="s">
        <v>1409</v>
      </c>
      <c r="B1122" s="135" t="s">
        <v>1410</v>
      </c>
      <c r="C1122" s="135">
        <v>27</v>
      </c>
      <c r="D1122" s="135">
        <v>1</v>
      </c>
      <c r="E1122" s="135" t="s">
        <v>2487</v>
      </c>
      <c r="F1122" s="136">
        <v>43388</v>
      </c>
      <c r="G1122" s="136" t="s">
        <v>4033</v>
      </c>
      <c r="H1122" s="136" t="s">
        <v>4724</v>
      </c>
      <c r="I1122" s="172">
        <v>0.14652777777777778</v>
      </c>
      <c r="J1122" s="175">
        <v>2.4421296296296296E-3</v>
      </c>
      <c r="K1122" s="143">
        <v>211</v>
      </c>
      <c r="L1122" s="135" t="s">
        <v>398</v>
      </c>
      <c r="M1122" s="133" t="s">
        <v>2488</v>
      </c>
      <c r="N1122" s="135" t="s">
        <v>102</v>
      </c>
      <c r="O1122" s="135" t="s">
        <v>115</v>
      </c>
      <c r="P1122" s="135">
        <v>1</v>
      </c>
      <c r="Q1122" s="135"/>
      <c r="R1122" s="135">
        <v>0</v>
      </c>
      <c r="S1122" s="133" t="s">
        <v>461</v>
      </c>
      <c r="T1122" s="135" t="s">
        <v>2125</v>
      </c>
      <c r="U1122" s="135" t="s">
        <v>122</v>
      </c>
      <c r="V1122" s="135" t="s">
        <v>115</v>
      </c>
      <c r="W1122" s="135" t="s">
        <v>115</v>
      </c>
      <c r="X1122" s="135" t="s">
        <v>115</v>
      </c>
      <c r="Y1122" s="135" t="s">
        <v>115</v>
      </c>
      <c r="Z1122" s="135"/>
      <c r="AA1122" s="135"/>
      <c r="AB1122" s="135" t="s">
        <v>115</v>
      </c>
      <c r="AC1122" s="137" t="s">
        <v>115</v>
      </c>
      <c r="AD1122" s="137"/>
      <c r="AE1122" s="135"/>
      <c r="AF1122" s="135"/>
      <c r="AG1122" s="135"/>
      <c r="AH1122" s="143">
        <v>0</v>
      </c>
      <c r="AI1122" s="143">
        <v>0</v>
      </c>
      <c r="AJ1122" s="143">
        <v>0</v>
      </c>
      <c r="AK1122" s="143">
        <v>0</v>
      </c>
      <c r="AL1122" s="143">
        <v>0</v>
      </c>
      <c r="AM1122" s="135">
        <v>0</v>
      </c>
      <c r="AN1122" s="135">
        <f t="shared" si="18"/>
        <v>0</v>
      </c>
      <c r="AO1122" s="135"/>
      <c r="AP1122" s="135"/>
      <c r="AQ1122" s="135"/>
      <c r="AR1122" s="135"/>
      <c r="AS1122" s="135"/>
      <c r="AT1122" s="135"/>
      <c r="AU1122" s="135"/>
      <c r="AV1122" s="135"/>
    </row>
    <row r="1123" spans="1:48" s="135" customFormat="1" x14ac:dyDescent="0.2">
      <c r="A1123" s="135" t="s">
        <v>1413</v>
      </c>
      <c r="B1123" s="135" t="s">
        <v>1414</v>
      </c>
      <c r="C1123" s="135">
        <v>29</v>
      </c>
      <c r="D1123" s="135">
        <v>1</v>
      </c>
      <c r="E1123" s="135" t="s">
        <v>2487</v>
      </c>
      <c r="F1123" s="136">
        <v>43388</v>
      </c>
      <c r="G1123" s="136" t="s">
        <v>4033</v>
      </c>
      <c r="H1123" s="136" t="s">
        <v>4724</v>
      </c>
      <c r="I1123" s="172">
        <v>7.6388888888888886E-3</v>
      </c>
      <c r="J1123" s="175">
        <v>1.273148148148148E-4</v>
      </c>
      <c r="K1123" s="143">
        <v>11</v>
      </c>
      <c r="L1123" s="135" t="s">
        <v>398</v>
      </c>
      <c r="M1123" s="133" t="s">
        <v>2488</v>
      </c>
      <c r="N1123" s="135" t="s">
        <v>102</v>
      </c>
      <c r="O1123" s="135" t="s">
        <v>115</v>
      </c>
      <c r="P1123" s="135">
        <v>1</v>
      </c>
      <c r="R1123" s="135">
        <v>0</v>
      </c>
      <c r="S1123" s="133" t="s">
        <v>461</v>
      </c>
      <c r="T1123" s="135" t="s">
        <v>2125</v>
      </c>
      <c r="U1123" s="135" t="s">
        <v>122</v>
      </c>
      <c r="V1123" s="135" t="s">
        <v>115</v>
      </c>
      <c r="W1123" s="135" t="s">
        <v>115</v>
      </c>
      <c r="X1123" s="135" t="s">
        <v>115</v>
      </c>
      <c r="Y1123" s="135" t="s">
        <v>115</v>
      </c>
      <c r="AB1123" s="135" t="s">
        <v>115</v>
      </c>
      <c r="AC1123" s="137" t="s">
        <v>115</v>
      </c>
      <c r="AD1123" s="137"/>
      <c r="AH1123" s="143">
        <v>0</v>
      </c>
      <c r="AI1123" s="143">
        <v>0</v>
      </c>
      <c r="AJ1123" s="143">
        <v>0</v>
      </c>
      <c r="AK1123" s="143">
        <v>0</v>
      </c>
      <c r="AL1123" s="143">
        <v>0</v>
      </c>
      <c r="AM1123" s="135">
        <v>0</v>
      </c>
      <c r="AN1123" s="135">
        <f t="shared" si="18"/>
        <v>0</v>
      </c>
      <c r="AS1123" s="133"/>
      <c r="AT1123" s="133"/>
      <c r="AU1123" s="133"/>
      <c r="AV1123" s="133"/>
    </row>
    <row r="1124" spans="1:48" s="135" customFormat="1" x14ac:dyDescent="0.2">
      <c r="A1124" s="135" t="s">
        <v>1415</v>
      </c>
      <c r="B1124" s="135" t="s">
        <v>1416</v>
      </c>
      <c r="C1124" s="135">
        <v>30</v>
      </c>
      <c r="D1124" s="135">
        <v>2</v>
      </c>
      <c r="E1124" s="135" t="s">
        <v>2487</v>
      </c>
      <c r="F1124" s="136">
        <v>43388</v>
      </c>
      <c r="G1124" s="136" t="s">
        <v>4033</v>
      </c>
      <c r="H1124" s="136" t="s">
        <v>4724</v>
      </c>
      <c r="I1124" s="172">
        <v>2.9861111111111113E-2</v>
      </c>
      <c r="J1124" s="175">
        <v>4.9768518518518521E-4</v>
      </c>
      <c r="K1124" s="143">
        <v>43</v>
      </c>
      <c r="L1124" s="135" t="s">
        <v>398</v>
      </c>
      <c r="M1124" s="133" t="s">
        <v>2488</v>
      </c>
      <c r="N1124" s="135" t="s">
        <v>102</v>
      </c>
      <c r="O1124" s="135" t="s">
        <v>115</v>
      </c>
      <c r="P1124" s="135">
        <v>1</v>
      </c>
      <c r="R1124" s="135">
        <v>0</v>
      </c>
      <c r="S1124" s="133" t="s">
        <v>461</v>
      </c>
      <c r="T1124" s="135" t="s">
        <v>2125</v>
      </c>
      <c r="U1124" s="135" t="s">
        <v>122</v>
      </c>
      <c r="V1124" s="135" t="s">
        <v>115</v>
      </c>
      <c r="W1124" s="135" t="s">
        <v>115</v>
      </c>
      <c r="X1124" s="135" t="s">
        <v>115</v>
      </c>
      <c r="Y1124" s="135" t="s">
        <v>115</v>
      </c>
      <c r="AB1124" s="135" t="s">
        <v>115</v>
      </c>
      <c r="AC1124" s="137" t="s">
        <v>115</v>
      </c>
      <c r="AD1124" s="137"/>
      <c r="AH1124" s="143">
        <v>0</v>
      </c>
      <c r="AI1124" s="143">
        <v>0</v>
      </c>
      <c r="AJ1124" s="143">
        <v>0</v>
      </c>
      <c r="AK1124" s="143">
        <v>0</v>
      </c>
      <c r="AL1124" s="143">
        <v>0</v>
      </c>
      <c r="AM1124" s="135">
        <v>0</v>
      </c>
      <c r="AN1124" s="135">
        <f t="shared" si="18"/>
        <v>0</v>
      </c>
      <c r="AS1124" s="133"/>
      <c r="AT1124" s="133"/>
      <c r="AU1124" s="133"/>
      <c r="AV1124" s="133"/>
    </row>
    <row r="1125" spans="1:48" s="135" customFormat="1" x14ac:dyDescent="0.2">
      <c r="A1125" s="135" t="s">
        <v>1417</v>
      </c>
      <c r="B1125" s="135" t="s">
        <v>1418</v>
      </c>
      <c r="C1125" s="135">
        <v>31</v>
      </c>
      <c r="D1125" s="135">
        <v>1</v>
      </c>
      <c r="E1125" s="135" t="s">
        <v>2487</v>
      </c>
      <c r="F1125" s="136">
        <v>43388</v>
      </c>
      <c r="G1125" s="136" t="s">
        <v>4033</v>
      </c>
      <c r="H1125" s="136" t="s">
        <v>4724</v>
      </c>
      <c r="I1125" s="172">
        <v>2.6388888888888889E-2</v>
      </c>
      <c r="J1125" s="175">
        <v>4.3981481481481481E-4</v>
      </c>
      <c r="K1125" s="143">
        <v>38</v>
      </c>
      <c r="L1125" s="135" t="s">
        <v>398</v>
      </c>
      <c r="M1125" s="133" t="s">
        <v>2488</v>
      </c>
      <c r="N1125" s="135" t="s">
        <v>102</v>
      </c>
      <c r="O1125" s="135" t="s">
        <v>23</v>
      </c>
      <c r="P1125" s="135">
        <v>1</v>
      </c>
      <c r="R1125" s="135">
        <v>1</v>
      </c>
      <c r="S1125" s="133" t="s">
        <v>461</v>
      </c>
      <c r="T1125" s="135" t="s">
        <v>2125</v>
      </c>
      <c r="U1125" s="135" t="s">
        <v>122</v>
      </c>
      <c r="V1125" s="133" t="s">
        <v>1035</v>
      </c>
      <c r="W1125" s="140" t="s">
        <v>23</v>
      </c>
      <c r="X1125" s="140" t="s">
        <v>3997</v>
      </c>
      <c r="Y1125" s="140" t="s">
        <v>4006</v>
      </c>
      <c r="Z1125" s="133"/>
      <c r="AA1125" s="133"/>
      <c r="AB1125" s="135">
        <v>20</v>
      </c>
      <c r="AC1125" s="137">
        <v>63.721870000000003</v>
      </c>
      <c r="AD1125" s="137">
        <v>148.98699999999999</v>
      </c>
      <c r="AE1125" s="133"/>
      <c r="AF1125" s="133"/>
      <c r="AG1125" s="133"/>
      <c r="AH1125" s="143">
        <v>0</v>
      </c>
      <c r="AI1125" s="143">
        <v>0</v>
      </c>
      <c r="AJ1125" s="143">
        <v>0</v>
      </c>
      <c r="AK1125" s="143">
        <v>0</v>
      </c>
      <c r="AL1125" s="143">
        <v>0</v>
      </c>
      <c r="AM1125" s="135">
        <v>0</v>
      </c>
      <c r="AN1125" s="135">
        <f t="shared" si="18"/>
        <v>0</v>
      </c>
      <c r="AS1125" s="133"/>
      <c r="AT1125" s="133"/>
      <c r="AU1125" s="133"/>
      <c r="AV1125" s="133"/>
    </row>
    <row r="1126" spans="1:48" s="133" customFormat="1" x14ac:dyDescent="0.2">
      <c r="A1126" s="135" t="s">
        <v>1419</v>
      </c>
      <c r="B1126" s="135" t="s">
        <v>1420</v>
      </c>
      <c r="C1126" s="135">
        <v>32</v>
      </c>
      <c r="D1126" s="135">
        <v>1</v>
      </c>
      <c r="E1126" s="135" t="s">
        <v>2487</v>
      </c>
      <c r="F1126" s="136">
        <v>43388</v>
      </c>
      <c r="G1126" s="136" t="s">
        <v>4033</v>
      </c>
      <c r="H1126" s="136" t="s">
        <v>4724</v>
      </c>
      <c r="I1126" s="172">
        <v>1.7361111111111112E-2</v>
      </c>
      <c r="J1126" s="175">
        <v>2.8935185185185189E-4</v>
      </c>
      <c r="K1126" s="143">
        <v>25</v>
      </c>
      <c r="L1126" s="135" t="s">
        <v>398</v>
      </c>
      <c r="M1126" s="133" t="s">
        <v>2488</v>
      </c>
      <c r="N1126" s="135" t="s">
        <v>102</v>
      </c>
      <c r="O1126" s="135" t="s">
        <v>115</v>
      </c>
      <c r="P1126" s="135">
        <v>1</v>
      </c>
      <c r="Q1126" s="135"/>
      <c r="R1126" s="135">
        <v>0</v>
      </c>
      <c r="S1126" s="133" t="s">
        <v>461</v>
      </c>
      <c r="T1126" s="135" t="s">
        <v>2125</v>
      </c>
      <c r="U1126" s="135" t="s">
        <v>122</v>
      </c>
      <c r="V1126" s="135" t="s">
        <v>115</v>
      </c>
      <c r="W1126" s="135" t="s">
        <v>115</v>
      </c>
      <c r="X1126" s="135" t="s">
        <v>115</v>
      </c>
      <c r="Y1126" s="135" t="s">
        <v>115</v>
      </c>
      <c r="AB1126" s="135" t="s">
        <v>115</v>
      </c>
      <c r="AC1126" s="137" t="s">
        <v>115</v>
      </c>
      <c r="AD1126" s="137"/>
      <c r="AH1126" s="143">
        <v>0</v>
      </c>
      <c r="AI1126" s="143">
        <v>0</v>
      </c>
      <c r="AJ1126" s="143">
        <v>0</v>
      </c>
      <c r="AK1126" s="143">
        <v>0</v>
      </c>
      <c r="AL1126" s="143">
        <v>0</v>
      </c>
      <c r="AM1126" s="135">
        <v>0</v>
      </c>
      <c r="AN1126" s="135">
        <f t="shared" si="18"/>
        <v>0</v>
      </c>
      <c r="AO1126" s="135"/>
      <c r="AP1126" s="135"/>
      <c r="AQ1126" s="135"/>
      <c r="AR1126" s="135"/>
      <c r="AS1126" s="135"/>
      <c r="AT1126" s="135"/>
      <c r="AU1126" s="135" t="s">
        <v>4978</v>
      </c>
      <c r="AV1126" s="135"/>
    </row>
    <row r="1127" spans="1:48" s="135" customFormat="1" x14ac:dyDescent="0.2">
      <c r="A1127" s="133" t="s">
        <v>1421</v>
      </c>
      <c r="B1127" s="133" t="s">
        <v>1422</v>
      </c>
      <c r="C1127" s="133">
        <v>33</v>
      </c>
      <c r="D1127" s="133">
        <v>1</v>
      </c>
      <c r="E1127" s="133" t="s">
        <v>2487</v>
      </c>
      <c r="F1127" s="138">
        <v>43388</v>
      </c>
      <c r="G1127" s="136" t="s">
        <v>4033</v>
      </c>
      <c r="H1127" s="136" t="s">
        <v>4724</v>
      </c>
      <c r="I1127" s="148">
        <v>1.5972222222222224E-2</v>
      </c>
      <c r="J1127" s="174">
        <v>2.6620370370370372E-4</v>
      </c>
      <c r="K1127" s="139">
        <v>23</v>
      </c>
      <c r="L1127" s="133" t="s">
        <v>398</v>
      </c>
      <c r="M1127" s="133" t="s">
        <v>2488</v>
      </c>
      <c r="N1127" s="133" t="s">
        <v>111</v>
      </c>
      <c r="O1127" s="133" t="s">
        <v>23</v>
      </c>
      <c r="P1127" s="133">
        <v>0</v>
      </c>
      <c r="Q1127" s="133"/>
      <c r="R1127" s="133">
        <v>1</v>
      </c>
      <c r="S1127" s="133" t="s">
        <v>461</v>
      </c>
      <c r="T1127" s="133" t="s">
        <v>2125</v>
      </c>
      <c r="U1127" s="133" t="s">
        <v>122</v>
      </c>
      <c r="V1127" s="133" t="s">
        <v>1057</v>
      </c>
      <c r="W1127" s="135" t="s">
        <v>23</v>
      </c>
      <c r="X1127" s="135" t="s">
        <v>3999</v>
      </c>
      <c r="Y1127" s="135" t="s">
        <v>4005</v>
      </c>
      <c r="AB1127" s="133">
        <v>28</v>
      </c>
      <c r="AC1127" s="134">
        <v>63.721710000000002</v>
      </c>
      <c r="AD1127" s="134">
        <v>148.98701</v>
      </c>
      <c r="AH1127" s="139">
        <v>0</v>
      </c>
      <c r="AI1127" s="139">
        <v>0</v>
      </c>
      <c r="AJ1127" s="139">
        <v>0</v>
      </c>
      <c r="AK1127" s="139">
        <v>0</v>
      </c>
      <c r="AL1127" s="143">
        <v>0</v>
      </c>
      <c r="AM1127" s="133">
        <v>0</v>
      </c>
      <c r="AN1127" s="133">
        <f t="shared" si="18"/>
        <v>0</v>
      </c>
      <c r="AO1127" s="133"/>
      <c r="AP1127" s="133"/>
      <c r="AQ1127" s="133"/>
      <c r="AR1127" s="133"/>
    </row>
    <row r="1128" spans="1:48" s="135" customFormat="1" x14ac:dyDescent="0.2">
      <c r="A1128" s="135" t="s">
        <v>1423</v>
      </c>
      <c r="B1128" s="135" t="s">
        <v>1424</v>
      </c>
      <c r="C1128" s="135">
        <v>34</v>
      </c>
      <c r="D1128" s="135">
        <v>1</v>
      </c>
      <c r="E1128" s="135" t="s">
        <v>2487</v>
      </c>
      <c r="F1128" s="136">
        <v>43388</v>
      </c>
      <c r="G1128" s="136" t="s">
        <v>4033</v>
      </c>
      <c r="H1128" s="136" t="s">
        <v>4724</v>
      </c>
      <c r="I1128" s="172">
        <v>4.027777777777778E-2</v>
      </c>
      <c r="J1128" s="175">
        <v>6.7129629629629625E-4</v>
      </c>
      <c r="K1128" s="143">
        <v>58</v>
      </c>
      <c r="L1128" s="135" t="s">
        <v>398</v>
      </c>
      <c r="M1128" s="133" t="s">
        <v>2488</v>
      </c>
      <c r="N1128" s="135" t="s">
        <v>102</v>
      </c>
      <c r="O1128" s="135" t="s">
        <v>115</v>
      </c>
      <c r="P1128" s="135">
        <v>1</v>
      </c>
      <c r="R1128" s="135">
        <v>0</v>
      </c>
      <c r="S1128" s="133" t="s">
        <v>461</v>
      </c>
      <c r="T1128" s="135" t="s">
        <v>2125</v>
      </c>
      <c r="U1128" s="135" t="s">
        <v>122</v>
      </c>
      <c r="V1128" s="135" t="s">
        <v>115</v>
      </c>
      <c r="W1128" s="135" t="s">
        <v>115</v>
      </c>
      <c r="X1128" s="135" t="s">
        <v>115</v>
      </c>
      <c r="Y1128" s="135" t="s">
        <v>115</v>
      </c>
      <c r="AB1128" s="135" t="s">
        <v>115</v>
      </c>
      <c r="AC1128" s="137" t="s">
        <v>115</v>
      </c>
      <c r="AD1128" s="137"/>
      <c r="AH1128" s="143">
        <v>0</v>
      </c>
      <c r="AI1128" s="143">
        <v>0</v>
      </c>
      <c r="AJ1128" s="143">
        <v>0</v>
      </c>
      <c r="AK1128" s="143">
        <v>0</v>
      </c>
      <c r="AL1128" s="143">
        <v>0</v>
      </c>
      <c r="AM1128" s="135">
        <v>0</v>
      </c>
      <c r="AN1128" s="135">
        <f t="shared" si="18"/>
        <v>0</v>
      </c>
    </row>
    <row r="1129" spans="1:48" s="133" customFormat="1" x14ac:dyDescent="0.2">
      <c r="A1129" s="135" t="s">
        <v>1425</v>
      </c>
      <c r="B1129" s="135" t="s">
        <v>1426</v>
      </c>
      <c r="C1129" s="135">
        <v>35</v>
      </c>
      <c r="D1129" s="135">
        <v>1</v>
      </c>
      <c r="E1129" s="135" t="s">
        <v>2487</v>
      </c>
      <c r="F1129" s="136">
        <v>43388</v>
      </c>
      <c r="G1129" s="136" t="s">
        <v>4033</v>
      </c>
      <c r="H1129" s="136" t="s">
        <v>4724</v>
      </c>
      <c r="I1129" s="172">
        <v>6.1111111111111116E-2</v>
      </c>
      <c r="J1129" s="175">
        <v>1.0185185185185186E-3</v>
      </c>
      <c r="K1129" s="143">
        <v>88</v>
      </c>
      <c r="L1129" s="135" t="s">
        <v>398</v>
      </c>
      <c r="M1129" s="133" t="s">
        <v>2488</v>
      </c>
      <c r="N1129" s="135" t="s">
        <v>102</v>
      </c>
      <c r="O1129" s="135" t="s">
        <v>115</v>
      </c>
      <c r="P1129" s="135">
        <v>1</v>
      </c>
      <c r="Q1129" s="135"/>
      <c r="R1129" s="135">
        <v>0</v>
      </c>
      <c r="S1129" s="133" t="s">
        <v>461</v>
      </c>
      <c r="T1129" s="135" t="s">
        <v>2125</v>
      </c>
      <c r="U1129" s="135" t="s">
        <v>122</v>
      </c>
      <c r="V1129" s="135" t="s">
        <v>115</v>
      </c>
      <c r="W1129" s="135" t="s">
        <v>115</v>
      </c>
      <c r="X1129" s="135" t="s">
        <v>115</v>
      </c>
      <c r="Y1129" s="135" t="s">
        <v>115</v>
      </c>
      <c r="AB1129" s="135" t="s">
        <v>115</v>
      </c>
      <c r="AC1129" s="137" t="s">
        <v>115</v>
      </c>
      <c r="AD1129" s="137"/>
      <c r="AH1129" s="143">
        <v>0</v>
      </c>
      <c r="AI1129" s="143">
        <v>0</v>
      </c>
      <c r="AJ1129" s="143">
        <v>0</v>
      </c>
      <c r="AK1129" s="143">
        <v>0</v>
      </c>
      <c r="AL1129" s="143">
        <v>0</v>
      </c>
      <c r="AM1129" s="135">
        <v>0</v>
      </c>
      <c r="AN1129" s="135">
        <f t="shared" si="18"/>
        <v>0</v>
      </c>
      <c r="AO1129" s="135"/>
      <c r="AP1129" s="135"/>
      <c r="AQ1129" s="135"/>
      <c r="AR1129" s="135"/>
      <c r="AS1129" s="135"/>
      <c r="AT1129" s="135"/>
      <c r="AU1129" s="135" t="s">
        <v>3941</v>
      </c>
      <c r="AV1129" s="135"/>
    </row>
    <row r="1130" spans="1:48" s="133" customFormat="1" x14ac:dyDescent="0.2">
      <c r="A1130" s="133" t="s">
        <v>1427</v>
      </c>
      <c r="B1130" s="133" t="s">
        <v>1428</v>
      </c>
      <c r="C1130" s="133">
        <v>36</v>
      </c>
      <c r="D1130" s="133">
        <v>1</v>
      </c>
      <c r="E1130" s="133" t="s">
        <v>2487</v>
      </c>
      <c r="F1130" s="138">
        <v>43388</v>
      </c>
      <c r="G1130" s="136" t="s">
        <v>4033</v>
      </c>
      <c r="H1130" s="136" t="s">
        <v>4724</v>
      </c>
      <c r="I1130" s="148">
        <v>1.5277777777777777E-2</v>
      </c>
      <c r="J1130" s="174">
        <v>2.5462962962962961E-4</v>
      </c>
      <c r="K1130" s="139">
        <v>22</v>
      </c>
      <c r="L1130" s="133" t="s">
        <v>398</v>
      </c>
      <c r="M1130" s="133" t="s">
        <v>2488</v>
      </c>
      <c r="N1130" s="133" t="s">
        <v>111</v>
      </c>
      <c r="O1130" s="133" t="s">
        <v>23</v>
      </c>
      <c r="P1130" s="133">
        <v>0</v>
      </c>
      <c r="R1130" s="133">
        <v>1</v>
      </c>
      <c r="S1130" s="133" t="s">
        <v>461</v>
      </c>
      <c r="T1130" s="133" t="s">
        <v>2125</v>
      </c>
      <c r="U1130" s="133" t="s">
        <v>122</v>
      </c>
      <c r="V1130" s="133" t="s">
        <v>1057</v>
      </c>
      <c r="W1130" s="135" t="s">
        <v>23</v>
      </c>
      <c r="X1130" s="135" t="s">
        <v>3999</v>
      </c>
      <c r="Y1130" s="135" t="s">
        <v>4005</v>
      </c>
      <c r="AB1130" s="133">
        <v>6</v>
      </c>
      <c r="AC1130" s="134">
        <v>63.72184</v>
      </c>
      <c r="AD1130" s="134">
        <v>148.9074</v>
      </c>
      <c r="AH1130" s="139">
        <v>0</v>
      </c>
      <c r="AI1130" s="139">
        <v>0</v>
      </c>
      <c r="AJ1130" s="139">
        <v>0</v>
      </c>
      <c r="AK1130" s="139">
        <v>0</v>
      </c>
      <c r="AL1130" s="143">
        <v>0</v>
      </c>
      <c r="AM1130" s="133">
        <v>0</v>
      </c>
      <c r="AN1130" s="133">
        <f t="shared" si="18"/>
        <v>0</v>
      </c>
      <c r="AP1130" s="144" t="s">
        <v>5005</v>
      </c>
    </row>
    <row r="1131" spans="1:48" s="135" customFormat="1" x14ac:dyDescent="0.2">
      <c r="A1131" s="135" t="s">
        <v>1430</v>
      </c>
      <c r="B1131" s="135" t="s">
        <v>1431</v>
      </c>
      <c r="C1131" s="135">
        <v>37</v>
      </c>
      <c r="D1131" s="135">
        <v>1</v>
      </c>
      <c r="E1131" s="135" t="s">
        <v>2487</v>
      </c>
      <c r="F1131" s="136">
        <v>43388</v>
      </c>
      <c r="G1131" s="136" t="s">
        <v>4033</v>
      </c>
      <c r="H1131" s="136" t="s">
        <v>4724</v>
      </c>
      <c r="I1131" s="172">
        <v>1.1111111111111112E-2</v>
      </c>
      <c r="J1131" s="175">
        <v>1.8518518518518518E-4</v>
      </c>
      <c r="K1131" s="143">
        <v>16</v>
      </c>
      <c r="L1131" s="135" t="s">
        <v>398</v>
      </c>
      <c r="M1131" s="133" t="s">
        <v>2488</v>
      </c>
      <c r="N1131" s="135" t="s">
        <v>102</v>
      </c>
      <c r="O1131" s="135" t="s">
        <v>115</v>
      </c>
      <c r="P1131" s="135">
        <v>1</v>
      </c>
      <c r="R1131" s="135">
        <v>0</v>
      </c>
      <c r="S1131" s="133" t="s">
        <v>461</v>
      </c>
      <c r="T1131" s="135" t="s">
        <v>2125</v>
      </c>
      <c r="U1131" s="135" t="s">
        <v>122</v>
      </c>
      <c r="V1131" s="135" t="s">
        <v>115</v>
      </c>
      <c r="W1131" s="135" t="s">
        <v>115</v>
      </c>
      <c r="X1131" s="135" t="s">
        <v>115</v>
      </c>
      <c r="Y1131" s="135" t="s">
        <v>115</v>
      </c>
      <c r="Z1131" s="133"/>
      <c r="AA1131" s="133"/>
      <c r="AB1131" s="135" t="s">
        <v>115</v>
      </c>
      <c r="AC1131" s="137" t="s">
        <v>115</v>
      </c>
      <c r="AD1131" s="137"/>
      <c r="AE1131" s="133"/>
      <c r="AF1131" s="133"/>
      <c r="AG1131" s="133"/>
      <c r="AH1131" s="143">
        <v>0</v>
      </c>
      <c r="AI1131" s="143">
        <v>0</v>
      </c>
      <c r="AJ1131" s="143">
        <v>0</v>
      </c>
      <c r="AK1131" s="143">
        <v>0</v>
      </c>
      <c r="AL1131" s="143">
        <v>0</v>
      </c>
      <c r="AM1131" s="135">
        <v>0</v>
      </c>
      <c r="AN1131" s="135">
        <f t="shared" si="18"/>
        <v>0</v>
      </c>
      <c r="AS1131" s="133"/>
      <c r="AT1131" s="133"/>
      <c r="AU1131" s="133"/>
      <c r="AV1131" s="133"/>
    </row>
    <row r="1132" spans="1:48" s="135" customFormat="1" x14ac:dyDescent="0.2">
      <c r="A1132" s="135" t="s">
        <v>1432</v>
      </c>
      <c r="B1132" s="135" t="s">
        <v>1433</v>
      </c>
      <c r="C1132" s="135">
        <v>38</v>
      </c>
      <c r="D1132" s="135">
        <v>1</v>
      </c>
      <c r="E1132" s="135" t="s">
        <v>2487</v>
      </c>
      <c r="F1132" s="136">
        <v>43388</v>
      </c>
      <c r="G1132" s="136" t="s">
        <v>4033</v>
      </c>
      <c r="H1132" s="136" t="s">
        <v>4724</v>
      </c>
      <c r="I1132" s="172">
        <v>7.4305555555555555E-2</v>
      </c>
      <c r="J1132" s="175">
        <v>1.2384259259259258E-3</v>
      </c>
      <c r="K1132" s="143">
        <v>107</v>
      </c>
      <c r="L1132" s="135" t="s">
        <v>398</v>
      </c>
      <c r="M1132" s="133" t="s">
        <v>2488</v>
      </c>
      <c r="N1132" s="135" t="s">
        <v>102</v>
      </c>
      <c r="O1132" s="135" t="s">
        <v>115</v>
      </c>
      <c r="P1132" s="135">
        <v>1</v>
      </c>
      <c r="R1132" s="135">
        <v>0</v>
      </c>
      <c r="S1132" s="133" t="s">
        <v>461</v>
      </c>
      <c r="T1132" s="135" t="s">
        <v>2125</v>
      </c>
      <c r="U1132" s="135" t="s">
        <v>122</v>
      </c>
      <c r="V1132" s="135" t="s">
        <v>115</v>
      </c>
      <c r="W1132" s="135" t="s">
        <v>115</v>
      </c>
      <c r="X1132" s="135" t="s">
        <v>115</v>
      </c>
      <c r="Y1132" s="135" t="s">
        <v>115</v>
      </c>
      <c r="AB1132" s="135" t="s">
        <v>115</v>
      </c>
      <c r="AC1132" s="137" t="s">
        <v>115</v>
      </c>
      <c r="AD1132" s="137"/>
      <c r="AH1132" s="143">
        <v>0</v>
      </c>
      <c r="AI1132" s="143">
        <v>0</v>
      </c>
      <c r="AJ1132" s="143">
        <v>0</v>
      </c>
      <c r="AK1132" s="143">
        <v>0</v>
      </c>
      <c r="AL1132" s="143">
        <v>0</v>
      </c>
      <c r="AM1132" s="135">
        <v>0</v>
      </c>
      <c r="AN1132" s="135">
        <f t="shared" si="18"/>
        <v>0</v>
      </c>
      <c r="AS1132" s="133"/>
      <c r="AT1132" s="133"/>
      <c r="AU1132" s="133"/>
      <c r="AV1132" s="133"/>
    </row>
    <row r="1133" spans="1:48" s="135" customFormat="1" x14ac:dyDescent="0.2">
      <c r="A1133" s="135" t="s">
        <v>1434</v>
      </c>
      <c r="B1133" s="135" t="s">
        <v>1435</v>
      </c>
      <c r="C1133" s="135">
        <v>39</v>
      </c>
      <c r="D1133" s="135">
        <v>1</v>
      </c>
      <c r="E1133" s="135" t="s">
        <v>2487</v>
      </c>
      <c r="F1133" s="136">
        <v>43388</v>
      </c>
      <c r="G1133" s="136" t="s">
        <v>4033</v>
      </c>
      <c r="H1133" s="136" t="s">
        <v>4724</v>
      </c>
      <c r="I1133" s="172">
        <v>1.3888888888888888E-2</v>
      </c>
      <c r="J1133" s="175">
        <v>2.3148148148148146E-4</v>
      </c>
      <c r="K1133" s="143">
        <v>20</v>
      </c>
      <c r="L1133" s="135" t="s">
        <v>398</v>
      </c>
      <c r="M1133" s="133" t="s">
        <v>2488</v>
      </c>
      <c r="N1133" s="135" t="s">
        <v>102</v>
      </c>
      <c r="O1133" s="135" t="s">
        <v>115</v>
      </c>
      <c r="P1133" s="135">
        <v>1</v>
      </c>
      <c r="R1133" s="135">
        <v>0</v>
      </c>
      <c r="S1133" s="133" t="s">
        <v>461</v>
      </c>
      <c r="T1133" s="135" t="s">
        <v>2125</v>
      </c>
      <c r="U1133" s="135" t="s">
        <v>122</v>
      </c>
      <c r="V1133" s="135" t="s">
        <v>115</v>
      </c>
      <c r="W1133" s="135" t="s">
        <v>115</v>
      </c>
      <c r="X1133" s="135" t="s">
        <v>115</v>
      </c>
      <c r="Y1133" s="135" t="s">
        <v>115</v>
      </c>
      <c r="Z1133" s="133"/>
      <c r="AA1133" s="133"/>
      <c r="AB1133" s="135" t="s">
        <v>115</v>
      </c>
      <c r="AC1133" s="137" t="s">
        <v>115</v>
      </c>
      <c r="AD1133" s="137"/>
      <c r="AE1133" s="133"/>
      <c r="AF1133" s="133"/>
      <c r="AG1133" s="133"/>
      <c r="AH1133" s="143">
        <v>0</v>
      </c>
      <c r="AI1133" s="143">
        <v>0</v>
      </c>
      <c r="AJ1133" s="143">
        <v>0</v>
      </c>
      <c r="AK1133" s="143">
        <v>0</v>
      </c>
      <c r="AL1133" s="143">
        <v>0</v>
      </c>
      <c r="AM1133" s="135">
        <v>0</v>
      </c>
      <c r="AN1133" s="135">
        <f t="shared" si="18"/>
        <v>0</v>
      </c>
      <c r="AS1133" s="133"/>
      <c r="AT1133" s="133"/>
      <c r="AU1133" s="133"/>
      <c r="AV1133" s="133"/>
    </row>
    <row r="1134" spans="1:48" s="135" customFormat="1" x14ac:dyDescent="0.2">
      <c r="A1134" s="135" t="s">
        <v>1437</v>
      </c>
      <c r="B1134" s="135" t="s">
        <v>1436</v>
      </c>
      <c r="C1134" s="135">
        <v>40</v>
      </c>
      <c r="D1134" s="135">
        <v>1</v>
      </c>
      <c r="E1134" s="135" t="s">
        <v>2487</v>
      </c>
      <c r="F1134" s="136">
        <v>43388</v>
      </c>
      <c r="G1134" s="136" t="s">
        <v>4033</v>
      </c>
      <c r="H1134" s="136" t="s">
        <v>4724</v>
      </c>
      <c r="I1134" s="172">
        <v>0.16666666666666666</v>
      </c>
      <c r="J1134" s="175">
        <v>2.7777777777777779E-3</v>
      </c>
      <c r="K1134" s="143">
        <v>240</v>
      </c>
      <c r="L1134" s="135" t="s">
        <v>398</v>
      </c>
      <c r="M1134" s="133" t="s">
        <v>2488</v>
      </c>
      <c r="N1134" s="135" t="s">
        <v>102</v>
      </c>
      <c r="O1134" s="135" t="s">
        <v>115</v>
      </c>
      <c r="P1134" s="135">
        <v>1</v>
      </c>
      <c r="R1134" s="135">
        <v>0</v>
      </c>
      <c r="S1134" s="133" t="s">
        <v>461</v>
      </c>
      <c r="T1134" s="135" t="s">
        <v>2125</v>
      </c>
      <c r="U1134" s="135" t="s">
        <v>122</v>
      </c>
      <c r="V1134" s="135" t="s">
        <v>115</v>
      </c>
      <c r="W1134" s="135" t="s">
        <v>115</v>
      </c>
      <c r="X1134" s="135" t="s">
        <v>115</v>
      </c>
      <c r="Y1134" s="135" t="s">
        <v>115</v>
      </c>
      <c r="AB1134" s="135" t="s">
        <v>115</v>
      </c>
      <c r="AC1134" s="137" t="s">
        <v>115</v>
      </c>
      <c r="AD1134" s="137"/>
      <c r="AH1134" s="143">
        <v>0</v>
      </c>
      <c r="AI1134" s="143">
        <v>0</v>
      </c>
      <c r="AJ1134" s="143">
        <v>0</v>
      </c>
      <c r="AK1134" s="143">
        <v>0</v>
      </c>
      <c r="AL1134" s="143">
        <v>0</v>
      </c>
      <c r="AM1134" s="135">
        <v>0</v>
      </c>
      <c r="AN1134" s="135">
        <f t="shared" ref="AN1134:AN1197" si="19">SUM(AJ1134:AM1134)</f>
        <v>0</v>
      </c>
      <c r="AS1134" s="133"/>
      <c r="AT1134" s="133"/>
      <c r="AU1134" s="133"/>
      <c r="AV1134" s="133"/>
    </row>
    <row r="1135" spans="1:48" s="133" customFormat="1" x14ac:dyDescent="0.2">
      <c r="A1135" s="135" t="s">
        <v>1440</v>
      </c>
      <c r="B1135" s="135" t="s">
        <v>1441</v>
      </c>
      <c r="C1135" s="135">
        <v>42</v>
      </c>
      <c r="D1135" s="135">
        <v>1</v>
      </c>
      <c r="E1135" s="135" t="s">
        <v>2487</v>
      </c>
      <c r="F1135" s="136">
        <v>43388</v>
      </c>
      <c r="G1135" s="136" t="s">
        <v>4033</v>
      </c>
      <c r="H1135" s="136" t="s">
        <v>4724</v>
      </c>
      <c r="I1135" s="172">
        <v>3.1944444444444449E-2</v>
      </c>
      <c r="J1135" s="175">
        <v>5.3240740740740744E-4</v>
      </c>
      <c r="K1135" s="143">
        <v>46</v>
      </c>
      <c r="L1135" s="135" t="s">
        <v>398</v>
      </c>
      <c r="M1135" s="133" t="s">
        <v>2488</v>
      </c>
      <c r="N1135" s="135" t="s">
        <v>102</v>
      </c>
      <c r="O1135" s="135" t="s">
        <v>115</v>
      </c>
      <c r="P1135" s="135">
        <v>1</v>
      </c>
      <c r="Q1135" s="135"/>
      <c r="R1135" s="135">
        <v>0</v>
      </c>
      <c r="S1135" s="133" t="s">
        <v>461</v>
      </c>
      <c r="T1135" s="135" t="s">
        <v>2125</v>
      </c>
      <c r="U1135" s="135" t="s">
        <v>122</v>
      </c>
      <c r="V1135" s="135" t="s">
        <v>115</v>
      </c>
      <c r="W1135" s="135" t="s">
        <v>115</v>
      </c>
      <c r="X1135" s="135" t="s">
        <v>115</v>
      </c>
      <c r="Y1135" s="135" t="s">
        <v>115</v>
      </c>
      <c r="Z1135" s="135"/>
      <c r="AA1135" s="135"/>
      <c r="AB1135" s="135" t="s">
        <v>115</v>
      </c>
      <c r="AC1135" s="137" t="s">
        <v>115</v>
      </c>
      <c r="AD1135" s="137"/>
      <c r="AE1135" s="135"/>
      <c r="AF1135" s="135"/>
      <c r="AG1135" s="135"/>
      <c r="AH1135" s="143">
        <v>0</v>
      </c>
      <c r="AI1135" s="143">
        <v>0</v>
      </c>
      <c r="AJ1135" s="143">
        <v>0</v>
      </c>
      <c r="AK1135" s="143">
        <v>0</v>
      </c>
      <c r="AL1135" s="143">
        <v>0</v>
      </c>
      <c r="AM1135" s="135">
        <v>0</v>
      </c>
      <c r="AN1135" s="135">
        <f t="shared" si="19"/>
        <v>0</v>
      </c>
      <c r="AO1135" s="135"/>
      <c r="AP1135" s="135"/>
      <c r="AQ1135" s="135"/>
      <c r="AR1135" s="135"/>
    </row>
    <row r="1136" spans="1:48" s="133" customFormat="1" x14ac:dyDescent="0.2">
      <c r="A1136" s="133" t="s">
        <v>1442</v>
      </c>
      <c r="B1136" s="133" t="s">
        <v>1443</v>
      </c>
      <c r="C1136" s="133">
        <v>43</v>
      </c>
      <c r="D1136" s="133">
        <v>1</v>
      </c>
      <c r="E1136" s="133" t="s">
        <v>2487</v>
      </c>
      <c r="F1136" s="138">
        <v>43388</v>
      </c>
      <c r="G1136" s="136" t="s">
        <v>4033</v>
      </c>
      <c r="H1136" s="136" t="s">
        <v>4724</v>
      </c>
      <c r="I1136" s="148">
        <v>2.4999999999999998E-2</v>
      </c>
      <c r="J1136" s="174">
        <v>4.1666666666666669E-4</v>
      </c>
      <c r="K1136" s="139">
        <v>36</v>
      </c>
      <c r="L1136" s="133" t="s">
        <v>398</v>
      </c>
      <c r="M1136" s="133" t="s">
        <v>2488</v>
      </c>
      <c r="N1136" s="133" t="s">
        <v>111</v>
      </c>
      <c r="O1136" s="133" t="s">
        <v>23</v>
      </c>
      <c r="P1136" s="133">
        <v>0</v>
      </c>
      <c r="R1136" s="133">
        <v>1</v>
      </c>
      <c r="S1136" s="133" t="s">
        <v>461</v>
      </c>
      <c r="T1136" s="133" t="s">
        <v>2125</v>
      </c>
      <c r="U1136" s="133" t="s">
        <v>122</v>
      </c>
      <c r="V1136" s="133" t="s">
        <v>2061</v>
      </c>
      <c r="W1136" s="135" t="s">
        <v>23</v>
      </c>
      <c r="X1136" s="135" t="s">
        <v>3999</v>
      </c>
      <c r="Y1136" s="135" t="s">
        <v>4006</v>
      </c>
      <c r="Z1136" s="135"/>
      <c r="AA1136" s="135"/>
      <c r="AB1136" s="133">
        <v>46</v>
      </c>
      <c r="AC1136" s="134">
        <v>63.721530000000001</v>
      </c>
      <c r="AD1136" s="134">
        <v>148.98785000000001</v>
      </c>
      <c r="AE1136" s="135"/>
      <c r="AF1136" s="135"/>
      <c r="AG1136" s="135"/>
      <c r="AH1136" s="139">
        <v>0</v>
      </c>
      <c r="AI1136" s="139">
        <v>0</v>
      </c>
      <c r="AJ1136" s="139">
        <v>0</v>
      </c>
      <c r="AK1136" s="139">
        <v>0</v>
      </c>
      <c r="AL1136" s="143">
        <v>0</v>
      </c>
      <c r="AM1136" s="133">
        <v>0</v>
      </c>
      <c r="AN1136" s="133">
        <f t="shared" si="19"/>
        <v>0</v>
      </c>
      <c r="AP1136" s="144" t="s">
        <v>5002</v>
      </c>
    </row>
    <row r="1137" spans="1:48" s="133" customFormat="1" x14ac:dyDescent="0.2">
      <c r="A1137" s="135" t="s">
        <v>1444</v>
      </c>
      <c r="B1137" s="135" t="s">
        <v>1445</v>
      </c>
      <c r="C1137" s="135">
        <v>44</v>
      </c>
      <c r="D1137" s="135">
        <v>1</v>
      </c>
      <c r="E1137" s="135" t="s">
        <v>2487</v>
      </c>
      <c r="F1137" s="136">
        <v>43388</v>
      </c>
      <c r="G1137" s="136" t="s">
        <v>4033</v>
      </c>
      <c r="H1137" s="136" t="s">
        <v>4724</v>
      </c>
      <c r="I1137" s="172">
        <v>1.5972222222222224E-2</v>
      </c>
      <c r="J1137" s="175">
        <v>2.6620370370370372E-4</v>
      </c>
      <c r="K1137" s="143">
        <v>23</v>
      </c>
      <c r="L1137" s="135" t="s">
        <v>398</v>
      </c>
      <c r="M1137" s="133" t="s">
        <v>2488</v>
      </c>
      <c r="N1137" s="135" t="s">
        <v>102</v>
      </c>
      <c r="O1137" s="135" t="s">
        <v>115</v>
      </c>
      <c r="P1137" s="135">
        <v>1</v>
      </c>
      <c r="Q1137" s="135"/>
      <c r="R1137" s="135">
        <v>0</v>
      </c>
      <c r="S1137" s="133" t="s">
        <v>461</v>
      </c>
      <c r="T1137" s="135" t="s">
        <v>2125</v>
      </c>
      <c r="U1137" s="135" t="s">
        <v>122</v>
      </c>
      <c r="V1137" s="135" t="s">
        <v>115</v>
      </c>
      <c r="W1137" s="135" t="s">
        <v>115</v>
      </c>
      <c r="X1137" s="135" t="s">
        <v>115</v>
      </c>
      <c r="Y1137" s="135" t="s">
        <v>115</v>
      </c>
      <c r="Z1137" s="135"/>
      <c r="AA1137" s="135"/>
      <c r="AB1137" s="135" t="s">
        <v>115</v>
      </c>
      <c r="AC1137" s="137" t="s">
        <v>115</v>
      </c>
      <c r="AD1137" s="137"/>
      <c r="AE1137" s="135"/>
      <c r="AF1137" s="135"/>
      <c r="AG1137" s="135"/>
      <c r="AH1137" s="143">
        <v>0</v>
      </c>
      <c r="AI1137" s="143">
        <v>0</v>
      </c>
      <c r="AJ1137" s="143">
        <v>0</v>
      </c>
      <c r="AK1137" s="143">
        <v>0</v>
      </c>
      <c r="AL1137" s="143">
        <v>0</v>
      </c>
      <c r="AM1137" s="135">
        <v>0</v>
      </c>
      <c r="AN1137" s="135">
        <f t="shared" si="19"/>
        <v>0</v>
      </c>
      <c r="AO1137" s="135"/>
      <c r="AP1137" s="141"/>
      <c r="AQ1137" s="135"/>
      <c r="AR1137" s="135"/>
    </row>
    <row r="1138" spans="1:48" s="133" customFormat="1" x14ac:dyDescent="0.2">
      <c r="A1138" s="133" t="s">
        <v>1446</v>
      </c>
      <c r="B1138" s="133" t="s">
        <v>1447</v>
      </c>
      <c r="C1138" s="133">
        <v>45</v>
      </c>
      <c r="D1138" s="133">
        <v>1</v>
      </c>
      <c r="E1138" s="133" t="s">
        <v>2487</v>
      </c>
      <c r="F1138" s="138">
        <v>43388</v>
      </c>
      <c r="G1138" s="136" t="s">
        <v>4033</v>
      </c>
      <c r="H1138" s="136" t="s">
        <v>4724</v>
      </c>
      <c r="I1138" s="148">
        <v>6.9444444444444441E-3</v>
      </c>
      <c r="J1138" s="174">
        <v>1.1574074074074073E-4</v>
      </c>
      <c r="K1138" s="139">
        <v>10</v>
      </c>
      <c r="L1138" s="133" t="s">
        <v>398</v>
      </c>
      <c r="M1138" s="133" t="s">
        <v>2488</v>
      </c>
      <c r="N1138" s="133" t="s">
        <v>111</v>
      </c>
      <c r="O1138" s="133" t="s">
        <v>23</v>
      </c>
      <c r="P1138" s="133">
        <v>0</v>
      </c>
      <c r="R1138" s="133">
        <v>1</v>
      </c>
      <c r="S1138" s="133" t="s">
        <v>461</v>
      </c>
      <c r="T1138" s="133" t="s">
        <v>2125</v>
      </c>
      <c r="U1138" s="133" t="s">
        <v>122</v>
      </c>
      <c r="V1138" s="133" t="s">
        <v>3963</v>
      </c>
      <c r="W1138" s="135" t="s">
        <v>23</v>
      </c>
      <c r="X1138" s="135" t="s">
        <v>3997</v>
      </c>
      <c r="Y1138" s="135" t="s">
        <v>4007</v>
      </c>
      <c r="Z1138" s="135"/>
      <c r="AA1138" s="135"/>
      <c r="AB1138" s="133">
        <v>10</v>
      </c>
      <c r="AC1138" s="134">
        <v>63.721919999999997</v>
      </c>
      <c r="AD1138" s="134">
        <v>148.98746</v>
      </c>
      <c r="AE1138" s="135"/>
      <c r="AF1138" s="135"/>
      <c r="AG1138" s="135"/>
      <c r="AH1138" s="139">
        <v>0</v>
      </c>
      <c r="AI1138" s="139">
        <v>0</v>
      </c>
      <c r="AJ1138" s="139">
        <v>0</v>
      </c>
      <c r="AK1138" s="139">
        <v>0</v>
      </c>
      <c r="AL1138" s="143">
        <v>0</v>
      </c>
      <c r="AM1138" s="133">
        <v>0</v>
      </c>
      <c r="AN1138" s="133">
        <f t="shared" si="19"/>
        <v>0</v>
      </c>
      <c r="AP1138" s="144" t="s">
        <v>5002</v>
      </c>
      <c r="AS1138" s="135"/>
      <c r="AT1138" s="135"/>
      <c r="AU1138" s="135"/>
      <c r="AV1138" s="135"/>
    </row>
    <row r="1139" spans="1:48" s="133" customFormat="1" x14ac:dyDescent="0.2">
      <c r="A1139" s="135" t="s">
        <v>1448</v>
      </c>
      <c r="B1139" s="135" t="s">
        <v>1449</v>
      </c>
      <c r="C1139" s="135">
        <v>46</v>
      </c>
      <c r="D1139" s="135">
        <v>1</v>
      </c>
      <c r="E1139" s="135" t="s">
        <v>2487</v>
      </c>
      <c r="F1139" s="136">
        <v>43388</v>
      </c>
      <c r="G1139" s="136" t="s">
        <v>4033</v>
      </c>
      <c r="H1139" s="136" t="s">
        <v>4724</v>
      </c>
      <c r="I1139" s="172">
        <v>0.19722222222222222</v>
      </c>
      <c r="J1139" s="175">
        <v>3.2870370370370367E-3</v>
      </c>
      <c r="K1139" s="143">
        <v>284</v>
      </c>
      <c r="L1139" s="135" t="s">
        <v>398</v>
      </c>
      <c r="M1139" s="133" t="s">
        <v>2488</v>
      </c>
      <c r="N1139" s="135" t="s">
        <v>187</v>
      </c>
      <c r="O1139" s="135" t="s">
        <v>23</v>
      </c>
      <c r="P1139" s="135">
        <v>2</v>
      </c>
      <c r="Q1139" s="135"/>
      <c r="R1139" s="135">
        <v>1</v>
      </c>
      <c r="S1139" s="133" t="s">
        <v>461</v>
      </c>
      <c r="T1139" s="135" t="s">
        <v>2125</v>
      </c>
      <c r="U1139" s="135" t="s">
        <v>122</v>
      </c>
      <c r="V1139" s="135" t="s">
        <v>4015</v>
      </c>
      <c r="W1139" s="135" t="s">
        <v>23</v>
      </c>
      <c r="X1139" s="135" t="s">
        <v>3999</v>
      </c>
      <c r="Y1139" s="135" t="s">
        <v>4005</v>
      </c>
      <c r="Z1139" s="135"/>
      <c r="AA1139" s="135"/>
      <c r="AB1139" s="135">
        <v>4</v>
      </c>
      <c r="AC1139" s="137">
        <v>63.721969999999999</v>
      </c>
      <c r="AD1139" s="137">
        <v>148.98725999999999</v>
      </c>
      <c r="AE1139" s="135"/>
      <c r="AF1139" s="135"/>
      <c r="AG1139" s="135"/>
      <c r="AH1139" s="143">
        <v>0</v>
      </c>
      <c r="AI1139" s="143">
        <v>0</v>
      </c>
      <c r="AJ1139" s="143">
        <v>0</v>
      </c>
      <c r="AK1139" s="143">
        <v>0</v>
      </c>
      <c r="AL1139" s="143">
        <v>0</v>
      </c>
      <c r="AM1139" s="135">
        <v>0</v>
      </c>
      <c r="AN1139" s="135">
        <f t="shared" si="19"/>
        <v>0</v>
      </c>
      <c r="AO1139" s="135"/>
      <c r="AP1139" s="135" t="s">
        <v>1451</v>
      </c>
      <c r="AQ1139" s="135"/>
      <c r="AR1139" s="135"/>
    </row>
    <row r="1140" spans="1:48" s="133" customFormat="1" x14ac:dyDescent="0.2">
      <c r="A1140" s="135" t="s">
        <v>1452</v>
      </c>
      <c r="B1140" s="135" t="s">
        <v>1453</v>
      </c>
      <c r="C1140" s="135">
        <v>47</v>
      </c>
      <c r="D1140" s="135">
        <v>1</v>
      </c>
      <c r="E1140" s="135" t="s">
        <v>2487</v>
      </c>
      <c r="F1140" s="136">
        <v>43388</v>
      </c>
      <c r="G1140" s="136" t="s">
        <v>4033</v>
      </c>
      <c r="H1140" s="136" t="s">
        <v>4724</v>
      </c>
      <c r="I1140" s="172">
        <v>0.1013888888888889</v>
      </c>
      <c r="J1140" s="175">
        <v>1.689814814814815E-3</v>
      </c>
      <c r="K1140" s="143">
        <v>146</v>
      </c>
      <c r="L1140" s="135" t="s">
        <v>398</v>
      </c>
      <c r="M1140" s="133" t="s">
        <v>2488</v>
      </c>
      <c r="N1140" s="135" t="s">
        <v>102</v>
      </c>
      <c r="O1140" s="135" t="s">
        <v>115</v>
      </c>
      <c r="P1140" s="135">
        <v>1</v>
      </c>
      <c r="Q1140" s="135"/>
      <c r="R1140" s="135">
        <v>0</v>
      </c>
      <c r="S1140" s="133" t="s">
        <v>461</v>
      </c>
      <c r="T1140" s="135" t="s">
        <v>2125</v>
      </c>
      <c r="U1140" s="135" t="s">
        <v>122</v>
      </c>
      <c r="V1140" s="135" t="s">
        <v>115</v>
      </c>
      <c r="W1140" s="135" t="s">
        <v>115</v>
      </c>
      <c r="X1140" s="135" t="s">
        <v>115</v>
      </c>
      <c r="Y1140" s="135" t="s">
        <v>115</v>
      </c>
      <c r="AB1140" s="135" t="s">
        <v>115</v>
      </c>
      <c r="AC1140" s="137" t="s">
        <v>115</v>
      </c>
      <c r="AD1140" s="137"/>
      <c r="AH1140" s="143">
        <v>0</v>
      </c>
      <c r="AI1140" s="143">
        <v>0</v>
      </c>
      <c r="AJ1140" s="143">
        <v>0</v>
      </c>
      <c r="AK1140" s="143">
        <v>0</v>
      </c>
      <c r="AL1140" s="143">
        <v>0</v>
      </c>
      <c r="AM1140" s="135">
        <v>0</v>
      </c>
      <c r="AN1140" s="135">
        <f t="shared" si="19"/>
        <v>0</v>
      </c>
      <c r="AO1140" s="135"/>
      <c r="AP1140" s="135"/>
      <c r="AQ1140" s="135"/>
      <c r="AR1140" s="135"/>
    </row>
    <row r="1141" spans="1:48" s="133" customFormat="1" x14ac:dyDescent="0.2">
      <c r="A1141" s="135" t="s">
        <v>1454</v>
      </c>
      <c r="B1141" s="135" t="s">
        <v>1455</v>
      </c>
      <c r="C1141" s="135">
        <v>48</v>
      </c>
      <c r="D1141" s="135">
        <v>1</v>
      </c>
      <c r="E1141" s="135" t="s">
        <v>2487</v>
      </c>
      <c r="F1141" s="136">
        <v>43388</v>
      </c>
      <c r="G1141" s="136" t="s">
        <v>4033</v>
      </c>
      <c r="H1141" s="136" t="s">
        <v>4724</v>
      </c>
      <c r="I1141" s="172">
        <v>3.8194444444444441E-2</v>
      </c>
      <c r="J1141" s="175">
        <v>6.3657407407407402E-4</v>
      </c>
      <c r="K1141" s="143">
        <v>55</v>
      </c>
      <c r="L1141" s="135" t="s">
        <v>398</v>
      </c>
      <c r="M1141" s="133" t="s">
        <v>2488</v>
      </c>
      <c r="N1141" s="135" t="s">
        <v>102</v>
      </c>
      <c r="O1141" s="135" t="s">
        <v>115</v>
      </c>
      <c r="P1141" s="135">
        <v>1</v>
      </c>
      <c r="Q1141" s="135"/>
      <c r="R1141" s="135">
        <v>0</v>
      </c>
      <c r="S1141" s="133" t="s">
        <v>461</v>
      </c>
      <c r="T1141" s="135" t="s">
        <v>2125</v>
      </c>
      <c r="U1141" s="135" t="s">
        <v>122</v>
      </c>
      <c r="V1141" s="135" t="s">
        <v>115</v>
      </c>
      <c r="W1141" s="135" t="s">
        <v>115</v>
      </c>
      <c r="X1141" s="135" t="s">
        <v>115</v>
      </c>
      <c r="Y1141" s="135" t="s">
        <v>115</v>
      </c>
      <c r="Z1141" s="135"/>
      <c r="AA1141" s="135"/>
      <c r="AB1141" s="135" t="s">
        <v>115</v>
      </c>
      <c r="AC1141" s="137" t="s">
        <v>115</v>
      </c>
      <c r="AD1141" s="137"/>
      <c r="AE1141" s="135"/>
      <c r="AF1141" s="135"/>
      <c r="AG1141" s="135"/>
      <c r="AH1141" s="143">
        <v>0</v>
      </c>
      <c r="AI1141" s="143">
        <v>0</v>
      </c>
      <c r="AJ1141" s="143">
        <v>0</v>
      </c>
      <c r="AK1141" s="143">
        <v>0</v>
      </c>
      <c r="AL1141" s="143">
        <v>0</v>
      </c>
      <c r="AM1141" s="135">
        <v>0</v>
      </c>
      <c r="AN1141" s="135">
        <f t="shared" si="19"/>
        <v>0</v>
      </c>
      <c r="AO1141" s="135"/>
      <c r="AP1141" s="135"/>
      <c r="AQ1141" s="135"/>
      <c r="AR1141" s="135"/>
    </row>
    <row r="1142" spans="1:48" s="133" customFormat="1" x14ac:dyDescent="0.2">
      <c r="A1142" s="135" t="s">
        <v>1456</v>
      </c>
      <c r="B1142" s="135" t="s">
        <v>1457</v>
      </c>
      <c r="C1142" s="135">
        <v>49</v>
      </c>
      <c r="D1142" s="135">
        <v>1</v>
      </c>
      <c r="E1142" s="135" t="s">
        <v>2487</v>
      </c>
      <c r="F1142" s="136">
        <v>43388</v>
      </c>
      <c r="G1142" s="136" t="s">
        <v>4033</v>
      </c>
      <c r="H1142" s="136" t="s">
        <v>4724</v>
      </c>
      <c r="I1142" s="172">
        <v>1.1805555555555555E-2</v>
      </c>
      <c r="J1142" s="175">
        <v>1.9675925925925926E-4</v>
      </c>
      <c r="K1142" s="143">
        <v>17</v>
      </c>
      <c r="L1142" s="135" t="s">
        <v>398</v>
      </c>
      <c r="M1142" s="133" t="s">
        <v>2488</v>
      </c>
      <c r="N1142" s="135" t="s">
        <v>102</v>
      </c>
      <c r="O1142" s="135" t="s">
        <v>115</v>
      </c>
      <c r="P1142" s="135">
        <v>1</v>
      </c>
      <c r="Q1142" s="135"/>
      <c r="R1142" s="135">
        <v>0</v>
      </c>
      <c r="S1142" s="133" t="s">
        <v>461</v>
      </c>
      <c r="T1142" s="135" t="s">
        <v>2125</v>
      </c>
      <c r="U1142" s="135" t="s">
        <v>122</v>
      </c>
      <c r="V1142" s="135" t="s">
        <v>115</v>
      </c>
      <c r="W1142" s="135" t="s">
        <v>115</v>
      </c>
      <c r="X1142" s="135" t="s">
        <v>115</v>
      </c>
      <c r="Y1142" s="135" t="s">
        <v>115</v>
      </c>
      <c r="Z1142" s="135"/>
      <c r="AA1142" s="135"/>
      <c r="AB1142" s="135" t="s">
        <v>115</v>
      </c>
      <c r="AC1142" s="137" t="s">
        <v>115</v>
      </c>
      <c r="AD1142" s="137"/>
      <c r="AE1142" s="135"/>
      <c r="AF1142" s="135"/>
      <c r="AG1142" s="135"/>
      <c r="AH1142" s="143">
        <v>0</v>
      </c>
      <c r="AI1142" s="143">
        <v>0</v>
      </c>
      <c r="AJ1142" s="143">
        <v>0</v>
      </c>
      <c r="AK1142" s="143">
        <v>0</v>
      </c>
      <c r="AL1142" s="143">
        <v>0</v>
      </c>
      <c r="AM1142" s="135">
        <v>0</v>
      </c>
      <c r="AN1142" s="135">
        <f t="shared" si="19"/>
        <v>0</v>
      </c>
      <c r="AO1142" s="135"/>
      <c r="AP1142" s="135"/>
      <c r="AQ1142" s="135"/>
      <c r="AR1142" s="135"/>
    </row>
    <row r="1143" spans="1:48" s="133" customFormat="1" x14ac:dyDescent="0.2">
      <c r="A1143" s="135" t="s">
        <v>1458</v>
      </c>
      <c r="B1143" s="135" t="s">
        <v>1459</v>
      </c>
      <c r="C1143" s="135">
        <v>50</v>
      </c>
      <c r="D1143" s="135">
        <v>1</v>
      </c>
      <c r="E1143" s="135" t="s">
        <v>2487</v>
      </c>
      <c r="F1143" s="136">
        <v>43388</v>
      </c>
      <c r="G1143" s="136" t="s">
        <v>4033</v>
      </c>
      <c r="H1143" s="136" t="s">
        <v>4724</v>
      </c>
      <c r="I1143" s="172">
        <v>5.9027777777777783E-2</v>
      </c>
      <c r="J1143" s="175">
        <v>9.8379629629629642E-4</v>
      </c>
      <c r="K1143" s="143">
        <v>85</v>
      </c>
      <c r="L1143" s="135" t="s">
        <v>398</v>
      </c>
      <c r="M1143" s="133" t="s">
        <v>2488</v>
      </c>
      <c r="N1143" s="135" t="s">
        <v>102</v>
      </c>
      <c r="O1143" s="135" t="s">
        <v>115</v>
      </c>
      <c r="P1143" s="135">
        <v>1</v>
      </c>
      <c r="Q1143" s="135"/>
      <c r="R1143" s="135">
        <v>0</v>
      </c>
      <c r="S1143" s="133" t="s">
        <v>461</v>
      </c>
      <c r="T1143" s="135" t="s">
        <v>2125</v>
      </c>
      <c r="U1143" s="135" t="s">
        <v>122</v>
      </c>
      <c r="V1143" s="135" t="s">
        <v>115</v>
      </c>
      <c r="W1143" s="135" t="s">
        <v>115</v>
      </c>
      <c r="X1143" s="135" t="s">
        <v>115</v>
      </c>
      <c r="Y1143" s="135" t="s">
        <v>115</v>
      </c>
      <c r="AB1143" s="135" t="s">
        <v>115</v>
      </c>
      <c r="AC1143" s="137" t="s">
        <v>115</v>
      </c>
      <c r="AD1143" s="137"/>
      <c r="AH1143" s="143">
        <v>0</v>
      </c>
      <c r="AI1143" s="143">
        <v>0</v>
      </c>
      <c r="AJ1143" s="143">
        <v>0</v>
      </c>
      <c r="AK1143" s="143">
        <v>0</v>
      </c>
      <c r="AL1143" s="143">
        <v>0</v>
      </c>
      <c r="AM1143" s="135">
        <v>0</v>
      </c>
      <c r="AN1143" s="135">
        <f t="shared" si="19"/>
        <v>0</v>
      </c>
      <c r="AO1143" s="135"/>
      <c r="AP1143" s="135"/>
      <c r="AQ1143" s="135"/>
      <c r="AR1143" s="135"/>
    </row>
    <row r="1144" spans="1:48" s="135" customFormat="1" x14ac:dyDescent="0.2">
      <c r="A1144" s="133" t="s">
        <v>1461</v>
      </c>
      <c r="B1144" s="133" t="s">
        <v>1462</v>
      </c>
      <c r="C1144" s="133">
        <v>51</v>
      </c>
      <c r="D1144" s="133">
        <v>1</v>
      </c>
      <c r="E1144" s="133" t="s">
        <v>2487</v>
      </c>
      <c r="F1144" s="138">
        <v>43388</v>
      </c>
      <c r="G1144" s="136" t="s">
        <v>4033</v>
      </c>
      <c r="H1144" s="136" t="s">
        <v>4724</v>
      </c>
      <c r="I1144" s="148">
        <v>2.013888888888889E-2</v>
      </c>
      <c r="J1144" s="174">
        <v>3.3564814814814812E-4</v>
      </c>
      <c r="K1144" s="139">
        <v>29</v>
      </c>
      <c r="L1144" s="133" t="s">
        <v>398</v>
      </c>
      <c r="M1144" s="133" t="s">
        <v>2488</v>
      </c>
      <c r="N1144" s="133" t="s">
        <v>111</v>
      </c>
      <c r="O1144" s="133" t="s">
        <v>23</v>
      </c>
      <c r="P1144" s="133">
        <v>0</v>
      </c>
      <c r="Q1144" s="133"/>
      <c r="R1144" s="133">
        <v>1</v>
      </c>
      <c r="S1144" s="133" t="s">
        <v>461</v>
      </c>
      <c r="T1144" s="133" t="s">
        <v>2125</v>
      </c>
      <c r="U1144" s="133" t="s">
        <v>122</v>
      </c>
      <c r="V1144" s="133" t="s">
        <v>1035</v>
      </c>
      <c r="W1144" s="135" t="s">
        <v>23</v>
      </c>
      <c r="X1144" s="135" t="s">
        <v>3997</v>
      </c>
      <c r="Y1144" s="135" t="s">
        <v>4006</v>
      </c>
      <c r="AB1144" s="133">
        <v>9</v>
      </c>
      <c r="AC1144" s="134">
        <v>63.721829999999997</v>
      </c>
      <c r="AD1144" s="134">
        <v>148.98733999999999</v>
      </c>
      <c r="AH1144" s="139">
        <v>0</v>
      </c>
      <c r="AI1144" s="139">
        <v>0</v>
      </c>
      <c r="AJ1144" s="139">
        <v>0</v>
      </c>
      <c r="AK1144" s="139">
        <v>0</v>
      </c>
      <c r="AL1144" s="143">
        <v>0</v>
      </c>
      <c r="AM1144" s="133">
        <v>0</v>
      </c>
      <c r="AN1144" s="133">
        <f t="shared" si="19"/>
        <v>0</v>
      </c>
      <c r="AO1144" s="133"/>
      <c r="AP1144" s="133" t="s">
        <v>1463</v>
      </c>
      <c r="AQ1144" s="133"/>
      <c r="AR1144" s="133"/>
      <c r="AS1144" s="133"/>
      <c r="AT1144" s="133"/>
      <c r="AU1144" s="133"/>
      <c r="AV1144" s="133"/>
    </row>
    <row r="1145" spans="1:48" s="133" customFormat="1" x14ac:dyDescent="0.2">
      <c r="A1145" s="133" t="s">
        <v>1461</v>
      </c>
      <c r="B1145" s="133" t="s">
        <v>1462</v>
      </c>
      <c r="C1145" s="133">
        <v>51</v>
      </c>
      <c r="D1145" s="133">
        <v>2</v>
      </c>
      <c r="E1145" s="133" t="s">
        <v>2487</v>
      </c>
      <c r="F1145" s="138">
        <v>43388</v>
      </c>
      <c r="G1145" s="136" t="s">
        <v>4033</v>
      </c>
      <c r="H1145" s="136" t="s">
        <v>4724</v>
      </c>
      <c r="I1145" s="148">
        <v>2.013888888888889E-2</v>
      </c>
      <c r="J1145" s="174">
        <v>3.3564814814814812E-4</v>
      </c>
      <c r="K1145" s="139">
        <v>29</v>
      </c>
      <c r="L1145" s="133" t="s">
        <v>398</v>
      </c>
      <c r="M1145" s="133" t="s">
        <v>2488</v>
      </c>
      <c r="N1145" s="133" t="s">
        <v>111</v>
      </c>
      <c r="O1145" s="133" t="s">
        <v>23</v>
      </c>
      <c r="P1145" s="133">
        <v>0</v>
      </c>
      <c r="R1145" s="133">
        <v>1</v>
      </c>
      <c r="S1145" s="133" t="s">
        <v>461</v>
      </c>
      <c r="T1145" s="133" t="s">
        <v>2125</v>
      </c>
      <c r="U1145" s="133" t="s">
        <v>122</v>
      </c>
      <c r="V1145" s="133" t="s">
        <v>2044</v>
      </c>
      <c r="W1145" s="135" t="s">
        <v>23</v>
      </c>
      <c r="X1145" s="135" t="s">
        <v>3997</v>
      </c>
      <c r="Y1145" s="135" t="s">
        <v>4005</v>
      </c>
      <c r="Z1145" s="135"/>
      <c r="AA1145" s="135"/>
      <c r="AB1145" s="133">
        <v>4</v>
      </c>
      <c r="AC1145" s="134">
        <v>63.72186</v>
      </c>
      <c r="AD1145" s="134">
        <v>148.98733999999999</v>
      </c>
      <c r="AE1145" s="135"/>
      <c r="AF1145" s="135"/>
      <c r="AG1145" s="135"/>
      <c r="AH1145" s="139">
        <v>0</v>
      </c>
      <c r="AI1145" s="139">
        <v>0</v>
      </c>
      <c r="AJ1145" s="139">
        <v>0</v>
      </c>
      <c r="AK1145" s="139">
        <v>0</v>
      </c>
      <c r="AL1145" s="143">
        <v>0</v>
      </c>
      <c r="AM1145" s="133">
        <v>0</v>
      </c>
      <c r="AN1145" s="133">
        <f t="shared" si="19"/>
        <v>0</v>
      </c>
      <c r="AP1145" s="133" t="s">
        <v>1463</v>
      </c>
    </row>
    <row r="1146" spans="1:48" s="133" customFormat="1" x14ac:dyDescent="0.2">
      <c r="A1146" s="135" t="s">
        <v>1475</v>
      </c>
      <c r="B1146" s="135" t="s">
        <v>1476</v>
      </c>
      <c r="C1146" s="135">
        <v>57</v>
      </c>
      <c r="D1146" s="135">
        <v>1</v>
      </c>
      <c r="E1146" s="135" t="s">
        <v>2487</v>
      </c>
      <c r="F1146" s="136">
        <v>43388</v>
      </c>
      <c r="G1146" s="136" t="s">
        <v>4033</v>
      </c>
      <c r="H1146" s="136" t="s">
        <v>4724</v>
      </c>
      <c r="I1146" s="172">
        <v>5.6250000000000001E-2</v>
      </c>
      <c r="J1146" s="175">
        <v>9.3750000000000007E-4</v>
      </c>
      <c r="K1146" s="143">
        <v>81</v>
      </c>
      <c r="L1146" s="135" t="s">
        <v>398</v>
      </c>
      <c r="M1146" s="133" t="s">
        <v>2488</v>
      </c>
      <c r="N1146" s="135" t="s">
        <v>102</v>
      </c>
      <c r="O1146" s="135" t="s">
        <v>115</v>
      </c>
      <c r="P1146" s="135">
        <v>1</v>
      </c>
      <c r="Q1146" s="135"/>
      <c r="R1146" s="135">
        <v>0</v>
      </c>
      <c r="S1146" s="133" t="s">
        <v>461</v>
      </c>
      <c r="T1146" s="135" t="s">
        <v>2125</v>
      </c>
      <c r="U1146" s="135" t="s">
        <v>122</v>
      </c>
      <c r="V1146" s="135" t="s">
        <v>115</v>
      </c>
      <c r="W1146" s="135" t="s">
        <v>115</v>
      </c>
      <c r="X1146" s="135" t="s">
        <v>115</v>
      </c>
      <c r="Y1146" s="135" t="s">
        <v>115</v>
      </c>
      <c r="AB1146" s="135" t="s">
        <v>115</v>
      </c>
      <c r="AC1146" s="137" t="s">
        <v>115</v>
      </c>
      <c r="AD1146" s="137"/>
      <c r="AH1146" s="143">
        <v>0</v>
      </c>
      <c r="AI1146" s="143">
        <v>0</v>
      </c>
      <c r="AJ1146" s="143">
        <v>0</v>
      </c>
      <c r="AK1146" s="143">
        <v>0</v>
      </c>
      <c r="AL1146" s="139">
        <v>0</v>
      </c>
      <c r="AM1146" s="135">
        <v>0</v>
      </c>
      <c r="AN1146" s="135">
        <f t="shared" si="19"/>
        <v>0</v>
      </c>
      <c r="AO1146" s="135"/>
      <c r="AP1146" s="135"/>
      <c r="AQ1146" s="135"/>
      <c r="AR1146" s="135"/>
      <c r="AS1146" s="135"/>
      <c r="AT1146" s="135"/>
      <c r="AU1146" s="135" t="s">
        <v>4993</v>
      </c>
      <c r="AV1146" s="135"/>
    </row>
    <row r="1147" spans="1:48" s="133" customFormat="1" x14ac:dyDescent="0.2">
      <c r="A1147" s="135" t="s">
        <v>1479</v>
      </c>
      <c r="B1147" s="135" t="s">
        <v>1480</v>
      </c>
      <c r="C1147" s="135">
        <v>59</v>
      </c>
      <c r="D1147" s="135">
        <v>1</v>
      </c>
      <c r="E1147" s="135" t="s">
        <v>2487</v>
      </c>
      <c r="F1147" s="136">
        <v>43388</v>
      </c>
      <c r="G1147" s="136" t="s">
        <v>4033</v>
      </c>
      <c r="H1147" s="136" t="s">
        <v>4724</v>
      </c>
      <c r="I1147" s="172">
        <v>6.8749999999999992E-2</v>
      </c>
      <c r="J1147" s="175">
        <v>1.1458333333333333E-3</v>
      </c>
      <c r="K1147" s="143">
        <v>99</v>
      </c>
      <c r="L1147" s="135" t="s">
        <v>398</v>
      </c>
      <c r="M1147" s="133" t="s">
        <v>2488</v>
      </c>
      <c r="N1147" s="135" t="s">
        <v>102</v>
      </c>
      <c r="O1147" s="135" t="s">
        <v>115</v>
      </c>
      <c r="P1147" s="135">
        <v>1</v>
      </c>
      <c r="Q1147" s="135"/>
      <c r="R1147" s="135">
        <v>0</v>
      </c>
      <c r="S1147" s="133" t="s">
        <v>461</v>
      </c>
      <c r="T1147" s="135" t="s">
        <v>2125</v>
      </c>
      <c r="U1147" s="135" t="s">
        <v>122</v>
      </c>
      <c r="V1147" s="135" t="s">
        <v>115</v>
      </c>
      <c r="W1147" s="135" t="s">
        <v>115</v>
      </c>
      <c r="X1147" s="135" t="s">
        <v>115</v>
      </c>
      <c r="Y1147" s="135" t="s">
        <v>115</v>
      </c>
      <c r="Z1147" s="135"/>
      <c r="AA1147" s="135"/>
      <c r="AB1147" s="135" t="s">
        <v>115</v>
      </c>
      <c r="AC1147" s="137" t="s">
        <v>115</v>
      </c>
      <c r="AD1147" s="137"/>
      <c r="AE1147" s="135"/>
      <c r="AF1147" s="135"/>
      <c r="AG1147" s="135"/>
      <c r="AH1147" s="143">
        <v>0</v>
      </c>
      <c r="AI1147" s="143">
        <v>0</v>
      </c>
      <c r="AJ1147" s="143">
        <v>0</v>
      </c>
      <c r="AK1147" s="143">
        <v>0</v>
      </c>
      <c r="AL1147" s="139">
        <v>0</v>
      </c>
      <c r="AM1147" s="135">
        <v>0</v>
      </c>
      <c r="AN1147" s="135">
        <f t="shared" si="19"/>
        <v>0</v>
      </c>
      <c r="AO1147" s="135"/>
      <c r="AP1147" s="135"/>
      <c r="AQ1147" s="135"/>
      <c r="AR1147" s="135"/>
      <c r="AS1147" s="135"/>
      <c r="AT1147" s="135"/>
      <c r="AU1147" s="135"/>
      <c r="AV1147" s="135"/>
    </row>
    <row r="1148" spans="1:48" s="133" customFormat="1" x14ac:dyDescent="0.2">
      <c r="A1148" s="135" t="s">
        <v>1481</v>
      </c>
      <c r="B1148" s="135" t="s">
        <v>1482</v>
      </c>
      <c r="C1148" s="135">
        <v>60</v>
      </c>
      <c r="D1148" s="135">
        <v>1</v>
      </c>
      <c r="E1148" s="135" t="s">
        <v>2487</v>
      </c>
      <c r="F1148" s="136">
        <v>43388</v>
      </c>
      <c r="G1148" s="136" t="s">
        <v>4033</v>
      </c>
      <c r="H1148" s="136" t="s">
        <v>4724</v>
      </c>
      <c r="I1148" s="172">
        <v>8.3333333333333329E-2</v>
      </c>
      <c r="J1148" s="175">
        <v>1.3888888888888889E-3</v>
      </c>
      <c r="K1148" s="143">
        <v>120</v>
      </c>
      <c r="L1148" s="135" t="s">
        <v>398</v>
      </c>
      <c r="M1148" s="133" t="s">
        <v>2488</v>
      </c>
      <c r="N1148" s="135" t="s">
        <v>102</v>
      </c>
      <c r="O1148" s="135" t="s">
        <v>115</v>
      </c>
      <c r="P1148" s="135">
        <v>1</v>
      </c>
      <c r="Q1148" s="135"/>
      <c r="R1148" s="135">
        <v>0</v>
      </c>
      <c r="S1148" s="133" t="s">
        <v>461</v>
      </c>
      <c r="T1148" s="135" t="s">
        <v>2125</v>
      </c>
      <c r="U1148" s="135" t="s">
        <v>122</v>
      </c>
      <c r="V1148" s="135" t="s">
        <v>115</v>
      </c>
      <c r="W1148" s="135" t="s">
        <v>115</v>
      </c>
      <c r="X1148" s="135" t="s">
        <v>115</v>
      </c>
      <c r="Y1148" s="135" t="s">
        <v>115</v>
      </c>
      <c r="Z1148" s="135"/>
      <c r="AA1148" s="135"/>
      <c r="AB1148" s="135" t="s">
        <v>115</v>
      </c>
      <c r="AC1148" s="137" t="s">
        <v>115</v>
      </c>
      <c r="AD1148" s="137"/>
      <c r="AE1148" s="135"/>
      <c r="AF1148" s="135"/>
      <c r="AG1148" s="135"/>
      <c r="AH1148" s="135">
        <v>0</v>
      </c>
      <c r="AI1148" s="143">
        <v>0</v>
      </c>
      <c r="AJ1148" s="143">
        <v>0</v>
      </c>
      <c r="AK1148" s="143">
        <v>0</v>
      </c>
      <c r="AL1148" s="139">
        <v>0</v>
      </c>
      <c r="AM1148" s="135">
        <v>0</v>
      </c>
      <c r="AN1148" s="135">
        <f t="shared" si="19"/>
        <v>0</v>
      </c>
      <c r="AO1148" s="135"/>
      <c r="AP1148" s="135"/>
      <c r="AQ1148" s="135"/>
      <c r="AR1148" s="135"/>
      <c r="AS1148" s="135"/>
      <c r="AT1148" s="135"/>
      <c r="AU1148" s="135"/>
      <c r="AV1148" s="135"/>
    </row>
    <row r="1149" spans="1:48" s="133" customFormat="1" x14ac:dyDescent="0.2">
      <c r="A1149" s="135" t="s">
        <v>1491</v>
      </c>
      <c r="B1149" s="135" t="s">
        <v>1492</v>
      </c>
      <c r="C1149" s="135">
        <v>65</v>
      </c>
      <c r="D1149" s="135">
        <v>1</v>
      </c>
      <c r="E1149" s="135" t="s">
        <v>2487</v>
      </c>
      <c r="F1149" s="136">
        <v>43388</v>
      </c>
      <c r="G1149" s="136" t="s">
        <v>4033</v>
      </c>
      <c r="H1149" s="136" t="s">
        <v>4724</v>
      </c>
      <c r="I1149" s="172">
        <v>0.10347222222222223</v>
      </c>
      <c r="J1149" s="175">
        <v>1.7245370370370372E-3</v>
      </c>
      <c r="K1149" s="143">
        <v>149</v>
      </c>
      <c r="L1149" s="135" t="s">
        <v>398</v>
      </c>
      <c r="M1149" s="133" t="s">
        <v>2488</v>
      </c>
      <c r="N1149" s="135" t="s">
        <v>187</v>
      </c>
      <c r="O1149" s="135" t="s">
        <v>23</v>
      </c>
      <c r="P1149" s="135">
        <v>1</v>
      </c>
      <c r="Q1149" s="135"/>
      <c r="R1149" s="135">
        <v>1</v>
      </c>
      <c r="S1149" s="133" t="s">
        <v>461</v>
      </c>
      <c r="T1149" s="135" t="s">
        <v>2125</v>
      </c>
      <c r="U1149" s="135" t="s">
        <v>122</v>
      </c>
      <c r="V1149" s="133" t="s">
        <v>1035</v>
      </c>
      <c r="W1149" s="135" t="s">
        <v>23</v>
      </c>
      <c r="X1149" s="135" t="s">
        <v>3997</v>
      </c>
      <c r="Y1149" s="135" t="s">
        <v>4006</v>
      </c>
      <c r="AB1149" s="135" t="s">
        <v>24</v>
      </c>
      <c r="AC1149" s="137">
        <v>63.72193</v>
      </c>
      <c r="AD1149" s="137">
        <v>148.98715000000001</v>
      </c>
      <c r="AH1149" s="143">
        <v>0</v>
      </c>
      <c r="AI1149" s="143">
        <v>0</v>
      </c>
      <c r="AJ1149" s="143">
        <v>0</v>
      </c>
      <c r="AK1149" s="143">
        <v>0</v>
      </c>
      <c r="AL1149" s="139">
        <v>0</v>
      </c>
      <c r="AM1149" s="135">
        <v>0</v>
      </c>
      <c r="AN1149" s="135">
        <f t="shared" si="19"/>
        <v>0</v>
      </c>
      <c r="AO1149" s="135"/>
      <c r="AP1149" s="135"/>
      <c r="AQ1149" s="135"/>
      <c r="AR1149" s="135"/>
    </row>
    <row r="1150" spans="1:48" s="135" customFormat="1" x14ac:dyDescent="0.2">
      <c r="A1150" s="135" t="s">
        <v>1493</v>
      </c>
      <c r="B1150" s="135" t="s">
        <v>1494</v>
      </c>
      <c r="C1150" s="135">
        <v>66</v>
      </c>
      <c r="D1150" s="135">
        <v>1</v>
      </c>
      <c r="E1150" s="135" t="s">
        <v>2487</v>
      </c>
      <c r="F1150" s="136">
        <v>43388</v>
      </c>
      <c r="G1150" s="136" t="s">
        <v>4033</v>
      </c>
      <c r="H1150" s="136" t="s">
        <v>4724</v>
      </c>
      <c r="I1150" s="172">
        <v>4.0972222222222222E-2</v>
      </c>
      <c r="J1150" s="175">
        <v>6.8287037037037025E-4</v>
      </c>
      <c r="K1150" s="143">
        <v>59</v>
      </c>
      <c r="L1150" s="135" t="s">
        <v>398</v>
      </c>
      <c r="M1150" s="133" t="s">
        <v>2488</v>
      </c>
      <c r="N1150" s="135" t="s">
        <v>102</v>
      </c>
      <c r="O1150" s="135" t="s">
        <v>115</v>
      </c>
      <c r="P1150" s="135">
        <v>1</v>
      </c>
      <c r="R1150" s="135">
        <v>0</v>
      </c>
      <c r="S1150" s="133" t="s">
        <v>461</v>
      </c>
      <c r="T1150" s="135" t="s">
        <v>2125</v>
      </c>
      <c r="U1150" s="135" t="s">
        <v>122</v>
      </c>
      <c r="V1150" s="135" t="s">
        <v>115</v>
      </c>
      <c r="W1150" s="135" t="s">
        <v>115</v>
      </c>
      <c r="X1150" s="135" t="s">
        <v>115</v>
      </c>
      <c r="Y1150" s="135" t="s">
        <v>115</v>
      </c>
      <c r="AB1150" s="135" t="s">
        <v>115</v>
      </c>
      <c r="AC1150" s="137" t="s">
        <v>115</v>
      </c>
      <c r="AD1150" s="137"/>
      <c r="AH1150" s="143">
        <v>0</v>
      </c>
      <c r="AI1150" s="143">
        <v>0</v>
      </c>
      <c r="AJ1150" s="143">
        <v>0</v>
      </c>
      <c r="AK1150" s="143">
        <v>0</v>
      </c>
      <c r="AL1150" s="139">
        <v>0</v>
      </c>
      <c r="AM1150" s="135">
        <v>0</v>
      </c>
      <c r="AN1150" s="135">
        <f t="shared" si="19"/>
        <v>0</v>
      </c>
    </row>
    <row r="1151" spans="1:48" s="133" customFormat="1" x14ac:dyDescent="0.2">
      <c r="A1151" s="135" t="s">
        <v>1495</v>
      </c>
      <c r="B1151" s="135" t="s">
        <v>1496</v>
      </c>
      <c r="C1151" s="135">
        <v>67</v>
      </c>
      <c r="D1151" s="135">
        <v>1</v>
      </c>
      <c r="E1151" s="135" t="s">
        <v>2487</v>
      </c>
      <c r="F1151" s="136">
        <v>43388</v>
      </c>
      <c r="G1151" s="136" t="s">
        <v>4033</v>
      </c>
      <c r="H1151" s="136" t="s">
        <v>4724</v>
      </c>
      <c r="I1151" s="172">
        <v>1.3888888888888888E-2</v>
      </c>
      <c r="J1151" s="175">
        <v>2.3148148148148146E-4</v>
      </c>
      <c r="K1151" s="143">
        <v>20</v>
      </c>
      <c r="L1151" s="135" t="s">
        <v>398</v>
      </c>
      <c r="M1151" s="133" t="s">
        <v>2488</v>
      </c>
      <c r="N1151" s="135" t="s">
        <v>102</v>
      </c>
      <c r="O1151" s="135" t="s">
        <v>115</v>
      </c>
      <c r="P1151" s="135">
        <v>1</v>
      </c>
      <c r="Q1151" s="135"/>
      <c r="R1151" s="135">
        <v>0</v>
      </c>
      <c r="S1151" s="133" t="s">
        <v>461</v>
      </c>
      <c r="T1151" s="135" t="s">
        <v>2125</v>
      </c>
      <c r="U1151" s="135" t="s">
        <v>122</v>
      </c>
      <c r="V1151" s="135" t="s">
        <v>115</v>
      </c>
      <c r="W1151" s="135" t="s">
        <v>115</v>
      </c>
      <c r="X1151" s="135" t="s">
        <v>115</v>
      </c>
      <c r="Y1151" s="135" t="s">
        <v>115</v>
      </c>
      <c r="AB1151" s="135" t="s">
        <v>115</v>
      </c>
      <c r="AC1151" s="137" t="s">
        <v>115</v>
      </c>
      <c r="AD1151" s="137"/>
      <c r="AH1151" s="143">
        <v>0</v>
      </c>
      <c r="AI1151" s="143">
        <v>0</v>
      </c>
      <c r="AJ1151" s="143">
        <v>0</v>
      </c>
      <c r="AK1151" s="143">
        <v>0</v>
      </c>
      <c r="AL1151" s="139">
        <v>0</v>
      </c>
      <c r="AM1151" s="135">
        <v>0</v>
      </c>
      <c r="AN1151" s="135">
        <f t="shared" si="19"/>
        <v>0</v>
      </c>
      <c r="AO1151" s="135"/>
      <c r="AP1151" s="135"/>
      <c r="AQ1151" s="135"/>
      <c r="AR1151" s="135"/>
    </row>
    <row r="1152" spans="1:48" s="133" customFormat="1" x14ac:dyDescent="0.2">
      <c r="A1152" s="135" t="s">
        <v>1497</v>
      </c>
      <c r="B1152" s="135" t="s">
        <v>1498</v>
      </c>
      <c r="C1152" s="135">
        <v>68</v>
      </c>
      <c r="D1152" s="135">
        <v>1</v>
      </c>
      <c r="E1152" s="135" t="s">
        <v>2487</v>
      </c>
      <c r="F1152" s="136">
        <v>43388</v>
      </c>
      <c r="G1152" s="136" t="s">
        <v>4033</v>
      </c>
      <c r="H1152" s="136" t="s">
        <v>4724</v>
      </c>
      <c r="I1152" s="172">
        <v>6.805555555555555E-2</v>
      </c>
      <c r="J1152" s="175">
        <v>1.1342592592592591E-3</v>
      </c>
      <c r="K1152" s="143">
        <v>98</v>
      </c>
      <c r="L1152" s="135" t="s">
        <v>398</v>
      </c>
      <c r="M1152" s="133" t="s">
        <v>2488</v>
      </c>
      <c r="N1152" s="135" t="s">
        <v>102</v>
      </c>
      <c r="O1152" s="135" t="s">
        <v>115</v>
      </c>
      <c r="P1152" s="135">
        <v>1</v>
      </c>
      <c r="Q1152" s="135"/>
      <c r="R1152" s="135">
        <v>0</v>
      </c>
      <c r="S1152" s="133" t="s">
        <v>461</v>
      </c>
      <c r="T1152" s="135" t="s">
        <v>2125</v>
      </c>
      <c r="U1152" s="135" t="s">
        <v>122</v>
      </c>
      <c r="V1152" s="135" t="s">
        <v>115</v>
      </c>
      <c r="W1152" s="135" t="s">
        <v>115</v>
      </c>
      <c r="X1152" s="135" t="s">
        <v>115</v>
      </c>
      <c r="Y1152" s="135" t="s">
        <v>115</v>
      </c>
      <c r="Z1152" s="135"/>
      <c r="AA1152" s="135"/>
      <c r="AB1152" s="135" t="s">
        <v>115</v>
      </c>
      <c r="AC1152" s="137" t="s">
        <v>115</v>
      </c>
      <c r="AD1152" s="137"/>
      <c r="AE1152" s="135"/>
      <c r="AF1152" s="135"/>
      <c r="AG1152" s="135"/>
      <c r="AH1152" s="143">
        <v>0</v>
      </c>
      <c r="AI1152" s="143">
        <v>0</v>
      </c>
      <c r="AJ1152" s="143">
        <v>0</v>
      </c>
      <c r="AK1152" s="143">
        <v>0</v>
      </c>
      <c r="AL1152" s="139">
        <v>0</v>
      </c>
      <c r="AM1152" s="135">
        <v>0</v>
      </c>
      <c r="AN1152" s="135">
        <f t="shared" si="19"/>
        <v>0</v>
      </c>
      <c r="AO1152" s="135"/>
      <c r="AP1152" s="135" t="s">
        <v>1499</v>
      </c>
      <c r="AQ1152" s="135"/>
      <c r="AR1152" s="135"/>
    </row>
    <row r="1153" spans="1:48" s="133" customFormat="1" x14ac:dyDescent="0.2">
      <c r="A1153" s="133" t="s">
        <v>1090</v>
      </c>
      <c r="B1153" s="133" t="s">
        <v>1091</v>
      </c>
      <c r="C1153" s="133">
        <v>1</v>
      </c>
      <c r="D1153" s="133">
        <v>1</v>
      </c>
      <c r="E1153" s="133" t="s">
        <v>324</v>
      </c>
      <c r="F1153" s="138">
        <v>43377</v>
      </c>
      <c r="G1153" s="136" t="s">
        <v>4033</v>
      </c>
      <c r="H1153" s="136" t="s">
        <v>4724</v>
      </c>
      <c r="I1153" s="148">
        <v>6.2499999999999995E-3</v>
      </c>
      <c r="J1153" s="174">
        <v>1.0416666666666667E-4</v>
      </c>
      <c r="K1153" s="139">
        <v>9</v>
      </c>
      <c r="L1153" s="133" t="s">
        <v>397</v>
      </c>
      <c r="M1153" s="133" t="s">
        <v>325</v>
      </c>
      <c r="N1153" s="133" t="s">
        <v>102</v>
      </c>
      <c r="O1153" s="133" t="s">
        <v>115</v>
      </c>
      <c r="P1153" s="133">
        <v>1</v>
      </c>
      <c r="R1153" s="133">
        <v>0</v>
      </c>
      <c r="S1153" s="133" t="s">
        <v>176</v>
      </c>
      <c r="T1153" s="133" t="s">
        <v>176</v>
      </c>
      <c r="U1153" s="133" t="s">
        <v>122</v>
      </c>
      <c r="V1153" s="133" t="s">
        <v>115</v>
      </c>
      <c r="W1153" s="135" t="s">
        <v>115</v>
      </c>
      <c r="X1153" s="135" t="s">
        <v>115</v>
      </c>
      <c r="Y1153" s="135" t="s">
        <v>115</v>
      </c>
      <c r="AB1153" s="133" t="s">
        <v>115</v>
      </c>
      <c r="AC1153" s="134" t="s">
        <v>115</v>
      </c>
      <c r="AD1153" s="134"/>
      <c r="AH1153" s="139">
        <v>0</v>
      </c>
      <c r="AI1153" s="139">
        <v>0</v>
      </c>
      <c r="AJ1153" s="139">
        <v>0</v>
      </c>
      <c r="AK1153" s="139">
        <v>0</v>
      </c>
      <c r="AL1153" s="139">
        <v>0</v>
      </c>
      <c r="AM1153" s="133">
        <v>0</v>
      </c>
      <c r="AN1153" s="133">
        <f t="shared" si="19"/>
        <v>0</v>
      </c>
      <c r="AP1153" s="133" t="s">
        <v>1092</v>
      </c>
      <c r="AS1153" s="135"/>
      <c r="AT1153" s="135"/>
      <c r="AU1153" s="135"/>
      <c r="AV1153" s="135"/>
    </row>
    <row r="1154" spans="1:48" s="135" customFormat="1" x14ac:dyDescent="0.2">
      <c r="A1154" s="133" t="s">
        <v>1161</v>
      </c>
      <c r="B1154" s="133" t="s">
        <v>1162</v>
      </c>
      <c r="C1154" s="133">
        <v>1</v>
      </c>
      <c r="D1154" s="133">
        <v>1</v>
      </c>
      <c r="E1154" s="133" t="s">
        <v>324</v>
      </c>
      <c r="F1154" s="138">
        <v>43380</v>
      </c>
      <c r="G1154" s="136" t="s">
        <v>4033</v>
      </c>
      <c r="H1154" s="136" t="s">
        <v>4724</v>
      </c>
      <c r="I1154" s="148">
        <v>6.2499999999999995E-3</v>
      </c>
      <c r="J1154" s="174">
        <v>1.0416666666666667E-4</v>
      </c>
      <c r="K1154" s="139">
        <v>9</v>
      </c>
      <c r="L1154" s="133" t="s">
        <v>398</v>
      </c>
      <c r="M1154" s="133" t="s">
        <v>325</v>
      </c>
      <c r="N1154" s="133" t="s">
        <v>111</v>
      </c>
      <c r="O1154" s="133" t="s">
        <v>12</v>
      </c>
      <c r="P1154" s="133">
        <v>0</v>
      </c>
      <c r="Q1154" s="133"/>
      <c r="R1154" s="133">
        <v>1</v>
      </c>
      <c r="S1154" s="133" t="s">
        <v>176</v>
      </c>
      <c r="T1154" s="133" t="s">
        <v>176</v>
      </c>
      <c r="U1154" s="133" t="s">
        <v>24</v>
      </c>
      <c r="V1154" s="133" t="s">
        <v>1027</v>
      </c>
      <c r="W1154" s="135" t="s">
        <v>12</v>
      </c>
      <c r="X1154" s="135" t="s">
        <v>3997</v>
      </c>
      <c r="Y1154" s="135" t="s">
        <v>4005</v>
      </c>
      <c r="Z1154" s="133"/>
      <c r="AA1154" s="133"/>
      <c r="AB1154" s="133" t="s">
        <v>24</v>
      </c>
      <c r="AC1154" s="134">
        <v>63.72533</v>
      </c>
      <c r="AD1154" s="134">
        <v>148.88963000000001</v>
      </c>
      <c r="AE1154" s="133"/>
      <c r="AF1154" s="133"/>
      <c r="AG1154" s="133"/>
      <c r="AH1154" s="139">
        <v>0</v>
      </c>
      <c r="AI1154" s="139">
        <v>0</v>
      </c>
      <c r="AJ1154" s="139">
        <v>0</v>
      </c>
      <c r="AK1154" s="139">
        <v>0</v>
      </c>
      <c r="AL1154" s="139">
        <v>0</v>
      </c>
      <c r="AM1154" s="133">
        <v>0</v>
      </c>
      <c r="AN1154" s="133">
        <f t="shared" si="19"/>
        <v>0</v>
      </c>
      <c r="AO1154" s="133"/>
      <c r="AP1154" s="133" t="s">
        <v>1163</v>
      </c>
      <c r="AQ1154" s="133"/>
      <c r="AR1154" s="133"/>
      <c r="AS1154" s="133"/>
      <c r="AT1154" s="133"/>
      <c r="AU1154" s="133"/>
      <c r="AV1154" s="133"/>
    </row>
    <row r="1155" spans="1:48" s="133" customFormat="1" x14ac:dyDescent="0.2">
      <c r="A1155" s="135" t="s">
        <v>1505</v>
      </c>
      <c r="B1155" s="135" t="s">
        <v>1506</v>
      </c>
      <c r="C1155" s="135">
        <v>3</v>
      </c>
      <c r="D1155" s="135">
        <v>1</v>
      </c>
      <c r="E1155" s="135" t="s">
        <v>324</v>
      </c>
      <c r="F1155" s="136">
        <v>43389</v>
      </c>
      <c r="G1155" s="136" t="s">
        <v>4033</v>
      </c>
      <c r="H1155" s="136" t="s">
        <v>4724</v>
      </c>
      <c r="I1155" s="172">
        <v>2.361111111111111E-2</v>
      </c>
      <c r="J1155" s="175">
        <v>3.9351851851851852E-4</v>
      </c>
      <c r="K1155" s="143">
        <v>34</v>
      </c>
      <c r="L1155" s="135" t="s">
        <v>398</v>
      </c>
      <c r="M1155" s="135" t="s">
        <v>325</v>
      </c>
      <c r="N1155" s="135" t="s">
        <v>102</v>
      </c>
      <c r="O1155" s="135" t="s">
        <v>115</v>
      </c>
      <c r="P1155" s="135">
        <v>2</v>
      </c>
      <c r="Q1155" s="135"/>
      <c r="R1155" s="135">
        <v>0</v>
      </c>
      <c r="S1155" s="133" t="s">
        <v>176</v>
      </c>
      <c r="T1155" s="135" t="s">
        <v>176</v>
      </c>
      <c r="U1155" s="135" t="s">
        <v>122</v>
      </c>
      <c r="V1155" s="135" t="s">
        <v>115</v>
      </c>
      <c r="W1155" s="135" t="s">
        <v>115</v>
      </c>
      <c r="X1155" s="135" t="s">
        <v>115</v>
      </c>
      <c r="Y1155" s="135" t="s">
        <v>115</v>
      </c>
      <c r="Z1155" s="135"/>
      <c r="AA1155" s="135"/>
      <c r="AB1155" s="135" t="s">
        <v>115</v>
      </c>
      <c r="AC1155" s="137" t="s">
        <v>115</v>
      </c>
      <c r="AD1155" s="137"/>
      <c r="AE1155" s="135"/>
      <c r="AF1155" s="135"/>
      <c r="AG1155" s="135"/>
      <c r="AH1155" s="143">
        <v>0</v>
      </c>
      <c r="AI1155" s="143">
        <v>0</v>
      </c>
      <c r="AJ1155" s="143">
        <v>0</v>
      </c>
      <c r="AK1155" s="143">
        <v>0</v>
      </c>
      <c r="AL1155" s="143">
        <v>26</v>
      </c>
      <c r="AM1155" s="135">
        <v>0</v>
      </c>
      <c r="AN1155" s="135">
        <f t="shared" si="19"/>
        <v>26</v>
      </c>
      <c r="AO1155" s="135"/>
      <c r="AP1155" s="135" t="s">
        <v>1502</v>
      </c>
      <c r="AQ1155" s="135"/>
      <c r="AR1155" s="135"/>
    </row>
    <row r="1156" spans="1:48" s="135" customFormat="1" x14ac:dyDescent="0.2">
      <c r="A1156" s="135" t="s">
        <v>1507</v>
      </c>
      <c r="B1156" s="135" t="s">
        <v>1508</v>
      </c>
      <c r="C1156" s="135">
        <v>4</v>
      </c>
      <c r="D1156" s="135">
        <v>1</v>
      </c>
      <c r="E1156" s="135" t="s">
        <v>324</v>
      </c>
      <c r="F1156" s="136">
        <v>43389</v>
      </c>
      <c r="G1156" s="136" t="s">
        <v>4033</v>
      </c>
      <c r="H1156" s="136" t="s">
        <v>4724</v>
      </c>
      <c r="I1156" s="172">
        <v>2.2222222222222223E-2</v>
      </c>
      <c r="J1156" s="175">
        <v>3.7037037037037035E-4</v>
      </c>
      <c r="K1156" s="143">
        <v>32</v>
      </c>
      <c r="L1156" s="135" t="s">
        <v>398</v>
      </c>
      <c r="M1156" s="135" t="s">
        <v>325</v>
      </c>
      <c r="N1156" s="135" t="s">
        <v>102</v>
      </c>
      <c r="O1156" s="135" t="s">
        <v>115</v>
      </c>
      <c r="P1156" s="135">
        <v>1</v>
      </c>
      <c r="R1156" s="135">
        <v>0</v>
      </c>
      <c r="S1156" s="133" t="s">
        <v>176</v>
      </c>
      <c r="T1156" s="135" t="s">
        <v>176</v>
      </c>
      <c r="U1156" s="135" t="s">
        <v>122</v>
      </c>
      <c r="V1156" s="135" t="s">
        <v>115</v>
      </c>
      <c r="W1156" s="135" t="s">
        <v>115</v>
      </c>
      <c r="X1156" s="135" t="s">
        <v>115</v>
      </c>
      <c r="Y1156" s="135" t="s">
        <v>115</v>
      </c>
      <c r="AB1156" s="135" t="s">
        <v>115</v>
      </c>
      <c r="AC1156" s="137" t="s">
        <v>115</v>
      </c>
      <c r="AD1156" s="137"/>
      <c r="AH1156" s="143">
        <v>0</v>
      </c>
      <c r="AI1156" s="143">
        <v>0</v>
      </c>
      <c r="AJ1156" s="143">
        <v>0</v>
      </c>
      <c r="AK1156" s="143">
        <v>0</v>
      </c>
      <c r="AL1156" s="143">
        <v>32</v>
      </c>
      <c r="AM1156" s="135">
        <v>0</v>
      </c>
      <c r="AN1156" s="135">
        <f t="shared" si="19"/>
        <v>32</v>
      </c>
      <c r="AP1156" s="135" t="s">
        <v>1502</v>
      </c>
      <c r="AS1156" s="133"/>
      <c r="AT1156" s="133"/>
      <c r="AU1156" s="133"/>
      <c r="AV1156" s="133"/>
    </row>
    <row r="1157" spans="1:48" s="133" customFormat="1" x14ac:dyDescent="0.2">
      <c r="A1157" s="135" t="s">
        <v>1509</v>
      </c>
      <c r="B1157" s="135" t="s">
        <v>1510</v>
      </c>
      <c r="C1157" s="135">
        <v>5</v>
      </c>
      <c r="D1157" s="135">
        <v>1</v>
      </c>
      <c r="E1157" s="135" t="s">
        <v>324</v>
      </c>
      <c r="F1157" s="136">
        <v>43389</v>
      </c>
      <c r="G1157" s="136" t="s">
        <v>4033</v>
      </c>
      <c r="H1157" s="136" t="s">
        <v>4724</v>
      </c>
      <c r="I1157" s="172">
        <v>7.3611111111111113E-2</v>
      </c>
      <c r="J1157" s="175">
        <v>1.2268518518518518E-3</v>
      </c>
      <c r="K1157" s="143">
        <v>106</v>
      </c>
      <c r="L1157" s="135" t="s">
        <v>398</v>
      </c>
      <c r="M1157" s="135" t="s">
        <v>325</v>
      </c>
      <c r="N1157" s="135" t="s">
        <v>102</v>
      </c>
      <c r="O1157" s="135" t="s">
        <v>115</v>
      </c>
      <c r="P1157" s="135">
        <v>2</v>
      </c>
      <c r="Q1157" s="135"/>
      <c r="R1157" s="135">
        <v>0</v>
      </c>
      <c r="S1157" s="133" t="s">
        <v>176</v>
      </c>
      <c r="T1157" s="135" t="s">
        <v>176</v>
      </c>
      <c r="U1157" s="135" t="s">
        <v>122</v>
      </c>
      <c r="V1157" s="135" t="s">
        <v>115</v>
      </c>
      <c r="W1157" s="135" t="s">
        <v>115</v>
      </c>
      <c r="X1157" s="135" t="s">
        <v>115</v>
      </c>
      <c r="Y1157" s="135" t="s">
        <v>115</v>
      </c>
      <c r="Z1157" s="135"/>
      <c r="AA1157" s="135"/>
      <c r="AB1157" s="135" t="s">
        <v>115</v>
      </c>
      <c r="AC1157" s="137" t="s">
        <v>115</v>
      </c>
      <c r="AD1157" s="137"/>
      <c r="AE1157" s="135"/>
      <c r="AF1157" s="135"/>
      <c r="AG1157" s="135"/>
      <c r="AH1157" s="143">
        <v>0</v>
      </c>
      <c r="AI1157" s="143">
        <v>0</v>
      </c>
      <c r="AJ1157" s="143">
        <v>0</v>
      </c>
      <c r="AK1157" s="143">
        <v>0</v>
      </c>
      <c r="AL1157" s="143">
        <v>106</v>
      </c>
      <c r="AM1157" s="135">
        <v>0</v>
      </c>
      <c r="AN1157" s="135">
        <f t="shared" si="19"/>
        <v>106</v>
      </c>
      <c r="AO1157" s="135"/>
      <c r="AP1157" s="135" t="s">
        <v>1502</v>
      </c>
      <c r="AQ1157" s="135"/>
      <c r="AR1157" s="135"/>
    </row>
    <row r="1158" spans="1:48" s="133" customFormat="1" x14ac:dyDescent="0.2">
      <c r="A1158" s="135" t="s">
        <v>1511</v>
      </c>
      <c r="B1158" s="135" t="s">
        <v>1512</v>
      </c>
      <c r="C1158" s="135">
        <v>6</v>
      </c>
      <c r="D1158" s="135">
        <v>1</v>
      </c>
      <c r="E1158" s="135" t="s">
        <v>324</v>
      </c>
      <c r="F1158" s="136">
        <v>43389</v>
      </c>
      <c r="G1158" s="136" t="s">
        <v>4033</v>
      </c>
      <c r="H1158" s="136" t="s">
        <v>4724</v>
      </c>
      <c r="I1158" s="172">
        <v>1.3888888888888888E-2</v>
      </c>
      <c r="J1158" s="175">
        <v>2.3148148148148146E-4</v>
      </c>
      <c r="K1158" s="143">
        <v>20</v>
      </c>
      <c r="L1158" s="135" t="s">
        <v>398</v>
      </c>
      <c r="M1158" s="135" t="s">
        <v>325</v>
      </c>
      <c r="N1158" s="135" t="s">
        <v>102</v>
      </c>
      <c r="O1158" s="135" t="s">
        <v>115</v>
      </c>
      <c r="P1158" s="135">
        <v>1</v>
      </c>
      <c r="Q1158" s="135"/>
      <c r="R1158" s="135">
        <v>0</v>
      </c>
      <c r="S1158" s="133" t="s">
        <v>176</v>
      </c>
      <c r="T1158" s="135" t="s">
        <v>176</v>
      </c>
      <c r="U1158" s="135" t="s">
        <v>122</v>
      </c>
      <c r="V1158" s="135" t="s">
        <v>115</v>
      </c>
      <c r="W1158" s="135" t="s">
        <v>115</v>
      </c>
      <c r="X1158" s="135" t="s">
        <v>115</v>
      </c>
      <c r="Y1158" s="135" t="s">
        <v>115</v>
      </c>
      <c r="Z1158" s="135"/>
      <c r="AA1158" s="135"/>
      <c r="AB1158" s="135" t="s">
        <v>115</v>
      </c>
      <c r="AC1158" s="137" t="s">
        <v>115</v>
      </c>
      <c r="AD1158" s="137"/>
      <c r="AE1158" s="135"/>
      <c r="AF1158" s="135"/>
      <c r="AG1158" s="135"/>
      <c r="AH1158" s="143">
        <v>0</v>
      </c>
      <c r="AI1158" s="143">
        <v>0</v>
      </c>
      <c r="AJ1158" s="143">
        <v>0</v>
      </c>
      <c r="AK1158" s="143">
        <v>0</v>
      </c>
      <c r="AL1158" s="143">
        <v>15</v>
      </c>
      <c r="AM1158" s="135">
        <v>0</v>
      </c>
      <c r="AN1158" s="135">
        <f t="shared" si="19"/>
        <v>15</v>
      </c>
      <c r="AO1158" s="135"/>
      <c r="AP1158" s="135" t="s">
        <v>1502</v>
      </c>
      <c r="AQ1158" s="135"/>
      <c r="AR1158" s="135"/>
      <c r="AS1158" s="135"/>
      <c r="AT1158" s="135"/>
      <c r="AU1158" s="135"/>
      <c r="AV1158" s="135"/>
    </row>
    <row r="1159" spans="1:48" s="133" customFormat="1" x14ac:dyDescent="0.2">
      <c r="A1159" s="135" t="s">
        <v>1515</v>
      </c>
      <c r="B1159" s="135" t="s">
        <v>1516</v>
      </c>
      <c r="C1159" s="135">
        <v>8</v>
      </c>
      <c r="D1159" s="135">
        <v>1</v>
      </c>
      <c r="E1159" s="135" t="s">
        <v>324</v>
      </c>
      <c r="F1159" s="136">
        <v>43389</v>
      </c>
      <c r="G1159" s="136" t="s">
        <v>4033</v>
      </c>
      <c r="H1159" s="136" t="s">
        <v>4724</v>
      </c>
      <c r="I1159" s="172">
        <v>2.7083333333333334E-2</v>
      </c>
      <c r="J1159" s="175">
        <v>4.5138888888888892E-4</v>
      </c>
      <c r="K1159" s="143">
        <v>39</v>
      </c>
      <c r="L1159" s="135" t="s">
        <v>398</v>
      </c>
      <c r="M1159" s="135" t="s">
        <v>325</v>
      </c>
      <c r="N1159" s="135" t="s">
        <v>102</v>
      </c>
      <c r="O1159" s="135" t="s">
        <v>115</v>
      </c>
      <c r="P1159" s="135">
        <v>1</v>
      </c>
      <c r="Q1159" s="135"/>
      <c r="R1159" s="135">
        <v>0</v>
      </c>
      <c r="S1159" s="133" t="s">
        <v>176</v>
      </c>
      <c r="T1159" s="135" t="s">
        <v>176</v>
      </c>
      <c r="U1159" s="135" t="s">
        <v>122</v>
      </c>
      <c r="V1159" s="135" t="s">
        <v>115</v>
      </c>
      <c r="W1159" s="135" t="s">
        <v>115</v>
      </c>
      <c r="X1159" s="135" t="s">
        <v>115</v>
      </c>
      <c r="Y1159" s="135" t="s">
        <v>115</v>
      </c>
      <c r="Z1159" s="135"/>
      <c r="AA1159" s="135"/>
      <c r="AB1159" s="135" t="s">
        <v>115</v>
      </c>
      <c r="AC1159" s="137" t="s">
        <v>115</v>
      </c>
      <c r="AD1159" s="137"/>
      <c r="AE1159" s="135"/>
      <c r="AF1159" s="135"/>
      <c r="AG1159" s="135"/>
      <c r="AH1159" s="143">
        <v>0</v>
      </c>
      <c r="AI1159" s="143">
        <v>0</v>
      </c>
      <c r="AJ1159" s="143">
        <v>0</v>
      </c>
      <c r="AK1159" s="143">
        <v>0</v>
      </c>
      <c r="AL1159" s="143">
        <v>39</v>
      </c>
      <c r="AM1159" s="135">
        <v>0</v>
      </c>
      <c r="AN1159" s="135">
        <f t="shared" si="19"/>
        <v>39</v>
      </c>
      <c r="AO1159" s="135"/>
      <c r="AP1159" s="135" t="s">
        <v>1502</v>
      </c>
      <c r="AQ1159" s="135"/>
      <c r="AR1159" s="135"/>
    </row>
    <row r="1160" spans="1:48" s="135" customFormat="1" x14ac:dyDescent="0.2">
      <c r="A1160" s="135" t="s">
        <v>1669</v>
      </c>
      <c r="B1160" s="135" t="s">
        <v>1670</v>
      </c>
      <c r="C1160" s="135">
        <v>1</v>
      </c>
      <c r="D1160" s="135">
        <v>1</v>
      </c>
      <c r="E1160" s="135" t="s">
        <v>324</v>
      </c>
      <c r="F1160" s="136">
        <v>43395</v>
      </c>
      <c r="G1160" s="136" t="s">
        <v>4033</v>
      </c>
      <c r="H1160" s="136" t="s">
        <v>4724</v>
      </c>
      <c r="I1160" s="172">
        <v>2.1527777777777781E-2</v>
      </c>
      <c r="J1160" s="175">
        <v>3.5879629629629635E-4</v>
      </c>
      <c r="K1160" s="143">
        <v>31</v>
      </c>
      <c r="M1160" s="135" t="s">
        <v>325</v>
      </c>
      <c r="N1160" s="135" t="s">
        <v>102</v>
      </c>
      <c r="O1160" s="135" t="s">
        <v>115</v>
      </c>
      <c r="P1160" s="135">
        <v>1</v>
      </c>
      <c r="R1160" s="135">
        <v>0</v>
      </c>
      <c r="S1160" s="133" t="s">
        <v>176</v>
      </c>
      <c r="T1160" s="135" t="s">
        <v>176</v>
      </c>
      <c r="U1160" s="135" t="s">
        <v>1671</v>
      </c>
      <c r="V1160" s="135" t="s">
        <v>115</v>
      </c>
      <c r="W1160" s="135" t="s">
        <v>115</v>
      </c>
      <c r="X1160" s="135" t="s">
        <v>115</v>
      </c>
      <c r="Y1160" s="135" t="s">
        <v>115</v>
      </c>
      <c r="Z1160" s="133"/>
      <c r="AA1160" s="133"/>
      <c r="AB1160" s="135" t="s">
        <v>115</v>
      </c>
      <c r="AC1160" s="137" t="s">
        <v>115</v>
      </c>
      <c r="AD1160" s="137"/>
      <c r="AE1160" s="133"/>
      <c r="AF1160" s="133"/>
      <c r="AG1160" s="133"/>
      <c r="AH1160" s="143">
        <v>0</v>
      </c>
      <c r="AI1160" s="143">
        <v>0</v>
      </c>
      <c r="AJ1160" s="143">
        <v>0</v>
      </c>
      <c r="AK1160" s="143">
        <v>0</v>
      </c>
      <c r="AL1160" s="143">
        <v>31</v>
      </c>
      <c r="AM1160" s="143">
        <v>0</v>
      </c>
      <c r="AN1160" s="135">
        <f t="shared" si="19"/>
        <v>31</v>
      </c>
      <c r="AO1160" s="135" t="s">
        <v>1672</v>
      </c>
      <c r="AS1160" s="133"/>
      <c r="AT1160" s="133"/>
      <c r="AU1160" s="133"/>
      <c r="AV1160" s="133"/>
    </row>
    <row r="1161" spans="1:48" s="133" customFormat="1" x14ac:dyDescent="0.2">
      <c r="A1161" s="135" t="s">
        <v>1673</v>
      </c>
      <c r="B1161" s="135" t="s">
        <v>1674</v>
      </c>
      <c r="C1161" s="135">
        <v>2</v>
      </c>
      <c r="D1161" s="135">
        <v>1</v>
      </c>
      <c r="E1161" s="135" t="s">
        <v>324</v>
      </c>
      <c r="F1161" s="136">
        <v>43395</v>
      </c>
      <c r="G1161" s="136" t="s">
        <v>4033</v>
      </c>
      <c r="H1161" s="136" t="s">
        <v>4724</v>
      </c>
      <c r="I1161" s="172">
        <v>1.6666666666666666E-2</v>
      </c>
      <c r="J1161" s="175">
        <v>2.7777777777777778E-4</v>
      </c>
      <c r="K1161" s="143">
        <v>24</v>
      </c>
      <c r="L1161" s="135"/>
      <c r="M1161" s="135" t="s">
        <v>325</v>
      </c>
      <c r="N1161" s="135" t="s">
        <v>102</v>
      </c>
      <c r="O1161" s="135" t="s">
        <v>115</v>
      </c>
      <c r="P1161" s="135">
        <v>1</v>
      </c>
      <c r="Q1161" s="135"/>
      <c r="R1161" s="135">
        <v>0</v>
      </c>
      <c r="S1161" s="133" t="s">
        <v>176</v>
      </c>
      <c r="T1161" s="135" t="s">
        <v>176</v>
      </c>
      <c r="U1161" s="135" t="s">
        <v>1671</v>
      </c>
      <c r="V1161" s="135" t="s">
        <v>115</v>
      </c>
      <c r="W1161" s="135" t="s">
        <v>115</v>
      </c>
      <c r="X1161" s="135" t="s">
        <v>115</v>
      </c>
      <c r="Y1161" s="135" t="s">
        <v>115</v>
      </c>
      <c r="AB1161" s="135" t="s">
        <v>115</v>
      </c>
      <c r="AC1161" s="137" t="s">
        <v>115</v>
      </c>
      <c r="AD1161" s="137"/>
      <c r="AH1161" s="143">
        <v>0</v>
      </c>
      <c r="AI1161" s="143">
        <v>0</v>
      </c>
      <c r="AJ1161" s="143">
        <v>0</v>
      </c>
      <c r="AK1161" s="143">
        <v>0</v>
      </c>
      <c r="AL1161" s="143">
        <v>23</v>
      </c>
      <c r="AM1161" s="143">
        <v>0</v>
      </c>
      <c r="AN1161" s="135">
        <f t="shared" si="19"/>
        <v>23</v>
      </c>
      <c r="AO1161" s="135" t="s">
        <v>1672</v>
      </c>
      <c r="AP1161" s="135"/>
      <c r="AQ1161" s="135"/>
      <c r="AR1161" s="135"/>
    </row>
    <row r="1162" spans="1:48" s="135" customFormat="1" x14ac:dyDescent="0.2">
      <c r="A1162" s="135" t="s">
        <v>1675</v>
      </c>
      <c r="B1162" s="135" t="s">
        <v>1676</v>
      </c>
      <c r="C1162" s="135">
        <v>3</v>
      </c>
      <c r="D1162" s="135">
        <v>1</v>
      </c>
      <c r="E1162" s="135" t="s">
        <v>324</v>
      </c>
      <c r="F1162" s="136">
        <v>43395</v>
      </c>
      <c r="G1162" s="136" t="s">
        <v>4033</v>
      </c>
      <c r="H1162" s="136" t="s">
        <v>4724</v>
      </c>
      <c r="I1162" s="172">
        <v>3.0555555555555555E-2</v>
      </c>
      <c r="J1162" s="175">
        <v>5.0925925925925921E-4</v>
      </c>
      <c r="K1162" s="143">
        <v>44</v>
      </c>
      <c r="M1162" s="135" t="s">
        <v>325</v>
      </c>
      <c r="N1162" s="135" t="s">
        <v>102</v>
      </c>
      <c r="O1162" s="135" t="s">
        <v>115</v>
      </c>
      <c r="P1162" s="135">
        <v>1</v>
      </c>
      <c r="R1162" s="135">
        <v>0</v>
      </c>
      <c r="S1162" s="133" t="s">
        <v>176</v>
      </c>
      <c r="T1162" s="135" t="s">
        <v>176</v>
      </c>
      <c r="U1162" s="135" t="s">
        <v>1671</v>
      </c>
      <c r="V1162" s="135" t="s">
        <v>115</v>
      </c>
      <c r="W1162" s="135" t="s">
        <v>115</v>
      </c>
      <c r="X1162" s="135" t="s">
        <v>115</v>
      </c>
      <c r="Y1162" s="135" t="s">
        <v>115</v>
      </c>
      <c r="Z1162" s="133"/>
      <c r="AA1162" s="133"/>
      <c r="AB1162" s="135" t="s">
        <v>115</v>
      </c>
      <c r="AC1162" s="137" t="s">
        <v>115</v>
      </c>
      <c r="AD1162" s="137"/>
      <c r="AE1162" s="133"/>
      <c r="AF1162" s="133"/>
      <c r="AG1162" s="133"/>
      <c r="AH1162" s="143">
        <v>0</v>
      </c>
      <c r="AI1162" s="143">
        <v>0</v>
      </c>
      <c r="AJ1162" s="143">
        <v>0</v>
      </c>
      <c r="AK1162" s="143">
        <v>0</v>
      </c>
      <c r="AL1162" s="143">
        <v>42</v>
      </c>
      <c r="AM1162" s="143">
        <v>0</v>
      </c>
      <c r="AN1162" s="135">
        <f t="shared" si="19"/>
        <v>42</v>
      </c>
      <c r="AO1162" s="135" t="s">
        <v>1672</v>
      </c>
    </row>
    <row r="1163" spans="1:48" s="133" customFormat="1" x14ac:dyDescent="0.2">
      <c r="A1163" s="133" t="s">
        <v>1677</v>
      </c>
      <c r="B1163" s="133" t="s">
        <v>1680</v>
      </c>
      <c r="C1163" s="133">
        <v>4</v>
      </c>
      <c r="D1163" s="133">
        <v>1</v>
      </c>
      <c r="E1163" s="133" t="s">
        <v>324</v>
      </c>
      <c r="F1163" s="138">
        <v>43395</v>
      </c>
      <c r="G1163" s="136" t="s">
        <v>4033</v>
      </c>
      <c r="H1163" s="136" t="s">
        <v>4724</v>
      </c>
      <c r="I1163" s="148">
        <v>5.5555555555555558E-3</v>
      </c>
      <c r="J1163" s="174">
        <v>9.2592592592592588E-5</v>
      </c>
      <c r="K1163" s="139">
        <v>8</v>
      </c>
      <c r="M1163" s="133" t="s">
        <v>325</v>
      </c>
      <c r="N1163" s="133" t="s">
        <v>102</v>
      </c>
      <c r="O1163" s="133" t="s">
        <v>23</v>
      </c>
      <c r="P1163" s="133">
        <v>1</v>
      </c>
      <c r="R1163" s="133">
        <v>0</v>
      </c>
      <c r="S1163" s="133" t="s">
        <v>176</v>
      </c>
      <c r="T1163" s="133" t="s">
        <v>176</v>
      </c>
      <c r="U1163" s="133" t="s">
        <v>948</v>
      </c>
      <c r="V1163" s="133" t="s">
        <v>115</v>
      </c>
      <c r="W1163" s="135" t="s">
        <v>115</v>
      </c>
      <c r="X1163" s="135" t="s">
        <v>115</v>
      </c>
      <c r="Y1163" s="135" t="s">
        <v>115</v>
      </c>
      <c r="AB1163" s="133" t="s">
        <v>115</v>
      </c>
      <c r="AC1163" s="134" t="s">
        <v>115</v>
      </c>
      <c r="AD1163" s="134"/>
      <c r="AH1163" s="139">
        <v>0</v>
      </c>
      <c r="AI1163" s="139">
        <v>0</v>
      </c>
      <c r="AJ1163" s="139">
        <v>0</v>
      </c>
      <c r="AK1163" s="139">
        <v>0</v>
      </c>
      <c r="AL1163" s="139">
        <v>0</v>
      </c>
      <c r="AM1163" s="139">
        <v>0</v>
      </c>
      <c r="AN1163" s="133">
        <f t="shared" si="19"/>
        <v>0</v>
      </c>
      <c r="AP1163" s="133" t="s">
        <v>1678</v>
      </c>
    </row>
    <row r="1164" spans="1:48" s="133" customFormat="1" x14ac:dyDescent="0.2">
      <c r="A1164" s="133" t="s">
        <v>1679</v>
      </c>
      <c r="B1164" s="133" t="s">
        <v>1681</v>
      </c>
      <c r="C1164" s="133">
        <v>5</v>
      </c>
      <c r="D1164" s="133">
        <v>1</v>
      </c>
      <c r="E1164" s="133" t="s">
        <v>324</v>
      </c>
      <c r="F1164" s="138">
        <v>43395</v>
      </c>
      <c r="G1164" s="136" t="s">
        <v>4033</v>
      </c>
      <c r="H1164" s="136" t="s">
        <v>4724</v>
      </c>
      <c r="I1164" s="148">
        <v>1.3888888888888888E-2</v>
      </c>
      <c r="J1164" s="174">
        <v>2.3148148148148146E-4</v>
      </c>
      <c r="K1164" s="139">
        <v>20</v>
      </c>
      <c r="M1164" s="133" t="s">
        <v>325</v>
      </c>
      <c r="N1164" s="133" t="s">
        <v>111</v>
      </c>
      <c r="O1164" s="133" t="s">
        <v>23</v>
      </c>
      <c r="P1164" s="133">
        <v>0</v>
      </c>
      <c r="R1164" s="133">
        <v>1</v>
      </c>
      <c r="S1164" s="133" t="s">
        <v>176</v>
      </c>
      <c r="T1164" s="133" t="s">
        <v>176</v>
      </c>
      <c r="U1164" s="133" t="s">
        <v>24</v>
      </c>
      <c r="V1164" s="133" t="s">
        <v>1035</v>
      </c>
      <c r="W1164" s="135" t="s">
        <v>23</v>
      </c>
      <c r="X1164" s="135" t="s">
        <v>3997</v>
      </c>
      <c r="Y1164" s="135" t="s">
        <v>4006</v>
      </c>
      <c r="AB1164" s="133" t="s">
        <v>24</v>
      </c>
      <c r="AC1164" s="134">
        <v>63.72383</v>
      </c>
      <c r="AD1164" s="134">
        <v>148.88605999999999</v>
      </c>
      <c r="AH1164" s="139">
        <v>0</v>
      </c>
      <c r="AI1164" s="139">
        <v>0</v>
      </c>
      <c r="AJ1164" s="139">
        <v>0</v>
      </c>
      <c r="AK1164" s="139">
        <v>0</v>
      </c>
      <c r="AL1164" s="139">
        <v>0</v>
      </c>
      <c r="AM1164" s="139">
        <v>0</v>
      </c>
      <c r="AN1164" s="133">
        <f t="shared" si="19"/>
        <v>0</v>
      </c>
    </row>
    <row r="1165" spans="1:48" s="133" customFormat="1" x14ac:dyDescent="0.2">
      <c r="A1165" s="133" t="s">
        <v>1682</v>
      </c>
      <c r="B1165" s="133" t="s">
        <v>1683</v>
      </c>
      <c r="C1165" s="133">
        <v>6</v>
      </c>
      <c r="D1165" s="133">
        <v>1</v>
      </c>
      <c r="E1165" s="133" t="s">
        <v>324</v>
      </c>
      <c r="F1165" s="138">
        <v>43395</v>
      </c>
      <c r="G1165" s="136" t="s">
        <v>4033</v>
      </c>
      <c r="H1165" s="136" t="s">
        <v>4724</v>
      </c>
      <c r="I1165" s="148">
        <v>2.361111111111111E-2</v>
      </c>
      <c r="J1165" s="174">
        <v>3.9351851851851852E-4</v>
      </c>
      <c r="K1165" s="139">
        <v>34</v>
      </c>
      <c r="M1165" s="133" t="s">
        <v>325</v>
      </c>
      <c r="N1165" s="133" t="s">
        <v>102</v>
      </c>
      <c r="O1165" s="133" t="s">
        <v>919</v>
      </c>
      <c r="P1165" s="133">
        <v>1</v>
      </c>
      <c r="R1165" s="133">
        <v>0</v>
      </c>
      <c r="S1165" s="133" t="s">
        <v>176</v>
      </c>
      <c r="T1165" s="133" t="s">
        <v>176</v>
      </c>
      <c r="U1165" s="133" t="s">
        <v>948</v>
      </c>
      <c r="V1165" s="133" t="s">
        <v>115</v>
      </c>
      <c r="W1165" s="135" t="s">
        <v>115</v>
      </c>
      <c r="X1165" s="135" t="s">
        <v>115</v>
      </c>
      <c r="Y1165" s="135" t="s">
        <v>115</v>
      </c>
      <c r="AB1165" s="133" t="s">
        <v>115</v>
      </c>
      <c r="AC1165" s="134" t="s">
        <v>115</v>
      </c>
      <c r="AD1165" s="134"/>
      <c r="AH1165" s="139">
        <v>4</v>
      </c>
      <c r="AI1165" s="139">
        <v>0</v>
      </c>
      <c r="AJ1165" s="139">
        <v>0</v>
      </c>
      <c r="AK1165" s="139">
        <v>4</v>
      </c>
      <c r="AL1165" s="139">
        <v>0</v>
      </c>
      <c r="AM1165" s="139">
        <v>0</v>
      </c>
      <c r="AN1165" s="133">
        <f t="shared" si="19"/>
        <v>4</v>
      </c>
      <c r="AP1165" s="133" t="s">
        <v>1684</v>
      </c>
      <c r="AS1165" s="135"/>
      <c r="AT1165" s="135"/>
      <c r="AU1165" s="135"/>
      <c r="AV1165" s="135"/>
    </row>
    <row r="1166" spans="1:48" s="135" customFormat="1" x14ac:dyDescent="0.2">
      <c r="A1166" s="133" t="s">
        <v>1685</v>
      </c>
      <c r="B1166" s="133" t="s">
        <v>1686</v>
      </c>
      <c r="C1166" s="133">
        <v>7</v>
      </c>
      <c r="D1166" s="133">
        <v>1</v>
      </c>
      <c r="E1166" s="133" t="s">
        <v>324</v>
      </c>
      <c r="F1166" s="138">
        <v>43395</v>
      </c>
      <c r="G1166" s="136" t="s">
        <v>4033</v>
      </c>
      <c r="H1166" s="136" t="s">
        <v>4724</v>
      </c>
      <c r="I1166" s="148">
        <v>1.1111111111111112E-2</v>
      </c>
      <c r="J1166" s="174">
        <v>1.8518518518518518E-4</v>
      </c>
      <c r="K1166" s="139">
        <v>16</v>
      </c>
      <c r="L1166" s="133"/>
      <c r="M1166" s="133" t="s">
        <v>325</v>
      </c>
      <c r="N1166" s="133" t="s">
        <v>111</v>
      </c>
      <c r="O1166" s="133" t="s">
        <v>23</v>
      </c>
      <c r="P1166" s="133">
        <v>0</v>
      </c>
      <c r="Q1166" s="133"/>
      <c r="R1166" s="133">
        <v>1</v>
      </c>
      <c r="S1166" s="133" t="s">
        <v>176</v>
      </c>
      <c r="T1166" s="133" t="s">
        <v>176</v>
      </c>
      <c r="U1166" s="133" t="s">
        <v>24</v>
      </c>
      <c r="V1166" s="133" t="s">
        <v>1687</v>
      </c>
      <c r="W1166" s="135" t="s">
        <v>23</v>
      </c>
      <c r="X1166" s="135" t="s">
        <v>4004</v>
      </c>
      <c r="Y1166" s="135" t="s">
        <v>4014</v>
      </c>
      <c r="AB1166" s="133" t="s">
        <v>24</v>
      </c>
      <c r="AC1166" s="134">
        <v>63.723610000000001</v>
      </c>
      <c r="AD1166" s="134">
        <v>148.88697999999999</v>
      </c>
      <c r="AH1166" s="139">
        <v>0</v>
      </c>
      <c r="AI1166" s="139">
        <v>0</v>
      </c>
      <c r="AJ1166" s="139">
        <v>0</v>
      </c>
      <c r="AK1166" s="139">
        <v>0</v>
      </c>
      <c r="AL1166" s="139">
        <v>0</v>
      </c>
      <c r="AM1166" s="139">
        <v>0</v>
      </c>
      <c r="AN1166" s="133">
        <f t="shared" si="19"/>
        <v>0</v>
      </c>
      <c r="AO1166" s="133"/>
      <c r="AP1166" s="133" t="s">
        <v>5017</v>
      </c>
      <c r="AQ1166" s="133"/>
      <c r="AR1166" s="133"/>
    </row>
    <row r="1167" spans="1:48" s="135" customFormat="1" x14ac:dyDescent="0.2">
      <c r="A1167" s="133" t="s">
        <v>1689</v>
      </c>
      <c r="B1167" s="133" t="s">
        <v>1690</v>
      </c>
      <c r="C1167" s="133">
        <v>8</v>
      </c>
      <c r="D1167" s="133">
        <v>1</v>
      </c>
      <c r="E1167" s="133" t="s">
        <v>324</v>
      </c>
      <c r="F1167" s="138">
        <v>43395</v>
      </c>
      <c r="G1167" s="136" t="s">
        <v>4033</v>
      </c>
      <c r="H1167" s="136" t="s">
        <v>4724</v>
      </c>
      <c r="I1167" s="148">
        <v>1.2499999999999999E-2</v>
      </c>
      <c r="J1167" s="174">
        <v>2.0833333333333335E-4</v>
      </c>
      <c r="K1167" s="139">
        <v>18</v>
      </c>
      <c r="L1167" s="133"/>
      <c r="M1167" s="133" t="s">
        <v>325</v>
      </c>
      <c r="N1167" s="133" t="s">
        <v>102</v>
      </c>
      <c r="O1167" s="133" t="s">
        <v>23</v>
      </c>
      <c r="P1167" s="133">
        <v>1</v>
      </c>
      <c r="Q1167" s="133"/>
      <c r="R1167" s="133">
        <v>0</v>
      </c>
      <c r="S1167" s="133" t="s">
        <v>176</v>
      </c>
      <c r="T1167" s="133" t="s">
        <v>176</v>
      </c>
      <c r="U1167" s="133" t="s">
        <v>948</v>
      </c>
      <c r="V1167" s="133" t="s">
        <v>115</v>
      </c>
      <c r="W1167" s="135" t="s">
        <v>115</v>
      </c>
      <c r="X1167" s="135" t="s">
        <v>115</v>
      </c>
      <c r="Y1167" s="135" t="s">
        <v>115</v>
      </c>
      <c r="Z1167" s="133"/>
      <c r="AA1167" s="133"/>
      <c r="AB1167" s="133" t="s">
        <v>115</v>
      </c>
      <c r="AC1167" s="134" t="s">
        <v>115</v>
      </c>
      <c r="AD1167" s="134"/>
      <c r="AE1167" s="133"/>
      <c r="AF1167" s="133"/>
      <c r="AG1167" s="133"/>
      <c r="AH1167" s="139">
        <v>0</v>
      </c>
      <c r="AI1167" s="139">
        <v>0</v>
      </c>
      <c r="AJ1167" s="139">
        <v>0</v>
      </c>
      <c r="AK1167" s="139">
        <v>0</v>
      </c>
      <c r="AL1167" s="139">
        <v>0</v>
      </c>
      <c r="AM1167" s="139">
        <v>0</v>
      </c>
      <c r="AN1167" s="133">
        <f t="shared" si="19"/>
        <v>0</v>
      </c>
      <c r="AO1167" s="133"/>
      <c r="AP1167" s="133" t="s">
        <v>1691</v>
      </c>
      <c r="AQ1167" s="133"/>
      <c r="AR1167" s="133"/>
      <c r="AS1167" s="133"/>
      <c r="AT1167" s="133"/>
      <c r="AU1167" s="133"/>
      <c r="AV1167" s="133"/>
    </row>
    <row r="1168" spans="1:48" s="133" customFormat="1" x14ac:dyDescent="0.2">
      <c r="A1168" s="135" t="s">
        <v>1890</v>
      </c>
      <c r="B1168" s="135" t="s">
        <v>1891</v>
      </c>
      <c r="C1168" s="135">
        <v>1</v>
      </c>
      <c r="D1168" s="135">
        <v>1</v>
      </c>
      <c r="E1168" s="135" t="s">
        <v>324</v>
      </c>
      <c r="F1168" s="136">
        <v>43398</v>
      </c>
      <c r="G1168" s="136" t="s">
        <v>4033</v>
      </c>
      <c r="H1168" s="136" t="s">
        <v>4724</v>
      </c>
      <c r="I1168" s="172">
        <v>4.0972222222222222E-2</v>
      </c>
      <c r="J1168" s="175">
        <v>6.8287037037037025E-4</v>
      </c>
      <c r="K1168" s="143">
        <v>59</v>
      </c>
      <c r="L1168" s="135"/>
      <c r="M1168" s="135" t="s">
        <v>325</v>
      </c>
      <c r="N1168" s="135" t="s">
        <v>102</v>
      </c>
      <c r="O1168" s="135" t="s">
        <v>115</v>
      </c>
      <c r="P1168" s="135">
        <v>3</v>
      </c>
      <c r="Q1168" s="135"/>
      <c r="R1168" s="135">
        <v>0</v>
      </c>
      <c r="S1168" s="133" t="s">
        <v>176</v>
      </c>
      <c r="T1168" s="135" t="s">
        <v>176</v>
      </c>
      <c r="U1168" s="135" t="s">
        <v>122</v>
      </c>
      <c r="V1168" s="135" t="s">
        <v>115</v>
      </c>
      <c r="W1168" s="135" t="s">
        <v>115</v>
      </c>
      <c r="X1168" s="135" t="s">
        <v>115</v>
      </c>
      <c r="Y1168" s="135" t="s">
        <v>115</v>
      </c>
      <c r="AB1168" s="135" t="s">
        <v>115</v>
      </c>
      <c r="AC1168" s="137" t="s">
        <v>115</v>
      </c>
      <c r="AD1168" s="137"/>
      <c r="AH1168" s="143">
        <v>0</v>
      </c>
      <c r="AI1168" s="143">
        <v>0</v>
      </c>
      <c r="AJ1168" s="143">
        <v>0</v>
      </c>
      <c r="AK1168" s="143">
        <v>0</v>
      </c>
      <c r="AL1168" s="143">
        <v>59</v>
      </c>
      <c r="AM1168" s="143">
        <v>0</v>
      </c>
      <c r="AN1168" s="135">
        <f t="shared" si="19"/>
        <v>59</v>
      </c>
      <c r="AO1168" s="135"/>
      <c r="AP1168" s="135" t="s">
        <v>1896</v>
      </c>
      <c r="AQ1168" s="135"/>
      <c r="AR1168" s="135"/>
    </row>
    <row r="1169" spans="1:48" s="135" customFormat="1" x14ac:dyDescent="0.2">
      <c r="A1169" s="135" t="s">
        <v>1892</v>
      </c>
      <c r="B1169" s="135" t="s">
        <v>1893</v>
      </c>
      <c r="C1169" s="135">
        <v>2</v>
      </c>
      <c r="D1169" s="135">
        <v>1</v>
      </c>
      <c r="E1169" s="135" t="s">
        <v>324</v>
      </c>
      <c r="F1169" s="136">
        <v>43398</v>
      </c>
      <c r="G1169" s="136" t="s">
        <v>4033</v>
      </c>
      <c r="H1169" s="136" t="s">
        <v>4724</v>
      </c>
      <c r="I1169" s="172">
        <v>1.3194444444444444E-2</v>
      </c>
      <c r="J1169" s="175">
        <v>2.199074074074074E-4</v>
      </c>
      <c r="K1169" s="143">
        <v>19</v>
      </c>
      <c r="M1169" s="135" t="s">
        <v>325</v>
      </c>
      <c r="N1169" s="135" t="s">
        <v>102</v>
      </c>
      <c r="O1169" s="135" t="s">
        <v>115</v>
      </c>
      <c r="P1169" s="135" t="s">
        <v>24</v>
      </c>
      <c r="R1169" s="135">
        <v>0</v>
      </c>
      <c r="S1169" s="133" t="s">
        <v>176</v>
      </c>
      <c r="T1169" s="135" t="s">
        <v>176</v>
      </c>
      <c r="U1169" s="135" t="s">
        <v>115</v>
      </c>
      <c r="V1169" s="135" t="s">
        <v>115</v>
      </c>
      <c r="W1169" s="135" t="s">
        <v>115</v>
      </c>
      <c r="X1169" s="135" t="s">
        <v>115</v>
      </c>
      <c r="Y1169" s="135" t="s">
        <v>115</v>
      </c>
      <c r="Z1169" s="133"/>
      <c r="AA1169" s="133"/>
      <c r="AB1169" s="135" t="s">
        <v>115</v>
      </c>
      <c r="AC1169" s="137" t="s">
        <v>115</v>
      </c>
      <c r="AD1169" s="137"/>
      <c r="AE1169" s="133"/>
      <c r="AF1169" s="133"/>
      <c r="AG1169" s="133"/>
      <c r="AH1169" s="143">
        <v>0</v>
      </c>
      <c r="AI1169" s="143">
        <v>0</v>
      </c>
      <c r="AJ1169" s="143">
        <v>0</v>
      </c>
      <c r="AK1169" s="143">
        <v>0</v>
      </c>
      <c r="AL1169" s="143">
        <v>19</v>
      </c>
      <c r="AM1169" s="143">
        <v>0</v>
      </c>
      <c r="AN1169" s="135">
        <f t="shared" si="19"/>
        <v>19</v>
      </c>
      <c r="AP1169" s="135" t="s">
        <v>1896</v>
      </c>
      <c r="AS1169" s="133"/>
      <c r="AT1169" s="133"/>
      <c r="AU1169" s="133"/>
      <c r="AV1169" s="133"/>
    </row>
    <row r="1170" spans="1:48" s="135" customFormat="1" x14ac:dyDescent="0.2">
      <c r="A1170" s="135" t="s">
        <v>1894</v>
      </c>
      <c r="B1170" s="135" t="s">
        <v>1895</v>
      </c>
      <c r="C1170" s="135">
        <v>3</v>
      </c>
      <c r="D1170" s="135">
        <v>1</v>
      </c>
      <c r="E1170" s="135" t="s">
        <v>324</v>
      </c>
      <c r="F1170" s="136">
        <v>43398</v>
      </c>
      <c r="G1170" s="136" t="s">
        <v>4033</v>
      </c>
      <c r="H1170" s="136" t="s">
        <v>4724</v>
      </c>
      <c r="I1170" s="172">
        <v>0.13402777777777777</v>
      </c>
      <c r="J1170" s="175">
        <v>2.2337962962962967E-3</v>
      </c>
      <c r="K1170" s="143">
        <v>193</v>
      </c>
      <c r="M1170" s="135" t="s">
        <v>325</v>
      </c>
      <c r="N1170" s="135" t="s">
        <v>102</v>
      </c>
      <c r="O1170" s="135" t="s">
        <v>115</v>
      </c>
      <c r="P1170" s="135">
        <v>7</v>
      </c>
      <c r="R1170" s="135">
        <v>0</v>
      </c>
      <c r="S1170" s="133" t="s">
        <v>176</v>
      </c>
      <c r="T1170" s="135" t="s">
        <v>176</v>
      </c>
      <c r="U1170" s="135" t="s">
        <v>122</v>
      </c>
      <c r="V1170" s="135" t="s">
        <v>115</v>
      </c>
      <c r="W1170" s="135" t="s">
        <v>115</v>
      </c>
      <c r="X1170" s="135" t="s">
        <v>115</v>
      </c>
      <c r="Y1170" s="135" t="s">
        <v>115</v>
      </c>
      <c r="Z1170" s="133"/>
      <c r="AA1170" s="133"/>
      <c r="AB1170" s="135" t="s">
        <v>115</v>
      </c>
      <c r="AC1170" s="137" t="s">
        <v>115</v>
      </c>
      <c r="AD1170" s="137"/>
      <c r="AE1170" s="133"/>
      <c r="AF1170" s="133"/>
      <c r="AG1170" s="133"/>
      <c r="AH1170" s="143">
        <v>0</v>
      </c>
      <c r="AI1170" s="143">
        <v>0</v>
      </c>
      <c r="AJ1170" s="143">
        <v>0</v>
      </c>
      <c r="AK1170" s="143">
        <v>0</v>
      </c>
      <c r="AL1170" s="143">
        <v>193</v>
      </c>
      <c r="AM1170" s="143">
        <v>0</v>
      </c>
      <c r="AN1170" s="135">
        <f t="shared" si="19"/>
        <v>193</v>
      </c>
      <c r="AP1170" s="135" t="s">
        <v>1896</v>
      </c>
    </row>
    <row r="1171" spans="1:48" s="135" customFormat="1" x14ac:dyDescent="0.2">
      <c r="A1171" s="135" t="s">
        <v>1897</v>
      </c>
      <c r="B1171" s="135" t="s">
        <v>1898</v>
      </c>
      <c r="C1171" s="135">
        <v>4</v>
      </c>
      <c r="D1171" s="135">
        <v>1</v>
      </c>
      <c r="E1171" s="135" t="s">
        <v>324</v>
      </c>
      <c r="F1171" s="136">
        <v>43398</v>
      </c>
      <c r="G1171" s="136" t="s">
        <v>4033</v>
      </c>
      <c r="H1171" s="136" t="s">
        <v>4724</v>
      </c>
      <c r="I1171" s="172">
        <v>2.8472222222222222E-2</v>
      </c>
      <c r="J1171" s="175">
        <v>4.7453703703703704E-4</v>
      </c>
      <c r="K1171" s="143">
        <v>41</v>
      </c>
      <c r="M1171" s="135" t="s">
        <v>325</v>
      </c>
      <c r="N1171" s="135" t="s">
        <v>102</v>
      </c>
      <c r="O1171" s="135" t="s">
        <v>115</v>
      </c>
      <c r="P1171" s="135">
        <v>1</v>
      </c>
      <c r="R1171" s="135">
        <v>0</v>
      </c>
      <c r="S1171" s="133" t="s">
        <v>176</v>
      </c>
      <c r="T1171" s="135" t="s">
        <v>176</v>
      </c>
      <c r="U1171" s="135" t="s">
        <v>122</v>
      </c>
      <c r="V1171" s="135" t="s">
        <v>115</v>
      </c>
      <c r="W1171" s="135" t="s">
        <v>115</v>
      </c>
      <c r="X1171" s="135" t="s">
        <v>115</v>
      </c>
      <c r="Y1171" s="135" t="s">
        <v>115</v>
      </c>
      <c r="Z1171" s="133"/>
      <c r="AA1171" s="133"/>
      <c r="AB1171" s="135" t="s">
        <v>115</v>
      </c>
      <c r="AC1171" s="137" t="s">
        <v>115</v>
      </c>
      <c r="AD1171" s="137"/>
      <c r="AE1171" s="133"/>
      <c r="AF1171" s="133"/>
      <c r="AG1171" s="133"/>
      <c r="AH1171" s="143">
        <v>0</v>
      </c>
      <c r="AI1171" s="143">
        <v>0</v>
      </c>
      <c r="AJ1171" s="143">
        <v>0</v>
      </c>
      <c r="AK1171" s="143">
        <v>0</v>
      </c>
      <c r="AL1171" s="143">
        <v>41</v>
      </c>
      <c r="AM1171" s="143">
        <v>0</v>
      </c>
      <c r="AN1171" s="135">
        <f t="shared" si="19"/>
        <v>41</v>
      </c>
      <c r="AP1171" s="135" t="s">
        <v>1896</v>
      </c>
    </row>
    <row r="1172" spans="1:48" s="133" customFormat="1" x14ac:dyDescent="0.2">
      <c r="A1172" s="133" t="s">
        <v>1899</v>
      </c>
      <c r="B1172" s="133" t="s">
        <v>1900</v>
      </c>
      <c r="C1172" s="133">
        <v>5</v>
      </c>
      <c r="D1172" s="133">
        <v>1</v>
      </c>
      <c r="E1172" s="133" t="s">
        <v>324</v>
      </c>
      <c r="F1172" s="138">
        <v>43398</v>
      </c>
      <c r="G1172" s="136" t="s">
        <v>4033</v>
      </c>
      <c r="H1172" s="136" t="s">
        <v>4724</v>
      </c>
      <c r="I1172" s="148">
        <v>9.0277777777777787E-3</v>
      </c>
      <c r="J1172" s="174">
        <v>1.5046296296296297E-4</v>
      </c>
      <c r="K1172" s="139">
        <v>13</v>
      </c>
      <c r="M1172" s="133" t="s">
        <v>325</v>
      </c>
      <c r="N1172" s="133" t="s">
        <v>102</v>
      </c>
      <c r="O1172" s="133" t="s">
        <v>115</v>
      </c>
      <c r="P1172" s="133">
        <v>0</v>
      </c>
      <c r="R1172" s="133">
        <v>1</v>
      </c>
      <c r="S1172" s="133" t="s">
        <v>176</v>
      </c>
      <c r="T1172" s="133" t="s">
        <v>176</v>
      </c>
      <c r="U1172" s="133" t="s">
        <v>122</v>
      </c>
      <c r="V1172" s="133" t="s">
        <v>3963</v>
      </c>
      <c r="W1172" s="135" t="s">
        <v>23</v>
      </c>
      <c r="X1172" s="135" t="s">
        <v>3997</v>
      </c>
      <c r="Y1172" s="135" t="s">
        <v>4007</v>
      </c>
      <c r="Z1172" s="135"/>
      <c r="AA1172" s="135"/>
      <c r="AB1172" s="133">
        <v>5</v>
      </c>
      <c r="AC1172" s="134">
        <v>63.723309999999998</v>
      </c>
      <c r="AD1172" s="134">
        <v>148.88614000000001</v>
      </c>
      <c r="AE1172" s="135"/>
      <c r="AF1172" s="135"/>
      <c r="AG1172" s="135"/>
      <c r="AH1172" s="139">
        <v>0</v>
      </c>
      <c r="AI1172" s="139">
        <v>0</v>
      </c>
      <c r="AJ1172" s="139">
        <v>0</v>
      </c>
      <c r="AK1172" s="139">
        <v>0</v>
      </c>
      <c r="AL1172" s="139">
        <v>0</v>
      </c>
      <c r="AM1172" s="139">
        <v>0</v>
      </c>
      <c r="AN1172" s="133">
        <f t="shared" si="19"/>
        <v>0</v>
      </c>
      <c r="AP1172" s="133" t="s">
        <v>4894</v>
      </c>
    </row>
    <row r="1173" spans="1:48" s="135" customFormat="1" x14ac:dyDescent="0.2">
      <c r="A1173" s="133" t="s">
        <v>1901</v>
      </c>
      <c r="B1173" s="133" t="s">
        <v>1902</v>
      </c>
      <c r="C1173" s="133">
        <v>6</v>
      </c>
      <c r="D1173" s="133">
        <v>1</v>
      </c>
      <c r="E1173" s="133" t="s">
        <v>324</v>
      </c>
      <c r="F1173" s="138">
        <v>43398</v>
      </c>
      <c r="G1173" s="136" t="s">
        <v>4033</v>
      </c>
      <c r="H1173" s="136" t="s">
        <v>4724</v>
      </c>
      <c r="I1173" s="148">
        <v>2.4999999999999998E-2</v>
      </c>
      <c r="J1173" s="174">
        <v>4.1666666666666669E-4</v>
      </c>
      <c r="K1173" s="139">
        <v>36</v>
      </c>
      <c r="L1173" s="133"/>
      <c r="M1173" s="133" t="s">
        <v>325</v>
      </c>
      <c r="N1173" s="133" t="s">
        <v>111</v>
      </c>
      <c r="O1173" s="133" t="s">
        <v>23</v>
      </c>
      <c r="P1173" s="133">
        <v>0</v>
      </c>
      <c r="Q1173" s="133"/>
      <c r="R1173" s="133">
        <v>1</v>
      </c>
      <c r="S1173" s="133" t="s">
        <v>14</v>
      </c>
      <c r="T1173" s="133" t="s">
        <v>2123</v>
      </c>
      <c r="U1173" s="133" t="s">
        <v>24</v>
      </c>
      <c r="V1173" s="133" t="s">
        <v>3963</v>
      </c>
      <c r="W1173" s="140" t="s">
        <v>23</v>
      </c>
      <c r="X1173" s="140" t="s">
        <v>3997</v>
      </c>
      <c r="Y1173" s="135" t="s">
        <v>4007</v>
      </c>
      <c r="AB1173" s="133" t="s">
        <v>24</v>
      </c>
      <c r="AC1173" s="134">
        <v>63.723309999999998</v>
      </c>
      <c r="AD1173" s="134">
        <v>148.88614000000001</v>
      </c>
      <c r="AH1173" s="139">
        <v>0</v>
      </c>
      <c r="AI1173" s="139">
        <v>0</v>
      </c>
      <c r="AJ1173" s="139">
        <v>0</v>
      </c>
      <c r="AK1173" s="139">
        <v>0</v>
      </c>
      <c r="AL1173" s="139">
        <v>0</v>
      </c>
      <c r="AM1173" s="139">
        <v>0</v>
      </c>
      <c r="AN1173" s="133">
        <f t="shared" si="19"/>
        <v>0</v>
      </c>
      <c r="AO1173" s="133"/>
      <c r="AP1173" s="133" t="s">
        <v>1903</v>
      </c>
      <c r="AQ1173" s="133"/>
      <c r="AR1173" s="133"/>
      <c r="AS1173" s="133"/>
      <c r="AT1173" s="133"/>
      <c r="AU1173" s="133"/>
      <c r="AV1173" s="133"/>
    </row>
    <row r="1174" spans="1:48" s="135" customFormat="1" x14ac:dyDescent="0.2">
      <c r="A1174" s="133" t="s">
        <v>807</v>
      </c>
      <c r="B1174" s="133" t="s">
        <v>808</v>
      </c>
      <c r="C1174" s="133">
        <v>5</v>
      </c>
      <c r="D1174" s="133">
        <v>2</v>
      </c>
      <c r="E1174" s="133" t="s">
        <v>3171</v>
      </c>
      <c r="F1174" s="138">
        <v>43360</v>
      </c>
      <c r="G1174" s="136" t="s">
        <v>4032</v>
      </c>
      <c r="H1174" s="136" t="s">
        <v>4724</v>
      </c>
      <c r="I1174" s="148">
        <v>2.6388888888888889E-2</v>
      </c>
      <c r="J1174" s="174">
        <v>4.3981481481481481E-4</v>
      </c>
      <c r="K1174" s="139">
        <v>38</v>
      </c>
      <c r="L1174" s="133" t="s">
        <v>397</v>
      </c>
      <c r="M1174" s="133" t="s">
        <v>3954</v>
      </c>
      <c r="N1174" s="133" t="s">
        <v>102</v>
      </c>
      <c r="O1174" s="133" t="s">
        <v>23</v>
      </c>
      <c r="P1174" s="133">
        <v>0</v>
      </c>
      <c r="Q1174" s="133"/>
      <c r="R1174" s="133">
        <v>0</v>
      </c>
      <c r="S1174" s="133" t="s">
        <v>176</v>
      </c>
      <c r="T1174" s="133" t="s">
        <v>176</v>
      </c>
      <c r="U1174" s="133" t="s">
        <v>122</v>
      </c>
      <c r="V1174" s="133" t="s">
        <v>487</v>
      </c>
      <c r="W1174" s="135" t="s">
        <v>115</v>
      </c>
      <c r="X1174" s="135" t="s">
        <v>115</v>
      </c>
      <c r="Y1174" s="135" t="s">
        <v>115</v>
      </c>
      <c r="Z1174" s="133"/>
      <c r="AA1174" s="133"/>
      <c r="AB1174" s="133" t="s">
        <v>24</v>
      </c>
      <c r="AC1174" s="134">
        <v>63.722329999999999</v>
      </c>
      <c r="AD1174" s="134">
        <v>148.95236</v>
      </c>
      <c r="AE1174" s="133"/>
      <c r="AF1174" s="133"/>
      <c r="AG1174" s="133"/>
      <c r="AH1174" s="139">
        <v>3</v>
      </c>
      <c r="AI1174" s="139">
        <v>0</v>
      </c>
      <c r="AJ1174" s="139">
        <v>0</v>
      </c>
      <c r="AK1174" s="139">
        <v>3</v>
      </c>
      <c r="AL1174" s="139">
        <v>0</v>
      </c>
      <c r="AM1174" s="133">
        <v>0</v>
      </c>
      <c r="AN1174" s="133">
        <f t="shared" si="19"/>
        <v>3</v>
      </c>
      <c r="AO1174" s="133" t="s">
        <v>375</v>
      </c>
      <c r="AP1174" s="133"/>
      <c r="AQ1174" s="133">
        <v>1</v>
      </c>
      <c r="AR1174" s="133">
        <v>0</v>
      </c>
      <c r="AS1174" s="133"/>
      <c r="AT1174" s="133"/>
      <c r="AU1174" s="133"/>
      <c r="AV1174" s="133"/>
    </row>
    <row r="1175" spans="1:48" s="133" customFormat="1" x14ac:dyDescent="0.2">
      <c r="A1175" s="135" t="s">
        <v>452</v>
      </c>
      <c r="B1175" s="135" t="s">
        <v>453</v>
      </c>
      <c r="C1175" s="135">
        <v>1</v>
      </c>
      <c r="D1175" s="135">
        <v>1</v>
      </c>
      <c r="E1175" s="135" t="s">
        <v>2487</v>
      </c>
      <c r="F1175" s="136">
        <v>43350</v>
      </c>
      <c r="G1175" s="136" t="s">
        <v>4032</v>
      </c>
      <c r="H1175" s="136" t="s">
        <v>4724</v>
      </c>
      <c r="I1175" s="172">
        <v>1.3194444444444444E-2</v>
      </c>
      <c r="J1175" s="175">
        <v>2.199074074074074E-4</v>
      </c>
      <c r="K1175" s="143">
        <v>19</v>
      </c>
      <c r="L1175" s="135" t="s">
        <v>398</v>
      </c>
      <c r="M1175" s="135" t="s">
        <v>454</v>
      </c>
      <c r="N1175" s="135" t="s">
        <v>102</v>
      </c>
      <c r="O1175" s="135" t="s">
        <v>115</v>
      </c>
      <c r="P1175" s="135">
        <v>1</v>
      </c>
      <c r="Q1175" s="135"/>
      <c r="R1175" s="135">
        <v>0</v>
      </c>
      <c r="S1175" s="133" t="s">
        <v>176</v>
      </c>
      <c r="T1175" s="135" t="s">
        <v>2126</v>
      </c>
      <c r="U1175" s="135" t="s">
        <v>122</v>
      </c>
      <c r="V1175" s="135" t="s">
        <v>115</v>
      </c>
      <c r="W1175" s="135" t="s">
        <v>115</v>
      </c>
      <c r="X1175" s="135" t="s">
        <v>115</v>
      </c>
      <c r="Y1175" s="135" t="s">
        <v>115</v>
      </c>
      <c r="AB1175" s="135" t="s">
        <v>115</v>
      </c>
      <c r="AC1175" s="137" t="s">
        <v>115</v>
      </c>
      <c r="AD1175" s="137"/>
      <c r="AH1175" s="143">
        <v>0</v>
      </c>
      <c r="AI1175" s="143">
        <v>0</v>
      </c>
      <c r="AJ1175" s="143">
        <v>0</v>
      </c>
      <c r="AK1175" s="143">
        <v>0</v>
      </c>
      <c r="AL1175" s="143">
        <v>13</v>
      </c>
      <c r="AM1175" s="135">
        <v>0</v>
      </c>
      <c r="AN1175" s="135">
        <f t="shared" si="19"/>
        <v>13</v>
      </c>
      <c r="AO1175" s="135"/>
      <c r="AP1175" s="135"/>
      <c r="AQ1175" s="135"/>
      <c r="AR1175" s="135"/>
    </row>
    <row r="1176" spans="1:48" s="133" customFormat="1" x14ac:dyDescent="0.2">
      <c r="A1176" s="135" t="s">
        <v>756</v>
      </c>
      <c r="B1176" s="135" t="s">
        <v>810</v>
      </c>
      <c r="C1176" s="135">
        <v>6</v>
      </c>
      <c r="D1176" s="135">
        <v>1</v>
      </c>
      <c r="E1176" s="135" t="s">
        <v>3171</v>
      </c>
      <c r="F1176" s="136">
        <v>43360</v>
      </c>
      <c r="G1176" s="136" t="s">
        <v>4032</v>
      </c>
      <c r="H1176" s="136" t="s">
        <v>4724</v>
      </c>
      <c r="I1176" s="172">
        <v>1.8055555555555557E-2</v>
      </c>
      <c r="J1176" s="175">
        <v>3.0092592592592595E-4</v>
      </c>
      <c r="K1176" s="143">
        <v>26</v>
      </c>
      <c r="L1176" s="135" t="s">
        <v>397</v>
      </c>
      <c r="M1176" s="135" t="s">
        <v>454</v>
      </c>
      <c r="N1176" s="135" t="s">
        <v>102</v>
      </c>
      <c r="O1176" s="135" t="s">
        <v>115</v>
      </c>
      <c r="P1176" s="135">
        <v>1</v>
      </c>
      <c r="Q1176" s="135"/>
      <c r="R1176" s="135">
        <v>0</v>
      </c>
      <c r="S1176" s="133" t="s">
        <v>598</v>
      </c>
      <c r="T1176" s="135" t="s">
        <v>2106</v>
      </c>
      <c r="U1176" s="135" t="s">
        <v>122</v>
      </c>
      <c r="V1176" s="135" t="s">
        <v>115</v>
      </c>
      <c r="W1176" s="135" t="s">
        <v>115</v>
      </c>
      <c r="X1176" s="135" t="s">
        <v>115</v>
      </c>
      <c r="Y1176" s="135" t="s">
        <v>115</v>
      </c>
      <c r="AB1176" s="135" t="s">
        <v>115</v>
      </c>
      <c r="AC1176" s="137" t="s">
        <v>115</v>
      </c>
      <c r="AD1176" s="137"/>
      <c r="AH1176" s="143">
        <v>0</v>
      </c>
      <c r="AI1176" s="143">
        <v>0</v>
      </c>
      <c r="AJ1176" s="143">
        <v>0</v>
      </c>
      <c r="AK1176" s="143">
        <v>0</v>
      </c>
      <c r="AL1176" s="143">
        <v>11</v>
      </c>
      <c r="AM1176" s="135">
        <v>0</v>
      </c>
      <c r="AN1176" s="135">
        <f t="shared" si="19"/>
        <v>11</v>
      </c>
      <c r="AO1176" s="135"/>
      <c r="AP1176" s="135"/>
      <c r="AQ1176" s="135"/>
      <c r="AR1176" s="135"/>
    </row>
    <row r="1177" spans="1:48" s="135" customFormat="1" x14ac:dyDescent="0.2">
      <c r="A1177" s="133" t="s">
        <v>457</v>
      </c>
      <c r="B1177" s="133" t="s">
        <v>862</v>
      </c>
      <c r="C1177" s="133">
        <v>1</v>
      </c>
      <c r="D1177" s="133">
        <v>1</v>
      </c>
      <c r="E1177" s="133" t="s">
        <v>834</v>
      </c>
      <c r="F1177" s="138">
        <v>43351</v>
      </c>
      <c r="G1177" s="136" t="s">
        <v>4032</v>
      </c>
      <c r="H1177" s="136" t="s">
        <v>4724</v>
      </c>
      <c r="I1177" s="148">
        <v>1.5277777777777777E-2</v>
      </c>
      <c r="J1177" s="174">
        <v>2.5462962962962961E-4</v>
      </c>
      <c r="K1177" s="139">
        <v>22</v>
      </c>
      <c r="L1177" s="133"/>
      <c r="M1177" s="133" t="s">
        <v>466</v>
      </c>
      <c r="N1177" s="133" t="s">
        <v>102</v>
      </c>
      <c r="O1177" s="133" t="s">
        <v>23</v>
      </c>
      <c r="P1177" s="133">
        <v>1</v>
      </c>
      <c r="Q1177" s="133"/>
      <c r="R1177" s="133">
        <v>0</v>
      </c>
      <c r="S1177" s="133" t="s">
        <v>176</v>
      </c>
      <c r="T1177" s="133" t="s">
        <v>176</v>
      </c>
      <c r="U1177" s="133" t="s">
        <v>333</v>
      </c>
      <c r="V1177" s="133" t="s">
        <v>115</v>
      </c>
      <c r="W1177" s="135" t="s">
        <v>115</v>
      </c>
      <c r="X1177" s="135" t="s">
        <v>115</v>
      </c>
      <c r="Y1177" s="135" t="s">
        <v>115</v>
      </c>
      <c r="AB1177" s="133" t="s">
        <v>115</v>
      </c>
      <c r="AC1177" s="134" t="s">
        <v>115</v>
      </c>
      <c r="AD1177" s="134"/>
      <c r="AH1177" s="139">
        <v>0</v>
      </c>
      <c r="AI1177" s="139">
        <v>20</v>
      </c>
      <c r="AJ1177" s="139">
        <v>0</v>
      </c>
      <c r="AK1177" s="139">
        <v>20</v>
      </c>
      <c r="AL1177" s="139">
        <v>0</v>
      </c>
      <c r="AM1177" s="133">
        <v>0</v>
      </c>
      <c r="AN1177" s="133">
        <f t="shared" si="19"/>
        <v>20</v>
      </c>
      <c r="AO1177" s="133" t="s">
        <v>16</v>
      </c>
      <c r="AP1177" s="133"/>
      <c r="AQ1177" s="133">
        <v>0</v>
      </c>
      <c r="AR1177" s="133">
        <v>1</v>
      </c>
      <c r="AS1177" s="133"/>
      <c r="AT1177" s="133"/>
      <c r="AU1177" s="133"/>
      <c r="AV1177" s="133"/>
    </row>
    <row r="1178" spans="1:48" s="133" customFormat="1" x14ac:dyDescent="0.2">
      <c r="A1178" s="133" t="s">
        <v>458</v>
      </c>
      <c r="B1178" s="133" t="s">
        <v>863</v>
      </c>
      <c r="C1178" s="133">
        <v>2</v>
      </c>
      <c r="D1178" s="133">
        <v>1</v>
      </c>
      <c r="E1178" s="133" t="s">
        <v>834</v>
      </c>
      <c r="F1178" s="138">
        <v>43351</v>
      </c>
      <c r="G1178" s="136" t="s">
        <v>4032</v>
      </c>
      <c r="H1178" s="136" t="s">
        <v>4724</v>
      </c>
      <c r="I1178" s="148">
        <v>6.9444444444444441E-3</v>
      </c>
      <c r="J1178" s="174">
        <v>1.1574074074074073E-4</v>
      </c>
      <c r="K1178" s="139">
        <v>10</v>
      </c>
      <c r="M1178" s="133" t="s">
        <v>466</v>
      </c>
      <c r="N1178" s="133" t="s">
        <v>102</v>
      </c>
      <c r="O1178" s="133" t="s">
        <v>23</v>
      </c>
      <c r="P1178" s="133" t="s">
        <v>24</v>
      </c>
      <c r="R1178" s="133">
        <v>0</v>
      </c>
      <c r="T1178" s="133" t="s">
        <v>115</v>
      </c>
      <c r="U1178" s="133" t="s">
        <v>115</v>
      </c>
      <c r="V1178" s="133" t="s">
        <v>115</v>
      </c>
      <c r="W1178" s="135" t="s">
        <v>115</v>
      </c>
      <c r="X1178" s="135" t="s">
        <v>115</v>
      </c>
      <c r="Y1178" s="135" t="s">
        <v>115</v>
      </c>
      <c r="AB1178" s="133" t="s">
        <v>115</v>
      </c>
      <c r="AC1178" s="134" t="s">
        <v>115</v>
      </c>
      <c r="AD1178" s="134"/>
      <c r="AH1178" s="139">
        <v>9</v>
      </c>
      <c r="AI1178" s="139">
        <v>0</v>
      </c>
      <c r="AJ1178" s="139">
        <v>9</v>
      </c>
      <c r="AK1178" s="139">
        <v>0</v>
      </c>
      <c r="AL1178" s="139">
        <v>0</v>
      </c>
      <c r="AM1178" s="133">
        <v>0</v>
      </c>
      <c r="AN1178" s="133">
        <f t="shared" si="19"/>
        <v>9</v>
      </c>
      <c r="AO1178" s="133" t="s">
        <v>459</v>
      </c>
    </row>
    <row r="1179" spans="1:48" s="133" customFormat="1" x14ac:dyDescent="0.2">
      <c r="A1179" s="133" t="s">
        <v>460</v>
      </c>
      <c r="B1179" s="133" t="s">
        <v>864</v>
      </c>
      <c r="C1179" s="133">
        <v>3</v>
      </c>
      <c r="D1179" s="133">
        <v>1</v>
      </c>
      <c r="E1179" s="133" t="s">
        <v>834</v>
      </c>
      <c r="F1179" s="138">
        <v>43351</v>
      </c>
      <c r="G1179" s="136" t="s">
        <v>4032</v>
      </c>
      <c r="H1179" s="136" t="s">
        <v>4724</v>
      </c>
      <c r="I1179" s="148">
        <v>3.4027777777777775E-2</v>
      </c>
      <c r="J1179" s="174">
        <v>5.6712962962962956E-4</v>
      </c>
      <c r="K1179" s="139">
        <v>49</v>
      </c>
      <c r="M1179" s="133" t="s">
        <v>466</v>
      </c>
      <c r="N1179" s="133" t="s">
        <v>107</v>
      </c>
      <c r="O1179" s="133" t="s">
        <v>23</v>
      </c>
      <c r="P1179" s="133">
        <v>1</v>
      </c>
      <c r="R1179" s="133">
        <v>0</v>
      </c>
      <c r="S1179" s="133" t="s">
        <v>461</v>
      </c>
      <c r="T1179" s="133" t="s">
        <v>461</v>
      </c>
      <c r="U1179" s="133" t="s">
        <v>24</v>
      </c>
      <c r="V1179" s="133" t="s">
        <v>115</v>
      </c>
      <c r="W1179" s="135" t="s">
        <v>115</v>
      </c>
      <c r="X1179" s="135" t="s">
        <v>115</v>
      </c>
      <c r="Y1179" s="135" t="s">
        <v>115</v>
      </c>
      <c r="Z1179" s="135"/>
      <c r="AA1179" s="135"/>
      <c r="AB1179" s="133" t="s">
        <v>115</v>
      </c>
      <c r="AC1179" s="134" t="s">
        <v>115</v>
      </c>
      <c r="AD1179" s="134"/>
      <c r="AE1179" s="135"/>
      <c r="AF1179" s="135"/>
      <c r="AG1179" s="135"/>
      <c r="AH1179" s="139">
        <v>0</v>
      </c>
      <c r="AI1179" s="139">
        <v>0</v>
      </c>
      <c r="AJ1179" s="139">
        <v>0</v>
      </c>
      <c r="AK1179" s="139">
        <v>0</v>
      </c>
      <c r="AL1179" s="139">
        <v>0</v>
      </c>
      <c r="AM1179" s="133">
        <v>0</v>
      </c>
      <c r="AN1179" s="133">
        <f t="shared" si="19"/>
        <v>0</v>
      </c>
      <c r="AP1179" s="133" t="s">
        <v>462</v>
      </c>
    </row>
    <row r="1180" spans="1:48" s="133" customFormat="1" x14ac:dyDescent="0.2">
      <c r="A1180" s="133" t="s">
        <v>463</v>
      </c>
      <c r="B1180" s="133" t="s">
        <v>865</v>
      </c>
      <c r="C1180" s="133">
        <v>4</v>
      </c>
      <c r="D1180" s="133">
        <v>1</v>
      </c>
      <c r="E1180" s="133" t="s">
        <v>834</v>
      </c>
      <c r="F1180" s="138">
        <v>43351</v>
      </c>
      <c r="G1180" s="136" t="s">
        <v>4032</v>
      </c>
      <c r="H1180" s="136" t="s">
        <v>4724</v>
      </c>
      <c r="I1180" s="148">
        <v>2.5694444444444447E-2</v>
      </c>
      <c r="J1180" s="174">
        <v>4.2824074074074075E-4</v>
      </c>
      <c r="K1180" s="139">
        <v>37</v>
      </c>
      <c r="M1180" s="133" t="s">
        <v>466</v>
      </c>
      <c r="N1180" s="133" t="s">
        <v>107</v>
      </c>
      <c r="O1180" s="133" t="s">
        <v>23</v>
      </c>
      <c r="P1180" s="133">
        <v>0</v>
      </c>
      <c r="R1180" s="133">
        <v>0</v>
      </c>
      <c r="S1180" s="133" t="s">
        <v>461</v>
      </c>
      <c r="T1180" s="133" t="s">
        <v>461</v>
      </c>
      <c r="U1180" s="133" t="s">
        <v>115</v>
      </c>
      <c r="V1180" s="133" t="s">
        <v>115</v>
      </c>
      <c r="W1180" s="135" t="s">
        <v>115</v>
      </c>
      <c r="X1180" s="135" t="s">
        <v>115</v>
      </c>
      <c r="Y1180" s="135" t="s">
        <v>115</v>
      </c>
      <c r="AB1180" s="133" t="s">
        <v>115</v>
      </c>
      <c r="AC1180" s="134" t="s">
        <v>115</v>
      </c>
      <c r="AD1180" s="134"/>
      <c r="AH1180" s="139">
        <v>0</v>
      </c>
      <c r="AI1180" s="139">
        <v>0</v>
      </c>
      <c r="AJ1180" s="139">
        <v>0</v>
      </c>
      <c r="AK1180" s="139">
        <v>0</v>
      </c>
      <c r="AL1180" s="139">
        <v>0</v>
      </c>
      <c r="AM1180" s="133">
        <v>0</v>
      </c>
      <c r="AN1180" s="133">
        <f t="shared" si="19"/>
        <v>0</v>
      </c>
      <c r="AP1180" s="133" t="s">
        <v>464</v>
      </c>
      <c r="AS1180" s="135"/>
      <c r="AT1180" s="135"/>
      <c r="AU1180" s="135"/>
      <c r="AV1180" s="135"/>
    </row>
    <row r="1181" spans="1:48" s="135" customFormat="1" x14ac:dyDescent="0.2">
      <c r="A1181" s="133" t="s">
        <v>465</v>
      </c>
      <c r="B1181" s="133" t="s">
        <v>866</v>
      </c>
      <c r="C1181" s="133">
        <v>5</v>
      </c>
      <c r="D1181" s="133">
        <v>1</v>
      </c>
      <c r="E1181" s="133" t="s">
        <v>834</v>
      </c>
      <c r="F1181" s="138">
        <v>43351</v>
      </c>
      <c r="G1181" s="136" t="s">
        <v>4032</v>
      </c>
      <c r="H1181" s="136" t="s">
        <v>4724</v>
      </c>
      <c r="I1181" s="148">
        <v>1.8749999999999999E-2</v>
      </c>
      <c r="J1181" s="174">
        <v>3.1250000000000001E-4</v>
      </c>
      <c r="K1181" s="139">
        <v>27</v>
      </c>
      <c r="L1181" s="133"/>
      <c r="M1181" s="133" t="s">
        <v>466</v>
      </c>
      <c r="N1181" s="133" t="s">
        <v>102</v>
      </c>
      <c r="O1181" s="133" t="s">
        <v>23</v>
      </c>
      <c r="P1181" s="133">
        <v>1</v>
      </c>
      <c r="Q1181" s="133"/>
      <c r="R1181" s="133">
        <v>0</v>
      </c>
      <c r="S1181" s="133" t="s">
        <v>176</v>
      </c>
      <c r="T1181" s="133" t="s">
        <v>176</v>
      </c>
      <c r="U1181" s="133" t="s">
        <v>333</v>
      </c>
      <c r="V1181" s="133" t="s">
        <v>115</v>
      </c>
      <c r="W1181" s="135" t="s">
        <v>115</v>
      </c>
      <c r="X1181" s="135" t="s">
        <v>115</v>
      </c>
      <c r="Y1181" s="135" t="s">
        <v>115</v>
      </c>
      <c r="AB1181" s="133" t="s">
        <v>115</v>
      </c>
      <c r="AC1181" s="134" t="s">
        <v>115</v>
      </c>
      <c r="AD1181" s="134"/>
      <c r="AH1181" s="139">
        <v>0</v>
      </c>
      <c r="AI1181" s="139">
        <v>14</v>
      </c>
      <c r="AJ1181" s="139">
        <v>14</v>
      </c>
      <c r="AK1181" s="139">
        <v>0</v>
      </c>
      <c r="AL1181" s="139">
        <v>0</v>
      </c>
      <c r="AM1181" s="133">
        <v>0</v>
      </c>
      <c r="AN1181" s="133">
        <f t="shared" si="19"/>
        <v>14</v>
      </c>
      <c r="AO1181" s="133" t="s">
        <v>103</v>
      </c>
      <c r="AP1181" s="133"/>
      <c r="AQ1181" s="133"/>
      <c r="AR1181" s="133"/>
      <c r="AS1181" s="133"/>
      <c r="AT1181" s="133"/>
      <c r="AU1181" s="133"/>
      <c r="AV1181" s="133"/>
    </row>
    <row r="1182" spans="1:48" s="133" customFormat="1" x14ac:dyDescent="0.2">
      <c r="A1182" s="133" t="s">
        <v>482</v>
      </c>
      <c r="B1182" s="133" t="s">
        <v>867</v>
      </c>
      <c r="C1182" s="133">
        <v>1</v>
      </c>
      <c r="D1182" s="133">
        <v>1</v>
      </c>
      <c r="E1182" s="133" t="s">
        <v>834</v>
      </c>
      <c r="F1182" s="138">
        <v>43352</v>
      </c>
      <c r="G1182" s="136" t="s">
        <v>4032</v>
      </c>
      <c r="H1182" s="136" t="s">
        <v>4724</v>
      </c>
      <c r="I1182" s="148">
        <v>5.5555555555555552E-2</v>
      </c>
      <c r="J1182" s="174">
        <v>9.2592592592592585E-4</v>
      </c>
      <c r="K1182" s="139">
        <v>80</v>
      </c>
      <c r="L1182" s="133" t="s">
        <v>483</v>
      </c>
      <c r="M1182" s="133" t="s">
        <v>466</v>
      </c>
      <c r="N1182" s="133" t="s">
        <v>102</v>
      </c>
      <c r="O1182" s="133" t="s">
        <v>23</v>
      </c>
      <c r="P1182" s="133" t="s">
        <v>24</v>
      </c>
      <c r="R1182" s="133" t="s">
        <v>24</v>
      </c>
      <c r="T1182" s="133" t="s">
        <v>115</v>
      </c>
      <c r="U1182" s="133" t="s">
        <v>115</v>
      </c>
      <c r="V1182" s="133" t="s">
        <v>115</v>
      </c>
      <c r="AB1182" s="133" t="s">
        <v>115</v>
      </c>
      <c r="AC1182" s="134" t="s">
        <v>115</v>
      </c>
      <c r="AD1182" s="134"/>
      <c r="AH1182" s="139">
        <v>0</v>
      </c>
      <c r="AI1182" s="139">
        <v>10</v>
      </c>
      <c r="AJ1182" s="139">
        <v>10</v>
      </c>
      <c r="AK1182" s="139">
        <v>0</v>
      </c>
      <c r="AL1182" s="139">
        <v>0</v>
      </c>
      <c r="AM1182" s="133">
        <v>0</v>
      </c>
      <c r="AN1182" s="133">
        <f t="shared" si="19"/>
        <v>10</v>
      </c>
    </row>
    <row r="1183" spans="1:48" s="135" customFormat="1" x14ac:dyDescent="0.2">
      <c r="A1183" s="135" t="s">
        <v>484</v>
      </c>
      <c r="B1183" s="135" t="s">
        <v>868</v>
      </c>
      <c r="C1183" s="135">
        <v>2</v>
      </c>
      <c r="D1183" s="135">
        <v>1</v>
      </c>
      <c r="E1183" s="135" t="s">
        <v>834</v>
      </c>
      <c r="F1183" s="136">
        <v>43352</v>
      </c>
      <c r="G1183" s="136" t="s">
        <v>4032</v>
      </c>
      <c r="H1183" s="136" t="s">
        <v>4724</v>
      </c>
      <c r="I1183" s="172">
        <v>3.125E-2</v>
      </c>
      <c r="J1183" s="175">
        <v>5.2083333333333333E-4</v>
      </c>
      <c r="K1183" s="143">
        <v>45</v>
      </c>
      <c r="L1183" s="135" t="s">
        <v>483</v>
      </c>
      <c r="M1183" s="135" t="s">
        <v>466</v>
      </c>
      <c r="N1183" s="135" t="s">
        <v>102</v>
      </c>
      <c r="O1183" s="135" t="s">
        <v>115</v>
      </c>
      <c r="P1183" s="135">
        <v>1</v>
      </c>
      <c r="R1183" s="135" t="s">
        <v>24</v>
      </c>
      <c r="S1183" s="133" t="s">
        <v>112</v>
      </c>
      <c r="T1183" s="135" t="s">
        <v>112</v>
      </c>
      <c r="U1183" s="135" t="s">
        <v>122</v>
      </c>
      <c r="V1183" s="135" t="s">
        <v>115</v>
      </c>
      <c r="Z1183" s="133"/>
      <c r="AA1183" s="133"/>
      <c r="AB1183" s="135" t="s">
        <v>115</v>
      </c>
      <c r="AC1183" s="137" t="s">
        <v>115</v>
      </c>
      <c r="AD1183" s="137"/>
      <c r="AE1183" s="133"/>
      <c r="AF1183" s="133"/>
      <c r="AG1183" s="133"/>
      <c r="AH1183" s="143">
        <v>0</v>
      </c>
      <c r="AI1183" s="143">
        <v>0</v>
      </c>
      <c r="AJ1183" s="143">
        <v>0</v>
      </c>
      <c r="AK1183" s="143">
        <v>0</v>
      </c>
      <c r="AL1183" s="143">
        <v>6</v>
      </c>
      <c r="AM1183" s="135">
        <v>0</v>
      </c>
      <c r="AN1183" s="135">
        <f t="shared" si="19"/>
        <v>6</v>
      </c>
      <c r="AP1183" s="135" t="s">
        <v>485</v>
      </c>
      <c r="AS1183" s="133"/>
      <c r="AT1183" s="133"/>
      <c r="AU1183" s="133"/>
      <c r="AV1183" s="133"/>
    </row>
    <row r="1184" spans="1:48" s="135" customFormat="1" x14ac:dyDescent="0.2">
      <c r="A1184" s="133" t="s">
        <v>486</v>
      </c>
      <c r="B1184" s="133" t="s">
        <v>869</v>
      </c>
      <c r="C1184" s="133">
        <v>3</v>
      </c>
      <c r="D1184" s="133">
        <v>1</v>
      </c>
      <c r="E1184" s="133" t="s">
        <v>834</v>
      </c>
      <c r="F1184" s="138">
        <v>43352</v>
      </c>
      <c r="G1184" s="136" t="s">
        <v>4032</v>
      </c>
      <c r="H1184" s="136" t="s">
        <v>4724</v>
      </c>
      <c r="I1184" s="148">
        <v>5.4166666666666669E-2</v>
      </c>
      <c r="J1184" s="174">
        <v>9.0277777777777784E-4</v>
      </c>
      <c r="K1184" s="139">
        <v>78</v>
      </c>
      <c r="L1184" s="133" t="s">
        <v>483</v>
      </c>
      <c r="M1184" s="133" t="s">
        <v>466</v>
      </c>
      <c r="N1184" s="133" t="s">
        <v>111</v>
      </c>
      <c r="O1184" s="133" t="s">
        <v>23</v>
      </c>
      <c r="P1184" s="133">
        <v>0</v>
      </c>
      <c r="Q1184" s="133"/>
      <c r="R1184" s="133">
        <v>3</v>
      </c>
      <c r="S1184" s="133" t="s">
        <v>1618</v>
      </c>
      <c r="T1184" s="133" t="s">
        <v>2137</v>
      </c>
      <c r="U1184" s="133" t="s">
        <v>3987</v>
      </c>
      <c r="V1184" s="133" t="s">
        <v>3962</v>
      </c>
      <c r="W1184" s="140" t="s">
        <v>23</v>
      </c>
      <c r="X1184" s="140" t="s">
        <v>3997</v>
      </c>
      <c r="Y1184" s="140" t="s">
        <v>4005</v>
      </c>
      <c r="Z1184" s="133"/>
      <c r="AA1184" s="133"/>
      <c r="AB1184" s="133">
        <v>0</v>
      </c>
      <c r="AC1184" s="134">
        <v>63.739269999999998</v>
      </c>
      <c r="AD1184" s="134">
        <v>148.90099000000001</v>
      </c>
      <c r="AE1184" s="133"/>
      <c r="AF1184" s="133"/>
      <c r="AG1184" s="133"/>
      <c r="AH1184" s="139">
        <v>0</v>
      </c>
      <c r="AI1184" s="139">
        <v>0</v>
      </c>
      <c r="AJ1184" s="139">
        <v>0</v>
      </c>
      <c r="AK1184" s="139">
        <v>0</v>
      </c>
      <c r="AL1184" s="139">
        <v>0</v>
      </c>
      <c r="AM1184" s="133">
        <v>0</v>
      </c>
      <c r="AN1184" s="133">
        <f t="shared" si="19"/>
        <v>0</v>
      </c>
      <c r="AO1184" s="133"/>
      <c r="AP1184" s="133" t="s">
        <v>1069</v>
      </c>
      <c r="AQ1184" s="133"/>
      <c r="AR1184" s="133"/>
    </row>
    <row r="1185" spans="1:48" s="133" customFormat="1" x14ac:dyDescent="0.2">
      <c r="A1185" s="133" t="s">
        <v>486</v>
      </c>
      <c r="B1185" s="133" t="s">
        <v>869</v>
      </c>
      <c r="C1185" s="133">
        <v>3</v>
      </c>
      <c r="D1185" s="133">
        <v>2</v>
      </c>
      <c r="E1185" s="133" t="s">
        <v>834</v>
      </c>
      <c r="F1185" s="138">
        <v>43352</v>
      </c>
      <c r="G1185" s="136" t="s">
        <v>4032</v>
      </c>
      <c r="H1185" s="136" t="s">
        <v>4724</v>
      </c>
      <c r="I1185" s="148">
        <v>5.4166666666666669E-2</v>
      </c>
      <c r="J1185" s="174">
        <v>9.0277777777777784E-4</v>
      </c>
      <c r="K1185" s="139">
        <v>78</v>
      </c>
      <c r="L1185" s="133" t="s">
        <v>483</v>
      </c>
      <c r="M1185" s="133" t="s">
        <v>466</v>
      </c>
      <c r="N1185" s="133" t="s">
        <v>111</v>
      </c>
      <c r="O1185" s="133" t="s">
        <v>23</v>
      </c>
      <c r="P1185" s="133">
        <v>0</v>
      </c>
      <c r="R1185" s="133">
        <v>1</v>
      </c>
      <c r="S1185" s="133" t="s">
        <v>1618</v>
      </c>
      <c r="T1185" s="133" t="s">
        <v>2137</v>
      </c>
      <c r="U1185" s="133" t="s">
        <v>3987</v>
      </c>
      <c r="V1185" s="133" t="s">
        <v>3988</v>
      </c>
      <c r="W1185" s="140" t="s">
        <v>4013</v>
      </c>
      <c r="X1185" s="140" t="s">
        <v>3997</v>
      </c>
      <c r="Y1185" s="140" t="s">
        <v>4001</v>
      </c>
      <c r="AB1185" s="133">
        <v>3</v>
      </c>
      <c r="AC1185" s="134">
        <v>63.739319999999999</v>
      </c>
      <c r="AD1185" s="134">
        <v>148.90099000000001</v>
      </c>
      <c r="AH1185" s="139">
        <v>0</v>
      </c>
      <c r="AI1185" s="139">
        <v>0</v>
      </c>
      <c r="AJ1185" s="139">
        <v>0</v>
      </c>
      <c r="AK1185" s="139">
        <v>0</v>
      </c>
      <c r="AL1185" s="139">
        <v>0</v>
      </c>
      <c r="AM1185" s="133">
        <v>0</v>
      </c>
      <c r="AN1185" s="133">
        <f t="shared" si="19"/>
        <v>0</v>
      </c>
    </row>
    <row r="1186" spans="1:48" s="135" customFormat="1" x14ac:dyDescent="0.2">
      <c r="A1186" s="133" t="s">
        <v>488</v>
      </c>
      <c r="B1186" s="133" t="s">
        <v>870</v>
      </c>
      <c r="C1186" s="133">
        <v>4</v>
      </c>
      <c r="D1186" s="133">
        <v>1</v>
      </c>
      <c r="E1186" s="133" t="s">
        <v>834</v>
      </c>
      <c r="F1186" s="138">
        <v>43352</v>
      </c>
      <c r="G1186" s="136" t="s">
        <v>4032</v>
      </c>
      <c r="H1186" s="136" t="s">
        <v>4724</v>
      </c>
      <c r="I1186" s="148">
        <v>6.25E-2</v>
      </c>
      <c r="J1186" s="174">
        <v>1.0416666666666667E-3</v>
      </c>
      <c r="K1186" s="139">
        <v>90</v>
      </c>
      <c r="L1186" s="133" t="s">
        <v>483</v>
      </c>
      <c r="M1186" s="133" t="s">
        <v>466</v>
      </c>
      <c r="N1186" s="133" t="s">
        <v>111</v>
      </c>
      <c r="O1186" s="133" t="s">
        <v>23</v>
      </c>
      <c r="P1186" s="133">
        <v>0</v>
      </c>
      <c r="Q1186" s="133"/>
      <c r="R1186" s="133">
        <v>2</v>
      </c>
      <c r="S1186" s="133" t="s">
        <v>1618</v>
      </c>
      <c r="T1186" s="133" t="s">
        <v>2137</v>
      </c>
      <c r="U1186" s="133" t="s">
        <v>3987</v>
      </c>
      <c r="V1186" s="133" t="s">
        <v>1057</v>
      </c>
      <c r="W1186" s="140" t="s">
        <v>23</v>
      </c>
      <c r="X1186" s="140" t="s">
        <v>3999</v>
      </c>
      <c r="Y1186" s="140" t="s">
        <v>4005</v>
      </c>
      <c r="Z1186" s="133"/>
      <c r="AA1186" s="133"/>
      <c r="AB1186" s="133">
        <v>0</v>
      </c>
      <c r="AC1186" s="134">
        <v>63.739249999999998</v>
      </c>
      <c r="AD1186" s="134">
        <v>148.90089</v>
      </c>
      <c r="AE1186" s="133"/>
      <c r="AF1186" s="133"/>
      <c r="AG1186" s="133"/>
      <c r="AH1186" s="139">
        <v>0</v>
      </c>
      <c r="AI1186" s="139">
        <v>0</v>
      </c>
      <c r="AJ1186" s="139">
        <v>0</v>
      </c>
      <c r="AK1186" s="139">
        <v>0</v>
      </c>
      <c r="AL1186" s="139">
        <v>0</v>
      </c>
      <c r="AM1186" s="133">
        <v>0</v>
      </c>
      <c r="AN1186" s="133">
        <f t="shared" si="19"/>
        <v>0</v>
      </c>
      <c r="AO1186" s="133"/>
      <c r="AP1186" s="133" t="s">
        <v>1070</v>
      </c>
      <c r="AQ1186" s="133"/>
      <c r="AR1186" s="133"/>
      <c r="AS1186" s="133"/>
      <c r="AT1186" s="133"/>
      <c r="AU1186" s="133"/>
      <c r="AV1186" s="133"/>
    </row>
    <row r="1187" spans="1:48" s="133" customFormat="1" x14ac:dyDescent="0.2">
      <c r="A1187" s="133" t="s">
        <v>491</v>
      </c>
      <c r="B1187" s="133" t="s">
        <v>871</v>
      </c>
      <c r="C1187" s="133">
        <v>5</v>
      </c>
      <c r="D1187" s="133">
        <v>1</v>
      </c>
      <c r="E1187" s="133" t="s">
        <v>834</v>
      </c>
      <c r="F1187" s="138">
        <v>43352</v>
      </c>
      <c r="G1187" s="136" t="s">
        <v>4032</v>
      </c>
      <c r="H1187" s="136" t="s">
        <v>4724</v>
      </c>
      <c r="I1187" s="148">
        <v>2.6388888888888889E-2</v>
      </c>
      <c r="J1187" s="174">
        <v>4.3981481481481481E-4</v>
      </c>
      <c r="K1187" s="139">
        <v>38</v>
      </c>
      <c r="L1187" s="133" t="s">
        <v>483</v>
      </c>
      <c r="M1187" s="133" t="s">
        <v>466</v>
      </c>
      <c r="N1187" s="133" t="s">
        <v>111</v>
      </c>
      <c r="O1187" s="133" t="s">
        <v>23</v>
      </c>
      <c r="P1187" s="133">
        <v>0</v>
      </c>
      <c r="R1187" s="133">
        <v>1</v>
      </c>
      <c r="S1187" s="133" t="s">
        <v>1618</v>
      </c>
      <c r="T1187" s="133" t="s">
        <v>2137</v>
      </c>
      <c r="U1187" s="133" t="s">
        <v>3987</v>
      </c>
      <c r="V1187" s="133" t="s">
        <v>3989</v>
      </c>
      <c r="W1187" s="140" t="s">
        <v>23</v>
      </c>
      <c r="X1187" s="140" t="s">
        <v>3997</v>
      </c>
      <c r="Y1187" s="140" t="s">
        <v>4005</v>
      </c>
      <c r="Z1187" s="135"/>
      <c r="AA1187" s="135"/>
      <c r="AB1187" s="133">
        <v>6</v>
      </c>
      <c r="AC1187" s="134">
        <v>63.739339999999999</v>
      </c>
      <c r="AD1187" s="134">
        <v>148.90071</v>
      </c>
      <c r="AE1187" s="135"/>
      <c r="AF1187" s="135"/>
      <c r="AG1187" s="135"/>
      <c r="AH1187" s="139">
        <v>0</v>
      </c>
      <c r="AI1187" s="139">
        <v>0</v>
      </c>
      <c r="AJ1187" s="139">
        <v>0</v>
      </c>
      <c r="AK1187" s="139">
        <v>0</v>
      </c>
      <c r="AL1187" s="139">
        <v>0</v>
      </c>
      <c r="AM1187" s="133">
        <v>0</v>
      </c>
      <c r="AN1187" s="133">
        <f t="shared" si="19"/>
        <v>0</v>
      </c>
    </row>
    <row r="1188" spans="1:48" s="133" customFormat="1" x14ac:dyDescent="0.2">
      <c r="A1188" s="133" t="s">
        <v>493</v>
      </c>
      <c r="B1188" s="133" t="s">
        <v>872</v>
      </c>
      <c r="C1188" s="133">
        <v>6</v>
      </c>
      <c r="D1188" s="133">
        <v>1</v>
      </c>
      <c r="E1188" s="133" t="s">
        <v>834</v>
      </c>
      <c r="F1188" s="138">
        <v>43352</v>
      </c>
      <c r="G1188" s="136" t="s">
        <v>4032</v>
      </c>
      <c r="H1188" s="136" t="s">
        <v>4724</v>
      </c>
      <c r="I1188" s="148">
        <v>0.13055555555555556</v>
      </c>
      <c r="J1188" s="174">
        <v>2.1759259259259258E-3</v>
      </c>
      <c r="K1188" s="139">
        <v>188</v>
      </c>
      <c r="L1188" s="133" t="s">
        <v>483</v>
      </c>
      <c r="M1188" s="133" t="s">
        <v>466</v>
      </c>
      <c r="N1188" s="133" t="s">
        <v>111</v>
      </c>
      <c r="O1188" s="133" t="s">
        <v>23</v>
      </c>
      <c r="P1188" s="133">
        <v>0</v>
      </c>
      <c r="R1188" s="133">
        <v>1</v>
      </c>
      <c r="S1188" s="133" t="s">
        <v>1618</v>
      </c>
      <c r="T1188" s="133" t="s">
        <v>2137</v>
      </c>
      <c r="U1188" s="133" t="s">
        <v>3987</v>
      </c>
      <c r="V1188" s="133" t="s">
        <v>2069</v>
      </c>
      <c r="W1188" s="140" t="s">
        <v>23</v>
      </c>
      <c r="X1188" s="140" t="s">
        <v>3999</v>
      </c>
      <c r="Y1188" s="140" t="s">
        <v>4005</v>
      </c>
      <c r="AB1188" s="142">
        <v>14</v>
      </c>
      <c r="AC1188" s="134">
        <v>63.73912</v>
      </c>
      <c r="AD1188" s="134">
        <v>148.90092000000001</v>
      </c>
      <c r="AH1188" s="139">
        <v>0</v>
      </c>
      <c r="AI1188" s="139">
        <v>0</v>
      </c>
      <c r="AJ1188" s="139">
        <v>0</v>
      </c>
      <c r="AK1188" s="139">
        <v>0</v>
      </c>
      <c r="AL1188" s="139">
        <v>0</v>
      </c>
      <c r="AM1188" s="133">
        <v>0</v>
      </c>
      <c r="AN1188" s="133">
        <f t="shared" si="19"/>
        <v>0</v>
      </c>
    </row>
    <row r="1189" spans="1:48" s="133" customFormat="1" x14ac:dyDescent="0.2">
      <c r="A1189" s="133" t="s">
        <v>493</v>
      </c>
      <c r="B1189" s="133" t="s">
        <v>872</v>
      </c>
      <c r="C1189" s="133">
        <v>6</v>
      </c>
      <c r="D1189" s="133">
        <v>2</v>
      </c>
      <c r="E1189" s="133" t="s">
        <v>834</v>
      </c>
      <c r="F1189" s="138">
        <v>43352</v>
      </c>
      <c r="G1189" s="136" t="s">
        <v>4032</v>
      </c>
      <c r="H1189" s="136" t="s">
        <v>4724</v>
      </c>
      <c r="I1189" s="148">
        <v>0.13055555555555556</v>
      </c>
      <c r="J1189" s="174">
        <v>2.1759259259259258E-3</v>
      </c>
      <c r="K1189" s="139">
        <v>188</v>
      </c>
      <c r="L1189" s="133" t="s">
        <v>483</v>
      </c>
      <c r="M1189" s="133" t="s">
        <v>466</v>
      </c>
      <c r="N1189" s="133" t="s">
        <v>111</v>
      </c>
      <c r="O1189" s="133" t="s">
        <v>23</v>
      </c>
      <c r="P1189" s="133">
        <v>0</v>
      </c>
      <c r="R1189" s="133">
        <v>1</v>
      </c>
      <c r="S1189" s="133" t="s">
        <v>1618</v>
      </c>
      <c r="T1189" s="133" t="s">
        <v>2137</v>
      </c>
      <c r="U1189" s="133" t="s">
        <v>3987</v>
      </c>
      <c r="V1189" s="133" t="s">
        <v>2068</v>
      </c>
      <c r="W1189" s="140" t="s">
        <v>23</v>
      </c>
      <c r="X1189" s="140" t="s">
        <v>3997</v>
      </c>
      <c r="Y1189" s="140" t="s">
        <v>4005</v>
      </c>
      <c r="Z1189" s="135"/>
      <c r="AA1189" s="135"/>
      <c r="AB1189" s="142">
        <v>14</v>
      </c>
      <c r="AC1189" s="134">
        <v>63.73912</v>
      </c>
      <c r="AD1189" s="134">
        <v>148.90092000000001</v>
      </c>
      <c r="AE1189" s="135"/>
      <c r="AF1189" s="135"/>
      <c r="AG1189" s="135"/>
      <c r="AH1189" s="139">
        <v>0</v>
      </c>
      <c r="AI1189" s="139">
        <v>0</v>
      </c>
      <c r="AJ1189" s="139">
        <v>0</v>
      </c>
      <c r="AK1189" s="139">
        <v>0</v>
      </c>
      <c r="AL1189" s="139">
        <v>0</v>
      </c>
      <c r="AM1189" s="133">
        <v>0</v>
      </c>
      <c r="AN1189" s="133">
        <f t="shared" si="19"/>
        <v>0</v>
      </c>
    </row>
    <row r="1190" spans="1:48" s="133" customFormat="1" x14ac:dyDescent="0.2">
      <c r="A1190" s="133" t="s">
        <v>493</v>
      </c>
      <c r="B1190" s="133" t="s">
        <v>872</v>
      </c>
      <c r="C1190" s="133">
        <v>6</v>
      </c>
      <c r="D1190" s="133">
        <v>3</v>
      </c>
      <c r="E1190" s="133" t="s">
        <v>834</v>
      </c>
      <c r="F1190" s="138">
        <v>43352</v>
      </c>
      <c r="G1190" s="136" t="s">
        <v>4032</v>
      </c>
      <c r="H1190" s="136" t="s">
        <v>4724</v>
      </c>
      <c r="I1190" s="148">
        <v>0.13055555555555556</v>
      </c>
      <c r="J1190" s="174">
        <v>2.1759259259259258E-3</v>
      </c>
      <c r="K1190" s="139">
        <v>188</v>
      </c>
      <c r="L1190" s="133" t="s">
        <v>483</v>
      </c>
      <c r="M1190" s="133" t="s">
        <v>466</v>
      </c>
      <c r="N1190" s="133" t="s">
        <v>111</v>
      </c>
      <c r="O1190" s="133" t="s">
        <v>23</v>
      </c>
      <c r="P1190" s="133">
        <v>0</v>
      </c>
      <c r="R1190" s="133">
        <v>1</v>
      </c>
      <c r="S1190" s="133" t="s">
        <v>1618</v>
      </c>
      <c r="T1190" s="133" t="s">
        <v>2137</v>
      </c>
      <c r="U1190" s="133" t="s">
        <v>3987</v>
      </c>
      <c r="V1190" s="133" t="s">
        <v>2069</v>
      </c>
      <c r="W1190" s="140" t="s">
        <v>23</v>
      </c>
      <c r="X1190" s="140" t="s">
        <v>3999</v>
      </c>
      <c r="Y1190" s="140" t="s">
        <v>4005</v>
      </c>
      <c r="Z1190" s="135"/>
      <c r="AA1190" s="135"/>
      <c r="AB1190" s="142">
        <v>14</v>
      </c>
      <c r="AC1190" s="134">
        <v>63.73912</v>
      </c>
      <c r="AD1190" s="134">
        <v>148.90092000000001</v>
      </c>
      <c r="AE1190" s="135"/>
      <c r="AF1190" s="135"/>
      <c r="AG1190" s="135"/>
      <c r="AH1190" s="139">
        <v>0</v>
      </c>
      <c r="AI1190" s="139">
        <v>0</v>
      </c>
      <c r="AJ1190" s="139">
        <v>0</v>
      </c>
      <c r="AK1190" s="139">
        <v>0</v>
      </c>
      <c r="AL1190" s="139">
        <v>0</v>
      </c>
      <c r="AM1190" s="133">
        <v>0</v>
      </c>
      <c r="AN1190" s="133">
        <f t="shared" si="19"/>
        <v>0</v>
      </c>
      <c r="AS1190" s="135"/>
      <c r="AT1190" s="135"/>
      <c r="AU1190" s="135"/>
      <c r="AV1190" s="135"/>
    </row>
    <row r="1191" spans="1:48" s="133" customFormat="1" x14ac:dyDescent="0.2">
      <c r="A1191" s="133" t="s">
        <v>493</v>
      </c>
      <c r="B1191" s="133" t="s">
        <v>872</v>
      </c>
      <c r="C1191" s="133">
        <v>6</v>
      </c>
      <c r="D1191" s="133">
        <v>4</v>
      </c>
      <c r="E1191" s="133" t="s">
        <v>834</v>
      </c>
      <c r="F1191" s="138">
        <v>43352</v>
      </c>
      <c r="G1191" s="136" t="s">
        <v>4032</v>
      </c>
      <c r="H1191" s="136" t="s">
        <v>4724</v>
      </c>
      <c r="I1191" s="148">
        <v>0.13055555555555556</v>
      </c>
      <c r="J1191" s="174">
        <v>2.1759259259259258E-3</v>
      </c>
      <c r="K1191" s="139">
        <v>188</v>
      </c>
      <c r="L1191" s="133" t="s">
        <v>483</v>
      </c>
      <c r="M1191" s="133" t="s">
        <v>466</v>
      </c>
      <c r="N1191" s="133" t="s">
        <v>111</v>
      </c>
      <c r="O1191" s="133" t="s">
        <v>23</v>
      </c>
      <c r="P1191" s="133">
        <v>0</v>
      </c>
      <c r="R1191" s="133">
        <v>1</v>
      </c>
      <c r="S1191" s="133" t="s">
        <v>1618</v>
      </c>
      <c r="T1191" s="133" t="s">
        <v>2137</v>
      </c>
      <c r="U1191" s="133" t="s">
        <v>3987</v>
      </c>
      <c r="V1191" s="133" t="s">
        <v>2070</v>
      </c>
      <c r="W1191" s="140" t="s">
        <v>23</v>
      </c>
      <c r="X1191" s="140" t="s">
        <v>3999</v>
      </c>
      <c r="Y1191" s="140" t="s">
        <v>4007</v>
      </c>
      <c r="Z1191" s="135"/>
      <c r="AA1191" s="135"/>
      <c r="AB1191" s="142">
        <v>14</v>
      </c>
      <c r="AC1191" s="134">
        <v>63.73912</v>
      </c>
      <c r="AD1191" s="134">
        <v>148.90092000000001</v>
      </c>
      <c r="AE1191" s="135"/>
      <c r="AF1191" s="135"/>
      <c r="AG1191" s="135"/>
      <c r="AH1191" s="139">
        <v>0</v>
      </c>
      <c r="AI1191" s="139">
        <v>0</v>
      </c>
      <c r="AJ1191" s="139">
        <v>0</v>
      </c>
      <c r="AK1191" s="139">
        <v>0</v>
      </c>
      <c r="AL1191" s="139">
        <v>0</v>
      </c>
      <c r="AM1191" s="133">
        <v>0</v>
      </c>
      <c r="AN1191" s="133">
        <f t="shared" si="19"/>
        <v>0</v>
      </c>
    </row>
    <row r="1192" spans="1:48" s="133" customFormat="1" x14ac:dyDescent="0.2">
      <c r="A1192" s="133" t="s">
        <v>493</v>
      </c>
      <c r="B1192" s="133" t="s">
        <v>872</v>
      </c>
      <c r="C1192" s="133">
        <v>6</v>
      </c>
      <c r="D1192" s="133">
        <v>5</v>
      </c>
      <c r="E1192" s="133" t="s">
        <v>834</v>
      </c>
      <c r="F1192" s="138">
        <v>43352</v>
      </c>
      <c r="G1192" s="136" t="s">
        <v>4032</v>
      </c>
      <c r="H1192" s="136" t="s">
        <v>4724</v>
      </c>
      <c r="I1192" s="148">
        <v>0.13055555555555556</v>
      </c>
      <c r="J1192" s="174">
        <v>2.1759259259259258E-3</v>
      </c>
      <c r="K1192" s="139">
        <v>188</v>
      </c>
      <c r="L1192" s="133" t="s">
        <v>483</v>
      </c>
      <c r="M1192" s="133" t="s">
        <v>466</v>
      </c>
      <c r="N1192" s="133" t="s">
        <v>111</v>
      </c>
      <c r="O1192" s="133" t="s">
        <v>23</v>
      </c>
      <c r="P1192" s="133">
        <v>0</v>
      </c>
      <c r="R1192" s="133">
        <v>1</v>
      </c>
      <c r="S1192" s="133" t="s">
        <v>1618</v>
      </c>
      <c r="T1192" s="133" t="s">
        <v>2137</v>
      </c>
      <c r="U1192" s="133" t="s">
        <v>3987</v>
      </c>
      <c r="V1192" s="133" t="s">
        <v>2068</v>
      </c>
      <c r="W1192" s="140" t="s">
        <v>23</v>
      </c>
      <c r="X1192" s="140" t="s">
        <v>3997</v>
      </c>
      <c r="Y1192" s="140" t="s">
        <v>4005</v>
      </c>
      <c r="AB1192" s="142">
        <v>14</v>
      </c>
      <c r="AC1192" s="134">
        <v>63.739150000000002</v>
      </c>
      <c r="AD1192" s="134">
        <v>148.9008</v>
      </c>
      <c r="AH1192" s="139">
        <v>0</v>
      </c>
      <c r="AI1192" s="139">
        <v>0</v>
      </c>
      <c r="AJ1192" s="139">
        <v>0</v>
      </c>
      <c r="AK1192" s="139">
        <v>0</v>
      </c>
      <c r="AL1192" s="139">
        <v>0</v>
      </c>
      <c r="AM1192" s="133">
        <v>0</v>
      </c>
      <c r="AN1192" s="133">
        <f t="shared" si="19"/>
        <v>0</v>
      </c>
      <c r="AS1192" s="135"/>
      <c r="AT1192" s="135"/>
      <c r="AU1192" s="135"/>
      <c r="AV1192" s="135"/>
    </row>
    <row r="1193" spans="1:48" s="133" customFormat="1" x14ac:dyDescent="0.2">
      <c r="A1193" s="133" t="s">
        <v>493</v>
      </c>
      <c r="B1193" s="133" t="s">
        <v>872</v>
      </c>
      <c r="C1193" s="133">
        <v>6</v>
      </c>
      <c r="D1193" s="133">
        <v>6</v>
      </c>
      <c r="E1193" s="133" t="s">
        <v>834</v>
      </c>
      <c r="F1193" s="138">
        <v>43352</v>
      </c>
      <c r="G1193" s="136" t="s">
        <v>4032</v>
      </c>
      <c r="H1193" s="136" t="s">
        <v>4724</v>
      </c>
      <c r="I1193" s="148">
        <v>0.13055555555555556</v>
      </c>
      <c r="J1193" s="174">
        <v>2.1759259259259258E-3</v>
      </c>
      <c r="K1193" s="139">
        <v>188</v>
      </c>
      <c r="L1193" s="133" t="s">
        <v>483</v>
      </c>
      <c r="M1193" s="133" t="s">
        <v>466</v>
      </c>
      <c r="N1193" s="133" t="s">
        <v>111</v>
      </c>
      <c r="O1193" s="133" t="s">
        <v>23</v>
      </c>
      <c r="P1193" s="133">
        <v>0</v>
      </c>
      <c r="R1193" s="133">
        <v>1</v>
      </c>
      <c r="S1193" s="133" t="s">
        <v>1618</v>
      </c>
      <c r="T1193" s="133" t="s">
        <v>2137</v>
      </c>
      <c r="U1193" s="133" t="s">
        <v>3987</v>
      </c>
      <c r="V1193" s="133" t="s">
        <v>2069</v>
      </c>
      <c r="W1193" s="140" t="s">
        <v>23</v>
      </c>
      <c r="X1193" s="140" t="s">
        <v>3999</v>
      </c>
      <c r="Y1193" s="140" t="s">
        <v>4005</v>
      </c>
      <c r="Z1193" s="135"/>
      <c r="AA1193" s="135"/>
      <c r="AB1193" s="142">
        <v>14</v>
      </c>
      <c r="AC1193" s="134">
        <v>63.73912</v>
      </c>
      <c r="AD1193" s="134">
        <v>148.90092000000001</v>
      </c>
      <c r="AE1193" s="135"/>
      <c r="AF1193" s="135"/>
      <c r="AG1193" s="135"/>
      <c r="AH1193" s="139">
        <v>0</v>
      </c>
      <c r="AI1193" s="139">
        <v>0</v>
      </c>
      <c r="AJ1193" s="139">
        <v>0</v>
      </c>
      <c r="AK1193" s="139">
        <v>0</v>
      </c>
      <c r="AL1193" s="139">
        <v>0</v>
      </c>
      <c r="AM1193" s="133">
        <v>0</v>
      </c>
      <c r="AN1193" s="133">
        <f t="shared" si="19"/>
        <v>0</v>
      </c>
    </row>
    <row r="1194" spans="1:48" s="133" customFormat="1" x14ac:dyDescent="0.2">
      <c r="A1194" s="133" t="s">
        <v>493</v>
      </c>
      <c r="B1194" s="133" t="s">
        <v>872</v>
      </c>
      <c r="C1194" s="133">
        <v>6</v>
      </c>
      <c r="D1194" s="133">
        <v>7</v>
      </c>
      <c r="E1194" s="133" t="s">
        <v>834</v>
      </c>
      <c r="F1194" s="138">
        <v>43352</v>
      </c>
      <c r="G1194" s="136" t="s">
        <v>4032</v>
      </c>
      <c r="H1194" s="136" t="s">
        <v>4724</v>
      </c>
      <c r="I1194" s="148">
        <v>0.13055555555555556</v>
      </c>
      <c r="J1194" s="174">
        <v>2.1759259259259258E-3</v>
      </c>
      <c r="K1194" s="139">
        <v>188</v>
      </c>
      <c r="L1194" s="133" t="s">
        <v>483</v>
      </c>
      <c r="M1194" s="133" t="s">
        <v>466</v>
      </c>
      <c r="N1194" s="133" t="s">
        <v>111</v>
      </c>
      <c r="O1194" s="133" t="s">
        <v>23</v>
      </c>
      <c r="P1194" s="133">
        <v>0</v>
      </c>
      <c r="R1194" s="133">
        <v>1</v>
      </c>
      <c r="S1194" s="133" t="s">
        <v>1618</v>
      </c>
      <c r="T1194" s="133" t="s">
        <v>2137</v>
      </c>
      <c r="U1194" s="133" t="s">
        <v>3987</v>
      </c>
      <c r="V1194" s="133" t="s">
        <v>2069</v>
      </c>
      <c r="W1194" s="140" t="s">
        <v>23</v>
      </c>
      <c r="X1194" s="140" t="s">
        <v>3999</v>
      </c>
      <c r="Y1194" s="140" t="s">
        <v>4005</v>
      </c>
      <c r="Z1194" s="135"/>
      <c r="AA1194" s="135"/>
      <c r="AB1194" s="142">
        <v>14</v>
      </c>
      <c r="AC1194" s="134">
        <v>63.739150000000002</v>
      </c>
      <c r="AD1194" s="134">
        <v>148.9008</v>
      </c>
      <c r="AE1194" s="135"/>
      <c r="AF1194" s="135"/>
      <c r="AG1194" s="135"/>
      <c r="AH1194" s="139">
        <v>0</v>
      </c>
      <c r="AI1194" s="139">
        <v>0</v>
      </c>
      <c r="AJ1194" s="139">
        <v>0</v>
      </c>
      <c r="AK1194" s="139">
        <v>0</v>
      </c>
      <c r="AL1194" s="139">
        <v>0</v>
      </c>
      <c r="AM1194" s="133">
        <v>0</v>
      </c>
      <c r="AN1194" s="133">
        <f t="shared" si="19"/>
        <v>0</v>
      </c>
      <c r="AS1194" s="135"/>
      <c r="AT1194" s="135"/>
      <c r="AU1194" s="135"/>
      <c r="AV1194" s="135"/>
    </row>
    <row r="1195" spans="1:48" s="133" customFormat="1" x14ac:dyDescent="0.2">
      <c r="A1195" s="133" t="s">
        <v>493</v>
      </c>
      <c r="B1195" s="133" t="s">
        <v>872</v>
      </c>
      <c r="C1195" s="133">
        <v>6</v>
      </c>
      <c r="D1195" s="133">
        <v>8</v>
      </c>
      <c r="E1195" s="133" t="s">
        <v>834</v>
      </c>
      <c r="F1195" s="138">
        <v>43352</v>
      </c>
      <c r="G1195" s="136" t="s">
        <v>4032</v>
      </c>
      <c r="H1195" s="136" t="s">
        <v>4724</v>
      </c>
      <c r="I1195" s="148">
        <v>0.13055555555555556</v>
      </c>
      <c r="J1195" s="174">
        <v>2.1759259259259258E-3</v>
      </c>
      <c r="K1195" s="139">
        <v>188</v>
      </c>
      <c r="L1195" s="133" t="s">
        <v>483</v>
      </c>
      <c r="M1195" s="133" t="s">
        <v>466</v>
      </c>
      <c r="N1195" s="133" t="s">
        <v>111</v>
      </c>
      <c r="O1195" s="133" t="s">
        <v>23</v>
      </c>
      <c r="P1195" s="133">
        <v>0</v>
      </c>
      <c r="R1195" s="133">
        <v>1</v>
      </c>
      <c r="S1195" s="133" t="s">
        <v>1618</v>
      </c>
      <c r="T1195" s="133" t="s">
        <v>2137</v>
      </c>
      <c r="U1195" s="133" t="s">
        <v>3987</v>
      </c>
      <c r="V1195" s="133" t="s">
        <v>2069</v>
      </c>
      <c r="W1195" s="140" t="s">
        <v>23</v>
      </c>
      <c r="X1195" s="140" t="s">
        <v>3999</v>
      </c>
      <c r="Y1195" s="140" t="s">
        <v>4005</v>
      </c>
      <c r="Z1195" s="135"/>
      <c r="AA1195" s="135"/>
      <c r="AB1195" s="142">
        <v>15</v>
      </c>
      <c r="AC1195" s="134">
        <v>63.73912</v>
      </c>
      <c r="AD1195" s="134">
        <v>148.90076999999999</v>
      </c>
      <c r="AE1195" s="135"/>
      <c r="AF1195" s="135"/>
      <c r="AG1195" s="135"/>
      <c r="AH1195" s="139">
        <v>0</v>
      </c>
      <c r="AI1195" s="139">
        <v>0</v>
      </c>
      <c r="AJ1195" s="139">
        <v>0</v>
      </c>
      <c r="AK1195" s="139">
        <v>0</v>
      </c>
      <c r="AL1195" s="139">
        <v>0</v>
      </c>
      <c r="AM1195" s="133">
        <v>0</v>
      </c>
      <c r="AN1195" s="133">
        <f t="shared" si="19"/>
        <v>0</v>
      </c>
    </row>
    <row r="1196" spans="1:48" s="135" customFormat="1" x14ac:dyDescent="0.2">
      <c r="A1196" s="133" t="s">
        <v>494</v>
      </c>
      <c r="B1196" s="133" t="s">
        <v>873</v>
      </c>
      <c r="C1196" s="133">
        <v>7</v>
      </c>
      <c r="D1196" s="133">
        <v>1</v>
      </c>
      <c r="E1196" s="133" t="s">
        <v>834</v>
      </c>
      <c r="F1196" s="138">
        <v>43352</v>
      </c>
      <c r="G1196" s="136" t="s">
        <v>4032</v>
      </c>
      <c r="H1196" s="136" t="s">
        <v>4724</v>
      </c>
      <c r="I1196" s="148">
        <v>9.7222222222222224E-3</v>
      </c>
      <c r="J1196" s="174">
        <v>1.6203703703703703E-4</v>
      </c>
      <c r="K1196" s="139">
        <v>14</v>
      </c>
      <c r="L1196" s="133" t="s">
        <v>483</v>
      </c>
      <c r="M1196" s="133" t="s">
        <v>466</v>
      </c>
      <c r="N1196" s="133" t="s">
        <v>111</v>
      </c>
      <c r="O1196" s="133" t="s">
        <v>23</v>
      </c>
      <c r="P1196" s="133">
        <v>0</v>
      </c>
      <c r="Q1196" s="133"/>
      <c r="R1196" s="133">
        <v>1</v>
      </c>
      <c r="S1196" s="133" t="s">
        <v>1618</v>
      </c>
      <c r="T1196" s="133" t="s">
        <v>2137</v>
      </c>
      <c r="U1196" s="133" t="s">
        <v>3987</v>
      </c>
      <c r="V1196" s="133" t="s">
        <v>3963</v>
      </c>
      <c r="W1196" s="140" t="s">
        <v>23</v>
      </c>
      <c r="X1196" s="140" t="s">
        <v>3997</v>
      </c>
      <c r="Y1196" s="140" t="s">
        <v>4007</v>
      </c>
      <c r="Z1196" s="133"/>
      <c r="AA1196" s="133"/>
      <c r="AB1196" s="133">
        <v>14</v>
      </c>
      <c r="AC1196" s="134">
        <v>63.73912</v>
      </c>
      <c r="AD1196" s="134">
        <v>148.90092000000001</v>
      </c>
      <c r="AE1196" s="133"/>
      <c r="AF1196" s="133"/>
      <c r="AG1196" s="133"/>
      <c r="AH1196" s="139">
        <v>0</v>
      </c>
      <c r="AI1196" s="139">
        <v>0</v>
      </c>
      <c r="AJ1196" s="139">
        <v>0</v>
      </c>
      <c r="AK1196" s="139">
        <v>0</v>
      </c>
      <c r="AL1196" s="139">
        <v>0</v>
      </c>
      <c r="AM1196" s="133">
        <v>0</v>
      </c>
      <c r="AN1196" s="133">
        <f t="shared" si="19"/>
        <v>0</v>
      </c>
      <c r="AO1196" s="133"/>
      <c r="AP1196" s="133" t="s">
        <v>880</v>
      </c>
      <c r="AQ1196" s="133"/>
      <c r="AR1196" s="133"/>
    </row>
    <row r="1197" spans="1:48" s="133" customFormat="1" x14ac:dyDescent="0.2">
      <c r="A1197" s="133" t="s">
        <v>496</v>
      </c>
      <c r="B1197" s="133" t="s">
        <v>874</v>
      </c>
      <c r="C1197" s="133">
        <v>8</v>
      </c>
      <c r="D1197" s="133">
        <v>1</v>
      </c>
      <c r="E1197" s="133" t="s">
        <v>834</v>
      </c>
      <c r="F1197" s="138">
        <v>43352</v>
      </c>
      <c r="G1197" s="136" t="s">
        <v>4032</v>
      </c>
      <c r="H1197" s="136" t="s">
        <v>4724</v>
      </c>
      <c r="I1197" s="148">
        <v>0.10069444444444443</v>
      </c>
      <c r="J1197" s="174">
        <v>1.6782407407407406E-3</v>
      </c>
      <c r="K1197" s="139">
        <v>145</v>
      </c>
      <c r="L1197" s="133" t="s">
        <v>483</v>
      </c>
      <c r="M1197" s="133" t="s">
        <v>466</v>
      </c>
      <c r="N1197" s="133" t="s">
        <v>111</v>
      </c>
      <c r="O1197" s="133" t="s">
        <v>23</v>
      </c>
      <c r="P1197" s="133">
        <v>0</v>
      </c>
      <c r="R1197" s="133">
        <v>2</v>
      </c>
      <c r="S1197" s="133" t="s">
        <v>1618</v>
      </c>
      <c r="T1197" s="133" t="s">
        <v>2137</v>
      </c>
      <c r="U1197" s="133" t="s">
        <v>3987</v>
      </c>
      <c r="V1197" s="133" t="s">
        <v>1057</v>
      </c>
      <c r="W1197" s="140" t="s">
        <v>23</v>
      </c>
      <c r="X1197" s="140" t="s">
        <v>3999</v>
      </c>
      <c r="Y1197" s="140" t="s">
        <v>4005</v>
      </c>
      <c r="Z1197" s="135"/>
      <c r="AA1197" s="135"/>
      <c r="AB1197" s="142">
        <v>20</v>
      </c>
      <c r="AC1197" s="134">
        <v>63.739170000000001</v>
      </c>
      <c r="AD1197" s="134">
        <v>148.90096</v>
      </c>
      <c r="AE1197" s="135"/>
      <c r="AF1197" s="135"/>
      <c r="AG1197" s="135"/>
      <c r="AH1197" s="139">
        <v>0</v>
      </c>
      <c r="AI1197" s="139">
        <v>0</v>
      </c>
      <c r="AJ1197" s="139">
        <v>0</v>
      </c>
      <c r="AK1197" s="139">
        <v>0</v>
      </c>
      <c r="AL1197" s="139">
        <v>0</v>
      </c>
      <c r="AM1197" s="133">
        <v>0</v>
      </c>
      <c r="AN1197" s="133">
        <f t="shared" si="19"/>
        <v>0</v>
      </c>
    </row>
    <row r="1198" spans="1:48" s="133" customFormat="1" x14ac:dyDescent="0.2">
      <c r="A1198" s="133" t="s">
        <v>496</v>
      </c>
      <c r="B1198" s="133" t="s">
        <v>874</v>
      </c>
      <c r="C1198" s="133">
        <v>8</v>
      </c>
      <c r="D1198" s="133">
        <v>2</v>
      </c>
      <c r="E1198" s="133" t="s">
        <v>834</v>
      </c>
      <c r="F1198" s="138">
        <v>43352</v>
      </c>
      <c r="G1198" s="136" t="s">
        <v>4032</v>
      </c>
      <c r="H1198" s="136" t="s">
        <v>4724</v>
      </c>
      <c r="I1198" s="148">
        <v>0.10069444444444443</v>
      </c>
      <c r="J1198" s="174">
        <v>1.6782407407407406E-3</v>
      </c>
      <c r="K1198" s="139">
        <v>145</v>
      </c>
      <c r="L1198" s="133" t="s">
        <v>483</v>
      </c>
      <c r="M1198" s="133" t="s">
        <v>466</v>
      </c>
      <c r="N1198" s="133" t="s">
        <v>111</v>
      </c>
      <c r="O1198" s="133" t="s">
        <v>23</v>
      </c>
      <c r="P1198" s="133">
        <v>0</v>
      </c>
      <c r="R1198" s="133">
        <v>2</v>
      </c>
      <c r="S1198" s="133" t="s">
        <v>1618</v>
      </c>
      <c r="T1198" s="133" t="s">
        <v>2137</v>
      </c>
      <c r="U1198" s="133" t="s">
        <v>3987</v>
      </c>
      <c r="V1198" s="133" t="s">
        <v>1057</v>
      </c>
      <c r="W1198" s="140" t="s">
        <v>23</v>
      </c>
      <c r="X1198" s="140" t="s">
        <v>3999</v>
      </c>
      <c r="Y1198" s="140" t="s">
        <v>4005</v>
      </c>
      <c r="Z1198" s="135"/>
      <c r="AA1198" s="135"/>
      <c r="AB1198" s="142">
        <v>20</v>
      </c>
      <c r="AC1198" s="134">
        <v>63.739159999999998</v>
      </c>
      <c r="AD1198" s="134">
        <v>148.90085999999999</v>
      </c>
      <c r="AE1198" s="135"/>
      <c r="AF1198" s="135"/>
      <c r="AG1198" s="135"/>
      <c r="AH1198" s="139">
        <v>0</v>
      </c>
      <c r="AI1198" s="139">
        <v>0</v>
      </c>
      <c r="AJ1198" s="139">
        <v>0</v>
      </c>
      <c r="AK1198" s="139">
        <v>0</v>
      </c>
      <c r="AL1198" s="139">
        <v>0</v>
      </c>
      <c r="AM1198" s="133">
        <v>0</v>
      </c>
      <c r="AN1198" s="133">
        <f t="shared" ref="AN1198:AN1261" si="20">SUM(AJ1198:AM1198)</f>
        <v>0</v>
      </c>
    </row>
    <row r="1199" spans="1:48" s="135" customFormat="1" x14ac:dyDescent="0.2">
      <c r="A1199" s="133" t="s">
        <v>496</v>
      </c>
      <c r="B1199" s="133" t="s">
        <v>874</v>
      </c>
      <c r="C1199" s="133">
        <v>8</v>
      </c>
      <c r="D1199" s="133">
        <v>3</v>
      </c>
      <c r="E1199" s="133" t="s">
        <v>834</v>
      </c>
      <c r="F1199" s="138">
        <v>43352</v>
      </c>
      <c r="G1199" s="136" t="s">
        <v>4032</v>
      </c>
      <c r="H1199" s="136" t="s">
        <v>4724</v>
      </c>
      <c r="I1199" s="148">
        <v>0.10069444444444443</v>
      </c>
      <c r="J1199" s="174">
        <v>1.6782407407407406E-3</v>
      </c>
      <c r="K1199" s="139">
        <v>145</v>
      </c>
      <c r="L1199" s="133" t="s">
        <v>483</v>
      </c>
      <c r="M1199" s="133" t="s">
        <v>466</v>
      </c>
      <c r="N1199" s="133" t="s">
        <v>111</v>
      </c>
      <c r="O1199" s="133" t="s">
        <v>23</v>
      </c>
      <c r="P1199" s="133">
        <v>0</v>
      </c>
      <c r="Q1199" s="133"/>
      <c r="R1199" s="133">
        <v>1</v>
      </c>
      <c r="S1199" s="133" t="s">
        <v>1618</v>
      </c>
      <c r="T1199" s="133" t="s">
        <v>2137</v>
      </c>
      <c r="U1199" s="133" t="s">
        <v>3987</v>
      </c>
      <c r="V1199" s="133" t="s">
        <v>1057</v>
      </c>
      <c r="W1199" s="140" t="s">
        <v>23</v>
      </c>
      <c r="X1199" s="140" t="s">
        <v>3999</v>
      </c>
      <c r="Y1199" s="140" t="s">
        <v>4005</v>
      </c>
      <c r="Z1199" s="133"/>
      <c r="AA1199" s="133"/>
      <c r="AB1199" s="142">
        <v>20</v>
      </c>
      <c r="AC1199" s="134">
        <v>63.73921</v>
      </c>
      <c r="AD1199" s="134">
        <v>148.90101999999999</v>
      </c>
      <c r="AE1199" s="133"/>
      <c r="AF1199" s="133"/>
      <c r="AG1199" s="133"/>
      <c r="AH1199" s="139">
        <v>0</v>
      </c>
      <c r="AI1199" s="139">
        <v>0</v>
      </c>
      <c r="AJ1199" s="139">
        <v>0</v>
      </c>
      <c r="AK1199" s="139">
        <v>0</v>
      </c>
      <c r="AL1199" s="139">
        <v>0</v>
      </c>
      <c r="AM1199" s="133">
        <v>0</v>
      </c>
      <c r="AN1199" s="133">
        <f t="shared" si="20"/>
        <v>0</v>
      </c>
      <c r="AO1199" s="133"/>
      <c r="AP1199" s="133"/>
      <c r="AQ1199" s="133"/>
      <c r="AR1199" s="133"/>
      <c r="AS1199" s="133"/>
      <c r="AT1199" s="133"/>
      <c r="AU1199" s="133"/>
      <c r="AV1199" s="133"/>
    </row>
    <row r="1200" spans="1:48" s="133" customFormat="1" x14ac:dyDescent="0.2">
      <c r="A1200" s="133" t="s">
        <v>684</v>
      </c>
      <c r="B1200" s="133" t="s">
        <v>875</v>
      </c>
      <c r="C1200" s="133">
        <v>1</v>
      </c>
      <c r="D1200" s="133">
        <v>1</v>
      </c>
      <c r="E1200" s="133" t="s">
        <v>834</v>
      </c>
      <c r="F1200" s="138">
        <v>43358</v>
      </c>
      <c r="G1200" s="136" t="s">
        <v>4032</v>
      </c>
      <c r="H1200" s="136" t="s">
        <v>4724</v>
      </c>
      <c r="I1200" s="148">
        <v>5.2083333333333336E-2</v>
      </c>
      <c r="J1200" s="174">
        <v>8.6805555555555551E-4</v>
      </c>
      <c r="K1200" s="139">
        <v>75</v>
      </c>
      <c r="L1200" s="133" t="s">
        <v>640</v>
      </c>
      <c r="M1200" s="133" t="s">
        <v>466</v>
      </c>
      <c r="N1200" s="133" t="s">
        <v>111</v>
      </c>
      <c r="O1200" s="133" t="s">
        <v>23</v>
      </c>
      <c r="P1200" s="133">
        <v>0</v>
      </c>
      <c r="R1200" s="133">
        <v>1</v>
      </c>
      <c r="S1200" s="133" t="s">
        <v>176</v>
      </c>
      <c r="T1200" s="133" t="s">
        <v>176</v>
      </c>
      <c r="U1200" s="133" t="s">
        <v>115</v>
      </c>
      <c r="V1200" s="133" t="s">
        <v>709</v>
      </c>
      <c r="W1200" s="140" t="s">
        <v>23</v>
      </c>
      <c r="X1200" s="140" t="s">
        <v>4004</v>
      </c>
      <c r="Y1200" s="140" t="s">
        <v>4005</v>
      </c>
      <c r="AB1200" s="133" t="s">
        <v>176</v>
      </c>
      <c r="AC1200" s="134">
        <v>63.738419999999998</v>
      </c>
      <c r="AD1200" s="134">
        <v>148.90466000000001</v>
      </c>
      <c r="AH1200" s="139">
        <v>0</v>
      </c>
      <c r="AI1200" s="139">
        <v>0</v>
      </c>
      <c r="AJ1200" s="139">
        <v>0</v>
      </c>
      <c r="AK1200" s="139">
        <v>0</v>
      </c>
      <c r="AL1200" s="139">
        <v>0</v>
      </c>
      <c r="AM1200" s="133">
        <v>0</v>
      </c>
      <c r="AN1200" s="133">
        <f t="shared" si="20"/>
        <v>0</v>
      </c>
      <c r="AO1200" s="139"/>
      <c r="AP1200" s="133" t="s">
        <v>685</v>
      </c>
    </row>
    <row r="1201" spans="1:48" s="133" customFormat="1" x14ac:dyDescent="0.2">
      <c r="A1201" s="135" t="s">
        <v>686</v>
      </c>
      <c r="B1201" s="135" t="s">
        <v>876</v>
      </c>
      <c r="C1201" s="135">
        <v>2</v>
      </c>
      <c r="D1201" s="135">
        <v>1</v>
      </c>
      <c r="E1201" s="135" t="s">
        <v>834</v>
      </c>
      <c r="F1201" s="136">
        <v>43358</v>
      </c>
      <c r="G1201" s="136" t="s">
        <v>4032</v>
      </c>
      <c r="H1201" s="136" t="s">
        <v>4724</v>
      </c>
      <c r="I1201" s="172">
        <v>1.3194444444444444E-2</v>
      </c>
      <c r="J1201" s="175">
        <v>2.199074074074074E-4</v>
      </c>
      <c r="K1201" s="143">
        <v>19</v>
      </c>
      <c r="L1201" s="135" t="s">
        <v>640</v>
      </c>
      <c r="M1201" s="135" t="s">
        <v>466</v>
      </c>
      <c r="N1201" s="135" t="s">
        <v>187</v>
      </c>
      <c r="O1201" s="135" t="s">
        <v>23</v>
      </c>
      <c r="P1201" s="135">
        <v>1</v>
      </c>
      <c r="Q1201" s="135"/>
      <c r="R1201" s="135">
        <v>1</v>
      </c>
      <c r="S1201" s="133" t="s">
        <v>14</v>
      </c>
      <c r="T1201" s="135" t="s">
        <v>2128</v>
      </c>
      <c r="U1201" s="135" t="s">
        <v>122</v>
      </c>
      <c r="V1201" s="133" t="s">
        <v>2061</v>
      </c>
      <c r="W1201" s="140" t="s">
        <v>23</v>
      </c>
      <c r="X1201" s="140" t="s">
        <v>3999</v>
      </c>
      <c r="Y1201" s="140" t="s">
        <v>4006</v>
      </c>
      <c r="AB1201" s="135" t="s">
        <v>176</v>
      </c>
      <c r="AC1201" s="137">
        <v>63.738860000000003</v>
      </c>
      <c r="AD1201" s="137">
        <v>148.90303</v>
      </c>
      <c r="AH1201" s="143">
        <v>0</v>
      </c>
      <c r="AI1201" s="143">
        <v>0</v>
      </c>
      <c r="AJ1201" s="143">
        <v>0</v>
      </c>
      <c r="AK1201" s="143">
        <v>0</v>
      </c>
      <c r="AL1201" s="143">
        <v>5</v>
      </c>
      <c r="AM1201" s="135">
        <v>0</v>
      </c>
      <c r="AN1201" s="135">
        <f t="shared" si="20"/>
        <v>5</v>
      </c>
      <c r="AO1201" s="135"/>
      <c r="AP1201" s="135"/>
      <c r="AQ1201" s="135"/>
      <c r="AR1201" s="135"/>
      <c r="AS1201" s="135"/>
      <c r="AT1201" s="135"/>
      <c r="AU1201" s="135"/>
      <c r="AV1201" s="135"/>
    </row>
    <row r="1202" spans="1:48" s="133" customFormat="1" x14ac:dyDescent="0.2">
      <c r="A1202" s="135" t="s">
        <v>687</v>
      </c>
      <c r="B1202" s="135" t="s">
        <v>877</v>
      </c>
      <c r="C1202" s="135">
        <v>3</v>
      </c>
      <c r="D1202" s="135">
        <v>1</v>
      </c>
      <c r="E1202" s="135" t="s">
        <v>834</v>
      </c>
      <c r="F1202" s="136">
        <v>43358</v>
      </c>
      <c r="G1202" s="136" t="s">
        <v>4032</v>
      </c>
      <c r="H1202" s="136" t="s">
        <v>4724</v>
      </c>
      <c r="I1202" s="172">
        <v>3.4027777777777775E-2</v>
      </c>
      <c r="J1202" s="175">
        <v>5.6712962962962956E-4</v>
      </c>
      <c r="K1202" s="143">
        <v>49</v>
      </c>
      <c r="L1202" s="135" t="s">
        <v>640</v>
      </c>
      <c r="M1202" s="135" t="s">
        <v>466</v>
      </c>
      <c r="N1202" s="135" t="s">
        <v>102</v>
      </c>
      <c r="O1202" s="135" t="s">
        <v>23</v>
      </c>
      <c r="P1202" s="135">
        <v>2</v>
      </c>
      <c r="Q1202" s="135"/>
      <c r="R1202" s="135">
        <v>1</v>
      </c>
      <c r="S1202" s="133" t="s">
        <v>14</v>
      </c>
      <c r="T1202" s="135" t="s">
        <v>2128</v>
      </c>
      <c r="U1202" s="135" t="s">
        <v>122</v>
      </c>
      <c r="V1202" s="133" t="s">
        <v>2061</v>
      </c>
      <c r="W1202" s="140" t="s">
        <v>23</v>
      </c>
      <c r="X1202" s="140" t="s">
        <v>3999</v>
      </c>
      <c r="Y1202" s="140" t="s">
        <v>4006</v>
      </c>
      <c r="Z1202" s="135"/>
      <c r="AA1202" s="135"/>
      <c r="AB1202" s="135" t="s">
        <v>176</v>
      </c>
      <c r="AC1202" s="137">
        <v>63.738280000000003</v>
      </c>
      <c r="AD1202" s="137">
        <v>148.89919</v>
      </c>
      <c r="AE1202" s="135"/>
      <c r="AF1202" s="135"/>
      <c r="AG1202" s="135"/>
      <c r="AH1202" s="143">
        <v>0</v>
      </c>
      <c r="AI1202" s="143">
        <v>0</v>
      </c>
      <c r="AJ1202" s="143">
        <v>0</v>
      </c>
      <c r="AK1202" s="143">
        <v>0</v>
      </c>
      <c r="AL1202" s="143">
        <v>27</v>
      </c>
      <c r="AM1202" s="135">
        <v>0</v>
      </c>
      <c r="AN1202" s="135">
        <f t="shared" si="20"/>
        <v>27</v>
      </c>
      <c r="AO1202" s="135"/>
      <c r="AP1202" s="135"/>
      <c r="AQ1202" s="135"/>
      <c r="AR1202" s="135"/>
    </row>
    <row r="1203" spans="1:48" s="133" customFormat="1" x14ac:dyDescent="0.2">
      <c r="A1203" s="133" t="s">
        <v>688</v>
      </c>
      <c r="B1203" s="133" t="s">
        <v>878</v>
      </c>
      <c r="C1203" s="133">
        <v>4</v>
      </c>
      <c r="D1203" s="133">
        <v>1</v>
      </c>
      <c r="E1203" s="133" t="s">
        <v>834</v>
      </c>
      <c r="F1203" s="138">
        <v>43358</v>
      </c>
      <c r="G1203" s="136" t="s">
        <v>4032</v>
      </c>
      <c r="H1203" s="136" t="s">
        <v>4724</v>
      </c>
      <c r="I1203" s="148">
        <v>3.0555555555555555E-2</v>
      </c>
      <c r="J1203" s="174">
        <v>5.0925925925925921E-4</v>
      </c>
      <c r="K1203" s="139">
        <v>44</v>
      </c>
      <c r="L1203" s="133" t="s">
        <v>640</v>
      </c>
      <c r="M1203" s="133" t="s">
        <v>466</v>
      </c>
      <c r="N1203" s="133" t="s">
        <v>102</v>
      </c>
      <c r="O1203" s="133" t="s">
        <v>23</v>
      </c>
      <c r="P1203" s="133">
        <v>1</v>
      </c>
      <c r="R1203" s="133">
        <v>0</v>
      </c>
      <c r="S1203" s="133" t="s">
        <v>176</v>
      </c>
      <c r="T1203" s="133" t="s">
        <v>176</v>
      </c>
      <c r="U1203" s="133" t="s">
        <v>263</v>
      </c>
      <c r="V1203" s="133" t="s">
        <v>115</v>
      </c>
      <c r="W1203" s="135" t="s">
        <v>115</v>
      </c>
      <c r="X1203" s="135" t="s">
        <v>115</v>
      </c>
      <c r="Y1203" s="135" t="s">
        <v>115</v>
      </c>
      <c r="AB1203" s="134" t="s">
        <v>115</v>
      </c>
      <c r="AC1203" s="134" t="s">
        <v>115</v>
      </c>
      <c r="AD1203" s="134"/>
      <c r="AH1203" s="139">
        <v>17</v>
      </c>
      <c r="AI1203" s="139">
        <v>0</v>
      </c>
      <c r="AJ1203" s="139">
        <v>17</v>
      </c>
      <c r="AK1203" s="139">
        <v>0</v>
      </c>
      <c r="AL1203" s="139">
        <v>0</v>
      </c>
      <c r="AM1203" s="133">
        <v>0</v>
      </c>
      <c r="AN1203" s="133">
        <f t="shared" si="20"/>
        <v>17</v>
      </c>
    </row>
    <row r="1204" spans="1:48" s="133" customFormat="1" x14ac:dyDescent="0.2">
      <c r="A1204" s="133" t="s">
        <v>936</v>
      </c>
      <c r="B1204" s="133" t="s">
        <v>938</v>
      </c>
      <c r="C1204" s="133">
        <v>1</v>
      </c>
      <c r="D1204" s="133">
        <v>1</v>
      </c>
      <c r="E1204" s="133" t="s">
        <v>834</v>
      </c>
      <c r="F1204" s="138">
        <v>43367</v>
      </c>
      <c r="G1204" s="136" t="s">
        <v>4032</v>
      </c>
      <c r="H1204" s="136" t="s">
        <v>4724</v>
      </c>
      <c r="I1204" s="148">
        <v>6.5972222222222224E-2</v>
      </c>
      <c r="J1204" s="174">
        <v>1.0995370370370371E-3</v>
      </c>
      <c r="K1204" s="139">
        <v>95</v>
      </c>
      <c r="L1204" s="133" t="s">
        <v>397</v>
      </c>
      <c r="M1204" s="133" t="s">
        <v>466</v>
      </c>
      <c r="N1204" s="133" t="s">
        <v>102</v>
      </c>
      <c r="O1204" s="133" t="s">
        <v>23</v>
      </c>
      <c r="P1204" s="133" t="s">
        <v>24</v>
      </c>
      <c r="R1204" s="133">
        <v>0</v>
      </c>
      <c r="S1204" s="133" t="s">
        <v>176</v>
      </c>
      <c r="T1204" s="133" t="s">
        <v>176</v>
      </c>
      <c r="U1204" s="133" t="s">
        <v>115</v>
      </c>
      <c r="V1204" s="133" t="s">
        <v>115</v>
      </c>
      <c r="W1204" s="135" t="s">
        <v>115</v>
      </c>
      <c r="X1204" s="135" t="s">
        <v>115</v>
      </c>
      <c r="Y1204" s="135" t="s">
        <v>115</v>
      </c>
      <c r="AB1204" s="133" t="s">
        <v>115</v>
      </c>
      <c r="AC1204" s="134" t="s">
        <v>115</v>
      </c>
      <c r="AD1204" s="134"/>
      <c r="AH1204" s="139">
        <v>15</v>
      </c>
      <c r="AI1204" s="139">
        <v>0</v>
      </c>
      <c r="AJ1204" s="139">
        <v>15</v>
      </c>
      <c r="AK1204" s="139">
        <v>0</v>
      </c>
      <c r="AL1204" s="139">
        <v>0</v>
      </c>
      <c r="AM1204" s="133">
        <v>0</v>
      </c>
      <c r="AN1204" s="133">
        <f t="shared" si="20"/>
        <v>15</v>
      </c>
      <c r="AO1204" s="133" t="s">
        <v>16</v>
      </c>
      <c r="AQ1204" s="133">
        <v>0</v>
      </c>
      <c r="AR1204" s="133">
        <v>2</v>
      </c>
    </row>
    <row r="1205" spans="1:48" s="133" customFormat="1" x14ac:dyDescent="0.2">
      <c r="A1205" s="133" t="s">
        <v>1000</v>
      </c>
      <c r="B1205" s="133" t="s">
        <v>1001</v>
      </c>
      <c r="C1205" s="133">
        <v>1</v>
      </c>
      <c r="D1205" s="133">
        <v>1</v>
      </c>
      <c r="E1205" s="133" t="s">
        <v>834</v>
      </c>
      <c r="F1205" s="138">
        <v>43369</v>
      </c>
      <c r="G1205" s="136" t="s">
        <v>4032</v>
      </c>
      <c r="H1205" s="136" t="s">
        <v>4724</v>
      </c>
      <c r="I1205" s="148">
        <v>9.0277777777777787E-3</v>
      </c>
      <c r="J1205" s="174">
        <v>1.5046296296296297E-4</v>
      </c>
      <c r="K1205" s="139">
        <v>13</v>
      </c>
      <c r="L1205" s="133" t="s">
        <v>398</v>
      </c>
      <c r="M1205" s="133" t="s">
        <v>466</v>
      </c>
      <c r="N1205" s="133" t="s">
        <v>111</v>
      </c>
      <c r="O1205" s="133" t="s">
        <v>23</v>
      </c>
      <c r="P1205" s="133">
        <v>0</v>
      </c>
      <c r="R1205" s="133">
        <v>1</v>
      </c>
      <c r="S1205" s="133" t="s">
        <v>176</v>
      </c>
      <c r="T1205" s="133" t="s">
        <v>176</v>
      </c>
      <c r="U1205" s="133" t="s">
        <v>24</v>
      </c>
      <c r="V1205" s="133" t="s">
        <v>709</v>
      </c>
      <c r="W1205" s="140" t="s">
        <v>23</v>
      </c>
      <c r="X1205" s="140" t="s">
        <v>4004</v>
      </c>
      <c r="Y1205" s="140" t="s">
        <v>4005</v>
      </c>
      <c r="AB1205" s="133" t="s">
        <v>24</v>
      </c>
      <c r="AC1205" s="134">
        <v>63.737909999999999</v>
      </c>
      <c r="AD1205" s="134">
        <v>148.90565000000001</v>
      </c>
      <c r="AH1205" s="139">
        <v>0</v>
      </c>
      <c r="AI1205" s="139">
        <v>0</v>
      </c>
      <c r="AJ1205" s="139">
        <v>0</v>
      </c>
      <c r="AK1205" s="139">
        <v>0</v>
      </c>
      <c r="AL1205" s="139">
        <v>0</v>
      </c>
      <c r="AM1205" s="133">
        <v>0</v>
      </c>
      <c r="AN1205" s="133">
        <f t="shared" si="20"/>
        <v>0</v>
      </c>
      <c r="AS1205" s="135"/>
      <c r="AT1205" s="135"/>
      <c r="AU1205" s="135"/>
      <c r="AV1205" s="135"/>
    </row>
    <row r="1206" spans="1:48" s="135" customFormat="1" x14ac:dyDescent="0.2">
      <c r="A1206" s="135" t="s">
        <v>1002</v>
      </c>
      <c r="B1206" s="135" t="s">
        <v>1003</v>
      </c>
      <c r="C1206" s="135">
        <v>2</v>
      </c>
      <c r="D1206" s="135">
        <v>1</v>
      </c>
      <c r="E1206" s="135" t="s">
        <v>834</v>
      </c>
      <c r="F1206" s="136">
        <v>43369</v>
      </c>
      <c r="G1206" s="136" t="s">
        <v>4032</v>
      </c>
      <c r="H1206" s="136" t="s">
        <v>4724</v>
      </c>
      <c r="I1206" s="172">
        <v>2.4999999999999998E-2</v>
      </c>
      <c r="J1206" s="175">
        <v>4.1666666666666669E-4</v>
      </c>
      <c r="K1206" s="143">
        <v>36</v>
      </c>
      <c r="L1206" s="135" t="s">
        <v>398</v>
      </c>
      <c r="M1206" s="135" t="s">
        <v>466</v>
      </c>
      <c r="N1206" s="135" t="s">
        <v>102</v>
      </c>
      <c r="O1206" s="135" t="s">
        <v>115</v>
      </c>
      <c r="P1206" s="135" t="s">
        <v>24</v>
      </c>
      <c r="R1206" s="135">
        <v>0</v>
      </c>
      <c r="S1206" s="133" t="s">
        <v>176</v>
      </c>
      <c r="T1206" s="135" t="s">
        <v>176</v>
      </c>
      <c r="U1206" s="135" t="s">
        <v>115</v>
      </c>
      <c r="V1206" s="135" t="s">
        <v>115</v>
      </c>
      <c r="W1206" s="135" t="s">
        <v>115</v>
      </c>
      <c r="X1206" s="135" t="s">
        <v>115</v>
      </c>
      <c r="Y1206" s="135" t="s">
        <v>115</v>
      </c>
      <c r="AB1206" s="135" t="s">
        <v>115</v>
      </c>
      <c r="AC1206" s="137" t="s">
        <v>115</v>
      </c>
      <c r="AD1206" s="137"/>
      <c r="AH1206" s="143">
        <v>0</v>
      </c>
      <c r="AI1206" s="143">
        <v>0</v>
      </c>
      <c r="AJ1206" s="143">
        <v>0</v>
      </c>
      <c r="AK1206" s="143">
        <v>0</v>
      </c>
      <c r="AL1206" s="143">
        <v>33</v>
      </c>
      <c r="AM1206" s="135">
        <v>0</v>
      </c>
      <c r="AN1206" s="135">
        <f t="shared" si="20"/>
        <v>33</v>
      </c>
      <c r="AS1206" s="133"/>
      <c r="AT1206" s="133"/>
      <c r="AU1206" s="133"/>
      <c r="AV1206" s="133"/>
    </row>
    <row r="1207" spans="1:48" s="133" customFormat="1" x14ac:dyDescent="0.2">
      <c r="A1207" s="135" t="s">
        <v>1004</v>
      </c>
      <c r="B1207" s="135" t="s">
        <v>1005</v>
      </c>
      <c r="C1207" s="135">
        <v>3</v>
      </c>
      <c r="D1207" s="135">
        <v>1</v>
      </c>
      <c r="E1207" s="135" t="s">
        <v>834</v>
      </c>
      <c r="F1207" s="136">
        <v>43369</v>
      </c>
      <c r="G1207" s="136" t="s">
        <v>4032</v>
      </c>
      <c r="H1207" s="136" t="s">
        <v>4724</v>
      </c>
      <c r="I1207" s="172">
        <v>1.5972222222222224E-2</v>
      </c>
      <c r="J1207" s="175">
        <v>2.6620370370370372E-4</v>
      </c>
      <c r="K1207" s="143">
        <v>23</v>
      </c>
      <c r="L1207" s="135" t="s">
        <v>398</v>
      </c>
      <c r="M1207" s="135" t="s">
        <v>466</v>
      </c>
      <c r="N1207" s="135" t="s">
        <v>187</v>
      </c>
      <c r="O1207" s="135" t="s">
        <v>23</v>
      </c>
      <c r="P1207" s="135">
        <v>1</v>
      </c>
      <c r="Q1207" s="135"/>
      <c r="R1207" s="135">
        <v>1</v>
      </c>
      <c r="S1207" s="133" t="s">
        <v>14</v>
      </c>
      <c r="T1207" s="135" t="s">
        <v>2128</v>
      </c>
      <c r="U1207" s="135" t="s">
        <v>122</v>
      </c>
      <c r="V1207" s="135" t="s">
        <v>1006</v>
      </c>
      <c r="W1207" s="135" t="s">
        <v>23</v>
      </c>
      <c r="X1207" s="135" t="s">
        <v>3997</v>
      </c>
      <c r="Y1207" s="135" t="s">
        <v>4007</v>
      </c>
      <c r="Z1207" s="135"/>
      <c r="AA1207" s="135"/>
      <c r="AB1207" s="135">
        <v>10</v>
      </c>
      <c r="AC1207" s="137">
        <v>63.739910000000002</v>
      </c>
      <c r="AD1207" s="137">
        <v>148.90183999999999</v>
      </c>
      <c r="AE1207" s="135"/>
      <c r="AF1207" s="135"/>
      <c r="AG1207" s="135"/>
      <c r="AH1207" s="143">
        <v>0</v>
      </c>
      <c r="AI1207" s="143">
        <v>0</v>
      </c>
      <c r="AJ1207" s="143">
        <v>0</v>
      </c>
      <c r="AK1207" s="143">
        <v>0</v>
      </c>
      <c r="AL1207" s="143">
        <v>11</v>
      </c>
      <c r="AM1207" s="135">
        <v>0</v>
      </c>
      <c r="AN1207" s="135">
        <f t="shared" si="20"/>
        <v>11</v>
      </c>
      <c r="AO1207" s="135"/>
      <c r="AP1207" s="135" t="s">
        <v>1007</v>
      </c>
      <c r="AQ1207" s="135"/>
      <c r="AR1207" s="135"/>
    </row>
    <row r="1208" spans="1:48" s="135" customFormat="1" x14ac:dyDescent="0.2">
      <c r="A1208" s="135" t="s">
        <v>1008</v>
      </c>
      <c r="B1208" s="135" t="s">
        <v>1009</v>
      </c>
      <c r="C1208" s="135">
        <v>4</v>
      </c>
      <c r="D1208" s="135">
        <v>1</v>
      </c>
      <c r="E1208" s="135" t="s">
        <v>834</v>
      </c>
      <c r="F1208" s="136">
        <v>43369</v>
      </c>
      <c r="G1208" s="136" t="s">
        <v>4032</v>
      </c>
      <c r="H1208" s="136" t="s">
        <v>4724</v>
      </c>
      <c r="I1208" s="172">
        <v>1.6666666666666666E-2</v>
      </c>
      <c r="J1208" s="175">
        <v>2.7777777777777778E-4</v>
      </c>
      <c r="K1208" s="143">
        <v>24</v>
      </c>
      <c r="L1208" s="135" t="s">
        <v>398</v>
      </c>
      <c r="M1208" s="135" t="s">
        <v>466</v>
      </c>
      <c r="N1208" s="135" t="s">
        <v>102</v>
      </c>
      <c r="O1208" s="135" t="s">
        <v>115</v>
      </c>
      <c r="P1208" s="135" t="s">
        <v>24</v>
      </c>
      <c r="R1208" s="135">
        <v>0</v>
      </c>
      <c r="S1208" s="133" t="s">
        <v>176</v>
      </c>
      <c r="T1208" s="135" t="s">
        <v>176</v>
      </c>
      <c r="U1208" s="135" t="s">
        <v>115</v>
      </c>
      <c r="V1208" s="135" t="s">
        <v>115</v>
      </c>
      <c r="W1208" s="135" t="s">
        <v>115</v>
      </c>
      <c r="X1208" s="135" t="s">
        <v>115</v>
      </c>
      <c r="Y1208" s="135" t="s">
        <v>115</v>
      </c>
      <c r="Z1208" s="133"/>
      <c r="AA1208" s="133"/>
      <c r="AB1208" s="135" t="s">
        <v>115</v>
      </c>
      <c r="AC1208" s="137" t="s">
        <v>115</v>
      </c>
      <c r="AD1208" s="137"/>
      <c r="AE1208" s="133"/>
      <c r="AF1208" s="133"/>
      <c r="AG1208" s="133"/>
      <c r="AH1208" s="143">
        <v>0</v>
      </c>
      <c r="AI1208" s="143">
        <v>0</v>
      </c>
      <c r="AJ1208" s="143">
        <v>0</v>
      </c>
      <c r="AK1208" s="143">
        <v>0</v>
      </c>
      <c r="AL1208" s="143">
        <v>21</v>
      </c>
      <c r="AM1208" s="135">
        <v>0</v>
      </c>
      <c r="AN1208" s="135">
        <f t="shared" si="20"/>
        <v>21</v>
      </c>
      <c r="AS1208" s="133"/>
      <c r="AT1208" s="133"/>
      <c r="AU1208" s="133"/>
      <c r="AV1208" s="133"/>
    </row>
    <row r="1209" spans="1:48" s="133" customFormat="1" x14ac:dyDescent="0.2">
      <c r="A1209" s="135" t="s">
        <v>1010</v>
      </c>
      <c r="B1209" s="135" t="s">
        <v>1011</v>
      </c>
      <c r="C1209" s="135">
        <v>5</v>
      </c>
      <c r="D1209" s="135">
        <v>1</v>
      </c>
      <c r="E1209" s="135" t="s">
        <v>834</v>
      </c>
      <c r="F1209" s="136">
        <v>43369</v>
      </c>
      <c r="G1209" s="136" t="s">
        <v>4032</v>
      </c>
      <c r="H1209" s="136" t="s">
        <v>4724</v>
      </c>
      <c r="I1209" s="172">
        <v>2.361111111111111E-2</v>
      </c>
      <c r="J1209" s="175">
        <v>3.9351851851851852E-4</v>
      </c>
      <c r="K1209" s="143">
        <v>34</v>
      </c>
      <c r="L1209" s="135" t="s">
        <v>398</v>
      </c>
      <c r="M1209" s="135" t="s">
        <v>466</v>
      </c>
      <c r="N1209" s="135" t="s">
        <v>187</v>
      </c>
      <c r="O1209" s="135" t="s">
        <v>23</v>
      </c>
      <c r="P1209" s="135">
        <v>1</v>
      </c>
      <c r="Q1209" s="135"/>
      <c r="R1209" s="135">
        <v>1</v>
      </c>
      <c r="S1209" s="133" t="s">
        <v>598</v>
      </c>
      <c r="T1209" s="135" t="s">
        <v>1012</v>
      </c>
      <c r="U1209" s="135" t="s">
        <v>122</v>
      </c>
      <c r="V1209" s="135" t="s">
        <v>1013</v>
      </c>
      <c r="W1209" s="135" t="s">
        <v>23</v>
      </c>
      <c r="X1209" s="135" t="s">
        <v>3999</v>
      </c>
      <c r="Y1209" s="135" t="s">
        <v>4005</v>
      </c>
      <c r="AB1209" s="135">
        <v>5</v>
      </c>
      <c r="AC1209" s="137">
        <v>63.739980000000003</v>
      </c>
      <c r="AD1209" s="137">
        <v>148.90302</v>
      </c>
      <c r="AH1209" s="143">
        <v>0</v>
      </c>
      <c r="AI1209" s="143">
        <v>0</v>
      </c>
      <c r="AJ1209" s="143">
        <v>0</v>
      </c>
      <c r="AK1209" s="143">
        <v>0</v>
      </c>
      <c r="AL1209" s="143">
        <v>6</v>
      </c>
      <c r="AM1209" s="135">
        <v>0</v>
      </c>
      <c r="AN1209" s="135">
        <f t="shared" si="20"/>
        <v>6</v>
      </c>
      <c r="AO1209" s="135"/>
      <c r="AP1209" s="135"/>
      <c r="AQ1209" s="135"/>
      <c r="AR1209" s="135"/>
      <c r="AS1209" s="135"/>
      <c r="AT1209" s="135"/>
      <c r="AU1209" s="135" t="s">
        <v>3942</v>
      </c>
      <c r="AV1209" s="135"/>
    </row>
    <row r="1210" spans="1:48" s="133" customFormat="1" x14ac:dyDescent="0.2">
      <c r="A1210" s="135" t="s">
        <v>1015</v>
      </c>
      <c r="B1210" s="135" t="s">
        <v>1016</v>
      </c>
      <c r="C1210" s="135">
        <v>6</v>
      </c>
      <c r="D1210" s="135">
        <v>1</v>
      </c>
      <c r="E1210" s="135" t="s">
        <v>834</v>
      </c>
      <c r="F1210" s="136">
        <v>43369</v>
      </c>
      <c r="G1210" s="136" t="s">
        <v>4032</v>
      </c>
      <c r="H1210" s="136" t="s">
        <v>4724</v>
      </c>
      <c r="I1210" s="172">
        <v>1.1805555555555555E-2</v>
      </c>
      <c r="J1210" s="175">
        <v>1.9675925925925926E-4</v>
      </c>
      <c r="K1210" s="143">
        <v>17</v>
      </c>
      <c r="L1210" s="135" t="s">
        <v>398</v>
      </c>
      <c r="M1210" s="135" t="s">
        <v>466</v>
      </c>
      <c r="N1210" s="135" t="s">
        <v>102</v>
      </c>
      <c r="O1210" s="135" t="s">
        <v>115</v>
      </c>
      <c r="P1210" s="135" t="s">
        <v>24</v>
      </c>
      <c r="Q1210" s="135"/>
      <c r="R1210" s="135">
        <v>0</v>
      </c>
      <c r="S1210" s="133" t="s">
        <v>176</v>
      </c>
      <c r="T1210" s="135" t="s">
        <v>176</v>
      </c>
      <c r="U1210" s="135" t="s">
        <v>115</v>
      </c>
      <c r="V1210" s="135" t="s">
        <v>115</v>
      </c>
      <c r="W1210" s="135" t="s">
        <v>115</v>
      </c>
      <c r="X1210" s="135" t="s">
        <v>115</v>
      </c>
      <c r="Y1210" s="135" t="s">
        <v>115</v>
      </c>
      <c r="AB1210" s="135" t="s">
        <v>115</v>
      </c>
      <c r="AC1210" s="137" t="s">
        <v>115</v>
      </c>
      <c r="AD1210" s="137"/>
      <c r="AH1210" s="143">
        <v>0</v>
      </c>
      <c r="AI1210" s="143">
        <v>0</v>
      </c>
      <c r="AJ1210" s="143">
        <v>0</v>
      </c>
      <c r="AK1210" s="143">
        <v>0</v>
      </c>
      <c r="AL1210" s="143">
        <v>15</v>
      </c>
      <c r="AM1210" s="135">
        <v>0</v>
      </c>
      <c r="AN1210" s="135">
        <f t="shared" si="20"/>
        <v>15</v>
      </c>
      <c r="AO1210" s="135"/>
      <c r="AP1210" s="135"/>
      <c r="AQ1210" s="135"/>
      <c r="AR1210" s="135"/>
      <c r="AS1210" s="135"/>
      <c r="AT1210" s="135"/>
      <c r="AU1210" s="135"/>
      <c r="AV1210" s="135"/>
    </row>
    <row r="1211" spans="1:48" s="133" customFormat="1" x14ac:dyDescent="0.2">
      <c r="A1211" s="133" t="s">
        <v>1018</v>
      </c>
      <c r="B1211" s="133" t="s">
        <v>1020</v>
      </c>
      <c r="C1211" s="133">
        <v>7</v>
      </c>
      <c r="D1211" s="133">
        <v>1</v>
      </c>
      <c r="E1211" s="133" t="s">
        <v>834</v>
      </c>
      <c r="F1211" s="138">
        <v>43369</v>
      </c>
      <c r="G1211" s="136" t="s">
        <v>4032</v>
      </c>
      <c r="H1211" s="136" t="s">
        <v>4724</v>
      </c>
      <c r="I1211" s="148">
        <v>1.1805555555555555E-2</v>
      </c>
      <c r="J1211" s="174">
        <v>1.9675925925925926E-4</v>
      </c>
      <c r="K1211" s="139">
        <v>17</v>
      </c>
      <c r="L1211" s="133" t="s">
        <v>398</v>
      </c>
      <c r="M1211" s="133" t="s">
        <v>466</v>
      </c>
      <c r="N1211" s="133" t="s">
        <v>111</v>
      </c>
      <c r="O1211" s="133" t="s">
        <v>23</v>
      </c>
      <c r="P1211" s="133">
        <v>0</v>
      </c>
      <c r="R1211" s="133">
        <v>1</v>
      </c>
      <c r="S1211" s="133" t="s">
        <v>176</v>
      </c>
      <c r="T1211" s="133" t="s">
        <v>176</v>
      </c>
      <c r="U1211" s="133" t="s">
        <v>24</v>
      </c>
      <c r="V1211" s="133" t="s">
        <v>709</v>
      </c>
      <c r="W1211" s="140" t="s">
        <v>23</v>
      </c>
      <c r="X1211" s="140" t="s">
        <v>4004</v>
      </c>
      <c r="Y1211" s="140" t="s">
        <v>4005</v>
      </c>
      <c r="Z1211" s="135"/>
      <c r="AA1211" s="135"/>
      <c r="AB1211" s="133" t="s">
        <v>24</v>
      </c>
      <c r="AC1211" s="134">
        <v>63.739550000000001</v>
      </c>
      <c r="AD1211" s="134">
        <v>148.90470999999999</v>
      </c>
      <c r="AE1211" s="135"/>
      <c r="AF1211" s="135"/>
      <c r="AG1211" s="135"/>
      <c r="AH1211" s="139">
        <v>0</v>
      </c>
      <c r="AI1211" s="139">
        <v>0</v>
      </c>
      <c r="AJ1211" s="139">
        <v>0</v>
      </c>
      <c r="AK1211" s="139">
        <v>0</v>
      </c>
      <c r="AL1211" s="139">
        <v>0</v>
      </c>
      <c r="AM1211" s="133">
        <v>0</v>
      </c>
      <c r="AN1211" s="133">
        <f t="shared" si="20"/>
        <v>0</v>
      </c>
      <c r="AP1211" s="133" t="s">
        <v>4894</v>
      </c>
      <c r="AS1211" s="135"/>
      <c r="AT1211" s="135"/>
      <c r="AU1211" s="135"/>
      <c r="AV1211" s="135"/>
    </row>
    <row r="1212" spans="1:48" s="135" customFormat="1" x14ac:dyDescent="0.2">
      <c r="A1212" s="135" t="s">
        <v>1022</v>
      </c>
      <c r="B1212" s="135" t="s">
        <v>1023</v>
      </c>
      <c r="C1212" s="135">
        <v>8</v>
      </c>
      <c r="D1212" s="135">
        <v>1</v>
      </c>
      <c r="E1212" s="135" t="s">
        <v>834</v>
      </c>
      <c r="F1212" s="136">
        <v>43369</v>
      </c>
      <c r="G1212" s="136" t="s">
        <v>4032</v>
      </c>
      <c r="H1212" s="136" t="s">
        <v>4724</v>
      </c>
      <c r="I1212" s="172">
        <v>3.4722222222222224E-2</v>
      </c>
      <c r="J1212" s="175">
        <v>5.7870370370370378E-4</v>
      </c>
      <c r="K1212" s="143">
        <v>50</v>
      </c>
      <c r="L1212" s="135" t="s">
        <v>398</v>
      </c>
      <c r="M1212" s="135" t="s">
        <v>466</v>
      </c>
      <c r="N1212" s="135" t="s">
        <v>102</v>
      </c>
      <c r="O1212" s="135" t="s">
        <v>115</v>
      </c>
      <c r="P1212" s="135">
        <v>1</v>
      </c>
      <c r="R1212" s="135">
        <v>0</v>
      </c>
      <c r="S1212" s="133" t="s">
        <v>176</v>
      </c>
      <c r="T1212" s="135" t="s">
        <v>176</v>
      </c>
      <c r="U1212" s="135" t="s">
        <v>122</v>
      </c>
      <c r="V1212" s="135" t="s">
        <v>115</v>
      </c>
      <c r="W1212" s="135" t="s">
        <v>115</v>
      </c>
      <c r="X1212" s="135" t="s">
        <v>115</v>
      </c>
      <c r="Y1212" s="135" t="s">
        <v>115</v>
      </c>
      <c r="Z1212" s="133"/>
      <c r="AA1212" s="133"/>
      <c r="AB1212" s="135" t="s">
        <v>115</v>
      </c>
      <c r="AC1212" s="137" t="s">
        <v>115</v>
      </c>
      <c r="AD1212" s="137"/>
      <c r="AE1212" s="133"/>
      <c r="AF1212" s="133"/>
      <c r="AG1212" s="133"/>
      <c r="AH1212" s="143">
        <v>0</v>
      </c>
      <c r="AI1212" s="143">
        <v>0</v>
      </c>
      <c r="AJ1212" s="143">
        <v>0</v>
      </c>
      <c r="AK1212" s="143">
        <v>0</v>
      </c>
      <c r="AL1212" s="143">
        <v>7</v>
      </c>
      <c r="AM1212" s="135">
        <v>0</v>
      </c>
      <c r="AN1212" s="135">
        <f t="shared" si="20"/>
        <v>7</v>
      </c>
    </row>
    <row r="1213" spans="1:48" s="135" customFormat="1" x14ac:dyDescent="0.2">
      <c r="A1213" s="133" t="s">
        <v>1024</v>
      </c>
      <c r="B1213" s="133" t="s">
        <v>1019</v>
      </c>
      <c r="C1213" s="133">
        <v>9</v>
      </c>
      <c r="D1213" s="133">
        <v>1</v>
      </c>
      <c r="E1213" s="133" t="s">
        <v>834</v>
      </c>
      <c r="F1213" s="138">
        <v>43369</v>
      </c>
      <c r="G1213" s="136" t="s">
        <v>4032</v>
      </c>
      <c r="H1213" s="136" t="s">
        <v>4724</v>
      </c>
      <c r="I1213" s="148">
        <v>3.3333333333333333E-2</v>
      </c>
      <c r="J1213" s="174">
        <v>5.5555555555555556E-4</v>
      </c>
      <c r="K1213" s="139">
        <v>48</v>
      </c>
      <c r="L1213" s="133" t="s">
        <v>398</v>
      </c>
      <c r="M1213" s="133" t="s">
        <v>466</v>
      </c>
      <c r="N1213" s="133" t="s">
        <v>187</v>
      </c>
      <c r="O1213" s="133" t="s">
        <v>23</v>
      </c>
      <c r="P1213" s="133">
        <v>1</v>
      </c>
      <c r="Q1213" s="133"/>
      <c r="R1213" s="133">
        <v>1</v>
      </c>
      <c r="S1213" s="133" t="s">
        <v>598</v>
      </c>
      <c r="T1213" s="133" t="s">
        <v>1012</v>
      </c>
      <c r="U1213" s="133" t="s">
        <v>122</v>
      </c>
      <c r="V1213" s="133" t="s">
        <v>2068</v>
      </c>
      <c r="W1213" s="140" t="s">
        <v>23</v>
      </c>
      <c r="X1213" s="140" t="s">
        <v>3997</v>
      </c>
      <c r="Y1213" s="140" t="s">
        <v>4005</v>
      </c>
      <c r="Z1213" s="133"/>
      <c r="AA1213" s="133"/>
      <c r="AB1213" s="133">
        <v>10</v>
      </c>
      <c r="AC1213" s="134">
        <v>63.739829999999998</v>
      </c>
      <c r="AD1213" s="134">
        <v>148.90535</v>
      </c>
      <c r="AE1213" s="133"/>
      <c r="AF1213" s="133"/>
      <c r="AG1213" s="133"/>
      <c r="AH1213" s="139">
        <v>0</v>
      </c>
      <c r="AI1213" s="139">
        <v>0</v>
      </c>
      <c r="AJ1213" s="139">
        <v>0</v>
      </c>
      <c r="AK1213" s="139">
        <v>0</v>
      </c>
      <c r="AL1213" s="139">
        <v>0</v>
      </c>
      <c r="AM1213" s="133">
        <v>0</v>
      </c>
      <c r="AN1213" s="133">
        <f t="shared" si="20"/>
        <v>0</v>
      </c>
      <c r="AO1213" s="133"/>
      <c r="AP1213" s="133" t="s">
        <v>1269</v>
      </c>
      <c r="AQ1213" s="133"/>
      <c r="AR1213" s="133"/>
    </row>
    <row r="1214" spans="1:48" s="135" customFormat="1" x14ac:dyDescent="0.2">
      <c r="A1214" s="133" t="s">
        <v>1025</v>
      </c>
      <c r="B1214" s="133" t="s">
        <v>1026</v>
      </c>
      <c r="C1214" s="133">
        <v>10</v>
      </c>
      <c r="D1214" s="133">
        <v>1</v>
      </c>
      <c r="E1214" s="133" t="s">
        <v>834</v>
      </c>
      <c r="F1214" s="138">
        <v>43369</v>
      </c>
      <c r="G1214" s="136" t="s">
        <v>4032</v>
      </c>
      <c r="H1214" s="136" t="s">
        <v>4724</v>
      </c>
      <c r="I1214" s="148">
        <v>1.7361111111111112E-2</v>
      </c>
      <c r="J1214" s="174">
        <v>2.8935185185185189E-4</v>
      </c>
      <c r="K1214" s="139">
        <v>25</v>
      </c>
      <c r="L1214" s="133" t="s">
        <v>398</v>
      </c>
      <c r="M1214" s="133" t="s">
        <v>466</v>
      </c>
      <c r="N1214" s="133" t="s">
        <v>111</v>
      </c>
      <c r="O1214" s="133" t="s">
        <v>12</v>
      </c>
      <c r="P1214" s="133">
        <v>0</v>
      </c>
      <c r="Q1214" s="133"/>
      <c r="R1214" s="133">
        <v>1</v>
      </c>
      <c r="S1214" s="133" t="s">
        <v>598</v>
      </c>
      <c r="T1214" s="133" t="s">
        <v>1012</v>
      </c>
      <c r="U1214" s="133" t="s">
        <v>115</v>
      </c>
      <c r="V1214" s="133" t="s">
        <v>1027</v>
      </c>
      <c r="W1214" s="140" t="s">
        <v>23</v>
      </c>
      <c r="X1214" s="140" t="s">
        <v>3997</v>
      </c>
      <c r="Y1214" s="140" t="s">
        <v>4005</v>
      </c>
      <c r="Z1214" s="133"/>
      <c r="AA1214" s="133"/>
      <c r="AB1214" s="133" t="s">
        <v>24</v>
      </c>
      <c r="AC1214" s="134">
        <v>63.740020000000001</v>
      </c>
      <c r="AD1214" s="134">
        <v>148.90588</v>
      </c>
      <c r="AE1214" s="133"/>
      <c r="AF1214" s="133"/>
      <c r="AG1214" s="133"/>
      <c r="AH1214" s="139">
        <v>0</v>
      </c>
      <c r="AI1214" s="139">
        <v>0</v>
      </c>
      <c r="AJ1214" s="139">
        <v>0</v>
      </c>
      <c r="AK1214" s="139">
        <v>0</v>
      </c>
      <c r="AL1214" s="139">
        <v>0</v>
      </c>
      <c r="AM1214" s="133">
        <v>0</v>
      </c>
      <c r="AN1214" s="133">
        <f t="shared" si="20"/>
        <v>0</v>
      </c>
      <c r="AO1214" s="133"/>
      <c r="AP1214" s="133" t="s">
        <v>1028</v>
      </c>
      <c r="AQ1214" s="133"/>
      <c r="AR1214" s="133"/>
    </row>
    <row r="1215" spans="1:48" s="133" customFormat="1" x14ac:dyDescent="0.2">
      <c r="A1215" s="133" t="s">
        <v>1029</v>
      </c>
      <c r="B1215" s="133" t="s">
        <v>1030</v>
      </c>
      <c r="C1215" s="133">
        <v>11</v>
      </c>
      <c r="D1215" s="133">
        <v>1</v>
      </c>
      <c r="E1215" s="133" t="s">
        <v>834</v>
      </c>
      <c r="F1215" s="138">
        <v>43369</v>
      </c>
      <c r="G1215" s="136" t="s">
        <v>4032</v>
      </c>
      <c r="H1215" s="136" t="s">
        <v>4724</v>
      </c>
      <c r="I1215" s="148">
        <v>1.1805555555555555E-2</v>
      </c>
      <c r="J1215" s="174">
        <v>1.9675925925925926E-4</v>
      </c>
      <c r="K1215" s="139">
        <v>17</v>
      </c>
      <c r="L1215" s="133" t="s">
        <v>398</v>
      </c>
      <c r="M1215" s="133" t="s">
        <v>466</v>
      </c>
      <c r="N1215" s="133" t="s">
        <v>111</v>
      </c>
      <c r="O1215" s="133" t="s">
        <v>23</v>
      </c>
      <c r="P1215" s="133">
        <v>0</v>
      </c>
      <c r="R1215" s="133">
        <v>1</v>
      </c>
      <c r="S1215" s="133" t="s">
        <v>176</v>
      </c>
      <c r="T1215" s="133" t="s">
        <v>176</v>
      </c>
      <c r="U1215" s="133" t="s">
        <v>24</v>
      </c>
      <c r="V1215" s="133" t="s">
        <v>1031</v>
      </c>
      <c r="W1215" s="140" t="s">
        <v>23</v>
      </c>
      <c r="X1215" s="140" t="s">
        <v>3997</v>
      </c>
      <c r="Y1215" s="140" t="s">
        <v>4005</v>
      </c>
      <c r="AB1215" s="133" t="s">
        <v>24</v>
      </c>
      <c r="AC1215" s="134">
        <v>63.74024</v>
      </c>
      <c r="AD1215" s="134">
        <v>148.90630999999999</v>
      </c>
      <c r="AH1215" s="139">
        <v>0</v>
      </c>
      <c r="AI1215" s="139">
        <v>0</v>
      </c>
      <c r="AJ1215" s="139">
        <v>0</v>
      </c>
      <c r="AK1215" s="139">
        <v>0</v>
      </c>
      <c r="AL1215" s="139">
        <v>0</v>
      </c>
      <c r="AM1215" s="133">
        <v>0</v>
      </c>
      <c r="AN1215" s="133">
        <f t="shared" si="20"/>
        <v>0</v>
      </c>
      <c r="AP1215" s="133" t="s">
        <v>1032</v>
      </c>
    </row>
    <row r="1216" spans="1:48" s="133" customFormat="1" x14ac:dyDescent="0.2">
      <c r="A1216" s="135" t="s">
        <v>259</v>
      </c>
      <c r="B1216" s="135" t="s">
        <v>945</v>
      </c>
      <c r="C1216" s="135">
        <v>2</v>
      </c>
      <c r="D1216" s="135">
        <v>1</v>
      </c>
      <c r="E1216" s="135" t="s">
        <v>2462</v>
      </c>
      <c r="F1216" s="136">
        <v>43368</v>
      </c>
      <c r="G1216" s="136" t="s">
        <v>4032</v>
      </c>
      <c r="H1216" s="136" t="s">
        <v>4724</v>
      </c>
      <c r="I1216" s="172">
        <v>1.6666666666666666E-2</v>
      </c>
      <c r="J1216" s="175">
        <v>2.7777777777777778E-4</v>
      </c>
      <c r="K1216" s="143">
        <v>24</v>
      </c>
      <c r="L1216" s="135" t="s">
        <v>398</v>
      </c>
      <c r="M1216" s="135" t="s">
        <v>363</v>
      </c>
      <c r="N1216" s="135" t="s">
        <v>102</v>
      </c>
      <c r="O1216" s="135" t="s">
        <v>115</v>
      </c>
      <c r="P1216" s="135">
        <v>1</v>
      </c>
      <c r="Q1216" s="135"/>
      <c r="R1216" s="135">
        <v>0</v>
      </c>
      <c r="S1216" s="133" t="s">
        <v>176</v>
      </c>
      <c r="T1216" s="135" t="s">
        <v>176</v>
      </c>
      <c r="U1216" s="135" t="s">
        <v>122</v>
      </c>
      <c r="V1216" s="135" t="s">
        <v>115</v>
      </c>
      <c r="W1216" s="135" t="s">
        <v>115</v>
      </c>
      <c r="X1216" s="135" t="s">
        <v>115</v>
      </c>
      <c r="Y1216" s="135" t="s">
        <v>115</v>
      </c>
      <c r="AB1216" s="135" t="s">
        <v>115</v>
      </c>
      <c r="AC1216" s="137" t="s">
        <v>115</v>
      </c>
      <c r="AD1216" s="137"/>
      <c r="AH1216" s="143">
        <v>0</v>
      </c>
      <c r="AI1216" s="143">
        <v>0</v>
      </c>
      <c r="AJ1216" s="143">
        <v>0</v>
      </c>
      <c r="AK1216" s="143">
        <v>0</v>
      </c>
      <c r="AL1216" s="143">
        <v>18</v>
      </c>
      <c r="AM1216" s="135">
        <v>0</v>
      </c>
      <c r="AN1216" s="135">
        <f t="shared" si="20"/>
        <v>18</v>
      </c>
      <c r="AO1216" s="135"/>
      <c r="AP1216" s="135"/>
      <c r="AQ1216" s="135"/>
      <c r="AR1216" s="135"/>
    </row>
    <row r="1217" spans="1:48" s="133" customFormat="1" x14ac:dyDescent="0.2">
      <c r="A1217" s="133" t="s">
        <v>361</v>
      </c>
      <c r="B1217" s="133" t="s">
        <v>362</v>
      </c>
      <c r="C1217" s="133">
        <v>1</v>
      </c>
      <c r="D1217" s="133">
        <v>1</v>
      </c>
      <c r="E1217" s="133" t="s">
        <v>2462</v>
      </c>
      <c r="F1217" s="138">
        <v>43349</v>
      </c>
      <c r="G1217" s="136" t="s">
        <v>4032</v>
      </c>
      <c r="H1217" s="136" t="s">
        <v>4724</v>
      </c>
      <c r="I1217" s="148">
        <v>1.6666666666666666E-2</v>
      </c>
      <c r="J1217" s="174">
        <v>2.7777777777777778E-4</v>
      </c>
      <c r="K1217" s="139">
        <v>24</v>
      </c>
      <c r="L1217" s="133" t="s">
        <v>398</v>
      </c>
      <c r="M1217" s="133" t="s">
        <v>363</v>
      </c>
      <c r="N1217" s="133" t="s">
        <v>107</v>
      </c>
      <c r="O1217" s="133" t="s">
        <v>23</v>
      </c>
      <c r="P1217" s="133">
        <v>1</v>
      </c>
      <c r="R1217" s="133">
        <v>0</v>
      </c>
      <c r="S1217" s="133" t="s">
        <v>3955</v>
      </c>
      <c r="T1217" s="133" t="s">
        <v>360</v>
      </c>
      <c r="U1217" s="133" t="s">
        <v>160</v>
      </c>
      <c r="V1217" s="133" t="s">
        <v>134</v>
      </c>
      <c r="W1217" s="135" t="s">
        <v>115</v>
      </c>
      <c r="X1217" s="135" t="s">
        <v>115</v>
      </c>
      <c r="Y1217" s="135" t="s">
        <v>115</v>
      </c>
      <c r="AB1217" s="144" t="s">
        <v>176</v>
      </c>
      <c r="AC1217" s="134" t="s">
        <v>246</v>
      </c>
      <c r="AD1217" s="134"/>
      <c r="AH1217" s="133">
        <v>0</v>
      </c>
      <c r="AI1217" s="133">
        <v>0</v>
      </c>
      <c r="AJ1217" s="133">
        <v>0</v>
      </c>
      <c r="AK1217" s="133">
        <v>0</v>
      </c>
      <c r="AL1217" s="133">
        <v>0</v>
      </c>
      <c r="AM1217" s="133">
        <v>0</v>
      </c>
      <c r="AN1217" s="133">
        <f t="shared" si="20"/>
        <v>0</v>
      </c>
      <c r="AP1217" s="133" t="s">
        <v>4903</v>
      </c>
      <c r="AS1217" s="135"/>
      <c r="AT1217" s="135"/>
      <c r="AU1217" s="135"/>
      <c r="AV1217" s="135"/>
    </row>
    <row r="1218" spans="1:48" s="133" customFormat="1" x14ac:dyDescent="0.2">
      <c r="A1218" s="133" t="s">
        <v>369</v>
      </c>
      <c r="B1218" s="133" t="s">
        <v>879</v>
      </c>
      <c r="C1218" s="133">
        <v>4</v>
      </c>
      <c r="D1218" s="133">
        <v>1</v>
      </c>
      <c r="E1218" s="133" t="s">
        <v>2462</v>
      </c>
      <c r="F1218" s="138">
        <v>43349</v>
      </c>
      <c r="G1218" s="136" t="s">
        <v>4032</v>
      </c>
      <c r="H1218" s="136" t="s">
        <v>4724</v>
      </c>
      <c r="I1218" s="148">
        <v>1.6666666666666666E-2</v>
      </c>
      <c r="J1218" s="174">
        <v>2.7777777777777778E-4</v>
      </c>
      <c r="K1218" s="139">
        <v>24</v>
      </c>
      <c r="L1218" s="133" t="s">
        <v>398</v>
      </c>
      <c r="M1218" s="133" t="s">
        <v>363</v>
      </c>
      <c r="N1218" s="133" t="s">
        <v>102</v>
      </c>
      <c r="O1218" s="133" t="s">
        <v>12</v>
      </c>
      <c r="P1218" s="133" t="s">
        <v>24</v>
      </c>
      <c r="R1218" s="133">
        <v>0</v>
      </c>
      <c r="T1218" s="133" t="s">
        <v>115</v>
      </c>
      <c r="U1218" s="133" t="s">
        <v>115</v>
      </c>
      <c r="V1218" s="133" t="s">
        <v>115</v>
      </c>
      <c r="W1218" s="135" t="s">
        <v>115</v>
      </c>
      <c r="X1218" s="135" t="s">
        <v>115</v>
      </c>
      <c r="Y1218" s="135" t="s">
        <v>115</v>
      </c>
      <c r="AB1218" s="133" t="s">
        <v>115</v>
      </c>
      <c r="AC1218" s="134" t="s">
        <v>115</v>
      </c>
      <c r="AD1218" s="134"/>
      <c r="AH1218" s="133">
        <v>17</v>
      </c>
      <c r="AI1218" s="133">
        <v>0</v>
      </c>
      <c r="AJ1218" s="133">
        <v>0</v>
      </c>
      <c r="AK1218" s="133">
        <v>17</v>
      </c>
      <c r="AL1218" s="133">
        <v>0</v>
      </c>
      <c r="AM1218" s="133">
        <v>0</v>
      </c>
      <c r="AN1218" s="133">
        <f t="shared" si="20"/>
        <v>17</v>
      </c>
      <c r="AO1218" s="133" t="s">
        <v>165</v>
      </c>
      <c r="AQ1218" s="133">
        <v>1</v>
      </c>
      <c r="AR1218" s="133">
        <v>0</v>
      </c>
    </row>
    <row r="1219" spans="1:48" s="133" customFormat="1" x14ac:dyDescent="0.2">
      <c r="A1219" s="133" t="s">
        <v>379</v>
      </c>
      <c r="B1219" s="133" t="s">
        <v>380</v>
      </c>
      <c r="C1219" s="133">
        <v>8</v>
      </c>
      <c r="D1219" s="133">
        <v>1</v>
      </c>
      <c r="E1219" s="133" t="s">
        <v>2462</v>
      </c>
      <c r="F1219" s="138">
        <v>43349</v>
      </c>
      <c r="G1219" s="136" t="s">
        <v>4032</v>
      </c>
      <c r="H1219" s="136" t="s">
        <v>4724</v>
      </c>
      <c r="I1219" s="148">
        <v>1.8749999999999999E-2</v>
      </c>
      <c r="J1219" s="174">
        <v>3.1250000000000001E-4</v>
      </c>
      <c r="K1219" s="139">
        <v>27</v>
      </c>
      <c r="L1219" s="133" t="s">
        <v>398</v>
      </c>
      <c r="M1219" s="133" t="s">
        <v>363</v>
      </c>
      <c r="N1219" s="133" t="s">
        <v>111</v>
      </c>
      <c r="O1219" s="133" t="s">
        <v>23</v>
      </c>
      <c r="P1219" s="133">
        <v>1</v>
      </c>
      <c r="R1219" s="133">
        <v>1</v>
      </c>
      <c r="S1219" s="133" t="s">
        <v>112</v>
      </c>
      <c r="T1219" s="133" t="s">
        <v>112</v>
      </c>
      <c r="U1219" s="133" t="s">
        <v>381</v>
      </c>
      <c r="V1219" s="133" t="s">
        <v>1035</v>
      </c>
      <c r="W1219" s="135" t="s">
        <v>23</v>
      </c>
      <c r="X1219" s="135" t="s">
        <v>3997</v>
      </c>
      <c r="Y1219" s="135" t="s">
        <v>4006</v>
      </c>
      <c r="AB1219" s="133" t="s">
        <v>176</v>
      </c>
      <c r="AC1219" s="134">
        <v>63.731670000000001</v>
      </c>
      <c r="AD1219" s="134">
        <v>148.89604</v>
      </c>
      <c r="AH1219" s="133">
        <v>0</v>
      </c>
      <c r="AI1219" s="133">
        <v>0</v>
      </c>
      <c r="AJ1219" s="133">
        <v>0</v>
      </c>
      <c r="AK1219" s="133">
        <v>0</v>
      </c>
      <c r="AL1219" s="133">
        <v>0</v>
      </c>
      <c r="AM1219" s="133">
        <v>0</v>
      </c>
      <c r="AN1219" s="133">
        <f t="shared" si="20"/>
        <v>0</v>
      </c>
      <c r="AP1219" s="133" t="s">
        <v>382</v>
      </c>
    </row>
    <row r="1220" spans="1:48" s="133" customFormat="1" x14ac:dyDescent="0.2">
      <c r="A1220" s="133" t="s">
        <v>383</v>
      </c>
      <c r="B1220" s="133" t="s">
        <v>384</v>
      </c>
      <c r="C1220" s="133">
        <v>9</v>
      </c>
      <c r="D1220" s="133">
        <v>1</v>
      </c>
      <c r="E1220" s="133" t="s">
        <v>2462</v>
      </c>
      <c r="F1220" s="138">
        <v>43349</v>
      </c>
      <c r="G1220" s="136" t="s">
        <v>4032</v>
      </c>
      <c r="H1220" s="136" t="s">
        <v>4724</v>
      </c>
      <c r="I1220" s="148">
        <v>7.6388888888888886E-3</v>
      </c>
      <c r="J1220" s="174">
        <v>1.273148148148148E-4</v>
      </c>
      <c r="K1220" s="139">
        <v>11</v>
      </c>
      <c r="L1220" s="133" t="s">
        <v>398</v>
      </c>
      <c r="M1220" s="133" t="s">
        <v>363</v>
      </c>
      <c r="N1220" s="133" t="s">
        <v>102</v>
      </c>
      <c r="O1220" s="133" t="s">
        <v>115</v>
      </c>
      <c r="P1220" s="133">
        <v>1</v>
      </c>
      <c r="R1220" s="133">
        <v>0</v>
      </c>
      <c r="S1220" s="133" t="s">
        <v>112</v>
      </c>
      <c r="T1220" s="133" t="s">
        <v>112</v>
      </c>
      <c r="U1220" s="133" t="s">
        <v>122</v>
      </c>
      <c r="V1220" s="133" t="s">
        <v>115</v>
      </c>
      <c r="W1220" s="135" t="s">
        <v>115</v>
      </c>
      <c r="X1220" s="135" t="s">
        <v>115</v>
      </c>
      <c r="Y1220" s="135" t="s">
        <v>115</v>
      </c>
      <c r="AB1220" s="133" t="s">
        <v>115</v>
      </c>
      <c r="AC1220" s="134" t="s">
        <v>115</v>
      </c>
      <c r="AD1220" s="134"/>
      <c r="AH1220" s="133">
        <v>0</v>
      </c>
      <c r="AI1220" s="133">
        <v>0</v>
      </c>
      <c r="AJ1220" s="133">
        <v>0</v>
      </c>
      <c r="AK1220" s="133">
        <v>0</v>
      </c>
      <c r="AL1220" s="133">
        <v>0</v>
      </c>
      <c r="AM1220" s="133">
        <v>0</v>
      </c>
      <c r="AN1220" s="133">
        <f t="shared" si="20"/>
        <v>0</v>
      </c>
      <c r="AP1220" s="133" t="s">
        <v>385</v>
      </c>
    </row>
    <row r="1221" spans="1:48" s="133" customFormat="1" x14ac:dyDescent="0.2">
      <c r="A1221" s="135" t="s">
        <v>386</v>
      </c>
      <c r="B1221" s="135" t="s">
        <v>387</v>
      </c>
      <c r="C1221" s="135">
        <v>10</v>
      </c>
      <c r="D1221" s="135">
        <v>1</v>
      </c>
      <c r="E1221" s="135" t="s">
        <v>2462</v>
      </c>
      <c r="F1221" s="136">
        <v>43349</v>
      </c>
      <c r="G1221" s="136" t="s">
        <v>4032</v>
      </c>
      <c r="H1221" s="136" t="s">
        <v>4724</v>
      </c>
      <c r="I1221" s="172">
        <v>3.8194444444444441E-2</v>
      </c>
      <c r="J1221" s="175">
        <v>6.3657407407407402E-4</v>
      </c>
      <c r="K1221" s="143">
        <v>55</v>
      </c>
      <c r="L1221" s="135" t="s">
        <v>398</v>
      </c>
      <c r="M1221" s="135" t="s">
        <v>363</v>
      </c>
      <c r="N1221" s="135" t="s">
        <v>102</v>
      </c>
      <c r="O1221" s="135" t="s">
        <v>115</v>
      </c>
      <c r="P1221" s="135">
        <v>2</v>
      </c>
      <c r="Q1221" s="135"/>
      <c r="R1221" s="135">
        <v>0</v>
      </c>
      <c r="S1221" s="133" t="s">
        <v>112</v>
      </c>
      <c r="T1221" s="135" t="s">
        <v>112</v>
      </c>
      <c r="U1221" s="135" t="s">
        <v>122</v>
      </c>
      <c r="V1221" s="135" t="s">
        <v>115</v>
      </c>
      <c r="W1221" s="135" t="s">
        <v>115</v>
      </c>
      <c r="X1221" s="135" t="s">
        <v>115</v>
      </c>
      <c r="Y1221" s="135" t="s">
        <v>115</v>
      </c>
      <c r="Z1221" s="135"/>
      <c r="AA1221" s="135"/>
      <c r="AB1221" s="135" t="s">
        <v>115</v>
      </c>
      <c r="AC1221" s="137" t="s">
        <v>115</v>
      </c>
      <c r="AD1221" s="137"/>
      <c r="AE1221" s="135"/>
      <c r="AF1221" s="135"/>
      <c r="AG1221" s="135"/>
      <c r="AH1221" s="135">
        <v>0</v>
      </c>
      <c r="AI1221" s="135">
        <v>0</v>
      </c>
      <c r="AJ1221" s="135">
        <v>0</v>
      </c>
      <c r="AK1221" s="135">
        <v>0</v>
      </c>
      <c r="AL1221" s="135">
        <v>27</v>
      </c>
      <c r="AM1221" s="135">
        <v>0</v>
      </c>
      <c r="AN1221" s="135">
        <f t="shared" si="20"/>
        <v>27</v>
      </c>
      <c r="AO1221" s="135"/>
      <c r="AP1221" s="135" t="s">
        <v>388</v>
      </c>
      <c r="AQ1221" s="135"/>
      <c r="AR1221" s="135"/>
    </row>
    <row r="1222" spans="1:48" s="135" customFormat="1" x14ac:dyDescent="0.2">
      <c r="A1222" s="133" t="s">
        <v>389</v>
      </c>
      <c r="B1222" s="133" t="s">
        <v>390</v>
      </c>
      <c r="C1222" s="133">
        <v>11</v>
      </c>
      <c r="D1222" s="133">
        <v>1</v>
      </c>
      <c r="E1222" s="133" t="s">
        <v>2462</v>
      </c>
      <c r="F1222" s="138">
        <v>43349</v>
      </c>
      <c r="G1222" s="136" t="s">
        <v>4032</v>
      </c>
      <c r="H1222" s="136" t="s">
        <v>4724</v>
      </c>
      <c r="I1222" s="148">
        <v>1.7361111111111112E-2</v>
      </c>
      <c r="J1222" s="174">
        <v>2.8935185185185189E-4</v>
      </c>
      <c r="K1222" s="139">
        <v>25</v>
      </c>
      <c r="L1222" s="133" t="s">
        <v>398</v>
      </c>
      <c r="M1222" s="133" t="s">
        <v>363</v>
      </c>
      <c r="N1222" s="133" t="s">
        <v>111</v>
      </c>
      <c r="O1222" s="133" t="s">
        <v>23</v>
      </c>
      <c r="P1222" s="133">
        <v>0</v>
      </c>
      <c r="Q1222" s="133"/>
      <c r="R1222" s="133">
        <v>1</v>
      </c>
      <c r="S1222" s="133" t="s">
        <v>112</v>
      </c>
      <c r="T1222" s="133" t="s">
        <v>112</v>
      </c>
      <c r="U1222" s="133" t="s">
        <v>115</v>
      </c>
      <c r="V1222" s="133" t="s">
        <v>333</v>
      </c>
      <c r="W1222" s="135" t="s">
        <v>23</v>
      </c>
      <c r="X1222" s="135" t="s">
        <v>3999</v>
      </c>
      <c r="Y1222" s="135" t="s">
        <v>4006</v>
      </c>
      <c r="Z1222" s="133"/>
      <c r="AA1222" s="133"/>
      <c r="AB1222" s="133" t="s">
        <v>176</v>
      </c>
      <c r="AC1222" s="134">
        <v>63.731639999999999</v>
      </c>
      <c r="AD1222" s="134">
        <v>148.89586</v>
      </c>
      <c r="AE1222" s="133"/>
      <c r="AF1222" s="133"/>
      <c r="AG1222" s="133"/>
      <c r="AH1222" s="133">
        <v>0</v>
      </c>
      <c r="AI1222" s="133">
        <v>0</v>
      </c>
      <c r="AJ1222" s="133">
        <v>0</v>
      </c>
      <c r="AK1222" s="133">
        <v>0</v>
      </c>
      <c r="AL1222" s="133">
        <v>0</v>
      </c>
      <c r="AM1222" s="133">
        <v>0</v>
      </c>
      <c r="AN1222" s="133">
        <f t="shared" si="20"/>
        <v>0</v>
      </c>
      <c r="AO1222" s="133"/>
      <c r="AP1222" s="133" t="s">
        <v>391</v>
      </c>
      <c r="AQ1222" s="133"/>
      <c r="AR1222" s="133"/>
      <c r="AS1222" s="133"/>
      <c r="AT1222" s="133"/>
      <c r="AU1222" s="133"/>
      <c r="AV1222" s="133"/>
    </row>
    <row r="1223" spans="1:48" s="133" customFormat="1" x14ac:dyDescent="0.2">
      <c r="A1223" s="135" t="s">
        <v>432</v>
      </c>
      <c r="B1223" s="135" t="s">
        <v>433</v>
      </c>
      <c r="C1223" s="135">
        <v>4</v>
      </c>
      <c r="D1223" s="135">
        <v>1</v>
      </c>
      <c r="E1223" s="135" t="s">
        <v>2462</v>
      </c>
      <c r="F1223" s="136">
        <v>43350</v>
      </c>
      <c r="G1223" s="136" t="s">
        <v>4032</v>
      </c>
      <c r="H1223" s="136" t="s">
        <v>4724</v>
      </c>
      <c r="I1223" s="172">
        <v>1.0416666666666666E-2</v>
      </c>
      <c r="J1223" s="175">
        <v>1.7361111111111112E-4</v>
      </c>
      <c r="K1223" s="143">
        <v>15</v>
      </c>
      <c r="L1223" s="135" t="s">
        <v>398</v>
      </c>
      <c r="M1223" s="135" t="s">
        <v>363</v>
      </c>
      <c r="N1223" s="135" t="s">
        <v>102</v>
      </c>
      <c r="O1223" s="135" t="s">
        <v>115</v>
      </c>
      <c r="P1223" s="135">
        <v>1</v>
      </c>
      <c r="Q1223" s="135"/>
      <c r="R1223" s="135">
        <v>0</v>
      </c>
      <c r="S1223" s="133" t="s">
        <v>112</v>
      </c>
      <c r="T1223" s="135" t="s">
        <v>425</v>
      </c>
      <c r="U1223" s="135" t="s">
        <v>122</v>
      </c>
      <c r="V1223" s="135" t="s">
        <v>115</v>
      </c>
      <c r="W1223" s="135" t="s">
        <v>115</v>
      </c>
      <c r="X1223" s="135" t="s">
        <v>115</v>
      </c>
      <c r="Y1223" s="135" t="s">
        <v>115</v>
      </c>
      <c r="AB1223" s="135" t="s">
        <v>115</v>
      </c>
      <c r="AC1223" s="137" t="s">
        <v>115</v>
      </c>
      <c r="AD1223" s="137"/>
      <c r="AH1223" s="143">
        <v>0</v>
      </c>
      <c r="AI1223" s="143">
        <v>0</v>
      </c>
      <c r="AJ1223" s="143">
        <v>0</v>
      </c>
      <c r="AK1223" s="143">
        <v>0</v>
      </c>
      <c r="AL1223" s="143">
        <v>15</v>
      </c>
      <c r="AM1223" s="135">
        <v>0</v>
      </c>
      <c r="AN1223" s="135">
        <f t="shared" si="20"/>
        <v>15</v>
      </c>
      <c r="AO1223" s="135"/>
      <c r="AP1223" s="135"/>
      <c r="AQ1223" s="135"/>
      <c r="AR1223" s="135"/>
    </row>
    <row r="1224" spans="1:48" s="135" customFormat="1" x14ac:dyDescent="0.2">
      <c r="A1224" s="133" t="s">
        <v>434</v>
      </c>
      <c r="B1224" s="133" t="s">
        <v>435</v>
      </c>
      <c r="C1224" s="133">
        <v>5</v>
      </c>
      <c r="D1224" s="133">
        <v>1</v>
      </c>
      <c r="E1224" s="133" t="s">
        <v>2462</v>
      </c>
      <c r="F1224" s="138">
        <v>43350</v>
      </c>
      <c r="G1224" s="136" t="s">
        <v>4032</v>
      </c>
      <c r="H1224" s="136" t="s">
        <v>4724</v>
      </c>
      <c r="I1224" s="148">
        <v>6.458333333333334E-2</v>
      </c>
      <c r="J1224" s="174">
        <v>1.0763888888888889E-3</v>
      </c>
      <c r="K1224" s="139">
        <v>93</v>
      </c>
      <c r="L1224" s="133" t="s">
        <v>398</v>
      </c>
      <c r="M1224" s="133" t="s">
        <v>363</v>
      </c>
      <c r="N1224" s="133" t="s">
        <v>102</v>
      </c>
      <c r="O1224" s="133" t="s">
        <v>23</v>
      </c>
      <c r="P1224" s="133">
        <v>1</v>
      </c>
      <c r="Q1224" s="133"/>
      <c r="R1224" s="133">
        <v>0</v>
      </c>
      <c r="S1224" s="133" t="s">
        <v>112</v>
      </c>
      <c r="T1224" s="133" t="s">
        <v>425</v>
      </c>
      <c r="U1224" s="133" t="s">
        <v>115</v>
      </c>
      <c r="V1224" s="133" t="s">
        <v>115</v>
      </c>
      <c r="W1224" s="135" t="s">
        <v>115</v>
      </c>
      <c r="X1224" s="135" t="s">
        <v>115</v>
      </c>
      <c r="Y1224" s="135" t="s">
        <v>115</v>
      </c>
      <c r="AB1224" s="133" t="s">
        <v>115</v>
      </c>
      <c r="AC1224" s="134" t="s">
        <v>115</v>
      </c>
      <c r="AD1224" s="134"/>
      <c r="AH1224" s="139">
        <v>0</v>
      </c>
      <c r="AI1224" s="139">
        <v>0</v>
      </c>
      <c r="AJ1224" s="139">
        <v>0</v>
      </c>
      <c r="AK1224" s="139">
        <v>0</v>
      </c>
      <c r="AL1224" s="139">
        <v>0</v>
      </c>
      <c r="AM1224" s="133">
        <v>0</v>
      </c>
      <c r="AN1224" s="133">
        <f t="shared" si="20"/>
        <v>0</v>
      </c>
      <c r="AO1224" s="133"/>
      <c r="AP1224" s="133" t="s">
        <v>431</v>
      </c>
      <c r="AQ1224" s="133"/>
      <c r="AR1224" s="133"/>
    </row>
    <row r="1225" spans="1:48" s="133" customFormat="1" x14ac:dyDescent="0.2">
      <c r="A1225" s="135" t="s">
        <v>436</v>
      </c>
      <c r="B1225" s="135" t="s">
        <v>437</v>
      </c>
      <c r="C1225" s="135">
        <v>6</v>
      </c>
      <c r="D1225" s="135">
        <v>1</v>
      </c>
      <c r="E1225" s="135" t="s">
        <v>2462</v>
      </c>
      <c r="F1225" s="136">
        <v>43350</v>
      </c>
      <c r="G1225" s="136" t="s">
        <v>4032</v>
      </c>
      <c r="H1225" s="136" t="s">
        <v>4724</v>
      </c>
      <c r="I1225" s="172">
        <v>5.5555555555555558E-3</v>
      </c>
      <c r="J1225" s="175">
        <v>9.2592592592592588E-5</v>
      </c>
      <c r="K1225" s="143">
        <v>8</v>
      </c>
      <c r="L1225" s="135" t="s">
        <v>398</v>
      </c>
      <c r="M1225" s="135" t="s">
        <v>363</v>
      </c>
      <c r="N1225" s="135" t="s">
        <v>102</v>
      </c>
      <c r="O1225" s="135" t="s">
        <v>115</v>
      </c>
      <c r="P1225" s="135">
        <v>1</v>
      </c>
      <c r="Q1225" s="135"/>
      <c r="R1225" s="135">
        <v>0</v>
      </c>
      <c r="S1225" s="133" t="s">
        <v>112</v>
      </c>
      <c r="T1225" s="135" t="s">
        <v>425</v>
      </c>
      <c r="U1225" s="135" t="s">
        <v>122</v>
      </c>
      <c r="V1225" s="135" t="s">
        <v>115</v>
      </c>
      <c r="W1225" s="135" t="s">
        <v>115</v>
      </c>
      <c r="X1225" s="135" t="s">
        <v>115</v>
      </c>
      <c r="Y1225" s="135" t="s">
        <v>115</v>
      </c>
      <c r="AB1225" s="135" t="s">
        <v>115</v>
      </c>
      <c r="AC1225" s="137" t="s">
        <v>115</v>
      </c>
      <c r="AD1225" s="137"/>
      <c r="AH1225" s="143">
        <v>0</v>
      </c>
      <c r="AI1225" s="143">
        <v>0</v>
      </c>
      <c r="AJ1225" s="143">
        <v>0</v>
      </c>
      <c r="AK1225" s="143">
        <v>0</v>
      </c>
      <c r="AL1225" s="143">
        <v>9</v>
      </c>
      <c r="AM1225" s="135">
        <v>0</v>
      </c>
      <c r="AN1225" s="135">
        <f t="shared" si="20"/>
        <v>9</v>
      </c>
      <c r="AO1225" s="135"/>
      <c r="AP1225" s="135"/>
      <c r="AQ1225" s="135"/>
      <c r="AR1225" s="135"/>
    </row>
    <row r="1226" spans="1:48" s="133" customFormat="1" x14ac:dyDescent="0.2">
      <c r="A1226" s="133" t="s">
        <v>438</v>
      </c>
      <c r="B1226" s="133" t="s">
        <v>439</v>
      </c>
      <c r="C1226" s="133">
        <v>7</v>
      </c>
      <c r="D1226" s="133">
        <v>1</v>
      </c>
      <c r="E1226" s="133" t="s">
        <v>2462</v>
      </c>
      <c r="F1226" s="138">
        <v>43350</v>
      </c>
      <c r="G1226" s="136" t="s">
        <v>4032</v>
      </c>
      <c r="H1226" s="136" t="s">
        <v>4724</v>
      </c>
      <c r="I1226" s="148">
        <v>5.1388888888888894E-2</v>
      </c>
      <c r="J1226" s="174">
        <v>8.564814814814815E-4</v>
      </c>
      <c r="K1226" s="139">
        <v>74</v>
      </c>
      <c r="L1226" s="133" t="s">
        <v>398</v>
      </c>
      <c r="M1226" s="133" t="s">
        <v>363</v>
      </c>
      <c r="N1226" s="133" t="s">
        <v>102</v>
      </c>
      <c r="O1226" s="133" t="s">
        <v>115</v>
      </c>
      <c r="P1226" s="133">
        <v>1</v>
      </c>
      <c r="R1226" s="133">
        <v>0</v>
      </c>
      <c r="S1226" s="133" t="s">
        <v>598</v>
      </c>
      <c r="T1226" s="133" t="s">
        <v>2108</v>
      </c>
      <c r="U1226" s="133" t="s">
        <v>122</v>
      </c>
      <c r="V1226" s="133" t="s">
        <v>115</v>
      </c>
      <c r="W1226" s="135" t="s">
        <v>115</v>
      </c>
      <c r="X1226" s="135" t="s">
        <v>115</v>
      </c>
      <c r="Y1226" s="135" t="s">
        <v>115</v>
      </c>
      <c r="Z1226" s="135"/>
      <c r="AA1226" s="135"/>
      <c r="AB1226" s="133" t="s">
        <v>115</v>
      </c>
      <c r="AC1226" s="134" t="s">
        <v>115</v>
      </c>
      <c r="AD1226" s="134"/>
      <c r="AE1226" s="135"/>
      <c r="AF1226" s="135"/>
      <c r="AG1226" s="135"/>
      <c r="AH1226" s="139">
        <v>0</v>
      </c>
      <c r="AI1226" s="139">
        <v>0</v>
      </c>
      <c r="AJ1226" s="139">
        <v>0</v>
      </c>
      <c r="AK1226" s="139">
        <v>0</v>
      </c>
      <c r="AL1226" s="139">
        <v>5</v>
      </c>
      <c r="AM1226" s="133">
        <v>0</v>
      </c>
      <c r="AN1226" s="133">
        <f t="shared" si="20"/>
        <v>5</v>
      </c>
    </row>
    <row r="1227" spans="1:48" s="135" customFormat="1" x14ac:dyDescent="0.2">
      <c r="A1227" s="135" t="s">
        <v>438</v>
      </c>
      <c r="B1227" s="135" t="s">
        <v>439</v>
      </c>
      <c r="C1227" s="135">
        <v>7</v>
      </c>
      <c r="D1227" s="135">
        <v>1</v>
      </c>
      <c r="E1227" s="135" t="s">
        <v>2462</v>
      </c>
      <c r="F1227" s="136">
        <v>43350</v>
      </c>
      <c r="G1227" s="136" t="s">
        <v>4032</v>
      </c>
      <c r="H1227" s="136" t="s">
        <v>4724</v>
      </c>
      <c r="I1227" s="172">
        <v>5.1388888888888894E-2</v>
      </c>
      <c r="J1227" s="175">
        <v>8.564814814814815E-4</v>
      </c>
      <c r="K1227" s="143">
        <v>74</v>
      </c>
      <c r="L1227" s="135" t="s">
        <v>398</v>
      </c>
      <c r="M1227" s="135" t="s">
        <v>363</v>
      </c>
      <c r="N1227" s="135" t="s">
        <v>102</v>
      </c>
      <c r="O1227" s="135" t="s">
        <v>115</v>
      </c>
      <c r="P1227" s="135">
        <v>1</v>
      </c>
      <c r="R1227" s="135">
        <v>0</v>
      </c>
      <c r="S1227" s="133" t="s">
        <v>598</v>
      </c>
      <c r="T1227" s="135" t="s">
        <v>2108</v>
      </c>
      <c r="U1227" s="135" t="s">
        <v>122</v>
      </c>
      <c r="V1227" s="135" t="s">
        <v>115</v>
      </c>
      <c r="W1227" s="135" t="s">
        <v>115</v>
      </c>
      <c r="X1227" s="135" t="s">
        <v>115</v>
      </c>
      <c r="Y1227" s="135" t="s">
        <v>115</v>
      </c>
      <c r="Z1227" s="133"/>
      <c r="AA1227" s="133"/>
      <c r="AB1227" s="135" t="s">
        <v>115</v>
      </c>
      <c r="AC1227" s="137" t="s">
        <v>115</v>
      </c>
      <c r="AD1227" s="137"/>
      <c r="AE1227" s="133"/>
      <c r="AF1227" s="133"/>
      <c r="AG1227" s="133"/>
      <c r="AH1227" s="143">
        <v>0</v>
      </c>
      <c r="AI1227" s="143">
        <v>0</v>
      </c>
      <c r="AJ1227" s="143">
        <v>0</v>
      </c>
      <c r="AK1227" s="143">
        <v>0</v>
      </c>
      <c r="AL1227" s="143">
        <v>6</v>
      </c>
      <c r="AM1227" s="135">
        <v>0</v>
      </c>
      <c r="AN1227" s="135">
        <f t="shared" si="20"/>
        <v>6</v>
      </c>
      <c r="AS1227" s="133"/>
      <c r="AT1227" s="133"/>
      <c r="AU1227" s="133"/>
      <c r="AV1227" s="133"/>
    </row>
    <row r="1228" spans="1:48" s="133" customFormat="1" x14ac:dyDescent="0.2">
      <c r="A1228" s="135" t="s">
        <v>440</v>
      </c>
      <c r="B1228" s="135" t="s">
        <v>441</v>
      </c>
      <c r="C1228" s="135">
        <v>8</v>
      </c>
      <c r="D1228" s="135">
        <v>1</v>
      </c>
      <c r="E1228" s="135" t="s">
        <v>2462</v>
      </c>
      <c r="F1228" s="136">
        <v>43350</v>
      </c>
      <c r="G1228" s="136" t="s">
        <v>4032</v>
      </c>
      <c r="H1228" s="136" t="s">
        <v>4724</v>
      </c>
      <c r="I1228" s="172">
        <v>5.5555555555555558E-3</v>
      </c>
      <c r="J1228" s="175">
        <v>9.2592592592592588E-5</v>
      </c>
      <c r="K1228" s="143">
        <v>8</v>
      </c>
      <c r="L1228" s="135" t="s">
        <v>398</v>
      </c>
      <c r="M1228" s="135" t="s">
        <v>363</v>
      </c>
      <c r="N1228" s="135" t="s">
        <v>102</v>
      </c>
      <c r="O1228" s="135" t="s">
        <v>115</v>
      </c>
      <c r="P1228" s="135">
        <v>1</v>
      </c>
      <c r="Q1228" s="135"/>
      <c r="R1228" s="135">
        <v>0</v>
      </c>
      <c r="S1228" s="133" t="s">
        <v>112</v>
      </c>
      <c r="T1228" s="135" t="s">
        <v>112</v>
      </c>
      <c r="U1228" s="135" t="s">
        <v>122</v>
      </c>
      <c r="V1228" s="135" t="s">
        <v>115</v>
      </c>
      <c r="W1228" s="135" t="s">
        <v>115</v>
      </c>
      <c r="X1228" s="135" t="s">
        <v>115</v>
      </c>
      <c r="Y1228" s="135" t="s">
        <v>115</v>
      </c>
      <c r="Z1228" s="135"/>
      <c r="AA1228" s="135"/>
      <c r="AB1228" s="135" t="s">
        <v>115</v>
      </c>
      <c r="AC1228" s="137" t="s">
        <v>115</v>
      </c>
      <c r="AD1228" s="137"/>
      <c r="AE1228" s="135"/>
      <c r="AF1228" s="135"/>
      <c r="AG1228" s="135"/>
      <c r="AH1228" s="143">
        <v>0</v>
      </c>
      <c r="AI1228" s="143">
        <v>0</v>
      </c>
      <c r="AJ1228" s="143">
        <v>0</v>
      </c>
      <c r="AK1228" s="143">
        <v>0</v>
      </c>
      <c r="AL1228" s="143">
        <v>2</v>
      </c>
      <c r="AM1228" s="135">
        <v>0</v>
      </c>
      <c r="AN1228" s="135">
        <f t="shared" si="20"/>
        <v>2</v>
      </c>
      <c r="AO1228" s="135"/>
      <c r="AP1228" s="135"/>
      <c r="AQ1228" s="135"/>
      <c r="AR1228" s="135"/>
      <c r="AS1228" s="135"/>
      <c r="AT1228" s="135"/>
      <c r="AU1228" s="135"/>
      <c r="AV1228" s="135"/>
    </row>
    <row r="1229" spans="1:48" s="135" customFormat="1" x14ac:dyDescent="0.2">
      <c r="A1229" s="135" t="s">
        <v>449</v>
      </c>
      <c r="B1229" s="135" t="s">
        <v>450</v>
      </c>
      <c r="C1229" s="135">
        <v>12</v>
      </c>
      <c r="D1229" s="135">
        <v>1</v>
      </c>
      <c r="E1229" s="135" t="s">
        <v>2462</v>
      </c>
      <c r="F1229" s="136">
        <v>43350</v>
      </c>
      <c r="G1229" s="136" t="s">
        <v>4032</v>
      </c>
      <c r="H1229" s="136" t="s">
        <v>4724</v>
      </c>
      <c r="I1229" s="172">
        <v>6.1111111111111116E-2</v>
      </c>
      <c r="J1229" s="175">
        <v>1.0185185185185186E-3</v>
      </c>
      <c r="K1229" s="143">
        <v>88</v>
      </c>
      <c r="L1229" s="135" t="s">
        <v>398</v>
      </c>
      <c r="M1229" s="135" t="s">
        <v>363</v>
      </c>
      <c r="N1229" s="135" t="s">
        <v>227</v>
      </c>
      <c r="O1229" s="135" t="s">
        <v>23</v>
      </c>
      <c r="P1229" s="135">
        <v>1</v>
      </c>
      <c r="R1229" s="135">
        <v>0</v>
      </c>
      <c r="S1229" s="133" t="s">
        <v>176</v>
      </c>
      <c r="T1229" s="135" t="s">
        <v>176</v>
      </c>
      <c r="U1229" s="135" t="s">
        <v>2141</v>
      </c>
      <c r="V1229" s="135" t="s">
        <v>115</v>
      </c>
      <c r="W1229" s="135" t="s">
        <v>115</v>
      </c>
      <c r="X1229" s="135" t="s">
        <v>115</v>
      </c>
      <c r="Y1229" s="135" t="s">
        <v>115</v>
      </c>
      <c r="AB1229" s="135" t="s">
        <v>115</v>
      </c>
      <c r="AC1229" s="137" t="s">
        <v>115</v>
      </c>
      <c r="AD1229" s="137" t="s">
        <v>115</v>
      </c>
      <c r="AH1229" s="143">
        <v>9</v>
      </c>
      <c r="AI1229" s="143">
        <v>0</v>
      </c>
      <c r="AJ1229" s="143">
        <v>9</v>
      </c>
      <c r="AK1229" s="143">
        <v>0</v>
      </c>
      <c r="AL1229" s="143">
        <v>2</v>
      </c>
      <c r="AM1229" s="135">
        <v>0</v>
      </c>
      <c r="AN1229" s="135">
        <f t="shared" si="20"/>
        <v>11</v>
      </c>
      <c r="AO1229" s="135" t="s">
        <v>150</v>
      </c>
      <c r="AP1229" s="135" t="s">
        <v>2142</v>
      </c>
      <c r="AS1229" s="133"/>
      <c r="AT1229" s="133"/>
      <c r="AU1229" s="133"/>
      <c r="AV1229" s="133"/>
    </row>
    <row r="1230" spans="1:48" s="135" customFormat="1" x14ac:dyDescent="0.2">
      <c r="A1230" s="133" t="s">
        <v>556</v>
      </c>
      <c r="B1230" s="133" t="s">
        <v>557</v>
      </c>
      <c r="C1230" s="133">
        <v>1</v>
      </c>
      <c r="D1230" s="133">
        <v>1</v>
      </c>
      <c r="E1230" s="133" t="s">
        <v>2462</v>
      </c>
      <c r="F1230" s="138">
        <v>43354</v>
      </c>
      <c r="G1230" s="136" t="s">
        <v>4032</v>
      </c>
      <c r="H1230" s="136" t="s">
        <v>4724</v>
      </c>
      <c r="I1230" s="148">
        <v>1.4583333333333332E-2</v>
      </c>
      <c r="J1230" s="174">
        <v>2.4305555555555552E-4</v>
      </c>
      <c r="K1230" s="139">
        <v>21</v>
      </c>
      <c r="L1230" s="133" t="s">
        <v>483</v>
      </c>
      <c r="M1230" s="133" t="s">
        <v>363</v>
      </c>
      <c r="N1230" s="133" t="s">
        <v>159</v>
      </c>
      <c r="O1230" s="133" t="s">
        <v>12</v>
      </c>
      <c r="P1230" s="133">
        <v>0</v>
      </c>
      <c r="Q1230" s="133"/>
      <c r="R1230" s="133">
        <v>1</v>
      </c>
      <c r="S1230" s="133" t="s">
        <v>176</v>
      </c>
      <c r="T1230" s="133" t="s">
        <v>176</v>
      </c>
      <c r="U1230" s="133" t="s">
        <v>24</v>
      </c>
      <c r="V1230" s="133" t="s">
        <v>558</v>
      </c>
      <c r="W1230" s="135" t="s">
        <v>12</v>
      </c>
      <c r="X1230" s="135" t="s">
        <v>4004</v>
      </c>
      <c r="Y1230" s="135" t="s">
        <v>4008</v>
      </c>
      <c r="Z1230" s="133"/>
      <c r="AA1230" s="133"/>
      <c r="AB1230" s="133" t="s">
        <v>24</v>
      </c>
      <c r="AC1230" s="134" t="s">
        <v>246</v>
      </c>
      <c r="AD1230" s="134"/>
      <c r="AE1230" s="133"/>
      <c r="AF1230" s="133"/>
      <c r="AG1230" s="133"/>
      <c r="AH1230" s="139">
        <v>0</v>
      </c>
      <c r="AI1230" s="139">
        <v>0</v>
      </c>
      <c r="AJ1230" s="139">
        <v>0</v>
      </c>
      <c r="AK1230" s="139">
        <v>0</v>
      </c>
      <c r="AL1230" s="139">
        <v>0</v>
      </c>
      <c r="AM1230" s="133">
        <v>0</v>
      </c>
      <c r="AN1230" s="133">
        <f t="shared" si="20"/>
        <v>0</v>
      </c>
      <c r="AO1230" s="133"/>
      <c r="AP1230" s="133"/>
      <c r="AQ1230" s="133"/>
      <c r="AR1230" s="133"/>
      <c r="AS1230" s="133"/>
      <c r="AT1230" s="133"/>
      <c r="AU1230" s="133"/>
      <c r="AV1230" s="133"/>
    </row>
    <row r="1231" spans="1:48" s="133" customFormat="1" x14ac:dyDescent="0.2">
      <c r="A1231" s="133" t="s">
        <v>559</v>
      </c>
      <c r="B1231" s="133" t="s">
        <v>560</v>
      </c>
      <c r="C1231" s="133">
        <v>2</v>
      </c>
      <c r="D1231" s="133">
        <v>1</v>
      </c>
      <c r="E1231" s="133" t="s">
        <v>2462</v>
      </c>
      <c r="F1231" s="138">
        <v>43354</v>
      </c>
      <c r="G1231" s="136" t="s">
        <v>4032</v>
      </c>
      <c r="H1231" s="136" t="s">
        <v>4724</v>
      </c>
      <c r="I1231" s="148">
        <v>2.7777777777777779E-3</v>
      </c>
      <c r="J1231" s="174">
        <v>4.6296296296296294E-5</v>
      </c>
      <c r="K1231" s="139">
        <v>4</v>
      </c>
      <c r="L1231" s="133" t="s">
        <v>483</v>
      </c>
      <c r="M1231" s="133" t="s">
        <v>363</v>
      </c>
      <c r="N1231" s="133" t="s">
        <v>102</v>
      </c>
      <c r="O1231" s="133" t="s">
        <v>23</v>
      </c>
      <c r="P1231" s="133">
        <v>1</v>
      </c>
      <c r="R1231" s="133">
        <v>0</v>
      </c>
      <c r="S1231" s="133" t="s">
        <v>176</v>
      </c>
      <c r="T1231" s="133" t="s">
        <v>176</v>
      </c>
      <c r="U1231" s="133" t="s">
        <v>501</v>
      </c>
      <c r="V1231" s="133" t="s">
        <v>115</v>
      </c>
      <c r="W1231" s="135" t="s">
        <v>115</v>
      </c>
      <c r="X1231" s="135" t="s">
        <v>115</v>
      </c>
      <c r="Y1231" s="135" t="s">
        <v>115</v>
      </c>
      <c r="AB1231" s="133" t="s">
        <v>115</v>
      </c>
      <c r="AC1231" s="134" t="s">
        <v>115</v>
      </c>
      <c r="AD1231" s="134"/>
      <c r="AH1231" s="139">
        <v>0</v>
      </c>
      <c r="AI1231" s="139">
        <v>0</v>
      </c>
      <c r="AJ1231" s="139">
        <v>0</v>
      </c>
      <c r="AK1231" s="139">
        <v>0</v>
      </c>
      <c r="AL1231" s="139">
        <v>0</v>
      </c>
      <c r="AM1231" s="133">
        <v>0</v>
      </c>
      <c r="AN1231" s="133">
        <f t="shared" si="20"/>
        <v>0</v>
      </c>
      <c r="AP1231" s="133" t="s">
        <v>2150</v>
      </c>
      <c r="AS1231" s="135"/>
      <c r="AT1231" s="135"/>
      <c r="AU1231" s="135"/>
      <c r="AV1231" s="135"/>
    </row>
    <row r="1232" spans="1:48" s="133" customFormat="1" x14ac:dyDescent="0.2">
      <c r="A1232" s="133" t="s">
        <v>564</v>
      </c>
      <c r="B1232" s="133" t="s">
        <v>565</v>
      </c>
      <c r="C1232" s="133">
        <v>4</v>
      </c>
      <c r="D1232" s="133">
        <v>1</v>
      </c>
      <c r="E1232" s="133" t="s">
        <v>2462</v>
      </c>
      <c r="F1232" s="138">
        <v>43354</v>
      </c>
      <c r="G1232" s="136" t="s">
        <v>4032</v>
      </c>
      <c r="H1232" s="136" t="s">
        <v>4724</v>
      </c>
      <c r="I1232" s="148">
        <v>1.1111111111111112E-2</v>
      </c>
      <c r="J1232" s="174">
        <v>1.8518518518518518E-4</v>
      </c>
      <c r="K1232" s="139">
        <v>16</v>
      </c>
      <c r="L1232" s="133" t="s">
        <v>483</v>
      </c>
      <c r="M1232" s="133" t="s">
        <v>363</v>
      </c>
      <c r="N1232" s="133" t="s">
        <v>221</v>
      </c>
      <c r="O1232" s="133" t="s">
        <v>12</v>
      </c>
      <c r="P1232" s="133" t="s">
        <v>24</v>
      </c>
      <c r="R1232" s="133">
        <v>0</v>
      </c>
      <c r="S1232" s="133" t="s">
        <v>176</v>
      </c>
      <c r="T1232" s="133" t="s">
        <v>176</v>
      </c>
      <c r="U1232" s="133">
        <v>0</v>
      </c>
      <c r="V1232" s="133" t="s">
        <v>563</v>
      </c>
      <c r="W1232" s="135" t="s">
        <v>115</v>
      </c>
      <c r="X1232" s="135" t="s">
        <v>115</v>
      </c>
      <c r="Y1232" s="135" t="s">
        <v>115</v>
      </c>
      <c r="AB1232" s="133" t="s">
        <v>115</v>
      </c>
      <c r="AC1232" s="134" t="s">
        <v>115</v>
      </c>
      <c r="AD1232" s="134"/>
      <c r="AH1232" s="139">
        <v>0</v>
      </c>
      <c r="AI1232" s="139">
        <v>0</v>
      </c>
      <c r="AJ1232" s="139">
        <v>0</v>
      </c>
      <c r="AK1232" s="139">
        <v>0</v>
      </c>
      <c r="AL1232" s="139">
        <v>0</v>
      </c>
      <c r="AM1232" s="133">
        <v>0</v>
      </c>
      <c r="AN1232" s="133">
        <f t="shared" si="20"/>
        <v>0</v>
      </c>
      <c r="AP1232" s="133" t="s">
        <v>4915</v>
      </c>
    </row>
    <row r="1233" spans="1:48" s="135" customFormat="1" x14ac:dyDescent="0.2">
      <c r="A1233" s="135" t="s">
        <v>566</v>
      </c>
      <c r="B1233" s="135" t="s">
        <v>567</v>
      </c>
      <c r="C1233" s="135">
        <v>5</v>
      </c>
      <c r="D1233" s="135">
        <v>1</v>
      </c>
      <c r="E1233" s="135" t="s">
        <v>2462</v>
      </c>
      <c r="F1233" s="136">
        <v>43354</v>
      </c>
      <c r="G1233" s="136" t="s">
        <v>4032</v>
      </c>
      <c r="H1233" s="136" t="s">
        <v>4724</v>
      </c>
      <c r="I1233" s="172">
        <v>2.013888888888889E-2</v>
      </c>
      <c r="J1233" s="175">
        <v>3.3564814814814812E-4</v>
      </c>
      <c r="K1233" s="143">
        <v>29</v>
      </c>
      <c r="L1233" s="135" t="s">
        <v>483</v>
      </c>
      <c r="M1233" s="135" t="s">
        <v>363</v>
      </c>
      <c r="N1233" s="135" t="s">
        <v>568</v>
      </c>
      <c r="O1233" s="135" t="s">
        <v>115</v>
      </c>
      <c r="P1233" s="135">
        <v>1</v>
      </c>
      <c r="R1233" s="135">
        <v>0</v>
      </c>
      <c r="S1233" s="133" t="s">
        <v>112</v>
      </c>
      <c r="T1233" s="135" t="s">
        <v>112</v>
      </c>
      <c r="U1233" s="135" t="s">
        <v>122</v>
      </c>
      <c r="V1233" s="135" t="s">
        <v>115</v>
      </c>
      <c r="W1233" s="135" t="s">
        <v>115</v>
      </c>
      <c r="X1233" s="135" t="s">
        <v>115</v>
      </c>
      <c r="Y1233" s="135" t="s">
        <v>115</v>
      </c>
      <c r="Z1233" s="133"/>
      <c r="AA1233" s="133"/>
      <c r="AB1233" s="135" t="s">
        <v>115</v>
      </c>
      <c r="AC1233" s="137" t="s">
        <v>115</v>
      </c>
      <c r="AD1233" s="137"/>
      <c r="AE1233" s="133"/>
      <c r="AF1233" s="133"/>
      <c r="AG1233" s="133"/>
      <c r="AH1233" s="143">
        <v>0</v>
      </c>
      <c r="AI1233" s="143">
        <v>0</v>
      </c>
      <c r="AJ1233" s="143">
        <v>0</v>
      </c>
      <c r="AK1233" s="143">
        <v>0</v>
      </c>
      <c r="AL1233" s="143">
        <v>12</v>
      </c>
      <c r="AM1233" s="135">
        <v>0</v>
      </c>
      <c r="AN1233" s="135">
        <f t="shared" si="20"/>
        <v>12</v>
      </c>
      <c r="AP1233" s="135" t="s">
        <v>569</v>
      </c>
      <c r="AS1233" s="133"/>
      <c r="AT1233" s="133"/>
      <c r="AU1233" s="133"/>
      <c r="AV1233" s="133"/>
    </row>
    <row r="1234" spans="1:48" s="133" customFormat="1" x14ac:dyDescent="0.2">
      <c r="A1234" s="133" t="s">
        <v>566</v>
      </c>
      <c r="B1234" s="133" t="s">
        <v>567</v>
      </c>
      <c r="C1234" s="133">
        <v>5</v>
      </c>
      <c r="D1234" s="133">
        <v>2</v>
      </c>
      <c r="E1234" s="133" t="s">
        <v>2462</v>
      </c>
      <c r="F1234" s="138">
        <v>43354</v>
      </c>
      <c r="G1234" s="136" t="s">
        <v>4032</v>
      </c>
      <c r="H1234" s="136" t="s">
        <v>4724</v>
      </c>
      <c r="I1234" s="148">
        <v>2.013888888888889E-2</v>
      </c>
      <c r="J1234" s="174">
        <v>3.3564814814814812E-4</v>
      </c>
      <c r="K1234" s="139">
        <v>29</v>
      </c>
      <c r="L1234" s="133" t="s">
        <v>483</v>
      </c>
      <c r="M1234" s="133" t="s">
        <v>363</v>
      </c>
      <c r="N1234" s="133" t="s">
        <v>568</v>
      </c>
      <c r="O1234" s="133" t="s">
        <v>115</v>
      </c>
      <c r="P1234" s="133">
        <v>1</v>
      </c>
      <c r="R1234" s="133">
        <v>1</v>
      </c>
      <c r="S1234" s="133" t="s">
        <v>112</v>
      </c>
      <c r="T1234" s="133" t="s">
        <v>112</v>
      </c>
      <c r="U1234" s="133" t="s">
        <v>122</v>
      </c>
      <c r="V1234" s="133" t="s">
        <v>1035</v>
      </c>
      <c r="W1234" s="135" t="s">
        <v>23</v>
      </c>
      <c r="X1234" s="135" t="s">
        <v>3997</v>
      </c>
      <c r="Y1234" s="135" t="s">
        <v>4006</v>
      </c>
      <c r="Z1234" s="135"/>
      <c r="AA1234" s="135"/>
      <c r="AB1234" s="133" t="s">
        <v>176</v>
      </c>
      <c r="AC1234" s="134" t="s">
        <v>246</v>
      </c>
      <c r="AD1234" s="134"/>
      <c r="AE1234" s="135"/>
      <c r="AF1234" s="135"/>
      <c r="AG1234" s="135"/>
      <c r="AH1234" s="139">
        <v>0</v>
      </c>
      <c r="AI1234" s="139">
        <v>0</v>
      </c>
      <c r="AJ1234" s="139">
        <v>0</v>
      </c>
      <c r="AK1234" s="139">
        <v>0</v>
      </c>
      <c r="AL1234" s="139">
        <v>0</v>
      </c>
      <c r="AM1234" s="133">
        <v>0</v>
      </c>
      <c r="AN1234" s="133">
        <f t="shared" si="20"/>
        <v>0</v>
      </c>
      <c r="AP1234" s="133" t="s">
        <v>569</v>
      </c>
    </row>
    <row r="1235" spans="1:48" s="133" customFormat="1" x14ac:dyDescent="0.2">
      <c r="A1235" s="133" t="s">
        <v>570</v>
      </c>
      <c r="B1235" s="133" t="s">
        <v>571</v>
      </c>
      <c r="C1235" s="133">
        <v>6</v>
      </c>
      <c r="D1235" s="133">
        <v>1</v>
      </c>
      <c r="E1235" s="133" t="s">
        <v>2462</v>
      </c>
      <c r="F1235" s="138">
        <v>43354</v>
      </c>
      <c r="G1235" s="136" t="s">
        <v>4032</v>
      </c>
      <c r="H1235" s="136" t="s">
        <v>4724</v>
      </c>
      <c r="I1235" s="148">
        <v>2.7083333333333334E-2</v>
      </c>
      <c r="J1235" s="174">
        <v>4.5138888888888892E-4</v>
      </c>
      <c r="K1235" s="139">
        <v>39</v>
      </c>
      <c r="L1235" s="133" t="s">
        <v>483</v>
      </c>
      <c r="M1235" s="133" t="s">
        <v>363</v>
      </c>
      <c r="N1235" s="133" t="s">
        <v>111</v>
      </c>
      <c r="O1235" s="133" t="s">
        <v>12</v>
      </c>
      <c r="P1235" s="133">
        <v>0</v>
      </c>
      <c r="R1235" s="133">
        <v>1</v>
      </c>
      <c r="S1235" s="133" t="s">
        <v>598</v>
      </c>
      <c r="T1235" s="133" t="s">
        <v>2108</v>
      </c>
      <c r="U1235" s="133" t="s">
        <v>24</v>
      </c>
      <c r="V1235" s="133" t="s">
        <v>2063</v>
      </c>
      <c r="W1235" s="135" t="s">
        <v>12</v>
      </c>
      <c r="X1235" s="135" t="s">
        <v>3997</v>
      </c>
      <c r="Y1235" s="135" t="s">
        <v>4001</v>
      </c>
      <c r="AB1235" s="133" t="s">
        <v>176</v>
      </c>
      <c r="AC1235" s="134">
        <v>63.735460000000003</v>
      </c>
      <c r="AD1235" s="134">
        <v>148.89166</v>
      </c>
      <c r="AH1235" s="139">
        <v>0</v>
      </c>
      <c r="AI1235" s="139">
        <v>0</v>
      </c>
      <c r="AJ1235" s="139">
        <v>0</v>
      </c>
      <c r="AK1235" s="139">
        <v>0</v>
      </c>
      <c r="AL1235" s="139">
        <v>0</v>
      </c>
      <c r="AM1235" s="133">
        <v>0</v>
      </c>
      <c r="AN1235" s="133">
        <f t="shared" si="20"/>
        <v>0</v>
      </c>
      <c r="AP1235" s="133" t="s">
        <v>572</v>
      </c>
      <c r="AS1235" s="135"/>
      <c r="AT1235" s="135"/>
      <c r="AU1235" s="135"/>
      <c r="AV1235" s="135"/>
    </row>
    <row r="1236" spans="1:48" s="135" customFormat="1" x14ac:dyDescent="0.2">
      <c r="A1236" s="133" t="s">
        <v>573</v>
      </c>
      <c r="B1236" s="133" t="s">
        <v>574</v>
      </c>
      <c r="C1236" s="133">
        <v>7</v>
      </c>
      <c r="D1236" s="133">
        <v>1</v>
      </c>
      <c r="E1236" s="133" t="s">
        <v>2462</v>
      </c>
      <c r="F1236" s="138">
        <v>43354</v>
      </c>
      <c r="G1236" s="136" t="s">
        <v>4032</v>
      </c>
      <c r="H1236" s="136" t="s">
        <v>4724</v>
      </c>
      <c r="I1236" s="148">
        <v>4.8611111111111112E-3</v>
      </c>
      <c r="J1236" s="174">
        <v>8.1018518518518516E-5</v>
      </c>
      <c r="K1236" s="139">
        <v>7</v>
      </c>
      <c r="L1236" s="133" t="s">
        <v>483</v>
      </c>
      <c r="M1236" s="133" t="s">
        <v>363</v>
      </c>
      <c r="N1236" s="133" t="s">
        <v>227</v>
      </c>
      <c r="O1236" s="133" t="s">
        <v>23</v>
      </c>
      <c r="P1236" s="133">
        <v>1</v>
      </c>
      <c r="Q1236" s="133"/>
      <c r="R1236" s="133">
        <v>0</v>
      </c>
      <c r="S1236" s="133" t="s">
        <v>14</v>
      </c>
      <c r="T1236" s="133" t="s">
        <v>2130</v>
      </c>
      <c r="U1236" s="133" t="s">
        <v>343</v>
      </c>
      <c r="V1236" s="133" t="s">
        <v>115</v>
      </c>
      <c r="W1236" s="135" t="s">
        <v>115</v>
      </c>
      <c r="X1236" s="135" t="s">
        <v>115</v>
      </c>
      <c r="Y1236" s="135" t="s">
        <v>115</v>
      </c>
      <c r="Z1236" s="133"/>
      <c r="AA1236" s="133"/>
      <c r="AB1236" s="134" t="s">
        <v>115</v>
      </c>
      <c r="AC1236" s="134" t="s">
        <v>115</v>
      </c>
      <c r="AD1236" s="134"/>
      <c r="AE1236" s="133"/>
      <c r="AF1236" s="133"/>
      <c r="AG1236" s="133"/>
      <c r="AH1236" s="139">
        <v>0</v>
      </c>
      <c r="AI1236" s="139">
        <v>0</v>
      </c>
      <c r="AJ1236" s="139">
        <v>0</v>
      </c>
      <c r="AK1236" s="139">
        <v>0</v>
      </c>
      <c r="AL1236" s="139">
        <v>0</v>
      </c>
      <c r="AM1236" s="133">
        <v>0</v>
      </c>
      <c r="AN1236" s="133">
        <f t="shared" si="20"/>
        <v>0</v>
      </c>
      <c r="AO1236" s="133"/>
      <c r="AP1236" s="133" t="s">
        <v>575</v>
      </c>
      <c r="AQ1236" s="133"/>
      <c r="AR1236" s="133"/>
    </row>
    <row r="1237" spans="1:48" s="135" customFormat="1" x14ac:dyDescent="0.2">
      <c r="A1237" s="135" t="s">
        <v>671</v>
      </c>
      <c r="B1237" s="135" t="s">
        <v>672</v>
      </c>
      <c r="C1237" s="135">
        <v>1</v>
      </c>
      <c r="D1237" s="135">
        <v>1</v>
      </c>
      <c r="E1237" s="135" t="s">
        <v>2462</v>
      </c>
      <c r="F1237" s="136">
        <v>43357</v>
      </c>
      <c r="G1237" s="136" t="s">
        <v>4032</v>
      </c>
      <c r="H1237" s="136" t="s">
        <v>4724</v>
      </c>
      <c r="I1237" s="172">
        <v>2.6388888888888889E-2</v>
      </c>
      <c r="J1237" s="175">
        <v>4.3981481481481481E-4</v>
      </c>
      <c r="K1237" s="143">
        <v>38</v>
      </c>
      <c r="L1237" s="135" t="s">
        <v>640</v>
      </c>
      <c r="M1237" s="135" t="s">
        <v>363</v>
      </c>
      <c r="N1237" s="135" t="s">
        <v>102</v>
      </c>
      <c r="O1237" s="135" t="s">
        <v>23</v>
      </c>
      <c r="P1237" s="135" t="s">
        <v>24</v>
      </c>
      <c r="R1237" s="135">
        <v>0</v>
      </c>
      <c r="S1237" s="133" t="s">
        <v>176</v>
      </c>
      <c r="T1237" s="135" t="s">
        <v>176</v>
      </c>
      <c r="U1237" s="135" t="s">
        <v>115</v>
      </c>
      <c r="V1237" s="135" t="s">
        <v>115</v>
      </c>
      <c r="W1237" s="135" t="s">
        <v>115</v>
      </c>
      <c r="X1237" s="135" t="s">
        <v>115</v>
      </c>
      <c r="Y1237" s="135" t="s">
        <v>115</v>
      </c>
      <c r="Z1237" s="133"/>
      <c r="AA1237" s="133"/>
      <c r="AB1237" s="135" t="s">
        <v>115</v>
      </c>
      <c r="AC1237" s="137" t="s">
        <v>115</v>
      </c>
      <c r="AD1237" s="137"/>
      <c r="AE1237" s="133"/>
      <c r="AF1237" s="133"/>
      <c r="AG1237" s="133"/>
      <c r="AH1237" s="143">
        <v>0</v>
      </c>
      <c r="AI1237" s="143">
        <v>8</v>
      </c>
      <c r="AJ1237" s="143">
        <v>0</v>
      </c>
      <c r="AK1237" s="143">
        <v>8</v>
      </c>
      <c r="AL1237" s="143">
        <v>10</v>
      </c>
      <c r="AM1237" s="135">
        <v>0</v>
      </c>
      <c r="AN1237" s="135">
        <f t="shared" si="20"/>
        <v>18</v>
      </c>
    </row>
    <row r="1238" spans="1:48" s="135" customFormat="1" x14ac:dyDescent="0.2">
      <c r="A1238" s="133" t="s">
        <v>679</v>
      </c>
      <c r="B1238" s="133" t="s">
        <v>680</v>
      </c>
      <c r="C1238" s="133">
        <v>4</v>
      </c>
      <c r="D1238" s="133">
        <v>1</v>
      </c>
      <c r="E1238" s="133" t="s">
        <v>2462</v>
      </c>
      <c r="F1238" s="138">
        <v>43357</v>
      </c>
      <c r="G1238" s="136" t="s">
        <v>4032</v>
      </c>
      <c r="H1238" s="136" t="s">
        <v>4724</v>
      </c>
      <c r="I1238" s="148">
        <v>4.0972222222222222E-2</v>
      </c>
      <c r="J1238" s="174">
        <v>6.8287037037037025E-4</v>
      </c>
      <c r="K1238" s="139">
        <v>59</v>
      </c>
      <c r="L1238" s="133" t="s">
        <v>640</v>
      </c>
      <c r="M1238" s="133" t="s">
        <v>363</v>
      </c>
      <c r="N1238" s="133" t="s">
        <v>242</v>
      </c>
      <c r="O1238" s="133" t="s">
        <v>23</v>
      </c>
      <c r="P1238" s="133">
        <v>1</v>
      </c>
      <c r="Q1238" s="133"/>
      <c r="R1238" s="133">
        <v>2</v>
      </c>
      <c r="S1238" s="133" t="s">
        <v>1618</v>
      </c>
      <c r="T1238" s="133" t="s">
        <v>1618</v>
      </c>
      <c r="U1238" s="133" t="s">
        <v>24</v>
      </c>
      <c r="V1238" s="133" t="s">
        <v>3963</v>
      </c>
      <c r="W1238" s="140" t="s">
        <v>23</v>
      </c>
      <c r="X1238" s="140" t="s">
        <v>3997</v>
      </c>
      <c r="Y1238" s="140" t="s">
        <v>4007</v>
      </c>
      <c r="Z1238" s="133"/>
      <c r="AA1238" s="133"/>
      <c r="AB1238" s="133" t="s">
        <v>24</v>
      </c>
      <c r="AC1238" s="134">
        <v>63.732939999999999</v>
      </c>
      <c r="AD1238" s="134">
        <v>148.90082000000001</v>
      </c>
      <c r="AE1238" s="133"/>
      <c r="AF1238" s="133"/>
      <c r="AG1238" s="133"/>
      <c r="AH1238" s="139">
        <v>0</v>
      </c>
      <c r="AI1238" s="139">
        <v>0</v>
      </c>
      <c r="AJ1238" s="139">
        <v>0</v>
      </c>
      <c r="AK1238" s="139">
        <v>0</v>
      </c>
      <c r="AL1238" s="139">
        <v>0</v>
      </c>
      <c r="AM1238" s="133">
        <v>0</v>
      </c>
      <c r="AN1238" s="133">
        <f t="shared" si="20"/>
        <v>0</v>
      </c>
      <c r="AO1238" s="133"/>
      <c r="AP1238" s="133"/>
      <c r="AQ1238" s="133"/>
      <c r="AR1238" s="133"/>
      <c r="AS1238" s="133"/>
      <c r="AT1238" s="133"/>
      <c r="AU1238" s="133"/>
      <c r="AV1238" s="133"/>
    </row>
    <row r="1239" spans="1:48" s="135" customFormat="1" x14ac:dyDescent="0.2">
      <c r="A1239" s="133" t="s">
        <v>679</v>
      </c>
      <c r="B1239" s="133" t="s">
        <v>680</v>
      </c>
      <c r="C1239" s="133">
        <v>4</v>
      </c>
      <c r="D1239" s="133">
        <v>2</v>
      </c>
      <c r="E1239" s="133" t="s">
        <v>2462</v>
      </c>
      <c r="F1239" s="138">
        <v>43357</v>
      </c>
      <c r="G1239" s="136" t="s">
        <v>4032</v>
      </c>
      <c r="H1239" s="136" t="s">
        <v>4724</v>
      </c>
      <c r="I1239" s="148">
        <v>4.0972222222222222E-2</v>
      </c>
      <c r="J1239" s="174">
        <v>6.8287037037037025E-4</v>
      </c>
      <c r="K1239" s="139">
        <v>59</v>
      </c>
      <c r="L1239" s="133" t="s">
        <v>640</v>
      </c>
      <c r="M1239" s="133" t="s">
        <v>363</v>
      </c>
      <c r="N1239" s="133" t="s">
        <v>242</v>
      </c>
      <c r="O1239" s="133" t="s">
        <v>23</v>
      </c>
      <c r="P1239" s="133">
        <v>0</v>
      </c>
      <c r="Q1239" s="133"/>
      <c r="R1239" s="133">
        <v>1</v>
      </c>
      <c r="S1239" s="133" t="s">
        <v>1618</v>
      </c>
      <c r="T1239" s="133" t="s">
        <v>1618</v>
      </c>
      <c r="U1239" s="133" t="s">
        <v>24</v>
      </c>
      <c r="V1239" s="133" t="s">
        <v>3963</v>
      </c>
      <c r="W1239" s="135" t="s">
        <v>23</v>
      </c>
      <c r="X1239" s="135" t="s">
        <v>3997</v>
      </c>
      <c r="Y1239" s="135" t="s">
        <v>4007</v>
      </c>
      <c r="Z1239" s="133"/>
      <c r="AA1239" s="133"/>
      <c r="AB1239" s="133" t="s">
        <v>24</v>
      </c>
      <c r="AC1239" s="134">
        <v>63.732930000000003</v>
      </c>
      <c r="AD1239" s="134">
        <v>148.90075999999999</v>
      </c>
      <c r="AE1239" s="133"/>
      <c r="AF1239" s="133"/>
      <c r="AG1239" s="133"/>
      <c r="AH1239" s="139">
        <v>0</v>
      </c>
      <c r="AI1239" s="139">
        <v>0</v>
      </c>
      <c r="AJ1239" s="139">
        <v>0</v>
      </c>
      <c r="AK1239" s="139">
        <v>0</v>
      </c>
      <c r="AL1239" s="139">
        <v>0</v>
      </c>
      <c r="AM1239" s="133">
        <v>0</v>
      </c>
      <c r="AN1239" s="133">
        <f t="shared" si="20"/>
        <v>0</v>
      </c>
      <c r="AO1239" s="133"/>
      <c r="AP1239" s="133"/>
      <c r="AQ1239" s="133"/>
      <c r="AR1239" s="133"/>
    </row>
    <row r="1240" spans="1:48" s="135" customFormat="1" x14ac:dyDescent="0.2">
      <c r="A1240" s="133" t="s">
        <v>681</v>
      </c>
      <c r="B1240" s="133" t="s">
        <v>682</v>
      </c>
      <c r="C1240" s="133">
        <v>5</v>
      </c>
      <c r="D1240" s="133">
        <v>1</v>
      </c>
      <c r="E1240" s="133" t="s">
        <v>2462</v>
      </c>
      <c r="F1240" s="138">
        <v>43357</v>
      </c>
      <c r="G1240" s="136" t="s">
        <v>4032</v>
      </c>
      <c r="H1240" s="136" t="s">
        <v>4724</v>
      </c>
      <c r="I1240" s="148">
        <v>8.3333333333333332E-3</v>
      </c>
      <c r="J1240" s="174">
        <v>1.3888888888888889E-4</v>
      </c>
      <c r="K1240" s="139">
        <v>12</v>
      </c>
      <c r="L1240" s="133" t="s">
        <v>640</v>
      </c>
      <c r="M1240" s="133" t="s">
        <v>363</v>
      </c>
      <c r="N1240" s="133" t="s">
        <v>102</v>
      </c>
      <c r="O1240" s="133" t="s">
        <v>115</v>
      </c>
      <c r="P1240" s="133">
        <v>1</v>
      </c>
      <c r="Q1240" s="133"/>
      <c r="R1240" s="133">
        <v>0</v>
      </c>
      <c r="S1240" s="133" t="s">
        <v>176</v>
      </c>
      <c r="T1240" s="133" t="s">
        <v>683</v>
      </c>
      <c r="U1240" s="133" t="s">
        <v>122</v>
      </c>
      <c r="V1240" s="133" t="s">
        <v>115</v>
      </c>
      <c r="W1240" s="135" t="s">
        <v>115</v>
      </c>
      <c r="X1240" s="135" t="s">
        <v>115</v>
      </c>
      <c r="Y1240" s="135" t="s">
        <v>115</v>
      </c>
      <c r="Z1240" s="133"/>
      <c r="AA1240" s="133"/>
      <c r="AB1240" s="133" t="s">
        <v>115</v>
      </c>
      <c r="AC1240" s="134" t="s">
        <v>115</v>
      </c>
      <c r="AD1240" s="134"/>
      <c r="AE1240" s="133"/>
      <c r="AF1240" s="133"/>
      <c r="AG1240" s="133"/>
      <c r="AH1240" s="139">
        <v>0</v>
      </c>
      <c r="AI1240" s="139">
        <v>0</v>
      </c>
      <c r="AJ1240" s="139">
        <v>0</v>
      </c>
      <c r="AK1240" s="139">
        <v>0</v>
      </c>
      <c r="AL1240" s="139">
        <v>0</v>
      </c>
      <c r="AM1240" s="133">
        <v>0</v>
      </c>
      <c r="AN1240" s="133">
        <f t="shared" si="20"/>
        <v>0</v>
      </c>
      <c r="AO1240" s="133"/>
      <c r="AP1240" s="133"/>
      <c r="AQ1240" s="133"/>
      <c r="AR1240" s="133"/>
      <c r="AS1240" s="133"/>
      <c r="AT1240" s="133"/>
      <c r="AU1240" s="133"/>
      <c r="AV1240" s="133"/>
    </row>
    <row r="1241" spans="1:48" s="135" customFormat="1" x14ac:dyDescent="0.2">
      <c r="A1241" s="133" t="s">
        <v>760</v>
      </c>
      <c r="B1241" s="133" t="s">
        <v>761</v>
      </c>
      <c r="C1241" s="133">
        <v>2</v>
      </c>
      <c r="D1241" s="133">
        <v>1</v>
      </c>
      <c r="E1241" s="133" t="s">
        <v>2462</v>
      </c>
      <c r="F1241" s="138">
        <v>43359</v>
      </c>
      <c r="G1241" s="136" t="s">
        <v>4032</v>
      </c>
      <c r="H1241" s="136" t="s">
        <v>4724</v>
      </c>
      <c r="I1241" s="148">
        <v>1.5277777777777777E-2</v>
      </c>
      <c r="J1241" s="174">
        <v>2.5462962962962961E-4</v>
      </c>
      <c r="K1241" s="139">
        <v>22</v>
      </c>
      <c r="L1241" s="133" t="s">
        <v>398</v>
      </c>
      <c r="M1241" s="133" t="s">
        <v>363</v>
      </c>
      <c r="N1241" s="133" t="s">
        <v>227</v>
      </c>
      <c r="O1241" s="133" t="s">
        <v>23</v>
      </c>
      <c r="P1241" s="133">
        <v>1</v>
      </c>
      <c r="Q1241" s="133"/>
      <c r="R1241" s="133">
        <v>0</v>
      </c>
      <c r="S1241" s="133" t="s">
        <v>176</v>
      </c>
      <c r="T1241" s="133" t="s">
        <v>176</v>
      </c>
      <c r="U1241" s="133" t="s">
        <v>641</v>
      </c>
      <c r="V1241" s="133" t="s">
        <v>115</v>
      </c>
      <c r="W1241" s="135" t="s">
        <v>115</v>
      </c>
      <c r="X1241" s="135" t="s">
        <v>115</v>
      </c>
      <c r="Y1241" s="135" t="s">
        <v>115</v>
      </c>
      <c r="AB1241" s="134" t="s">
        <v>115</v>
      </c>
      <c r="AC1241" s="134" t="s">
        <v>115</v>
      </c>
      <c r="AD1241" s="134"/>
      <c r="AH1241" s="139">
        <v>0</v>
      </c>
      <c r="AI1241" s="139">
        <v>0</v>
      </c>
      <c r="AJ1241" s="139">
        <v>0</v>
      </c>
      <c r="AK1241" s="139">
        <v>0</v>
      </c>
      <c r="AL1241" s="139">
        <v>0</v>
      </c>
      <c r="AM1241" s="133">
        <v>0</v>
      </c>
      <c r="AN1241" s="133">
        <f t="shared" si="20"/>
        <v>0</v>
      </c>
      <c r="AO1241" s="133"/>
      <c r="AP1241" s="133"/>
      <c r="AQ1241" s="133"/>
      <c r="AR1241" s="133"/>
      <c r="AS1241" s="133"/>
      <c r="AT1241" s="133"/>
      <c r="AU1241" s="133"/>
      <c r="AV1241" s="133"/>
    </row>
    <row r="1242" spans="1:48" s="135" customFormat="1" x14ac:dyDescent="0.2">
      <c r="A1242" s="133" t="s">
        <v>762</v>
      </c>
      <c r="B1242" s="133" t="s">
        <v>763</v>
      </c>
      <c r="C1242" s="133">
        <v>3</v>
      </c>
      <c r="D1242" s="133">
        <v>1</v>
      </c>
      <c r="E1242" s="133" t="s">
        <v>2462</v>
      </c>
      <c r="F1242" s="138">
        <v>43359</v>
      </c>
      <c r="G1242" s="136" t="s">
        <v>4032</v>
      </c>
      <c r="H1242" s="136" t="s">
        <v>4724</v>
      </c>
      <c r="I1242" s="148">
        <v>2.0833333333333333E-3</v>
      </c>
      <c r="J1242" s="174">
        <v>3.4722222222222222E-5</v>
      </c>
      <c r="K1242" s="139">
        <v>3</v>
      </c>
      <c r="L1242" s="133" t="s">
        <v>398</v>
      </c>
      <c r="M1242" s="133" t="s">
        <v>363</v>
      </c>
      <c r="N1242" s="133" t="s">
        <v>107</v>
      </c>
      <c r="O1242" s="133" t="s">
        <v>115</v>
      </c>
      <c r="P1242" s="133">
        <v>1</v>
      </c>
      <c r="Q1242" s="133"/>
      <c r="R1242" s="133">
        <v>0</v>
      </c>
      <c r="S1242" s="133" t="s">
        <v>1618</v>
      </c>
      <c r="T1242" s="133" t="s">
        <v>2132</v>
      </c>
      <c r="U1242" s="133" t="s">
        <v>24</v>
      </c>
      <c r="V1242" s="133" t="s">
        <v>115</v>
      </c>
      <c r="W1242" s="135" t="s">
        <v>115</v>
      </c>
      <c r="X1242" s="135" t="s">
        <v>115</v>
      </c>
      <c r="Y1242" s="135" t="s">
        <v>115</v>
      </c>
      <c r="AB1242" s="134" t="s">
        <v>115</v>
      </c>
      <c r="AC1242" s="134" t="s">
        <v>115</v>
      </c>
      <c r="AD1242" s="134"/>
      <c r="AH1242" s="139">
        <v>0</v>
      </c>
      <c r="AI1242" s="139">
        <v>0</v>
      </c>
      <c r="AJ1242" s="139">
        <v>0</v>
      </c>
      <c r="AK1242" s="139">
        <v>0</v>
      </c>
      <c r="AL1242" s="139">
        <v>0</v>
      </c>
      <c r="AM1242" s="133">
        <v>0</v>
      </c>
      <c r="AN1242" s="133">
        <f t="shared" si="20"/>
        <v>0</v>
      </c>
      <c r="AO1242" s="133"/>
      <c r="AP1242" s="133" t="s">
        <v>767</v>
      </c>
      <c r="AQ1242" s="133"/>
      <c r="AR1242" s="133"/>
      <c r="AS1242" s="133"/>
      <c r="AT1242" s="133"/>
      <c r="AU1242" s="133"/>
      <c r="AV1242" s="133"/>
    </row>
    <row r="1243" spans="1:48" s="135" customFormat="1" x14ac:dyDescent="0.2">
      <c r="A1243" s="133" t="s">
        <v>765</v>
      </c>
      <c r="B1243" s="133" t="s">
        <v>766</v>
      </c>
      <c r="C1243" s="133">
        <v>4</v>
      </c>
      <c r="D1243" s="133">
        <v>1</v>
      </c>
      <c r="E1243" s="133" t="s">
        <v>2462</v>
      </c>
      <c r="F1243" s="138">
        <v>43359</v>
      </c>
      <c r="G1243" s="136" t="s">
        <v>4032</v>
      </c>
      <c r="H1243" s="136" t="s">
        <v>4724</v>
      </c>
      <c r="I1243" s="148">
        <v>2.4305555555555556E-2</v>
      </c>
      <c r="J1243" s="174">
        <v>4.0509259259259258E-4</v>
      </c>
      <c r="K1243" s="139">
        <v>35</v>
      </c>
      <c r="L1243" s="133" t="s">
        <v>398</v>
      </c>
      <c r="M1243" s="133" t="s">
        <v>363</v>
      </c>
      <c r="N1243" s="133" t="s">
        <v>227</v>
      </c>
      <c r="O1243" s="133" t="s">
        <v>23</v>
      </c>
      <c r="P1243" s="133">
        <v>1</v>
      </c>
      <c r="Q1243" s="133"/>
      <c r="R1243" s="133">
        <v>0</v>
      </c>
      <c r="S1243" s="133" t="s">
        <v>1618</v>
      </c>
      <c r="T1243" s="133" t="s">
        <v>2132</v>
      </c>
      <c r="U1243" s="133" t="s">
        <v>333</v>
      </c>
      <c r="V1243" s="133" t="s">
        <v>115</v>
      </c>
      <c r="W1243" s="135" t="s">
        <v>115</v>
      </c>
      <c r="X1243" s="135" t="s">
        <v>115</v>
      </c>
      <c r="Y1243" s="135" t="s">
        <v>115</v>
      </c>
      <c r="Z1243" s="133"/>
      <c r="AA1243" s="133"/>
      <c r="AB1243" s="134" t="s">
        <v>115</v>
      </c>
      <c r="AC1243" s="134" t="s">
        <v>115</v>
      </c>
      <c r="AD1243" s="134"/>
      <c r="AE1243" s="133"/>
      <c r="AF1243" s="133"/>
      <c r="AG1243" s="133"/>
      <c r="AH1243" s="139">
        <v>0</v>
      </c>
      <c r="AI1243" s="139">
        <v>0</v>
      </c>
      <c r="AJ1243" s="139">
        <v>0</v>
      </c>
      <c r="AK1243" s="139">
        <v>0</v>
      </c>
      <c r="AL1243" s="139">
        <v>0</v>
      </c>
      <c r="AM1243" s="133">
        <v>0</v>
      </c>
      <c r="AN1243" s="133">
        <f t="shared" si="20"/>
        <v>0</v>
      </c>
      <c r="AO1243" s="133"/>
      <c r="AP1243" s="133" t="s">
        <v>768</v>
      </c>
      <c r="AQ1243" s="133"/>
      <c r="AR1243" s="133"/>
    </row>
    <row r="1244" spans="1:48" s="133" customFormat="1" x14ac:dyDescent="0.2">
      <c r="A1244" s="133" t="s">
        <v>769</v>
      </c>
      <c r="B1244" s="133" t="s">
        <v>770</v>
      </c>
      <c r="C1244" s="133">
        <v>5</v>
      </c>
      <c r="D1244" s="133">
        <v>1</v>
      </c>
      <c r="E1244" s="133" t="s">
        <v>2462</v>
      </c>
      <c r="F1244" s="138">
        <v>43359</v>
      </c>
      <c r="G1244" s="136" t="s">
        <v>4032</v>
      </c>
      <c r="H1244" s="136" t="s">
        <v>4724</v>
      </c>
      <c r="I1244" s="148">
        <v>6.2499999999999995E-3</v>
      </c>
      <c r="J1244" s="174">
        <v>1.0416666666666667E-4</v>
      </c>
      <c r="K1244" s="139">
        <v>9</v>
      </c>
      <c r="L1244" s="133" t="s">
        <v>398</v>
      </c>
      <c r="M1244" s="133" t="s">
        <v>363</v>
      </c>
      <c r="N1244" s="133" t="s">
        <v>107</v>
      </c>
      <c r="O1244" s="133" t="s">
        <v>23</v>
      </c>
      <c r="P1244" s="133">
        <v>1</v>
      </c>
      <c r="R1244" s="133">
        <v>0</v>
      </c>
      <c r="S1244" s="133" t="s">
        <v>1618</v>
      </c>
      <c r="T1244" s="133" t="s">
        <v>2132</v>
      </c>
      <c r="U1244" s="133" t="s">
        <v>115</v>
      </c>
      <c r="V1244" s="133" t="s">
        <v>115</v>
      </c>
      <c r="W1244" s="135" t="s">
        <v>115</v>
      </c>
      <c r="X1244" s="135" t="s">
        <v>115</v>
      </c>
      <c r="Y1244" s="135" t="s">
        <v>115</v>
      </c>
      <c r="AB1244" s="134" t="s">
        <v>115</v>
      </c>
      <c r="AC1244" s="134" t="s">
        <v>115</v>
      </c>
      <c r="AD1244" s="134"/>
      <c r="AH1244" s="139">
        <v>0</v>
      </c>
      <c r="AI1244" s="139">
        <v>0</v>
      </c>
      <c r="AJ1244" s="139">
        <v>0</v>
      </c>
      <c r="AK1244" s="139">
        <v>0</v>
      </c>
      <c r="AL1244" s="139">
        <v>0</v>
      </c>
      <c r="AM1244" s="133">
        <v>0</v>
      </c>
      <c r="AN1244" s="133">
        <f t="shared" si="20"/>
        <v>0</v>
      </c>
      <c r="AP1244" s="133" t="s">
        <v>771</v>
      </c>
    </row>
    <row r="1245" spans="1:48" s="135" customFormat="1" x14ac:dyDescent="0.2">
      <c r="A1245" s="133" t="s">
        <v>773</v>
      </c>
      <c r="B1245" s="133" t="s">
        <v>772</v>
      </c>
      <c r="C1245" s="133">
        <v>6</v>
      </c>
      <c r="D1245" s="133">
        <v>1</v>
      </c>
      <c r="E1245" s="133" t="s">
        <v>2462</v>
      </c>
      <c r="F1245" s="138">
        <v>43359</v>
      </c>
      <c r="G1245" s="136" t="s">
        <v>4032</v>
      </c>
      <c r="H1245" s="136" t="s">
        <v>4724</v>
      </c>
      <c r="I1245" s="148">
        <v>8.3333333333333332E-3</v>
      </c>
      <c r="J1245" s="174">
        <v>1.3888888888888889E-4</v>
      </c>
      <c r="K1245" s="139">
        <v>12</v>
      </c>
      <c r="L1245" s="133" t="s">
        <v>398</v>
      </c>
      <c r="M1245" s="133" t="s">
        <v>363</v>
      </c>
      <c r="N1245" s="133" t="s">
        <v>107</v>
      </c>
      <c r="O1245" s="133" t="s">
        <v>115</v>
      </c>
      <c r="P1245" s="133">
        <v>0</v>
      </c>
      <c r="Q1245" s="133"/>
      <c r="R1245" s="133">
        <v>0</v>
      </c>
      <c r="S1245" s="133" t="s">
        <v>1618</v>
      </c>
      <c r="T1245" s="133" t="s">
        <v>2132</v>
      </c>
      <c r="U1245" s="133" t="s">
        <v>115</v>
      </c>
      <c r="V1245" s="133" t="s">
        <v>115</v>
      </c>
      <c r="W1245" s="135" t="s">
        <v>115</v>
      </c>
      <c r="X1245" s="135" t="s">
        <v>115</v>
      </c>
      <c r="Y1245" s="135" t="s">
        <v>115</v>
      </c>
      <c r="Z1245" s="133"/>
      <c r="AA1245" s="133"/>
      <c r="AB1245" s="134" t="s">
        <v>115</v>
      </c>
      <c r="AC1245" s="134" t="s">
        <v>115</v>
      </c>
      <c r="AD1245" s="134"/>
      <c r="AE1245" s="133"/>
      <c r="AF1245" s="133"/>
      <c r="AG1245" s="133"/>
      <c r="AH1245" s="139">
        <v>0</v>
      </c>
      <c r="AI1245" s="139">
        <v>0</v>
      </c>
      <c r="AJ1245" s="139">
        <v>0</v>
      </c>
      <c r="AK1245" s="139">
        <v>0</v>
      </c>
      <c r="AL1245" s="139">
        <v>0</v>
      </c>
      <c r="AM1245" s="133">
        <v>0</v>
      </c>
      <c r="AN1245" s="133">
        <f t="shared" si="20"/>
        <v>0</v>
      </c>
      <c r="AO1245" s="133"/>
      <c r="AP1245" s="133" t="s">
        <v>771</v>
      </c>
      <c r="AQ1245" s="133"/>
      <c r="AR1245" s="133"/>
      <c r="AS1245" s="133"/>
      <c r="AT1245" s="133"/>
      <c r="AU1245" s="133"/>
      <c r="AV1245" s="133"/>
    </row>
    <row r="1246" spans="1:48" s="133" customFormat="1" x14ac:dyDescent="0.2">
      <c r="A1246" s="133" t="s">
        <v>774</v>
      </c>
      <c r="B1246" s="133" t="s">
        <v>775</v>
      </c>
      <c r="C1246" s="133">
        <v>7</v>
      </c>
      <c r="D1246" s="133">
        <v>1</v>
      </c>
      <c r="E1246" s="133" t="s">
        <v>2462</v>
      </c>
      <c r="F1246" s="138">
        <v>43359</v>
      </c>
      <c r="G1246" s="136" t="s">
        <v>4032</v>
      </c>
      <c r="H1246" s="136" t="s">
        <v>4724</v>
      </c>
      <c r="I1246" s="148">
        <v>1.8055555555555557E-2</v>
      </c>
      <c r="J1246" s="174">
        <v>3.0092592592592595E-4</v>
      </c>
      <c r="K1246" s="139">
        <v>26</v>
      </c>
      <c r="L1246" s="133" t="s">
        <v>398</v>
      </c>
      <c r="M1246" s="133" t="s">
        <v>363</v>
      </c>
      <c r="N1246" s="133" t="s">
        <v>242</v>
      </c>
      <c r="O1246" s="133" t="s">
        <v>23</v>
      </c>
      <c r="P1246" s="133">
        <v>0</v>
      </c>
      <c r="R1246" s="133">
        <v>1</v>
      </c>
      <c r="S1246" s="133" t="s">
        <v>1618</v>
      </c>
      <c r="T1246" s="133" t="s">
        <v>2132</v>
      </c>
      <c r="U1246" s="133" t="s">
        <v>115</v>
      </c>
      <c r="V1246" s="133" t="s">
        <v>776</v>
      </c>
      <c r="W1246" s="135" t="s">
        <v>23</v>
      </c>
      <c r="X1246" s="135" t="s">
        <v>24</v>
      </c>
      <c r="Y1246" s="135" t="s">
        <v>4008</v>
      </c>
      <c r="AB1246" s="133" t="s">
        <v>176</v>
      </c>
      <c r="AC1246" s="134">
        <v>63.733759999999997</v>
      </c>
      <c r="AD1246" s="134">
        <v>148.89946</v>
      </c>
      <c r="AH1246" s="139">
        <v>0</v>
      </c>
      <c r="AI1246" s="139">
        <v>0</v>
      </c>
      <c r="AJ1246" s="139">
        <v>0</v>
      </c>
      <c r="AK1246" s="139">
        <v>0</v>
      </c>
      <c r="AL1246" s="139">
        <v>0</v>
      </c>
      <c r="AM1246" s="133">
        <v>0</v>
      </c>
      <c r="AN1246" s="133">
        <f t="shared" si="20"/>
        <v>0</v>
      </c>
      <c r="AP1246" s="133" t="s">
        <v>771</v>
      </c>
      <c r="AS1246" s="135"/>
      <c r="AT1246" s="135"/>
      <c r="AU1246" s="135"/>
      <c r="AV1246" s="135"/>
    </row>
    <row r="1247" spans="1:48" s="133" customFormat="1" x14ac:dyDescent="0.2">
      <c r="A1247" s="133" t="s">
        <v>777</v>
      </c>
      <c r="B1247" s="133" t="s">
        <v>778</v>
      </c>
      <c r="C1247" s="133">
        <v>8</v>
      </c>
      <c r="D1247" s="133">
        <v>1</v>
      </c>
      <c r="E1247" s="133" t="s">
        <v>2462</v>
      </c>
      <c r="F1247" s="138">
        <v>43359</v>
      </c>
      <c r="G1247" s="136" t="s">
        <v>4032</v>
      </c>
      <c r="H1247" s="136" t="s">
        <v>4724</v>
      </c>
      <c r="I1247" s="148">
        <v>2.4305555555555556E-2</v>
      </c>
      <c r="J1247" s="174">
        <v>4.0509259259259258E-4</v>
      </c>
      <c r="K1247" s="139">
        <v>35</v>
      </c>
      <c r="L1247" s="133" t="s">
        <v>398</v>
      </c>
      <c r="M1247" s="133" t="s">
        <v>363</v>
      </c>
      <c r="N1247" s="133" t="s">
        <v>102</v>
      </c>
      <c r="O1247" s="133" t="s">
        <v>23</v>
      </c>
      <c r="P1247" s="133" t="s">
        <v>24</v>
      </c>
      <c r="R1247" s="133">
        <v>0</v>
      </c>
      <c r="T1247" s="133" t="s">
        <v>115</v>
      </c>
      <c r="U1247" s="133" t="s">
        <v>115</v>
      </c>
      <c r="V1247" s="133" t="s">
        <v>115</v>
      </c>
      <c r="W1247" s="135" t="s">
        <v>115</v>
      </c>
      <c r="X1247" s="135" t="s">
        <v>115</v>
      </c>
      <c r="Y1247" s="135" t="s">
        <v>115</v>
      </c>
      <c r="AB1247" s="134" t="s">
        <v>115</v>
      </c>
      <c r="AC1247" s="134" t="s">
        <v>115</v>
      </c>
      <c r="AD1247" s="134"/>
      <c r="AH1247" s="139">
        <v>0</v>
      </c>
      <c r="AI1247" s="139">
        <v>13</v>
      </c>
      <c r="AJ1247" s="139">
        <v>9</v>
      </c>
      <c r="AK1247" s="139">
        <v>4</v>
      </c>
      <c r="AL1247" s="139">
        <v>0</v>
      </c>
      <c r="AM1247" s="133">
        <v>0</v>
      </c>
      <c r="AN1247" s="133">
        <f t="shared" si="20"/>
        <v>13</v>
      </c>
      <c r="AO1247" s="133" t="s">
        <v>16</v>
      </c>
      <c r="AP1247" s="133" t="s">
        <v>779</v>
      </c>
      <c r="AQ1247" s="133">
        <v>0</v>
      </c>
      <c r="AR1247" s="133">
        <v>1</v>
      </c>
    </row>
    <row r="1248" spans="1:48" s="135" customFormat="1" x14ac:dyDescent="0.2">
      <c r="A1248" s="133" t="s">
        <v>942</v>
      </c>
      <c r="B1248" s="133" t="s">
        <v>943</v>
      </c>
      <c r="C1248" s="133">
        <v>1</v>
      </c>
      <c r="D1248" s="133">
        <v>1</v>
      </c>
      <c r="E1248" s="133" t="s">
        <v>2462</v>
      </c>
      <c r="F1248" s="138">
        <v>43368</v>
      </c>
      <c r="G1248" s="136" t="s">
        <v>4032</v>
      </c>
      <c r="H1248" s="136" t="s">
        <v>4724</v>
      </c>
      <c r="I1248" s="148">
        <v>6.9444444444444441E-3</v>
      </c>
      <c r="J1248" s="174">
        <v>1.1574074074074073E-4</v>
      </c>
      <c r="K1248" s="139">
        <v>10</v>
      </c>
      <c r="L1248" s="133" t="s">
        <v>398</v>
      </c>
      <c r="M1248" s="133" t="s">
        <v>363</v>
      </c>
      <c r="N1248" s="133" t="s">
        <v>228</v>
      </c>
      <c r="O1248" s="133" t="s">
        <v>23</v>
      </c>
      <c r="P1248" s="133">
        <v>1</v>
      </c>
      <c r="Q1248" s="133"/>
      <c r="R1248" s="133">
        <v>0</v>
      </c>
      <c r="S1248" s="133" t="s">
        <v>176</v>
      </c>
      <c r="T1248" s="133" t="s">
        <v>176</v>
      </c>
      <c r="U1248" s="133" t="s">
        <v>907</v>
      </c>
      <c r="V1248" s="133" t="s">
        <v>115</v>
      </c>
      <c r="W1248" s="135" t="s">
        <v>115</v>
      </c>
      <c r="X1248" s="135" t="s">
        <v>115</v>
      </c>
      <c r="Y1248" s="135" t="s">
        <v>115</v>
      </c>
      <c r="AB1248" s="133" t="s">
        <v>115</v>
      </c>
      <c r="AC1248" s="134" t="s">
        <v>115</v>
      </c>
      <c r="AD1248" s="134"/>
      <c r="AH1248" s="139">
        <v>0</v>
      </c>
      <c r="AI1248" s="139">
        <v>0</v>
      </c>
      <c r="AJ1248" s="139">
        <v>0</v>
      </c>
      <c r="AK1248" s="139">
        <v>0</v>
      </c>
      <c r="AL1248" s="139">
        <v>0</v>
      </c>
      <c r="AM1248" s="133">
        <v>0</v>
      </c>
      <c r="AN1248" s="133">
        <f t="shared" si="20"/>
        <v>0</v>
      </c>
      <c r="AO1248" s="133"/>
      <c r="AP1248" s="133" t="s">
        <v>944</v>
      </c>
      <c r="AQ1248" s="133"/>
      <c r="AR1248" s="133"/>
      <c r="AS1248" s="133"/>
      <c r="AT1248" s="133"/>
      <c r="AU1248" s="133"/>
      <c r="AV1248" s="133"/>
    </row>
    <row r="1249" spans="1:48" s="135" customFormat="1" x14ac:dyDescent="0.2">
      <c r="A1249" s="133" t="s">
        <v>946</v>
      </c>
      <c r="B1249" s="133" t="s">
        <v>947</v>
      </c>
      <c r="C1249" s="133">
        <v>3</v>
      </c>
      <c r="D1249" s="133">
        <v>1</v>
      </c>
      <c r="E1249" s="133" t="s">
        <v>2462</v>
      </c>
      <c r="F1249" s="138">
        <v>43368</v>
      </c>
      <c r="G1249" s="136" t="s">
        <v>4032</v>
      </c>
      <c r="H1249" s="136" t="s">
        <v>4724</v>
      </c>
      <c r="I1249" s="148">
        <v>3.2638888888888891E-2</v>
      </c>
      <c r="J1249" s="174">
        <v>5.4398148148148144E-4</v>
      </c>
      <c r="K1249" s="139">
        <v>47</v>
      </c>
      <c r="L1249" s="133" t="s">
        <v>398</v>
      </c>
      <c r="M1249" s="133" t="s">
        <v>363</v>
      </c>
      <c r="N1249" s="133" t="s">
        <v>228</v>
      </c>
      <c r="O1249" s="133" t="s">
        <v>23</v>
      </c>
      <c r="P1249" s="133">
        <v>1</v>
      </c>
      <c r="Q1249" s="133"/>
      <c r="R1249" s="133">
        <v>0</v>
      </c>
      <c r="S1249" s="133" t="s">
        <v>176</v>
      </c>
      <c r="T1249" s="133" t="s">
        <v>176</v>
      </c>
      <c r="U1249" s="133" t="s">
        <v>948</v>
      </c>
      <c r="V1249" s="133" t="s">
        <v>115</v>
      </c>
      <c r="W1249" s="135" t="s">
        <v>115</v>
      </c>
      <c r="X1249" s="135" t="s">
        <v>115</v>
      </c>
      <c r="Y1249" s="135" t="s">
        <v>115</v>
      </c>
      <c r="Z1249" s="133"/>
      <c r="AA1249" s="133"/>
      <c r="AB1249" s="133" t="s">
        <v>115</v>
      </c>
      <c r="AC1249" s="134" t="s">
        <v>115</v>
      </c>
      <c r="AD1249" s="134"/>
      <c r="AE1249" s="133"/>
      <c r="AF1249" s="133"/>
      <c r="AG1249" s="133"/>
      <c r="AH1249" s="139">
        <v>0</v>
      </c>
      <c r="AI1249" s="139">
        <v>0</v>
      </c>
      <c r="AJ1249" s="139">
        <v>0</v>
      </c>
      <c r="AK1249" s="139">
        <v>0</v>
      </c>
      <c r="AL1249" s="139">
        <v>0</v>
      </c>
      <c r="AM1249" s="133">
        <v>0</v>
      </c>
      <c r="AN1249" s="133">
        <f t="shared" si="20"/>
        <v>0</v>
      </c>
      <c r="AO1249" s="133"/>
      <c r="AP1249" s="133"/>
      <c r="AQ1249" s="133"/>
      <c r="AR1249" s="133"/>
      <c r="AU1249" s="135" t="s">
        <v>3949</v>
      </c>
    </row>
    <row r="1250" spans="1:48" s="133" customFormat="1" x14ac:dyDescent="0.2">
      <c r="A1250" s="133" t="s">
        <v>960</v>
      </c>
      <c r="B1250" s="133" t="s">
        <v>961</v>
      </c>
      <c r="C1250" s="133">
        <v>8</v>
      </c>
      <c r="D1250" s="133">
        <v>1</v>
      </c>
      <c r="E1250" s="133" t="s">
        <v>2462</v>
      </c>
      <c r="F1250" s="138">
        <v>43368</v>
      </c>
      <c r="G1250" s="136" t="s">
        <v>4032</v>
      </c>
      <c r="H1250" s="136" t="s">
        <v>4724</v>
      </c>
      <c r="I1250" s="148">
        <v>1.4583333333333332E-2</v>
      </c>
      <c r="J1250" s="174">
        <v>2.4305555555555552E-4</v>
      </c>
      <c r="K1250" s="139">
        <v>21</v>
      </c>
      <c r="L1250" s="133" t="s">
        <v>398</v>
      </c>
      <c r="M1250" s="133" t="s">
        <v>363</v>
      </c>
      <c r="N1250" s="133" t="s">
        <v>111</v>
      </c>
      <c r="O1250" s="133" t="s">
        <v>23</v>
      </c>
      <c r="P1250" s="133">
        <v>0</v>
      </c>
      <c r="R1250" s="133">
        <v>1</v>
      </c>
      <c r="S1250" s="133" t="s">
        <v>1618</v>
      </c>
      <c r="T1250" s="133" t="s">
        <v>1618</v>
      </c>
      <c r="U1250" s="133" t="s">
        <v>24</v>
      </c>
      <c r="V1250" s="133" t="s">
        <v>1264</v>
      </c>
      <c r="W1250" s="135" t="s">
        <v>23</v>
      </c>
      <c r="X1250" s="135" t="s">
        <v>3999</v>
      </c>
      <c r="Y1250" s="135" t="s">
        <v>4006</v>
      </c>
      <c r="Z1250" s="135"/>
      <c r="AA1250" s="135"/>
      <c r="AB1250" s="133" t="s">
        <v>24</v>
      </c>
      <c r="AC1250" s="134">
        <v>63.732529999999997</v>
      </c>
      <c r="AD1250" s="134">
        <v>148.89622</v>
      </c>
      <c r="AE1250" s="135"/>
      <c r="AF1250" s="135"/>
      <c r="AG1250" s="135"/>
      <c r="AH1250" s="139">
        <v>0</v>
      </c>
      <c r="AI1250" s="139">
        <v>0</v>
      </c>
      <c r="AJ1250" s="139">
        <v>0</v>
      </c>
      <c r="AK1250" s="139">
        <v>0</v>
      </c>
      <c r="AL1250" s="139">
        <v>0</v>
      </c>
      <c r="AM1250" s="133">
        <v>0</v>
      </c>
      <c r="AN1250" s="133">
        <f t="shared" si="20"/>
        <v>0</v>
      </c>
      <c r="AP1250" s="133" t="s">
        <v>4972</v>
      </c>
      <c r="AS1250" s="135"/>
      <c r="AT1250" s="135"/>
      <c r="AU1250" s="135"/>
      <c r="AV1250" s="135"/>
    </row>
    <row r="1251" spans="1:48" s="133" customFormat="1" x14ac:dyDescent="0.2">
      <c r="A1251" s="135" t="s">
        <v>353</v>
      </c>
      <c r="B1251" s="135" t="s">
        <v>354</v>
      </c>
      <c r="C1251" s="135">
        <v>1</v>
      </c>
      <c r="D1251" s="135">
        <v>1</v>
      </c>
      <c r="E1251" s="135" t="s">
        <v>3171</v>
      </c>
      <c r="F1251" s="136">
        <v>43349</v>
      </c>
      <c r="G1251" s="136" t="s">
        <v>4032</v>
      </c>
      <c r="H1251" s="136" t="s">
        <v>4724</v>
      </c>
      <c r="I1251" s="172">
        <v>2.7777777777777776E-2</v>
      </c>
      <c r="J1251" s="175">
        <v>4.6296296296296293E-4</v>
      </c>
      <c r="K1251" s="143">
        <v>40</v>
      </c>
      <c r="L1251" s="135" t="s">
        <v>398</v>
      </c>
      <c r="M1251" s="135" t="s">
        <v>230</v>
      </c>
      <c r="N1251" s="135" t="s">
        <v>102</v>
      </c>
      <c r="O1251" s="135" t="s">
        <v>115</v>
      </c>
      <c r="P1251" s="135">
        <v>1</v>
      </c>
      <c r="Q1251" s="135"/>
      <c r="R1251" s="135">
        <v>0</v>
      </c>
      <c r="S1251" s="133" t="s">
        <v>598</v>
      </c>
      <c r="T1251" s="135" t="s">
        <v>2108</v>
      </c>
      <c r="U1251" s="135" t="s">
        <v>122</v>
      </c>
      <c r="V1251" s="135" t="s">
        <v>115</v>
      </c>
      <c r="W1251" s="135" t="s">
        <v>115</v>
      </c>
      <c r="X1251" s="135" t="s">
        <v>115</v>
      </c>
      <c r="Y1251" s="135" t="s">
        <v>115</v>
      </c>
      <c r="Z1251" s="135"/>
      <c r="AA1251" s="135"/>
      <c r="AB1251" s="135" t="s">
        <v>115</v>
      </c>
      <c r="AC1251" s="137" t="s">
        <v>115</v>
      </c>
      <c r="AD1251" s="137"/>
      <c r="AE1251" s="135"/>
      <c r="AF1251" s="135"/>
      <c r="AG1251" s="135"/>
      <c r="AH1251" s="135">
        <v>0</v>
      </c>
      <c r="AI1251" s="135">
        <v>0</v>
      </c>
      <c r="AJ1251" s="135">
        <v>0</v>
      </c>
      <c r="AK1251" s="135">
        <v>0</v>
      </c>
      <c r="AL1251" s="135">
        <v>28</v>
      </c>
      <c r="AM1251" s="135">
        <v>0</v>
      </c>
      <c r="AN1251" s="135">
        <f t="shared" si="20"/>
        <v>28</v>
      </c>
      <c r="AO1251" s="135" t="s">
        <v>103</v>
      </c>
      <c r="AP1251" s="135"/>
      <c r="AQ1251" s="135"/>
      <c r="AR1251" s="135"/>
    </row>
    <row r="1252" spans="1:48" s="133" customFormat="1" x14ac:dyDescent="0.2">
      <c r="A1252" s="133" t="s">
        <v>355</v>
      </c>
      <c r="B1252" s="133" t="s">
        <v>356</v>
      </c>
      <c r="C1252" s="133">
        <v>2</v>
      </c>
      <c r="D1252" s="133">
        <v>1</v>
      </c>
      <c r="E1252" s="133" t="s">
        <v>3171</v>
      </c>
      <c r="F1252" s="138">
        <v>43349</v>
      </c>
      <c r="G1252" s="136" t="s">
        <v>4032</v>
      </c>
      <c r="H1252" s="136" t="s">
        <v>4724</v>
      </c>
      <c r="I1252" s="148">
        <v>9.0277777777777787E-3</v>
      </c>
      <c r="J1252" s="174">
        <v>1.5046296296296297E-4</v>
      </c>
      <c r="K1252" s="139">
        <v>13</v>
      </c>
      <c r="L1252" s="133" t="s">
        <v>398</v>
      </c>
      <c r="M1252" s="133" t="s">
        <v>230</v>
      </c>
      <c r="N1252" s="133" t="s">
        <v>107</v>
      </c>
      <c r="O1252" s="133" t="s">
        <v>23</v>
      </c>
      <c r="P1252" s="133">
        <v>1</v>
      </c>
      <c r="R1252" s="133">
        <v>0</v>
      </c>
      <c r="S1252" s="133" t="s">
        <v>598</v>
      </c>
      <c r="T1252" s="133" t="s">
        <v>598</v>
      </c>
      <c r="U1252" s="133" t="s">
        <v>24</v>
      </c>
      <c r="V1252" s="133" t="s">
        <v>115</v>
      </c>
      <c r="W1252" s="135" t="s">
        <v>115</v>
      </c>
      <c r="X1252" s="135" t="s">
        <v>115</v>
      </c>
      <c r="Y1252" s="135" t="s">
        <v>115</v>
      </c>
      <c r="AB1252" s="133" t="s">
        <v>115</v>
      </c>
      <c r="AC1252" s="134" t="s">
        <v>115</v>
      </c>
      <c r="AD1252" s="134"/>
      <c r="AH1252" s="133">
        <v>0</v>
      </c>
      <c r="AI1252" s="133">
        <v>0</v>
      </c>
      <c r="AJ1252" s="133">
        <v>0</v>
      </c>
      <c r="AK1252" s="133">
        <v>0</v>
      </c>
      <c r="AL1252" s="133">
        <v>0</v>
      </c>
      <c r="AM1252" s="133">
        <v>0</v>
      </c>
      <c r="AN1252" s="133">
        <f t="shared" si="20"/>
        <v>0</v>
      </c>
      <c r="AP1252" s="133" t="s">
        <v>357</v>
      </c>
    </row>
    <row r="1253" spans="1:48" s="135" customFormat="1" x14ac:dyDescent="0.2">
      <c r="A1253" s="133" t="s">
        <v>358</v>
      </c>
      <c r="B1253" s="133" t="s">
        <v>359</v>
      </c>
      <c r="C1253" s="133">
        <v>3</v>
      </c>
      <c r="D1253" s="133">
        <v>1</v>
      </c>
      <c r="E1253" s="133" t="s">
        <v>3171</v>
      </c>
      <c r="F1253" s="138">
        <v>43349</v>
      </c>
      <c r="G1253" s="136" t="s">
        <v>4032</v>
      </c>
      <c r="H1253" s="136" t="s">
        <v>4724</v>
      </c>
      <c r="I1253" s="148">
        <v>3.472222222222222E-3</v>
      </c>
      <c r="J1253" s="174">
        <v>5.7870370370370366E-5</v>
      </c>
      <c r="K1253" s="139">
        <v>5</v>
      </c>
      <c r="L1253" s="133" t="s">
        <v>398</v>
      </c>
      <c r="M1253" s="133" t="s">
        <v>230</v>
      </c>
      <c r="N1253" s="133" t="s">
        <v>107</v>
      </c>
      <c r="O1253" s="133" t="s">
        <v>23</v>
      </c>
      <c r="P1253" s="133">
        <v>1</v>
      </c>
      <c r="Q1253" s="133"/>
      <c r="R1253" s="133">
        <v>0</v>
      </c>
      <c r="S1253" s="133" t="s">
        <v>176</v>
      </c>
      <c r="T1253" s="133" t="s">
        <v>176</v>
      </c>
      <c r="U1253" s="133" t="s">
        <v>24</v>
      </c>
      <c r="V1253" s="133" t="s">
        <v>115</v>
      </c>
      <c r="W1253" s="135" t="s">
        <v>115</v>
      </c>
      <c r="X1253" s="135" t="s">
        <v>115</v>
      </c>
      <c r="Y1253" s="135" t="s">
        <v>115</v>
      </c>
      <c r="Z1253" s="133"/>
      <c r="AA1253" s="133"/>
      <c r="AB1253" s="133" t="s">
        <v>115</v>
      </c>
      <c r="AC1253" s="134" t="s">
        <v>115</v>
      </c>
      <c r="AD1253" s="134"/>
      <c r="AE1253" s="133"/>
      <c r="AF1253" s="133"/>
      <c r="AG1253" s="133"/>
      <c r="AH1253" s="133">
        <v>0</v>
      </c>
      <c r="AI1253" s="133">
        <v>0</v>
      </c>
      <c r="AJ1253" s="133">
        <v>0</v>
      </c>
      <c r="AK1253" s="133">
        <v>0</v>
      </c>
      <c r="AL1253" s="133">
        <v>0</v>
      </c>
      <c r="AM1253" s="133">
        <v>0</v>
      </c>
      <c r="AN1253" s="133">
        <f t="shared" si="20"/>
        <v>0</v>
      </c>
      <c r="AO1253" s="133"/>
      <c r="AP1253" s="133" t="s">
        <v>357</v>
      </c>
      <c r="AQ1253" s="133"/>
      <c r="AR1253" s="133"/>
      <c r="AS1253" s="133"/>
      <c r="AT1253" s="133"/>
      <c r="AU1253" s="133"/>
      <c r="AV1253" s="133"/>
    </row>
    <row r="1254" spans="1:48" s="133" customFormat="1" x14ac:dyDescent="0.2">
      <c r="A1254" s="133" t="s">
        <v>797</v>
      </c>
      <c r="B1254" s="133" t="s">
        <v>798</v>
      </c>
      <c r="C1254" s="133">
        <v>1</v>
      </c>
      <c r="D1254" s="133">
        <v>1</v>
      </c>
      <c r="E1254" s="133" t="s">
        <v>3171</v>
      </c>
      <c r="F1254" s="138">
        <v>43360</v>
      </c>
      <c r="G1254" s="136" t="s">
        <v>4032</v>
      </c>
      <c r="H1254" s="136" t="s">
        <v>4724</v>
      </c>
      <c r="I1254" s="148">
        <v>7.6388888888888886E-3</v>
      </c>
      <c r="J1254" s="174">
        <v>1.273148148148148E-4</v>
      </c>
      <c r="K1254" s="139">
        <v>11</v>
      </c>
      <c r="L1254" s="133" t="s">
        <v>397</v>
      </c>
      <c r="M1254" s="133" t="s">
        <v>230</v>
      </c>
      <c r="N1254" s="133" t="s">
        <v>228</v>
      </c>
      <c r="O1254" s="133" t="s">
        <v>23</v>
      </c>
      <c r="P1254" s="133">
        <v>1</v>
      </c>
      <c r="R1254" s="133">
        <v>0</v>
      </c>
      <c r="S1254" s="133" t="s">
        <v>176</v>
      </c>
      <c r="T1254" s="133" t="s">
        <v>176</v>
      </c>
      <c r="U1254" s="133" t="s">
        <v>501</v>
      </c>
      <c r="V1254" s="133" t="s">
        <v>115</v>
      </c>
      <c r="W1254" s="135" t="s">
        <v>115</v>
      </c>
      <c r="X1254" s="135" t="s">
        <v>115</v>
      </c>
      <c r="Y1254" s="135" t="s">
        <v>115</v>
      </c>
      <c r="AB1254" s="133" t="s">
        <v>115</v>
      </c>
      <c r="AC1254" s="134" t="s">
        <v>115</v>
      </c>
      <c r="AD1254" s="134"/>
      <c r="AH1254" s="139">
        <v>0</v>
      </c>
      <c r="AI1254" s="139">
        <v>0</v>
      </c>
      <c r="AJ1254" s="139">
        <v>0</v>
      </c>
      <c r="AK1254" s="139">
        <v>0</v>
      </c>
      <c r="AL1254" s="139">
        <v>0</v>
      </c>
      <c r="AM1254" s="133">
        <v>0</v>
      </c>
      <c r="AN1254" s="133">
        <f t="shared" si="20"/>
        <v>0</v>
      </c>
      <c r="AP1254" s="133" t="s">
        <v>799</v>
      </c>
    </row>
    <row r="1255" spans="1:48" s="135" customFormat="1" x14ac:dyDescent="0.2">
      <c r="A1255" s="133" t="s">
        <v>800</v>
      </c>
      <c r="B1255" s="133" t="s">
        <v>801</v>
      </c>
      <c r="C1255" s="133">
        <v>2</v>
      </c>
      <c r="D1255" s="133">
        <v>1</v>
      </c>
      <c r="E1255" s="133" t="s">
        <v>3171</v>
      </c>
      <c r="F1255" s="138">
        <v>43360</v>
      </c>
      <c r="G1255" s="136" t="s">
        <v>4032</v>
      </c>
      <c r="H1255" s="136" t="s">
        <v>4724</v>
      </c>
      <c r="I1255" s="148">
        <v>1.0416666666666666E-2</v>
      </c>
      <c r="J1255" s="174">
        <v>1.7361111111111112E-4</v>
      </c>
      <c r="K1255" s="139">
        <v>15</v>
      </c>
      <c r="L1255" s="133" t="s">
        <v>397</v>
      </c>
      <c r="M1255" s="133" t="s">
        <v>230</v>
      </c>
      <c r="N1255" s="133" t="s">
        <v>102</v>
      </c>
      <c r="O1255" s="133" t="s">
        <v>23</v>
      </c>
      <c r="P1255" s="133" t="s">
        <v>24</v>
      </c>
      <c r="Q1255" s="133"/>
      <c r="R1255" s="133">
        <v>0</v>
      </c>
      <c r="S1255" s="133"/>
      <c r="T1255" s="133" t="s">
        <v>115</v>
      </c>
      <c r="U1255" s="133" t="s">
        <v>115</v>
      </c>
      <c r="V1255" s="133" t="s">
        <v>115</v>
      </c>
      <c r="W1255" s="135" t="s">
        <v>115</v>
      </c>
      <c r="X1255" s="135" t="s">
        <v>115</v>
      </c>
      <c r="Y1255" s="135" t="s">
        <v>115</v>
      </c>
      <c r="Z1255" s="133"/>
      <c r="AA1255" s="133"/>
      <c r="AB1255" s="133" t="s">
        <v>115</v>
      </c>
      <c r="AC1255" s="134" t="s">
        <v>115</v>
      </c>
      <c r="AD1255" s="134"/>
      <c r="AE1255" s="133"/>
      <c r="AF1255" s="133"/>
      <c r="AG1255" s="133"/>
      <c r="AH1255" s="139">
        <v>0</v>
      </c>
      <c r="AI1255" s="139">
        <v>14</v>
      </c>
      <c r="AJ1255" s="139">
        <v>14</v>
      </c>
      <c r="AK1255" s="139">
        <v>0</v>
      </c>
      <c r="AL1255" s="139">
        <v>0</v>
      </c>
      <c r="AM1255" s="133">
        <v>0</v>
      </c>
      <c r="AN1255" s="133">
        <f t="shared" si="20"/>
        <v>14</v>
      </c>
      <c r="AO1255" s="133" t="s">
        <v>802</v>
      </c>
      <c r="AP1255" s="133"/>
      <c r="AQ1255" s="133"/>
      <c r="AR1255" s="133"/>
    </row>
    <row r="1256" spans="1:48" s="133" customFormat="1" x14ac:dyDescent="0.2">
      <c r="A1256" s="135" t="s">
        <v>813</v>
      </c>
      <c r="B1256" s="135" t="s">
        <v>814</v>
      </c>
      <c r="C1256" s="135">
        <v>8</v>
      </c>
      <c r="D1256" s="135">
        <v>1</v>
      </c>
      <c r="E1256" s="135" t="s">
        <v>3171</v>
      </c>
      <c r="F1256" s="136">
        <v>43360</v>
      </c>
      <c r="G1256" s="136" t="s">
        <v>4032</v>
      </c>
      <c r="H1256" s="136" t="s">
        <v>4724</v>
      </c>
      <c r="I1256" s="172">
        <v>2.6388888888888889E-2</v>
      </c>
      <c r="J1256" s="175">
        <v>4.3981481481481481E-4</v>
      </c>
      <c r="K1256" s="143">
        <v>38</v>
      </c>
      <c r="L1256" s="135" t="s">
        <v>397</v>
      </c>
      <c r="M1256" s="135" t="s">
        <v>230</v>
      </c>
      <c r="N1256" s="135" t="s">
        <v>102</v>
      </c>
      <c r="O1256" s="135" t="s">
        <v>115</v>
      </c>
      <c r="P1256" s="135" t="s">
        <v>24</v>
      </c>
      <c r="Q1256" s="135"/>
      <c r="R1256" s="135">
        <v>0</v>
      </c>
      <c r="S1256" s="135"/>
      <c r="T1256" s="135" t="s">
        <v>115</v>
      </c>
      <c r="U1256" s="135" t="s">
        <v>115</v>
      </c>
      <c r="V1256" s="135" t="s">
        <v>115</v>
      </c>
      <c r="W1256" s="135" t="s">
        <v>115</v>
      </c>
      <c r="X1256" s="135" t="s">
        <v>115</v>
      </c>
      <c r="Y1256" s="135" t="s">
        <v>115</v>
      </c>
      <c r="Z1256" s="135"/>
      <c r="AA1256" s="135"/>
      <c r="AB1256" s="135" t="s">
        <v>115</v>
      </c>
      <c r="AC1256" s="137" t="s">
        <v>115</v>
      </c>
      <c r="AD1256" s="137"/>
      <c r="AE1256" s="135"/>
      <c r="AF1256" s="135"/>
      <c r="AG1256" s="135"/>
      <c r="AH1256" s="143">
        <v>0</v>
      </c>
      <c r="AI1256" s="143">
        <v>0</v>
      </c>
      <c r="AJ1256" s="143">
        <v>0</v>
      </c>
      <c r="AK1256" s="143">
        <v>0</v>
      </c>
      <c r="AL1256" s="143">
        <v>20</v>
      </c>
      <c r="AM1256" s="135">
        <v>0</v>
      </c>
      <c r="AN1256" s="135">
        <f t="shared" si="20"/>
        <v>20</v>
      </c>
      <c r="AO1256" s="135"/>
      <c r="AP1256" s="135"/>
      <c r="AQ1256" s="135"/>
      <c r="AR1256" s="135"/>
    </row>
    <row r="1257" spans="1:48" s="135" customFormat="1" x14ac:dyDescent="0.2">
      <c r="A1257" s="133" t="s">
        <v>792</v>
      </c>
      <c r="B1257" s="133" t="s">
        <v>793</v>
      </c>
      <c r="C1257" s="133">
        <v>1</v>
      </c>
      <c r="D1257" s="133">
        <v>2</v>
      </c>
      <c r="E1257" s="135" t="s">
        <v>3171</v>
      </c>
      <c r="F1257" s="138">
        <v>43360</v>
      </c>
      <c r="G1257" s="136" t="s">
        <v>4032</v>
      </c>
      <c r="H1257" s="136" t="s">
        <v>4724</v>
      </c>
      <c r="I1257" s="148">
        <v>0.15555555555555556</v>
      </c>
      <c r="J1257" s="174">
        <v>2.5925925925925925E-3</v>
      </c>
      <c r="K1257" s="139">
        <v>224</v>
      </c>
      <c r="L1257" s="133" t="s">
        <v>397</v>
      </c>
      <c r="M1257" s="133" t="s">
        <v>149</v>
      </c>
      <c r="N1257" s="133" t="s">
        <v>242</v>
      </c>
      <c r="O1257" s="133" t="s">
        <v>23</v>
      </c>
      <c r="P1257" s="133" t="s">
        <v>24</v>
      </c>
      <c r="Q1257" s="133"/>
      <c r="R1257" s="133">
        <v>1</v>
      </c>
      <c r="S1257" s="133" t="s">
        <v>1618</v>
      </c>
      <c r="T1257" s="133" t="s">
        <v>2132</v>
      </c>
      <c r="U1257" s="133" t="s">
        <v>24</v>
      </c>
      <c r="V1257" s="133" t="s">
        <v>2077</v>
      </c>
      <c r="W1257" s="140" t="s">
        <v>23</v>
      </c>
      <c r="X1257" s="140" t="s">
        <v>4004</v>
      </c>
      <c r="Y1257" s="140" t="s">
        <v>4005</v>
      </c>
      <c r="Z1257" s="133"/>
      <c r="AA1257" s="133"/>
      <c r="AB1257" s="133" t="s">
        <v>24</v>
      </c>
      <c r="AC1257" s="134">
        <v>63.72119</v>
      </c>
      <c r="AD1257" s="134">
        <v>148.95818</v>
      </c>
      <c r="AE1257" s="133"/>
      <c r="AF1257" s="133"/>
      <c r="AG1257" s="133"/>
      <c r="AH1257" s="139">
        <v>0</v>
      </c>
      <c r="AI1257" s="139">
        <v>0</v>
      </c>
      <c r="AJ1257" s="139">
        <v>0</v>
      </c>
      <c r="AK1257" s="139">
        <v>0</v>
      </c>
      <c r="AL1257" s="139">
        <v>0</v>
      </c>
      <c r="AM1257" s="133">
        <v>0</v>
      </c>
      <c r="AN1257" s="133">
        <f t="shared" si="20"/>
        <v>0</v>
      </c>
      <c r="AO1257" s="133"/>
      <c r="AP1257" s="133"/>
      <c r="AQ1257" s="133"/>
      <c r="AR1257" s="133"/>
      <c r="AS1257" s="133"/>
      <c r="AT1257" s="133"/>
      <c r="AU1257" s="133"/>
      <c r="AV1257" s="133"/>
    </row>
    <row r="1258" spans="1:48" s="135" customFormat="1" x14ac:dyDescent="0.2">
      <c r="A1258" s="133" t="s">
        <v>792</v>
      </c>
      <c r="B1258" s="133" t="s">
        <v>793</v>
      </c>
      <c r="C1258" s="133">
        <v>1</v>
      </c>
      <c r="D1258" s="133">
        <v>1</v>
      </c>
      <c r="E1258" s="135" t="s">
        <v>3171</v>
      </c>
      <c r="F1258" s="138">
        <v>43360</v>
      </c>
      <c r="G1258" s="136" t="s">
        <v>4032</v>
      </c>
      <c r="H1258" s="136" t="s">
        <v>4724</v>
      </c>
      <c r="I1258" s="148">
        <v>0.15555555555555556</v>
      </c>
      <c r="J1258" s="174">
        <v>2.5925925925925925E-3</v>
      </c>
      <c r="K1258" s="139">
        <v>224</v>
      </c>
      <c r="L1258" s="133" t="s">
        <v>397</v>
      </c>
      <c r="M1258" s="133" t="s">
        <v>149</v>
      </c>
      <c r="N1258" s="133" t="s">
        <v>242</v>
      </c>
      <c r="O1258" s="133" t="s">
        <v>23</v>
      </c>
      <c r="P1258" s="133">
        <v>1</v>
      </c>
      <c r="Q1258" s="133"/>
      <c r="R1258" s="133">
        <v>1</v>
      </c>
      <c r="S1258" s="133" t="s">
        <v>1618</v>
      </c>
      <c r="T1258" s="133" t="s">
        <v>2132</v>
      </c>
      <c r="U1258" s="133" t="s">
        <v>24</v>
      </c>
      <c r="V1258" s="133" t="s">
        <v>1035</v>
      </c>
      <c r="W1258" s="140" t="s">
        <v>23</v>
      </c>
      <c r="X1258" s="140" t="s">
        <v>3997</v>
      </c>
      <c r="Y1258" s="140" t="s">
        <v>4006</v>
      </c>
      <c r="Z1258" s="133"/>
      <c r="AA1258" s="133"/>
      <c r="AB1258" s="133" t="s">
        <v>24</v>
      </c>
      <c r="AC1258" s="134">
        <v>63.721159999999998</v>
      </c>
      <c r="AD1258" s="134">
        <v>148.95854</v>
      </c>
      <c r="AE1258" s="133"/>
      <c r="AF1258" s="133"/>
      <c r="AG1258" s="133"/>
      <c r="AH1258" s="139">
        <v>0</v>
      </c>
      <c r="AI1258" s="139">
        <v>0</v>
      </c>
      <c r="AJ1258" s="139">
        <v>0</v>
      </c>
      <c r="AK1258" s="139">
        <v>0</v>
      </c>
      <c r="AL1258" s="139">
        <v>0</v>
      </c>
      <c r="AM1258" s="133">
        <v>0</v>
      </c>
      <c r="AN1258" s="133">
        <f t="shared" si="20"/>
        <v>0</v>
      </c>
      <c r="AO1258" s="133"/>
      <c r="AP1258" s="133"/>
      <c r="AQ1258" s="133"/>
      <c r="AR1258" s="133"/>
      <c r="AU1258" s="135" t="s">
        <v>5000</v>
      </c>
    </row>
    <row r="1259" spans="1:48" s="135" customFormat="1" x14ac:dyDescent="0.2">
      <c r="A1259" s="133" t="s">
        <v>794</v>
      </c>
      <c r="B1259" s="133" t="s">
        <v>795</v>
      </c>
      <c r="C1259" s="133">
        <v>2</v>
      </c>
      <c r="D1259" s="133">
        <v>1</v>
      </c>
      <c r="E1259" s="135" t="s">
        <v>3171</v>
      </c>
      <c r="F1259" s="138">
        <v>43360</v>
      </c>
      <c r="G1259" s="136" t="s">
        <v>4032</v>
      </c>
      <c r="H1259" s="136" t="s">
        <v>4724</v>
      </c>
      <c r="I1259" s="148">
        <v>5.8333333333333327E-2</v>
      </c>
      <c r="J1259" s="174">
        <v>9.7222222222222209E-4</v>
      </c>
      <c r="K1259" s="139">
        <v>84</v>
      </c>
      <c r="L1259" s="133" t="s">
        <v>397</v>
      </c>
      <c r="M1259" s="133" t="s">
        <v>149</v>
      </c>
      <c r="N1259" s="133" t="s">
        <v>111</v>
      </c>
      <c r="O1259" s="133" t="s">
        <v>23</v>
      </c>
      <c r="P1259" s="133">
        <v>0</v>
      </c>
      <c r="Q1259" s="133"/>
      <c r="R1259" s="133">
        <v>1</v>
      </c>
      <c r="S1259" s="133" t="s">
        <v>1618</v>
      </c>
      <c r="T1259" s="133" t="s">
        <v>2132</v>
      </c>
      <c r="U1259" s="133" t="s">
        <v>24</v>
      </c>
      <c r="V1259" s="133" t="s">
        <v>2068</v>
      </c>
      <c r="W1259" s="140" t="s">
        <v>23</v>
      </c>
      <c r="X1259" s="140" t="s">
        <v>3997</v>
      </c>
      <c r="Y1259" s="140" t="s">
        <v>4005</v>
      </c>
      <c r="Z1259" s="133"/>
      <c r="AA1259" s="133"/>
      <c r="AB1259" s="133" t="s">
        <v>24</v>
      </c>
      <c r="AC1259" s="134">
        <v>63.721150000000002</v>
      </c>
      <c r="AD1259" s="134">
        <v>148.95850999999999</v>
      </c>
      <c r="AE1259" s="133"/>
      <c r="AF1259" s="133"/>
      <c r="AG1259" s="133"/>
      <c r="AH1259" s="139">
        <v>0</v>
      </c>
      <c r="AI1259" s="139">
        <v>0</v>
      </c>
      <c r="AJ1259" s="139">
        <v>0</v>
      </c>
      <c r="AK1259" s="139">
        <v>0</v>
      </c>
      <c r="AL1259" s="139">
        <v>0</v>
      </c>
      <c r="AM1259" s="133">
        <v>0</v>
      </c>
      <c r="AN1259" s="133">
        <f t="shared" si="20"/>
        <v>0</v>
      </c>
      <c r="AO1259" s="133"/>
      <c r="AP1259" s="133"/>
      <c r="AQ1259" s="133"/>
      <c r="AR1259" s="133"/>
      <c r="AS1259" s="133"/>
      <c r="AT1259" s="133"/>
      <c r="AU1259" s="133"/>
      <c r="AV1259" s="133"/>
    </row>
    <row r="1260" spans="1:48" s="135" customFormat="1" x14ac:dyDescent="0.2">
      <c r="A1260" s="133" t="s">
        <v>335</v>
      </c>
      <c r="B1260" s="133" t="s">
        <v>336</v>
      </c>
      <c r="C1260" s="133">
        <v>4</v>
      </c>
      <c r="D1260" s="133">
        <v>1</v>
      </c>
      <c r="E1260" s="133" t="s">
        <v>324</v>
      </c>
      <c r="F1260" s="138">
        <v>43348</v>
      </c>
      <c r="G1260" s="136" t="s">
        <v>4032</v>
      </c>
      <c r="H1260" s="136" t="s">
        <v>4724</v>
      </c>
      <c r="I1260" s="148">
        <v>3.5416666666666666E-2</v>
      </c>
      <c r="J1260" s="174">
        <v>5.9027777777777778E-4</v>
      </c>
      <c r="K1260" s="139">
        <v>51</v>
      </c>
      <c r="L1260" s="133" t="s">
        <v>396</v>
      </c>
      <c r="M1260" s="133" t="s">
        <v>337</v>
      </c>
      <c r="N1260" s="133" t="s">
        <v>102</v>
      </c>
      <c r="O1260" s="133" t="s">
        <v>23</v>
      </c>
      <c r="P1260" s="133">
        <v>1</v>
      </c>
      <c r="Q1260" s="133"/>
      <c r="R1260" s="133">
        <v>0</v>
      </c>
      <c r="S1260" s="133" t="s">
        <v>176</v>
      </c>
      <c r="T1260" s="133" t="s">
        <v>176</v>
      </c>
      <c r="U1260" s="133" t="s">
        <v>3970</v>
      </c>
      <c r="V1260" s="133" t="s">
        <v>115</v>
      </c>
      <c r="W1260" s="135" t="s">
        <v>115</v>
      </c>
      <c r="X1260" s="135" t="s">
        <v>115</v>
      </c>
      <c r="Y1260" s="135" t="s">
        <v>115</v>
      </c>
      <c r="Z1260" s="133"/>
      <c r="AA1260" s="133"/>
      <c r="AB1260" s="133" t="s">
        <v>115</v>
      </c>
      <c r="AC1260" s="134" t="s">
        <v>115</v>
      </c>
      <c r="AD1260" s="134"/>
      <c r="AE1260" s="133"/>
      <c r="AF1260" s="133"/>
      <c r="AG1260" s="133"/>
      <c r="AH1260" s="133">
        <v>12</v>
      </c>
      <c r="AI1260" s="133">
        <v>0</v>
      </c>
      <c r="AJ1260" s="133">
        <v>0</v>
      </c>
      <c r="AK1260" s="133">
        <v>12</v>
      </c>
      <c r="AL1260" s="133">
        <v>0</v>
      </c>
      <c r="AM1260" s="133">
        <v>0</v>
      </c>
      <c r="AN1260" s="133">
        <f t="shared" si="20"/>
        <v>12</v>
      </c>
      <c r="AO1260" s="133"/>
      <c r="AP1260" s="133" t="s">
        <v>4902</v>
      </c>
      <c r="AQ1260" s="133"/>
      <c r="AR1260" s="133"/>
      <c r="AS1260" s="133"/>
      <c r="AT1260" s="133"/>
      <c r="AU1260" s="133"/>
      <c r="AV1260" s="133"/>
    </row>
    <row r="1261" spans="1:48" s="135" customFormat="1" x14ac:dyDescent="0.2">
      <c r="A1261" s="133" t="s">
        <v>399</v>
      </c>
      <c r="B1261" s="133" t="s">
        <v>400</v>
      </c>
      <c r="C1261" s="133">
        <v>1</v>
      </c>
      <c r="D1261" s="133">
        <v>1</v>
      </c>
      <c r="E1261" s="133" t="s">
        <v>324</v>
      </c>
      <c r="F1261" s="138">
        <v>43350</v>
      </c>
      <c r="G1261" s="136" t="s">
        <v>4032</v>
      </c>
      <c r="H1261" s="136" t="s">
        <v>4724</v>
      </c>
      <c r="I1261" s="148">
        <v>2.0833333333333332E-2</v>
      </c>
      <c r="J1261" s="174">
        <v>3.4722222222222224E-4</v>
      </c>
      <c r="K1261" s="139">
        <v>30</v>
      </c>
      <c r="L1261" s="133" t="s">
        <v>398</v>
      </c>
      <c r="M1261" s="133" t="s">
        <v>337</v>
      </c>
      <c r="N1261" s="133" t="s">
        <v>227</v>
      </c>
      <c r="O1261" s="133" t="s">
        <v>23</v>
      </c>
      <c r="P1261" s="133">
        <v>1</v>
      </c>
      <c r="Q1261" s="133"/>
      <c r="R1261" s="133">
        <v>0</v>
      </c>
      <c r="S1261" s="133" t="s">
        <v>461</v>
      </c>
      <c r="T1261" s="133" t="s">
        <v>461</v>
      </c>
      <c r="U1261" s="133" t="s">
        <v>134</v>
      </c>
      <c r="V1261" s="133" t="s">
        <v>115</v>
      </c>
      <c r="W1261" s="135" t="s">
        <v>115</v>
      </c>
      <c r="X1261" s="135" t="s">
        <v>115</v>
      </c>
      <c r="Y1261" s="135" t="s">
        <v>115</v>
      </c>
      <c r="AB1261" s="133" t="s">
        <v>115</v>
      </c>
      <c r="AC1261" s="134" t="s">
        <v>115</v>
      </c>
      <c r="AD1261" s="134"/>
      <c r="AH1261" s="133">
        <v>0</v>
      </c>
      <c r="AI1261" s="133">
        <v>0</v>
      </c>
      <c r="AJ1261" s="133">
        <v>0</v>
      </c>
      <c r="AK1261" s="133">
        <v>0</v>
      </c>
      <c r="AL1261" s="133">
        <v>0</v>
      </c>
      <c r="AM1261" s="133">
        <v>0</v>
      </c>
      <c r="AN1261" s="133">
        <f t="shared" si="20"/>
        <v>0</v>
      </c>
      <c r="AO1261" s="133"/>
      <c r="AP1261" s="133" t="s">
        <v>401</v>
      </c>
      <c r="AQ1261" s="133"/>
      <c r="AR1261" s="133"/>
      <c r="AU1261" s="135" t="s">
        <v>5001</v>
      </c>
    </row>
    <row r="1262" spans="1:48" s="133" customFormat="1" x14ac:dyDescent="0.2">
      <c r="A1262" s="133" t="s">
        <v>404</v>
      </c>
      <c r="B1262" s="133" t="s">
        <v>405</v>
      </c>
      <c r="C1262" s="133">
        <v>3</v>
      </c>
      <c r="D1262" s="133">
        <v>1</v>
      </c>
      <c r="E1262" s="133" t="s">
        <v>324</v>
      </c>
      <c r="F1262" s="138">
        <v>43350</v>
      </c>
      <c r="G1262" s="136" t="s">
        <v>4032</v>
      </c>
      <c r="H1262" s="136" t="s">
        <v>4724</v>
      </c>
      <c r="I1262" s="148">
        <v>4.3750000000000004E-2</v>
      </c>
      <c r="J1262" s="174">
        <v>7.291666666666667E-4</v>
      </c>
      <c r="K1262" s="139">
        <v>63</v>
      </c>
      <c r="L1262" s="133" t="s">
        <v>398</v>
      </c>
      <c r="M1262" s="133" t="s">
        <v>337</v>
      </c>
      <c r="N1262" s="133" t="s">
        <v>102</v>
      </c>
      <c r="O1262" s="133" t="s">
        <v>12</v>
      </c>
      <c r="P1262" s="133">
        <v>1</v>
      </c>
      <c r="R1262" s="133">
        <v>0</v>
      </c>
      <c r="S1262" s="133" t="s">
        <v>176</v>
      </c>
      <c r="T1262" s="133" t="s">
        <v>2115</v>
      </c>
      <c r="U1262" s="133" t="s">
        <v>406</v>
      </c>
      <c r="V1262" s="133" t="s">
        <v>115</v>
      </c>
      <c r="W1262" s="135" t="s">
        <v>115</v>
      </c>
      <c r="X1262" s="135" t="s">
        <v>115</v>
      </c>
      <c r="Y1262" s="135" t="s">
        <v>115</v>
      </c>
      <c r="AB1262" s="133" t="s">
        <v>115</v>
      </c>
      <c r="AC1262" s="134" t="s">
        <v>115</v>
      </c>
      <c r="AD1262" s="134"/>
      <c r="AH1262" s="139">
        <v>0</v>
      </c>
      <c r="AI1262" s="139">
        <v>63</v>
      </c>
      <c r="AJ1262" s="139">
        <v>0</v>
      </c>
      <c r="AK1262" s="139">
        <v>63</v>
      </c>
      <c r="AL1262" s="139">
        <v>0</v>
      </c>
      <c r="AM1262" s="133">
        <v>0</v>
      </c>
      <c r="AN1262" s="133">
        <f t="shared" ref="AN1262:AN1325" si="21">SUM(AJ1262:AM1262)</f>
        <v>63</v>
      </c>
      <c r="AO1262" s="133" t="s">
        <v>16</v>
      </c>
      <c r="AP1262" s="133" t="s">
        <v>407</v>
      </c>
      <c r="AQ1262" s="133">
        <v>0</v>
      </c>
      <c r="AR1262" s="133">
        <v>18</v>
      </c>
      <c r="AS1262" s="135"/>
      <c r="AT1262" s="135"/>
      <c r="AU1262" s="135"/>
      <c r="AV1262" s="135"/>
    </row>
    <row r="1263" spans="1:48" s="135" customFormat="1" x14ac:dyDescent="0.2">
      <c r="A1263" s="133" t="s">
        <v>502</v>
      </c>
      <c r="B1263" s="133" t="s">
        <v>503</v>
      </c>
      <c r="C1263" s="133">
        <v>3</v>
      </c>
      <c r="D1263" s="133">
        <v>1</v>
      </c>
      <c r="E1263" s="133" t="s">
        <v>324</v>
      </c>
      <c r="F1263" s="138">
        <v>43352</v>
      </c>
      <c r="G1263" s="136" t="s">
        <v>4032</v>
      </c>
      <c r="H1263" s="136" t="s">
        <v>4724</v>
      </c>
      <c r="I1263" s="148">
        <v>1.3888888888888889E-3</v>
      </c>
      <c r="J1263" s="174">
        <v>2.3148148148148147E-5</v>
      </c>
      <c r="K1263" s="139">
        <v>2</v>
      </c>
      <c r="L1263" s="133" t="s">
        <v>483</v>
      </c>
      <c r="M1263" s="133" t="s">
        <v>337</v>
      </c>
      <c r="N1263" s="133" t="s">
        <v>102</v>
      </c>
      <c r="O1263" s="133" t="s">
        <v>23</v>
      </c>
      <c r="P1263" s="133">
        <v>1</v>
      </c>
      <c r="Q1263" s="133"/>
      <c r="R1263" s="133">
        <v>0</v>
      </c>
      <c r="S1263" s="133" t="s">
        <v>176</v>
      </c>
      <c r="T1263" s="133" t="s">
        <v>176</v>
      </c>
      <c r="U1263" s="133" t="s">
        <v>333</v>
      </c>
      <c r="V1263" s="133" t="s">
        <v>115</v>
      </c>
      <c r="W1263" s="135" t="s">
        <v>115</v>
      </c>
      <c r="X1263" s="135" t="s">
        <v>115</v>
      </c>
      <c r="Y1263" s="135" t="s">
        <v>115</v>
      </c>
      <c r="Z1263" s="133"/>
      <c r="AA1263" s="133"/>
      <c r="AB1263" s="133" t="s">
        <v>115</v>
      </c>
      <c r="AC1263" s="134" t="s">
        <v>115</v>
      </c>
      <c r="AD1263" s="134"/>
      <c r="AE1263" s="133"/>
      <c r="AF1263" s="133"/>
      <c r="AG1263" s="133"/>
      <c r="AH1263" s="139">
        <v>0</v>
      </c>
      <c r="AI1263" s="133" t="s">
        <v>24</v>
      </c>
      <c r="AJ1263" s="133" t="s">
        <v>24</v>
      </c>
      <c r="AK1263" s="139">
        <v>0</v>
      </c>
      <c r="AL1263" s="139">
        <v>0</v>
      </c>
      <c r="AM1263" s="133">
        <v>0</v>
      </c>
      <c r="AN1263" s="133">
        <f t="shared" si="21"/>
        <v>0</v>
      </c>
      <c r="AO1263" s="133"/>
      <c r="AP1263" s="133"/>
      <c r="AQ1263" s="133"/>
      <c r="AR1263" s="133"/>
      <c r="AS1263" s="133"/>
      <c r="AT1263" s="133"/>
      <c r="AU1263" s="133"/>
      <c r="AV1263" s="133"/>
    </row>
    <row r="1264" spans="1:48" s="135" customFormat="1" x14ac:dyDescent="0.2">
      <c r="A1264" s="135" t="s">
        <v>504</v>
      </c>
      <c r="B1264" s="135" t="s">
        <v>505</v>
      </c>
      <c r="C1264" s="135">
        <v>4</v>
      </c>
      <c r="D1264" s="135">
        <v>1</v>
      </c>
      <c r="E1264" s="135" t="s">
        <v>324</v>
      </c>
      <c r="F1264" s="136">
        <v>43352</v>
      </c>
      <c r="G1264" s="136" t="s">
        <v>4032</v>
      </c>
      <c r="H1264" s="136" t="s">
        <v>4724</v>
      </c>
      <c r="I1264" s="172">
        <v>2.7777777777777779E-3</v>
      </c>
      <c r="J1264" s="175">
        <v>4.6296296296296294E-5</v>
      </c>
      <c r="K1264" s="143">
        <v>4</v>
      </c>
      <c r="L1264" s="135" t="s">
        <v>483</v>
      </c>
      <c r="M1264" s="135" t="s">
        <v>337</v>
      </c>
      <c r="N1264" s="135" t="s">
        <v>102</v>
      </c>
      <c r="O1264" s="135" t="s">
        <v>115</v>
      </c>
      <c r="P1264" s="135">
        <v>1</v>
      </c>
      <c r="R1264" s="135">
        <v>0</v>
      </c>
      <c r="S1264" s="133" t="s">
        <v>176</v>
      </c>
      <c r="T1264" s="135" t="s">
        <v>176</v>
      </c>
      <c r="U1264" s="135" t="s">
        <v>122</v>
      </c>
      <c r="V1264" s="135" t="s">
        <v>115</v>
      </c>
      <c r="W1264" s="135" t="s">
        <v>115</v>
      </c>
      <c r="X1264" s="135" t="s">
        <v>115</v>
      </c>
      <c r="Y1264" s="135" t="s">
        <v>115</v>
      </c>
      <c r="Z1264" s="133"/>
      <c r="AA1264" s="133"/>
      <c r="AB1264" s="135" t="s">
        <v>115</v>
      </c>
      <c r="AC1264" s="137" t="s">
        <v>115</v>
      </c>
      <c r="AD1264" s="137"/>
      <c r="AE1264" s="133"/>
      <c r="AF1264" s="133"/>
      <c r="AG1264" s="133"/>
      <c r="AH1264" s="143">
        <v>0</v>
      </c>
      <c r="AI1264" s="143">
        <v>0</v>
      </c>
      <c r="AJ1264" s="143">
        <v>0</v>
      </c>
      <c r="AK1264" s="143">
        <v>0</v>
      </c>
      <c r="AL1264" s="141" t="s">
        <v>24</v>
      </c>
      <c r="AM1264" s="135">
        <v>0</v>
      </c>
      <c r="AN1264" s="135">
        <f t="shared" si="21"/>
        <v>0</v>
      </c>
      <c r="AS1264" s="133"/>
      <c r="AT1264" s="133"/>
      <c r="AU1264" s="133"/>
      <c r="AV1264" s="133"/>
    </row>
    <row r="1265" spans="1:48" s="133" customFormat="1" x14ac:dyDescent="0.2">
      <c r="A1265" s="135" t="s">
        <v>506</v>
      </c>
      <c r="B1265" s="135" t="s">
        <v>507</v>
      </c>
      <c r="C1265" s="135">
        <v>5</v>
      </c>
      <c r="D1265" s="135">
        <v>1</v>
      </c>
      <c r="E1265" s="135" t="s">
        <v>324</v>
      </c>
      <c r="F1265" s="136">
        <v>43352</v>
      </c>
      <c r="G1265" s="136" t="s">
        <v>4032</v>
      </c>
      <c r="H1265" s="136" t="s">
        <v>4724</v>
      </c>
      <c r="I1265" s="172">
        <v>4.8611111111111112E-3</v>
      </c>
      <c r="J1265" s="175">
        <v>8.1018518518518516E-5</v>
      </c>
      <c r="K1265" s="143">
        <v>7</v>
      </c>
      <c r="L1265" s="135" t="s">
        <v>483</v>
      </c>
      <c r="M1265" s="135" t="s">
        <v>337</v>
      </c>
      <c r="N1265" s="135" t="s">
        <v>102</v>
      </c>
      <c r="O1265" s="135" t="s">
        <v>115</v>
      </c>
      <c r="P1265" s="135" t="s">
        <v>24</v>
      </c>
      <c r="Q1265" s="135"/>
      <c r="R1265" s="135">
        <v>0</v>
      </c>
      <c r="S1265" s="133" t="s">
        <v>176</v>
      </c>
      <c r="T1265" s="135" t="s">
        <v>176</v>
      </c>
      <c r="U1265" s="135" t="s">
        <v>115</v>
      </c>
      <c r="V1265" s="135" t="s">
        <v>115</v>
      </c>
      <c r="W1265" s="135" t="s">
        <v>115</v>
      </c>
      <c r="X1265" s="135" t="s">
        <v>115</v>
      </c>
      <c r="Y1265" s="135" t="s">
        <v>115</v>
      </c>
      <c r="AB1265" s="135" t="s">
        <v>115</v>
      </c>
      <c r="AC1265" s="137" t="s">
        <v>115</v>
      </c>
      <c r="AD1265" s="137"/>
      <c r="AH1265" s="143">
        <v>0</v>
      </c>
      <c r="AI1265" s="143">
        <v>0</v>
      </c>
      <c r="AJ1265" s="143">
        <v>0</v>
      </c>
      <c r="AK1265" s="143">
        <v>0</v>
      </c>
      <c r="AL1265" s="143">
        <v>7</v>
      </c>
      <c r="AM1265" s="135">
        <v>0</v>
      </c>
      <c r="AN1265" s="135">
        <f t="shared" si="21"/>
        <v>7</v>
      </c>
      <c r="AO1265" s="135"/>
      <c r="AP1265" s="135"/>
      <c r="AQ1265" s="135"/>
      <c r="AR1265" s="135"/>
    </row>
    <row r="1266" spans="1:48" s="135" customFormat="1" x14ac:dyDescent="0.2">
      <c r="A1266" s="135" t="s">
        <v>508</v>
      </c>
      <c r="B1266" s="135" t="s">
        <v>509</v>
      </c>
      <c r="C1266" s="135">
        <v>6</v>
      </c>
      <c r="D1266" s="135">
        <v>1</v>
      </c>
      <c r="E1266" s="135" t="s">
        <v>324</v>
      </c>
      <c r="F1266" s="136">
        <v>43352</v>
      </c>
      <c r="G1266" s="136" t="s">
        <v>4032</v>
      </c>
      <c r="H1266" s="136" t="s">
        <v>4724</v>
      </c>
      <c r="I1266" s="172">
        <v>2.4999999999999998E-2</v>
      </c>
      <c r="J1266" s="175">
        <v>4.1666666666666669E-4</v>
      </c>
      <c r="K1266" s="143">
        <v>36</v>
      </c>
      <c r="L1266" s="135" t="s">
        <v>483</v>
      </c>
      <c r="M1266" s="135" t="s">
        <v>337</v>
      </c>
      <c r="N1266" s="135" t="s">
        <v>102</v>
      </c>
      <c r="O1266" s="135" t="s">
        <v>115</v>
      </c>
      <c r="P1266" s="135" t="s">
        <v>24</v>
      </c>
      <c r="R1266" s="135">
        <v>0</v>
      </c>
      <c r="S1266" s="133" t="s">
        <v>176</v>
      </c>
      <c r="T1266" s="135" t="s">
        <v>176</v>
      </c>
      <c r="U1266" s="135" t="s">
        <v>115</v>
      </c>
      <c r="V1266" s="135" t="s">
        <v>115</v>
      </c>
      <c r="W1266" s="135" t="s">
        <v>115</v>
      </c>
      <c r="X1266" s="135" t="s">
        <v>115</v>
      </c>
      <c r="Y1266" s="135" t="s">
        <v>115</v>
      </c>
      <c r="Z1266" s="133"/>
      <c r="AA1266" s="133"/>
      <c r="AB1266" s="135" t="s">
        <v>115</v>
      </c>
      <c r="AC1266" s="137" t="s">
        <v>115</v>
      </c>
      <c r="AD1266" s="137"/>
      <c r="AE1266" s="133"/>
      <c r="AF1266" s="133"/>
      <c r="AG1266" s="133"/>
      <c r="AH1266" s="143">
        <v>0</v>
      </c>
      <c r="AI1266" s="143">
        <v>0</v>
      </c>
      <c r="AJ1266" s="143">
        <v>0</v>
      </c>
      <c r="AK1266" s="143">
        <v>0</v>
      </c>
      <c r="AL1266" s="143">
        <v>21</v>
      </c>
      <c r="AM1266" s="135">
        <v>0</v>
      </c>
      <c r="AN1266" s="135">
        <f t="shared" si="21"/>
        <v>21</v>
      </c>
    </row>
    <row r="1267" spans="1:48" s="135" customFormat="1" x14ac:dyDescent="0.2">
      <c r="A1267" s="133" t="s">
        <v>815</v>
      </c>
      <c r="B1267" s="133" t="s">
        <v>818</v>
      </c>
      <c r="C1267" s="133">
        <v>1</v>
      </c>
      <c r="D1267" s="133">
        <v>1</v>
      </c>
      <c r="E1267" s="133" t="s">
        <v>324</v>
      </c>
      <c r="F1267" s="138">
        <v>43361</v>
      </c>
      <c r="G1267" s="136" t="s">
        <v>4032</v>
      </c>
      <c r="H1267" s="136" t="s">
        <v>4724</v>
      </c>
      <c r="I1267" s="148">
        <v>2.4999999999999998E-2</v>
      </c>
      <c r="J1267" s="174">
        <v>4.1666666666666669E-4</v>
      </c>
      <c r="K1267" s="139">
        <v>36</v>
      </c>
      <c r="L1267" s="133" t="s">
        <v>398</v>
      </c>
      <c r="M1267" s="133" t="s">
        <v>337</v>
      </c>
      <c r="N1267" s="133" t="s">
        <v>111</v>
      </c>
      <c r="O1267" s="133" t="s">
        <v>23</v>
      </c>
      <c r="P1267" s="133">
        <v>0</v>
      </c>
      <c r="Q1267" s="133"/>
      <c r="R1267" s="133">
        <v>1</v>
      </c>
      <c r="S1267" s="133" t="s">
        <v>176</v>
      </c>
      <c r="T1267" s="133" t="s">
        <v>176</v>
      </c>
      <c r="U1267" s="133" t="s">
        <v>24</v>
      </c>
      <c r="V1267" s="133" t="s">
        <v>709</v>
      </c>
      <c r="W1267" s="135" t="s">
        <v>23</v>
      </c>
      <c r="X1267" s="135" t="s">
        <v>4004</v>
      </c>
      <c r="Y1267" s="135" t="s">
        <v>4005</v>
      </c>
      <c r="AB1267" s="133" t="s">
        <v>176</v>
      </c>
      <c r="AC1267" s="134">
        <v>63.725499999999997</v>
      </c>
      <c r="AD1267" s="134">
        <v>148.88943</v>
      </c>
      <c r="AH1267" s="133">
        <v>0</v>
      </c>
      <c r="AI1267" s="133">
        <v>0</v>
      </c>
      <c r="AJ1267" s="133">
        <v>0</v>
      </c>
      <c r="AK1267" s="133">
        <v>0</v>
      </c>
      <c r="AL1267" s="133">
        <v>0</v>
      </c>
      <c r="AM1267" s="133">
        <v>0</v>
      </c>
      <c r="AN1267" s="133">
        <f t="shared" si="21"/>
        <v>0</v>
      </c>
      <c r="AO1267" s="133"/>
      <c r="AP1267" s="133"/>
      <c r="AQ1267" s="133"/>
      <c r="AR1267" s="133"/>
      <c r="AS1267" s="133"/>
      <c r="AT1267" s="133"/>
      <c r="AU1267" s="133"/>
      <c r="AV1267" s="133"/>
    </row>
    <row r="1268" spans="1:48" s="135" customFormat="1" x14ac:dyDescent="0.2">
      <c r="A1268" s="135" t="s">
        <v>824</v>
      </c>
      <c r="B1268" s="135" t="s">
        <v>825</v>
      </c>
      <c r="C1268" s="135">
        <v>3</v>
      </c>
      <c r="D1268" s="135">
        <v>1</v>
      </c>
      <c r="E1268" s="135" t="s">
        <v>324</v>
      </c>
      <c r="F1268" s="136">
        <v>43361</v>
      </c>
      <c r="G1268" s="136" t="s">
        <v>4032</v>
      </c>
      <c r="H1268" s="136" t="s">
        <v>4724</v>
      </c>
      <c r="I1268" s="172">
        <v>3.6805555555555557E-2</v>
      </c>
      <c r="J1268" s="175">
        <v>6.134259259259259E-4</v>
      </c>
      <c r="K1268" s="143">
        <v>53</v>
      </c>
      <c r="L1268" s="135" t="s">
        <v>397</v>
      </c>
      <c r="M1268" s="135" t="s">
        <v>337</v>
      </c>
      <c r="N1268" s="135" t="s">
        <v>102</v>
      </c>
      <c r="O1268" s="135" t="s">
        <v>115</v>
      </c>
      <c r="P1268" s="135">
        <v>1</v>
      </c>
      <c r="R1268" s="135">
        <v>0</v>
      </c>
      <c r="S1268" s="133" t="s">
        <v>14</v>
      </c>
      <c r="T1268" s="135" t="s">
        <v>2128</v>
      </c>
      <c r="U1268" s="135" t="s">
        <v>122</v>
      </c>
      <c r="V1268" s="135" t="s">
        <v>115</v>
      </c>
      <c r="W1268" s="135" t="s">
        <v>115</v>
      </c>
      <c r="X1268" s="135" t="s">
        <v>115</v>
      </c>
      <c r="Y1268" s="135" t="s">
        <v>115</v>
      </c>
      <c r="Z1268" s="133"/>
      <c r="AA1268" s="133"/>
      <c r="AB1268" s="135" t="s">
        <v>115</v>
      </c>
      <c r="AC1268" s="137" t="s">
        <v>115</v>
      </c>
      <c r="AD1268" s="137"/>
      <c r="AE1268" s="133"/>
      <c r="AF1268" s="133"/>
      <c r="AG1268" s="133"/>
      <c r="AH1268" s="135">
        <v>0</v>
      </c>
      <c r="AI1268" s="135">
        <v>0</v>
      </c>
      <c r="AJ1268" s="135">
        <v>0</v>
      </c>
      <c r="AK1268" s="135">
        <v>0</v>
      </c>
      <c r="AL1268" s="135">
        <v>5</v>
      </c>
      <c r="AM1268" s="135">
        <v>0</v>
      </c>
      <c r="AN1268" s="135">
        <f t="shared" si="21"/>
        <v>5</v>
      </c>
    </row>
    <row r="1269" spans="1:48" s="135" customFormat="1" x14ac:dyDescent="0.2">
      <c r="A1269" s="133" t="s">
        <v>824</v>
      </c>
      <c r="B1269" s="133" t="s">
        <v>825</v>
      </c>
      <c r="C1269" s="133">
        <v>3</v>
      </c>
      <c r="D1269" s="133">
        <v>2</v>
      </c>
      <c r="E1269" s="133" t="s">
        <v>324</v>
      </c>
      <c r="F1269" s="138">
        <v>43361</v>
      </c>
      <c r="G1269" s="136" t="s">
        <v>4032</v>
      </c>
      <c r="H1269" s="136" t="s">
        <v>4724</v>
      </c>
      <c r="I1269" s="148">
        <v>3.6805555555555557E-2</v>
      </c>
      <c r="J1269" s="174">
        <v>6.134259259259259E-4</v>
      </c>
      <c r="K1269" s="139">
        <v>53</v>
      </c>
      <c r="L1269" s="133" t="s">
        <v>397</v>
      </c>
      <c r="M1269" s="133" t="s">
        <v>337</v>
      </c>
      <c r="N1269" s="133" t="s">
        <v>102</v>
      </c>
      <c r="O1269" s="133" t="s">
        <v>115</v>
      </c>
      <c r="P1269" s="133">
        <v>1</v>
      </c>
      <c r="Q1269" s="133"/>
      <c r="R1269" s="133">
        <v>0</v>
      </c>
      <c r="S1269" s="133" t="s">
        <v>176</v>
      </c>
      <c r="T1269" s="133" t="s">
        <v>176</v>
      </c>
      <c r="U1269" s="133" t="s">
        <v>122</v>
      </c>
      <c r="V1269" s="133" t="s">
        <v>115</v>
      </c>
      <c r="W1269" s="135" t="s">
        <v>115</v>
      </c>
      <c r="X1269" s="135" t="s">
        <v>115</v>
      </c>
      <c r="Y1269" s="135" t="s">
        <v>115</v>
      </c>
      <c r="Z1269" s="133"/>
      <c r="AA1269" s="133"/>
      <c r="AB1269" s="133" t="s">
        <v>115</v>
      </c>
      <c r="AC1269" s="134" t="s">
        <v>115</v>
      </c>
      <c r="AD1269" s="134"/>
      <c r="AE1269" s="133"/>
      <c r="AF1269" s="133"/>
      <c r="AG1269" s="133"/>
      <c r="AH1269" s="133">
        <v>0</v>
      </c>
      <c r="AI1269" s="133">
        <v>0</v>
      </c>
      <c r="AJ1269" s="133">
        <v>0</v>
      </c>
      <c r="AK1269" s="133">
        <v>0</v>
      </c>
      <c r="AL1269" s="133">
        <v>0</v>
      </c>
      <c r="AM1269" s="133">
        <v>0</v>
      </c>
      <c r="AN1269" s="133">
        <f t="shared" si="21"/>
        <v>0</v>
      </c>
      <c r="AO1269" s="133"/>
      <c r="AP1269" s="133"/>
      <c r="AQ1269" s="133"/>
      <c r="AR1269" s="133"/>
      <c r="AS1269" s="133"/>
      <c r="AT1269" s="133"/>
      <c r="AU1269" s="133"/>
      <c r="AV1269" s="133"/>
    </row>
    <row r="1270" spans="1:48" s="135" customFormat="1" x14ac:dyDescent="0.2">
      <c r="A1270" s="133" t="s">
        <v>253</v>
      </c>
      <c r="B1270" s="133" t="s">
        <v>861</v>
      </c>
      <c r="C1270" s="133">
        <v>7</v>
      </c>
      <c r="D1270" s="133">
        <v>1</v>
      </c>
      <c r="E1270" s="133" t="s">
        <v>834</v>
      </c>
      <c r="F1270" s="138">
        <v>43346</v>
      </c>
      <c r="G1270" s="136" t="s">
        <v>4032</v>
      </c>
      <c r="H1270" s="136" t="s">
        <v>4724</v>
      </c>
      <c r="I1270" s="148">
        <v>8.3333333333333332E-3</v>
      </c>
      <c r="J1270" s="174">
        <v>1.3888888888888889E-4</v>
      </c>
      <c r="K1270" s="139">
        <v>12</v>
      </c>
      <c r="L1270" s="133"/>
      <c r="M1270" s="133" t="s">
        <v>166</v>
      </c>
      <c r="N1270" s="133" t="s">
        <v>102</v>
      </c>
      <c r="O1270" s="133" t="s">
        <v>23</v>
      </c>
      <c r="P1270" s="133" t="s">
        <v>24</v>
      </c>
      <c r="Q1270" s="133"/>
      <c r="R1270" s="133" t="s">
        <v>24</v>
      </c>
      <c r="S1270" s="133" t="s">
        <v>176</v>
      </c>
      <c r="T1270" s="133" t="s">
        <v>176</v>
      </c>
      <c r="U1270" s="133" t="s">
        <v>115</v>
      </c>
      <c r="V1270" s="133" t="s">
        <v>115</v>
      </c>
      <c r="W1270" s="133"/>
      <c r="X1270" s="133"/>
      <c r="Y1270" s="133"/>
      <c r="AB1270" s="133" t="s">
        <v>115</v>
      </c>
      <c r="AC1270" s="134" t="s">
        <v>115</v>
      </c>
      <c r="AD1270" s="134"/>
      <c r="AH1270" s="133">
        <v>12</v>
      </c>
      <c r="AI1270" s="133">
        <v>0</v>
      </c>
      <c r="AJ1270" s="133">
        <v>0</v>
      </c>
      <c r="AK1270" s="133">
        <v>12</v>
      </c>
      <c r="AL1270" s="133">
        <v>0</v>
      </c>
      <c r="AM1270" s="133">
        <v>0</v>
      </c>
      <c r="AN1270" s="133">
        <f t="shared" si="21"/>
        <v>12</v>
      </c>
      <c r="AO1270" s="133" t="s">
        <v>150</v>
      </c>
      <c r="AP1270" s="133"/>
      <c r="AQ1270" s="133">
        <v>0</v>
      </c>
      <c r="AR1270" s="133">
        <v>0</v>
      </c>
      <c r="AS1270" s="133"/>
      <c r="AT1270" s="133"/>
      <c r="AU1270" s="133"/>
      <c r="AV1270" s="133"/>
    </row>
    <row r="1271" spans="1:48" s="135" customFormat="1" x14ac:dyDescent="0.2">
      <c r="A1271" s="133" t="s">
        <v>280</v>
      </c>
      <c r="B1271" s="133" t="s">
        <v>281</v>
      </c>
      <c r="C1271" s="133">
        <v>1</v>
      </c>
      <c r="D1271" s="133">
        <v>1</v>
      </c>
      <c r="E1271" s="133" t="s">
        <v>282</v>
      </c>
      <c r="F1271" s="138">
        <v>43347</v>
      </c>
      <c r="G1271" s="136" t="s">
        <v>4032</v>
      </c>
      <c r="H1271" s="136" t="s">
        <v>4724</v>
      </c>
      <c r="I1271" s="148">
        <v>5.6944444444444443E-2</v>
      </c>
      <c r="J1271" s="174">
        <v>9.4907407407407408E-4</v>
      </c>
      <c r="K1271" s="139">
        <v>82</v>
      </c>
      <c r="L1271" s="133"/>
      <c r="M1271" s="133" t="s">
        <v>283</v>
      </c>
      <c r="N1271" s="133" t="s">
        <v>107</v>
      </c>
      <c r="O1271" s="133" t="s">
        <v>23</v>
      </c>
      <c r="P1271" s="133">
        <v>1</v>
      </c>
      <c r="Q1271" s="133"/>
      <c r="R1271" s="133">
        <v>0</v>
      </c>
      <c r="S1271" s="133" t="s">
        <v>461</v>
      </c>
      <c r="T1271" s="133" t="s">
        <v>461</v>
      </c>
      <c r="U1271" s="133" t="s">
        <v>24</v>
      </c>
      <c r="V1271" s="133" t="s">
        <v>115</v>
      </c>
      <c r="W1271" s="135" t="s">
        <v>115</v>
      </c>
      <c r="X1271" s="135" t="s">
        <v>115</v>
      </c>
      <c r="Y1271" s="135" t="s">
        <v>115</v>
      </c>
      <c r="AB1271" s="133" t="s">
        <v>115</v>
      </c>
      <c r="AC1271" s="134" t="s">
        <v>115</v>
      </c>
      <c r="AD1271" s="134"/>
      <c r="AH1271" s="133">
        <v>19</v>
      </c>
      <c r="AI1271" s="133">
        <v>0</v>
      </c>
      <c r="AJ1271" s="133">
        <v>19</v>
      </c>
      <c r="AK1271" s="133">
        <v>0</v>
      </c>
      <c r="AL1271" s="133">
        <v>0</v>
      </c>
      <c r="AM1271" s="133">
        <v>0</v>
      </c>
      <c r="AN1271" s="133">
        <f t="shared" si="21"/>
        <v>19</v>
      </c>
      <c r="AO1271" s="133" t="s">
        <v>16</v>
      </c>
      <c r="AP1271" s="133"/>
      <c r="AQ1271" s="133">
        <v>0</v>
      </c>
      <c r="AR1271" s="133">
        <v>3</v>
      </c>
      <c r="AS1271" s="133"/>
      <c r="AT1271" s="133"/>
      <c r="AU1271" s="133"/>
      <c r="AV1271" s="133"/>
    </row>
    <row r="1272" spans="1:48" s="133" customFormat="1" x14ac:dyDescent="0.2">
      <c r="A1272" s="133" t="s">
        <v>280</v>
      </c>
      <c r="B1272" s="133" t="s">
        <v>281</v>
      </c>
      <c r="C1272" s="133">
        <v>1</v>
      </c>
      <c r="D1272" s="133">
        <v>2</v>
      </c>
      <c r="E1272" s="133" t="s">
        <v>282</v>
      </c>
      <c r="F1272" s="138">
        <v>43347</v>
      </c>
      <c r="G1272" s="136" t="s">
        <v>4032</v>
      </c>
      <c r="H1272" s="136" t="s">
        <v>4724</v>
      </c>
      <c r="I1272" s="148">
        <v>5.6944444444444443E-2</v>
      </c>
      <c r="J1272" s="174">
        <v>9.4907407407407408E-4</v>
      </c>
      <c r="K1272" s="139">
        <v>82</v>
      </c>
      <c r="M1272" s="133" t="s">
        <v>283</v>
      </c>
      <c r="N1272" s="133" t="s">
        <v>102</v>
      </c>
      <c r="O1272" s="133" t="s">
        <v>12</v>
      </c>
      <c r="P1272" s="133">
        <v>1</v>
      </c>
      <c r="R1272" s="133">
        <v>0</v>
      </c>
      <c r="S1272" s="133" t="s">
        <v>176</v>
      </c>
      <c r="T1272" s="133" t="s">
        <v>176</v>
      </c>
      <c r="U1272" s="133" t="s">
        <v>2060</v>
      </c>
      <c r="V1272" s="133" t="s">
        <v>115</v>
      </c>
      <c r="W1272" s="135" t="s">
        <v>115</v>
      </c>
      <c r="X1272" s="135" t="s">
        <v>115</v>
      </c>
      <c r="Y1272" s="135" t="s">
        <v>115</v>
      </c>
      <c r="AB1272" s="133" t="s">
        <v>115</v>
      </c>
      <c r="AC1272" s="134" t="s">
        <v>115</v>
      </c>
      <c r="AD1272" s="134"/>
      <c r="AH1272" s="133">
        <v>0</v>
      </c>
      <c r="AI1272" s="133">
        <v>0</v>
      </c>
      <c r="AJ1272" s="133">
        <v>0</v>
      </c>
      <c r="AK1272" s="133">
        <v>0</v>
      </c>
      <c r="AL1272" s="133">
        <v>0</v>
      </c>
      <c r="AM1272" s="133">
        <v>0</v>
      </c>
      <c r="AN1272" s="133">
        <f t="shared" si="21"/>
        <v>0</v>
      </c>
      <c r="AO1272" s="133" t="s">
        <v>16</v>
      </c>
      <c r="AQ1272" s="133">
        <v>0</v>
      </c>
      <c r="AR1272" s="133">
        <v>3</v>
      </c>
    </row>
    <row r="1273" spans="1:48" s="135" customFormat="1" x14ac:dyDescent="0.2">
      <c r="A1273" s="133" t="s">
        <v>284</v>
      </c>
      <c r="B1273" s="133" t="s">
        <v>285</v>
      </c>
      <c r="C1273" s="133">
        <v>2</v>
      </c>
      <c r="D1273" s="133">
        <v>1</v>
      </c>
      <c r="E1273" s="133" t="s">
        <v>282</v>
      </c>
      <c r="F1273" s="138">
        <v>43347</v>
      </c>
      <c r="G1273" s="136" t="s">
        <v>4032</v>
      </c>
      <c r="H1273" s="136" t="s">
        <v>4724</v>
      </c>
      <c r="I1273" s="148">
        <v>1.4583333333333332E-2</v>
      </c>
      <c r="J1273" s="174">
        <v>2.4305555555555552E-4</v>
      </c>
      <c r="K1273" s="139">
        <v>21</v>
      </c>
      <c r="L1273" s="133"/>
      <c r="M1273" s="133" t="s">
        <v>283</v>
      </c>
      <c r="N1273" s="133" t="s">
        <v>228</v>
      </c>
      <c r="O1273" s="133" t="s">
        <v>23</v>
      </c>
      <c r="P1273" s="133">
        <v>1</v>
      </c>
      <c r="Q1273" s="133"/>
      <c r="R1273" s="133">
        <v>0</v>
      </c>
      <c r="S1273" s="133" t="s">
        <v>176</v>
      </c>
      <c r="T1273" s="133" t="s">
        <v>176</v>
      </c>
      <c r="U1273" s="133" t="s">
        <v>134</v>
      </c>
      <c r="V1273" s="133" t="s">
        <v>115</v>
      </c>
      <c r="W1273" s="135" t="s">
        <v>115</v>
      </c>
      <c r="X1273" s="135" t="s">
        <v>115</v>
      </c>
      <c r="Y1273" s="135" t="s">
        <v>115</v>
      </c>
      <c r="AB1273" s="133" t="s">
        <v>115</v>
      </c>
      <c r="AC1273" s="134" t="s">
        <v>115</v>
      </c>
      <c r="AD1273" s="134"/>
      <c r="AH1273" s="133">
        <v>0</v>
      </c>
      <c r="AI1273" s="133">
        <v>16</v>
      </c>
      <c r="AJ1273" s="133">
        <v>16</v>
      </c>
      <c r="AK1273" s="133">
        <v>0</v>
      </c>
      <c r="AL1273" s="133">
        <v>0</v>
      </c>
      <c r="AM1273" s="133">
        <v>0</v>
      </c>
      <c r="AN1273" s="133">
        <f t="shared" si="21"/>
        <v>16</v>
      </c>
      <c r="AO1273" s="133" t="s">
        <v>286</v>
      </c>
      <c r="AP1273" s="133"/>
      <c r="AQ1273" s="133">
        <v>0</v>
      </c>
      <c r="AR1273" s="133">
        <v>0</v>
      </c>
      <c r="AS1273" s="133"/>
      <c r="AT1273" s="133"/>
      <c r="AU1273" s="133"/>
      <c r="AV1273" s="133"/>
    </row>
    <row r="1274" spans="1:48" s="133" customFormat="1" x14ac:dyDescent="0.2">
      <c r="A1274" s="133" t="s">
        <v>576</v>
      </c>
      <c r="B1274" s="133" t="s">
        <v>577</v>
      </c>
      <c r="C1274" s="133">
        <v>1</v>
      </c>
      <c r="D1274" s="133">
        <v>1</v>
      </c>
      <c r="E1274" s="133" t="s">
        <v>100</v>
      </c>
      <c r="F1274" s="138">
        <v>43355</v>
      </c>
      <c r="G1274" s="136" t="s">
        <v>4032</v>
      </c>
      <c r="H1274" s="136" t="s">
        <v>4724</v>
      </c>
      <c r="I1274" s="148">
        <v>3.1944444444444449E-2</v>
      </c>
      <c r="J1274" s="174">
        <v>5.3240740740740744E-4</v>
      </c>
      <c r="K1274" s="139">
        <v>46</v>
      </c>
      <c r="L1274" s="133" t="s">
        <v>398</v>
      </c>
      <c r="M1274" s="133" t="s">
        <v>578</v>
      </c>
      <c r="N1274" s="133" t="s">
        <v>111</v>
      </c>
      <c r="O1274" s="133" t="s">
        <v>23</v>
      </c>
      <c r="P1274" s="133">
        <v>0</v>
      </c>
      <c r="R1274" s="133">
        <v>1</v>
      </c>
      <c r="S1274" s="133" t="s">
        <v>176</v>
      </c>
      <c r="T1274" s="133" t="s">
        <v>176</v>
      </c>
      <c r="U1274" s="133" t="s">
        <v>24</v>
      </c>
      <c r="V1274" s="133" t="s">
        <v>1057</v>
      </c>
      <c r="W1274" s="135" t="s">
        <v>23</v>
      </c>
      <c r="X1274" s="135" t="s">
        <v>3999</v>
      </c>
      <c r="Y1274" s="135" t="s">
        <v>4005</v>
      </c>
      <c r="AB1274" s="133" t="s">
        <v>176</v>
      </c>
      <c r="AC1274" s="134">
        <v>63.740139999999997</v>
      </c>
      <c r="AD1274" s="134">
        <v>148.90387000000001</v>
      </c>
      <c r="AH1274" s="139">
        <v>0</v>
      </c>
      <c r="AI1274" s="139">
        <v>0</v>
      </c>
      <c r="AJ1274" s="139">
        <v>0</v>
      </c>
      <c r="AK1274" s="139">
        <v>0</v>
      </c>
      <c r="AL1274" s="139">
        <v>0</v>
      </c>
      <c r="AM1274" s="133">
        <v>0</v>
      </c>
      <c r="AN1274" s="133">
        <f t="shared" si="21"/>
        <v>0</v>
      </c>
      <c r="AP1274" s="133" t="s">
        <v>4928</v>
      </c>
      <c r="AS1274" s="135"/>
      <c r="AT1274" s="135"/>
      <c r="AU1274" s="135"/>
      <c r="AV1274" s="135"/>
    </row>
    <row r="1275" spans="1:48" s="135" customFormat="1" x14ac:dyDescent="0.2">
      <c r="A1275" s="133" t="s">
        <v>581</v>
      </c>
      <c r="B1275" s="133" t="s">
        <v>582</v>
      </c>
      <c r="C1275" s="133">
        <v>2</v>
      </c>
      <c r="D1275" s="133">
        <v>1</v>
      </c>
      <c r="E1275" s="133" t="s">
        <v>100</v>
      </c>
      <c r="F1275" s="138">
        <v>43355</v>
      </c>
      <c r="G1275" s="136" t="s">
        <v>4032</v>
      </c>
      <c r="H1275" s="136" t="s">
        <v>4724</v>
      </c>
      <c r="I1275" s="148">
        <v>5.486111111111111E-2</v>
      </c>
      <c r="J1275" s="174">
        <v>9.1435185185185185E-4</v>
      </c>
      <c r="K1275" s="139">
        <v>79</v>
      </c>
      <c r="L1275" s="133" t="s">
        <v>398</v>
      </c>
      <c r="M1275" s="133" t="s">
        <v>578</v>
      </c>
      <c r="N1275" s="133" t="s">
        <v>102</v>
      </c>
      <c r="O1275" s="133" t="s">
        <v>12</v>
      </c>
      <c r="P1275" s="133" t="s">
        <v>24</v>
      </c>
      <c r="Q1275" s="133"/>
      <c r="R1275" s="133">
        <v>0</v>
      </c>
      <c r="S1275" s="133" t="s">
        <v>176</v>
      </c>
      <c r="T1275" s="133" t="s">
        <v>176</v>
      </c>
      <c r="U1275" s="133" t="s">
        <v>115</v>
      </c>
      <c r="V1275" s="133" t="s">
        <v>115</v>
      </c>
      <c r="W1275" s="135" t="s">
        <v>115</v>
      </c>
      <c r="X1275" s="135" t="s">
        <v>115</v>
      </c>
      <c r="Y1275" s="135" t="s">
        <v>115</v>
      </c>
      <c r="Z1275" s="133"/>
      <c r="AA1275" s="133"/>
      <c r="AB1275" s="134" t="s">
        <v>115</v>
      </c>
      <c r="AC1275" s="134" t="s">
        <v>115</v>
      </c>
      <c r="AD1275" s="134"/>
      <c r="AE1275" s="133"/>
      <c r="AF1275" s="133"/>
      <c r="AG1275" s="133"/>
      <c r="AH1275" s="139">
        <v>0</v>
      </c>
      <c r="AI1275" s="139">
        <v>59</v>
      </c>
      <c r="AJ1275" s="139">
        <v>0</v>
      </c>
      <c r="AK1275" s="139">
        <v>59</v>
      </c>
      <c r="AL1275" s="139">
        <v>0</v>
      </c>
      <c r="AM1275" s="133">
        <v>0</v>
      </c>
      <c r="AN1275" s="133">
        <f t="shared" si="21"/>
        <v>59</v>
      </c>
      <c r="AO1275" s="133" t="s">
        <v>16</v>
      </c>
      <c r="AP1275" s="133" t="s">
        <v>583</v>
      </c>
      <c r="AQ1275" s="133">
        <v>0</v>
      </c>
      <c r="AR1275" s="133">
        <v>12</v>
      </c>
      <c r="AS1275" s="133"/>
      <c r="AT1275" s="133"/>
      <c r="AU1275" s="133"/>
      <c r="AV1275" s="133"/>
    </row>
    <row r="1276" spans="1:48" s="135" customFormat="1" x14ac:dyDescent="0.2">
      <c r="A1276" s="133" t="s">
        <v>584</v>
      </c>
      <c r="B1276" s="133" t="s">
        <v>585</v>
      </c>
      <c r="C1276" s="133">
        <v>3</v>
      </c>
      <c r="D1276" s="133">
        <v>1</v>
      </c>
      <c r="E1276" s="133" t="s">
        <v>100</v>
      </c>
      <c r="F1276" s="138">
        <v>43355</v>
      </c>
      <c r="G1276" s="136" t="s">
        <v>4032</v>
      </c>
      <c r="H1276" s="136" t="s">
        <v>4724</v>
      </c>
      <c r="I1276" s="148">
        <v>7.6388888888888886E-3</v>
      </c>
      <c r="J1276" s="174">
        <v>1.273148148148148E-4</v>
      </c>
      <c r="K1276" s="139">
        <v>11</v>
      </c>
      <c r="L1276" s="133" t="s">
        <v>398</v>
      </c>
      <c r="M1276" s="133" t="s">
        <v>578</v>
      </c>
      <c r="N1276" s="133" t="s">
        <v>102</v>
      </c>
      <c r="O1276" s="133" t="s">
        <v>23</v>
      </c>
      <c r="P1276" s="133" t="s">
        <v>24</v>
      </c>
      <c r="Q1276" s="133"/>
      <c r="R1276" s="133">
        <v>0</v>
      </c>
      <c r="S1276" s="133" t="s">
        <v>176</v>
      </c>
      <c r="T1276" s="133" t="s">
        <v>176</v>
      </c>
      <c r="U1276" s="133" t="s">
        <v>115</v>
      </c>
      <c r="V1276" s="133" t="s">
        <v>115</v>
      </c>
      <c r="W1276" s="135" t="s">
        <v>115</v>
      </c>
      <c r="X1276" s="135" t="s">
        <v>115</v>
      </c>
      <c r="Y1276" s="135" t="s">
        <v>115</v>
      </c>
      <c r="Z1276" s="133"/>
      <c r="AA1276" s="133"/>
      <c r="AB1276" s="134" t="s">
        <v>115</v>
      </c>
      <c r="AC1276" s="134" t="s">
        <v>115</v>
      </c>
      <c r="AD1276" s="134"/>
      <c r="AE1276" s="133"/>
      <c r="AF1276" s="133"/>
      <c r="AG1276" s="133"/>
      <c r="AH1276" s="139">
        <v>0</v>
      </c>
      <c r="AI1276" s="139">
        <v>8</v>
      </c>
      <c r="AJ1276" s="139">
        <v>0</v>
      </c>
      <c r="AK1276" s="139">
        <v>8</v>
      </c>
      <c r="AL1276" s="139">
        <v>0</v>
      </c>
      <c r="AM1276" s="133">
        <v>0</v>
      </c>
      <c r="AN1276" s="133">
        <f t="shared" si="21"/>
        <v>8</v>
      </c>
      <c r="AO1276" s="133"/>
      <c r="AP1276" s="133"/>
      <c r="AQ1276" s="133"/>
      <c r="AR1276" s="133"/>
      <c r="AS1276" s="133"/>
      <c r="AT1276" s="133"/>
      <c r="AU1276" s="133"/>
      <c r="AV1276" s="133"/>
    </row>
    <row r="1277" spans="1:48" s="135" customFormat="1" x14ac:dyDescent="0.2">
      <c r="A1277" s="133" t="s">
        <v>599</v>
      </c>
      <c r="B1277" s="133" t="s">
        <v>600</v>
      </c>
      <c r="C1277" s="133">
        <v>8</v>
      </c>
      <c r="D1277" s="133">
        <v>1</v>
      </c>
      <c r="E1277" s="133" t="s">
        <v>100</v>
      </c>
      <c r="F1277" s="138">
        <v>43355</v>
      </c>
      <c r="G1277" s="136" t="s">
        <v>4032</v>
      </c>
      <c r="H1277" s="136" t="s">
        <v>4724</v>
      </c>
      <c r="I1277" s="148">
        <v>7.6388888888888886E-3</v>
      </c>
      <c r="J1277" s="174">
        <v>1.273148148148148E-4</v>
      </c>
      <c r="K1277" s="139">
        <v>11</v>
      </c>
      <c r="L1277" s="133" t="s">
        <v>398</v>
      </c>
      <c r="M1277" s="133" t="s">
        <v>578</v>
      </c>
      <c r="N1277" s="133" t="s">
        <v>221</v>
      </c>
      <c r="O1277" s="133" t="s">
        <v>23</v>
      </c>
      <c r="P1277" s="133">
        <v>1</v>
      </c>
      <c r="Q1277" s="133"/>
      <c r="R1277" s="133">
        <v>0</v>
      </c>
      <c r="S1277" s="133" t="s">
        <v>176</v>
      </c>
      <c r="T1277" s="133" t="s">
        <v>4923</v>
      </c>
      <c r="U1277" s="133" t="s">
        <v>333</v>
      </c>
      <c r="V1277" s="133" t="s">
        <v>115</v>
      </c>
      <c r="W1277" s="135" t="s">
        <v>115</v>
      </c>
      <c r="X1277" s="135" t="s">
        <v>115</v>
      </c>
      <c r="Y1277" s="135" t="s">
        <v>115</v>
      </c>
      <c r="Z1277" s="133"/>
      <c r="AA1277" s="133"/>
      <c r="AB1277" s="134" t="s">
        <v>115</v>
      </c>
      <c r="AC1277" s="134" t="s">
        <v>115</v>
      </c>
      <c r="AD1277" s="134"/>
      <c r="AE1277" s="133"/>
      <c r="AF1277" s="133"/>
      <c r="AG1277" s="133"/>
      <c r="AH1277" s="139">
        <v>0</v>
      </c>
      <c r="AI1277" s="139">
        <v>0</v>
      </c>
      <c r="AJ1277" s="139">
        <v>0</v>
      </c>
      <c r="AK1277" s="139">
        <v>0</v>
      </c>
      <c r="AL1277" s="139">
        <v>0</v>
      </c>
      <c r="AM1277" s="133">
        <v>0</v>
      </c>
      <c r="AN1277" s="133">
        <f t="shared" si="21"/>
        <v>0</v>
      </c>
      <c r="AO1277" s="133"/>
      <c r="AP1277" s="133" t="s">
        <v>601</v>
      </c>
      <c r="AQ1277" s="133"/>
      <c r="AR1277" s="133"/>
      <c r="AS1277" s="133"/>
      <c r="AT1277" s="133"/>
      <c r="AU1277" s="133"/>
      <c r="AV1277" s="133"/>
    </row>
    <row r="1278" spans="1:48" s="135" customFormat="1" x14ac:dyDescent="0.2">
      <c r="A1278" s="135" t="s">
        <v>668</v>
      </c>
      <c r="B1278" s="135" t="s">
        <v>669</v>
      </c>
      <c r="C1278" s="135">
        <v>3</v>
      </c>
      <c r="D1278" s="135">
        <v>1</v>
      </c>
      <c r="E1278" s="135" t="s">
        <v>3171</v>
      </c>
      <c r="F1278" s="136">
        <v>43357</v>
      </c>
      <c r="G1278" s="136" t="s">
        <v>4032</v>
      </c>
      <c r="H1278" s="136" t="s">
        <v>4724</v>
      </c>
      <c r="I1278" s="172">
        <v>2.4305555555555556E-2</v>
      </c>
      <c r="J1278" s="175">
        <v>4.0509259259259258E-4</v>
      </c>
      <c r="K1278" s="143">
        <v>35</v>
      </c>
      <c r="L1278" s="135" t="s">
        <v>640</v>
      </c>
      <c r="M1278" s="135" t="s">
        <v>670</v>
      </c>
      <c r="N1278" s="135" t="s">
        <v>102</v>
      </c>
      <c r="O1278" s="135" t="s">
        <v>115</v>
      </c>
      <c r="P1278" s="135" t="s">
        <v>24</v>
      </c>
      <c r="R1278" s="135">
        <v>0</v>
      </c>
      <c r="S1278" s="133" t="s">
        <v>176</v>
      </c>
      <c r="T1278" s="135" t="s">
        <v>176</v>
      </c>
      <c r="U1278" s="135" t="s">
        <v>115</v>
      </c>
      <c r="V1278" s="135" t="s">
        <v>115</v>
      </c>
      <c r="W1278" s="135" t="s">
        <v>115</v>
      </c>
      <c r="X1278" s="135" t="s">
        <v>115</v>
      </c>
      <c r="Y1278" s="135" t="s">
        <v>115</v>
      </c>
      <c r="Z1278" s="133"/>
      <c r="AA1278" s="133"/>
      <c r="AB1278" s="135" t="s">
        <v>115</v>
      </c>
      <c r="AC1278" s="137" t="s">
        <v>115</v>
      </c>
      <c r="AD1278" s="137"/>
      <c r="AE1278" s="133"/>
      <c r="AF1278" s="133"/>
      <c r="AG1278" s="133"/>
      <c r="AH1278" s="143">
        <v>0</v>
      </c>
      <c r="AI1278" s="143">
        <v>0</v>
      </c>
      <c r="AJ1278" s="143">
        <v>0</v>
      </c>
      <c r="AK1278" s="143">
        <v>0</v>
      </c>
      <c r="AL1278" s="143">
        <v>18</v>
      </c>
      <c r="AM1278" s="135">
        <v>0</v>
      </c>
      <c r="AN1278" s="135">
        <f t="shared" si="21"/>
        <v>18</v>
      </c>
      <c r="AS1278" s="133"/>
      <c r="AT1278" s="133"/>
      <c r="AU1278" s="133"/>
      <c r="AV1278" s="133"/>
    </row>
    <row r="1279" spans="1:48" s="135" customFormat="1" x14ac:dyDescent="0.2">
      <c r="A1279" s="133" t="s">
        <v>1074</v>
      </c>
      <c r="B1279" s="133" t="s">
        <v>1075</v>
      </c>
      <c r="C1279" s="133">
        <v>2</v>
      </c>
      <c r="D1279" s="133">
        <v>1</v>
      </c>
      <c r="E1279" s="133" t="s">
        <v>3171</v>
      </c>
      <c r="F1279" s="138">
        <v>43371</v>
      </c>
      <c r="G1279" s="136" t="s">
        <v>4032</v>
      </c>
      <c r="H1279" s="136" t="s">
        <v>4724</v>
      </c>
      <c r="I1279" s="148">
        <v>8.3333333333333332E-3</v>
      </c>
      <c r="J1279" s="174">
        <v>1.3888888888888889E-4</v>
      </c>
      <c r="K1279" s="139">
        <v>12</v>
      </c>
      <c r="L1279" s="133" t="s">
        <v>483</v>
      </c>
      <c r="M1279" s="133" t="s">
        <v>670</v>
      </c>
      <c r="N1279" s="133" t="s">
        <v>242</v>
      </c>
      <c r="O1279" s="133" t="s">
        <v>23</v>
      </c>
      <c r="P1279" s="133">
        <v>1</v>
      </c>
      <c r="Q1279" s="133"/>
      <c r="R1279" s="133">
        <v>1</v>
      </c>
      <c r="S1279" s="133" t="s">
        <v>598</v>
      </c>
      <c r="T1279" s="133" t="s">
        <v>2108</v>
      </c>
      <c r="U1279" s="133" t="s">
        <v>122</v>
      </c>
      <c r="V1279" s="133" t="s">
        <v>3965</v>
      </c>
      <c r="W1279" s="135" t="s">
        <v>23</v>
      </c>
      <c r="X1279" s="135" t="s">
        <v>3997</v>
      </c>
      <c r="Y1279" s="135" t="s">
        <v>4002</v>
      </c>
      <c r="Z1279" s="133"/>
      <c r="AA1279" s="133"/>
      <c r="AB1279" s="133">
        <v>15</v>
      </c>
      <c r="AC1279" s="134">
        <v>63.722380000000001</v>
      </c>
      <c r="AD1279" s="134">
        <v>148.95303000000001</v>
      </c>
      <c r="AE1279" s="133"/>
      <c r="AF1279" s="133"/>
      <c r="AG1279" s="133"/>
      <c r="AH1279" s="139">
        <v>0</v>
      </c>
      <c r="AI1279" s="139">
        <v>0</v>
      </c>
      <c r="AJ1279" s="139">
        <v>0</v>
      </c>
      <c r="AK1279" s="139">
        <v>0</v>
      </c>
      <c r="AL1279" s="139">
        <v>0</v>
      </c>
      <c r="AM1279" s="133">
        <v>0</v>
      </c>
      <c r="AN1279" s="133">
        <f t="shared" si="21"/>
        <v>0</v>
      </c>
      <c r="AO1279" s="133"/>
      <c r="AP1279" s="133"/>
      <c r="AQ1279" s="133"/>
      <c r="AR1279" s="133"/>
    </row>
    <row r="1280" spans="1:48" s="135" customFormat="1" x14ac:dyDescent="0.2">
      <c r="A1280" s="133" t="s">
        <v>1077</v>
      </c>
      <c r="B1280" s="133" t="s">
        <v>1078</v>
      </c>
      <c r="C1280" s="133">
        <v>3</v>
      </c>
      <c r="D1280" s="133">
        <v>1</v>
      </c>
      <c r="E1280" s="133" t="s">
        <v>3171</v>
      </c>
      <c r="F1280" s="138">
        <v>43371</v>
      </c>
      <c r="G1280" s="136" t="s">
        <v>4032</v>
      </c>
      <c r="H1280" s="136" t="s">
        <v>4724</v>
      </c>
      <c r="I1280" s="148">
        <v>1.3194444444444444E-2</v>
      </c>
      <c r="J1280" s="174">
        <v>2.199074074074074E-4</v>
      </c>
      <c r="K1280" s="139">
        <v>19</v>
      </c>
      <c r="L1280" s="133" t="s">
        <v>483</v>
      </c>
      <c r="M1280" s="133" t="s">
        <v>670</v>
      </c>
      <c r="N1280" s="133" t="s">
        <v>102</v>
      </c>
      <c r="O1280" s="133" t="s">
        <v>23</v>
      </c>
      <c r="P1280" s="133">
        <v>1</v>
      </c>
      <c r="Q1280" s="133"/>
      <c r="R1280" s="133">
        <v>0</v>
      </c>
      <c r="S1280" s="133" t="s">
        <v>176</v>
      </c>
      <c r="T1280" s="133" t="s">
        <v>176</v>
      </c>
      <c r="U1280" s="133" t="s">
        <v>1080</v>
      </c>
      <c r="V1280" s="133" t="s">
        <v>115</v>
      </c>
      <c r="W1280" s="135" t="s">
        <v>115</v>
      </c>
      <c r="X1280" s="135" t="s">
        <v>115</v>
      </c>
      <c r="Y1280" s="135" t="s">
        <v>115</v>
      </c>
      <c r="AB1280" s="133" t="s">
        <v>115</v>
      </c>
      <c r="AC1280" s="134" t="s">
        <v>115</v>
      </c>
      <c r="AD1280" s="134"/>
      <c r="AH1280" s="139">
        <v>0</v>
      </c>
      <c r="AI1280" s="139">
        <v>0</v>
      </c>
      <c r="AJ1280" s="139">
        <v>0</v>
      </c>
      <c r="AK1280" s="139">
        <v>0</v>
      </c>
      <c r="AL1280" s="139">
        <v>0</v>
      </c>
      <c r="AM1280" s="133">
        <v>0</v>
      </c>
      <c r="AN1280" s="133">
        <f t="shared" si="21"/>
        <v>0</v>
      </c>
      <c r="AO1280" s="133"/>
      <c r="AP1280" s="133" t="s">
        <v>1081</v>
      </c>
      <c r="AQ1280" s="133"/>
      <c r="AR1280" s="133"/>
      <c r="AS1280" s="133"/>
      <c r="AT1280" s="133"/>
      <c r="AU1280" s="133"/>
      <c r="AV1280" s="133"/>
    </row>
    <row r="1281" spans="1:48" s="133" customFormat="1" x14ac:dyDescent="0.2">
      <c r="A1281" s="133" t="s">
        <v>1082</v>
      </c>
      <c r="B1281" s="133" t="s">
        <v>1083</v>
      </c>
      <c r="C1281" s="133">
        <v>4</v>
      </c>
      <c r="D1281" s="133">
        <v>1</v>
      </c>
      <c r="E1281" s="133" t="s">
        <v>3171</v>
      </c>
      <c r="F1281" s="138">
        <v>43371</v>
      </c>
      <c r="G1281" s="136" t="s">
        <v>4032</v>
      </c>
      <c r="H1281" s="136" t="s">
        <v>4724</v>
      </c>
      <c r="I1281" s="148">
        <v>1.4583333333333332E-2</v>
      </c>
      <c r="J1281" s="174">
        <v>2.4305555555555552E-4</v>
      </c>
      <c r="K1281" s="139">
        <v>21</v>
      </c>
      <c r="L1281" s="133" t="s">
        <v>483</v>
      </c>
      <c r="M1281" s="133" t="s">
        <v>670</v>
      </c>
      <c r="N1281" s="133" t="s">
        <v>111</v>
      </c>
      <c r="O1281" s="133" t="s">
        <v>23</v>
      </c>
      <c r="P1281" s="133">
        <v>0</v>
      </c>
      <c r="R1281" s="133">
        <v>1</v>
      </c>
      <c r="S1281" s="133" t="s">
        <v>176</v>
      </c>
      <c r="T1281" s="133" t="s">
        <v>176</v>
      </c>
      <c r="U1281" s="133" t="s">
        <v>1080</v>
      </c>
      <c r="V1281" s="133" t="s">
        <v>1035</v>
      </c>
      <c r="W1281" s="135" t="s">
        <v>23</v>
      </c>
      <c r="X1281" s="135" t="s">
        <v>3997</v>
      </c>
      <c r="Y1281" s="135" t="s">
        <v>4006</v>
      </c>
      <c r="Z1281" s="135"/>
      <c r="AA1281" s="135"/>
      <c r="AB1281" s="133">
        <v>9</v>
      </c>
      <c r="AC1281" s="134">
        <v>63.722709999999999</v>
      </c>
      <c r="AD1281" s="134">
        <v>148.9539</v>
      </c>
      <c r="AE1281" s="135"/>
      <c r="AF1281" s="135"/>
      <c r="AG1281" s="135"/>
      <c r="AH1281" s="139">
        <v>0</v>
      </c>
      <c r="AI1281" s="139">
        <v>0</v>
      </c>
      <c r="AJ1281" s="139">
        <v>0</v>
      </c>
      <c r="AK1281" s="139">
        <v>0</v>
      </c>
      <c r="AL1281" s="139">
        <v>0</v>
      </c>
      <c r="AM1281" s="133">
        <v>0</v>
      </c>
      <c r="AN1281" s="133">
        <f t="shared" si="21"/>
        <v>0</v>
      </c>
    </row>
    <row r="1282" spans="1:48" s="133" customFormat="1" x14ac:dyDescent="0.2">
      <c r="A1282" s="133" t="s">
        <v>1084</v>
      </c>
      <c r="B1282" s="133" t="s">
        <v>1085</v>
      </c>
      <c r="C1282" s="133">
        <v>5</v>
      </c>
      <c r="D1282" s="133">
        <v>1</v>
      </c>
      <c r="E1282" s="133" t="s">
        <v>3171</v>
      </c>
      <c r="F1282" s="138">
        <v>43371</v>
      </c>
      <c r="G1282" s="136" t="s">
        <v>4032</v>
      </c>
      <c r="H1282" s="136" t="s">
        <v>4724</v>
      </c>
      <c r="I1282" s="148">
        <v>1.6666666666666666E-2</v>
      </c>
      <c r="J1282" s="174">
        <v>2.7777777777777778E-4</v>
      </c>
      <c r="K1282" s="139">
        <v>24</v>
      </c>
      <c r="L1282" s="133" t="s">
        <v>483</v>
      </c>
      <c r="M1282" s="133" t="s">
        <v>670</v>
      </c>
      <c r="N1282" s="133" t="s">
        <v>111</v>
      </c>
      <c r="O1282" s="133" t="s">
        <v>23</v>
      </c>
      <c r="P1282" s="133">
        <v>0</v>
      </c>
      <c r="R1282" s="133">
        <v>1</v>
      </c>
      <c r="S1282" s="133" t="s">
        <v>176</v>
      </c>
      <c r="T1282" s="133" t="s">
        <v>176</v>
      </c>
      <c r="U1282" s="133" t="s">
        <v>1086</v>
      </c>
      <c r="V1282" s="133" t="s">
        <v>2061</v>
      </c>
      <c r="W1282" s="135" t="s">
        <v>23</v>
      </c>
      <c r="X1282" s="135" t="s">
        <v>3997</v>
      </c>
      <c r="Y1282" s="135" t="s">
        <v>4006</v>
      </c>
      <c r="Z1282" s="135"/>
      <c r="AA1282" s="135"/>
      <c r="AB1282" s="133">
        <v>4</v>
      </c>
      <c r="AC1282" s="134">
        <v>63.722920000000002</v>
      </c>
      <c r="AD1282" s="134">
        <v>148.95419000000001</v>
      </c>
      <c r="AE1282" s="135"/>
      <c r="AF1282" s="135"/>
      <c r="AG1282" s="135"/>
      <c r="AH1282" s="139">
        <v>0</v>
      </c>
      <c r="AI1282" s="139">
        <v>0</v>
      </c>
      <c r="AJ1282" s="139">
        <v>0</v>
      </c>
      <c r="AK1282" s="139">
        <v>0</v>
      </c>
      <c r="AL1282" s="139">
        <v>0</v>
      </c>
      <c r="AM1282" s="133">
        <v>0</v>
      </c>
      <c r="AN1282" s="133">
        <f t="shared" si="21"/>
        <v>0</v>
      </c>
      <c r="AS1282" s="135"/>
      <c r="AT1282" s="135"/>
      <c r="AU1282" s="135"/>
      <c r="AV1282" s="135"/>
    </row>
    <row r="1283" spans="1:48" s="135" customFormat="1" x14ac:dyDescent="0.2">
      <c r="A1283" s="133" t="s">
        <v>1084</v>
      </c>
      <c r="B1283" s="133" t="s">
        <v>1085</v>
      </c>
      <c r="C1283" s="133">
        <v>5</v>
      </c>
      <c r="D1283" s="133">
        <v>2</v>
      </c>
      <c r="E1283" s="133" t="s">
        <v>3171</v>
      </c>
      <c r="F1283" s="138">
        <v>43371</v>
      </c>
      <c r="G1283" s="136" t="s">
        <v>4032</v>
      </c>
      <c r="H1283" s="136" t="s">
        <v>4724</v>
      </c>
      <c r="I1283" s="148">
        <v>1.6666666666666666E-2</v>
      </c>
      <c r="J1283" s="174">
        <v>2.7777777777777778E-4</v>
      </c>
      <c r="K1283" s="139">
        <v>24</v>
      </c>
      <c r="L1283" s="133" t="s">
        <v>483</v>
      </c>
      <c r="M1283" s="133" t="s">
        <v>670</v>
      </c>
      <c r="N1283" s="133" t="s">
        <v>111</v>
      </c>
      <c r="O1283" s="133" t="s">
        <v>23</v>
      </c>
      <c r="P1283" s="133">
        <v>0</v>
      </c>
      <c r="Q1283" s="133"/>
      <c r="R1283" s="133">
        <v>1</v>
      </c>
      <c r="S1283" s="133" t="s">
        <v>176</v>
      </c>
      <c r="T1283" s="133" t="s">
        <v>176</v>
      </c>
      <c r="U1283" s="133" t="s">
        <v>1086</v>
      </c>
      <c r="V1283" s="133" t="s">
        <v>2061</v>
      </c>
      <c r="W1283" s="135" t="s">
        <v>23</v>
      </c>
      <c r="X1283" s="135" t="s">
        <v>3997</v>
      </c>
      <c r="Y1283" s="135" t="s">
        <v>4006</v>
      </c>
      <c r="Z1283" s="133"/>
      <c r="AA1283" s="133"/>
      <c r="AB1283" s="133">
        <v>10</v>
      </c>
      <c r="AC1283" s="134">
        <v>63.722839999999998</v>
      </c>
      <c r="AD1283" s="134">
        <v>148.95433</v>
      </c>
      <c r="AE1283" s="133"/>
      <c r="AF1283" s="133"/>
      <c r="AG1283" s="133"/>
      <c r="AH1283" s="139">
        <v>0</v>
      </c>
      <c r="AI1283" s="139">
        <v>0</v>
      </c>
      <c r="AJ1283" s="139">
        <v>0</v>
      </c>
      <c r="AK1283" s="139">
        <v>0</v>
      </c>
      <c r="AL1283" s="139">
        <v>0</v>
      </c>
      <c r="AM1283" s="133">
        <v>0</v>
      </c>
      <c r="AN1283" s="133">
        <f t="shared" si="21"/>
        <v>0</v>
      </c>
      <c r="AO1283" s="133"/>
      <c r="AP1283" s="133"/>
      <c r="AQ1283" s="133"/>
      <c r="AR1283" s="133"/>
    </row>
    <row r="1284" spans="1:48" s="133" customFormat="1" x14ac:dyDescent="0.2">
      <c r="A1284" s="133" t="s">
        <v>732</v>
      </c>
      <c r="B1284" s="133" t="s">
        <v>734</v>
      </c>
      <c r="C1284" s="133">
        <v>1</v>
      </c>
      <c r="D1284" s="133">
        <v>1</v>
      </c>
      <c r="E1284" s="133" t="s">
        <v>521</v>
      </c>
      <c r="F1284" s="138">
        <v>43359</v>
      </c>
      <c r="G1284" s="136" t="s">
        <v>4032</v>
      </c>
      <c r="H1284" s="136" t="s">
        <v>4724</v>
      </c>
      <c r="I1284" s="148">
        <v>9.0277777777777787E-3</v>
      </c>
      <c r="J1284" s="174">
        <v>1.5046296296296297E-4</v>
      </c>
      <c r="K1284" s="139">
        <v>13</v>
      </c>
      <c r="L1284" s="133" t="s">
        <v>398</v>
      </c>
      <c r="M1284" s="133" t="s">
        <v>735</v>
      </c>
      <c r="N1284" s="133" t="s">
        <v>102</v>
      </c>
      <c r="O1284" s="133" t="s">
        <v>23</v>
      </c>
      <c r="P1284" s="133">
        <v>1</v>
      </c>
      <c r="R1284" s="133">
        <v>0</v>
      </c>
      <c r="S1284" s="133" t="s">
        <v>176</v>
      </c>
      <c r="T1284" s="133" t="s">
        <v>176</v>
      </c>
      <c r="U1284" s="133" t="s">
        <v>641</v>
      </c>
      <c r="V1284" s="133" t="s">
        <v>115</v>
      </c>
      <c r="W1284" s="135" t="s">
        <v>115</v>
      </c>
      <c r="X1284" s="135" t="s">
        <v>115</v>
      </c>
      <c r="Y1284" s="135" t="s">
        <v>115</v>
      </c>
      <c r="Z1284" s="135"/>
      <c r="AA1284" s="135"/>
      <c r="AB1284" s="134" t="s">
        <v>115</v>
      </c>
      <c r="AC1284" s="134" t="s">
        <v>115</v>
      </c>
      <c r="AD1284" s="134"/>
      <c r="AE1284" s="135"/>
      <c r="AF1284" s="135"/>
      <c r="AG1284" s="135"/>
      <c r="AH1284" s="139">
        <v>0</v>
      </c>
      <c r="AI1284" s="139">
        <v>2</v>
      </c>
      <c r="AJ1284" s="139">
        <v>2</v>
      </c>
      <c r="AK1284" s="139">
        <v>0</v>
      </c>
      <c r="AL1284" s="139">
        <v>0</v>
      </c>
      <c r="AM1284" s="133">
        <v>0</v>
      </c>
      <c r="AN1284" s="133">
        <f t="shared" si="21"/>
        <v>2</v>
      </c>
      <c r="AS1284" s="135"/>
      <c r="AT1284" s="135"/>
      <c r="AU1284" s="135"/>
      <c r="AV1284" s="135"/>
    </row>
    <row r="1285" spans="1:48" s="135" customFormat="1" x14ac:dyDescent="0.2">
      <c r="A1285" s="135" t="s">
        <v>352</v>
      </c>
      <c r="B1285" s="135" t="s">
        <v>4900</v>
      </c>
      <c r="C1285" s="135">
        <v>1</v>
      </c>
      <c r="D1285" s="135">
        <v>1</v>
      </c>
      <c r="E1285" s="135" t="s">
        <v>2601</v>
      </c>
      <c r="F1285" s="136">
        <v>43348</v>
      </c>
      <c r="G1285" s="136" t="s">
        <v>4032</v>
      </c>
      <c r="H1285" s="136" t="s">
        <v>4724</v>
      </c>
      <c r="I1285" s="172">
        <v>0.13194444444444445</v>
      </c>
      <c r="J1285" s="175">
        <v>2.1990740740740742E-3</v>
      </c>
      <c r="K1285" s="143">
        <v>190</v>
      </c>
      <c r="L1285" s="135" t="s">
        <v>397</v>
      </c>
      <c r="M1285" s="135" t="s">
        <v>173</v>
      </c>
      <c r="N1285" s="135" t="s">
        <v>102</v>
      </c>
      <c r="O1285" s="135" t="s">
        <v>115</v>
      </c>
      <c r="P1285" s="135">
        <v>1</v>
      </c>
      <c r="R1285" s="135">
        <v>0</v>
      </c>
      <c r="S1285" s="133" t="s">
        <v>112</v>
      </c>
      <c r="T1285" s="135" t="s">
        <v>2122</v>
      </c>
      <c r="U1285" s="135" t="s">
        <v>122</v>
      </c>
      <c r="V1285" s="135" t="s">
        <v>115</v>
      </c>
      <c r="W1285" s="135" t="s">
        <v>115</v>
      </c>
      <c r="X1285" s="135" t="s">
        <v>115</v>
      </c>
      <c r="Y1285" s="135" t="s">
        <v>115</v>
      </c>
      <c r="Z1285" s="133"/>
      <c r="AA1285" s="133"/>
      <c r="AB1285" s="135" t="s">
        <v>115</v>
      </c>
      <c r="AC1285" s="137" t="s">
        <v>115</v>
      </c>
      <c r="AD1285" s="137"/>
      <c r="AE1285" s="133"/>
      <c r="AF1285" s="133"/>
      <c r="AG1285" s="133"/>
      <c r="AH1285" s="135">
        <v>0</v>
      </c>
      <c r="AI1285" s="135">
        <v>0</v>
      </c>
      <c r="AJ1285" s="135">
        <v>0</v>
      </c>
      <c r="AK1285" s="135">
        <v>0</v>
      </c>
      <c r="AL1285" s="135">
        <v>39</v>
      </c>
      <c r="AM1285" s="135">
        <v>0</v>
      </c>
      <c r="AN1285" s="135">
        <f t="shared" si="21"/>
        <v>39</v>
      </c>
    </row>
    <row r="1286" spans="1:48" s="135" customFormat="1" x14ac:dyDescent="0.2">
      <c r="A1286" s="135" t="s">
        <v>467</v>
      </c>
      <c r="B1286" s="135" t="s">
        <v>4904</v>
      </c>
      <c r="C1286" s="135">
        <v>1</v>
      </c>
      <c r="D1286" s="135">
        <v>1</v>
      </c>
      <c r="E1286" s="135" t="s">
        <v>2601</v>
      </c>
      <c r="F1286" s="136">
        <v>43351</v>
      </c>
      <c r="G1286" s="136" t="s">
        <v>4032</v>
      </c>
      <c r="H1286" s="136" t="s">
        <v>4724</v>
      </c>
      <c r="I1286" s="172">
        <v>1.6666666666666666E-2</v>
      </c>
      <c r="J1286" s="175">
        <v>2.7777777777777778E-4</v>
      </c>
      <c r="K1286" s="143">
        <v>24</v>
      </c>
      <c r="M1286" s="135" t="s">
        <v>173</v>
      </c>
      <c r="N1286" s="135" t="s">
        <v>102</v>
      </c>
      <c r="O1286" s="135" t="s">
        <v>115</v>
      </c>
      <c r="P1286" s="135" t="s">
        <v>24</v>
      </c>
      <c r="R1286" s="135">
        <v>0</v>
      </c>
      <c r="S1286" s="133" t="s">
        <v>176</v>
      </c>
      <c r="T1286" s="135" t="s">
        <v>176</v>
      </c>
      <c r="U1286" s="135" t="s">
        <v>115</v>
      </c>
      <c r="V1286" s="135" t="s">
        <v>115</v>
      </c>
      <c r="W1286" s="135" t="s">
        <v>115</v>
      </c>
      <c r="X1286" s="135" t="s">
        <v>115</v>
      </c>
      <c r="Y1286" s="135" t="s">
        <v>115</v>
      </c>
      <c r="AB1286" s="135" t="s">
        <v>115</v>
      </c>
      <c r="AC1286" s="137" t="s">
        <v>115</v>
      </c>
      <c r="AD1286" s="137"/>
      <c r="AH1286" s="143">
        <v>0</v>
      </c>
      <c r="AI1286" s="143">
        <v>0</v>
      </c>
      <c r="AJ1286" s="143">
        <v>0</v>
      </c>
      <c r="AK1286" s="143">
        <v>0</v>
      </c>
      <c r="AL1286" s="143">
        <v>19</v>
      </c>
      <c r="AM1286" s="135">
        <v>0</v>
      </c>
      <c r="AN1286" s="135">
        <f t="shared" si="21"/>
        <v>19</v>
      </c>
      <c r="AO1286" s="135" t="s">
        <v>103</v>
      </c>
      <c r="AS1286" s="133"/>
      <c r="AT1286" s="133"/>
      <c r="AU1286" s="133"/>
      <c r="AV1286" s="133"/>
    </row>
    <row r="1287" spans="1:48" s="133" customFormat="1" x14ac:dyDescent="0.2">
      <c r="A1287" s="135" t="s">
        <v>468</v>
      </c>
      <c r="B1287" s="135" t="s">
        <v>4905</v>
      </c>
      <c r="C1287" s="135">
        <v>2</v>
      </c>
      <c r="D1287" s="135">
        <v>1</v>
      </c>
      <c r="E1287" s="135" t="s">
        <v>2601</v>
      </c>
      <c r="F1287" s="136">
        <v>43351</v>
      </c>
      <c r="G1287" s="136" t="s">
        <v>4032</v>
      </c>
      <c r="H1287" s="136" t="s">
        <v>4724</v>
      </c>
      <c r="I1287" s="172">
        <v>3.2638888888888891E-2</v>
      </c>
      <c r="J1287" s="175">
        <v>5.4398148148148144E-4</v>
      </c>
      <c r="K1287" s="143">
        <v>47</v>
      </c>
      <c r="L1287" s="135"/>
      <c r="M1287" s="135" t="s">
        <v>173</v>
      </c>
      <c r="N1287" s="135" t="s">
        <v>102</v>
      </c>
      <c r="O1287" s="135" t="s">
        <v>115</v>
      </c>
      <c r="P1287" s="135" t="s">
        <v>24</v>
      </c>
      <c r="Q1287" s="135"/>
      <c r="R1287" s="135">
        <v>0</v>
      </c>
      <c r="S1287" s="133" t="s">
        <v>176</v>
      </c>
      <c r="T1287" s="135" t="s">
        <v>176</v>
      </c>
      <c r="U1287" s="135" t="s">
        <v>115</v>
      </c>
      <c r="V1287" s="135" t="s">
        <v>115</v>
      </c>
      <c r="W1287" s="135" t="s">
        <v>115</v>
      </c>
      <c r="X1287" s="135" t="s">
        <v>115</v>
      </c>
      <c r="Y1287" s="135" t="s">
        <v>115</v>
      </c>
      <c r="Z1287" s="135"/>
      <c r="AA1287" s="135"/>
      <c r="AB1287" s="135" t="s">
        <v>115</v>
      </c>
      <c r="AC1287" s="137" t="s">
        <v>115</v>
      </c>
      <c r="AD1287" s="137"/>
      <c r="AE1287" s="135"/>
      <c r="AF1287" s="135"/>
      <c r="AG1287" s="135"/>
      <c r="AH1287" s="143">
        <v>0</v>
      </c>
      <c r="AI1287" s="143">
        <v>0</v>
      </c>
      <c r="AJ1287" s="143">
        <v>0</v>
      </c>
      <c r="AK1287" s="143">
        <v>0</v>
      </c>
      <c r="AL1287" s="143">
        <v>5</v>
      </c>
      <c r="AM1287" s="135">
        <v>0</v>
      </c>
      <c r="AN1287" s="135">
        <f t="shared" si="21"/>
        <v>5</v>
      </c>
      <c r="AO1287" s="135" t="s">
        <v>103</v>
      </c>
      <c r="AP1287" s="135"/>
      <c r="AQ1287" s="135"/>
      <c r="AR1287" s="135"/>
    </row>
    <row r="1288" spans="1:48" s="135" customFormat="1" x14ac:dyDescent="0.2">
      <c r="A1288" s="135" t="s">
        <v>469</v>
      </c>
      <c r="B1288" s="135" t="s">
        <v>4906</v>
      </c>
      <c r="C1288" s="135">
        <v>3</v>
      </c>
      <c r="D1288" s="135">
        <v>1</v>
      </c>
      <c r="E1288" s="135" t="s">
        <v>2601</v>
      </c>
      <c r="F1288" s="136">
        <v>43351</v>
      </c>
      <c r="G1288" s="136" t="s">
        <v>4032</v>
      </c>
      <c r="H1288" s="136" t="s">
        <v>4724</v>
      </c>
      <c r="I1288" s="172">
        <v>2.361111111111111E-2</v>
      </c>
      <c r="J1288" s="175">
        <v>3.9351851851851852E-4</v>
      </c>
      <c r="K1288" s="143">
        <v>34</v>
      </c>
      <c r="M1288" s="135" t="s">
        <v>173</v>
      </c>
      <c r="N1288" s="135" t="s">
        <v>102</v>
      </c>
      <c r="O1288" s="135" t="s">
        <v>115</v>
      </c>
      <c r="P1288" s="135" t="s">
        <v>24</v>
      </c>
      <c r="R1288" s="135">
        <v>0</v>
      </c>
      <c r="T1288" s="135" t="s">
        <v>115</v>
      </c>
      <c r="U1288" s="135" t="s">
        <v>115</v>
      </c>
      <c r="V1288" s="135" t="s">
        <v>115</v>
      </c>
      <c r="W1288" s="135" t="s">
        <v>115</v>
      </c>
      <c r="X1288" s="135" t="s">
        <v>115</v>
      </c>
      <c r="Y1288" s="135" t="s">
        <v>115</v>
      </c>
      <c r="AB1288" s="135" t="s">
        <v>115</v>
      </c>
      <c r="AC1288" s="137" t="s">
        <v>115</v>
      </c>
      <c r="AD1288" s="137"/>
      <c r="AH1288" s="143">
        <v>0</v>
      </c>
      <c r="AI1288" s="143">
        <v>0</v>
      </c>
      <c r="AJ1288" s="143">
        <v>0</v>
      </c>
      <c r="AK1288" s="143">
        <v>0</v>
      </c>
      <c r="AL1288" s="143">
        <v>16</v>
      </c>
      <c r="AM1288" s="135">
        <v>0</v>
      </c>
      <c r="AN1288" s="135">
        <f t="shared" si="21"/>
        <v>16</v>
      </c>
      <c r="AO1288" s="135" t="s">
        <v>103</v>
      </c>
      <c r="AS1288" s="133"/>
      <c r="AT1288" s="133"/>
      <c r="AU1288" s="133"/>
      <c r="AV1288" s="133"/>
    </row>
    <row r="1289" spans="1:48" s="135" customFormat="1" x14ac:dyDescent="0.2">
      <c r="A1289" s="135" t="s">
        <v>470</v>
      </c>
      <c r="B1289" s="135" t="s">
        <v>4907</v>
      </c>
      <c r="C1289" s="135">
        <v>4</v>
      </c>
      <c r="D1289" s="135">
        <v>1</v>
      </c>
      <c r="E1289" s="135" t="s">
        <v>2601</v>
      </c>
      <c r="F1289" s="136">
        <v>43351</v>
      </c>
      <c r="G1289" s="136" t="s">
        <v>4032</v>
      </c>
      <c r="H1289" s="136" t="s">
        <v>4724</v>
      </c>
      <c r="I1289" s="172">
        <v>2.8472222222222222E-2</v>
      </c>
      <c r="J1289" s="175">
        <v>4.7453703703703704E-4</v>
      </c>
      <c r="K1289" s="143">
        <v>41</v>
      </c>
      <c r="M1289" s="135" t="s">
        <v>173</v>
      </c>
      <c r="N1289" s="135" t="s">
        <v>102</v>
      </c>
      <c r="O1289" s="135" t="s">
        <v>23</v>
      </c>
      <c r="P1289" s="135" t="s">
        <v>24</v>
      </c>
      <c r="R1289" s="135">
        <v>0</v>
      </c>
      <c r="T1289" s="135" t="s">
        <v>115</v>
      </c>
      <c r="U1289" s="135" t="s">
        <v>115</v>
      </c>
      <c r="V1289" s="135" t="s">
        <v>115</v>
      </c>
      <c r="W1289" s="135" t="s">
        <v>115</v>
      </c>
      <c r="X1289" s="135" t="s">
        <v>115</v>
      </c>
      <c r="Y1289" s="135" t="s">
        <v>115</v>
      </c>
      <c r="Z1289" s="133"/>
      <c r="AA1289" s="133"/>
      <c r="AB1289" s="135" t="s">
        <v>115</v>
      </c>
      <c r="AC1289" s="137" t="s">
        <v>115</v>
      </c>
      <c r="AD1289" s="137"/>
      <c r="AE1289" s="133"/>
      <c r="AF1289" s="133"/>
      <c r="AG1289" s="133"/>
      <c r="AH1289" s="143">
        <v>15</v>
      </c>
      <c r="AI1289" s="143">
        <v>27</v>
      </c>
      <c r="AJ1289" s="143">
        <v>15</v>
      </c>
      <c r="AK1289" s="143">
        <v>27</v>
      </c>
      <c r="AL1289" s="143">
        <v>0</v>
      </c>
      <c r="AM1289" s="135">
        <v>0</v>
      </c>
      <c r="AN1289" s="135">
        <f t="shared" si="21"/>
        <v>42</v>
      </c>
      <c r="AS1289" s="133"/>
      <c r="AT1289" s="133"/>
      <c r="AU1289" s="133"/>
      <c r="AV1289" s="133"/>
    </row>
    <row r="1290" spans="1:48" s="135" customFormat="1" x14ac:dyDescent="0.2">
      <c r="A1290" s="133" t="s">
        <v>471</v>
      </c>
      <c r="B1290" s="133" t="s">
        <v>4911</v>
      </c>
      <c r="C1290" s="133">
        <v>5</v>
      </c>
      <c r="D1290" s="133">
        <v>1</v>
      </c>
      <c r="E1290" s="133" t="s">
        <v>2601</v>
      </c>
      <c r="F1290" s="138">
        <v>43351</v>
      </c>
      <c r="G1290" s="136" t="s">
        <v>4032</v>
      </c>
      <c r="H1290" s="136" t="s">
        <v>4724</v>
      </c>
      <c r="I1290" s="148">
        <v>1.3194444444444444E-2</v>
      </c>
      <c r="J1290" s="174">
        <v>2.199074074074074E-4</v>
      </c>
      <c r="K1290" s="139">
        <v>19</v>
      </c>
      <c r="L1290" s="133"/>
      <c r="M1290" s="133" t="s">
        <v>173</v>
      </c>
      <c r="N1290" s="133" t="s">
        <v>111</v>
      </c>
      <c r="O1290" s="133" t="s">
        <v>23</v>
      </c>
      <c r="P1290" s="133">
        <v>0</v>
      </c>
      <c r="Q1290" s="133"/>
      <c r="R1290" s="133">
        <v>1</v>
      </c>
      <c r="S1290" s="133" t="s">
        <v>112</v>
      </c>
      <c r="T1290" s="133" t="s">
        <v>112</v>
      </c>
      <c r="U1290" s="133" t="s">
        <v>122</v>
      </c>
      <c r="V1290" s="133" t="s">
        <v>333</v>
      </c>
      <c r="W1290" s="135" t="s">
        <v>23</v>
      </c>
      <c r="X1290" s="135" t="s">
        <v>3999</v>
      </c>
      <c r="Y1290" s="135" t="s">
        <v>4006</v>
      </c>
      <c r="Z1290" s="133"/>
      <c r="AA1290" s="133"/>
      <c r="AB1290" s="133" t="s">
        <v>176</v>
      </c>
      <c r="AC1290" s="134">
        <v>63.724820000000001</v>
      </c>
      <c r="AD1290" s="134">
        <v>148.95699999999999</v>
      </c>
      <c r="AE1290" s="133"/>
      <c r="AF1290" s="133"/>
      <c r="AG1290" s="133"/>
      <c r="AH1290" s="139">
        <v>0</v>
      </c>
      <c r="AI1290" s="139">
        <v>0</v>
      </c>
      <c r="AJ1290" s="139">
        <v>0</v>
      </c>
      <c r="AK1290" s="139">
        <v>0</v>
      </c>
      <c r="AL1290" s="139">
        <v>0</v>
      </c>
      <c r="AM1290" s="133">
        <v>0</v>
      </c>
      <c r="AN1290" s="133">
        <f t="shared" si="21"/>
        <v>0</v>
      </c>
      <c r="AO1290" s="133"/>
      <c r="AP1290" s="133"/>
      <c r="AQ1290" s="133"/>
      <c r="AR1290" s="133"/>
    </row>
    <row r="1291" spans="1:48" s="135" customFormat="1" x14ac:dyDescent="0.2">
      <c r="A1291" s="133" t="s">
        <v>473</v>
      </c>
      <c r="B1291" s="133" t="s">
        <v>4908</v>
      </c>
      <c r="C1291" s="133">
        <v>6</v>
      </c>
      <c r="D1291" s="133">
        <v>1</v>
      </c>
      <c r="E1291" s="133" t="s">
        <v>2601</v>
      </c>
      <c r="F1291" s="138">
        <v>43351</v>
      </c>
      <c r="G1291" s="136" t="s">
        <v>4032</v>
      </c>
      <c r="H1291" s="136" t="s">
        <v>4724</v>
      </c>
      <c r="I1291" s="148">
        <v>3.472222222222222E-3</v>
      </c>
      <c r="J1291" s="174">
        <v>5.7870370370370366E-5</v>
      </c>
      <c r="K1291" s="139">
        <v>5</v>
      </c>
      <c r="L1291" s="133"/>
      <c r="M1291" s="133" t="s">
        <v>173</v>
      </c>
      <c r="N1291" s="133" t="s">
        <v>107</v>
      </c>
      <c r="O1291" s="133" t="s">
        <v>23</v>
      </c>
      <c r="P1291" s="133" t="s">
        <v>24</v>
      </c>
      <c r="Q1291" s="133"/>
      <c r="R1291" s="133">
        <v>0</v>
      </c>
      <c r="S1291" s="133" t="s">
        <v>112</v>
      </c>
      <c r="T1291" s="133" t="s">
        <v>112</v>
      </c>
      <c r="U1291" s="133" t="s">
        <v>24</v>
      </c>
      <c r="V1291" s="133" t="s">
        <v>115</v>
      </c>
      <c r="W1291" s="135" t="s">
        <v>115</v>
      </c>
      <c r="X1291" s="135" t="s">
        <v>115</v>
      </c>
      <c r="Y1291" s="135" t="s">
        <v>115</v>
      </c>
      <c r="AB1291" s="133" t="s">
        <v>115</v>
      </c>
      <c r="AC1291" s="134" t="s">
        <v>115</v>
      </c>
      <c r="AD1291" s="134"/>
      <c r="AH1291" s="139">
        <v>0</v>
      </c>
      <c r="AI1291" s="139">
        <v>0</v>
      </c>
      <c r="AJ1291" s="139">
        <v>0</v>
      </c>
      <c r="AK1291" s="139">
        <v>0</v>
      </c>
      <c r="AL1291" s="139">
        <v>0</v>
      </c>
      <c r="AM1291" s="133">
        <v>0</v>
      </c>
      <c r="AN1291" s="133">
        <f t="shared" si="21"/>
        <v>0</v>
      </c>
      <c r="AO1291" s="133"/>
      <c r="AP1291" s="133" t="s">
        <v>474</v>
      </c>
      <c r="AQ1291" s="133"/>
      <c r="AR1291" s="133"/>
      <c r="AS1291" s="133"/>
      <c r="AT1291" s="133"/>
      <c r="AU1291" s="133"/>
      <c r="AV1291" s="133"/>
    </row>
    <row r="1292" spans="1:48" s="135" customFormat="1" x14ac:dyDescent="0.2">
      <c r="A1292" s="135" t="s">
        <v>475</v>
      </c>
      <c r="B1292" s="135" t="s">
        <v>4909</v>
      </c>
      <c r="C1292" s="135">
        <v>7</v>
      </c>
      <c r="D1292" s="135">
        <v>1</v>
      </c>
      <c r="E1292" s="135" t="s">
        <v>2601</v>
      </c>
      <c r="F1292" s="136">
        <v>43351</v>
      </c>
      <c r="G1292" s="136" t="s">
        <v>4032</v>
      </c>
      <c r="H1292" s="136" t="s">
        <v>4724</v>
      </c>
      <c r="I1292" s="172">
        <v>2.2222222222222223E-2</v>
      </c>
      <c r="J1292" s="175">
        <v>3.7037037037037035E-4</v>
      </c>
      <c r="K1292" s="143">
        <v>32</v>
      </c>
      <c r="M1292" s="135" t="s">
        <v>173</v>
      </c>
      <c r="N1292" s="135" t="s">
        <v>187</v>
      </c>
      <c r="O1292" s="135" t="s">
        <v>23</v>
      </c>
      <c r="P1292" s="135">
        <v>1</v>
      </c>
      <c r="R1292" s="135">
        <v>1</v>
      </c>
      <c r="S1292" s="133" t="s">
        <v>112</v>
      </c>
      <c r="T1292" s="135" t="s">
        <v>112</v>
      </c>
      <c r="U1292" s="135" t="s">
        <v>122</v>
      </c>
      <c r="V1292" s="135" t="s">
        <v>333</v>
      </c>
      <c r="W1292" s="135" t="s">
        <v>23</v>
      </c>
      <c r="X1292" s="135" t="s">
        <v>3999</v>
      </c>
      <c r="Y1292" s="135" t="s">
        <v>4006</v>
      </c>
      <c r="Z1292" s="133"/>
      <c r="AA1292" s="133"/>
      <c r="AB1292" s="135" t="s">
        <v>176</v>
      </c>
      <c r="AC1292" s="137">
        <v>63.724640000000001</v>
      </c>
      <c r="AD1292" s="137">
        <v>148.95958999999999</v>
      </c>
      <c r="AE1292" s="133"/>
      <c r="AF1292" s="133"/>
      <c r="AG1292" s="133"/>
      <c r="AH1292" s="143">
        <v>0</v>
      </c>
      <c r="AI1292" s="143">
        <v>0</v>
      </c>
      <c r="AJ1292" s="143">
        <v>0</v>
      </c>
      <c r="AK1292" s="143">
        <v>0</v>
      </c>
      <c r="AL1292" s="143">
        <v>19</v>
      </c>
      <c r="AM1292" s="135">
        <v>0</v>
      </c>
      <c r="AN1292" s="135">
        <f t="shared" si="21"/>
        <v>19</v>
      </c>
      <c r="AO1292" s="135" t="s">
        <v>303</v>
      </c>
      <c r="AS1292" s="133"/>
      <c r="AT1292" s="133"/>
      <c r="AU1292" s="133"/>
      <c r="AV1292" s="133"/>
    </row>
    <row r="1293" spans="1:48" s="135" customFormat="1" x14ac:dyDescent="0.2">
      <c r="A1293" s="133" t="s">
        <v>477</v>
      </c>
      <c r="B1293" s="133" t="s">
        <v>4912</v>
      </c>
      <c r="C1293" s="133">
        <v>8</v>
      </c>
      <c r="D1293" s="133">
        <v>1</v>
      </c>
      <c r="E1293" s="133" t="s">
        <v>2601</v>
      </c>
      <c r="F1293" s="138">
        <v>43351</v>
      </c>
      <c r="G1293" s="136" t="s">
        <v>4032</v>
      </c>
      <c r="H1293" s="136" t="s">
        <v>4724</v>
      </c>
      <c r="I1293" s="148">
        <v>1.4583333333333332E-2</v>
      </c>
      <c r="J1293" s="174">
        <v>2.4305555555555552E-4</v>
      </c>
      <c r="K1293" s="139">
        <v>21</v>
      </c>
      <c r="L1293" s="133"/>
      <c r="M1293" s="133" t="s">
        <v>173</v>
      </c>
      <c r="N1293" s="133" t="s">
        <v>111</v>
      </c>
      <c r="O1293" s="133" t="s">
        <v>23</v>
      </c>
      <c r="P1293" s="133">
        <v>0</v>
      </c>
      <c r="Q1293" s="133"/>
      <c r="R1293" s="133">
        <v>1</v>
      </c>
      <c r="S1293" s="133" t="s">
        <v>176</v>
      </c>
      <c r="T1293" s="133" t="s">
        <v>176</v>
      </c>
      <c r="U1293" s="133" t="s">
        <v>24</v>
      </c>
      <c r="V1293" s="133" t="s">
        <v>333</v>
      </c>
      <c r="W1293" s="135" t="s">
        <v>23</v>
      </c>
      <c r="X1293" s="135" t="s">
        <v>3999</v>
      </c>
      <c r="Y1293" s="135" t="s">
        <v>4006</v>
      </c>
      <c r="Z1293" s="133"/>
      <c r="AA1293" s="133"/>
      <c r="AB1293" s="133" t="s">
        <v>176</v>
      </c>
      <c r="AC1293" s="134">
        <v>63.724600000000002</v>
      </c>
      <c r="AD1293" s="134">
        <v>148.95944</v>
      </c>
      <c r="AE1293" s="133"/>
      <c r="AF1293" s="133"/>
      <c r="AG1293" s="133"/>
      <c r="AH1293" s="139">
        <v>0</v>
      </c>
      <c r="AI1293" s="139">
        <v>0</v>
      </c>
      <c r="AJ1293" s="139">
        <v>0</v>
      </c>
      <c r="AK1293" s="139">
        <v>0</v>
      </c>
      <c r="AL1293" s="139">
        <v>0</v>
      </c>
      <c r="AM1293" s="133">
        <v>0</v>
      </c>
      <c r="AN1293" s="133">
        <f t="shared" si="21"/>
        <v>0</v>
      </c>
      <c r="AO1293" s="133"/>
      <c r="AP1293" s="133" t="s">
        <v>4913</v>
      </c>
      <c r="AQ1293" s="133"/>
      <c r="AR1293" s="133"/>
    </row>
    <row r="1294" spans="1:48" s="135" customFormat="1" x14ac:dyDescent="0.2">
      <c r="A1294" s="133" t="s">
        <v>480</v>
      </c>
      <c r="B1294" s="133" t="s">
        <v>4910</v>
      </c>
      <c r="C1294" s="133">
        <v>9</v>
      </c>
      <c r="D1294" s="133">
        <v>1</v>
      </c>
      <c r="E1294" s="133" t="s">
        <v>2601</v>
      </c>
      <c r="F1294" s="138">
        <v>43351</v>
      </c>
      <c r="G1294" s="136" t="s">
        <v>4032</v>
      </c>
      <c r="H1294" s="136" t="s">
        <v>4724</v>
      </c>
      <c r="I1294" s="148">
        <v>2.5694444444444447E-2</v>
      </c>
      <c r="J1294" s="174">
        <v>4.2824074074074075E-4</v>
      </c>
      <c r="K1294" s="139">
        <v>37</v>
      </c>
      <c r="L1294" s="133"/>
      <c r="M1294" s="133" t="s">
        <v>173</v>
      </c>
      <c r="N1294" s="133" t="s">
        <v>102</v>
      </c>
      <c r="O1294" s="133" t="s">
        <v>23</v>
      </c>
      <c r="P1294" s="133">
        <v>1</v>
      </c>
      <c r="Q1294" s="133"/>
      <c r="R1294" s="133">
        <v>1</v>
      </c>
      <c r="S1294" s="133" t="s">
        <v>176</v>
      </c>
      <c r="T1294" s="133" t="s">
        <v>2120</v>
      </c>
      <c r="U1294" s="133" t="s">
        <v>122</v>
      </c>
      <c r="V1294" s="133" t="s">
        <v>333</v>
      </c>
      <c r="W1294" s="135" t="s">
        <v>23</v>
      </c>
      <c r="X1294" s="135" t="s">
        <v>3999</v>
      </c>
      <c r="Y1294" s="135" t="s">
        <v>4006</v>
      </c>
      <c r="Z1294" s="133"/>
      <c r="AA1294" s="133"/>
      <c r="AB1294" s="133" t="s">
        <v>176</v>
      </c>
      <c r="AC1294" s="134">
        <v>63.724620000000002</v>
      </c>
      <c r="AD1294" s="134">
        <v>148.95992000000001</v>
      </c>
      <c r="AE1294" s="133"/>
      <c r="AF1294" s="133"/>
      <c r="AG1294" s="133"/>
      <c r="AH1294" s="139">
        <v>0</v>
      </c>
      <c r="AI1294" s="139">
        <v>0</v>
      </c>
      <c r="AJ1294" s="139">
        <v>0</v>
      </c>
      <c r="AK1294" s="139">
        <v>0</v>
      </c>
      <c r="AL1294" s="139">
        <v>0</v>
      </c>
      <c r="AM1294" s="133">
        <v>0</v>
      </c>
      <c r="AN1294" s="133">
        <f t="shared" si="21"/>
        <v>0</v>
      </c>
      <c r="AO1294" s="133"/>
      <c r="AP1294" s="133" t="s">
        <v>2152</v>
      </c>
      <c r="AQ1294" s="133"/>
      <c r="AR1294" s="133"/>
      <c r="AS1294" s="133"/>
      <c r="AT1294" s="133"/>
      <c r="AU1294" s="133"/>
      <c r="AV1294" s="133"/>
    </row>
    <row r="1295" spans="1:48" s="133" customFormat="1" x14ac:dyDescent="0.2">
      <c r="A1295" s="135" t="s">
        <v>621</v>
      </c>
      <c r="B1295" s="135" t="s">
        <v>4918</v>
      </c>
      <c r="C1295" s="135">
        <v>1</v>
      </c>
      <c r="D1295" s="135">
        <v>1</v>
      </c>
      <c r="E1295" s="135" t="s">
        <v>2601</v>
      </c>
      <c r="F1295" s="136">
        <v>43355</v>
      </c>
      <c r="G1295" s="136" t="s">
        <v>4032</v>
      </c>
      <c r="H1295" s="136" t="s">
        <v>4724</v>
      </c>
      <c r="I1295" s="172">
        <v>4.6527777777777779E-2</v>
      </c>
      <c r="J1295" s="175">
        <v>7.7546296296296304E-4</v>
      </c>
      <c r="K1295" s="143">
        <v>67</v>
      </c>
      <c r="L1295" s="135" t="s">
        <v>398</v>
      </c>
      <c r="M1295" s="135" t="s">
        <v>173</v>
      </c>
      <c r="N1295" s="135" t="s">
        <v>102</v>
      </c>
      <c r="O1295" s="135" t="s">
        <v>115</v>
      </c>
      <c r="P1295" s="135">
        <v>2</v>
      </c>
      <c r="Q1295" s="135"/>
      <c r="R1295" s="135">
        <v>0</v>
      </c>
      <c r="S1295" s="133" t="s">
        <v>14</v>
      </c>
      <c r="T1295" s="135" t="s">
        <v>2128</v>
      </c>
      <c r="U1295" s="135" t="s">
        <v>122</v>
      </c>
      <c r="V1295" s="135" t="s">
        <v>115</v>
      </c>
      <c r="W1295" s="135" t="s">
        <v>115</v>
      </c>
      <c r="X1295" s="135" t="s">
        <v>115</v>
      </c>
      <c r="Y1295" s="135" t="s">
        <v>115</v>
      </c>
      <c r="AB1295" s="135" t="s">
        <v>115</v>
      </c>
      <c r="AC1295" s="137" t="s">
        <v>115</v>
      </c>
      <c r="AD1295" s="137"/>
      <c r="AH1295" s="143">
        <v>0</v>
      </c>
      <c r="AI1295" s="143">
        <v>0</v>
      </c>
      <c r="AJ1295" s="143">
        <v>0</v>
      </c>
      <c r="AK1295" s="143">
        <v>0</v>
      </c>
      <c r="AL1295" s="143">
        <v>62</v>
      </c>
      <c r="AM1295" s="135">
        <v>0</v>
      </c>
      <c r="AN1295" s="135">
        <f t="shared" si="21"/>
        <v>62</v>
      </c>
      <c r="AO1295" s="135" t="s">
        <v>103</v>
      </c>
      <c r="AP1295" s="135"/>
      <c r="AQ1295" s="135"/>
      <c r="AR1295" s="135"/>
      <c r="AS1295" s="135"/>
      <c r="AT1295" s="135"/>
      <c r="AU1295" s="135"/>
      <c r="AV1295" s="135"/>
    </row>
    <row r="1296" spans="1:48" s="135" customFormat="1" x14ac:dyDescent="0.2">
      <c r="A1296" s="133" t="s">
        <v>621</v>
      </c>
      <c r="B1296" s="133" t="s">
        <v>4918</v>
      </c>
      <c r="C1296" s="133">
        <v>1</v>
      </c>
      <c r="D1296" s="133">
        <v>2</v>
      </c>
      <c r="E1296" s="133" t="s">
        <v>2601</v>
      </c>
      <c r="F1296" s="138">
        <v>43355</v>
      </c>
      <c r="G1296" s="136" t="s">
        <v>4032</v>
      </c>
      <c r="H1296" s="136" t="s">
        <v>4724</v>
      </c>
      <c r="I1296" s="148">
        <v>4.6527777777777779E-2</v>
      </c>
      <c r="J1296" s="174">
        <v>7.7546296296296304E-4</v>
      </c>
      <c r="K1296" s="139">
        <v>67</v>
      </c>
      <c r="L1296" s="133" t="s">
        <v>398</v>
      </c>
      <c r="M1296" s="133" t="s">
        <v>173</v>
      </c>
      <c r="N1296" s="133" t="s">
        <v>102</v>
      </c>
      <c r="O1296" s="133" t="s">
        <v>115</v>
      </c>
      <c r="P1296" s="133">
        <v>1</v>
      </c>
      <c r="Q1296" s="133"/>
      <c r="R1296" s="133">
        <v>0</v>
      </c>
      <c r="S1296" s="133" t="s">
        <v>176</v>
      </c>
      <c r="T1296" s="133" t="s">
        <v>176</v>
      </c>
      <c r="U1296" s="133" t="s">
        <v>122</v>
      </c>
      <c r="V1296" s="133" t="s">
        <v>115</v>
      </c>
      <c r="W1296" s="135" t="s">
        <v>115</v>
      </c>
      <c r="X1296" s="135" t="s">
        <v>115</v>
      </c>
      <c r="Y1296" s="135" t="s">
        <v>115</v>
      </c>
      <c r="Z1296" s="133"/>
      <c r="AA1296" s="133"/>
      <c r="AB1296" s="133" t="s">
        <v>115</v>
      </c>
      <c r="AC1296" s="134" t="s">
        <v>115</v>
      </c>
      <c r="AD1296" s="134"/>
      <c r="AE1296" s="133"/>
      <c r="AF1296" s="133"/>
      <c r="AG1296" s="133"/>
      <c r="AH1296" s="139">
        <v>0</v>
      </c>
      <c r="AI1296" s="139">
        <v>0</v>
      </c>
      <c r="AJ1296" s="139">
        <v>0</v>
      </c>
      <c r="AK1296" s="139">
        <v>0</v>
      </c>
      <c r="AL1296" s="139">
        <v>0</v>
      </c>
      <c r="AM1296" s="133">
        <v>0</v>
      </c>
      <c r="AN1296" s="133">
        <f t="shared" si="21"/>
        <v>0</v>
      </c>
      <c r="AO1296" s="133" t="s">
        <v>103</v>
      </c>
      <c r="AP1296" s="133"/>
      <c r="AQ1296" s="133"/>
      <c r="AR1296" s="133"/>
      <c r="AS1296" s="133"/>
      <c r="AT1296" s="133"/>
      <c r="AU1296" s="133"/>
      <c r="AV1296" s="133"/>
    </row>
    <row r="1297" spans="1:48" s="135" customFormat="1" x14ac:dyDescent="0.2">
      <c r="A1297" s="135" t="s">
        <v>628</v>
      </c>
      <c r="B1297" s="135" t="s">
        <v>4917</v>
      </c>
      <c r="C1297" s="135">
        <v>4</v>
      </c>
      <c r="D1297" s="135">
        <v>1</v>
      </c>
      <c r="E1297" s="135" t="s">
        <v>2601</v>
      </c>
      <c r="F1297" s="136">
        <v>43355</v>
      </c>
      <c r="G1297" s="136" t="s">
        <v>4032</v>
      </c>
      <c r="H1297" s="136" t="s">
        <v>4724</v>
      </c>
      <c r="I1297" s="172">
        <v>1.9444444444444445E-2</v>
      </c>
      <c r="J1297" s="175">
        <v>3.2407407407407406E-4</v>
      </c>
      <c r="K1297" s="143">
        <v>28</v>
      </c>
      <c r="L1297" s="135" t="s">
        <v>398</v>
      </c>
      <c r="M1297" s="135" t="s">
        <v>173</v>
      </c>
      <c r="N1297" s="135" t="s">
        <v>102</v>
      </c>
      <c r="O1297" s="135" t="s">
        <v>115</v>
      </c>
      <c r="P1297" s="135" t="s">
        <v>24</v>
      </c>
      <c r="R1297" s="135">
        <v>0</v>
      </c>
      <c r="T1297" s="135" t="s">
        <v>115</v>
      </c>
      <c r="U1297" s="135" t="s">
        <v>115</v>
      </c>
      <c r="V1297" s="135" t="s">
        <v>115</v>
      </c>
      <c r="W1297" s="135" t="s">
        <v>115</v>
      </c>
      <c r="X1297" s="135" t="s">
        <v>115</v>
      </c>
      <c r="Y1297" s="135" t="s">
        <v>115</v>
      </c>
      <c r="AB1297" s="135" t="s">
        <v>115</v>
      </c>
      <c r="AC1297" s="137" t="s">
        <v>115</v>
      </c>
      <c r="AD1297" s="137"/>
      <c r="AH1297" s="143">
        <v>0</v>
      </c>
      <c r="AI1297" s="143">
        <v>0</v>
      </c>
      <c r="AJ1297" s="143">
        <v>0</v>
      </c>
      <c r="AK1297" s="143">
        <v>0</v>
      </c>
      <c r="AL1297" s="143">
        <v>10</v>
      </c>
      <c r="AM1297" s="135">
        <v>0</v>
      </c>
      <c r="AN1297" s="135">
        <f t="shared" si="21"/>
        <v>10</v>
      </c>
      <c r="AS1297" s="133"/>
      <c r="AT1297" s="133"/>
      <c r="AU1297" s="133"/>
      <c r="AV1297" s="133"/>
    </row>
    <row r="1298" spans="1:48" s="135" customFormat="1" x14ac:dyDescent="0.2">
      <c r="A1298" s="133" t="s">
        <v>635</v>
      </c>
      <c r="B1298" s="133" t="s">
        <v>4922</v>
      </c>
      <c r="C1298" s="133">
        <v>8</v>
      </c>
      <c r="D1298" s="133">
        <v>1</v>
      </c>
      <c r="E1298" s="133" t="s">
        <v>2601</v>
      </c>
      <c r="F1298" s="138">
        <v>43355</v>
      </c>
      <c r="G1298" s="136" t="s">
        <v>4032</v>
      </c>
      <c r="H1298" s="136" t="s">
        <v>4724</v>
      </c>
      <c r="I1298" s="148">
        <v>1.8055555555555557E-2</v>
      </c>
      <c r="J1298" s="174">
        <v>3.0092592592592595E-4</v>
      </c>
      <c r="K1298" s="139">
        <v>26</v>
      </c>
      <c r="L1298" s="133" t="s">
        <v>398</v>
      </c>
      <c r="M1298" s="133" t="s">
        <v>173</v>
      </c>
      <c r="N1298" s="133" t="s">
        <v>111</v>
      </c>
      <c r="O1298" s="133" t="s">
        <v>23</v>
      </c>
      <c r="P1298" s="133">
        <v>1</v>
      </c>
      <c r="Q1298" s="133"/>
      <c r="R1298" s="133">
        <v>1</v>
      </c>
      <c r="S1298" s="133" t="s">
        <v>176</v>
      </c>
      <c r="T1298" s="133" t="s">
        <v>176</v>
      </c>
      <c r="U1298" s="133" t="s">
        <v>333</v>
      </c>
      <c r="V1298" s="133" t="s">
        <v>1035</v>
      </c>
      <c r="W1298" s="135" t="s">
        <v>23</v>
      </c>
      <c r="X1298" s="135" t="s">
        <v>3997</v>
      </c>
      <c r="Y1298" s="135" t="s">
        <v>4006</v>
      </c>
      <c r="Z1298" s="133"/>
      <c r="AA1298" s="133"/>
      <c r="AB1298" s="133" t="s">
        <v>176</v>
      </c>
      <c r="AC1298" s="134">
        <v>63.725990000000003</v>
      </c>
      <c r="AD1298" s="134">
        <v>148.95717999999999</v>
      </c>
      <c r="AE1298" s="133"/>
      <c r="AF1298" s="133"/>
      <c r="AG1298" s="133"/>
      <c r="AH1298" s="139">
        <v>0</v>
      </c>
      <c r="AI1298" s="139">
        <v>0</v>
      </c>
      <c r="AJ1298" s="139">
        <v>0</v>
      </c>
      <c r="AK1298" s="139">
        <v>0</v>
      </c>
      <c r="AL1298" s="139">
        <v>0</v>
      </c>
      <c r="AM1298" s="133">
        <v>0</v>
      </c>
      <c r="AN1298" s="133">
        <f t="shared" si="21"/>
        <v>0</v>
      </c>
      <c r="AO1298" s="133"/>
      <c r="AP1298" s="133" t="s">
        <v>637</v>
      </c>
      <c r="AQ1298" s="133"/>
      <c r="AR1298" s="133"/>
      <c r="AS1298" s="133"/>
      <c r="AT1298" s="133"/>
      <c r="AU1298" s="133"/>
      <c r="AV1298" s="133"/>
    </row>
    <row r="1299" spans="1:48" s="135" customFormat="1" x14ac:dyDescent="0.2">
      <c r="A1299" s="133" t="s">
        <v>689</v>
      </c>
      <c r="B1299" s="133" t="s">
        <v>4935</v>
      </c>
      <c r="C1299" s="133">
        <v>1</v>
      </c>
      <c r="D1299" s="133">
        <v>1</v>
      </c>
      <c r="E1299" s="133" t="s">
        <v>2601</v>
      </c>
      <c r="F1299" s="138">
        <v>43358</v>
      </c>
      <c r="G1299" s="136" t="s">
        <v>4032</v>
      </c>
      <c r="H1299" s="136" t="s">
        <v>4724</v>
      </c>
      <c r="I1299" s="148">
        <v>9.0277777777777787E-3</v>
      </c>
      <c r="J1299" s="174">
        <v>1.5046296296296297E-4</v>
      </c>
      <c r="K1299" s="139">
        <v>13</v>
      </c>
      <c r="L1299" s="133" t="s">
        <v>640</v>
      </c>
      <c r="M1299" s="133" t="s">
        <v>173</v>
      </c>
      <c r="N1299" s="133" t="s">
        <v>111</v>
      </c>
      <c r="O1299" s="133" t="s">
        <v>23</v>
      </c>
      <c r="P1299" s="133" t="s">
        <v>115</v>
      </c>
      <c r="Q1299" s="133"/>
      <c r="R1299" s="133">
        <v>1</v>
      </c>
      <c r="S1299" s="133" t="s">
        <v>461</v>
      </c>
      <c r="T1299" s="133" t="s">
        <v>2125</v>
      </c>
      <c r="U1299" s="133" t="s">
        <v>115</v>
      </c>
      <c r="V1299" s="133" t="s">
        <v>333</v>
      </c>
      <c r="W1299" s="140" t="s">
        <v>23</v>
      </c>
      <c r="X1299" s="140" t="s">
        <v>3999</v>
      </c>
      <c r="Y1299" s="140" t="s">
        <v>4006</v>
      </c>
      <c r="AB1299" s="133">
        <v>19</v>
      </c>
      <c r="AC1299" s="134">
        <v>63.724809999999998</v>
      </c>
      <c r="AD1299" s="134">
        <v>148.95639</v>
      </c>
      <c r="AH1299" s="139">
        <v>0</v>
      </c>
      <c r="AI1299" s="139">
        <v>0</v>
      </c>
      <c r="AJ1299" s="139">
        <v>0</v>
      </c>
      <c r="AK1299" s="139">
        <v>0</v>
      </c>
      <c r="AL1299" s="139">
        <v>0</v>
      </c>
      <c r="AM1299" s="133">
        <v>0</v>
      </c>
      <c r="AN1299" s="133">
        <f t="shared" si="21"/>
        <v>0</v>
      </c>
      <c r="AO1299" s="133"/>
      <c r="AP1299" s="133" t="s">
        <v>691</v>
      </c>
      <c r="AQ1299" s="133"/>
      <c r="AR1299" s="133"/>
    </row>
    <row r="1300" spans="1:48" s="133" customFormat="1" x14ac:dyDescent="0.2">
      <c r="A1300" s="133" t="s">
        <v>692</v>
      </c>
      <c r="B1300" s="133" t="s">
        <v>4938</v>
      </c>
      <c r="C1300" s="133">
        <v>2</v>
      </c>
      <c r="D1300" s="133">
        <v>1</v>
      </c>
      <c r="E1300" s="133" t="s">
        <v>2601</v>
      </c>
      <c r="F1300" s="138">
        <v>43358</v>
      </c>
      <c r="G1300" s="136" t="s">
        <v>4032</v>
      </c>
      <c r="H1300" s="136" t="s">
        <v>4724</v>
      </c>
      <c r="I1300" s="148">
        <v>2.7777777777777779E-3</v>
      </c>
      <c r="J1300" s="174">
        <v>4.6296296296296294E-5</v>
      </c>
      <c r="K1300" s="139">
        <v>4</v>
      </c>
      <c r="L1300" s="133" t="s">
        <v>640</v>
      </c>
      <c r="M1300" s="133" t="s">
        <v>173</v>
      </c>
      <c r="N1300" s="133" t="s">
        <v>102</v>
      </c>
      <c r="O1300" s="133" t="s">
        <v>115</v>
      </c>
      <c r="P1300" s="133">
        <v>1</v>
      </c>
      <c r="R1300" s="133">
        <v>0</v>
      </c>
      <c r="S1300" s="133" t="s">
        <v>461</v>
      </c>
      <c r="T1300" s="133" t="s">
        <v>2125</v>
      </c>
      <c r="U1300" s="133" t="s">
        <v>122</v>
      </c>
      <c r="V1300" s="133" t="s">
        <v>115</v>
      </c>
      <c r="W1300" s="135" t="s">
        <v>115</v>
      </c>
      <c r="X1300" s="135" t="s">
        <v>115</v>
      </c>
      <c r="Y1300" s="135" t="s">
        <v>115</v>
      </c>
      <c r="AB1300" s="133" t="s">
        <v>115</v>
      </c>
      <c r="AC1300" s="134" t="s">
        <v>115</v>
      </c>
      <c r="AD1300" s="134"/>
      <c r="AH1300" s="139">
        <v>0</v>
      </c>
      <c r="AI1300" s="139">
        <v>0</v>
      </c>
      <c r="AJ1300" s="139">
        <v>0</v>
      </c>
      <c r="AK1300" s="139">
        <v>0</v>
      </c>
      <c r="AL1300" s="139">
        <v>0</v>
      </c>
      <c r="AM1300" s="133">
        <v>0</v>
      </c>
      <c r="AN1300" s="133">
        <f t="shared" si="21"/>
        <v>0</v>
      </c>
      <c r="AP1300" s="133" t="s">
        <v>691</v>
      </c>
    </row>
    <row r="1301" spans="1:48" s="133" customFormat="1" x14ac:dyDescent="0.2">
      <c r="A1301" s="133" t="s">
        <v>696</v>
      </c>
      <c r="B1301" s="133" t="s">
        <v>4940</v>
      </c>
      <c r="C1301" s="133">
        <v>4</v>
      </c>
      <c r="D1301" s="133">
        <v>1</v>
      </c>
      <c r="E1301" s="133" t="s">
        <v>2601</v>
      </c>
      <c r="F1301" s="138">
        <v>43358</v>
      </c>
      <c r="G1301" s="136" t="s">
        <v>4032</v>
      </c>
      <c r="H1301" s="136" t="s">
        <v>4724</v>
      </c>
      <c r="I1301" s="148">
        <v>1.5972222222222224E-2</v>
      </c>
      <c r="J1301" s="174">
        <v>2.6620370370370372E-4</v>
      </c>
      <c r="K1301" s="139">
        <v>23</v>
      </c>
      <c r="L1301" s="133" t="s">
        <v>640</v>
      </c>
      <c r="M1301" s="133" t="s">
        <v>173</v>
      </c>
      <c r="N1301" s="133" t="s">
        <v>102</v>
      </c>
      <c r="O1301" s="133" t="s">
        <v>115</v>
      </c>
      <c r="P1301" s="133">
        <v>1</v>
      </c>
      <c r="R1301" s="133">
        <v>0</v>
      </c>
      <c r="S1301" s="133" t="s">
        <v>461</v>
      </c>
      <c r="T1301" s="133" t="s">
        <v>2125</v>
      </c>
      <c r="U1301" s="133" t="s">
        <v>122</v>
      </c>
      <c r="V1301" s="133" t="s">
        <v>115</v>
      </c>
      <c r="W1301" s="135" t="s">
        <v>115</v>
      </c>
      <c r="X1301" s="135" t="s">
        <v>115</v>
      </c>
      <c r="Y1301" s="135" t="s">
        <v>115</v>
      </c>
      <c r="AB1301" s="133" t="s">
        <v>115</v>
      </c>
      <c r="AC1301" s="134" t="s">
        <v>115</v>
      </c>
      <c r="AD1301" s="134"/>
      <c r="AH1301" s="139">
        <v>0</v>
      </c>
      <c r="AI1301" s="139">
        <v>0</v>
      </c>
      <c r="AJ1301" s="139">
        <v>0</v>
      </c>
      <c r="AK1301" s="139">
        <v>0</v>
      </c>
      <c r="AL1301" s="139">
        <v>0</v>
      </c>
      <c r="AM1301" s="133">
        <v>0</v>
      </c>
      <c r="AN1301" s="133">
        <f t="shared" si="21"/>
        <v>0</v>
      </c>
      <c r="AP1301" s="133" t="s">
        <v>691</v>
      </c>
    </row>
    <row r="1302" spans="1:48" s="133" customFormat="1" x14ac:dyDescent="0.2">
      <c r="A1302" s="133" t="s">
        <v>697</v>
      </c>
      <c r="B1302" s="133" t="s">
        <v>4941</v>
      </c>
      <c r="C1302" s="133">
        <v>5</v>
      </c>
      <c r="D1302" s="133">
        <v>1</v>
      </c>
      <c r="E1302" s="133" t="s">
        <v>2601</v>
      </c>
      <c r="F1302" s="138">
        <v>43358</v>
      </c>
      <c r="G1302" s="136" t="s">
        <v>4032</v>
      </c>
      <c r="H1302" s="136" t="s">
        <v>4724</v>
      </c>
      <c r="I1302" s="148">
        <v>4.1666666666666666E-3</v>
      </c>
      <c r="J1302" s="174">
        <v>6.9444444444444444E-5</v>
      </c>
      <c r="K1302" s="139">
        <v>6</v>
      </c>
      <c r="L1302" s="133" t="s">
        <v>640</v>
      </c>
      <c r="M1302" s="133" t="s">
        <v>173</v>
      </c>
      <c r="N1302" s="133" t="s">
        <v>107</v>
      </c>
      <c r="O1302" s="133" t="s">
        <v>23</v>
      </c>
      <c r="P1302" s="133">
        <v>1</v>
      </c>
      <c r="R1302" s="133">
        <v>0</v>
      </c>
      <c r="S1302" s="133" t="s">
        <v>461</v>
      </c>
      <c r="T1302" s="133" t="s">
        <v>2125</v>
      </c>
      <c r="U1302" s="133" t="s">
        <v>115</v>
      </c>
      <c r="V1302" s="133" t="s">
        <v>115</v>
      </c>
      <c r="W1302" s="135" t="s">
        <v>115</v>
      </c>
      <c r="X1302" s="135" t="s">
        <v>115</v>
      </c>
      <c r="Y1302" s="135" t="s">
        <v>115</v>
      </c>
      <c r="AB1302" s="133" t="s">
        <v>115</v>
      </c>
      <c r="AC1302" s="134" t="s">
        <v>115</v>
      </c>
      <c r="AD1302" s="134"/>
      <c r="AH1302" s="139">
        <v>0</v>
      </c>
      <c r="AI1302" s="139">
        <v>0</v>
      </c>
      <c r="AJ1302" s="139">
        <v>0</v>
      </c>
      <c r="AK1302" s="139">
        <v>0</v>
      </c>
      <c r="AL1302" s="139">
        <v>0</v>
      </c>
      <c r="AM1302" s="133">
        <v>0</v>
      </c>
      <c r="AN1302" s="133">
        <f t="shared" si="21"/>
        <v>0</v>
      </c>
      <c r="AP1302" s="133" t="s">
        <v>698</v>
      </c>
    </row>
    <row r="1303" spans="1:48" s="135" customFormat="1" x14ac:dyDescent="0.2">
      <c r="A1303" s="133" t="s">
        <v>699</v>
      </c>
      <c r="B1303" s="133" t="s">
        <v>4946</v>
      </c>
      <c r="C1303" s="133">
        <v>6</v>
      </c>
      <c r="D1303" s="133">
        <v>1</v>
      </c>
      <c r="E1303" s="133" t="s">
        <v>2601</v>
      </c>
      <c r="F1303" s="138">
        <v>43358</v>
      </c>
      <c r="G1303" s="136" t="s">
        <v>4032</v>
      </c>
      <c r="H1303" s="136" t="s">
        <v>4724</v>
      </c>
      <c r="I1303" s="148">
        <v>2.7777777777777779E-3</v>
      </c>
      <c r="J1303" s="174">
        <v>4.6296296296296294E-5</v>
      </c>
      <c r="K1303" s="139">
        <v>4</v>
      </c>
      <c r="L1303" s="133" t="s">
        <v>640</v>
      </c>
      <c r="M1303" s="133" t="s">
        <v>173</v>
      </c>
      <c r="N1303" s="133" t="s">
        <v>111</v>
      </c>
      <c r="O1303" s="133" t="s">
        <v>23</v>
      </c>
      <c r="P1303" s="133">
        <v>0</v>
      </c>
      <c r="Q1303" s="133"/>
      <c r="R1303" s="133">
        <v>1</v>
      </c>
      <c r="S1303" s="133" t="s">
        <v>461</v>
      </c>
      <c r="T1303" s="133" t="s">
        <v>2125</v>
      </c>
      <c r="U1303" s="133" t="s">
        <v>115</v>
      </c>
      <c r="V1303" s="133" t="s">
        <v>645</v>
      </c>
      <c r="W1303" s="140" t="s">
        <v>23</v>
      </c>
      <c r="X1303" s="140" t="s">
        <v>3999</v>
      </c>
      <c r="Y1303" s="140" t="s">
        <v>4006</v>
      </c>
      <c r="Z1303" s="133"/>
      <c r="AA1303" s="133"/>
      <c r="AB1303" s="133">
        <v>3</v>
      </c>
      <c r="AC1303" s="134">
        <v>63.72486</v>
      </c>
      <c r="AD1303" s="134">
        <v>148.95665</v>
      </c>
      <c r="AE1303" s="133"/>
      <c r="AF1303" s="133"/>
      <c r="AG1303" s="133"/>
      <c r="AH1303" s="139">
        <v>0</v>
      </c>
      <c r="AI1303" s="139">
        <v>0</v>
      </c>
      <c r="AJ1303" s="139">
        <v>0</v>
      </c>
      <c r="AK1303" s="139">
        <v>0</v>
      </c>
      <c r="AL1303" s="139">
        <v>0</v>
      </c>
      <c r="AM1303" s="133">
        <v>0</v>
      </c>
      <c r="AN1303" s="133">
        <f t="shared" si="21"/>
        <v>0</v>
      </c>
      <c r="AO1303" s="133"/>
      <c r="AP1303" s="133"/>
      <c r="AQ1303" s="133"/>
      <c r="AR1303" s="133"/>
    </row>
    <row r="1304" spans="1:48" s="133" customFormat="1" x14ac:dyDescent="0.2">
      <c r="A1304" s="133" t="s">
        <v>701</v>
      </c>
      <c r="B1304" s="133" t="s">
        <v>4947</v>
      </c>
      <c r="C1304" s="133">
        <v>7</v>
      </c>
      <c r="D1304" s="133">
        <v>1</v>
      </c>
      <c r="E1304" s="133" t="s">
        <v>2601</v>
      </c>
      <c r="F1304" s="138">
        <v>43358</v>
      </c>
      <c r="G1304" s="136" t="s">
        <v>4032</v>
      </c>
      <c r="H1304" s="136" t="s">
        <v>4724</v>
      </c>
      <c r="I1304" s="148">
        <v>5.4166666666666669E-2</v>
      </c>
      <c r="J1304" s="174">
        <v>9.0277777777777784E-4</v>
      </c>
      <c r="K1304" s="139">
        <v>78</v>
      </c>
      <c r="L1304" s="133" t="s">
        <v>640</v>
      </c>
      <c r="M1304" s="133" t="s">
        <v>173</v>
      </c>
      <c r="N1304" s="133" t="s">
        <v>702</v>
      </c>
      <c r="O1304" s="133" t="s">
        <v>23</v>
      </c>
      <c r="P1304" s="133">
        <v>0</v>
      </c>
      <c r="R1304" s="133">
        <v>0</v>
      </c>
      <c r="S1304" s="133" t="s">
        <v>461</v>
      </c>
      <c r="T1304" s="133" t="s">
        <v>2125</v>
      </c>
      <c r="U1304" s="133" t="s">
        <v>115</v>
      </c>
      <c r="V1304" s="133" t="s">
        <v>115</v>
      </c>
      <c r="W1304" s="135" t="s">
        <v>115</v>
      </c>
      <c r="X1304" s="135" t="s">
        <v>115</v>
      </c>
      <c r="Y1304" s="135" t="s">
        <v>115</v>
      </c>
      <c r="Z1304" s="135"/>
      <c r="AA1304" s="135"/>
      <c r="AB1304" s="133" t="s">
        <v>115</v>
      </c>
      <c r="AC1304" s="134" t="s">
        <v>115</v>
      </c>
      <c r="AD1304" s="134"/>
      <c r="AE1304" s="135"/>
      <c r="AF1304" s="135"/>
      <c r="AG1304" s="135"/>
      <c r="AH1304" s="139">
        <v>0</v>
      </c>
      <c r="AI1304" s="139">
        <v>0</v>
      </c>
      <c r="AJ1304" s="139">
        <v>0</v>
      </c>
      <c r="AK1304" s="139">
        <v>0</v>
      </c>
      <c r="AL1304" s="139">
        <v>0</v>
      </c>
      <c r="AM1304" s="133">
        <v>0</v>
      </c>
      <c r="AN1304" s="133">
        <f t="shared" si="21"/>
        <v>0</v>
      </c>
    </row>
    <row r="1305" spans="1:48" s="133" customFormat="1" x14ac:dyDescent="0.2">
      <c r="A1305" s="135" t="s">
        <v>703</v>
      </c>
      <c r="B1305" s="135" t="s">
        <v>4931</v>
      </c>
      <c r="C1305" s="135">
        <v>8</v>
      </c>
      <c r="D1305" s="135">
        <v>1</v>
      </c>
      <c r="E1305" s="135" t="s">
        <v>2601</v>
      </c>
      <c r="F1305" s="136">
        <v>43358</v>
      </c>
      <c r="G1305" s="136" t="s">
        <v>4032</v>
      </c>
      <c r="H1305" s="136" t="s">
        <v>4724</v>
      </c>
      <c r="I1305" s="172">
        <v>3.6111111111111115E-2</v>
      </c>
      <c r="J1305" s="175">
        <v>6.018518518518519E-4</v>
      </c>
      <c r="K1305" s="143">
        <v>52</v>
      </c>
      <c r="L1305" s="135" t="s">
        <v>640</v>
      </c>
      <c r="M1305" s="135" t="s">
        <v>173</v>
      </c>
      <c r="N1305" s="135" t="s">
        <v>102</v>
      </c>
      <c r="O1305" s="135" t="s">
        <v>115</v>
      </c>
      <c r="P1305" s="135" t="s">
        <v>24</v>
      </c>
      <c r="Q1305" s="135"/>
      <c r="R1305" s="135">
        <v>0</v>
      </c>
      <c r="S1305" s="135"/>
      <c r="T1305" s="135" t="s">
        <v>115</v>
      </c>
      <c r="U1305" s="135" t="s">
        <v>115</v>
      </c>
      <c r="V1305" s="135" t="s">
        <v>115</v>
      </c>
      <c r="W1305" s="135" t="s">
        <v>115</v>
      </c>
      <c r="X1305" s="135" t="s">
        <v>115</v>
      </c>
      <c r="Y1305" s="135" t="s">
        <v>115</v>
      </c>
      <c r="AB1305" s="135" t="s">
        <v>115</v>
      </c>
      <c r="AC1305" s="137" t="s">
        <v>115</v>
      </c>
      <c r="AD1305" s="137"/>
      <c r="AH1305" s="143">
        <v>0</v>
      </c>
      <c r="AI1305" s="143">
        <v>0</v>
      </c>
      <c r="AJ1305" s="143">
        <v>0</v>
      </c>
      <c r="AK1305" s="143">
        <v>0</v>
      </c>
      <c r="AL1305" s="143">
        <v>47</v>
      </c>
      <c r="AM1305" s="135">
        <v>0</v>
      </c>
      <c r="AN1305" s="135">
        <f t="shared" si="21"/>
        <v>47</v>
      </c>
      <c r="AO1305" s="143"/>
      <c r="AP1305" s="135"/>
      <c r="AQ1305" s="135"/>
      <c r="AR1305" s="135"/>
      <c r="AS1305" s="135"/>
      <c r="AT1305" s="135"/>
      <c r="AU1305" s="135"/>
      <c r="AV1305" s="135"/>
    </row>
    <row r="1306" spans="1:48" s="135" customFormat="1" x14ac:dyDescent="0.2">
      <c r="A1306" s="133" t="s">
        <v>704</v>
      </c>
      <c r="B1306" s="133" t="s">
        <v>4936</v>
      </c>
      <c r="C1306" s="133">
        <v>9</v>
      </c>
      <c r="D1306" s="133">
        <v>1</v>
      </c>
      <c r="E1306" s="133" t="s">
        <v>2601</v>
      </c>
      <c r="F1306" s="138">
        <v>43358</v>
      </c>
      <c r="G1306" s="136" t="s">
        <v>4032</v>
      </c>
      <c r="H1306" s="136" t="s">
        <v>4724</v>
      </c>
      <c r="I1306" s="148">
        <v>3.888888888888889E-2</v>
      </c>
      <c r="J1306" s="174">
        <v>6.4814814814814813E-4</v>
      </c>
      <c r="K1306" s="139">
        <v>56</v>
      </c>
      <c r="L1306" s="133" t="s">
        <v>640</v>
      </c>
      <c r="M1306" s="133" t="s">
        <v>173</v>
      </c>
      <c r="N1306" s="133" t="s">
        <v>187</v>
      </c>
      <c r="O1306" s="133" t="s">
        <v>23</v>
      </c>
      <c r="P1306" s="133">
        <v>3</v>
      </c>
      <c r="Q1306" s="133"/>
      <c r="R1306" s="133">
        <v>1</v>
      </c>
      <c r="S1306" s="133" t="s">
        <v>461</v>
      </c>
      <c r="T1306" s="133" t="s">
        <v>2125</v>
      </c>
      <c r="U1306" s="133" t="s">
        <v>122</v>
      </c>
      <c r="V1306" s="133" t="s">
        <v>1057</v>
      </c>
      <c r="W1306" s="133" t="s">
        <v>23</v>
      </c>
      <c r="X1306" s="133" t="s">
        <v>3999</v>
      </c>
      <c r="Y1306" s="133" t="s">
        <v>4003</v>
      </c>
      <c r="Z1306" s="133"/>
      <c r="AA1306" s="133"/>
      <c r="AB1306" s="133">
        <v>2</v>
      </c>
      <c r="AC1306" s="134">
        <v>63.724910000000001</v>
      </c>
      <c r="AD1306" s="134">
        <v>148.95679000000001</v>
      </c>
      <c r="AE1306" s="133"/>
      <c r="AF1306" s="133"/>
      <c r="AG1306" s="133"/>
      <c r="AH1306" s="139">
        <v>0</v>
      </c>
      <c r="AI1306" s="139">
        <v>0</v>
      </c>
      <c r="AJ1306" s="139">
        <v>0</v>
      </c>
      <c r="AK1306" s="139">
        <v>0</v>
      </c>
      <c r="AL1306" s="139">
        <v>0</v>
      </c>
      <c r="AM1306" s="133">
        <v>0</v>
      </c>
      <c r="AN1306" s="133">
        <f t="shared" si="21"/>
        <v>0</v>
      </c>
      <c r="AO1306" s="133"/>
      <c r="AP1306" s="133"/>
      <c r="AQ1306" s="133"/>
      <c r="AR1306" s="133"/>
      <c r="AS1306" s="133"/>
      <c r="AT1306" s="133"/>
      <c r="AU1306" s="133"/>
      <c r="AV1306" s="133"/>
    </row>
    <row r="1307" spans="1:48" s="135" customFormat="1" x14ac:dyDescent="0.2">
      <c r="A1307" s="133" t="s">
        <v>710</v>
      </c>
      <c r="B1307" s="133" t="s">
        <v>4942</v>
      </c>
      <c r="C1307" s="133">
        <v>11</v>
      </c>
      <c r="D1307" s="133">
        <v>1</v>
      </c>
      <c r="E1307" s="133" t="s">
        <v>2601</v>
      </c>
      <c r="F1307" s="138">
        <v>43358</v>
      </c>
      <c r="G1307" s="136" t="s">
        <v>4032</v>
      </c>
      <c r="H1307" s="136" t="s">
        <v>4724</v>
      </c>
      <c r="I1307" s="148">
        <v>2.013888888888889E-2</v>
      </c>
      <c r="J1307" s="174">
        <v>3.3564814814814812E-4</v>
      </c>
      <c r="K1307" s="139">
        <v>29</v>
      </c>
      <c r="L1307" s="133" t="s">
        <v>640</v>
      </c>
      <c r="M1307" s="133" t="s">
        <v>173</v>
      </c>
      <c r="N1307" s="133" t="s">
        <v>2148</v>
      </c>
      <c r="O1307" s="133" t="s">
        <v>115</v>
      </c>
      <c r="P1307" s="133">
        <v>1</v>
      </c>
      <c r="Q1307" s="133"/>
      <c r="R1307" s="133">
        <v>0</v>
      </c>
      <c r="S1307" s="133" t="s">
        <v>461</v>
      </c>
      <c r="T1307" s="133" t="s">
        <v>2125</v>
      </c>
      <c r="U1307" s="133" t="s">
        <v>122</v>
      </c>
      <c r="V1307" s="133" t="s">
        <v>115</v>
      </c>
      <c r="W1307" s="135" t="s">
        <v>115</v>
      </c>
      <c r="X1307" s="135" t="s">
        <v>115</v>
      </c>
      <c r="Y1307" s="135" t="s">
        <v>115</v>
      </c>
      <c r="AB1307" s="133" t="s">
        <v>115</v>
      </c>
      <c r="AC1307" s="134" t="s">
        <v>115</v>
      </c>
      <c r="AD1307" s="134"/>
      <c r="AH1307" s="139">
        <v>0</v>
      </c>
      <c r="AI1307" s="139">
        <v>0</v>
      </c>
      <c r="AJ1307" s="139">
        <v>0</v>
      </c>
      <c r="AK1307" s="139">
        <v>0</v>
      </c>
      <c r="AL1307" s="139">
        <v>0</v>
      </c>
      <c r="AM1307" s="133">
        <v>0</v>
      </c>
      <c r="AN1307" s="133">
        <f t="shared" si="21"/>
        <v>0</v>
      </c>
      <c r="AO1307" s="133"/>
      <c r="AP1307" s="133" t="s">
        <v>711</v>
      </c>
      <c r="AQ1307" s="133"/>
      <c r="AR1307" s="133"/>
      <c r="AS1307" s="133"/>
      <c r="AT1307" s="133"/>
      <c r="AU1307" s="133"/>
      <c r="AV1307" s="133"/>
    </row>
    <row r="1308" spans="1:48" s="133" customFormat="1" x14ac:dyDescent="0.2">
      <c r="A1308" s="135" t="s">
        <v>712</v>
      </c>
      <c r="B1308" s="135" t="s">
        <v>4932</v>
      </c>
      <c r="C1308" s="135">
        <v>12</v>
      </c>
      <c r="D1308" s="135">
        <v>1</v>
      </c>
      <c r="E1308" s="135" t="s">
        <v>2601</v>
      </c>
      <c r="F1308" s="136">
        <v>43358</v>
      </c>
      <c r="G1308" s="136" t="s">
        <v>4032</v>
      </c>
      <c r="H1308" s="136" t="s">
        <v>4724</v>
      </c>
      <c r="I1308" s="172">
        <v>2.7777777777777776E-2</v>
      </c>
      <c r="J1308" s="175">
        <v>4.6296296296296293E-4</v>
      </c>
      <c r="K1308" s="143">
        <v>40</v>
      </c>
      <c r="L1308" s="135" t="s">
        <v>640</v>
      </c>
      <c r="M1308" s="135" t="s">
        <v>173</v>
      </c>
      <c r="N1308" s="135" t="s">
        <v>102</v>
      </c>
      <c r="O1308" s="135" t="s">
        <v>115</v>
      </c>
      <c r="P1308" s="135" t="s">
        <v>24</v>
      </c>
      <c r="Q1308" s="135"/>
      <c r="R1308" s="135">
        <v>0</v>
      </c>
      <c r="S1308" s="135"/>
      <c r="T1308" s="135" t="s">
        <v>115</v>
      </c>
      <c r="U1308" s="135" t="s">
        <v>115</v>
      </c>
      <c r="V1308" s="135" t="s">
        <v>115</v>
      </c>
      <c r="W1308" s="135" t="s">
        <v>115</v>
      </c>
      <c r="X1308" s="135" t="s">
        <v>115</v>
      </c>
      <c r="Y1308" s="135" t="s">
        <v>115</v>
      </c>
      <c r="AB1308" s="135" t="s">
        <v>115</v>
      </c>
      <c r="AC1308" s="137" t="s">
        <v>115</v>
      </c>
      <c r="AD1308" s="137"/>
      <c r="AH1308" s="143">
        <v>0</v>
      </c>
      <c r="AI1308" s="143">
        <v>0</v>
      </c>
      <c r="AJ1308" s="143">
        <v>0</v>
      </c>
      <c r="AK1308" s="143">
        <v>0</v>
      </c>
      <c r="AL1308" s="143">
        <v>23</v>
      </c>
      <c r="AM1308" s="135">
        <v>0</v>
      </c>
      <c r="AN1308" s="135">
        <f t="shared" si="21"/>
        <v>23</v>
      </c>
      <c r="AO1308" s="135"/>
      <c r="AP1308" s="135"/>
      <c r="AQ1308" s="135"/>
      <c r="AR1308" s="135"/>
      <c r="AS1308" s="135"/>
      <c r="AT1308" s="135"/>
      <c r="AU1308" s="135"/>
      <c r="AV1308" s="135"/>
    </row>
    <row r="1309" spans="1:48" s="135" customFormat="1" x14ac:dyDescent="0.2">
      <c r="A1309" s="133" t="s">
        <v>720</v>
      </c>
      <c r="B1309" s="133" t="s">
        <v>4945</v>
      </c>
      <c r="C1309" s="133">
        <v>19</v>
      </c>
      <c r="D1309" s="133">
        <v>1</v>
      </c>
      <c r="E1309" s="133" t="s">
        <v>2601</v>
      </c>
      <c r="F1309" s="138">
        <v>43358</v>
      </c>
      <c r="G1309" s="136" t="s">
        <v>4032</v>
      </c>
      <c r="H1309" s="136" t="s">
        <v>4724</v>
      </c>
      <c r="I1309" s="148">
        <v>4.8611111111111112E-3</v>
      </c>
      <c r="J1309" s="174">
        <v>8.1018518518518516E-5</v>
      </c>
      <c r="K1309" s="139">
        <v>7</v>
      </c>
      <c r="L1309" s="133" t="s">
        <v>640</v>
      </c>
      <c r="M1309" s="133" t="s">
        <v>173</v>
      </c>
      <c r="N1309" s="133" t="s">
        <v>102</v>
      </c>
      <c r="O1309" s="133" t="s">
        <v>115</v>
      </c>
      <c r="P1309" s="133">
        <v>1</v>
      </c>
      <c r="Q1309" s="133"/>
      <c r="R1309" s="133">
        <v>0</v>
      </c>
      <c r="S1309" s="133" t="s">
        <v>176</v>
      </c>
      <c r="T1309" s="133" t="s">
        <v>176</v>
      </c>
      <c r="U1309" s="133" t="s">
        <v>122</v>
      </c>
      <c r="V1309" s="133" t="s">
        <v>115</v>
      </c>
      <c r="W1309" s="135" t="s">
        <v>115</v>
      </c>
      <c r="X1309" s="135" t="s">
        <v>115</v>
      </c>
      <c r="Y1309" s="135" t="s">
        <v>115</v>
      </c>
      <c r="Z1309" s="133"/>
      <c r="AA1309" s="133"/>
      <c r="AB1309" s="133" t="s">
        <v>115</v>
      </c>
      <c r="AC1309" s="134" t="s">
        <v>115</v>
      </c>
      <c r="AD1309" s="134"/>
      <c r="AE1309" s="133"/>
      <c r="AF1309" s="133"/>
      <c r="AG1309" s="133"/>
      <c r="AH1309" s="139">
        <v>0</v>
      </c>
      <c r="AI1309" s="139">
        <v>0</v>
      </c>
      <c r="AJ1309" s="139">
        <v>0</v>
      </c>
      <c r="AK1309" s="139">
        <v>0</v>
      </c>
      <c r="AL1309" s="139">
        <v>0</v>
      </c>
      <c r="AM1309" s="133">
        <v>0</v>
      </c>
      <c r="AN1309" s="133">
        <f t="shared" si="21"/>
        <v>0</v>
      </c>
      <c r="AO1309" s="133"/>
      <c r="AP1309" s="133" t="s">
        <v>721</v>
      </c>
      <c r="AQ1309" s="133"/>
      <c r="AR1309" s="133"/>
      <c r="AS1309" s="133"/>
      <c r="AT1309" s="133"/>
      <c r="AU1309" s="133"/>
      <c r="AV1309" s="133"/>
    </row>
    <row r="1310" spans="1:48" s="135" customFormat="1" x14ac:dyDescent="0.2">
      <c r="A1310" s="133" t="s">
        <v>720</v>
      </c>
      <c r="B1310" s="133" t="s">
        <v>4950</v>
      </c>
      <c r="C1310" s="133">
        <v>20</v>
      </c>
      <c r="D1310" s="133">
        <v>1</v>
      </c>
      <c r="E1310" s="133" t="s">
        <v>2601</v>
      </c>
      <c r="F1310" s="138">
        <v>43358</v>
      </c>
      <c r="G1310" s="136" t="s">
        <v>4032</v>
      </c>
      <c r="H1310" s="136" t="s">
        <v>4724</v>
      </c>
      <c r="I1310" s="148">
        <v>1.5277777777777777E-2</v>
      </c>
      <c r="J1310" s="174">
        <v>2.5462962962962961E-4</v>
      </c>
      <c r="K1310" s="139">
        <v>22</v>
      </c>
      <c r="L1310" s="133" t="s">
        <v>640</v>
      </c>
      <c r="M1310" s="133" t="s">
        <v>173</v>
      </c>
      <c r="N1310" s="133" t="s">
        <v>111</v>
      </c>
      <c r="O1310" s="133" t="s">
        <v>23</v>
      </c>
      <c r="P1310" s="133">
        <v>0</v>
      </c>
      <c r="Q1310" s="133"/>
      <c r="R1310" s="133">
        <v>1</v>
      </c>
      <c r="S1310" s="133" t="s">
        <v>14</v>
      </c>
      <c r="T1310" s="133" t="s">
        <v>2128</v>
      </c>
      <c r="U1310" s="133" t="s">
        <v>115</v>
      </c>
      <c r="V1310" s="133" t="s">
        <v>723</v>
      </c>
      <c r="W1310" s="140" t="s">
        <v>23</v>
      </c>
      <c r="X1310" s="140" t="s">
        <v>3999</v>
      </c>
      <c r="Y1310" s="140" t="s">
        <v>4006</v>
      </c>
      <c r="Z1310" s="133"/>
      <c r="AA1310" s="133"/>
      <c r="AB1310" s="133" t="s">
        <v>24</v>
      </c>
      <c r="AC1310" s="134">
        <v>63.725749999999998</v>
      </c>
      <c r="AD1310" s="134">
        <v>148.95331999999999</v>
      </c>
      <c r="AE1310" s="133"/>
      <c r="AF1310" s="133"/>
      <c r="AG1310" s="133"/>
      <c r="AH1310" s="139">
        <v>0</v>
      </c>
      <c r="AI1310" s="139">
        <v>0</v>
      </c>
      <c r="AJ1310" s="139">
        <v>0</v>
      </c>
      <c r="AK1310" s="139">
        <v>0</v>
      </c>
      <c r="AL1310" s="139">
        <v>0</v>
      </c>
      <c r="AM1310" s="133">
        <v>0</v>
      </c>
      <c r="AN1310" s="133">
        <f t="shared" si="21"/>
        <v>0</v>
      </c>
      <c r="AO1310" s="133"/>
      <c r="AP1310" s="133"/>
      <c r="AQ1310" s="133"/>
      <c r="AR1310" s="133"/>
      <c r="AS1310" s="133"/>
      <c r="AT1310" s="133"/>
      <c r="AU1310" s="133"/>
      <c r="AV1310" s="133"/>
    </row>
    <row r="1311" spans="1:48" s="135" customFormat="1" x14ac:dyDescent="0.2">
      <c r="A1311" s="133" t="s">
        <v>782</v>
      </c>
      <c r="B1311" s="133" t="s">
        <v>4954</v>
      </c>
      <c r="C1311" s="133">
        <v>1</v>
      </c>
      <c r="D1311" s="133">
        <v>1</v>
      </c>
      <c r="E1311" s="133" t="s">
        <v>2601</v>
      </c>
      <c r="F1311" s="138">
        <v>43360</v>
      </c>
      <c r="G1311" s="136" t="s">
        <v>4032</v>
      </c>
      <c r="H1311" s="136" t="s">
        <v>4724</v>
      </c>
      <c r="I1311" s="148">
        <v>4.027777777777778E-2</v>
      </c>
      <c r="J1311" s="174">
        <v>6.7129629629629625E-4</v>
      </c>
      <c r="K1311" s="139">
        <v>58</v>
      </c>
      <c r="L1311" s="133" t="s">
        <v>398</v>
      </c>
      <c r="M1311" s="133" t="s">
        <v>173</v>
      </c>
      <c r="N1311" s="133" t="s">
        <v>111</v>
      </c>
      <c r="O1311" s="133" t="s">
        <v>23</v>
      </c>
      <c r="P1311" s="133">
        <v>1</v>
      </c>
      <c r="Q1311" s="133"/>
      <c r="R1311" s="133">
        <v>2</v>
      </c>
      <c r="S1311" s="133" t="s">
        <v>1618</v>
      </c>
      <c r="T1311" s="133" t="s">
        <v>2112</v>
      </c>
      <c r="U1311" s="133" t="s">
        <v>24</v>
      </c>
      <c r="V1311" s="133" t="s">
        <v>709</v>
      </c>
      <c r="W1311" s="140" t="s">
        <v>23</v>
      </c>
      <c r="X1311" s="140" t="s">
        <v>4004</v>
      </c>
      <c r="Y1311" s="140" t="s">
        <v>4005</v>
      </c>
      <c r="Z1311" s="133"/>
      <c r="AA1311" s="133"/>
      <c r="AB1311" s="133" t="s">
        <v>176</v>
      </c>
      <c r="AC1311" s="134">
        <v>63.725639999999999</v>
      </c>
      <c r="AD1311" s="134">
        <v>148.95848000000001</v>
      </c>
      <c r="AE1311" s="133"/>
      <c r="AF1311" s="133"/>
      <c r="AG1311" s="133"/>
      <c r="AH1311" s="139">
        <v>0</v>
      </c>
      <c r="AI1311" s="139">
        <v>0</v>
      </c>
      <c r="AJ1311" s="139">
        <v>0</v>
      </c>
      <c r="AK1311" s="139">
        <v>0</v>
      </c>
      <c r="AL1311" s="139">
        <v>0</v>
      </c>
      <c r="AM1311" s="133">
        <v>0</v>
      </c>
      <c r="AN1311" s="133">
        <f t="shared" si="21"/>
        <v>0</v>
      </c>
      <c r="AO1311" s="133"/>
      <c r="AP1311" s="133"/>
      <c r="AQ1311" s="133"/>
      <c r="AR1311" s="133"/>
      <c r="AS1311" s="133"/>
      <c r="AT1311" s="133"/>
      <c r="AU1311" s="133"/>
      <c r="AV1311" s="133"/>
    </row>
    <row r="1312" spans="1:48" s="135" customFormat="1" x14ac:dyDescent="0.2">
      <c r="A1312" s="133" t="s">
        <v>784</v>
      </c>
      <c r="B1312" s="133" t="s">
        <v>4956</v>
      </c>
      <c r="C1312" s="133">
        <v>2</v>
      </c>
      <c r="D1312" s="133">
        <v>1</v>
      </c>
      <c r="E1312" s="133" t="s">
        <v>2601</v>
      </c>
      <c r="F1312" s="138">
        <v>43360</v>
      </c>
      <c r="G1312" s="136" t="s">
        <v>4032</v>
      </c>
      <c r="H1312" s="136" t="s">
        <v>4724</v>
      </c>
      <c r="I1312" s="148">
        <v>1.1805555555555555E-2</v>
      </c>
      <c r="J1312" s="174">
        <v>1.9675925925925926E-4</v>
      </c>
      <c r="K1312" s="139">
        <v>17</v>
      </c>
      <c r="L1312" s="133"/>
      <c r="M1312" s="133" t="s">
        <v>173</v>
      </c>
      <c r="N1312" s="133" t="s">
        <v>107</v>
      </c>
      <c r="O1312" s="133" t="s">
        <v>23</v>
      </c>
      <c r="P1312" s="133">
        <v>0</v>
      </c>
      <c r="Q1312" s="133"/>
      <c r="R1312" s="133">
        <v>0</v>
      </c>
      <c r="S1312" s="133" t="s">
        <v>1618</v>
      </c>
      <c r="T1312" s="133" t="s">
        <v>2112</v>
      </c>
      <c r="U1312" s="133" t="s">
        <v>115</v>
      </c>
      <c r="V1312" s="133" t="s">
        <v>115</v>
      </c>
      <c r="W1312" s="135" t="s">
        <v>115</v>
      </c>
      <c r="X1312" s="135" t="s">
        <v>115</v>
      </c>
      <c r="Y1312" s="135" t="s">
        <v>115</v>
      </c>
      <c r="AB1312" s="134" t="s">
        <v>115</v>
      </c>
      <c r="AC1312" s="134" t="s">
        <v>115</v>
      </c>
      <c r="AD1312" s="134"/>
      <c r="AH1312" s="139">
        <v>0</v>
      </c>
      <c r="AI1312" s="139">
        <v>0</v>
      </c>
      <c r="AJ1312" s="139">
        <v>0</v>
      </c>
      <c r="AK1312" s="139">
        <v>0</v>
      </c>
      <c r="AL1312" s="139">
        <v>0</v>
      </c>
      <c r="AM1312" s="133">
        <v>0</v>
      </c>
      <c r="AN1312" s="133">
        <f t="shared" si="21"/>
        <v>0</v>
      </c>
      <c r="AO1312" s="133"/>
      <c r="AP1312" s="133" t="s">
        <v>785</v>
      </c>
      <c r="AQ1312" s="133"/>
      <c r="AR1312" s="133"/>
      <c r="AS1312" s="133"/>
      <c r="AT1312" s="133"/>
      <c r="AU1312" s="133"/>
      <c r="AV1312" s="133"/>
    </row>
    <row r="1313" spans="1:48" s="135" customFormat="1" x14ac:dyDescent="0.2">
      <c r="A1313" s="133" t="s">
        <v>786</v>
      </c>
      <c r="B1313" s="133" t="s">
        <v>4955</v>
      </c>
      <c r="C1313" s="133">
        <v>3</v>
      </c>
      <c r="D1313" s="133">
        <v>1</v>
      </c>
      <c r="E1313" s="133" t="s">
        <v>2601</v>
      </c>
      <c r="F1313" s="138">
        <v>43360</v>
      </c>
      <c r="G1313" s="136" t="s">
        <v>4032</v>
      </c>
      <c r="H1313" s="136" t="s">
        <v>4724</v>
      </c>
      <c r="I1313" s="148">
        <v>4.3750000000000004E-2</v>
      </c>
      <c r="J1313" s="174">
        <v>7.291666666666667E-4</v>
      </c>
      <c r="K1313" s="139">
        <v>63</v>
      </c>
      <c r="L1313" s="133" t="s">
        <v>397</v>
      </c>
      <c r="M1313" s="133" t="s">
        <v>173</v>
      </c>
      <c r="N1313" s="133" t="s">
        <v>242</v>
      </c>
      <c r="O1313" s="133" t="s">
        <v>23</v>
      </c>
      <c r="P1313" s="133">
        <v>1</v>
      </c>
      <c r="Q1313" s="133"/>
      <c r="R1313" s="133">
        <v>1</v>
      </c>
      <c r="S1313" s="133" t="s">
        <v>1618</v>
      </c>
      <c r="T1313" s="133" t="s">
        <v>2112</v>
      </c>
      <c r="U1313" s="133" t="s">
        <v>115</v>
      </c>
      <c r="V1313" s="133" t="s">
        <v>2076</v>
      </c>
      <c r="W1313" s="140" t="s">
        <v>23</v>
      </c>
      <c r="X1313" s="140" t="s">
        <v>4004</v>
      </c>
      <c r="Y1313" s="140" t="s">
        <v>4005</v>
      </c>
      <c r="Z1313" s="133"/>
      <c r="AA1313" s="133"/>
      <c r="AB1313" s="133" t="s">
        <v>24</v>
      </c>
      <c r="AC1313" s="134">
        <v>63.725679999999997</v>
      </c>
      <c r="AD1313" s="134">
        <v>148.9588</v>
      </c>
      <c r="AE1313" s="133"/>
      <c r="AF1313" s="133"/>
      <c r="AG1313" s="133"/>
      <c r="AH1313" s="139">
        <v>0</v>
      </c>
      <c r="AI1313" s="139">
        <v>0</v>
      </c>
      <c r="AJ1313" s="139">
        <v>0</v>
      </c>
      <c r="AK1313" s="139">
        <v>0</v>
      </c>
      <c r="AL1313" s="139">
        <v>0</v>
      </c>
      <c r="AM1313" s="133">
        <v>0</v>
      </c>
      <c r="AN1313" s="133">
        <f t="shared" si="21"/>
        <v>0</v>
      </c>
      <c r="AO1313" s="133"/>
      <c r="AP1313" s="133"/>
      <c r="AQ1313" s="133"/>
      <c r="AR1313" s="133"/>
      <c r="AS1313" s="133"/>
      <c r="AT1313" s="133"/>
      <c r="AU1313" s="133"/>
      <c r="AV1313" s="133"/>
    </row>
    <row r="1314" spans="1:48" s="135" customFormat="1" x14ac:dyDescent="0.2">
      <c r="A1314" s="133" t="s">
        <v>786</v>
      </c>
      <c r="B1314" s="133" t="s">
        <v>4955</v>
      </c>
      <c r="C1314" s="133">
        <v>3</v>
      </c>
      <c r="D1314" s="133">
        <v>2</v>
      </c>
      <c r="E1314" s="133" t="s">
        <v>2601</v>
      </c>
      <c r="F1314" s="138">
        <v>43360</v>
      </c>
      <c r="G1314" s="136" t="s">
        <v>4032</v>
      </c>
      <c r="H1314" s="136" t="s">
        <v>4724</v>
      </c>
      <c r="I1314" s="148">
        <v>4.3750000000000004E-2</v>
      </c>
      <c r="J1314" s="174">
        <v>7.291666666666667E-4</v>
      </c>
      <c r="K1314" s="139">
        <v>63</v>
      </c>
      <c r="L1314" s="133" t="s">
        <v>397</v>
      </c>
      <c r="M1314" s="133" t="s">
        <v>173</v>
      </c>
      <c r="N1314" s="133" t="s">
        <v>242</v>
      </c>
      <c r="O1314" s="133" t="s">
        <v>23</v>
      </c>
      <c r="P1314" s="133">
        <v>0</v>
      </c>
      <c r="Q1314" s="133"/>
      <c r="R1314" s="133">
        <v>1</v>
      </c>
      <c r="S1314" s="133" t="s">
        <v>1618</v>
      </c>
      <c r="T1314" s="133" t="s">
        <v>2112</v>
      </c>
      <c r="U1314" s="133" t="s">
        <v>115</v>
      </c>
      <c r="V1314" s="133" t="s">
        <v>1035</v>
      </c>
      <c r="W1314" s="140" t="s">
        <v>23</v>
      </c>
      <c r="X1314" s="140" t="s">
        <v>3997</v>
      </c>
      <c r="Y1314" s="140" t="s">
        <v>4006</v>
      </c>
      <c r="Z1314" s="133"/>
      <c r="AA1314" s="133"/>
      <c r="AB1314" s="133" t="s">
        <v>24</v>
      </c>
      <c r="AC1314" s="134">
        <v>63.72569</v>
      </c>
      <c r="AD1314" s="134">
        <v>148.95882</v>
      </c>
      <c r="AE1314" s="133"/>
      <c r="AF1314" s="133"/>
      <c r="AG1314" s="133"/>
      <c r="AH1314" s="139">
        <v>0</v>
      </c>
      <c r="AI1314" s="139">
        <v>0</v>
      </c>
      <c r="AJ1314" s="139">
        <v>0</v>
      </c>
      <c r="AK1314" s="139">
        <v>0</v>
      </c>
      <c r="AL1314" s="139">
        <v>0</v>
      </c>
      <c r="AM1314" s="133">
        <v>0</v>
      </c>
      <c r="AN1314" s="133">
        <f t="shared" si="21"/>
        <v>0</v>
      </c>
      <c r="AO1314" s="133"/>
      <c r="AP1314" s="133"/>
      <c r="AQ1314" s="133"/>
      <c r="AR1314" s="133"/>
      <c r="AS1314" s="133"/>
      <c r="AT1314" s="133"/>
      <c r="AU1314" s="133"/>
      <c r="AV1314" s="133"/>
    </row>
    <row r="1315" spans="1:48" s="135" customFormat="1" x14ac:dyDescent="0.2">
      <c r="A1315" s="133" t="s">
        <v>788</v>
      </c>
      <c r="B1315" s="133" t="s">
        <v>4953</v>
      </c>
      <c r="C1315" s="133">
        <v>4</v>
      </c>
      <c r="D1315" s="133">
        <v>1</v>
      </c>
      <c r="E1315" s="133" t="s">
        <v>2601</v>
      </c>
      <c r="F1315" s="138">
        <v>43360</v>
      </c>
      <c r="G1315" s="136" t="s">
        <v>4032</v>
      </c>
      <c r="H1315" s="136" t="s">
        <v>4724</v>
      </c>
      <c r="I1315" s="148">
        <v>2.2222222222222223E-2</v>
      </c>
      <c r="J1315" s="174">
        <v>2.2222222222222223E-2</v>
      </c>
      <c r="K1315" s="139">
        <v>1920</v>
      </c>
      <c r="L1315" s="133" t="s">
        <v>397</v>
      </c>
      <c r="M1315" s="133" t="s">
        <v>173</v>
      </c>
      <c r="N1315" s="133" t="s">
        <v>221</v>
      </c>
      <c r="O1315" s="133" t="s">
        <v>23</v>
      </c>
      <c r="P1315" s="133" t="s">
        <v>24</v>
      </c>
      <c r="Q1315" s="133"/>
      <c r="R1315" s="133">
        <v>0</v>
      </c>
      <c r="S1315" s="133"/>
      <c r="T1315" s="133" t="s">
        <v>115</v>
      </c>
      <c r="U1315" s="133" t="s">
        <v>115</v>
      </c>
      <c r="V1315" s="133" t="s">
        <v>115</v>
      </c>
      <c r="W1315" s="135" t="s">
        <v>115</v>
      </c>
      <c r="X1315" s="135" t="s">
        <v>115</v>
      </c>
      <c r="Y1315" s="135" t="s">
        <v>115</v>
      </c>
      <c r="Z1315" s="133"/>
      <c r="AA1315" s="133"/>
      <c r="AB1315" s="133" t="s">
        <v>115</v>
      </c>
      <c r="AC1315" s="134" t="s">
        <v>115</v>
      </c>
      <c r="AD1315" s="134"/>
      <c r="AE1315" s="133"/>
      <c r="AF1315" s="133"/>
      <c r="AG1315" s="133"/>
      <c r="AH1315" s="139">
        <v>0</v>
      </c>
      <c r="AI1315" s="139">
        <v>17</v>
      </c>
      <c r="AJ1315" s="139">
        <v>14</v>
      </c>
      <c r="AK1315" s="139">
        <v>3</v>
      </c>
      <c r="AL1315" s="139">
        <v>0</v>
      </c>
      <c r="AM1315" s="133">
        <v>0</v>
      </c>
      <c r="AN1315" s="133">
        <f t="shared" si="21"/>
        <v>17</v>
      </c>
      <c r="AO1315" s="133"/>
      <c r="AP1315" s="133"/>
      <c r="AQ1315" s="133"/>
      <c r="AR1315" s="133"/>
      <c r="AS1315" s="133"/>
      <c r="AT1315" s="133"/>
      <c r="AU1315" s="133"/>
      <c r="AV1315" s="133"/>
    </row>
    <row r="1316" spans="1:48" s="133" customFormat="1" x14ac:dyDescent="0.2">
      <c r="A1316" s="133" t="s">
        <v>882</v>
      </c>
      <c r="B1316" s="133" t="s">
        <v>4962</v>
      </c>
      <c r="C1316" s="133">
        <v>1</v>
      </c>
      <c r="D1316" s="133">
        <v>1</v>
      </c>
      <c r="E1316" s="133" t="s">
        <v>2601</v>
      </c>
      <c r="F1316" s="138">
        <v>43363</v>
      </c>
      <c r="G1316" s="136" t="s">
        <v>4032</v>
      </c>
      <c r="H1316" s="136" t="s">
        <v>4724</v>
      </c>
      <c r="I1316" s="148">
        <v>2.9861111111111113E-2</v>
      </c>
      <c r="J1316" s="174">
        <v>4.9768518518518521E-4</v>
      </c>
      <c r="K1316" s="139">
        <v>43</v>
      </c>
      <c r="L1316" s="133" t="s">
        <v>884</v>
      </c>
      <c r="M1316" s="133" t="s">
        <v>173</v>
      </c>
      <c r="N1316" s="133" t="s">
        <v>102</v>
      </c>
      <c r="O1316" s="133" t="s">
        <v>23</v>
      </c>
      <c r="P1316" s="133">
        <v>1</v>
      </c>
      <c r="R1316" s="133">
        <v>0</v>
      </c>
      <c r="S1316" s="133" t="s">
        <v>176</v>
      </c>
      <c r="T1316" s="133" t="s">
        <v>176</v>
      </c>
      <c r="U1316" s="133" t="s">
        <v>333</v>
      </c>
      <c r="V1316" s="133" t="s">
        <v>115</v>
      </c>
      <c r="W1316" s="135" t="s">
        <v>115</v>
      </c>
      <c r="X1316" s="135" t="s">
        <v>115</v>
      </c>
      <c r="Y1316" s="135" t="s">
        <v>115</v>
      </c>
      <c r="AB1316" s="134" t="s">
        <v>115</v>
      </c>
      <c r="AC1316" s="134" t="s">
        <v>115</v>
      </c>
      <c r="AD1316" s="134"/>
      <c r="AH1316" s="139">
        <v>0</v>
      </c>
      <c r="AI1316" s="139">
        <v>17</v>
      </c>
      <c r="AJ1316" s="139">
        <v>7</v>
      </c>
      <c r="AK1316" s="139">
        <v>10</v>
      </c>
      <c r="AL1316" s="139">
        <v>0</v>
      </c>
      <c r="AM1316" s="133">
        <v>0</v>
      </c>
      <c r="AN1316" s="133">
        <f t="shared" si="21"/>
        <v>17</v>
      </c>
      <c r="AS1316" s="135"/>
      <c r="AT1316" s="135"/>
      <c r="AU1316" s="135"/>
      <c r="AV1316" s="135"/>
    </row>
    <row r="1317" spans="1:48" s="133" customFormat="1" x14ac:dyDescent="0.2">
      <c r="A1317" s="133" t="s">
        <v>883</v>
      </c>
      <c r="B1317" s="133" t="s">
        <v>4958</v>
      </c>
      <c r="C1317" s="133">
        <v>2</v>
      </c>
      <c r="D1317" s="133">
        <v>1</v>
      </c>
      <c r="E1317" s="133" t="s">
        <v>2601</v>
      </c>
      <c r="F1317" s="138">
        <v>43363</v>
      </c>
      <c r="G1317" s="136" t="s">
        <v>4032</v>
      </c>
      <c r="H1317" s="136" t="s">
        <v>4724</v>
      </c>
      <c r="I1317" s="148">
        <v>2.1527777777777781E-2</v>
      </c>
      <c r="J1317" s="174">
        <v>3.5879629629629635E-4</v>
      </c>
      <c r="K1317" s="139">
        <v>31</v>
      </c>
      <c r="L1317" s="133" t="s">
        <v>884</v>
      </c>
      <c r="M1317" s="133" t="s">
        <v>173</v>
      </c>
      <c r="N1317" s="133" t="s">
        <v>102</v>
      </c>
      <c r="O1317" s="133" t="s">
        <v>23</v>
      </c>
      <c r="P1317" s="133" t="s">
        <v>24</v>
      </c>
      <c r="R1317" s="133">
        <v>0</v>
      </c>
      <c r="S1317" s="133" t="s">
        <v>176</v>
      </c>
      <c r="T1317" s="133" t="s">
        <v>176</v>
      </c>
      <c r="U1317" s="133" t="s">
        <v>115</v>
      </c>
      <c r="V1317" s="133" t="s">
        <v>115</v>
      </c>
      <c r="W1317" s="135" t="s">
        <v>115</v>
      </c>
      <c r="X1317" s="135" t="s">
        <v>115</v>
      </c>
      <c r="Y1317" s="135" t="s">
        <v>115</v>
      </c>
      <c r="Z1317" s="135"/>
      <c r="AA1317" s="135"/>
      <c r="AB1317" s="134" t="s">
        <v>115</v>
      </c>
      <c r="AC1317" s="134" t="s">
        <v>115</v>
      </c>
      <c r="AD1317" s="134"/>
      <c r="AE1317" s="135"/>
      <c r="AF1317" s="135"/>
      <c r="AG1317" s="135"/>
      <c r="AH1317" s="139">
        <v>0</v>
      </c>
      <c r="AI1317" s="139">
        <v>13</v>
      </c>
      <c r="AJ1317" s="139">
        <v>13</v>
      </c>
      <c r="AK1317" s="139">
        <v>0</v>
      </c>
      <c r="AL1317" s="139">
        <v>0</v>
      </c>
      <c r="AM1317" s="133">
        <v>0</v>
      </c>
      <c r="AN1317" s="133">
        <f t="shared" si="21"/>
        <v>13</v>
      </c>
      <c r="AS1317" s="135"/>
      <c r="AT1317" s="135"/>
      <c r="AU1317" s="135"/>
      <c r="AV1317" s="135"/>
    </row>
    <row r="1318" spans="1:48" s="133" customFormat="1" x14ac:dyDescent="0.2">
      <c r="A1318" s="135" t="s">
        <v>885</v>
      </c>
      <c r="B1318" s="135" t="s">
        <v>4959</v>
      </c>
      <c r="C1318" s="135">
        <v>3</v>
      </c>
      <c r="D1318" s="135">
        <v>1</v>
      </c>
      <c r="E1318" s="135" t="s">
        <v>2601</v>
      </c>
      <c r="F1318" s="136">
        <v>43363</v>
      </c>
      <c r="G1318" s="136" t="s">
        <v>4032</v>
      </c>
      <c r="H1318" s="136" t="s">
        <v>4724</v>
      </c>
      <c r="I1318" s="172">
        <v>1.1111111111111112E-2</v>
      </c>
      <c r="J1318" s="175">
        <v>1.8518518518518518E-4</v>
      </c>
      <c r="K1318" s="143">
        <v>16</v>
      </c>
      <c r="L1318" s="135" t="s">
        <v>884</v>
      </c>
      <c r="M1318" s="135" t="s">
        <v>173</v>
      </c>
      <c r="N1318" s="135" t="s">
        <v>102</v>
      </c>
      <c r="O1318" s="135" t="s">
        <v>115</v>
      </c>
      <c r="P1318" s="135" t="s">
        <v>24</v>
      </c>
      <c r="Q1318" s="135"/>
      <c r="R1318" s="135">
        <v>0</v>
      </c>
      <c r="S1318" s="133" t="s">
        <v>176</v>
      </c>
      <c r="T1318" s="135" t="s">
        <v>176</v>
      </c>
      <c r="U1318" s="135" t="s">
        <v>115</v>
      </c>
      <c r="V1318" s="135" t="s">
        <v>115</v>
      </c>
      <c r="W1318" s="135" t="s">
        <v>115</v>
      </c>
      <c r="X1318" s="135" t="s">
        <v>115</v>
      </c>
      <c r="Y1318" s="135" t="s">
        <v>115</v>
      </c>
      <c r="AB1318" s="137" t="s">
        <v>115</v>
      </c>
      <c r="AC1318" s="137" t="s">
        <v>115</v>
      </c>
      <c r="AD1318" s="137"/>
      <c r="AH1318" s="143">
        <v>0</v>
      </c>
      <c r="AI1318" s="135"/>
      <c r="AJ1318" s="143">
        <v>0</v>
      </c>
      <c r="AK1318" s="143">
        <v>0</v>
      </c>
      <c r="AL1318" s="143">
        <v>12</v>
      </c>
      <c r="AM1318" s="135">
        <v>0</v>
      </c>
      <c r="AN1318" s="135">
        <f t="shared" si="21"/>
        <v>12</v>
      </c>
      <c r="AO1318" s="135"/>
      <c r="AP1318" s="135"/>
      <c r="AQ1318" s="135"/>
      <c r="AR1318" s="135"/>
    </row>
    <row r="1319" spans="1:48" s="133" customFormat="1" x14ac:dyDescent="0.2">
      <c r="A1319" s="133" t="s">
        <v>888</v>
      </c>
      <c r="B1319" s="133" t="s">
        <v>4963</v>
      </c>
      <c r="C1319" s="133">
        <v>4</v>
      </c>
      <c r="D1319" s="133">
        <v>1</v>
      </c>
      <c r="E1319" s="133" t="s">
        <v>2601</v>
      </c>
      <c r="F1319" s="138">
        <v>43363</v>
      </c>
      <c r="G1319" s="136" t="s">
        <v>4032</v>
      </c>
      <c r="H1319" s="136" t="s">
        <v>4724</v>
      </c>
      <c r="I1319" s="148">
        <v>1.0416666666666666E-2</v>
      </c>
      <c r="J1319" s="174">
        <v>1.7361111111111112E-4</v>
      </c>
      <c r="K1319" s="139">
        <v>15</v>
      </c>
      <c r="L1319" s="133" t="s">
        <v>884</v>
      </c>
      <c r="M1319" s="133" t="s">
        <v>173</v>
      </c>
      <c r="N1319" s="133" t="s">
        <v>102</v>
      </c>
      <c r="O1319" s="133" t="s">
        <v>23</v>
      </c>
      <c r="P1319" s="133">
        <v>1</v>
      </c>
      <c r="R1319" s="133">
        <v>0</v>
      </c>
      <c r="S1319" s="133" t="s">
        <v>176</v>
      </c>
      <c r="T1319" s="133" t="s">
        <v>176</v>
      </c>
      <c r="U1319" s="133" t="s">
        <v>487</v>
      </c>
      <c r="V1319" s="133" t="s">
        <v>115</v>
      </c>
      <c r="W1319" s="135" t="s">
        <v>115</v>
      </c>
      <c r="X1319" s="135" t="s">
        <v>115</v>
      </c>
      <c r="Y1319" s="135" t="s">
        <v>115</v>
      </c>
      <c r="Z1319" s="135"/>
      <c r="AA1319" s="135"/>
      <c r="AB1319" s="134" t="s">
        <v>115</v>
      </c>
      <c r="AC1319" s="134" t="s">
        <v>115</v>
      </c>
      <c r="AD1319" s="134"/>
      <c r="AE1319" s="135"/>
      <c r="AF1319" s="135"/>
      <c r="AG1319" s="135"/>
      <c r="AH1319" s="139">
        <v>0</v>
      </c>
      <c r="AI1319" s="139">
        <v>0</v>
      </c>
      <c r="AJ1319" s="139">
        <v>0</v>
      </c>
      <c r="AK1319" s="139">
        <v>0</v>
      </c>
      <c r="AL1319" s="139">
        <v>0</v>
      </c>
      <c r="AM1319" s="133">
        <v>0</v>
      </c>
      <c r="AN1319" s="133">
        <f t="shared" si="21"/>
        <v>0</v>
      </c>
      <c r="AP1319" s="133" t="s">
        <v>889</v>
      </c>
      <c r="AS1319" s="135"/>
      <c r="AT1319" s="135"/>
      <c r="AU1319" s="135" t="s">
        <v>3950</v>
      </c>
      <c r="AV1319" s="135"/>
    </row>
    <row r="1320" spans="1:48" s="135" customFormat="1" x14ac:dyDescent="0.2">
      <c r="A1320" s="133" t="s">
        <v>270</v>
      </c>
      <c r="B1320" s="133"/>
      <c r="C1320" s="133"/>
      <c r="D1320" s="133">
        <v>1</v>
      </c>
      <c r="E1320" s="133" t="s">
        <v>2601</v>
      </c>
      <c r="F1320" s="138">
        <v>43363</v>
      </c>
      <c r="G1320" s="136" t="s">
        <v>4032</v>
      </c>
      <c r="H1320" s="136" t="s">
        <v>4724</v>
      </c>
      <c r="I1320" s="148"/>
      <c r="J1320" s="174"/>
      <c r="K1320" s="139">
        <v>0</v>
      </c>
      <c r="L1320" s="133" t="s">
        <v>884</v>
      </c>
      <c r="M1320" s="133" t="s">
        <v>173</v>
      </c>
      <c r="N1320" s="133" t="s">
        <v>111</v>
      </c>
      <c r="O1320" s="133" t="s">
        <v>23</v>
      </c>
      <c r="P1320" s="133">
        <v>0</v>
      </c>
      <c r="Q1320" s="133"/>
      <c r="R1320" s="133">
        <v>1</v>
      </c>
      <c r="S1320" s="133" t="s">
        <v>176</v>
      </c>
      <c r="T1320" s="133" t="s">
        <v>176</v>
      </c>
      <c r="U1320" s="133" t="s">
        <v>122</v>
      </c>
      <c r="V1320" s="133" t="s">
        <v>4018</v>
      </c>
      <c r="W1320" s="140" t="s">
        <v>23</v>
      </c>
      <c r="X1320" s="140" t="s">
        <v>4004</v>
      </c>
      <c r="Y1320" s="140" t="s">
        <v>4005</v>
      </c>
      <c r="Z1320" s="133"/>
      <c r="AA1320" s="133"/>
      <c r="AB1320" s="133" t="s">
        <v>176</v>
      </c>
      <c r="AC1320" s="134">
        <v>63.726179999999999</v>
      </c>
      <c r="AD1320" s="134">
        <v>148.96117000000001</v>
      </c>
      <c r="AE1320" s="133"/>
      <c r="AF1320" s="133"/>
      <c r="AG1320" s="133"/>
      <c r="AH1320" s="139">
        <v>0</v>
      </c>
      <c r="AI1320" s="139">
        <v>0</v>
      </c>
      <c r="AJ1320" s="139">
        <v>0</v>
      </c>
      <c r="AK1320" s="139">
        <v>0</v>
      </c>
      <c r="AL1320" s="139">
        <v>0</v>
      </c>
      <c r="AM1320" s="133">
        <v>0</v>
      </c>
      <c r="AN1320" s="133">
        <f t="shared" si="21"/>
        <v>0</v>
      </c>
      <c r="AO1320" s="133"/>
      <c r="AP1320" s="133" t="s">
        <v>887</v>
      </c>
      <c r="AQ1320" s="133"/>
      <c r="AR1320" s="133"/>
      <c r="AS1320" s="133"/>
      <c r="AT1320" s="133"/>
      <c r="AU1320" s="133"/>
      <c r="AV1320" s="133"/>
    </row>
    <row r="1321" spans="1:48" s="133" customFormat="1" x14ac:dyDescent="0.2">
      <c r="A1321" s="133" t="s">
        <v>270</v>
      </c>
      <c r="D1321" s="133">
        <v>2</v>
      </c>
      <c r="E1321" s="133" t="s">
        <v>2601</v>
      </c>
      <c r="F1321" s="138">
        <v>43363</v>
      </c>
      <c r="G1321" s="136" t="s">
        <v>4032</v>
      </c>
      <c r="H1321" s="136" t="s">
        <v>4724</v>
      </c>
      <c r="I1321" s="148"/>
      <c r="J1321" s="174"/>
      <c r="K1321" s="139">
        <v>0</v>
      </c>
      <c r="L1321" s="133" t="s">
        <v>884</v>
      </c>
      <c r="M1321" s="133" t="s">
        <v>173</v>
      </c>
      <c r="N1321" s="133" t="s">
        <v>111</v>
      </c>
      <c r="O1321" s="133" t="s">
        <v>23</v>
      </c>
      <c r="P1321" s="133">
        <v>0</v>
      </c>
      <c r="R1321" s="133">
        <v>1</v>
      </c>
      <c r="S1321" s="133" t="s">
        <v>176</v>
      </c>
      <c r="T1321" s="133" t="s">
        <v>176</v>
      </c>
      <c r="U1321" s="133" t="s">
        <v>122</v>
      </c>
      <c r="V1321" s="133" t="s">
        <v>4019</v>
      </c>
      <c r="W1321" s="140" t="s">
        <v>23</v>
      </c>
      <c r="X1321" s="140" t="s">
        <v>3997</v>
      </c>
      <c r="Y1321" s="140" t="s">
        <v>4006</v>
      </c>
      <c r="AB1321" s="133" t="s">
        <v>176</v>
      </c>
      <c r="AC1321" s="134">
        <v>63.726179999999999</v>
      </c>
      <c r="AD1321" s="134">
        <v>148.96117000000001</v>
      </c>
      <c r="AH1321" s="139">
        <v>0</v>
      </c>
      <c r="AI1321" s="139">
        <v>0</v>
      </c>
      <c r="AJ1321" s="139">
        <v>0</v>
      </c>
      <c r="AK1321" s="139">
        <v>0</v>
      </c>
      <c r="AL1321" s="139">
        <v>0</v>
      </c>
      <c r="AM1321" s="133">
        <v>0</v>
      </c>
      <c r="AN1321" s="133">
        <f t="shared" si="21"/>
        <v>0</v>
      </c>
      <c r="AP1321" s="133" t="s">
        <v>887</v>
      </c>
    </row>
    <row r="1322" spans="1:48" s="133" customFormat="1" x14ac:dyDescent="0.2">
      <c r="A1322" s="135" t="s">
        <v>546</v>
      </c>
      <c r="B1322" s="135" t="s">
        <v>547</v>
      </c>
      <c r="C1322" s="135">
        <v>2</v>
      </c>
      <c r="D1322" s="135">
        <v>1</v>
      </c>
      <c r="E1322" s="135" t="s">
        <v>3171</v>
      </c>
      <c r="F1322" s="136">
        <v>43354</v>
      </c>
      <c r="G1322" s="136" t="s">
        <v>4032</v>
      </c>
      <c r="H1322" s="136" t="s">
        <v>4724</v>
      </c>
      <c r="I1322" s="172">
        <v>1.2499999999999999E-2</v>
      </c>
      <c r="J1322" s="175">
        <v>2.0833333333333335E-4</v>
      </c>
      <c r="K1322" s="143">
        <v>18</v>
      </c>
      <c r="L1322" s="135" t="s">
        <v>483</v>
      </c>
      <c r="M1322" s="135" t="s">
        <v>548</v>
      </c>
      <c r="N1322" s="135" t="s">
        <v>102</v>
      </c>
      <c r="O1322" s="135" t="s">
        <v>115</v>
      </c>
      <c r="P1322" s="135">
        <v>1</v>
      </c>
      <c r="Q1322" s="135"/>
      <c r="R1322" s="135">
        <v>0</v>
      </c>
      <c r="S1322" s="133" t="s">
        <v>14</v>
      </c>
      <c r="T1322" s="135" t="s">
        <v>2130</v>
      </c>
      <c r="U1322" s="135" t="s">
        <v>122</v>
      </c>
      <c r="V1322" s="135" t="s">
        <v>115</v>
      </c>
      <c r="W1322" s="135" t="s">
        <v>115</v>
      </c>
      <c r="X1322" s="135" t="s">
        <v>115</v>
      </c>
      <c r="Y1322" s="135" t="s">
        <v>115</v>
      </c>
      <c r="AB1322" s="135" t="s">
        <v>115</v>
      </c>
      <c r="AC1322" s="137" t="s">
        <v>115</v>
      </c>
      <c r="AD1322" s="137"/>
      <c r="AH1322" s="143">
        <v>0</v>
      </c>
      <c r="AI1322" s="143">
        <v>0</v>
      </c>
      <c r="AJ1322" s="143">
        <v>0</v>
      </c>
      <c r="AK1322" s="143">
        <v>0</v>
      </c>
      <c r="AL1322" s="143">
        <v>8</v>
      </c>
      <c r="AM1322" s="135">
        <v>0</v>
      </c>
      <c r="AN1322" s="135">
        <f t="shared" si="21"/>
        <v>8</v>
      </c>
      <c r="AO1322" s="135"/>
      <c r="AP1322" s="135"/>
      <c r="AQ1322" s="135"/>
      <c r="AR1322" s="135"/>
    </row>
    <row r="1323" spans="1:48" s="133" customFormat="1" x14ac:dyDescent="0.2">
      <c r="A1323" s="133" t="s">
        <v>549</v>
      </c>
      <c r="B1323" s="133" t="s">
        <v>550</v>
      </c>
      <c r="C1323" s="133">
        <v>3</v>
      </c>
      <c r="D1323" s="133">
        <v>1</v>
      </c>
      <c r="E1323" s="133" t="s">
        <v>3171</v>
      </c>
      <c r="F1323" s="138">
        <v>43354</v>
      </c>
      <c r="G1323" s="136" t="s">
        <v>4032</v>
      </c>
      <c r="H1323" s="136" t="s">
        <v>4724</v>
      </c>
      <c r="I1323" s="148">
        <v>3.8194444444444441E-2</v>
      </c>
      <c r="J1323" s="174">
        <v>6.3657407407407402E-4</v>
      </c>
      <c r="K1323" s="139">
        <v>55</v>
      </c>
      <c r="L1323" s="133" t="s">
        <v>483</v>
      </c>
      <c r="M1323" s="133" t="s">
        <v>548</v>
      </c>
      <c r="N1323" s="133" t="s">
        <v>159</v>
      </c>
      <c r="O1323" s="133" t="s">
        <v>23</v>
      </c>
      <c r="P1323" s="133">
        <v>0</v>
      </c>
      <c r="R1323" s="133">
        <v>1</v>
      </c>
      <c r="S1323" s="133" t="s">
        <v>14</v>
      </c>
      <c r="T1323" s="133" t="s">
        <v>2130</v>
      </c>
      <c r="U1323" s="133" t="s">
        <v>122</v>
      </c>
      <c r="V1323" s="133" t="s">
        <v>333</v>
      </c>
      <c r="W1323" s="135" t="s">
        <v>23</v>
      </c>
      <c r="X1323" s="135" t="s">
        <v>3997</v>
      </c>
      <c r="Y1323" s="135" t="s">
        <v>4006</v>
      </c>
      <c r="Z1323" s="135"/>
      <c r="AA1323" s="135"/>
      <c r="AB1323" s="133" t="s">
        <v>176</v>
      </c>
      <c r="AC1323" s="134">
        <v>63.723739999999999</v>
      </c>
      <c r="AD1323" s="134">
        <v>148.94995</v>
      </c>
      <c r="AE1323" s="135"/>
      <c r="AF1323" s="135"/>
      <c r="AG1323" s="135"/>
      <c r="AH1323" s="139">
        <v>0</v>
      </c>
      <c r="AI1323" s="139">
        <v>0</v>
      </c>
      <c r="AJ1323" s="139">
        <v>0</v>
      </c>
      <c r="AK1323" s="139">
        <v>0</v>
      </c>
      <c r="AL1323" s="139">
        <v>0</v>
      </c>
      <c r="AM1323" s="133">
        <v>0</v>
      </c>
      <c r="AN1323" s="133">
        <f t="shared" si="21"/>
        <v>0</v>
      </c>
      <c r="AP1323" s="133" t="s">
        <v>552</v>
      </c>
      <c r="AS1323" s="135"/>
      <c r="AT1323" s="135"/>
      <c r="AU1323" s="135"/>
      <c r="AV1323" s="135"/>
    </row>
    <row r="1324" spans="1:48" s="135" customFormat="1" x14ac:dyDescent="0.2">
      <c r="A1324" s="133" t="s">
        <v>549</v>
      </c>
      <c r="B1324" s="133" t="s">
        <v>550</v>
      </c>
      <c r="C1324" s="133">
        <v>3</v>
      </c>
      <c r="D1324" s="133">
        <v>2</v>
      </c>
      <c r="E1324" s="133" t="s">
        <v>3171</v>
      </c>
      <c r="F1324" s="138">
        <v>43354</v>
      </c>
      <c r="G1324" s="136" t="s">
        <v>4032</v>
      </c>
      <c r="H1324" s="136" t="s">
        <v>4724</v>
      </c>
      <c r="I1324" s="148">
        <v>3.8194444444444441E-2</v>
      </c>
      <c r="J1324" s="174">
        <v>6.3657407407407402E-4</v>
      </c>
      <c r="K1324" s="139">
        <v>55</v>
      </c>
      <c r="L1324" s="133" t="s">
        <v>483</v>
      </c>
      <c r="M1324" s="133" t="s">
        <v>548</v>
      </c>
      <c r="N1324" s="133" t="s">
        <v>159</v>
      </c>
      <c r="O1324" s="133" t="s">
        <v>23</v>
      </c>
      <c r="P1324" s="133">
        <v>0</v>
      </c>
      <c r="Q1324" s="133"/>
      <c r="R1324" s="133">
        <v>1</v>
      </c>
      <c r="S1324" s="133" t="s">
        <v>14</v>
      </c>
      <c r="T1324" s="133" t="s">
        <v>2130</v>
      </c>
      <c r="U1324" s="133" t="s">
        <v>122</v>
      </c>
      <c r="V1324" s="133" t="s">
        <v>1035</v>
      </c>
      <c r="W1324" s="135" t="s">
        <v>23</v>
      </c>
      <c r="X1324" s="135" t="s">
        <v>3997</v>
      </c>
      <c r="Y1324" s="135" t="s">
        <v>4006</v>
      </c>
      <c r="Z1324" s="133"/>
      <c r="AA1324" s="133"/>
      <c r="AB1324" s="133" t="s">
        <v>176</v>
      </c>
      <c r="AC1324" s="134">
        <v>63.723739999999999</v>
      </c>
      <c r="AD1324" s="134">
        <v>148.94995</v>
      </c>
      <c r="AE1324" s="133"/>
      <c r="AF1324" s="133"/>
      <c r="AG1324" s="133"/>
      <c r="AH1324" s="139">
        <v>0</v>
      </c>
      <c r="AI1324" s="139">
        <v>0</v>
      </c>
      <c r="AJ1324" s="139">
        <v>0</v>
      </c>
      <c r="AK1324" s="139">
        <v>0</v>
      </c>
      <c r="AL1324" s="139">
        <v>0</v>
      </c>
      <c r="AM1324" s="133">
        <v>0</v>
      </c>
      <c r="AN1324" s="133">
        <f t="shared" si="21"/>
        <v>0</v>
      </c>
      <c r="AO1324" s="133"/>
      <c r="AP1324" s="133" t="s">
        <v>2071</v>
      </c>
      <c r="AQ1324" s="133"/>
      <c r="AR1324" s="133"/>
      <c r="AS1324" s="133"/>
      <c r="AT1324" s="133"/>
      <c r="AU1324" s="133"/>
      <c r="AV1324" s="133"/>
    </row>
    <row r="1325" spans="1:48" s="135" customFormat="1" x14ac:dyDescent="0.2">
      <c r="A1325" s="133" t="s">
        <v>666</v>
      </c>
      <c r="B1325" s="133" t="s">
        <v>667</v>
      </c>
      <c r="C1325" s="133">
        <v>2</v>
      </c>
      <c r="D1325" s="133">
        <v>1</v>
      </c>
      <c r="E1325" s="133" t="s">
        <v>3171</v>
      </c>
      <c r="F1325" s="138">
        <v>43357</v>
      </c>
      <c r="G1325" s="136" t="s">
        <v>4032</v>
      </c>
      <c r="H1325" s="136" t="s">
        <v>4724</v>
      </c>
      <c r="I1325" s="148">
        <v>7.6388888888888886E-3</v>
      </c>
      <c r="J1325" s="174">
        <v>1.273148148148148E-4</v>
      </c>
      <c r="K1325" s="139">
        <v>11</v>
      </c>
      <c r="L1325" s="133" t="s">
        <v>640</v>
      </c>
      <c r="M1325" s="133" t="s">
        <v>548</v>
      </c>
      <c r="N1325" s="133" t="s">
        <v>111</v>
      </c>
      <c r="O1325" s="133" t="s">
        <v>23</v>
      </c>
      <c r="P1325" s="133">
        <v>0</v>
      </c>
      <c r="Q1325" s="133"/>
      <c r="R1325" s="133">
        <v>1</v>
      </c>
      <c r="S1325" s="133" t="s">
        <v>176</v>
      </c>
      <c r="T1325" s="133" t="s">
        <v>176</v>
      </c>
      <c r="U1325" s="133" t="s">
        <v>115</v>
      </c>
      <c r="V1325" s="133" t="s">
        <v>3965</v>
      </c>
      <c r="W1325" s="135" t="s">
        <v>23</v>
      </c>
      <c r="X1325" s="135" t="s">
        <v>3997</v>
      </c>
      <c r="Y1325" s="135" t="s">
        <v>4002</v>
      </c>
      <c r="Z1325" s="133"/>
      <c r="AA1325" s="133"/>
      <c r="AB1325" s="133" t="s">
        <v>24</v>
      </c>
      <c r="AC1325" s="134">
        <v>63.722520000000003</v>
      </c>
      <c r="AD1325" s="134">
        <v>148.95232999999999</v>
      </c>
      <c r="AE1325" s="133"/>
      <c r="AF1325" s="133"/>
      <c r="AG1325" s="133"/>
      <c r="AH1325" s="139">
        <v>0</v>
      </c>
      <c r="AI1325" s="139">
        <v>0</v>
      </c>
      <c r="AJ1325" s="139">
        <v>0</v>
      </c>
      <c r="AK1325" s="139">
        <v>0</v>
      </c>
      <c r="AL1325" s="139">
        <v>0</v>
      </c>
      <c r="AM1325" s="133">
        <v>0</v>
      </c>
      <c r="AN1325" s="133">
        <f t="shared" si="21"/>
        <v>0</v>
      </c>
      <c r="AO1325" s="133"/>
      <c r="AP1325" s="133"/>
      <c r="AQ1325" s="133"/>
      <c r="AR1325" s="133"/>
      <c r="AS1325" s="133"/>
      <c r="AT1325" s="133"/>
      <c r="AU1325" s="133"/>
      <c r="AV1325" s="133"/>
    </row>
    <row r="1326" spans="1:48" s="133" customFormat="1" x14ac:dyDescent="0.2">
      <c r="A1326" s="133" t="s">
        <v>979</v>
      </c>
      <c r="B1326" s="133" t="s">
        <v>980</v>
      </c>
      <c r="C1326" s="133">
        <v>2</v>
      </c>
      <c r="D1326" s="133">
        <v>1</v>
      </c>
      <c r="E1326" s="133" t="s">
        <v>3171</v>
      </c>
      <c r="F1326" s="138">
        <v>43369</v>
      </c>
      <c r="G1326" s="136" t="s">
        <v>4032</v>
      </c>
      <c r="H1326" s="136" t="s">
        <v>4724</v>
      </c>
      <c r="I1326" s="148">
        <v>1.3888888888888888E-2</v>
      </c>
      <c r="J1326" s="174">
        <v>2.3148148148148146E-4</v>
      </c>
      <c r="K1326" s="139">
        <v>20</v>
      </c>
      <c r="L1326" s="133" t="s">
        <v>398</v>
      </c>
      <c r="M1326" s="133" t="s">
        <v>548</v>
      </c>
      <c r="N1326" s="133" t="s">
        <v>107</v>
      </c>
      <c r="O1326" s="133" t="s">
        <v>23</v>
      </c>
      <c r="P1326" s="133">
        <v>1</v>
      </c>
      <c r="R1326" s="133">
        <v>0</v>
      </c>
      <c r="S1326" s="133" t="s">
        <v>176</v>
      </c>
      <c r="T1326" s="133" t="s">
        <v>176</v>
      </c>
      <c r="U1326" s="133" t="s">
        <v>24</v>
      </c>
      <c r="V1326" s="133" t="s">
        <v>115</v>
      </c>
      <c r="W1326" s="135" t="s">
        <v>115</v>
      </c>
      <c r="X1326" s="135" t="s">
        <v>115</v>
      </c>
      <c r="Y1326" s="135" t="s">
        <v>115</v>
      </c>
      <c r="AB1326" s="133" t="s">
        <v>115</v>
      </c>
      <c r="AC1326" s="134" t="s">
        <v>115</v>
      </c>
      <c r="AD1326" s="134"/>
      <c r="AH1326" s="133">
        <v>0</v>
      </c>
      <c r="AI1326" s="133">
        <v>0</v>
      </c>
      <c r="AJ1326" s="139">
        <v>0</v>
      </c>
      <c r="AK1326" s="139">
        <v>0</v>
      </c>
      <c r="AL1326" s="139">
        <v>0</v>
      </c>
      <c r="AM1326" s="133">
        <v>0</v>
      </c>
      <c r="AN1326" s="133">
        <f t="shared" ref="AN1326:AN1389" si="22">SUM(AJ1326:AM1326)</f>
        <v>0</v>
      </c>
      <c r="AP1326" s="133" t="s">
        <v>981</v>
      </c>
    </row>
    <row r="1327" spans="1:48" s="133" customFormat="1" x14ac:dyDescent="0.2">
      <c r="A1327" s="133" t="s">
        <v>982</v>
      </c>
      <c r="B1327" s="133" t="s">
        <v>983</v>
      </c>
      <c r="C1327" s="133">
        <v>3</v>
      </c>
      <c r="D1327" s="133">
        <v>1</v>
      </c>
      <c r="E1327" s="133" t="s">
        <v>3171</v>
      </c>
      <c r="F1327" s="138">
        <v>43369</v>
      </c>
      <c r="G1327" s="136" t="s">
        <v>4032</v>
      </c>
      <c r="H1327" s="136" t="s">
        <v>4724</v>
      </c>
      <c r="I1327" s="148">
        <v>4.8611111111111112E-2</v>
      </c>
      <c r="J1327" s="174">
        <v>8.1018518518518516E-4</v>
      </c>
      <c r="K1327" s="139">
        <v>70</v>
      </c>
      <c r="L1327" s="133" t="s">
        <v>398</v>
      </c>
      <c r="M1327" s="133" t="s">
        <v>548</v>
      </c>
      <c r="N1327" s="133" t="s">
        <v>111</v>
      </c>
      <c r="O1327" s="133" t="s">
        <v>919</v>
      </c>
      <c r="P1327" s="133">
        <v>0</v>
      </c>
      <c r="R1327" s="133">
        <v>2</v>
      </c>
      <c r="S1327" s="133" t="s">
        <v>176</v>
      </c>
      <c r="T1327" s="133" t="s">
        <v>176</v>
      </c>
      <c r="U1327" s="133" t="s">
        <v>24</v>
      </c>
      <c r="V1327" s="133" t="s">
        <v>2081</v>
      </c>
      <c r="W1327" s="140" t="s">
        <v>12</v>
      </c>
      <c r="X1327" s="140" t="s">
        <v>3997</v>
      </c>
      <c r="Y1327" s="140" t="s">
        <v>4005</v>
      </c>
      <c r="Z1327" s="135"/>
      <c r="AA1327" s="135"/>
      <c r="AB1327" s="133" t="s">
        <v>24</v>
      </c>
      <c r="AC1327" s="134">
        <v>63.724490000000003</v>
      </c>
      <c r="AD1327" s="134">
        <v>148.95013</v>
      </c>
      <c r="AE1327" s="135"/>
      <c r="AF1327" s="135"/>
      <c r="AG1327" s="135"/>
      <c r="AH1327" s="139">
        <v>0</v>
      </c>
      <c r="AI1327" s="139">
        <v>0</v>
      </c>
      <c r="AJ1327" s="139">
        <v>0</v>
      </c>
      <c r="AK1327" s="139">
        <v>0</v>
      </c>
      <c r="AL1327" s="139">
        <v>0</v>
      </c>
      <c r="AM1327" s="133">
        <v>0</v>
      </c>
      <c r="AN1327" s="133">
        <f t="shared" si="22"/>
        <v>0</v>
      </c>
      <c r="AP1327" s="133" t="s">
        <v>1017</v>
      </c>
    </row>
    <row r="1328" spans="1:48" s="135" customFormat="1" x14ac:dyDescent="0.2">
      <c r="A1328" s="133" t="s">
        <v>982</v>
      </c>
      <c r="B1328" s="133" t="s">
        <v>983</v>
      </c>
      <c r="C1328" s="133">
        <v>3</v>
      </c>
      <c r="D1328" s="133">
        <v>2</v>
      </c>
      <c r="E1328" s="133" t="s">
        <v>3171</v>
      </c>
      <c r="F1328" s="138">
        <v>43369</v>
      </c>
      <c r="G1328" s="136" t="s">
        <v>4032</v>
      </c>
      <c r="H1328" s="136" t="s">
        <v>4724</v>
      </c>
      <c r="I1328" s="148">
        <v>4.8611111111111112E-2</v>
      </c>
      <c r="J1328" s="174">
        <v>8.1018518518518516E-4</v>
      </c>
      <c r="K1328" s="139">
        <v>70</v>
      </c>
      <c r="L1328" s="133" t="s">
        <v>398</v>
      </c>
      <c r="M1328" s="133" t="s">
        <v>548</v>
      </c>
      <c r="N1328" s="133" t="s">
        <v>111</v>
      </c>
      <c r="O1328" s="133" t="s">
        <v>919</v>
      </c>
      <c r="P1328" s="133">
        <v>0</v>
      </c>
      <c r="Q1328" s="133"/>
      <c r="R1328" s="133">
        <v>1</v>
      </c>
      <c r="S1328" s="133" t="s">
        <v>176</v>
      </c>
      <c r="T1328" s="133" t="s">
        <v>176</v>
      </c>
      <c r="U1328" s="133" t="s">
        <v>24</v>
      </c>
      <c r="V1328" s="133" t="s">
        <v>2081</v>
      </c>
      <c r="W1328" s="135" t="s">
        <v>12</v>
      </c>
      <c r="X1328" s="135" t="s">
        <v>3997</v>
      </c>
      <c r="Y1328" s="135" t="s">
        <v>4003</v>
      </c>
      <c r="Z1328" s="133"/>
      <c r="AA1328" s="133"/>
      <c r="AB1328" s="133" t="s">
        <v>24</v>
      </c>
      <c r="AC1328" s="134">
        <v>63.724469999999997</v>
      </c>
      <c r="AD1328" s="134">
        <v>148.95013</v>
      </c>
      <c r="AE1328" s="133"/>
      <c r="AF1328" s="133"/>
      <c r="AG1328" s="133"/>
      <c r="AH1328" s="139">
        <v>0</v>
      </c>
      <c r="AI1328" s="139">
        <v>0</v>
      </c>
      <c r="AJ1328" s="139">
        <v>0</v>
      </c>
      <c r="AK1328" s="139">
        <v>0</v>
      </c>
      <c r="AL1328" s="139">
        <v>0</v>
      </c>
      <c r="AM1328" s="133">
        <v>0</v>
      </c>
      <c r="AN1328" s="133">
        <f t="shared" si="22"/>
        <v>0</v>
      </c>
      <c r="AO1328" s="133"/>
      <c r="AP1328" s="133" t="s">
        <v>1017</v>
      </c>
      <c r="AQ1328" s="133"/>
      <c r="AR1328" s="133"/>
    </row>
    <row r="1329" spans="1:48" s="135" customFormat="1" x14ac:dyDescent="0.2">
      <c r="A1329" s="133" t="s">
        <v>982</v>
      </c>
      <c r="B1329" s="133" t="s">
        <v>983</v>
      </c>
      <c r="C1329" s="133">
        <v>3</v>
      </c>
      <c r="D1329" s="133">
        <v>3</v>
      </c>
      <c r="E1329" s="133" t="s">
        <v>3171</v>
      </c>
      <c r="F1329" s="138">
        <v>43369</v>
      </c>
      <c r="G1329" s="136" t="s">
        <v>4032</v>
      </c>
      <c r="H1329" s="136" t="s">
        <v>4724</v>
      </c>
      <c r="I1329" s="148">
        <v>4.8611111111111112E-2</v>
      </c>
      <c r="J1329" s="174">
        <v>8.1018518518518516E-4</v>
      </c>
      <c r="K1329" s="139">
        <v>70</v>
      </c>
      <c r="L1329" s="133" t="s">
        <v>398</v>
      </c>
      <c r="M1329" s="133" t="s">
        <v>548</v>
      </c>
      <c r="N1329" s="133" t="s">
        <v>111</v>
      </c>
      <c r="O1329" s="133" t="s">
        <v>919</v>
      </c>
      <c r="P1329" s="133">
        <v>0</v>
      </c>
      <c r="Q1329" s="133"/>
      <c r="R1329" s="133">
        <v>1</v>
      </c>
      <c r="S1329" s="133" t="s">
        <v>176</v>
      </c>
      <c r="T1329" s="133" t="s">
        <v>176</v>
      </c>
      <c r="U1329" s="133" t="s">
        <v>24</v>
      </c>
      <c r="V1329" s="133" t="s">
        <v>1035</v>
      </c>
      <c r="W1329" s="135" t="s">
        <v>23</v>
      </c>
      <c r="X1329" s="135" t="s">
        <v>3997</v>
      </c>
      <c r="Y1329" s="135" t="s">
        <v>4006</v>
      </c>
      <c r="Z1329" s="133"/>
      <c r="AA1329" s="133"/>
      <c r="AB1329" s="133" t="s">
        <v>24</v>
      </c>
      <c r="AC1329" s="134">
        <v>63.724350000000001</v>
      </c>
      <c r="AD1329" s="134">
        <v>148.95016000000001</v>
      </c>
      <c r="AE1329" s="133"/>
      <c r="AF1329" s="133"/>
      <c r="AG1329" s="133"/>
      <c r="AH1329" s="139">
        <v>0</v>
      </c>
      <c r="AI1329" s="139">
        <v>0</v>
      </c>
      <c r="AJ1329" s="139">
        <v>0</v>
      </c>
      <c r="AK1329" s="139">
        <v>0</v>
      </c>
      <c r="AL1329" s="139">
        <v>0</v>
      </c>
      <c r="AM1329" s="133">
        <v>0</v>
      </c>
      <c r="AN1329" s="133">
        <f t="shared" si="22"/>
        <v>0</v>
      </c>
      <c r="AO1329" s="133"/>
      <c r="AP1329" s="133" t="s">
        <v>1017</v>
      </c>
      <c r="AQ1329" s="133"/>
      <c r="AR1329" s="133"/>
    </row>
    <row r="1330" spans="1:48" s="133" customFormat="1" x14ac:dyDescent="0.2">
      <c r="A1330" s="133" t="s">
        <v>984</v>
      </c>
      <c r="B1330" s="133" t="s">
        <v>985</v>
      </c>
      <c r="C1330" s="133">
        <v>4</v>
      </c>
      <c r="D1330" s="133">
        <v>1</v>
      </c>
      <c r="E1330" s="133" t="s">
        <v>3171</v>
      </c>
      <c r="F1330" s="138">
        <v>43369</v>
      </c>
      <c r="G1330" s="136" t="s">
        <v>4032</v>
      </c>
      <c r="H1330" s="136" t="s">
        <v>4724</v>
      </c>
      <c r="I1330" s="148">
        <v>4.8611111111111112E-3</v>
      </c>
      <c r="J1330" s="174">
        <v>8.1018518518518516E-5</v>
      </c>
      <c r="K1330" s="139">
        <v>7</v>
      </c>
      <c r="L1330" s="133" t="s">
        <v>398</v>
      </c>
      <c r="M1330" s="133" t="s">
        <v>548</v>
      </c>
      <c r="N1330" s="133" t="s">
        <v>111</v>
      </c>
      <c r="O1330" s="133" t="s">
        <v>12</v>
      </c>
      <c r="P1330" s="133">
        <v>0</v>
      </c>
      <c r="R1330" s="133">
        <v>1</v>
      </c>
      <c r="S1330" s="133" t="s">
        <v>176</v>
      </c>
      <c r="T1330" s="133" t="s">
        <v>176</v>
      </c>
      <c r="U1330" s="133" t="s">
        <v>125</v>
      </c>
      <c r="V1330" s="133" t="s">
        <v>558</v>
      </c>
      <c r="W1330" s="135" t="s">
        <v>12</v>
      </c>
      <c r="X1330" s="135" t="s">
        <v>4004</v>
      </c>
      <c r="Y1330" s="135" t="s">
        <v>4008</v>
      </c>
      <c r="AB1330" s="133">
        <v>25</v>
      </c>
      <c r="AC1330" s="134">
        <v>63.724290000000003</v>
      </c>
      <c r="AD1330" s="134">
        <v>148.94922</v>
      </c>
      <c r="AH1330" s="139">
        <v>0</v>
      </c>
      <c r="AI1330" s="139">
        <v>0</v>
      </c>
      <c r="AJ1330" s="139">
        <v>0</v>
      </c>
      <c r="AK1330" s="139">
        <v>0</v>
      </c>
      <c r="AL1330" s="139">
        <v>0</v>
      </c>
      <c r="AM1330" s="133">
        <v>0</v>
      </c>
      <c r="AN1330" s="133">
        <f t="shared" si="22"/>
        <v>0</v>
      </c>
      <c r="AP1330" s="133" t="s">
        <v>987</v>
      </c>
    </row>
    <row r="1331" spans="1:48" s="133" customFormat="1" x14ac:dyDescent="0.2">
      <c r="A1331" s="133" t="s">
        <v>663</v>
      </c>
      <c r="B1331" s="133" t="s">
        <v>664</v>
      </c>
      <c r="C1331" s="133">
        <v>1</v>
      </c>
      <c r="D1331" s="133">
        <v>1</v>
      </c>
      <c r="E1331" s="133" t="s">
        <v>3171</v>
      </c>
      <c r="F1331" s="138">
        <v>43357</v>
      </c>
      <c r="G1331" s="136" t="s">
        <v>4032</v>
      </c>
      <c r="H1331" s="136" t="s">
        <v>4724</v>
      </c>
      <c r="I1331" s="148">
        <v>1.4583333333333332E-2</v>
      </c>
      <c r="J1331" s="174">
        <v>2.4305555555555552E-4</v>
      </c>
      <c r="K1331" s="139">
        <v>21</v>
      </c>
      <c r="L1331" s="133" t="s">
        <v>640</v>
      </c>
      <c r="M1331" s="133" t="s">
        <v>548</v>
      </c>
      <c r="N1331" s="133" t="s">
        <v>107</v>
      </c>
      <c r="O1331" s="133" t="s">
        <v>23</v>
      </c>
      <c r="P1331" s="133">
        <v>1</v>
      </c>
      <c r="R1331" s="133">
        <v>0</v>
      </c>
      <c r="S1331" s="133" t="s">
        <v>176</v>
      </c>
      <c r="T1331" s="133" t="s">
        <v>176</v>
      </c>
      <c r="U1331" s="133" t="s">
        <v>24</v>
      </c>
      <c r="V1331" s="133" t="s">
        <v>115</v>
      </c>
      <c r="W1331" s="135" t="s">
        <v>115</v>
      </c>
      <c r="X1331" s="135" t="s">
        <v>115</v>
      </c>
      <c r="Y1331" s="135" t="s">
        <v>115</v>
      </c>
      <c r="AB1331" s="133" t="s">
        <v>115</v>
      </c>
      <c r="AC1331" s="134" t="s">
        <v>115</v>
      </c>
      <c r="AD1331" s="134"/>
      <c r="AH1331" s="139">
        <v>2</v>
      </c>
      <c r="AI1331" s="139">
        <v>0</v>
      </c>
      <c r="AJ1331" s="139">
        <v>2</v>
      </c>
      <c r="AK1331" s="139">
        <v>0</v>
      </c>
      <c r="AL1331" s="139">
        <v>0</v>
      </c>
      <c r="AM1331" s="133">
        <v>0</v>
      </c>
      <c r="AN1331" s="133">
        <f t="shared" si="22"/>
        <v>2</v>
      </c>
      <c r="AP1331" s="133" t="s">
        <v>665</v>
      </c>
    </row>
    <row r="1332" spans="1:48" s="133" customFormat="1" x14ac:dyDescent="0.2">
      <c r="A1332" s="133" t="s">
        <v>538</v>
      </c>
      <c r="B1332" s="133" t="s">
        <v>539</v>
      </c>
      <c r="C1332" s="133">
        <v>4</v>
      </c>
      <c r="D1332" s="133">
        <v>1</v>
      </c>
      <c r="E1332" s="144" t="s">
        <v>201</v>
      </c>
      <c r="F1332" s="145">
        <v>43354</v>
      </c>
      <c r="G1332" s="136" t="s">
        <v>4032</v>
      </c>
      <c r="H1332" s="136" t="s">
        <v>4724</v>
      </c>
      <c r="I1332" s="148">
        <v>1.6666666666666666E-2</v>
      </c>
      <c r="J1332" s="174">
        <v>2.7777777777777778E-4</v>
      </c>
      <c r="K1332" s="139">
        <v>24</v>
      </c>
      <c r="L1332" s="133" t="s">
        <v>483</v>
      </c>
      <c r="M1332" s="133" t="s">
        <v>115</v>
      </c>
      <c r="N1332" s="133" t="s">
        <v>159</v>
      </c>
      <c r="O1332" s="133" t="s">
        <v>23</v>
      </c>
      <c r="P1332" s="133">
        <v>0</v>
      </c>
      <c r="R1332" s="133">
        <v>1</v>
      </c>
      <c r="S1332" s="133" t="s">
        <v>176</v>
      </c>
      <c r="T1332" s="133" t="s">
        <v>176</v>
      </c>
      <c r="U1332" s="133" t="s">
        <v>115</v>
      </c>
      <c r="V1332" s="133" t="s">
        <v>2061</v>
      </c>
      <c r="W1332" s="140" t="s">
        <v>23</v>
      </c>
      <c r="X1332" s="140" t="s">
        <v>3999</v>
      </c>
      <c r="Y1332" s="140" t="s">
        <v>4006</v>
      </c>
      <c r="AB1332" s="133" t="s">
        <v>176</v>
      </c>
      <c r="AC1332" s="134">
        <v>63.722520000000003</v>
      </c>
      <c r="AD1332" s="134">
        <v>148.95984000000001</v>
      </c>
      <c r="AH1332" s="139">
        <v>0</v>
      </c>
      <c r="AI1332" s="139">
        <v>0</v>
      </c>
      <c r="AJ1332" s="139">
        <v>0</v>
      </c>
      <c r="AK1332" s="139">
        <v>0</v>
      </c>
      <c r="AL1332" s="139">
        <v>0</v>
      </c>
      <c r="AM1332" s="133">
        <v>0</v>
      </c>
      <c r="AN1332" s="133">
        <f t="shared" si="22"/>
        <v>0</v>
      </c>
      <c r="AP1332" s="133" t="s">
        <v>542</v>
      </c>
    </row>
    <row r="1333" spans="1:48" s="133" customFormat="1" x14ac:dyDescent="0.2">
      <c r="A1333" s="135" t="s">
        <v>267</v>
      </c>
      <c r="B1333" s="135" t="s">
        <v>268</v>
      </c>
      <c r="C1333" s="135">
        <v>1</v>
      </c>
      <c r="D1333" s="135">
        <v>1</v>
      </c>
      <c r="E1333" s="135" t="s">
        <v>213</v>
      </c>
      <c r="F1333" s="136">
        <v>43346</v>
      </c>
      <c r="G1333" s="136" t="s">
        <v>4032</v>
      </c>
      <c r="H1333" s="136" t="s">
        <v>4724</v>
      </c>
      <c r="I1333" s="172">
        <v>4.3055555555555562E-2</v>
      </c>
      <c r="J1333" s="175">
        <v>7.175925925925927E-4</v>
      </c>
      <c r="K1333" s="143">
        <v>62</v>
      </c>
      <c r="L1333" s="135"/>
      <c r="M1333" s="135" t="s">
        <v>2498</v>
      </c>
      <c r="N1333" s="135" t="s">
        <v>187</v>
      </c>
      <c r="O1333" s="135" t="s">
        <v>23</v>
      </c>
      <c r="P1333" s="135">
        <v>1</v>
      </c>
      <c r="Q1333" s="135"/>
      <c r="R1333" s="135">
        <v>1</v>
      </c>
      <c r="S1333" s="133" t="s">
        <v>14</v>
      </c>
      <c r="T1333" s="135" t="s">
        <v>14</v>
      </c>
      <c r="U1333" s="135" t="s">
        <v>122</v>
      </c>
      <c r="V1333" s="135" t="s">
        <v>3984</v>
      </c>
      <c r="W1333" s="135" t="s">
        <v>23</v>
      </c>
      <c r="X1333" s="135" t="s">
        <v>3999</v>
      </c>
      <c r="Y1333" s="135" t="s">
        <v>4007</v>
      </c>
      <c r="AB1333" s="135" t="s">
        <v>176</v>
      </c>
      <c r="AC1333" s="137">
        <v>63.722920000000002</v>
      </c>
      <c r="AD1333" s="137">
        <v>148.98212000000001</v>
      </c>
      <c r="AH1333" s="135">
        <v>0</v>
      </c>
      <c r="AI1333" s="135">
        <v>0</v>
      </c>
      <c r="AJ1333" s="135">
        <v>0</v>
      </c>
      <c r="AK1333" s="135">
        <v>0</v>
      </c>
      <c r="AL1333" s="135">
        <v>7</v>
      </c>
      <c r="AM1333" s="135">
        <v>0</v>
      </c>
      <c r="AN1333" s="135">
        <f t="shared" si="22"/>
        <v>7</v>
      </c>
      <c r="AO1333" s="135"/>
      <c r="AP1333" s="135" t="s">
        <v>4894</v>
      </c>
      <c r="AQ1333" s="135">
        <v>0</v>
      </c>
      <c r="AR1333" s="135">
        <v>0</v>
      </c>
    </row>
    <row r="1334" spans="1:48" s="133" customFormat="1" x14ac:dyDescent="0.2">
      <c r="A1334" s="135" t="s">
        <v>339</v>
      </c>
      <c r="B1334" s="135" t="s">
        <v>340</v>
      </c>
      <c r="C1334" s="135">
        <v>1</v>
      </c>
      <c r="D1334" s="135">
        <v>1</v>
      </c>
      <c r="E1334" s="135" t="s">
        <v>2487</v>
      </c>
      <c r="F1334" s="136">
        <v>43348</v>
      </c>
      <c r="G1334" s="136" t="s">
        <v>4032</v>
      </c>
      <c r="H1334" s="136" t="s">
        <v>4724</v>
      </c>
      <c r="I1334" s="172">
        <v>3.8194444444444441E-2</v>
      </c>
      <c r="J1334" s="175">
        <v>6.3657407407407402E-4</v>
      </c>
      <c r="K1334" s="143">
        <v>55</v>
      </c>
      <c r="L1334" s="135" t="s">
        <v>397</v>
      </c>
      <c r="M1334" s="135" t="s">
        <v>2498</v>
      </c>
      <c r="N1334" s="135" t="s">
        <v>102</v>
      </c>
      <c r="O1334" s="135" t="s">
        <v>115</v>
      </c>
      <c r="P1334" s="135">
        <v>1</v>
      </c>
      <c r="Q1334" s="135"/>
      <c r="R1334" s="135">
        <v>0</v>
      </c>
      <c r="S1334" s="133" t="s">
        <v>14</v>
      </c>
      <c r="T1334" s="135" t="s">
        <v>2128</v>
      </c>
      <c r="U1334" s="135" t="s">
        <v>122</v>
      </c>
      <c r="V1334" s="135" t="s">
        <v>115</v>
      </c>
      <c r="W1334" s="135" t="s">
        <v>115</v>
      </c>
      <c r="X1334" s="135" t="s">
        <v>115</v>
      </c>
      <c r="Y1334" s="135" t="s">
        <v>115</v>
      </c>
      <c r="AB1334" s="135" t="s">
        <v>115</v>
      </c>
      <c r="AC1334" s="137" t="s">
        <v>115</v>
      </c>
      <c r="AD1334" s="137"/>
      <c r="AH1334" s="135">
        <v>0</v>
      </c>
      <c r="AI1334" s="135">
        <v>0</v>
      </c>
      <c r="AJ1334" s="135">
        <v>0</v>
      </c>
      <c r="AK1334" s="135">
        <v>0</v>
      </c>
      <c r="AL1334" s="135">
        <v>63</v>
      </c>
      <c r="AM1334" s="135">
        <v>0</v>
      </c>
      <c r="AN1334" s="135">
        <f t="shared" si="22"/>
        <v>63</v>
      </c>
      <c r="AO1334" s="135" t="s">
        <v>341</v>
      </c>
      <c r="AP1334" s="135"/>
      <c r="AQ1334" s="135"/>
      <c r="AR1334" s="135"/>
      <c r="AS1334" s="135"/>
      <c r="AT1334" s="135"/>
      <c r="AU1334" s="135"/>
      <c r="AV1334" s="135"/>
    </row>
    <row r="1335" spans="1:48" s="133" customFormat="1" x14ac:dyDescent="0.2">
      <c r="A1335" s="133" t="s">
        <v>339</v>
      </c>
      <c r="B1335" s="133" t="s">
        <v>340</v>
      </c>
      <c r="C1335" s="133">
        <v>1</v>
      </c>
      <c r="D1335" s="133">
        <v>2</v>
      </c>
      <c r="E1335" s="133" t="s">
        <v>2487</v>
      </c>
      <c r="F1335" s="138">
        <v>43348</v>
      </c>
      <c r="G1335" s="136" t="s">
        <v>4032</v>
      </c>
      <c r="H1335" s="136" t="s">
        <v>4724</v>
      </c>
      <c r="I1335" s="148">
        <v>3.8194444444444441E-2</v>
      </c>
      <c r="J1335" s="174">
        <v>6.3657407407407402E-4</v>
      </c>
      <c r="K1335" s="139">
        <v>55</v>
      </c>
      <c r="L1335" s="133" t="s">
        <v>397</v>
      </c>
      <c r="M1335" s="133" t="s">
        <v>2498</v>
      </c>
      <c r="N1335" s="133" t="s">
        <v>102</v>
      </c>
      <c r="O1335" s="133" t="s">
        <v>115</v>
      </c>
      <c r="P1335" s="133">
        <v>1</v>
      </c>
      <c r="R1335" s="133">
        <v>0</v>
      </c>
      <c r="S1335" s="133" t="s">
        <v>598</v>
      </c>
      <c r="T1335" s="133" t="s">
        <v>2108</v>
      </c>
      <c r="U1335" s="133" t="s">
        <v>122</v>
      </c>
      <c r="V1335" s="133" t="s">
        <v>115</v>
      </c>
      <c r="W1335" s="135" t="s">
        <v>115</v>
      </c>
      <c r="X1335" s="135" t="s">
        <v>115</v>
      </c>
      <c r="Y1335" s="135" t="s">
        <v>115</v>
      </c>
      <c r="AB1335" s="133" t="s">
        <v>115</v>
      </c>
      <c r="AC1335" s="134" t="s">
        <v>115</v>
      </c>
      <c r="AD1335" s="134"/>
      <c r="AH1335" s="133">
        <v>0</v>
      </c>
      <c r="AI1335" s="133">
        <v>0</v>
      </c>
      <c r="AJ1335" s="133">
        <v>0</v>
      </c>
      <c r="AK1335" s="133">
        <v>0</v>
      </c>
      <c r="AL1335" s="133">
        <v>0</v>
      </c>
      <c r="AM1335" s="133">
        <v>0</v>
      </c>
      <c r="AN1335" s="133">
        <f t="shared" si="22"/>
        <v>0</v>
      </c>
      <c r="AO1335" s="133" t="s">
        <v>341</v>
      </c>
      <c r="AS1335" s="135"/>
      <c r="AT1335" s="135"/>
      <c r="AU1335" s="135"/>
      <c r="AV1335" s="135"/>
    </row>
    <row r="1336" spans="1:48" s="135" customFormat="1" x14ac:dyDescent="0.2">
      <c r="A1336" s="133" t="s">
        <v>342</v>
      </c>
      <c r="B1336" s="133" t="s">
        <v>345</v>
      </c>
      <c r="C1336" s="133">
        <v>2</v>
      </c>
      <c r="D1336" s="133">
        <v>1</v>
      </c>
      <c r="E1336" s="133" t="s">
        <v>2487</v>
      </c>
      <c r="F1336" s="138">
        <v>43348</v>
      </c>
      <c r="G1336" s="136" t="s">
        <v>4032</v>
      </c>
      <c r="H1336" s="136" t="s">
        <v>4724</v>
      </c>
      <c r="I1336" s="148">
        <v>7.3611111111111113E-2</v>
      </c>
      <c r="J1336" s="174">
        <v>1.2268518518518518E-3</v>
      </c>
      <c r="K1336" s="139">
        <v>106</v>
      </c>
      <c r="L1336" s="133" t="s">
        <v>397</v>
      </c>
      <c r="M1336" s="133" t="s">
        <v>2498</v>
      </c>
      <c r="N1336" s="133" t="s">
        <v>102</v>
      </c>
      <c r="O1336" s="133" t="s">
        <v>23</v>
      </c>
      <c r="P1336" s="133">
        <v>1</v>
      </c>
      <c r="Q1336" s="133"/>
      <c r="R1336" s="133">
        <v>0</v>
      </c>
      <c r="S1336" s="133" t="s">
        <v>176</v>
      </c>
      <c r="T1336" s="133" t="s">
        <v>176</v>
      </c>
      <c r="U1336" s="133" t="s">
        <v>343</v>
      </c>
      <c r="V1336" s="133" t="s">
        <v>115</v>
      </c>
      <c r="W1336" s="135" t="s">
        <v>115</v>
      </c>
      <c r="X1336" s="135" t="s">
        <v>115</v>
      </c>
      <c r="Y1336" s="135" t="s">
        <v>115</v>
      </c>
      <c r="Z1336" s="133"/>
      <c r="AA1336" s="133"/>
      <c r="AB1336" s="133" t="s">
        <v>176</v>
      </c>
      <c r="AC1336" s="134" t="s">
        <v>115</v>
      </c>
      <c r="AD1336" s="134"/>
      <c r="AE1336" s="133"/>
      <c r="AF1336" s="133"/>
      <c r="AG1336" s="133"/>
      <c r="AH1336" s="133">
        <v>0</v>
      </c>
      <c r="AI1336" s="133">
        <v>6</v>
      </c>
      <c r="AJ1336" s="133">
        <v>0</v>
      </c>
      <c r="AK1336" s="133">
        <v>6</v>
      </c>
      <c r="AL1336" s="133">
        <v>0</v>
      </c>
      <c r="AM1336" s="133">
        <v>0</v>
      </c>
      <c r="AN1336" s="133">
        <f t="shared" si="22"/>
        <v>6</v>
      </c>
      <c r="AO1336" s="133"/>
      <c r="AP1336" s="133" t="s">
        <v>1273</v>
      </c>
      <c r="AQ1336" s="133"/>
      <c r="AR1336" s="133"/>
      <c r="AS1336" s="133"/>
      <c r="AT1336" s="133"/>
      <c r="AU1336" s="133"/>
      <c r="AV1336" s="133"/>
    </row>
    <row r="1337" spans="1:48" s="133" customFormat="1" x14ac:dyDescent="0.2">
      <c r="A1337" s="133" t="s">
        <v>346</v>
      </c>
      <c r="B1337" s="133" t="s">
        <v>347</v>
      </c>
      <c r="C1337" s="133">
        <v>3</v>
      </c>
      <c r="D1337" s="133">
        <v>1</v>
      </c>
      <c r="E1337" s="133" t="s">
        <v>2487</v>
      </c>
      <c r="F1337" s="138">
        <v>43348</v>
      </c>
      <c r="G1337" s="136" t="s">
        <v>4032</v>
      </c>
      <c r="H1337" s="136" t="s">
        <v>4724</v>
      </c>
      <c r="I1337" s="148">
        <v>9.7222222222222224E-3</v>
      </c>
      <c r="J1337" s="174">
        <v>1.6203703703703703E-4</v>
      </c>
      <c r="K1337" s="139">
        <v>14</v>
      </c>
      <c r="L1337" s="133" t="s">
        <v>397</v>
      </c>
      <c r="M1337" s="133" t="s">
        <v>2498</v>
      </c>
      <c r="N1337" s="133" t="s">
        <v>102</v>
      </c>
      <c r="O1337" s="133" t="s">
        <v>115</v>
      </c>
      <c r="P1337" s="133">
        <v>1</v>
      </c>
      <c r="R1337" s="133">
        <v>0</v>
      </c>
      <c r="S1337" s="133" t="s">
        <v>598</v>
      </c>
      <c r="T1337" s="133" t="s">
        <v>2108</v>
      </c>
      <c r="U1337" s="133" t="s">
        <v>122</v>
      </c>
      <c r="V1337" s="133" t="s">
        <v>115</v>
      </c>
      <c r="W1337" s="135" t="s">
        <v>115</v>
      </c>
      <c r="X1337" s="135" t="s">
        <v>115</v>
      </c>
      <c r="Y1337" s="135" t="s">
        <v>115</v>
      </c>
      <c r="AB1337" s="144" t="s">
        <v>115</v>
      </c>
      <c r="AC1337" s="134" t="s">
        <v>115</v>
      </c>
      <c r="AD1337" s="134"/>
      <c r="AH1337" s="133">
        <v>0</v>
      </c>
      <c r="AI1337" s="133">
        <v>0</v>
      </c>
      <c r="AJ1337" s="133">
        <v>0</v>
      </c>
      <c r="AK1337" s="133">
        <v>0</v>
      </c>
      <c r="AL1337" s="133">
        <v>0</v>
      </c>
      <c r="AM1337" s="133">
        <v>0</v>
      </c>
      <c r="AN1337" s="133">
        <f t="shared" si="22"/>
        <v>0</v>
      </c>
      <c r="AP1337" s="133" t="s">
        <v>2149</v>
      </c>
    </row>
    <row r="1338" spans="1:48" s="133" customFormat="1" x14ac:dyDescent="0.2">
      <c r="A1338" s="133" t="s">
        <v>514</v>
      </c>
      <c r="B1338" s="133" t="s">
        <v>515</v>
      </c>
      <c r="C1338" s="133">
        <v>1</v>
      </c>
      <c r="D1338" s="133">
        <v>1</v>
      </c>
      <c r="E1338" s="133" t="s">
        <v>2487</v>
      </c>
      <c r="F1338" s="138">
        <v>43352</v>
      </c>
      <c r="G1338" s="136" t="s">
        <v>4032</v>
      </c>
      <c r="H1338" s="136" t="s">
        <v>4724</v>
      </c>
      <c r="I1338" s="148">
        <v>9.7222222222222224E-3</v>
      </c>
      <c r="J1338" s="174">
        <v>1.6203703703703703E-4</v>
      </c>
      <c r="K1338" s="139">
        <v>14</v>
      </c>
      <c r="L1338" s="133" t="s">
        <v>483</v>
      </c>
      <c r="M1338" s="133" t="s">
        <v>2498</v>
      </c>
      <c r="N1338" s="133" t="s">
        <v>102</v>
      </c>
      <c r="O1338" s="133" t="s">
        <v>516</v>
      </c>
      <c r="P1338" s="133">
        <v>2</v>
      </c>
      <c r="R1338" s="133">
        <v>0</v>
      </c>
      <c r="S1338" s="133" t="s">
        <v>176</v>
      </c>
      <c r="T1338" s="133" t="s">
        <v>176</v>
      </c>
      <c r="U1338" s="133" t="s">
        <v>517</v>
      </c>
      <c r="V1338" s="133" t="s">
        <v>115</v>
      </c>
      <c r="W1338" s="135" t="s">
        <v>115</v>
      </c>
      <c r="X1338" s="135" t="s">
        <v>115</v>
      </c>
      <c r="Y1338" s="135" t="s">
        <v>115</v>
      </c>
      <c r="AB1338" s="133" t="s">
        <v>115</v>
      </c>
      <c r="AC1338" s="134" t="s">
        <v>115</v>
      </c>
      <c r="AD1338" s="134"/>
      <c r="AH1338" s="139">
        <v>11</v>
      </c>
      <c r="AI1338" s="139">
        <v>0</v>
      </c>
      <c r="AJ1338" s="139">
        <v>0</v>
      </c>
      <c r="AK1338" s="139">
        <v>11</v>
      </c>
      <c r="AL1338" s="139">
        <v>0</v>
      </c>
      <c r="AM1338" s="133">
        <v>0</v>
      </c>
      <c r="AN1338" s="133">
        <f t="shared" si="22"/>
        <v>11</v>
      </c>
      <c r="AP1338" s="133" t="s">
        <v>518</v>
      </c>
    </row>
    <row r="1339" spans="1:48" s="133" customFormat="1" x14ac:dyDescent="0.2">
      <c r="A1339" s="133" t="s">
        <v>638</v>
      </c>
      <c r="B1339" s="133" t="s">
        <v>639</v>
      </c>
      <c r="C1339" s="133">
        <v>1</v>
      </c>
      <c r="D1339" s="133">
        <v>1</v>
      </c>
      <c r="E1339" s="133" t="s">
        <v>2487</v>
      </c>
      <c r="F1339" s="138">
        <v>43357</v>
      </c>
      <c r="G1339" s="136" t="s">
        <v>4032</v>
      </c>
      <c r="H1339" s="136" t="s">
        <v>4724</v>
      </c>
      <c r="I1339" s="148">
        <v>3.4722222222222224E-2</v>
      </c>
      <c r="J1339" s="174">
        <v>5.7870370370370378E-4</v>
      </c>
      <c r="K1339" s="139">
        <v>50</v>
      </c>
      <c r="L1339" s="133" t="s">
        <v>640</v>
      </c>
      <c r="M1339" s="133" t="s">
        <v>2498</v>
      </c>
      <c r="N1339" s="133" t="s">
        <v>111</v>
      </c>
      <c r="O1339" s="133" t="s">
        <v>23</v>
      </c>
      <c r="P1339" s="133">
        <v>1</v>
      </c>
      <c r="R1339" s="133">
        <v>2</v>
      </c>
      <c r="S1339" s="133" t="s">
        <v>176</v>
      </c>
      <c r="T1339" s="133" t="s">
        <v>176</v>
      </c>
      <c r="U1339" s="133" t="s">
        <v>641</v>
      </c>
      <c r="V1339" s="133" t="s">
        <v>3985</v>
      </c>
      <c r="W1339" s="140" t="s">
        <v>23</v>
      </c>
      <c r="X1339" s="140" t="s">
        <v>3999</v>
      </c>
      <c r="Y1339" s="140" t="s">
        <v>4007</v>
      </c>
      <c r="AB1339" s="133" t="s">
        <v>24</v>
      </c>
      <c r="AC1339" s="134">
        <v>63.720970000000001</v>
      </c>
      <c r="AD1339" s="134">
        <v>148.98309</v>
      </c>
      <c r="AH1339" s="139">
        <v>0</v>
      </c>
      <c r="AI1339" s="139">
        <v>0</v>
      </c>
      <c r="AJ1339" s="139">
        <v>0</v>
      </c>
      <c r="AK1339" s="139">
        <v>0</v>
      </c>
      <c r="AL1339" s="139">
        <v>0</v>
      </c>
      <c r="AM1339" s="133">
        <v>0</v>
      </c>
      <c r="AN1339" s="133">
        <f t="shared" si="22"/>
        <v>0</v>
      </c>
      <c r="AP1339" s="133" t="s">
        <v>4930</v>
      </c>
    </row>
    <row r="1340" spans="1:48" s="133" customFormat="1" x14ac:dyDescent="0.2">
      <c r="A1340" s="133" t="s">
        <v>648</v>
      </c>
      <c r="B1340" s="133" t="s">
        <v>649</v>
      </c>
      <c r="C1340" s="133">
        <v>3</v>
      </c>
      <c r="D1340" s="133">
        <v>1</v>
      </c>
      <c r="E1340" s="133" t="s">
        <v>2487</v>
      </c>
      <c r="F1340" s="138">
        <v>43357</v>
      </c>
      <c r="G1340" s="136" t="s">
        <v>4032</v>
      </c>
      <c r="H1340" s="136" t="s">
        <v>4724</v>
      </c>
      <c r="I1340" s="148">
        <v>1.8055555555555557E-2</v>
      </c>
      <c r="J1340" s="174">
        <v>3.0092592592592595E-4</v>
      </c>
      <c r="K1340" s="139">
        <v>26</v>
      </c>
      <c r="L1340" s="133" t="s">
        <v>640</v>
      </c>
      <c r="M1340" s="133" t="s">
        <v>2498</v>
      </c>
      <c r="N1340" s="133" t="s">
        <v>111</v>
      </c>
      <c r="O1340" s="133" t="s">
        <v>23</v>
      </c>
      <c r="P1340" s="133">
        <v>0</v>
      </c>
      <c r="R1340" s="133">
        <v>1</v>
      </c>
      <c r="S1340" s="133" t="s">
        <v>176</v>
      </c>
      <c r="T1340" s="133" t="s">
        <v>176</v>
      </c>
      <c r="U1340" s="133" t="s">
        <v>115</v>
      </c>
      <c r="V1340" s="133" t="s">
        <v>3963</v>
      </c>
      <c r="W1340" s="135" t="s">
        <v>23</v>
      </c>
      <c r="X1340" s="135" t="s">
        <v>3997</v>
      </c>
      <c r="Y1340" s="135" t="s">
        <v>4007</v>
      </c>
      <c r="AB1340" s="133" t="s">
        <v>24</v>
      </c>
      <c r="AC1340" s="134">
        <v>63.722270000000002</v>
      </c>
      <c r="AD1340" s="134">
        <v>148.98532</v>
      </c>
      <c r="AH1340" s="139">
        <v>0</v>
      </c>
      <c r="AI1340" s="139">
        <v>0</v>
      </c>
      <c r="AJ1340" s="139">
        <v>0</v>
      </c>
      <c r="AK1340" s="139">
        <v>0</v>
      </c>
      <c r="AL1340" s="139">
        <v>0</v>
      </c>
      <c r="AM1340" s="133">
        <v>0</v>
      </c>
      <c r="AN1340" s="133">
        <f t="shared" si="22"/>
        <v>0</v>
      </c>
    </row>
    <row r="1341" spans="1:48" s="133" customFormat="1" x14ac:dyDescent="0.2">
      <c r="A1341" s="133" t="s">
        <v>653</v>
      </c>
      <c r="B1341" s="133" t="s">
        <v>654</v>
      </c>
      <c r="C1341" s="133">
        <v>5</v>
      </c>
      <c r="D1341" s="133">
        <v>1</v>
      </c>
      <c r="E1341" s="133" t="s">
        <v>2487</v>
      </c>
      <c r="F1341" s="138">
        <v>43357</v>
      </c>
      <c r="G1341" s="136" t="s">
        <v>4032</v>
      </c>
      <c r="H1341" s="136" t="s">
        <v>4724</v>
      </c>
      <c r="I1341" s="148">
        <v>1.4583333333333332E-2</v>
      </c>
      <c r="J1341" s="174">
        <v>2.4305555555555552E-4</v>
      </c>
      <c r="K1341" s="139">
        <v>21</v>
      </c>
      <c r="L1341" s="133" t="s">
        <v>640</v>
      </c>
      <c r="M1341" s="133" t="s">
        <v>2498</v>
      </c>
      <c r="N1341" s="133" t="s">
        <v>176</v>
      </c>
      <c r="O1341" s="133" t="s">
        <v>23</v>
      </c>
      <c r="P1341" s="133" t="s">
        <v>24</v>
      </c>
      <c r="R1341" s="133" t="s">
        <v>24</v>
      </c>
      <c r="S1341" s="133" t="s">
        <v>176</v>
      </c>
      <c r="T1341" s="133" t="s">
        <v>176</v>
      </c>
      <c r="U1341" s="133" t="s">
        <v>24</v>
      </c>
      <c r="V1341" s="133" t="s">
        <v>115</v>
      </c>
      <c r="AB1341" s="133" t="s">
        <v>115</v>
      </c>
      <c r="AC1341" s="134" t="s">
        <v>115</v>
      </c>
      <c r="AD1341" s="134"/>
      <c r="AH1341" s="139">
        <v>0</v>
      </c>
      <c r="AI1341" s="139">
        <v>0</v>
      </c>
      <c r="AJ1341" s="139">
        <v>0</v>
      </c>
      <c r="AK1341" s="139">
        <v>0</v>
      </c>
      <c r="AL1341" s="139">
        <v>0</v>
      </c>
      <c r="AM1341" s="133">
        <v>0</v>
      </c>
      <c r="AN1341" s="133">
        <f t="shared" si="22"/>
        <v>0</v>
      </c>
      <c r="AP1341" s="133" t="s">
        <v>652</v>
      </c>
    </row>
    <row r="1342" spans="1:48" s="133" customFormat="1" x14ac:dyDescent="0.2">
      <c r="A1342" s="133" t="s">
        <v>655</v>
      </c>
      <c r="B1342" s="133" t="s">
        <v>656</v>
      </c>
      <c r="C1342" s="133">
        <v>6</v>
      </c>
      <c r="D1342" s="133">
        <v>1</v>
      </c>
      <c r="E1342" s="133" t="s">
        <v>2487</v>
      </c>
      <c r="F1342" s="138">
        <v>43357</v>
      </c>
      <c r="G1342" s="136" t="s">
        <v>4032</v>
      </c>
      <c r="H1342" s="136" t="s">
        <v>4724</v>
      </c>
      <c r="I1342" s="148">
        <v>1.6666666666666666E-2</v>
      </c>
      <c r="J1342" s="174">
        <v>2.7777777777777778E-4</v>
      </c>
      <c r="K1342" s="139">
        <v>24</v>
      </c>
      <c r="L1342" s="133" t="s">
        <v>640</v>
      </c>
      <c r="M1342" s="133" t="s">
        <v>2498</v>
      </c>
      <c r="N1342" s="133" t="s">
        <v>107</v>
      </c>
      <c r="O1342" s="133" t="s">
        <v>23</v>
      </c>
      <c r="P1342" s="133">
        <v>1</v>
      </c>
      <c r="R1342" s="133">
        <v>0</v>
      </c>
      <c r="S1342" s="133" t="s">
        <v>14</v>
      </c>
      <c r="T1342" s="133" t="s">
        <v>2143</v>
      </c>
      <c r="U1342" s="133" t="s">
        <v>24</v>
      </c>
      <c r="V1342" s="133" t="s">
        <v>115</v>
      </c>
      <c r="W1342" s="135" t="s">
        <v>115</v>
      </c>
      <c r="X1342" s="135" t="s">
        <v>115</v>
      </c>
      <c r="Y1342" s="135" t="s">
        <v>115</v>
      </c>
      <c r="AB1342" s="133" t="s">
        <v>115</v>
      </c>
      <c r="AC1342" s="134" t="s">
        <v>115</v>
      </c>
      <c r="AD1342" s="134"/>
      <c r="AH1342" s="139">
        <v>0</v>
      </c>
      <c r="AI1342" s="139">
        <v>0</v>
      </c>
      <c r="AJ1342" s="139">
        <v>0</v>
      </c>
      <c r="AK1342" s="139">
        <v>0</v>
      </c>
      <c r="AL1342" s="139">
        <v>0</v>
      </c>
      <c r="AM1342" s="133">
        <v>0</v>
      </c>
      <c r="AN1342" s="133">
        <f t="shared" si="22"/>
        <v>0</v>
      </c>
      <c r="AP1342" s="133" t="s">
        <v>2144</v>
      </c>
    </row>
    <row r="1343" spans="1:48" s="135" customFormat="1" x14ac:dyDescent="0.2">
      <c r="A1343" s="135" t="s">
        <v>657</v>
      </c>
      <c r="B1343" s="135" t="s">
        <v>658</v>
      </c>
      <c r="C1343" s="135">
        <v>7</v>
      </c>
      <c r="D1343" s="135">
        <v>1</v>
      </c>
      <c r="E1343" s="135" t="s">
        <v>2487</v>
      </c>
      <c r="F1343" s="136">
        <v>43357</v>
      </c>
      <c r="G1343" s="136" t="s">
        <v>4032</v>
      </c>
      <c r="H1343" s="136" t="s">
        <v>4724</v>
      </c>
      <c r="I1343" s="172">
        <v>2.5694444444444447E-2</v>
      </c>
      <c r="J1343" s="175">
        <v>4.2824074074074075E-4</v>
      </c>
      <c r="K1343" s="143">
        <v>37</v>
      </c>
      <c r="L1343" s="135" t="s">
        <v>640</v>
      </c>
      <c r="M1343" s="135" t="s">
        <v>2498</v>
      </c>
      <c r="N1343" s="135" t="s">
        <v>102</v>
      </c>
      <c r="O1343" s="135" t="s">
        <v>115</v>
      </c>
      <c r="P1343" s="135">
        <v>2</v>
      </c>
      <c r="R1343" s="135" t="s">
        <v>24</v>
      </c>
      <c r="S1343" s="133" t="s">
        <v>14</v>
      </c>
      <c r="T1343" s="135" t="s">
        <v>2128</v>
      </c>
      <c r="U1343" s="135" t="s">
        <v>122</v>
      </c>
      <c r="V1343" s="135" t="s">
        <v>115</v>
      </c>
      <c r="Z1343" s="133"/>
      <c r="AA1343" s="133"/>
      <c r="AB1343" s="135" t="s">
        <v>115</v>
      </c>
      <c r="AC1343" s="137" t="s">
        <v>115</v>
      </c>
      <c r="AD1343" s="137"/>
      <c r="AE1343" s="133"/>
      <c r="AF1343" s="133"/>
      <c r="AG1343" s="133"/>
      <c r="AH1343" s="143">
        <v>0</v>
      </c>
      <c r="AI1343" s="143">
        <v>0</v>
      </c>
      <c r="AJ1343" s="143">
        <v>0</v>
      </c>
      <c r="AK1343" s="143">
        <v>0</v>
      </c>
      <c r="AL1343" s="143">
        <v>10</v>
      </c>
      <c r="AM1343" s="135">
        <v>0</v>
      </c>
      <c r="AN1343" s="135">
        <f t="shared" si="22"/>
        <v>10</v>
      </c>
      <c r="AP1343" s="135" t="s">
        <v>4929</v>
      </c>
      <c r="AS1343" s="133"/>
      <c r="AT1343" s="133"/>
      <c r="AU1343" s="133"/>
      <c r="AV1343" s="133"/>
    </row>
    <row r="1344" spans="1:48" s="133" customFormat="1" x14ac:dyDescent="0.2">
      <c r="A1344" s="133" t="s">
        <v>660</v>
      </c>
      <c r="B1344" s="133" t="s">
        <v>659</v>
      </c>
      <c r="C1344" s="133">
        <v>8</v>
      </c>
      <c r="D1344" s="133">
        <v>1</v>
      </c>
      <c r="E1344" s="133" t="s">
        <v>2487</v>
      </c>
      <c r="F1344" s="138">
        <v>43357</v>
      </c>
      <c r="G1344" s="136" t="s">
        <v>4032</v>
      </c>
      <c r="H1344" s="136" t="s">
        <v>4724</v>
      </c>
      <c r="I1344" s="148">
        <v>7.6388888888888886E-3</v>
      </c>
      <c r="J1344" s="174">
        <v>1.273148148148148E-4</v>
      </c>
      <c r="K1344" s="139">
        <v>11</v>
      </c>
      <c r="L1344" s="133" t="s">
        <v>640</v>
      </c>
      <c r="M1344" s="133" t="s">
        <v>2498</v>
      </c>
      <c r="N1344" s="133" t="s">
        <v>102</v>
      </c>
      <c r="O1344" s="133" t="s">
        <v>23</v>
      </c>
      <c r="P1344" s="133" t="s">
        <v>24</v>
      </c>
      <c r="R1344" s="133">
        <v>0</v>
      </c>
      <c r="T1344" s="133" t="s">
        <v>115</v>
      </c>
      <c r="U1344" s="133" t="s">
        <v>115</v>
      </c>
      <c r="V1344" s="133" t="s">
        <v>115</v>
      </c>
      <c r="W1344" s="135" t="s">
        <v>115</v>
      </c>
      <c r="X1344" s="135" t="s">
        <v>115</v>
      </c>
      <c r="Y1344" s="135" t="s">
        <v>115</v>
      </c>
      <c r="Z1344" s="135"/>
      <c r="AA1344" s="135"/>
      <c r="AB1344" s="133" t="s">
        <v>115</v>
      </c>
      <c r="AC1344" s="134" t="s">
        <v>115</v>
      </c>
      <c r="AD1344" s="134"/>
      <c r="AE1344" s="135"/>
      <c r="AF1344" s="135"/>
      <c r="AG1344" s="135"/>
      <c r="AH1344" s="139">
        <v>10</v>
      </c>
      <c r="AI1344" s="139">
        <v>0</v>
      </c>
      <c r="AJ1344" s="139">
        <v>10</v>
      </c>
      <c r="AK1344" s="139">
        <v>0</v>
      </c>
      <c r="AL1344" s="139">
        <v>0</v>
      </c>
      <c r="AM1344" s="133">
        <v>0</v>
      </c>
      <c r="AN1344" s="133">
        <f t="shared" si="22"/>
        <v>10</v>
      </c>
      <c r="AO1344" s="133" t="s">
        <v>459</v>
      </c>
    </row>
    <row r="1345" spans="1:48" s="135" customFormat="1" x14ac:dyDescent="0.2">
      <c r="A1345" s="135" t="s">
        <v>661</v>
      </c>
      <c r="B1345" s="135" t="s">
        <v>662</v>
      </c>
      <c r="C1345" s="135">
        <v>9</v>
      </c>
      <c r="D1345" s="135">
        <v>1</v>
      </c>
      <c r="E1345" s="135" t="s">
        <v>2487</v>
      </c>
      <c r="F1345" s="136">
        <v>43357</v>
      </c>
      <c r="G1345" s="136" t="s">
        <v>4032</v>
      </c>
      <c r="H1345" s="136" t="s">
        <v>4724</v>
      </c>
      <c r="I1345" s="172">
        <v>2.013888888888889E-2</v>
      </c>
      <c r="J1345" s="175">
        <v>3.3564814814814812E-4</v>
      </c>
      <c r="K1345" s="143">
        <v>29</v>
      </c>
      <c r="L1345" s="135" t="s">
        <v>640</v>
      </c>
      <c r="M1345" s="135" t="s">
        <v>2498</v>
      </c>
      <c r="N1345" s="135" t="s">
        <v>102</v>
      </c>
      <c r="O1345" s="135" t="s">
        <v>115</v>
      </c>
      <c r="P1345" s="135">
        <v>0</v>
      </c>
      <c r="R1345" s="135">
        <v>0</v>
      </c>
      <c r="T1345" s="135" t="s">
        <v>115</v>
      </c>
      <c r="U1345" s="135" t="s">
        <v>115</v>
      </c>
      <c r="V1345" s="135" t="s">
        <v>115</v>
      </c>
      <c r="W1345" s="135" t="s">
        <v>115</v>
      </c>
      <c r="X1345" s="135" t="s">
        <v>115</v>
      </c>
      <c r="Y1345" s="135" t="s">
        <v>115</v>
      </c>
      <c r="AB1345" s="135" t="s">
        <v>115</v>
      </c>
      <c r="AC1345" s="137" t="s">
        <v>115</v>
      </c>
      <c r="AD1345" s="137"/>
      <c r="AH1345" s="143">
        <v>0</v>
      </c>
      <c r="AI1345" s="143">
        <v>0</v>
      </c>
      <c r="AJ1345" s="143">
        <v>0</v>
      </c>
      <c r="AK1345" s="143">
        <v>0</v>
      </c>
      <c r="AL1345" s="143">
        <v>9</v>
      </c>
      <c r="AM1345" s="135">
        <v>0</v>
      </c>
      <c r="AN1345" s="135">
        <f t="shared" si="22"/>
        <v>9</v>
      </c>
      <c r="AS1345" s="133"/>
      <c r="AT1345" s="133"/>
      <c r="AU1345" s="133"/>
      <c r="AV1345" s="133"/>
    </row>
    <row r="1346" spans="1:48" s="133" customFormat="1" x14ac:dyDescent="0.2">
      <c r="A1346" s="133" t="s">
        <v>724</v>
      </c>
      <c r="B1346" s="133" t="s">
        <v>725</v>
      </c>
      <c r="C1346" s="133">
        <v>1</v>
      </c>
      <c r="D1346" s="133">
        <v>1</v>
      </c>
      <c r="E1346" s="133" t="s">
        <v>2487</v>
      </c>
      <c r="F1346" s="138">
        <v>43359</v>
      </c>
      <c r="G1346" s="136" t="s">
        <v>4032</v>
      </c>
      <c r="H1346" s="136" t="s">
        <v>4724</v>
      </c>
      <c r="I1346" s="148">
        <v>3.2638888888888891E-2</v>
      </c>
      <c r="J1346" s="174">
        <v>5.4398148148148144E-4</v>
      </c>
      <c r="K1346" s="139">
        <v>47</v>
      </c>
      <c r="L1346" s="133" t="s">
        <v>398</v>
      </c>
      <c r="M1346" s="133" t="s">
        <v>2498</v>
      </c>
      <c r="N1346" s="133" t="s">
        <v>102</v>
      </c>
      <c r="O1346" s="133" t="s">
        <v>23</v>
      </c>
      <c r="P1346" s="133" t="s">
        <v>24</v>
      </c>
      <c r="R1346" s="133">
        <v>0</v>
      </c>
      <c r="S1346" s="133" t="s">
        <v>176</v>
      </c>
      <c r="T1346" s="133" t="s">
        <v>176</v>
      </c>
      <c r="U1346" s="133" t="s">
        <v>115</v>
      </c>
      <c r="V1346" s="133" t="s">
        <v>115</v>
      </c>
      <c r="W1346" s="135" t="s">
        <v>115</v>
      </c>
      <c r="X1346" s="135" t="s">
        <v>115</v>
      </c>
      <c r="Y1346" s="135" t="s">
        <v>115</v>
      </c>
      <c r="AB1346" s="134" t="s">
        <v>115</v>
      </c>
      <c r="AC1346" s="134" t="s">
        <v>115</v>
      </c>
      <c r="AD1346" s="134"/>
      <c r="AH1346" s="139">
        <v>13</v>
      </c>
      <c r="AI1346" s="139">
        <v>0</v>
      </c>
      <c r="AJ1346" s="139">
        <v>13</v>
      </c>
      <c r="AK1346" s="139">
        <v>0</v>
      </c>
      <c r="AL1346" s="139">
        <v>0</v>
      </c>
      <c r="AM1346" s="133">
        <v>0</v>
      </c>
      <c r="AN1346" s="133">
        <f t="shared" si="22"/>
        <v>13</v>
      </c>
      <c r="AO1346" s="133" t="s">
        <v>726</v>
      </c>
    </row>
    <row r="1347" spans="1:48" s="135" customFormat="1" x14ac:dyDescent="0.2">
      <c r="A1347" s="133" t="s">
        <v>727</v>
      </c>
      <c r="B1347" s="133" t="s">
        <v>728</v>
      </c>
      <c r="C1347" s="133">
        <v>2</v>
      </c>
      <c r="D1347" s="133">
        <v>1</v>
      </c>
      <c r="E1347" s="133" t="s">
        <v>2487</v>
      </c>
      <c r="F1347" s="138">
        <v>43359</v>
      </c>
      <c r="G1347" s="136" t="s">
        <v>4032</v>
      </c>
      <c r="H1347" s="136" t="s">
        <v>4724</v>
      </c>
      <c r="I1347" s="148">
        <v>1.9444444444444445E-2</v>
      </c>
      <c r="J1347" s="174">
        <v>3.2407407407407406E-4</v>
      </c>
      <c r="K1347" s="139">
        <v>28</v>
      </c>
      <c r="L1347" s="133" t="s">
        <v>398</v>
      </c>
      <c r="M1347" s="133" t="s">
        <v>2498</v>
      </c>
      <c r="N1347" s="133" t="s">
        <v>187</v>
      </c>
      <c r="O1347" s="133" t="s">
        <v>23</v>
      </c>
      <c r="P1347" s="133">
        <v>1</v>
      </c>
      <c r="Q1347" s="133"/>
      <c r="R1347" s="133">
        <v>1</v>
      </c>
      <c r="S1347" s="133" t="s">
        <v>176</v>
      </c>
      <c r="T1347" s="133" t="s">
        <v>176</v>
      </c>
      <c r="U1347" s="133" t="s">
        <v>501</v>
      </c>
      <c r="V1347" s="133" t="s">
        <v>487</v>
      </c>
      <c r="W1347" s="135" t="s">
        <v>23</v>
      </c>
      <c r="X1347" s="135" t="s">
        <v>3997</v>
      </c>
      <c r="Y1347" s="135" t="s">
        <v>4001</v>
      </c>
      <c r="Z1347" s="133"/>
      <c r="AA1347" s="133"/>
      <c r="AB1347" s="133" t="s">
        <v>176</v>
      </c>
      <c r="AC1347" s="134">
        <v>63.722729999999999</v>
      </c>
      <c r="AD1347" s="134">
        <v>148.98305999999999</v>
      </c>
      <c r="AE1347" s="133"/>
      <c r="AF1347" s="133"/>
      <c r="AG1347" s="133"/>
      <c r="AH1347" s="139">
        <v>0</v>
      </c>
      <c r="AI1347" s="139">
        <v>0</v>
      </c>
      <c r="AJ1347" s="139">
        <v>0</v>
      </c>
      <c r="AK1347" s="139">
        <v>0</v>
      </c>
      <c r="AL1347" s="139">
        <v>0</v>
      </c>
      <c r="AM1347" s="133">
        <v>0</v>
      </c>
      <c r="AN1347" s="133">
        <f t="shared" si="22"/>
        <v>0</v>
      </c>
      <c r="AO1347" s="133"/>
      <c r="AP1347" s="133" t="s">
        <v>729</v>
      </c>
      <c r="AQ1347" s="133"/>
      <c r="AR1347" s="133"/>
    </row>
    <row r="1348" spans="1:48" s="135" customFormat="1" x14ac:dyDescent="0.2">
      <c r="A1348" s="133" t="s">
        <v>739</v>
      </c>
      <c r="B1348" s="133" t="s">
        <v>733</v>
      </c>
      <c r="C1348" s="133">
        <v>4</v>
      </c>
      <c r="D1348" s="133">
        <v>1</v>
      </c>
      <c r="E1348" s="133" t="s">
        <v>2487</v>
      </c>
      <c r="F1348" s="138">
        <v>43359</v>
      </c>
      <c r="G1348" s="136" t="s">
        <v>4032</v>
      </c>
      <c r="H1348" s="136" t="s">
        <v>4724</v>
      </c>
      <c r="I1348" s="148">
        <v>2.1527777777777781E-2</v>
      </c>
      <c r="J1348" s="174">
        <v>3.5879629629629635E-4</v>
      </c>
      <c r="K1348" s="139">
        <v>31</v>
      </c>
      <c r="L1348" s="133" t="s">
        <v>398</v>
      </c>
      <c r="M1348" s="133" t="s">
        <v>2498</v>
      </c>
      <c r="N1348" s="133" t="s">
        <v>187</v>
      </c>
      <c r="O1348" s="133" t="s">
        <v>23</v>
      </c>
      <c r="P1348" s="133">
        <v>0</v>
      </c>
      <c r="Q1348" s="133"/>
      <c r="R1348" s="133">
        <v>1</v>
      </c>
      <c r="S1348" s="133" t="s">
        <v>176</v>
      </c>
      <c r="T1348" s="133" t="s">
        <v>176</v>
      </c>
      <c r="U1348" s="133" t="s">
        <v>24</v>
      </c>
      <c r="V1348" s="133" t="s">
        <v>1057</v>
      </c>
      <c r="W1348" s="135" t="s">
        <v>23</v>
      </c>
      <c r="X1348" s="135" t="s">
        <v>3999</v>
      </c>
      <c r="Y1348" s="135" t="s">
        <v>4005</v>
      </c>
      <c r="Z1348" s="133"/>
      <c r="AA1348" s="133"/>
      <c r="AB1348" s="133" t="s">
        <v>176</v>
      </c>
      <c r="AC1348" s="134">
        <v>63.721499999999999</v>
      </c>
      <c r="AD1348" s="134">
        <v>148.98752999999999</v>
      </c>
      <c r="AE1348" s="133"/>
      <c r="AF1348" s="133"/>
      <c r="AG1348" s="133"/>
      <c r="AH1348" s="139">
        <v>23</v>
      </c>
      <c r="AI1348" s="139">
        <v>0</v>
      </c>
      <c r="AJ1348" s="139">
        <v>23</v>
      </c>
      <c r="AK1348" s="139">
        <v>0</v>
      </c>
      <c r="AL1348" s="139">
        <v>0</v>
      </c>
      <c r="AM1348" s="133">
        <v>0</v>
      </c>
      <c r="AN1348" s="133">
        <f t="shared" si="22"/>
        <v>23</v>
      </c>
      <c r="AO1348" s="133"/>
      <c r="AP1348" s="133" t="s">
        <v>740</v>
      </c>
      <c r="AQ1348" s="133"/>
      <c r="AR1348" s="133"/>
      <c r="AS1348" s="133"/>
      <c r="AT1348" s="133"/>
      <c r="AU1348" s="133"/>
      <c r="AV1348" s="133"/>
    </row>
    <row r="1349" spans="1:48" s="135" customFormat="1" x14ac:dyDescent="0.2">
      <c r="A1349" s="133" t="s">
        <v>741</v>
      </c>
      <c r="B1349" s="133" t="s">
        <v>742</v>
      </c>
      <c r="C1349" s="133">
        <v>5</v>
      </c>
      <c r="D1349" s="133">
        <v>1</v>
      </c>
      <c r="E1349" s="133" t="s">
        <v>2487</v>
      </c>
      <c r="F1349" s="138">
        <v>43359</v>
      </c>
      <c r="G1349" s="136" t="s">
        <v>4032</v>
      </c>
      <c r="H1349" s="136" t="s">
        <v>4724</v>
      </c>
      <c r="I1349" s="148">
        <v>7.6388888888888886E-3</v>
      </c>
      <c r="J1349" s="174">
        <v>1.273148148148148E-4</v>
      </c>
      <c r="K1349" s="139">
        <v>11</v>
      </c>
      <c r="L1349" s="133" t="s">
        <v>398</v>
      </c>
      <c r="M1349" s="133" t="s">
        <v>2498</v>
      </c>
      <c r="N1349" s="133" t="s">
        <v>102</v>
      </c>
      <c r="O1349" s="133" t="s">
        <v>23</v>
      </c>
      <c r="P1349" s="133">
        <v>1</v>
      </c>
      <c r="Q1349" s="133"/>
      <c r="R1349" s="133">
        <v>0</v>
      </c>
      <c r="S1349" s="133" t="s">
        <v>176</v>
      </c>
      <c r="T1349" s="133" t="s">
        <v>176</v>
      </c>
      <c r="U1349" s="133" t="s">
        <v>501</v>
      </c>
      <c r="V1349" s="133" t="s">
        <v>115</v>
      </c>
      <c r="W1349" s="135" t="s">
        <v>115</v>
      </c>
      <c r="X1349" s="135" t="s">
        <v>115</v>
      </c>
      <c r="Y1349" s="135" t="s">
        <v>115</v>
      </c>
      <c r="Z1349" s="133"/>
      <c r="AA1349" s="133"/>
      <c r="AB1349" s="134" t="s">
        <v>115</v>
      </c>
      <c r="AC1349" s="134" t="s">
        <v>115</v>
      </c>
      <c r="AD1349" s="134"/>
      <c r="AE1349" s="133"/>
      <c r="AF1349" s="133"/>
      <c r="AG1349" s="133"/>
      <c r="AH1349" s="139">
        <v>0</v>
      </c>
      <c r="AI1349" s="139">
        <v>0</v>
      </c>
      <c r="AJ1349" s="139">
        <v>0</v>
      </c>
      <c r="AK1349" s="139">
        <v>0</v>
      </c>
      <c r="AL1349" s="139">
        <v>0</v>
      </c>
      <c r="AM1349" s="133">
        <v>0</v>
      </c>
      <c r="AN1349" s="133">
        <f t="shared" si="22"/>
        <v>0</v>
      </c>
      <c r="AO1349" s="139"/>
      <c r="AP1349" s="133" t="s">
        <v>743</v>
      </c>
      <c r="AQ1349" s="133"/>
      <c r="AR1349" s="133"/>
      <c r="AS1349" s="133"/>
      <c r="AT1349" s="133"/>
      <c r="AU1349" s="133"/>
      <c r="AV1349" s="133"/>
    </row>
    <row r="1350" spans="1:48" s="133" customFormat="1" x14ac:dyDescent="0.2">
      <c r="A1350" s="135" t="s">
        <v>826</v>
      </c>
      <c r="B1350" s="135" t="s">
        <v>827</v>
      </c>
      <c r="C1350" s="135">
        <v>1</v>
      </c>
      <c r="D1350" s="135">
        <v>1</v>
      </c>
      <c r="E1350" s="135" t="s">
        <v>2487</v>
      </c>
      <c r="F1350" s="136">
        <v>43362</v>
      </c>
      <c r="G1350" s="136" t="s">
        <v>4032</v>
      </c>
      <c r="H1350" s="136" t="s">
        <v>4724</v>
      </c>
      <c r="I1350" s="172">
        <v>4.3750000000000004E-2</v>
      </c>
      <c r="J1350" s="175">
        <v>7.291666666666667E-4</v>
      </c>
      <c r="K1350" s="143">
        <v>63</v>
      </c>
      <c r="L1350" s="135"/>
      <c r="M1350" s="135" t="s">
        <v>2498</v>
      </c>
      <c r="N1350" s="135" t="s">
        <v>102</v>
      </c>
      <c r="O1350" s="135" t="s">
        <v>23</v>
      </c>
      <c r="P1350" s="135">
        <v>1</v>
      </c>
      <c r="Q1350" s="135"/>
      <c r="R1350" s="135">
        <v>0</v>
      </c>
      <c r="S1350" s="133" t="s">
        <v>176</v>
      </c>
      <c r="T1350" s="135" t="s">
        <v>176</v>
      </c>
      <c r="U1350" s="135" t="s">
        <v>263</v>
      </c>
      <c r="V1350" s="135" t="s">
        <v>115</v>
      </c>
      <c r="W1350" s="135" t="s">
        <v>115</v>
      </c>
      <c r="X1350" s="135" t="s">
        <v>115</v>
      </c>
      <c r="Y1350" s="135" t="s">
        <v>115</v>
      </c>
      <c r="AB1350" s="137" t="s">
        <v>115</v>
      </c>
      <c r="AC1350" s="137" t="s">
        <v>115</v>
      </c>
      <c r="AD1350" s="137"/>
      <c r="AH1350" s="143">
        <v>29</v>
      </c>
      <c r="AI1350" s="143">
        <v>0</v>
      </c>
      <c r="AJ1350" s="143">
        <v>29</v>
      </c>
      <c r="AK1350" s="143">
        <v>0</v>
      </c>
      <c r="AL1350" s="143">
        <v>22</v>
      </c>
      <c r="AM1350" s="135">
        <v>0</v>
      </c>
      <c r="AN1350" s="135">
        <f t="shared" si="22"/>
        <v>51</v>
      </c>
      <c r="AO1350" s="135"/>
      <c r="AP1350" s="135"/>
      <c r="AQ1350" s="135"/>
      <c r="AR1350" s="135"/>
      <c r="AS1350" s="135"/>
      <c r="AT1350" s="135"/>
      <c r="AU1350" s="135"/>
      <c r="AV1350" s="135"/>
    </row>
    <row r="1351" spans="1:48" s="133" customFormat="1" x14ac:dyDescent="0.2">
      <c r="A1351" s="135" t="s">
        <v>828</v>
      </c>
      <c r="B1351" s="135" t="s">
        <v>829</v>
      </c>
      <c r="C1351" s="135">
        <v>2</v>
      </c>
      <c r="D1351" s="135">
        <v>1</v>
      </c>
      <c r="E1351" s="135" t="s">
        <v>2487</v>
      </c>
      <c r="F1351" s="136">
        <v>43362</v>
      </c>
      <c r="G1351" s="136" t="s">
        <v>4032</v>
      </c>
      <c r="H1351" s="136" t="s">
        <v>4724</v>
      </c>
      <c r="I1351" s="172">
        <v>1.8055555555555557E-2</v>
      </c>
      <c r="J1351" s="175">
        <v>3.0092592592592595E-4</v>
      </c>
      <c r="K1351" s="143">
        <v>26</v>
      </c>
      <c r="L1351" s="135"/>
      <c r="M1351" s="135" t="s">
        <v>2498</v>
      </c>
      <c r="N1351" s="135" t="s">
        <v>102</v>
      </c>
      <c r="O1351" s="135" t="s">
        <v>115</v>
      </c>
      <c r="P1351" s="135">
        <v>1</v>
      </c>
      <c r="Q1351" s="135"/>
      <c r="R1351" s="135">
        <v>0</v>
      </c>
      <c r="S1351" s="133" t="s">
        <v>176</v>
      </c>
      <c r="T1351" s="135" t="s">
        <v>176</v>
      </c>
      <c r="U1351" s="135" t="s">
        <v>122</v>
      </c>
      <c r="V1351" s="135" t="s">
        <v>115</v>
      </c>
      <c r="W1351" s="135" t="s">
        <v>115</v>
      </c>
      <c r="X1351" s="135" t="s">
        <v>115</v>
      </c>
      <c r="Y1351" s="135" t="s">
        <v>115</v>
      </c>
      <c r="AB1351" s="137" t="s">
        <v>115</v>
      </c>
      <c r="AC1351" s="137" t="s">
        <v>115</v>
      </c>
      <c r="AD1351" s="137"/>
      <c r="AH1351" s="143">
        <v>0</v>
      </c>
      <c r="AI1351" s="143">
        <v>0</v>
      </c>
      <c r="AJ1351" s="143">
        <v>0</v>
      </c>
      <c r="AK1351" s="143">
        <v>0</v>
      </c>
      <c r="AL1351" s="143">
        <v>3</v>
      </c>
      <c r="AM1351" s="135">
        <v>0</v>
      </c>
      <c r="AN1351" s="135">
        <f t="shared" si="22"/>
        <v>3</v>
      </c>
      <c r="AO1351" s="135" t="s">
        <v>103</v>
      </c>
      <c r="AP1351" s="135"/>
      <c r="AQ1351" s="135"/>
      <c r="AR1351" s="135"/>
    </row>
    <row r="1352" spans="1:48" s="133" customFormat="1" x14ac:dyDescent="0.2">
      <c r="A1352" s="135" t="s">
        <v>830</v>
      </c>
      <c r="B1352" s="135" t="s">
        <v>831</v>
      </c>
      <c r="C1352" s="135">
        <v>3</v>
      </c>
      <c r="D1352" s="135">
        <v>1</v>
      </c>
      <c r="E1352" s="135" t="s">
        <v>2487</v>
      </c>
      <c r="F1352" s="136">
        <v>43362</v>
      </c>
      <c r="G1352" s="136" t="s">
        <v>4032</v>
      </c>
      <c r="H1352" s="136" t="s">
        <v>4724</v>
      </c>
      <c r="I1352" s="172">
        <v>7.6388888888888886E-3</v>
      </c>
      <c r="J1352" s="175">
        <v>1.273148148148148E-4</v>
      </c>
      <c r="K1352" s="143">
        <v>11</v>
      </c>
      <c r="L1352" s="135"/>
      <c r="M1352" s="135" t="s">
        <v>2498</v>
      </c>
      <c r="N1352" s="135" t="s">
        <v>102</v>
      </c>
      <c r="O1352" s="135" t="s">
        <v>115</v>
      </c>
      <c r="P1352" s="135">
        <v>1</v>
      </c>
      <c r="Q1352" s="135"/>
      <c r="R1352" s="135">
        <v>0</v>
      </c>
      <c r="S1352" s="133" t="s">
        <v>598</v>
      </c>
      <c r="T1352" s="135" t="s">
        <v>2109</v>
      </c>
      <c r="U1352" s="135" t="s">
        <v>122</v>
      </c>
      <c r="V1352" s="135" t="s">
        <v>115</v>
      </c>
      <c r="W1352" s="135" t="s">
        <v>115</v>
      </c>
      <c r="X1352" s="135" t="s">
        <v>115</v>
      </c>
      <c r="Y1352" s="135" t="s">
        <v>115</v>
      </c>
      <c r="AB1352" s="137" t="s">
        <v>115</v>
      </c>
      <c r="AC1352" s="137" t="s">
        <v>115</v>
      </c>
      <c r="AD1352" s="137"/>
      <c r="AH1352" s="143">
        <v>0</v>
      </c>
      <c r="AI1352" s="143">
        <v>0</v>
      </c>
      <c r="AJ1352" s="143">
        <v>0</v>
      </c>
      <c r="AK1352" s="143">
        <v>0</v>
      </c>
      <c r="AL1352" s="143">
        <v>11</v>
      </c>
      <c r="AM1352" s="135">
        <v>0</v>
      </c>
      <c r="AN1352" s="135">
        <f t="shared" si="22"/>
        <v>11</v>
      </c>
      <c r="AO1352" s="135"/>
      <c r="AP1352" s="135" t="s">
        <v>832</v>
      </c>
      <c r="AQ1352" s="135"/>
      <c r="AR1352" s="135"/>
    </row>
    <row r="1353" spans="1:48" s="133" customFormat="1" x14ac:dyDescent="0.2">
      <c r="A1353" s="133" t="s">
        <v>1033</v>
      </c>
      <c r="B1353" s="133" t="s">
        <v>1034</v>
      </c>
      <c r="C1353" s="133">
        <v>1</v>
      </c>
      <c r="D1353" s="133">
        <v>1</v>
      </c>
      <c r="E1353" s="133" t="s">
        <v>2487</v>
      </c>
      <c r="F1353" s="138">
        <v>43370</v>
      </c>
      <c r="G1353" s="136" t="s">
        <v>4032</v>
      </c>
      <c r="H1353" s="136" t="s">
        <v>4724</v>
      </c>
      <c r="I1353" s="148">
        <v>1.7361111111111112E-2</v>
      </c>
      <c r="J1353" s="174">
        <v>2.8935185185185189E-4</v>
      </c>
      <c r="K1353" s="139">
        <v>25</v>
      </c>
      <c r="L1353" s="133" t="s">
        <v>398</v>
      </c>
      <c r="M1353" s="133" t="s">
        <v>2498</v>
      </c>
      <c r="N1353" s="133" t="s">
        <v>187</v>
      </c>
      <c r="O1353" s="133" t="s">
        <v>23</v>
      </c>
      <c r="P1353" s="133">
        <v>1</v>
      </c>
      <c r="R1353" s="133">
        <v>1</v>
      </c>
      <c r="S1353" s="133" t="s">
        <v>176</v>
      </c>
      <c r="T1353" s="133" t="s">
        <v>176</v>
      </c>
      <c r="U1353" s="133" t="s">
        <v>134</v>
      </c>
      <c r="V1353" s="133" t="s">
        <v>1035</v>
      </c>
      <c r="W1353" s="135" t="s">
        <v>23</v>
      </c>
      <c r="X1353" s="135" t="s">
        <v>3997</v>
      </c>
      <c r="Y1353" s="135" t="s">
        <v>4006</v>
      </c>
      <c r="AB1353" s="133">
        <v>2</v>
      </c>
      <c r="AC1353" s="134">
        <v>63.722810000000003</v>
      </c>
      <c r="AD1353" s="134">
        <v>148.98181</v>
      </c>
      <c r="AH1353" s="139">
        <v>0</v>
      </c>
      <c r="AI1353" s="139">
        <v>0</v>
      </c>
      <c r="AJ1353" s="139">
        <v>0</v>
      </c>
      <c r="AK1353" s="139">
        <v>0</v>
      </c>
      <c r="AL1353" s="139">
        <v>0</v>
      </c>
      <c r="AM1353" s="133">
        <v>0</v>
      </c>
      <c r="AN1353" s="133">
        <f t="shared" si="22"/>
        <v>0</v>
      </c>
      <c r="AP1353" s="133" t="s">
        <v>1036</v>
      </c>
    </row>
    <row r="1354" spans="1:48" s="133" customFormat="1" x14ac:dyDescent="0.2">
      <c r="A1354" s="133" t="s">
        <v>1037</v>
      </c>
      <c r="B1354" s="133" t="s">
        <v>1038</v>
      </c>
      <c r="C1354" s="133">
        <v>2</v>
      </c>
      <c r="D1354" s="133">
        <v>1</v>
      </c>
      <c r="E1354" s="133" t="s">
        <v>2487</v>
      </c>
      <c r="F1354" s="138">
        <v>43370</v>
      </c>
      <c r="G1354" s="136" t="s">
        <v>4032</v>
      </c>
      <c r="H1354" s="136" t="s">
        <v>4724</v>
      </c>
      <c r="I1354" s="148">
        <v>9.0277777777777787E-3</v>
      </c>
      <c r="J1354" s="174">
        <v>1.5046296296296297E-4</v>
      </c>
      <c r="K1354" s="139">
        <v>13</v>
      </c>
      <c r="L1354" s="133" t="s">
        <v>398</v>
      </c>
      <c r="M1354" s="133" t="s">
        <v>2498</v>
      </c>
      <c r="N1354" s="133" t="s">
        <v>102</v>
      </c>
      <c r="O1354" s="133" t="s">
        <v>23</v>
      </c>
      <c r="P1354" s="133">
        <v>1</v>
      </c>
      <c r="R1354" s="133">
        <v>0</v>
      </c>
      <c r="S1354" s="133" t="s">
        <v>3955</v>
      </c>
      <c r="T1354" s="133" t="s">
        <v>1039</v>
      </c>
      <c r="U1354" s="133" t="s">
        <v>192</v>
      </c>
      <c r="V1354" s="133" t="s">
        <v>115</v>
      </c>
      <c r="W1354" s="135" t="s">
        <v>115</v>
      </c>
      <c r="X1354" s="135" t="s">
        <v>115</v>
      </c>
      <c r="Y1354" s="135" t="s">
        <v>115</v>
      </c>
      <c r="AB1354" s="133" t="s">
        <v>115</v>
      </c>
      <c r="AC1354" s="134" t="s">
        <v>115</v>
      </c>
      <c r="AD1354" s="134"/>
      <c r="AH1354" s="133">
        <v>0</v>
      </c>
      <c r="AI1354" s="139">
        <v>0</v>
      </c>
      <c r="AJ1354" s="139">
        <v>0</v>
      </c>
      <c r="AK1354" s="139">
        <v>0</v>
      </c>
      <c r="AL1354" s="139">
        <v>0</v>
      </c>
      <c r="AM1354" s="133">
        <v>0</v>
      </c>
      <c r="AN1354" s="133">
        <f t="shared" si="22"/>
        <v>0</v>
      </c>
    </row>
    <row r="1355" spans="1:48" s="133" customFormat="1" x14ac:dyDescent="0.2">
      <c r="A1355" s="133" t="s">
        <v>1040</v>
      </c>
      <c r="B1355" s="133" t="s">
        <v>1041</v>
      </c>
      <c r="C1355" s="133">
        <v>3</v>
      </c>
      <c r="D1355" s="133">
        <v>1</v>
      </c>
      <c r="E1355" s="133" t="s">
        <v>2487</v>
      </c>
      <c r="F1355" s="138">
        <v>43370</v>
      </c>
      <c r="G1355" s="136" t="s">
        <v>4032</v>
      </c>
      <c r="H1355" s="136" t="s">
        <v>4724</v>
      </c>
      <c r="I1355" s="148">
        <v>1.5972222222222224E-2</v>
      </c>
      <c r="J1355" s="174">
        <v>2.6620370370370372E-4</v>
      </c>
      <c r="K1355" s="139">
        <v>23</v>
      </c>
      <c r="L1355" s="133" t="s">
        <v>398</v>
      </c>
      <c r="M1355" s="133" t="s">
        <v>2498</v>
      </c>
      <c r="N1355" s="133" t="s">
        <v>102</v>
      </c>
      <c r="O1355" s="133" t="s">
        <v>23</v>
      </c>
      <c r="P1355" s="133">
        <v>1</v>
      </c>
      <c r="R1355" s="133">
        <v>0</v>
      </c>
      <c r="S1355" s="133" t="s">
        <v>176</v>
      </c>
      <c r="T1355" s="133" t="s">
        <v>176</v>
      </c>
      <c r="U1355" s="133" t="s">
        <v>263</v>
      </c>
      <c r="V1355" s="133" t="s">
        <v>115</v>
      </c>
      <c r="W1355" s="135" t="s">
        <v>115</v>
      </c>
      <c r="X1355" s="135" t="s">
        <v>115</v>
      </c>
      <c r="Y1355" s="135" t="s">
        <v>115</v>
      </c>
      <c r="Z1355" s="135"/>
      <c r="AA1355" s="135"/>
      <c r="AB1355" s="133" t="s">
        <v>115</v>
      </c>
      <c r="AC1355" s="134" t="s">
        <v>115</v>
      </c>
      <c r="AD1355" s="134"/>
      <c r="AE1355" s="135"/>
      <c r="AF1355" s="135"/>
      <c r="AG1355" s="135"/>
      <c r="AH1355" s="139">
        <v>18</v>
      </c>
      <c r="AI1355" s="139">
        <v>0</v>
      </c>
      <c r="AJ1355" s="139">
        <v>18</v>
      </c>
      <c r="AK1355" s="139">
        <v>0</v>
      </c>
      <c r="AL1355" s="139">
        <v>0</v>
      </c>
      <c r="AM1355" s="133">
        <v>0</v>
      </c>
      <c r="AN1355" s="133">
        <f t="shared" si="22"/>
        <v>18</v>
      </c>
      <c r="AO1355" s="133" t="s">
        <v>1042</v>
      </c>
      <c r="AQ1355" s="133">
        <v>2</v>
      </c>
      <c r="AR1355" s="133">
        <v>0</v>
      </c>
    </row>
    <row r="1356" spans="1:48" s="133" customFormat="1" x14ac:dyDescent="0.2">
      <c r="A1356" s="133" t="s">
        <v>1043</v>
      </c>
      <c r="B1356" s="133" t="s">
        <v>1044</v>
      </c>
      <c r="C1356" s="133">
        <v>4</v>
      </c>
      <c r="D1356" s="133">
        <v>1</v>
      </c>
      <c r="E1356" s="133" t="s">
        <v>2487</v>
      </c>
      <c r="F1356" s="138">
        <v>43370</v>
      </c>
      <c r="G1356" s="136" t="s">
        <v>4032</v>
      </c>
      <c r="H1356" s="136" t="s">
        <v>4724</v>
      </c>
      <c r="I1356" s="148">
        <v>9.7222222222222224E-3</v>
      </c>
      <c r="J1356" s="174">
        <v>1.6203703703703703E-4</v>
      </c>
      <c r="K1356" s="139">
        <v>14</v>
      </c>
      <c r="L1356" s="133" t="s">
        <v>398</v>
      </c>
      <c r="M1356" s="133" t="s">
        <v>2498</v>
      </c>
      <c r="N1356" s="133" t="s">
        <v>111</v>
      </c>
      <c r="O1356" s="133" t="s">
        <v>23</v>
      </c>
      <c r="P1356" s="133">
        <v>0</v>
      </c>
      <c r="R1356" s="133">
        <v>1</v>
      </c>
      <c r="S1356" s="133" t="s">
        <v>176</v>
      </c>
      <c r="T1356" s="133" t="s">
        <v>176</v>
      </c>
      <c r="U1356" s="133" t="s">
        <v>24</v>
      </c>
      <c r="V1356" s="133" t="s">
        <v>1035</v>
      </c>
      <c r="W1356" s="135" t="s">
        <v>23</v>
      </c>
      <c r="X1356" s="135" t="s">
        <v>3997</v>
      </c>
      <c r="Y1356" s="135" t="s">
        <v>4006</v>
      </c>
      <c r="Z1356" s="135"/>
      <c r="AA1356" s="135"/>
      <c r="AB1356" s="133" t="s">
        <v>24</v>
      </c>
      <c r="AC1356" s="134">
        <v>63.722810000000003</v>
      </c>
      <c r="AD1356" s="134">
        <v>148.98215999999999</v>
      </c>
      <c r="AE1356" s="135"/>
      <c r="AF1356" s="135"/>
      <c r="AG1356" s="135"/>
      <c r="AH1356" s="139">
        <v>0</v>
      </c>
      <c r="AI1356" s="139">
        <v>0</v>
      </c>
      <c r="AJ1356" s="139">
        <v>0</v>
      </c>
      <c r="AK1356" s="139">
        <v>0</v>
      </c>
      <c r="AL1356" s="139">
        <v>0</v>
      </c>
      <c r="AM1356" s="133">
        <v>0</v>
      </c>
      <c r="AN1356" s="133">
        <f t="shared" si="22"/>
        <v>0</v>
      </c>
      <c r="AP1356" s="133" t="s">
        <v>4928</v>
      </c>
    </row>
    <row r="1357" spans="1:48" s="133" customFormat="1" x14ac:dyDescent="0.2">
      <c r="A1357" s="133" t="s">
        <v>348</v>
      </c>
      <c r="E1357" s="133" t="s">
        <v>2487</v>
      </c>
      <c r="F1357" s="138">
        <v>43362</v>
      </c>
      <c r="G1357" s="136" t="s">
        <v>4032</v>
      </c>
      <c r="H1357" s="136" t="s">
        <v>4724</v>
      </c>
      <c r="I1357" s="148"/>
      <c r="J1357" s="174"/>
      <c r="K1357" s="139">
        <v>0</v>
      </c>
      <c r="M1357" s="133" t="s">
        <v>2498</v>
      </c>
      <c r="N1357" s="133" t="s">
        <v>111</v>
      </c>
      <c r="O1357" s="133" t="s">
        <v>23</v>
      </c>
      <c r="P1357" s="133">
        <v>0</v>
      </c>
      <c r="R1357" s="133">
        <v>1</v>
      </c>
      <c r="S1357" s="133" t="s">
        <v>176</v>
      </c>
      <c r="T1357" s="133" t="s">
        <v>176</v>
      </c>
      <c r="U1357" s="133" t="s">
        <v>24</v>
      </c>
      <c r="V1357" s="133" t="s">
        <v>3963</v>
      </c>
      <c r="W1357" s="135" t="s">
        <v>23</v>
      </c>
      <c r="X1357" s="135" t="s">
        <v>3997</v>
      </c>
      <c r="Y1357" s="135" t="s">
        <v>4007</v>
      </c>
      <c r="AB1357" s="133" t="s">
        <v>176</v>
      </c>
      <c r="AC1357" s="134">
        <v>63.723179999999999</v>
      </c>
      <c r="AD1357" s="134">
        <v>148.98204000000001</v>
      </c>
      <c r="AH1357" s="139">
        <v>0</v>
      </c>
      <c r="AI1357" s="139">
        <v>0</v>
      </c>
      <c r="AJ1357" s="139">
        <v>0</v>
      </c>
      <c r="AK1357" s="139">
        <v>0</v>
      </c>
      <c r="AL1357" s="139">
        <v>0</v>
      </c>
      <c r="AM1357" s="133">
        <v>0</v>
      </c>
      <c r="AN1357" s="133">
        <f t="shared" si="22"/>
        <v>0</v>
      </c>
      <c r="AP1357" s="133" t="s">
        <v>4957</v>
      </c>
      <c r="AS1357" s="135"/>
      <c r="AT1357" s="135"/>
      <c r="AU1357" s="135"/>
      <c r="AV1357" s="135"/>
    </row>
    <row r="1358" spans="1:48" s="133" customFormat="1" x14ac:dyDescent="0.2">
      <c r="A1358" s="135" t="s">
        <v>922</v>
      </c>
      <c r="B1358" s="135" t="s">
        <v>923</v>
      </c>
      <c r="C1358" s="135">
        <v>1</v>
      </c>
      <c r="D1358" s="135">
        <v>1</v>
      </c>
      <c r="E1358" s="135" t="s">
        <v>791</v>
      </c>
      <c r="F1358" s="136">
        <v>43367</v>
      </c>
      <c r="G1358" s="136" t="s">
        <v>4032</v>
      </c>
      <c r="H1358" s="136" t="s">
        <v>4724</v>
      </c>
      <c r="I1358" s="172">
        <v>1.2499999999999999E-2</v>
      </c>
      <c r="J1358" s="175">
        <v>2.0833333333333335E-4</v>
      </c>
      <c r="K1358" s="143">
        <v>18</v>
      </c>
      <c r="L1358" s="135"/>
      <c r="M1358" s="135" t="s">
        <v>924</v>
      </c>
      <c r="N1358" s="135" t="s">
        <v>102</v>
      </c>
      <c r="O1358" s="135" t="s">
        <v>115</v>
      </c>
      <c r="P1358" s="135">
        <v>1</v>
      </c>
      <c r="Q1358" s="135"/>
      <c r="R1358" s="135">
        <v>0</v>
      </c>
      <c r="S1358" s="133" t="s">
        <v>176</v>
      </c>
      <c r="T1358" s="135" t="s">
        <v>176</v>
      </c>
      <c r="U1358" s="135" t="s">
        <v>122</v>
      </c>
      <c r="V1358" s="135" t="s">
        <v>115</v>
      </c>
      <c r="W1358" s="135" t="s">
        <v>115</v>
      </c>
      <c r="X1358" s="135" t="s">
        <v>115</v>
      </c>
      <c r="Y1358" s="135" t="s">
        <v>115</v>
      </c>
      <c r="AB1358" s="135" t="s">
        <v>115</v>
      </c>
      <c r="AC1358" s="137" t="s">
        <v>115</v>
      </c>
      <c r="AD1358" s="137"/>
      <c r="AH1358" s="143">
        <v>0</v>
      </c>
      <c r="AI1358" s="143">
        <v>0</v>
      </c>
      <c r="AJ1358" s="143">
        <v>0</v>
      </c>
      <c r="AK1358" s="143">
        <v>0</v>
      </c>
      <c r="AL1358" s="143">
        <v>15</v>
      </c>
      <c r="AM1358" s="135">
        <v>0</v>
      </c>
      <c r="AN1358" s="135">
        <f t="shared" si="22"/>
        <v>15</v>
      </c>
      <c r="AO1358" s="135"/>
      <c r="AP1358" s="135"/>
      <c r="AQ1358" s="135"/>
      <c r="AR1358" s="135"/>
    </row>
    <row r="1359" spans="1:48" s="133" customFormat="1" x14ac:dyDescent="0.2">
      <c r="A1359" s="135" t="s">
        <v>928</v>
      </c>
      <c r="B1359" s="135" t="s">
        <v>929</v>
      </c>
      <c r="C1359" s="135">
        <v>3</v>
      </c>
      <c r="D1359" s="135">
        <v>1</v>
      </c>
      <c r="E1359" s="135" t="s">
        <v>791</v>
      </c>
      <c r="F1359" s="136">
        <v>43367</v>
      </c>
      <c r="G1359" s="136" t="s">
        <v>4032</v>
      </c>
      <c r="H1359" s="136" t="s">
        <v>4724</v>
      </c>
      <c r="I1359" s="172">
        <v>8.3333333333333332E-3</v>
      </c>
      <c r="J1359" s="175">
        <v>1.3888888888888889E-4</v>
      </c>
      <c r="K1359" s="143">
        <v>12</v>
      </c>
      <c r="L1359" s="135" t="s">
        <v>397</v>
      </c>
      <c r="M1359" s="135" t="s">
        <v>924</v>
      </c>
      <c r="N1359" s="135" t="s">
        <v>102</v>
      </c>
      <c r="O1359" s="135" t="s">
        <v>115</v>
      </c>
      <c r="P1359" s="135">
        <v>1</v>
      </c>
      <c r="Q1359" s="135"/>
      <c r="R1359" s="135">
        <v>0</v>
      </c>
      <c r="S1359" s="133" t="s">
        <v>598</v>
      </c>
      <c r="T1359" s="135" t="s">
        <v>2109</v>
      </c>
      <c r="U1359" s="135" t="s">
        <v>122</v>
      </c>
      <c r="V1359" s="135" t="s">
        <v>115</v>
      </c>
      <c r="W1359" s="135" t="s">
        <v>115</v>
      </c>
      <c r="X1359" s="135" t="s">
        <v>115</v>
      </c>
      <c r="Y1359" s="135" t="s">
        <v>115</v>
      </c>
      <c r="AB1359" s="135" t="s">
        <v>115</v>
      </c>
      <c r="AC1359" s="137" t="s">
        <v>115</v>
      </c>
      <c r="AD1359" s="137"/>
      <c r="AH1359" s="143">
        <v>0</v>
      </c>
      <c r="AI1359" s="143">
        <v>0</v>
      </c>
      <c r="AJ1359" s="143">
        <v>0</v>
      </c>
      <c r="AK1359" s="143">
        <v>0</v>
      </c>
      <c r="AL1359" s="143">
        <v>8</v>
      </c>
      <c r="AM1359" s="135">
        <v>0</v>
      </c>
      <c r="AN1359" s="135">
        <f t="shared" si="22"/>
        <v>8</v>
      </c>
      <c r="AO1359" s="135"/>
      <c r="AP1359" s="135" t="s">
        <v>4969</v>
      </c>
      <c r="AQ1359" s="135"/>
      <c r="AR1359" s="135"/>
      <c r="AS1359" s="135"/>
      <c r="AT1359" s="135"/>
      <c r="AU1359" s="135"/>
      <c r="AV1359" s="135"/>
    </row>
    <row r="1360" spans="1:48" s="133" customFormat="1" x14ac:dyDescent="0.2">
      <c r="A1360" s="133" t="s">
        <v>991</v>
      </c>
      <c r="B1360" s="133" t="s">
        <v>992</v>
      </c>
      <c r="C1360" s="133">
        <v>8</v>
      </c>
      <c r="D1360" s="133">
        <v>1</v>
      </c>
      <c r="E1360" s="133" t="s">
        <v>791</v>
      </c>
      <c r="F1360" s="138">
        <v>43369</v>
      </c>
      <c r="G1360" s="136" t="s">
        <v>4032</v>
      </c>
      <c r="H1360" s="136" t="s">
        <v>4724</v>
      </c>
      <c r="I1360" s="148">
        <v>6.2499999999999995E-3</v>
      </c>
      <c r="J1360" s="174">
        <v>1.0416666666666667E-4</v>
      </c>
      <c r="K1360" s="139">
        <v>9</v>
      </c>
      <c r="L1360" s="133" t="s">
        <v>398</v>
      </c>
      <c r="M1360" s="133" t="s">
        <v>924</v>
      </c>
      <c r="N1360" s="133" t="s">
        <v>111</v>
      </c>
      <c r="O1360" s="133" t="s">
        <v>23</v>
      </c>
      <c r="P1360" s="133">
        <v>0</v>
      </c>
      <c r="R1360" s="133">
        <v>1</v>
      </c>
      <c r="S1360" s="133" t="s">
        <v>176</v>
      </c>
      <c r="T1360" s="133" t="s">
        <v>176</v>
      </c>
      <c r="U1360" s="133" t="s">
        <v>122</v>
      </c>
      <c r="V1360" s="133" t="s">
        <v>993</v>
      </c>
      <c r="W1360" s="135" t="s">
        <v>23</v>
      </c>
      <c r="X1360" s="135" t="s">
        <v>3999</v>
      </c>
      <c r="Y1360" s="135" t="s">
        <v>4002</v>
      </c>
      <c r="Z1360" s="135"/>
      <c r="AA1360" s="135"/>
      <c r="AB1360" s="133" t="s">
        <v>24</v>
      </c>
      <c r="AC1360" s="134">
        <v>63.721530000000001</v>
      </c>
      <c r="AD1360" s="134">
        <v>148.96460999999999</v>
      </c>
      <c r="AE1360" s="135"/>
      <c r="AF1360" s="135"/>
      <c r="AG1360" s="135"/>
      <c r="AH1360" s="139">
        <v>0</v>
      </c>
      <c r="AI1360" s="139">
        <v>0</v>
      </c>
      <c r="AJ1360" s="139">
        <v>0</v>
      </c>
      <c r="AK1360" s="139">
        <v>0</v>
      </c>
      <c r="AL1360" s="139">
        <v>0</v>
      </c>
      <c r="AM1360" s="133">
        <v>0</v>
      </c>
      <c r="AN1360" s="133">
        <f t="shared" si="22"/>
        <v>0</v>
      </c>
    </row>
    <row r="1361" spans="1:48" s="133" customFormat="1" x14ac:dyDescent="0.2">
      <c r="A1361" s="135" t="s">
        <v>925</v>
      </c>
      <c r="B1361" s="135" t="s">
        <v>926</v>
      </c>
      <c r="C1361" s="135">
        <v>2</v>
      </c>
      <c r="D1361" s="135">
        <v>1</v>
      </c>
      <c r="E1361" s="135" t="s">
        <v>791</v>
      </c>
      <c r="F1361" s="136">
        <v>43367</v>
      </c>
      <c r="G1361" s="136" t="s">
        <v>4032</v>
      </c>
      <c r="H1361" s="136" t="s">
        <v>4724</v>
      </c>
      <c r="I1361" s="172">
        <v>1.2499999999999999E-2</v>
      </c>
      <c r="J1361" s="175">
        <v>2.0833333333333335E-4</v>
      </c>
      <c r="K1361" s="143">
        <v>18</v>
      </c>
      <c r="L1361" s="135" t="s">
        <v>397</v>
      </c>
      <c r="M1361" s="135" t="s">
        <v>927</v>
      </c>
      <c r="N1361" s="135" t="s">
        <v>102</v>
      </c>
      <c r="O1361" s="135" t="s">
        <v>115</v>
      </c>
      <c r="P1361" s="135">
        <v>1</v>
      </c>
      <c r="Q1361" s="135"/>
      <c r="R1361" s="135">
        <v>0</v>
      </c>
      <c r="S1361" s="133" t="s">
        <v>598</v>
      </c>
      <c r="T1361" s="135" t="s">
        <v>2109</v>
      </c>
      <c r="U1361" s="135" t="s">
        <v>122</v>
      </c>
      <c r="V1361" s="135" t="s">
        <v>115</v>
      </c>
      <c r="W1361" s="135" t="s">
        <v>115</v>
      </c>
      <c r="X1361" s="135" t="s">
        <v>115</v>
      </c>
      <c r="Y1361" s="135" t="s">
        <v>115</v>
      </c>
      <c r="AB1361" s="135" t="s">
        <v>115</v>
      </c>
      <c r="AC1361" s="137" t="s">
        <v>115</v>
      </c>
      <c r="AD1361" s="137"/>
      <c r="AH1361" s="143">
        <v>0</v>
      </c>
      <c r="AI1361" s="143">
        <v>0</v>
      </c>
      <c r="AJ1361" s="143">
        <v>0</v>
      </c>
      <c r="AK1361" s="143">
        <v>0</v>
      </c>
      <c r="AL1361" s="143">
        <v>18</v>
      </c>
      <c r="AM1361" s="135">
        <v>0</v>
      </c>
      <c r="AN1361" s="135">
        <f t="shared" si="22"/>
        <v>18</v>
      </c>
      <c r="AO1361" s="135"/>
      <c r="AP1361" s="135"/>
      <c r="AQ1361" s="135"/>
      <c r="AR1361" s="135"/>
      <c r="AS1361" s="135"/>
      <c r="AT1361" s="135"/>
      <c r="AU1361" s="135"/>
      <c r="AV1361" s="135"/>
    </row>
    <row r="1362" spans="1:48" s="133" customFormat="1" x14ac:dyDescent="0.2">
      <c r="A1362" s="133" t="s">
        <v>963</v>
      </c>
      <c r="B1362" s="133" t="s">
        <v>964</v>
      </c>
      <c r="C1362" s="133">
        <v>1</v>
      </c>
      <c r="D1362" s="133">
        <v>1</v>
      </c>
      <c r="E1362" s="133" t="s">
        <v>791</v>
      </c>
      <c r="F1362" s="138">
        <v>43369</v>
      </c>
      <c r="G1362" s="136" t="s">
        <v>4032</v>
      </c>
      <c r="H1362" s="136" t="s">
        <v>4724</v>
      </c>
      <c r="I1362" s="148">
        <v>8.3333333333333332E-3</v>
      </c>
      <c r="J1362" s="174">
        <v>1.3888888888888889E-4</v>
      </c>
      <c r="K1362" s="139">
        <v>12</v>
      </c>
      <c r="L1362" s="133" t="s">
        <v>398</v>
      </c>
      <c r="M1362" s="133" t="s">
        <v>927</v>
      </c>
      <c r="N1362" s="133" t="s">
        <v>221</v>
      </c>
      <c r="O1362" s="133" t="s">
        <v>23</v>
      </c>
      <c r="P1362" s="133" t="s">
        <v>24</v>
      </c>
      <c r="R1362" s="133" t="s">
        <v>24</v>
      </c>
      <c r="S1362" s="133" t="s">
        <v>176</v>
      </c>
      <c r="T1362" s="133" t="s">
        <v>176</v>
      </c>
      <c r="U1362" s="133" t="s">
        <v>115</v>
      </c>
      <c r="V1362" s="133" t="s">
        <v>115</v>
      </c>
      <c r="AB1362" s="133" t="s">
        <v>115</v>
      </c>
      <c r="AC1362" s="134" t="s">
        <v>115</v>
      </c>
      <c r="AD1362" s="134"/>
      <c r="AH1362" s="139">
        <v>0</v>
      </c>
      <c r="AI1362" s="139">
        <v>2</v>
      </c>
      <c r="AJ1362" s="139">
        <v>2</v>
      </c>
      <c r="AK1362" s="139">
        <v>0</v>
      </c>
      <c r="AL1362" s="139">
        <v>0</v>
      </c>
      <c r="AM1362" s="133">
        <v>0</v>
      </c>
      <c r="AN1362" s="133">
        <f t="shared" si="22"/>
        <v>2</v>
      </c>
    </row>
    <row r="1363" spans="1:48" s="133" customFormat="1" x14ac:dyDescent="0.2">
      <c r="A1363" s="133" t="s">
        <v>968</v>
      </c>
      <c r="B1363" s="133" t="s">
        <v>969</v>
      </c>
      <c r="C1363" s="133">
        <v>3</v>
      </c>
      <c r="D1363" s="133">
        <v>1</v>
      </c>
      <c r="E1363" s="133" t="s">
        <v>791</v>
      </c>
      <c r="F1363" s="138">
        <v>43369</v>
      </c>
      <c r="G1363" s="136" t="s">
        <v>4032</v>
      </c>
      <c r="H1363" s="136" t="s">
        <v>4724</v>
      </c>
      <c r="I1363" s="148">
        <v>3.1944444444444449E-2</v>
      </c>
      <c r="J1363" s="174">
        <v>5.3240740740740744E-4</v>
      </c>
      <c r="K1363" s="139">
        <v>46</v>
      </c>
      <c r="L1363" s="133" t="s">
        <v>398</v>
      </c>
      <c r="M1363" s="133" t="s">
        <v>927</v>
      </c>
      <c r="N1363" s="133" t="s">
        <v>111</v>
      </c>
      <c r="O1363" s="133" t="s">
        <v>23</v>
      </c>
      <c r="P1363" s="133">
        <v>0</v>
      </c>
      <c r="R1363" s="133">
        <v>2</v>
      </c>
      <c r="S1363" s="133" t="s">
        <v>176</v>
      </c>
      <c r="T1363" s="133" t="s">
        <v>176</v>
      </c>
      <c r="U1363" s="133" t="s">
        <v>24</v>
      </c>
      <c r="V1363" s="133" t="s">
        <v>970</v>
      </c>
      <c r="W1363" s="140" t="s">
        <v>23</v>
      </c>
      <c r="X1363" s="140" t="s">
        <v>4004</v>
      </c>
      <c r="Y1363" s="140" t="s">
        <v>4005</v>
      </c>
      <c r="AB1363" s="133" t="s">
        <v>24</v>
      </c>
      <c r="AC1363" s="134">
        <v>63.723379999999999</v>
      </c>
      <c r="AD1363" s="134">
        <v>148.96933000000001</v>
      </c>
      <c r="AH1363" s="139">
        <v>0</v>
      </c>
      <c r="AI1363" s="139">
        <v>0</v>
      </c>
      <c r="AJ1363" s="139">
        <v>0</v>
      </c>
      <c r="AK1363" s="139">
        <v>0</v>
      </c>
      <c r="AL1363" s="139">
        <v>0</v>
      </c>
      <c r="AM1363" s="133">
        <v>0</v>
      </c>
      <c r="AN1363" s="133">
        <f t="shared" si="22"/>
        <v>0</v>
      </c>
      <c r="AS1363" s="135"/>
      <c r="AT1363" s="135"/>
      <c r="AU1363" s="135"/>
      <c r="AV1363" s="135"/>
    </row>
    <row r="1364" spans="1:48" s="133" customFormat="1" x14ac:dyDescent="0.2">
      <c r="A1364" s="135" t="s">
        <v>971</v>
      </c>
      <c r="B1364" s="135" t="s">
        <v>972</v>
      </c>
      <c r="C1364" s="135">
        <v>4</v>
      </c>
      <c r="D1364" s="135">
        <v>1</v>
      </c>
      <c r="E1364" s="135" t="s">
        <v>791</v>
      </c>
      <c r="F1364" s="136">
        <v>43369</v>
      </c>
      <c r="G1364" s="136" t="s">
        <v>4032</v>
      </c>
      <c r="H1364" s="136" t="s">
        <v>4724</v>
      </c>
      <c r="I1364" s="172">
        <v>7.3611111111111113E-2</v>
      </c>
      <c r="J1364" s="175">
        <v>1.2268518518518518E-3</v>
      </c>
      <c r="K1364" s="143">
        <v>106</v>
      </c>
      <c r="L1364" s="135" t="s">
        <v>398</v>
      </c>
      <c r="M1364" s="135" t="s">
        <v>927</v>
      </c>
      <c r="N1364" s="135" t="s">
        <v>102</v>
      </c>
      <c r="O1364" s="135" t="s">
        <v>23</v>
      </c>
      <c r="P1364" s="135">
        <v>2</v>
      </c>
      <c r="Q1364" s="135"/>
      <c r="R1364" s="135">
        <v>0</v>
      </c>
      <c r="S1364" s="133" t="s">
        <v>176</v>
      </c>
      <c r="T1364" s="135" t="s">
        <v>176</v>
      </c>
      <c r="U1364" s="135" t="s">
        <v>973</v>
      </c>
      <c r="V1364" s="135" t="s">
        <v>115</v>
      </c>
      <c r="W1364" s="135" t="s">
        <v>115</v>
      </c>
      <c r="X1364" s="135" t="s">
        <v>115</v>
      </c>
      <c r="Y1364" s="135" t="s">
        <v>115</v>
      </c>
      <c r="AB1364" s="135" t="s">
        <v>115</v>
      </c>
      <c r="AC1364" s="137" t="s">
        <v>115</v>
      </c>
      <c r="AD1364" s="137"/>
      <c r="AH1364" s="143">
        <v>0</v>
      </c>
      <c r="AI1364" s="143">
        <v>66</v>
      </c>
      <c r="AJ1364" s="143">
        <v>66</v>
      </c>
      <c r="AK1364" s="143">
        <v>0</v>
      </c>
      <c r="AL1364" s="143">
        <v>2</v>
      </c>
      <c r="AM1364" s="135">
        <v>0</v>
      </c>
      <c r="AN1364" s="135">
        <f t="shared" si="22"/>
        <v>68</v>
      </c>
      <c r="AO1364" s="135"/>
      <c r="AP1364" s="135"/>
      <c r="AQ1364" s="135"/>
      <c r="AR1364" s="135"/>
    </row>
    <row r="1365" spans="1:48" s="133" customFormat="1" x14ac:dyDescent="0.2">
      <c r="A1365" s="133" t="s">
        <v>974</v>
      </c>
      <c r="B1365" s="133" t="s">
        <v>975</v>
      </c>
      <c r="C1365" s="133">
        <v>5</v>
      </c>
      <c r="D1365" s="133">
        <v>1</v>
      </c>
      <c r="E1365" s="133" t="s">
        <v>791</v>
      </c>
      <c r="F1365" s="138">
        <v>43369</v>
      </c>
      <c r="G1365" s="136" t="s">
        <v>4032</v>
      </c>
      <c r="H1365" s="136" t="s">
        <v>4724</v>
      </c>
      <c r="I1365" s="148">
        <v>7.2916666666666671E-2</v>
      </c>
      <c r="J1365" s="174">
        <v>1.2152777777777778E-3</v>
      </c>
      <c r="K1365" s="139">
        <v>105</v>
      </c>
      <c r="L1365" s="133" t="s">
        <v>398</v>
      </c>
      <c r="M1365" s="133" t="s">
        <v>927</v>
      </c>
      <c r="N1365" s="133" t="s">
        <v>111</v>
      </c>
      <c r="O1365" s="133" t="s">
        <v>23</v>
      </c>
      <c r="P1365" s="133">
        <v>0</v>
      </c>
      <c r="R1365" s="133">
        <v>1</v>
      </c>
      <c r="S1365" s="133" t="s">
        <v>176</v>
      </c>
      <c r="T1365" s="133" t="s">
        <v>176</v>
      </c>
      <c r="U1365" s="133" t="s">
        <v>24</v>
      </c>
      <c r="V1365" s="133" t="s">
        <v>2078</v>
      </c>
      <c r="W1365" s="135" t="s">
        <v>3257</v>
      </c>
      <c r="X1365" s="135" t="s">
        <v>3997</v>
      </c>
      <c r="Y1365" s="135" t="s">
        <v>4001</v>
      </c>
      <c r="Z1365" s="135"/>
      <c r="AA1365" s="135"/>
      <c r="AB1365" s="133" t="s">
        <v>24</v>
      </c>
      <c r="AC1365" s="134">
        <v>63.723199999999999</v>
      </c>
      <c r="AD1365" s="134">
        <v>148.97024999999999</v>
      </c>
      <c r="AE1365" s="135"/>
      <c r="AF1365" s="135"/>
      <c r="AG1365" s="135"/>
      <c r="AH1365" s="139">
        <v>0</v>
      </c>
      <c r="AI1365" s="139">
        <v>0</v>
      </c>
      <c r="AJ1365" s="139">
        <v>0</v>
      </c>
      <c r="AK1365" s="139">
        <v>0</v>
      </c>
      <c r="AL1365" s="139">
        <v>0</v>
      </c>
      <c r="AM1365" s="133">
        <v>0</v>
      </c>
      <c r="AN1365" s="133">
        <f t="shared" si="22"/>
        <v>0</v>
      </c>
      <c r="AP1365" s="133" t="s">
        <v>2030</v>
      </c>
    </row>
    <row r="1366" spans="1:48" s="133" customFormat="1" x14ac:dyDescent="0.2">
      <c r="A1366" s="133" t="s">
        <v>974</v>
      </c>
      <c r="B1366" s="133" t="s">
        <v>975</v>
      </c>
      <c r="C1366" s="133">
        <v>5</v>
      </c>
      <c r="D1366" s="133">
        <v>2</v>
      </c>
      <c r="E1366" s="133" t="s">
        <v>791</v>
      </c>
      <c r="F1366" s="138">
        <v>43369</v>
      </c>
      <c r="G1366" s="136" t="s">
        <v>4032</v>
      </c>
      <c r="H1366" s="136" t="s">
        <v>4724</v>
      </c>
      <c r="I1366" s="148">
        <v>7.2916666666666671E-2</v>
      </c>
      <c r="J1366" s="174">
        <v>1.2152777777777778E-3</v>
      </c>
      <c r="K1366" s="139">
        <v>105</v>
      </c>
      <c r="L1366" s="133" t="s">
        <v>398</v>
      </c>
      <c r="M1366" s="133" t="s">
        <v>927</v>
      </c>
      <c r="N1366" s="133" t="s">
        <v>111</v>
      </c>
      <c r="O1366" s="133" t="s">
        <v>23</v>
      </c>
      <c r="P1366" s="133">
        <v>0</v>
      </c>
      <c r="R1366" s="133">
        <v>1</v>
      </c>
      <c r="S1366" s="133" t="s">
        <v>176</v>
      </c>
      <c r="T1366" s="133" t="s">
        <v>176</v>
      </c>
      <c r="U1366" s="133" t="s">
        <v>24</v>
      </c>
      <c r="V1366" s="133" t="s">
        <v>3968</v>
      </c>
      <c r="W1366" s="135" t="s">
        <v>23</v>
      </c>
      <c r="X1366" s="135" t="s">
        <v>3999</v>
      </c>
      <c r="Y1366" s="135" t="s">
        <v>4003</v>
      </c>
      <c r="AB1366" s="133" t="s">
        <v>24</v>
      </c>
      <c r="AC1366" s="134">
        <v>63.723280000000003</v>
      </c>
      <c r="AD1366" s="134">
        <v>148.97037</v>
      </c>
      <c r="AH1366" s="139">
        <v>0</v>
      </c>
      <c r="AI1366" s="139">
        <v>0</v>
      </c>
      <c r="AJ1366" s="139">
        <v>0</v>
      </c>
      <c r="AK1366" s="139">
        <v>0</v>
      </c>
      <c r="AL1366" s="139">
        <v>0</v>
      </c>
      <c r="AM1366" s="133">
        <v>0</v>
      </c>
      <c r="AN1366" s="133">
        <f t="shared" si="22"/>
        <v>0</v>
      </c>
      <c r="AP1366" s="133" t="s">
        <v>2030</v>
      </c>
    </row>
    <row r="1367" spans="1:48" s="133" customFormat="1" x14ac:dyDescent="0.2">
      <c r="A1367" s="133" t="s">
        <v>974</v>
      </c>
      <c r="B1367" s="133" t="s">
        <v>975</v>
      </c>
      <c r="C1367" s="133">
        <v>5</v>
      </c>
      <c r="D1367" s="133">
        <v>3</v>
      </c>
      <c r="E1367" s="133" t="s">
        <v>791</v>
      </c>
      <c r="F1367" s="138">
        <v>43369</v>
      </c>
      <c r="G1367" s="136" t="s">
        <v>4032</v>
      </c>
      <c r="H1367" s="136" t="s">
        <v>4724</v>
      </c>
      <c r="I1367" s="148">
        <v>7.2916666666666671E-2</v>
      </c>
      <c r="J1367" s="174">
        <v>1.2152777777777778E-3</v>
      </c>
      <c r="K1367" s="139">
        <v>105</v>
      </c>
      <c r="L1367" s="133" t="s">
        <v>398</v>
      </c>
      <c r="M1367" s="133" t="s">
        <v>927</v>
      </c>
      <c r="N1367" s="133" t="s">
        <v>111</v>
      </c>
      <c r="O1367" s="133" t="s">
        <v>23</v>
      </c>
      <c r="P1367" s="133">
        <v>0</v>
      </c>
      <c r="R1367" s="133">
        <v>2</v>
      </c>
      <c r="S1367" s="133" t="s">
        <v>176</v>
      </c>
      <c r="T1367" s="133" t="s">
        <v>176</v>
      </c>
      <c r="U1367" s="133" t="s">
        <v>24</v>
      </c>
      <c r="V1367" s="133" t="s">
        <v>3994</v>
      </c>
      <c r="W1367" s="140" t="s">
        <v>23</v>
      </c>
      <c r="X1367" s="140" t="s">
        <v>3997</v>
      </c>
      <c r="Y1367" s="140" t="s">
        <v>4007</v>
      </c>
      <c r="AB1367" s="133" t="s">
        <v>24</v>
      </c>
      <c r="AC1367" s="134">
        <v>63.723230000000001</v>
      </c>
      <c r="AD1367" s="134">
        <v>148.97020000000001</v>
      </c>
      <c r="AH1367" s="139">
        <v>0</v>
      </c>
      <c r="AI1367" s="139">
        <v>0</v>
      </c>
      <c r="AJ1367" s="139">
        <v>0</v>
      </c>
      <c r="AK1367" s="139">
        <v>0</v>
      </c>
      <c r="AL1367" s="139">
        <v>0</v>
      </c>
      <c r="AM1367" s="133">
        <v>0</v>
      </c>
      <c r="AN1367" s="133">
        <f t="shared" si="22"/>
        <v>0</v>
      </c>
      <c r="AP1367" s="133" t="s">
        <v>2030</v>
      </c>
    </row>
    <row r="1368" spans="1:48" s="133" customFormat="1" x14ac:dyDescent="0.2">
      <c r="A1368" s="135" t="s">
        <v>988</v>
      </c>
      <c r="B1368" s="135" t="s">
        <v>976</v>
      </c>
      <c r="C1368" s="135">
        <v>6</v>
      </c>
      <c r="D1368" s="135">
        <v>1</v>
      </c>
      <c r="E1368" s="135" t="s">
        <v>791</v>
      </c>
      <c r="F1368" s="136">
        <v>43369</v>
      </c>
      <c r="G1368" s="136" t="s">
        <v>4032</v>
      </c>
      <c r="H1368" s="136" t="s">
        <v>4724</v>
      </c>
      <c r="I1368" s="172">
        <v>9.0277777777777787E-3</v>
      </c>
      <c r="J1368" s="175">
        <v>1.5046296296296297E-4</v>
      </c>
      <c r="K1368" s="143">
        <v>13</v>
      </c>
      <c r="L1368" s="135" t="s">
        <v>398</v>
      </c>
      <c r="M1368" s="135" t="s">
        <v>927</v>
      </c>
      <c r="N1368" s="135" t="s">
        <v>102</v>
      </c>
      <c r="O1368" s="135" t="s">
        <v>115</v>
      </c>
      <c r="P1368" s="135" t="s">
        <v>24</v>
      </c>
      <c r="Q1368" s="135"/>
      <c r="R1368" s="135">
        <v>0</v>
      </c>
      <c r="S1368" s="135"/>
      <c r="T1368" s="135" t="s">
        <v>115</v>
      </c>
      <c r="U1368" s="135" t="s">
        <v>115</v>
      </c>
      <c r="V1368" s="135" t="s">
        <v>115</v>
      </c>
      <c r="W1368" s="135" t="s">
        <v>115</v>
      </c>
      <c r="X1368" s="135" t="s">
        <v>115</v>
      </c>
      <c r="Y1368" s="135" t="s">
        <v>115</v>
      </c>
      <c r="AB1368" s="135" t="s">
        <v>115</v>
      </c>
      <c r="AC1368" s="137" t="s">
        <v>115</v>
      </c>
      <c r="AD1368" s="137"/>
      <c r="AH1368" s="143">
        <v>0</v>
      </c>
      <c r="AI1368" s="143">
        <v>0</v>
      </c>
      <c r="AJ1368" s="143">
        <v>0</v>
      </c>
      <c r="AK1368" s="143">
        <v>0</v>
      </c>
      <c r="AL1368" s="143">
        <v>13</v>
      </c>
      <c r="AM1368" s="135">
        <v>0</v>
      </c>
      <c r="AN1368" s="135">
        <f t="shared" si="22"/>
        <v>13</v>
      </c>
      <c r="AO1368" s="135"/>
      <c r="AP1368" s="135"/>
      <c r="AQ1368" s="135"/>
      <c r="AR1368" s="135"/>
    </row>
    <row r="1369" spans="1:48" s="135" customFormat="1" x14ac:dyDescent="0.2">
      <c r="A1369" s="135" t="s">
        <v>989</v>
      </c>
      <c r="B1369" s="135" t="s">
        <v>990</v>
      </c>
      <c r="C1369" s="135">
        <v>7</v>
      </c>
      <c r="D1369" s="135">
        <v>1</v>
      </c>
      <c r="E1369" s="135" t="s">
        <v>791</v>
      </c>
      <c r="F1369" s="136">
        <v>43369</v>
      </c>
      <c r="G1369" s="136" t="s">
        <v>4032</v>
      </c>
      <c r="H1369" s="136" t="s">
        <v>4724</v>
      </c>
      <c r="I1369" s="172">
        <v>1.3194444444444444E-2</v>
      </c>
      <c r="J1369" s="175">
        <v>2.199074074074074E-4</v>
      </c>
      <c r="K1369" s="143">
        <v>19</v>
      </c>
      <c r="L1369" s="135" t="s">
        <v>398</v>
      </c>
      <c r="M1369" s="135" t="s">
        <v>927</v>
      </c>
      <c r="N1369" s="135" t="s">
        <v>102</v>
      </c>
      <c r="O1369" s="135" t="s">
        <v>115</v>
      </c>
      <c r="P1369" s="135">
        <v>1</v>
      </c>
      <c r="R1369" s="135">
        <v>0</v>
      </c>
      <c r="S1369" s="133" t="s">
        <v>176</v>
      </c>
      <c r="T1369" s="135" t="s">
        <v>176</v>
      </c>
      <c r="U1369" s="135" t="s">
        <v>122</v>
      </c>
      <c r="V1369" s="135" t="s">
        <v>115</v>
      </c>
      <c r="W1369" s="135" t="s">
        <v>115</v>
      </c>
      <c r="X1369" s="135" t="s">
        <v>115</v>
      </c>
      <c r="Y1369" s="135" t="s">
        <v>115</v>
      </c>
      <c r="Z1369" s="133"/>
      <c r="AA1369" s="133"/>
      <c r="AB1369" s="135" t="s">
        <v>115</v>
      </c>
      <c r="AC1369" s="137" t="s">
        <v>115</v>
      </c>
      <c r="AD1369" s="137"/>
      <c r="AE1369" s="133"/>
      <c r="AF1369" s="133"/>
      <c r="AG1369" s="133"/>
      <c r="AH1369" s="143">
        <v>0</v>
      </c>
      <c r="AI1369" s="143">
        <v>0</v>
      </c>
      <c r="AJ1369" s="143">
        <v>0</v>
      </c>
      <c r="AK1369" s="143">
        <v>0</v>
      </c>
      <c r="AL1369" s="143">
        <v>17</v>
      </c>
      <c r="AM1369" s="135">
        <v>0</v>
      </c>
      <c r="AN1369" s="135">
        <f t="shared" si="22"/>
        <v>17</v>
      </c>
    </row>
    <row r="1370" spans="1:48" s="133" customFormat="1" x14ac:dyDescent="0.2">
      <c r="A1370" s="133" t="s">
        <v>994</v>
      </c>
      <c r="B1370" s="133" t="s">
        <v>995</v>
      </c>
      <c r="C1370" s="133">
        <v>9</v>
      </c>
      <c r="D1370" s="133">
        <v>1</v>
      </c>
      <c r="E1370" s="133" t="s">
        <v>791</v>
      </c>
      <c r="F1370" s="138">
        <v>43369</v>
      </c>
      <c r="G1370" s="136" t="s">
        <v>4032</v>
      </c>
      <c r="H1370" s="136" t="s">
        <v>4724</v>
      </c>
      <c r="I1370" s="148">
        <v>6.9444444444444434E-2</v>
      </c>
      <c r="J1370" s="174">
        <v>1.1574074074074073E-3</v>
      </c>
      <c r="K1370" s="139">
        <v>100</v>
      </c>
      <c r="L1370" s="133" t="s">
        <v>398</v>
      </c>
      <c r="M1370" s="133" t="s">
        <v>927</v>
      </c>
      <c r="N1370" s="133" t="s">
        <v>102</v>
      </c>
      <c r="O1370" s="133" t="s">
        <v>23</v>
      </c>
      <c r="P1370" s="133">
        <v>1</v>
      </c>
      <c r="R1370" s="133">
        <v>2</v>
      </c>
      <c r="S1370" s="133" t="s">
        <v>176</v>
      </c>
      <c r="T1370" s="133" t="s">
        <v>176</v>
      </c>
      <c r="U1370" s="133" t="s">
        <v>134</v>
      </c>
      <c r="V1370" s="133" t="s">
        <v>3975</v>
      </c>
      <c r="W1370" s="140" t="s">
        <v>23</v>
      </c>
      <c r="X1370" s="140" t="s">
        <v>3999</v>
      </c>
      <c r="Y1370" s="140" t="s">
        <v>4016</v>
      </c>
      <c r="AB1370" s="133">
        <v>5</v>
      </c>
      <c r="AC1370" s="134">
        <v>63.721490000000003</v>
      </c>
      <c r="AD1370" s="134">
        <v>148.96460999999999</v>
      </c>
      <c r="AH1370" s="139">
        <v>0</v>
      </c>
      <c r="AI1370" s="139">
        <v>0</v>
      </c>
      <c r="AJ1370" s="139">
        <v>0</v>
      </c>
      <c r="AK1370" s="139">
        <v>0</v>
      </c>
      <c r="AL1370" s="139">
        <v>0</v>
      </c>
      <c r="AM1370" s="133">
        <v>0</v>
      </c>
      <c r="AN1370" s="133">
        <f t="shared" si="22"/>
        <v>0</v>
      </c>
    </row>
    <row r="1371" spans="1:48" s="133" customFormat="1" x14ac:dyDescent="0.2">
      <c r="A1371" s="133" t="s">
        <v>997</v>
      </c>
      <c r="B1371" s="133" t="s">
        <v>998</v>
      </c>
      <c r="C1371" s="133">
        <v>10</v>
      </c>
      <c r="D1371" s="133">
        <v>1</v>
      </c>
      <c r="E1371" s="133" t="s">
        <v>791</v>
      </c>
      <c r="F1371" s="138">
        <v>43369</v>
      </c>
      <c r="G1371" s="136" t="s">
        <v>4032</v>
      </c>
      <c r="H1371" s="136" t="s">
        <v>4724</v>
      </c>
      <c r="I1371" s="148">
        <v>1.4583333333333332E-2</v>
      </c>
      <c r="J1371" s="174">
        <v>2.4305555555555552E-4</v>
      </c>
      <c r="K1371" s="139">
        <v>21</v>
      </c>
      <c r="L1371" s="133" t="s">
        <v>398</v>
      </c>
      <c r="M1371" s="133" t="s">
        <v>927</v>
      </c>
      <c r="N1371" s="133" t="s">
        <v>111</v>
      </c>
      <c r="O1371" s="133" t="s">
        <v>23</v>
      </c>
      <c r="P1371" s="133">
        <v>0</v>
      </c>
      <c r="R1371" s="133">
        <v>1</v>
      </c>
      <c r="S1371" s="133" t="s">
        <v>176</v>
      </c>
      <c r="T1371" s="133" t="s">
        <v>176</v>
      </c>
      <c r="U1371" s="133" t="s">
        <v>115</v>
      </c>
      <c r="V1371" s="133" t="s">
        <v>709</v>
      </c>
      <c r="W1371" s="135" t="s">
        <v>23</v>
      </c>
      <c r="X1371" s="135" t="s">
        <v>4004</v>
      </c>
      <c r="Y1371" s="135" t="s">
        <v>4005</v>
      </c>
      <c r="AB1371" s="133">
        <v>8</v>
      </c>
      <c r="AC1371" s="134">
        <v>63.721330000000002</v>
      </c>
      <c r="AD1371" s="134">
        <v>148.96489</v>
      </c>
      <c r="AH1371" s="139">
        <v>0</v>
      </c>
      <c r="AI1371" s="139">
        <v>0</v>
      </c>
      <c r="AJ1371" s="139">
        <v>0</v>
      </c>
      <c r="AK1371" s="139">
        <v>0</v>
      </c>
      <c r="AL1371" s="139">
        <v>0</v>
      </c>
      <c r="AM1371" s="133">
        <v>0</v>
      </c>
      <c r="AN1371" s="133">
        <f t="shared" si="22"/>
        <v>0</v>
      </c>
      <c r="AP1371" s="133" t="s">
        <v>999</v>
      </c>
      <c r="AS1371" s="135"/>
      <c r="AT1371" s="135"/>
      <c r="AU1371" s="135"/>
      <c r="AV1371" s="135"/>
    </row>
    <row r="1372" spans="1:48" s="133" customFormat="1" x14ac:dyDescent="0.2">
      <c r="A1372" s="133" t="s">
        <v>240</v>
      </c>
      <c r="B1372" s="133" t="s">
        <v>856</v>
      </c>
      <c r="C1372" s="133">
        <v>2</v>
      </c>
      <c r="D1372" s="133">
        <v>1</v>
      </c>
      <c r="E1372" s="133" t="s">
        <v>834</v>
      </c>
      <c r="F1372" s="138">
        <v>43346</v>
      </c>
      <c r="G1372" s="136" t="s">
        <v>4032</v>
      </c>
      <c r="H1372" s="136" t="s">
        <v>4724</v>
      </c>
      <c r="I1372" s="148">
        <v>0.29236111111111113</v>
      </c>
      <c r="J1372" s="174">
        <v>4.8726851851851856E-3</v>
      </c>
      <c r="K1372" s="139">
        <v>421</v>
      </c>
      <c r="M1372" s="133" t="s">
        <v>241</v>
      </c>
      <c r="N1372" s="133" t="s">
        <v>102</v>
      </c>
      <c r="O1372" s="133" t="s">
        <v>1071</v>
      </c>
      <c r="P1372" s="133">
        <v>3</v>
      </c>
      <c r="R1372" s="133">
        <v>1</v>
      </c>
      <c r="S1372" s="133" t="s">
        <v>461</v>
      </c>
      <c r="T1372" s="133" t="s">
        <v>2125</v>
      </c>
      <c r="U1372" s="133" t="s">
        <v>244</v>
      </c>
      <c r="V1372" s="133" t="s">
        <v>2068</v>
      </c>
      <c r="W1372" s="140" t="s">
        <v>23</v>
      </c>
      <c r="X1372" s="140" t="s">
        <v>3997</v>
      </c>
      <c r="Y1372" s="140" t="s">
        <v>4005</v>
      </c>
      <c r="AB1372" s="142">
        <v>19</v>
      </c>
      <c r="AC1372" s="134">
        <v>63.74004</v>
      </c>
      <c r="AD1372" s="134">
        <v>148.90179000000001</v>
      </c>
      <c r="AH1372" s="133">
        <v>0</v>
      </c>
      <c r="AI1372" s="133">
        <v>0</v>
      </c>
      <c r="AJ1372" s="133">
        <v>0</v>
      </c>
      <c r="AK1372" s="133">
        <v>0</v>
      </c>
      <c r="AL1372" s="133">
        <v>0</v>
      </c>
      <c r="AM1372" s="133">
        <v>0</v>
      </c>
      <c r="AN1372" s="133">
        <f t="shared" si="22"/>
        <v>0</v>
      </c>
      <c r="AO1372" s="133" t="s">
        <v>117</v>
      </c>
      <c r="AP1372" s="133" t="s">
        <v>4893</v>
      </c>
      <c r="AQ1372" s="133">
        <v>0</v>
      </c>
      <c r="AR1372" s="133">
        <v>0</v>
      </c>
      <c r="AS1372" s="135"/>
      <c r="AT1372" s="135"/>
      <c r="AU1372" s="135"/>
      <c r="AV1372" s="135"/>
    </row>
    <row r="1373" spans="1:48" s="133" customFormat="1" x14ac:dyDescent="0.2">
      <c r="A1373" s="133" t="s">
        <v>240</v>
      </c>
      <c r="B1373" s="133" t="s">
        <v>856</v>
      </c>
      <c r="C1373" s="133">
        <v>2</v>
      </c>
      <c r="D1373" s="133">
        <v>2</v>
      </c>
      <c r="E1373" s="133" t="s">
        <v>834</v>
      </c>
      <c r="F1373" s="138">
        <v>43346</v>
      </c>
      <c r="G1373" s="136" t="s">
        <v>4032</v>
      </c>
      <c r="H1373" s="136" t="s">
        <v>4724</v>
      </c>
      <c r="I1373" s="148">
        <v>0.29236111111111113</v>
      </c>
      <c r="J1373" s="174">
        <v>4.8726851851851856E-3</v>
      </c>
      <c r="K1373" s="139">
        <v>421</v>
      </c>
      <c r="M1373" s="133" t="s">
        <v>241</v>
      </c>
      <c r="N1373" s="133" t="s">
        <v>242</v>
      </c>
      <c r="O1373" s="133" t="s">
        <v>1071</v>
      </c>
      <c r="P1373" s="133">
        <v>0</v>
      </c>
      <c r="R1373" s="133">
        <v>1</v>
      </c>
      <c r="S1373" s="133" t="s">
        <v>461</v>
      </c>
      <c r="T1373" s="133" t="s">
        <v>2125</v>
      </c>
      <c r="U1373" s="133" t="s">
        <v>244</v>
      </c>
      <c r="V1373" s="133" t="s">
        <v>2054</v>
      </c>
      <c r="W1373" s="140" t="s">
        <v>12</v>
      </c>
      <c r="X1373" s="140" t="s">
        <v>3997</v>
      </c>
      <c r="Y1373" s="140" t="s">
        <v>4005</v>
      </c>
      <c r="AB1373" s="142">
        <v>12</v>
      </c>
      <c r="AC1373" s="134">
        <v>63.740020000000001</v>
      </c>
      <c r="AD1373" s="134">
        <v>148.90156999999999</v>
      </c>
      <c r="AH1373" s="133">
        <v>0</v>
      </c>
      <c r="AI1373" s="133">
        <v>0</v>
      </c>
      <c r="AJ1373" s="133">
        <v>0</v>
      </c>
      <c r="AK1373" s="133">
        <v>0</v>
      </c>
      <c r="AL1373" s="133">
        <v>0</v>
      </c>
      <c r="AM1373" s="133">
        <v>0</v>
      </c>
      <c r="AN1373" s="133">
        <f t="shared" si="22"/>
        <v>0</v>
      </c>
      <c r="AP1373" s="133" t="s">
        <v>4893</v>
      </c>
      <c r="AS1373" s="135"/>
      <c r="AT1373" s="135"/>
      <c r="AU1373" s="135"/>
      <c r="AV1373" s="135"/>
    </row>
    <row r="1374" spans="1:48" s="133" customFormat="1" x14ac:dyDescent="0.2">
      <c r="A1374" s="133" t="s">
        <v>240</v>
      </c>
      <c r="B1374" s="133" t="s">
        <v>856</v>
      </c>
      <c r="C1374" s="133">
        <v>2</v>
      </c>
      <c r="D1374" s="133">
        <v>3</v>
      </c>
      <c r="E1374" s="133" t="s">
        <v>834</v>
      </c>
      <c r="F1374" s="138">
        <v>43346</v>
      </c>
      <c r="G1374" s="136" t="s">
        <v>4032</v>
      </c>
      <c r="H1374" s="136" t="s">
        <v>4724</v>
      </c>
      <c r="I1374" s="148">
        <v>0.29236111111111113</v>
      </c>
      <c r="J1374" s="174">
        <v>4.8726851851851856E-3</v>
      </c>
      <c r="K1374" s="139">
        <v>421</v>
      </c>
      <c r="M1374" s="133" t="s">
        <v>241</v>
      </c>
      <c r="N1374" s="133" t="s">
        <v>242</v>
      </c>
      <c r="O1374" s="133" t="s">
        <v>1071</v>
      </c>
      <c r="P1374" s="133">
        <v>0</v>
      </c>
      <c r="R1374" s="133">
        <v>1</v>
      </c>
      <c r="S1374" s="133" t="s">
        <v>461</v>
      </c>
      <c r="T1374" s="133" t="s">
        <v>2125</v>
      </c>
      <c r="U1374" s="133" t="s">
        <v>244</v>
      </c>
      <c r="V1374" s="133" t="s">
        <v>2055</v>
      </c>
      <c r="W1374" s="140" t="s">
        <v>1196</v>
      </c>
      <c r="X1374" s="140" t="s">
        <v>3997</v>
      </c>
      <c r="Y1374" s="140" t="s">
        <v>4005</v>
      </c>
      <c r="AB1374" s="142">
        <v>2</v>
      </c>
      <c r="AC1374" s="134">
        <v>63.739890000000003</v>
      </c>
      <c r="AD1374" s="134">
        <v>148.9016</v>
      </c>
      <c r="AH1374" s="133">
        <v>0</v>
      </c>
      <c r="AI1374" s="133">
        <v>0</v>
      </c>
      <c r="AJ1374" s="133">
        <v>0</v>
      </c>
      <c r="AK1374" s="133">
        <v>0</v>
      </c>
      <c r="AL1374" s="133">
        <v>0</v>
      </c>
      <c r="AM1374" s="133">
        <v>0</v>
      </c>
      <c r="AN1374" s="133">
        <f t="shared" si="22"/>
        <v>0</v>
      </c>
      <c r="AP1374" s="133" t="s">
        <v>4893</v>
      </c>
    </row>
    <row r="1375" spans="1:48" s="133" customFormat="1" x14ac:dyDescent="0.2">
      <c r="A1375" s="133" t="s">
        <v>240</v>
      </c>
      <c r="B1375" s="133" t="s">
        <v>856</v>
      </c>
      <c r="C1375" s="133">
        <v>2</v>
      </c>
      <c r="D1375" s="133">
        <v>4</v>
      </c>
      <c r="E1375" s="133" t="s">
        <v>834</v>
      </c>
      <c r="F1375" s="138">
        <v>43346</v>
      </c>
      <c r="G1375" s="136" t="s">
        <v>4032</v>
      </c>
      <c r="H1375" s="136" t="s">
        <v>4724</v>
      </c>
      <c r="I1375" s="148">
        <v>0.29236111111111113</v>
      </c>
      <c r="J1375" s="174">
        <v>4.8726851851851856E-3</v>
      </c>
      <c r="K1375" s="139">
        <v>421</v>
      </c>
      <c r="M1375" s="133" t="s">
        <v>241</v>
      </c>
      <c r="N1375" s="133" t="s">
        <v>242</v>
      </c>
      <c r="O1375" s="133" t="s">
        <v>1071</v>
      </c>
      <c r="P1375" s="133">
        <v>0</v>
      </c>
      <c r="R1375" s="133">
        <v>1</v>
      </c>
      <c r="S1375" s="133" t="s">
        <v>461</v>
      </c>
      <c r="T1375" s="133" t="s">
        <v>2125</v>
      </c>
      <c r="U1375" s="133" t="s">
        <v>244</v>
      </c>
      <c r="V1375" s="133" t="s">
        <v>2068</v>
      </c>
      <c r="W1375" s="140" t="s">
        <v>23</v>
      </c>
      <c r="X1375" s="140" t="s">
        <v>3997</v>
      </c>
      <c r="Y1375" s="140" t="s">
        <v>4005</v>
      </c>
      <c r="Z1375" s="135"/>
      <c r="AA1375" s="135"/>
      <c r="AB1375" s="142">
        <v>29</v>
      </c>
      <c r="AC1375" s="134">
        <v>63.740119999999997</v>
      </c>
      <c r="AD1375" s="134">
        <v>148.90125</v>
      </c>
      <c r="AE1375" s="135"/>
      <c r="AF1375" s="135"/>
      <c r="AG1375" s="135"/>
      <c r="AH1375" s="133">
        <v>0</v>
      </c>
      <c r="AI1375" s="133">
        <v>0</v>
      </c>
      <c r="AJ1375" s="133">
        <v>0</v>
      </c>
      <c r="AK1375" s="133">
        <v>0</v>
      </c>
      <c r="AL1375" s="133">
        <v>0</v>
      </c>
      <c r="AM1375" s="133">
        <v>0</v>
      </c>
      <c r="AN1375" s="133">
        <f t="shared" si="22"/>
        <v>0</v>
      </c>
      <c r="AP1375" s="133" t="s">
        <v>4893</v>
      </c>
    </row>
    <row r="1376" spans="1:48" s="133" customFormat="1" x14ac:dyDescent="0.2">
      <c r="A1376" s="135" t="s">
        <v>245</v>
      </c>
      <c r="B1376" s="135" t="s">
        <v>857</v>
      </c>
      <c r="C1376" s="135">
        <v>3</v>
      </c>
      <c r="D1376" s="135">
        <v>1</v>
      </c>
      <c r="E1376" s="135" t="s">
        <v>834</v>
      </c>
      <c r="F1376" s="136">
        <v>43346</v>
      </c>
      <c r="G1376" s="136" t="s">
        <v>4032</v>
      </c>
      <c r="H1376" s="136" t="s">
        <v>4724</v>
      </c>
      <c r="I1376" s="172">
        <v>2.8472222222222222E-2</v>
      </c>
      <c r="J1376" s="175">
        <v>4.7453703703703704E-4</v>
      </c>
      <c r="K1376" s="143">
        <v>41</v>
      </c>
      <c r="L1376" s="135"/>
      <c r="M1376" s="135" t="s">
        <v>241</v>
      </c>
      <c r="N1376" s="135" t="s">
        <v>102</v>
      </c>
      <c r="O1376" s="135" t="s">
        <v>115</v>
      </c>
      <c r="P1376" s="135">
        <v>1</v>
      </c>
      <c r="Q1376" s="135"/>
      <c r="R1376" s="135">
        <v>1</v>
      </c>
      <c r="S1376" s="133" t="s">
        <v>14</v>
      </c>
      <c r="T1376" s="135" t="s">
        <v>2128</v>
      </c>
      <c r="U1376" s="135" t="s">
        <v>122</v>
      </c>
      <c r="V1376" s="135" t="s">
        <v>3963</v>
      </c>
      <c r="W1376" s="135" t="s">
        <v>23</v>
      </c>
      <c r="X1376" s="135" t="s">
        <v>3997</v>
      </c>
      <c r="Y1376" s="135" t="s">
        <v>4007</v>
      </c>
      <c r="AB1376" s="135" t="s">
        <v>176</v>
      </c>
      <c r="AC1376" s="137" t="s">
        <v>246</v>
      </c>
      <c r="AD1376" s="137"/>
      <c r="AH1376" s="135">
        <v>0</v>
      </c>
      <c r="AI1376" s="135">
        <v>0</v>
      </c>
      <c r="AJ1376" s="135">
        <v>0</v>
      </c>
      <c r="AK1376" s="135">
        <v>0</v>
      </c>
      <c r="AL1376" s="135">
        <v>10</v>
      </c>
      <c r="AM1376" s="135">
        <v>0</v>
      </c>
      <c r="AN1376" s="135">
        <f t="shared" si="22"/>
        <v>10</v>
      </c>
      <c r="AO1376" s="135" t="s">
        <v>247</v>
      </c>
      <c r="AP1376" s="135" t="s">
        <v>1267</v>
      </c>
      <c r="AQ1376" s="135">
        <v>0</v>
      </c>
      <c r="AR1376" s="135">
        <v>0</v>
      </c>
    </row>
    <row r="1377" spans="1:48" s="133" customFormat="1" x14ac:dyDescent="0.2">
      <c r="A1377" s="133" t="s">
        <v>248</v>
      </c>
      <c r="B1377" s="133" t="s">
        <v>858</v>
      </c>
      <c r="C1377" s="133">
        <v>4</v>
      </c>
      <c r="D1377" s="133">
        <v>1</v>
      </c>
      <c r="E1377" s="133" t="s">
        <v>834</v>
      </c>
      <c r="F1377" s="138">
        <v>43346</v>
      </c>
      <c r="G1377" s="136" t="s">
        <v>4032</v>
      </c>
      <c r="H1377" s="136" t="s">
        <v>4724</v>
      </c>
      <c r="I1377" s="148">
        <v>3.5416666666666666E-2</v>
      </c>
      <c r="J1377" s="174">
        <v>5.9027777777777778E-4</v>
      </c>
      <c r="K1377" s="139">
        <v>51</v>
      </c>
      <c r="M1377" s="133" t="s">
        <v>241</v>
      </c>
      <c r="N1377" s="133" t="s">
        <v>102</v>
      </c>
      <c r="O1377" s="133" t="s">
        <v>23</v>
      </c>
      <c r="P1377" s="133">
        <v>1</v>
      </c>
      <c r="R1377" s="133">
        <v>0</v>
      </c>
      <c r="S1377" s="133" t="s">
        <v>461</v>
      </c>
      <c r="T1377" s="133" t="s">
        <v>2125</v>
      </c>
      <c r="U1377" s="133" t="s">
        <v>244</v>
      </c>
      <c r="V1377" s="133" t="s">
        <v>115</v>
      </c>
      <c r="W1377" s="135" t="s">
        <v>115</v>
      </c>
      <c r="X1377" s="135" t="s">
        <v>115</v>
      </c>
      <c r="Y1377" s="135" t="s">
        <v>115</v>
      </c>
      <c r="AB1377" s="133" t="s">
        <v>176</v>
      </c>
      <c r="AC1377" s="134">
        <v>63.739890000000003</v>
      </c>
      <c r="AD1377" s="134">
        <v>148.90158</v>
      </c>
      <c r="AH1377" s="133">
        <v>0</v>
      </c>
      <c r="AI1377" s="133">
        <v>0</v>
      </c>
      <c r="AJ1377" s="133">
        <v>0</v>
      </c>
      <c r="AK1377" s="133">
        <v>0</v>
      </c>
      <c r="AL1377" s="133">
        <v>0</v>
      </c>
      <c r="AM1377" s="133">
        <v>0</v>
      </c>
      <c r="AN1377" s="133">
        <f t="shared" si="22"/>
        <v>0</v>
      </c>
      <c r="AO1377" s="133" t="s">
        <v>117</v>
      </c>
      <c r="AP1377" s="133" t="s">
        <v>2062</v>
      </c>
      <c r="AQ1377" s="133">
        <v>0</v>
      </c>
      <c r="AR1377" s="133">
        <v>0</v>
      </c>
      <c r="AS1377" s="135"/>
      <c r="AT1377" s="135"/>
      <c r="AU1377" s="135"/>
      <c r="AV1377" s="135"/>
    </row>
    <row r="1378" spans="1:48" s="135" customFormat="1" x14ac:dyDescent="0.2">
      <c r="A1378" s="133" t="s">
        <v>249</v>
      </c>
      <c r="B1378" s="133" t="s">
        <v>859</v>
      </c>
      <c r="C1378" s="133">
        <v>5</v>
      </c>
      <c r="D1378" s="133">
        <v>1</v>
      </c>
      <c r="E1378" s="133" t="s">
        <v>834</v>
      </c>
      <c r="F1378" s="138">
        <v>43346</v>
      </c>
      <c r="G1378" s="136" t="s">
        <v>4032</v>
      </c>
      <c r="H1378" s="136" t="s">
        <v>4724</v>
      </c>
      <c r="I1378" s="148">
        <v>2.8472222222222222E-2</v>
      </c>
      <c r="J1378" s="174">
        <v>4.7453703703703704E-4</v>
      </c>
      <c r="K1378" s="139">
        <v>41</v>
      </c>
      <c r="L1378" s="133"/>
      <c r="M1378" s="133" t="s">
        <v>241</v>
      </c>
      <c r="N1378" s="133" t="s">
        <v>102</v>
      </c>
      <c r="O1378" s="133" t="s">
        <v>23</v>
      </c>
      <c r="P1378" s="133">
        <v>1</v>
      </c>
      <c r="Q1378" s="133"/>
      <c r="R1378" s="133">
        <v>0</v>
      </c>
      <c r="S1378" s="133" t="s">
        <v>461</v>
      </c>
      <c r="T1378" s="133" t="s">
        <v>2125</v>
      </c>
      <c r="U1378" s="133" t="s">
        <v>244</v>
      </c>
      <c r="V1378" s="133" t="s">
        <v>115</v>
      </c>
      <c r="W1378" s="135" t="s">
        <v>115</v>
      </c>
      <c r="X1378" s="135" t="s">
        <v>115</v>
      </c>
      <c r="Y1378" s="135" t="s">
        <v>115</v>
      </c>
      <c r="AB1378" s="133" t="s">
        <v>115</v>
      </c>
      <c r="AC1378" s="134" t="s">
        <v>115</v>
      </c>
      <c r="AD1378" s="134"/>
      <c r="AH1378" s="133">
        <v>0</v>
      </c>
      <c r="AI1378" s="133">
        <v>0</v>
      </c>
      <c r="AJ1378" s="133">
        <v>0</v>
      </c>
      <c r="AK1378" s="133">
        <v>0</v>
      </c>
      <c r="AL1378" s="133">
        <v>0</v>
      </c>
      <c r="AM1378" s="133">
        <v>0</v>
      </c>
      <c r="AN1378" s="133">
        <f t="shared" si="22"/>
        <v>0</v>
      </c>
      <c r="AO1378" s="133" t="s">
        <v>117</v>
      </c>
      <c r="AP1378" s="133" t="s">
        <v>250</v>
      </c>
      <c r="AQ1378" s="133">
        <v>0</v>
      </c>
      <c r="AR1378" s="133">
        <v>0</v>
      </c>
      <c r="AS1378" s="133"/>
      <c r="AT1378" s="133"/>
      <c r="AU1378" s="133"/>
      <c r="AV1378" s="133"/>
    </row>
    <row r="1379" spans="1:48" s="135" customFormat="1" x14ac:dyDescent="0.2">
      <c r="A1379" s="133" t="s">
        <v>251</v>
      </c>
      <c r="B1379" s="133" t="s">
        <v>860</v>
      </c>
      <c r="C1379" s="133">
        <v>6</v>
      </c>
      <c r="D1379" s="133">
        <v>1</v>
      </c>
      <c r="E1379" s="133" t="s">
        <v>834</v>
      </c>
      <c r="F1379" s="138">
        <v>43346</v>
      </c>
      <c r="G1379" s="136" t="s">
        <v>4032</v>
      </c>
      <c r="H1379" s="136" t="s">
        <v>4724</v>
      </c>
      <c r="I1379" s="148">
        <v>2.4999999999999998E-2</v>
      </c>
      <c r="J1379" s="174">
        <v>4.1666666666666669E-4</v>
      </c>
      <c r="K1379" s="139">
        <v>36</v>
      </c>
      <c r="L1379" s="133"/>
      <c r="M1379" s="133" t="s">
        <v>241</v>
      </c>
      <c r="N1379" s="133" t="s">
        <v>102</v>
      </c>
      <c r="O1379" s="133" t="s">
        <v>23</v>
      </c>
      <c r="P1379" s="133">
        <v>1</v>
      </c>
      <c r="Q1379" s="133"/>
      <c r="R1379" s="133">
        <v>0</v>
      </c>
      <c r="S1379" s="133" t="s">
        <v>461</v>
      </c>
      <c r="T1379" s="133" t="s">
        <v>2125</v>
      </c>
      <c r="U1379" s="133" t="s">
        <v>244</v>
      </c>
      <c r="V1379" s="133" t="s">
        <v>115</v>
      </c>
      <c r="W1379" s="135" t="s">
        <v>115</v>
      </c>
      <c r="X1379" s="135" t="s">
        <v>115</v>
      </c>
      <c r="Y1379" s="135" t="s">
        <v>115</v>
      </c>
      <c r="Z1379" s="133"/>
      <c r="AA1379" s="133"/>
      <c r="AB1379" s="133" t="s">
        <v>115</v>
      </c>
      <c r="AC1379" s="134" t="s">
        <v>115</v>
      </c>
      <c r="AD1379" s="134"/>
      <c r="AE1379" s="133"/>
      <c r="AF1379" s="133"/>
      <c r="AG1379" s="133"/>
      <c r="AH1379" s="133">
        <v>0</v>
      </c>
      <c r="AI1379" s="133">
        <v>0</v>
      </c>
      <c r="AJ1379" s="133">
        <v>0</v>
      </c>
      <c r="AK1379" s="133">
        <v>0</v>
      </c>
      <c r="AL1379" s="133">
        <v>0</v>
      </c>
      <c r="AM1379" s="133">
        <v>0</v>
      </c>
      <c r="AN1379" s="133">
        <f t="shared" si="22"/>
        <v>0</v>
      </c>
      <c r="AO1379" s="133" t="s">
        <v>117</v>
      </c>
      <c r="AP1379" s="133" t="s">
        <v>252</v>
      </c>
      <c r="AQ1379" s="133">
        <v>0</v>
      </c>
      <c r="AR1379" s="133">
        <v>0</v>
      </c>
    </row>
    <row r="1380" spans="1:48" s="135" customFormat="1" x14ac:dyDescent="0.2">
      <c r="A1380" s="133" t="s">
        <v>257</v>
      </c>
      <c r="B1380" s="133" t="s">
        <v>274</v>
      </c>
      <c r="C1380" s="133">
        <v>2</v>
      </c>
      <c r="D1380" s="133">
        <v>1</v>
      </c>
      <c r="E1380" s="133" t="s">
        <v>272</v>
      </c>
      <c r="F1380" s="138">
        <v>43346</v>
      </c>
      <c r="G1380" s="136" t="s">
        <v>4032</v>
      </c>
      <c r="H1380" s="136" t="s">
        <v>4724</v>
      </c>
      <c r="I1380" s="148">
        <v>4.1666666666666664E-2</v>
      </c>
      <c r="J1380" s="174">
        <v>6.9444444444444447E-4</v>
      </c>
      <c r="K1380" s="139">
        <v>60</v>
      </c>
      <c r="L1380" s="133"/>
      <c r="M1380" s="133" t="s">
        <v>241</v>
      </c>
      <c r="N1380" s="133" t="s">
        <v>102</v>
      </c>
      <c r="O1380" s="133" t="s">
        <v>115</v>
      </c>
      <c r="P1380" s="133">
        <v>1</v>
      </c>
      <c r="Q1380" s="133"/>
      <c r="R1380" s="133">
        <v>0</v>
      </c>
      <c r="S1380" s="133" t="s">
        <v>1618</v>
      </c>
      <c r="T1380" s="133" t="s">
        <v>1618</v>
      </c>
      <c r="U1380" s="133" t="s">
        <v>122</v>
      </c>
      <c r="V1380" s="133" t="s">
        <v>115</v>
      </c>
      <c r="W1380" s="135" t="s">
        <v>115</v>
      </c>
      <c r="X1380" s="135" t="s">
        <v>115</v>
      </c>
      <c r="Y1380" s="135" t="s">
        <v>115</v>
      </c>
      <c r="Z1380" s="133"/>
      <c r="AA1380" s="133"/>
      <c r="AB1380" s="133" t="s">
        <v>115</v>
      </c>
      <c r="AC1380" s="134" t="s">
        <v>115</v>
      </c>
      <c r="AD1380" s="134"/>
      <c r="AE1380" s="133"/>
      <c r="AF1380" s="133"/>
      <c r="AG1380" s="133"/>
      <c r="AH1380" s="133">
        <v>2</v>
      </c>
      <c r="AI1380" s="133">
        <v>0</v>
      </c>
      <c r="AJ1380" s="133">
        <v>0</v>
      </c>
      <c r="AK1380" s="133">
        <v>2</v>
      </c>
      <c r="AL1380" s="133">
        <v>0</v>
      </c>
      <c r="AM1380" s="133">
        <v>0</v>
      </c>
      <c r="AN1380" s="133">
        <f t="shared" si="22"/>
        <v>2</v>
      </c>
      <c r="AO1380" s="133" t="s">
        <v>117</v>
      </c>
      <c r="AP1380" s="133" t="s">
        <v>258</v>
      </c>
      <c r="AQ1380" s="133">
        <v>0</v>
      </c>
      <c r="AR1380" s="133">
        <v>0</v>
      </c>
    </row>
    <row r="1381" spans="1:48" s="135" customFormat="1" x14ac:dyDescent="0.2">
      <c r="A1381" s="133" t="s">
        <v>259</v>
      </c>
      <c r="B1381" s="133" t="s">
        <v>275</v>
      </c>
      <c r="C1381" s="133">
        <v>3</v>
      </c>
      <c r="D1381" s="133">
        <v>2</v>
      </c>
      <c r="E1381" s="133" t="s">
        <v>272</v>
      </c>
      <c r="F1381" s="138">
        <v>43346</v>
      </c>
      <c r="G1381" s="136" t="s">
        <v>4032</v>
      </c>
      <c r="H1381" s="136" t="s">
        <v>4724</v>
      </c>
      <c r="I1381" s="148">
        <v>2.4999999999999998E-2</v>
      </c>
      <c r="J1381" s="174">
        <v>4.1666666666666669E-4</v>
      </c>
      <c r="K1381" s="139">
        <v>36</v>
      </c>
      <c r="L1381" s="133"/>
      <c r="M1381" s="133" t="s">
        <v>241</v>
      </c>
      <c r="N1381" s="133" t="s">
        <v>102</v>
      </c>
      <c r="O1381" s="133" t="s">
        <v>115</v>
      </c>
      <c r="P1381" s="133">
        <v>1</v>
      </c>
      <c r="Q1381" s="133"/>
      <c r="R1381" s="133">
        <v>0</v>
      </c>
      <c r="S1381" s="133" t="s">
        <v>1618</v>
      </c>
      <c r="T1381" s="133" t="s">
        <v>1618</v>
      </c>
      <c r="U1381" s="133" t="s">
        <v>2051</v>
      </c>
      <c r="V1381" s="133" t="s">
        <v>115</v>
      </c>
      <c r="W1381" s="135" t="s">
        <v>115</v>
      </c>
      <c r="X1381" s="135" t="s">
        <v>115</v>
      </c>
      <c r="Y1381" s="135" t="s">
        <v>115</v>
      </c>
      <c r="Z1381" s="133"/>
      <c r="AA1381" s="133"/>
      <c r="AB1381" s="133" t="s">
        <v>115</v>
      </c>
      <c r="AC1381" s="134" t="s">
        <v>115</v>
      </c>
      <c r="AD1381" s="134"/>
      <c r="AE1381" s="133"/>
      <c r="AF1381" s="133"/>
      <c r="AG1381" s="133"/>
      <c r="AH1381" s="133">
        <v>0</v>
      </c>
      <c r="AI1381" s="133">
        <v>0</v>
      </c>
      <c r="AJ1381" s="133">
        <v>0</v>
      </c>
      <c r="AK1381" s="133">
        <v>0</v>
      </c>
      <c r="AL1381" s="133">
        <v>0</v>
      </c>
      <c r="AM1381" s="133">
        <v>10</v>
      </c>
      <c r="AN1381" s="133">
        <f t="shared" si="22"/>
        <v>10</v>
      </c>
      <c r="AO1381" s="133" t="s">
        <v>103</v>
      </c>
      <c r="AP1381" s="133" t="s">
        <v>1275</v>
      </c>
      <c r="AQ1381" s="133">
        <v>0</v>
      </c>
      <c r="AR1381" s="133">
        <v>0</v>
      </c>
      <c r="AS1381" s="133"/>
      <c r="AT1381" s="133"/>
      <c r="AU1381" s="133"/>
      <c r="AV1381" s="133"/>
    </row>
    <row r="1382" spans="1:48" s="133" customFormat="1" x14ac:dyDescent="0.2">
      <c r="A1382" s="133" t="s">
        <v>262</v>
      </c>
      <c r="B1382" s="133" t="s">
        <v>276</v>
      </c>
      <c r="C1382" s="133">
        <v>4</v>
      </c>
      <c r="D1382" s="133">
        <v>1</v>
      </c>
      <c r="E1382" s="133" t="s">
        <v>272</v>
      </c>
      <c r="F1382" s="138">
        <v>43346</v>
      </c>
      <c r="G1382" s="136" t="s">
        <v>4032</v>
      </c>
      <c r="H1382" s="136" t="s">
        <v>4724</v>
      </c>
      <c r="I1382" s="148">
        <v>1.1111111111111112E-2</v>
      </c>
      <c r="J1382" s="174">
        <v>1.8518518518518518E-4</v>
      </c>
      <c r="K1382" s="139">
        <v>16</v>
      </c>
      <c r="M1382" s="133" t="s">
        <v>241</v>
      </c>
      <c r="N1382" s="133" t="s">
        <v>111</v>
      </c>
      <c r="O1382" s="133" t="s">
        <v>23</v>
      </c>
      <c r="P1382" s="133">
        <v>0</v>
      </c>
      <c r="R1382" s="133">
        <v>1</v>
      </c>
      <c r="S1382" s="133" t="s">
        <v>176</v>
      </c>
      <c r="T1382" s="133" t="s">
        <v>176</v>
      </c>
      <c r="U1382" s="133" t="s">
        <v>24</v>
      </c>
      <c r="V1382" s="133" t="s">
        <v>263</v>
      </c>
      <c r="W1382" s="140" t="s">
        <v>23</v>
      </c>
      <c r="X1382" s="140" t="s">
        <v>4004</v>
      </c>
      <c r="Y1382" s="140" t="s">
        <v>4005</v>
      </c>
      <c r="Z1382" s="135"/>
      <c r="AA1382" s="135"/>
      <c r="AB1382" s="133" t="s">
        <v>176</v>
      </c>
      <c r="AC1382" s="134">
        <v>63.730879999999999</v>
      </c>
      <c r="AD1382" s="134">
        <v>148.89989</v>
      </c>
      <c r="AE1382" s="135"/>
      <c r="AF1382" s="135"/>
      <c r="AG1382" s="135"/>
      <c r="AH1382" s="133">
        <v>0</v>
      </c>
      <c r="AI1382" s="133">
        <v>0</v>
      </c>
      <c r="AJ1382" s="133">
        <v>0</v>
      </c>
      <c r="AK1382" s="133">
        <v>0</v>
      </c>
      <c r="AL1382" s="133">
        <v>0</v>
      </c>
      <c r="AM1382" s="133">
        <v>0</v>
      </c>
      <c r="AN1382" s="133">
        <f t="shared" si="22"/>
        <v>0</v>
      </c>
      <c r="AO1382" s="133" t="s">
        <v>159</v>
      </c>
      <c r="AP1382" s="133" t="s">
        <v>2053</v>
      </c>
      <c r="AQ1382" s="133">
        <v>0</v>
      </c>
      <c r="AR1382" s="133">
        <v>0</v>
      </c>
    </row>
    <row r="1383" spans="1:48" s="133" customFormat="1" x14ac:dyDescent="0.2">
      <c r="A1383" s="133" t="s">
        <v>264</v>
      </c>
      <c r="B1383" s="133" t="s">
        <v>277</v>
      </c>
      <c r="C1383" s="133">
        <v>5</v>
      </c>
      <c r="D1383" s="133">
        <v>1</v>
      </c>
      <c r="E1383" s="133" t="s">
        <v>272</v>
      </c>
      <c r="F1383" s="138">
        <v>43346</v>
      </c>
      <c r="G1383" s="136" t="s">
        <v>4032</v>
      </c>
      <c r="H1383" s="136" t="s">
        <v>4724</v>
      </c>
      <c r="I1383" s="148">
        <v>4.1666666666666666E-3</v>
      </c>
      <c r="J1383" s="174">
        <v>6.9444444444444444E-5</v>
      </c>
      <c r="K1383" s="139">
        <v>6</v>
      </c>
      <c r="M1383" s="133" t="s">
        <v>241</v>
      </c>
      <c r="N1383" s="133" t="s">
        <v>111</v>
      </c>
      <c r="O1383" s="133" t="s">
        <v>23</v>
      </c>
      <c r="P1383" s="133">
        <v>0</v>
      </c>
      <c r="R1383" s="133">
        <v>1</v>
      </c>
      <c r="S1383" s="133" t="s">
        <v>176</v>
      </c>
      <c r="T1383" s="133" t="s">
        <v>176</v>
      </c>
      <c r="U1383" s="133" t="s">
        <v>24</v>
      </c>
      <c r="V1383" s="133" t="s">
        <v>263</v>
      </c>
      <c r="W1383" s="140" t="s">
        <v>23</v>
      </c>
      <c r="X1383" s="140" t="s">
        <v>4004</v>
      </c>
      <c r="Y1383" s="140" t="s">
        <v>4005</v>
      </c>
      <c r="AB1383" s="133" t="s">
        <v>176</v>
      </c>
      <c r="AC1383" s="134">
        <v>63.730220000000003</v>
      </c>
      <c r="AD1383" s="134">
        <v>148.90285</v>
      </c>
      <c r="AH1383" s="133">
        <v>0</v>
      </c>
      <c r="AI1383" s="133">
        <v>0</v>
      </c>
      <c r="AJ1383" s="133">
        <v>0</v>
      </c>
      <c r="AK1383" s="133">
        <v>0</v>
      </c>
      <c r="AL1383" s="133">
        <v>0</v>
      </c>
      <c r="AM1383" s="133">
        <v>0</v>
      </c>
      <c r="AN1383" s="133">
        <f t="shared" si="22"/>
        <v>0</v>
      </c>
      <c r="AO1383" s="133" t="s">
        <v>159</v>
      </c>
      <c r="AQ1383" s="133">
        <v>0</v>
      </c>
      <c r="AR1383" s="133">
        <v>0</v>
      </c>
      <c r="AS1383" s="135"/>
      <c r="AT1383" s="135"/>
      <c r="AU1383" s="135"/>
      <c r="AV1383" s="135"/>
    </row>
    <row r="1384" spans="1:48" s="133" customFormat="1" x14ac:dyDescent="0.2">
      <c r="A1384" s="133" t="s">
        <v>265</v>
      </c>
      <c r="B1384" s="133" t="s">
        <v>278</v>
      </c>
      <c r="C1384" s="133">
        <v>6</v>
      </c>
      <c r="D1384" s="133">
        <v>1</v>
      </c>
      <c r="E1384" s="133" t="s">
        <v>272</v>
      </c>
      <c r="F1384" s="138">
        <v>43346</v>
      </c>
      <c r="G1384" s="136" t="s">
        <v>4032</v>
      </c>
      <c r="H1384" s="136" t="s">
        <v>4724</v>
      </c>
      <c r="I1384" s="148">
        <v>8.4722222222222213E-2</v>
      </c>
      <c r="J1384" s="174">
        <v>1.4120370370370369E-3</v>
      </c>
      <c r="K1384" s="139">
        <v>122</v>
      </c>
      <c r="M1384" s="133" t="s">
        <v>241</v>
      </c>
      <c r="N1384" s="133" t="s">
        <v>107</v>
      </c>
      <c r="O1384" s="133" t="s">
        <v>23</v>
      </c>
      <c r="P1384" s="133">
        <v>1</v>
      </c>
      <c r="R1384" s="133">
        <v>0</v>
      </c>
      <c r="S1384" s="133" t="s">
        <v>176</v>
      </c>
      <c r="T1384" s="133" t="s">
        <v>176</v>
      </c>
      <c r="U1384" s="133" t="s">
        <v>24</v>
      </c>
      <c r="V1384" s="133" t="s">
        <v>115</v>
      </c>
      <c r="W1384" s="135" t="s">
        <v>115</v>
      </c>
      <c r="X1384" s="135" t="s">
        <v>115</v>
      </c>
      <c r="Y1384" s="135" t="s">
        <v>115</v>
      </c>
      <c r="AB1384" s="133" t="s">
        <v>115</v>
      </c>
      <c r="AC1384" s="134" t="s">
        <v>115</v>
      </c>
      <c r="AD1384" s="134"/>
      <c r="AH1384" s="133">
        <v>0</v>
      </c>
      <c r="AI1384" s="133">
        <v>0</v>
      </c>
      <c r="AJ1384" s="133">
        <v>0</v>
      </c>
      <c r="AK1384" s="133">
        <v>0</v>
      </c>
      <c r="AL1384" s="133">
        <v>0</v>
      </c>
      <c r="AM1384" s="133">
        <v>0</v>
      </c>
      <c r="AN1384" s="133">
        <f t="shared" si="22"/>
        <v>0</v>
      </c>
      <c r="AP1384" s="133" t="s">
        <v>4895</v>
      </c>
      <c r="AQ1384" s="133">
        <v>0</v>
      </c>
      <c r="AR1384" s="133">
        <v>0</v>
      </c>
    </row>
    <row r="1385" spans="1:48" s="133" customFormat="1" x14ac:dyDescent="0.2">
      <c r="A1385" s="133" t="s">
        <v>287</v>
      </c>
      <c r="B1385" s="133" t="s">
        <v>288</v>
      </c>
      <c r="C1385" s="133">
        <v>1</v>
      </c>
      <c r="D1385" s="133">
        <v>1</v>
      </c>
      <c r="E1385" s="133" t="s">
        <v>272</v>
      </c>
      <c r="F1385" s="138">
        <v>43347</v>
      </c>
      <c r="G1385" s="136" t="s">
        <v>4032</v>
      </c>
      <c r="H1385" s="136" t="s">
        <v>4724</v>
      </c>
      <c r="I1385" s="148">
        <v>3.6805555555555557E-2</v>
      </c>
      <c r="J1385" s="174">
        <v>6.134259259259259E-4</v>
      </c>
      <c r="K1385" s="139">
        <v>53</v>
      </c>
      <c r="M1385" s="133" t="s">
        <v>241</v>
      </c>
      <c r="N1385" s="133" t="s">
        <v>111</v>
      </c>
      <c r="O1385" s="133" t="s">
        <v>23</v>
      </c>
      <c r="P1385" s="133">
        <v>0</v>
      </c>
      <c r="R1385" s="133">
        <v>1</v>
      </c>
      <c r="S1385" s="133" t="s">
        <v>176</v>
      </c>
      <c r="T1385" s="133" t="s">
        <v>176</v>
      </c>
      <c r="U1385" s="133" t="s">
        <v>2154</v>
      </c>
      <c r="V1385" s="133" t="s">
        <v>263</v>
      </c>
      <c r="W1385" s="140" t="s">
        <v>23</v>
      </c>
      <c r="X1385" s="140" t="s">
        <v>4004</v>
      </c>
      <c r="Y1385" s="140" t="s">
        <v>4005</v>
      </c>
      <c r="Z1385" s="135"/>
      <c r="AA1385" s="135"/>
      <c r="AB1385" s="133" t="s">
        <v>176</v>
      </c>
      <c r="AC1385" s="134">
        <v>63.731529999999999</v>
      </c>
      <c r="AD1385" s="134">
        <v>148.90401</v>
      </c>
      <c r="AE1385" s="135"/>
      <c r="AF1385" s="135"/>
      <c r="AG1385" s="135"/>
      <c r="AH1385" s="133">
        <v>0</v>
      </c>
      <c r="AI1385" s="133">
        <v>0</v>
      </c>
      <c r="AJ1385" s="133">
        <v>0</v>
      </c>
      <c r="AK1385" s="133">
        <v>0</v>
      </c>
      <c r="AL1385" s="133">
        <v>0</v>
      </c>
      <c r="AM1385" s="133">
        <v>0</v>
      </c>
      <c r="AN1385" s="133">
        <f t="shared" si="22"/>
        <v>0</v>
      </c>
      <c r="AO1385" s="133" t="s">
        <v>115</v>
      </c>
      <c r="AP1385" s="133" t="s">
        <v>289</v>
      </c>
      <c r="AQ1385" s="133">
        <v>0</v>
      </c>
      <c r="AR1385" s="133">
        <v>0</v>
      </c>
    </row>
    <row r="1386" spans="1:48" s="133" customFormat="1" x14ac:dyDescent="0.2">
      <c r="A1386" s="133" t="s">
        <v>293</v>
      </c>
      <c r="B1386" s="133" t="s">
        <v>294</v>
      </c>
      <c r="C1386" s="133">
        <v>1</v>
      </c>
      <c r="D1386" s="133">
        <v>1</v>
      </c>
      <c r="E1386" s="133" t="s">
        <v>5052</v>
      </c>
      <c r="F1386" s="138">
        <v>43347</v>
      </c>
      <c r="G1386" s="136" t="s">
        <v>4032</v>
      </c>
      <c r="H1386" s="136" t="s">
        <v>4724</v>
      </c>
      <c r="I1386" s="148">
        <v>4.3055555555555562E-2</v>
      </c>
      <c r="J1386" s="174">
        <v>7.175925925925927E-4</v>
      </c>
      <c r="K1386" s="139">
        <v>62</v>
      </c>
      <c r="M1386" s="133" t="s">
        <v>241</v>
      </c>
      <c r="N1386" s="133" t="s">
        <v>102</v>
      </c>
      <c r="O1386" s="133" t="s">
        <v>23</v>
      </c>
      <c r="P1386" s="133">
        <v>1</v>
      </c>
      <c r="R1386" s="133">
        <v>0</v>
      </c>
      <c r="S1386" s="133" t="s">
        <v>176</v>
      </c>
      <c r="T1386" s="133" t="s">
        <v>176</v>
      </c>
      <c r="U1386" s="133" t="s">
        <v>3976</v>
      </c>
      <c r="V1386" s="133" t="s">
        <v>115</v>
      </c>
      <c r="W1386" s="135" t="s">
        <v>115</v>
      </c>
      <c r="X1386" s="135" t="s">
        <v>115</v>
      </c>
      <c r="Y1386" s="135" t="s">
        <v>115</v>
      </c>
      <c r="AB1386" s="133" t="s">
        <v>115</v>
      </c>
      <c r="AC1386" s="134" t="s">
        <v>115</v>
      </c>
      <c r="AD1386" s="134"/>
      <c r="AH1386" s="133">
        <v>19</v>
      </c>
      <c r="AI1386" s="133">
        <v>0</v>
      </c>
      <c r="AJ1386" s="133">
        <v>0</v>
      </c>
      <c r="AK1386" s="133">
        <v>19</v>
      </c>
      <c r="AL1386" s="133">
        <v>0</v>
      </c>
      <c r="AM1386" s="133">
        <v>0</v>
      </c>
      <c r="AN1386" s="133">
        <f t="shared" si="22"/>
        <v>19</v>
      </c>
      <c r="AO1386" s="133" t="s">
        <v>16</v>
      </c>
      <c r="AQ1386" s="133">
        <v>0</v>
      </c>
      <c r="AR1386" s="133">
        <v>5</v>
      </c>
      <c r="AS1386" s="135"/>
      <c r="AT1386" s="135"/>
      <c r="AU1386" s="135"/>
      <c r="AV1386" s="135"/>
    </row>
    <row r="1387" spans="1:48" s="135" customFormat="1" x14ac:dyDescent="0.2">
      <c r="A1387" s="135" t="s">
        <v>296</v>
      </c>
      <c r="B1387" s="135" t="s">
        <v>297</v>
      </c>
      <c r="C1387" s="135">
        <v>2</v>
      </c>
      <c r="D1387" s="135">
        <v>1</v>
      </c>
      <c r="E1387" s="135" t="s">
        <v>5052</v>
      </c>
      <c r="F1387" s="136">
        <v>43347</v>
      </c>
      <c r="G1387" s="136" t="s">
        <v>4032</v>
      </c>
      <c r="H1387" s="136" t="s">
        <v>4724</v>
      </c>
      <c r="I1387" s="172">
        <v>1.3888888888888888E-2</v>
      </c>
      <c r="J1387" s="175">
        <v>2.3148148148148146E-4</v>
      </c>
      <c r="K1387" s="143">
        <v>20</v>
      </c>
      <c r="M1387" s="135" t="s">
        <v>241</v>
      </c>
      <c r="N1387" s="135" t="s">
        <v>102</v>
      </c>
      <c r="O1387" s="135" t="s">
        <v>115</v>
      </c>
      <c r="P1387" s="135">
        <v>1</v>
      </c>
      <c r="R1387" s="135">
        <v>0</v>
      </c>
      <c r="S1387" s="133" t="s">
        <v>112</v>
      </c>
      <c r="T1387" s="135" t="s">
        <v>112</v>
      </c>
      <c r="U1387" s="135" t="s">
        <v>122</v>
      </c>
      <c r="V1387" s="135" t="s">
        <v>115</v>
      </c>
      <c r="W1387" s="135" t="s">
        <v>115</v>
      </c>
      <c r="X1387" s="135" t="s">
        <v>115</v>
      </c>
      <c r="Y1387" s="135" t="s">
        <v>115</v>
      </c>
      <c r="AB1387" s="135" t="s">
        <v>115</v>
      </c>
      <c r="AC1387" s="137" t="s">
        <v>115</v>
      </c>
      <c r="AD1387" s="137"/>
      <c r="AH1387" s="135">
        <v>0</v>
      </c>
      <c r="AI1387" s="135">
        <v>0</v>
      </c>
      <c r="AJ1387" s="135">
        <v>0</v>
      </c>
      <c r="AK1387" s="135">
        <v>0</v>
      </c>
      <c r="AL1387" s="135">
        <v>14</v>
      </c>
      <c r="AM1387" s="135">
        <v>0</v>
      </c>
      <c r="AN1387" s="135">
        <f t="shared" si="22"/>
        <v>14</v>
      </c>
      <c r="AO1387" s="135" t="s">
        <v>103</v>
      </c>
      <c r="AS1387" s="133"/>
      <c r="AT1387" s="133"/>
      <c r="AU1387" s="133"/>
      <c r="AV1387" s="133"/>
    </row>
    <row r="1388" spans="1:48" s="135" customFormat="1" x14ac:dyDescent="0.2">
      <c r="A1388" s="133" t="s">
        <v>298</v>
      </c>
      <c r="B1388" s="133" t="s">
        <v>299</v>
      </c>
      <c r="C1388" s="133">
        <v>3</v>
      </c>
      <c r="D1388" s="133">
        <v>2</v>
      </c>
      <c r="E1388" s="133" t="s">
        <v>5052</v>
      </c>
      <c r="F1388" s="138">
        <v>43347</v>
      </c>
      <c r="G1388" s="136" t="s">
        <v>4032</v>
      </c>
      <c r="H1388" s="136" t="s">
        <v>4724</v>
      </c>
      <c r="I1388" s="148">
        <v>4.5833333333333337E-2</v>
      </c>
      <c r="J1388" s="174">
        <v>7.6388888888888893E-4</v>
      </c>
      <c r="K1388" s="139">
        <v>66</v>
      </c>
      <c r="L1388" s="133"/>
      <c r="M1388" s="133" t="s">
        <v>241</v>
      </c>
      <c r="N1388" s="133" t="s">
        <v>187</v>
      </c>
      <c r="O1388" s="133" t="s">
        <v>23</v>
      </c>
      <c r="P1388" s="133" t="s">
        <v>24</v>
      </c>
      <c r="Q1388" s="133"/>
      <c r="R1388" s="133">
        <v>1</v>
      </c>
      <c r="S1388" s="133" t="s">
        <v>176</v>
      </c>
      <c r="T1388" s="133" t="s">
        <v>176</v>
      </c>
      <c r="U1388" s="133" t="s">
        <v>122</v>
      </c>
      <c r="V1388" s="133" t="s">
        <v>2068</v>
      </c>
      <c r="W1388" s="135" t="s">
        <v>23</v>
      </c>
      <c r="X1388" s="135" t="s">
        <v>3997</v>
      </c>
      <c r="Y1388" s="135" t="s">
        <v>4005</v>
      </c>
      <c r="AB1388" s="133" t="s">
        <v>176</v>
      </c>
      <c r="AC1388" s="134" t="s">
        <v>246</v>
      </c>
      <c r="AD1388" s="134"/>
      <c r="AH1388" s="133">
        <v>0</v>
      </c>
      <c r="AI1388" s="133">
        <v>0</v>
      </c>
      <c r="AJ1388" s="133">
        <v>0</v>
      </c>
      <c r="AK1388" s="133">
        <v>0</v>
      </c>
      <c r="AL1388" s="133">
        <v>0</v>
      </c>
      <c r="AM1388" s="133">
        <v>0</v>
      </c>
      <c r="AN1388" s="133">
        <f t="shared" si="22"/>
        <v>0</v>
      </c>
      <c r="AO1388" s="133"/>
      <c r="AP1388" s="133" t="s">
        <v>2058</v>
      </c>
      <c r="AQ1388" s="133"/>
      <c r="AR1388" s="133"/>
      <c r="AS1388" s="133"/>
      <c r="AT1388" s="133"/>
      <c r="AU1388" s="133"/>
      <c r="AV1388" s="133"/>
    </row>
    <row r="1389" spans="1:48" s="135" customFormat="1" x14ac:dyDescent="0.2">
      <c r="A1389" s="135" t="s">
        <v>298</v>
      </c>
      <c r="B1389" s="135" t="s">
        <v>299</v>
      </c>
      <c r="C1389" s="135">
        <v>3</v>
      </c>
      <c r="D1389" s="135">
        <v>1</v>
      </c>
      <c r="E1389" s="135" t="s">
        <v>5052</v>
      </c>
      <c r="F1389" s="136">
        <v>43347</v>
      </c>
      <c r="G1389" s="136" t="s">
        <v>4032</v>
      </c>
      <c r="H1389" s="136" t="s">
        <v>4724</v>
      </c>
      <c r="I1389" s="172">
        <v>4.5833333333333337E-2</v>
      </c>
      <c r="J1389" s="175">
        <v>7.6388888888888893E-4</v>
      </c>
      <c r="K1389" s="143">
        <v>66</v>
      </c>
      <c r="M1389" s="135" t="s">
        <v>241</v>
      </c>
      <c r="N1389" s="135" t="s">
        <v>187</v>
      </c>
      <c r="O1389" s="135" t="s">
        <v>23</v>
      </c>
      <c r="P1389" s="135">
        <v>1</v>
      </c>
      <c r="R1389" s="135">
        <v>1</v>
      </c>
      <c r="S1389" s="133" t="s">
        <v>176</v>
      </c>
      <c r="T1389" s="135" t="s">
        <v>176</v>
      </c>
      <c r="U1389" s="135" t="s">
        <v>122</v>
      </c>
      <c r="V1389" s="135" t="s">
        <v>3963</v>
      </c>
      <c r="W1389" s="135" t="s">
        <v>23</v>
      </c>
      <c r="X1389" s="135" t="s">
        <v>3997</v>
      </c>
      <c r="Y1389" s="135" t="s">
        <v>4007</v>
      </c>
      <c r="Z1389" s="133"/>
      <c r="AA1389" s="133"/>
      <c r="AB1389" s="135" t="s">
        <v>176</v>
      </c>
      <c r="AC1389" s="137" t="s">
        <v>246</v>
      </c>
      <c r="AD1389" s="137"/>
      <c r="AE1389" s="133"/>
      <c r="AF1389" s="133"/>
      <c r="AG1389" s="133"/>
      <c r="AH1389" s="135">
        <v>0</v>
      </c>
      <c r="AI1389" s="135">
        <v>0</v>
      </c>
      <c r="AJ1389" s="135">
        <v>0</v>
      </c>
      <c r="AK1389" s="135">
        <v>0</v>
      </c>
      <c r="AL1389" s="135">
        <v>6</v>
      </c>
      <c r="AM1389" s="135">
        <v>0</v>
      </c>
      <c r="AN1389" s="135">
        <f t="shared" si="22"/>
        <v>6</v>
      </c>
      <c r="AP1389" s="135" t="s">
        <v>2057</v>
      </c>
    </row>
    <row r="1390" spans="1:48" s="135" customFormat="1" x14ac:dyDescent="0.2">
      <c r="A1390" s="135" t="s">
        <v>300</v>
      </c>
      <c r="B1390" s="135" t="s">
        <v>301</v>
      </c>
      <c r="C1390" s="135">
        <v>4</v>
      </c>
      <c r="D1390" s="135">
        <v>1</v>
      </c>
      <c r="E1390" s="135" t="s">
        <v>5052</v>
      </c>
      <c r="F1390" s="136">
        <v>43347</v>
      </c>
      <c r="G1390" s="136" t="s">
        <v>4032</v>
      </c>
      <c r="H1390" s="136" t="s">
        <v>4724</v>
      </c>
      <c r="I1390" s="172">
        <v>0.1013888888888889</v>
      </c>
      <c r="J1390" s="175">
        <v>1.689814814814815E-3</v>
      </c>
      <c r="K1390" s="143">
        <v>146</v>
      </c>
      <c r="M1390" s="135" t="s">
        <v>241</v>
      </c>
      <c r="N1390" s="135" t="s">
        <v>302</v>
      </c>
      <c r="O1390" s="135" t="s">
        <v>23</v>
      </c>
      <c r="P1390" s="135">
        <v>1</v>
      </c>
      <c r="R1390" s="135">
        <v>1</v>
      </c>
      <c r="S1390" s="133" t="s">
        <v>176</v>
      </c>
      <c r="T1390" s="135" t="s">
        <v>176</v>
      </c>
      <c r="U1390" s="135" t="s">
        <v>122</v>
      </c>
      <c r="V1390" s="135" t="s">
        <v>4009</v>
      </c>
      <c r="W1390" s="135" t="s">
        <v>23</v>
      </c>
      <c r="X1390" s="135" t="s">
        <v>3999</v>
      </c>
      <c r="Y1390" s="135" t="s">
        <v>4006</v>
      </c>
      <c r="Z1390" s="133"/>
      <c r="AA1390" s="133"/>
      <c r="AB1390" s="135" t="s">
        <v>176</v>
      </c>
      <c r="AC1390" s="137">
        <v>63.721440000000001</v>
      </c>
      <c r="AD1390" s="137">
        <v>148.95258000000001</v>
      </c>
      <c r="AE1390" s="133"/>
      <c r="AF1390" s="133"/>
      <c r="AG1390" s="133"/>
      <c r="AH1390" s="135">
        <v>0</v>
      </c>
      <c r="AI1390" s="135">
        <v>0</v>
      </c>
      <c r="AJ1390" s="135">
        <v>0</v>
      </c>
      <c r="AK1390" s="135">
        <v>0</v>
      </c>
      <c r="AL1390" s="135">
        <v>91</v>
      </c>
      <c r="AM1390" s="135">
        <v>0</v>
      </c>
      <c r="AN1390" s="135">
        <f t="shared" ref="AN1390:AN1453" si="23">SUM(AJ1390:AM1390)</f>
        <v>91</v>
      </c>
      <c r="AO1390" s="135" t="s">
        <v>303</v>
      </c>
      <c r="AP1390" s="135" t="s">
        <v>304</v>
      </c>
      <c r="AS1390" s="133"/>
      <c r="AT1390" s="133"/>
      <c r="AU1390" s="133"/>
      <c r="AV1390" s="133"/>
    </row>
    <row r="1391" spans="1:48" s="135" customFormat="1" x14ac:dyDescent="0.2">
      <c r="A1391" s="135" t="s">
        <v>305</v>
      </c>
      <c r="B1391" s="135" t="s">
        <v>306</v>
      </c>
      <c r="C1391" s="135">
        <v>5</v>
      </c>
      <c r="D1391" s="135">
        <v>1</v>
      </c>
      <c r="E1391" s="135" t="s">
        <v>5052</v>
      </c>
      <c r="F1391" s="136">
        <v>43347</v>
      </c>
      <c r="G1391" s="136" t="s">
        <v>4032</v>
      </c>
      <c r="H1391" s="136" t="s">
        <v>4724</v>
      </c>
      <c r="I1391" s="172">
        <v>9.0972222222222218E-2</v>
      </c>
      <c r="J1391" s="175">
        <v>1.5162037037037036E-3</v>
      </c>
      <c r="K1391" s="143">
        <v>131</v>
      </c>
      <c r="M1391" s="135" t="s">
        <v>241</v>
      </c>
      <c r="N1391" s="135" t="s">
        <v>187</v>
      </c>
      <c r="O1391" s="135" t="s">
        <v>23</v>
      </c>
      <c r="P1391" s="135">
        <v>1</v>
      </c>
      <c r="R1391" s="135">
        <v>1</v>
      </c>
      <c r="S1391" s="133" t="s">
        <v>112</v>
      </c>
      <c r="T1391" s="135" t="s">
        <v>112</v>
      </c>
      <c r="U1391" s="135" t="s">
        <v>122</v>
      </c>
      <c r="V1391" s="135" t="s">
        <v>3978</v>
      </c>
      <c r="W1391" s="135" t="s">
        <v>23</v>
      </c>
      <c r="X1391" s="135" t="s">
        <v>3997</v>
      </c>
      <c r="Y1391" s="135" t="s">
        <v>4007</v>
      </c>
      <c r="AB1391" s="135" t="s">
        <v>176</v>
      </c>
      <c r="AC1391" s="137">
        <v>63.721400000000003</v>
      </c>
      <c r="AD1391" s="137">
        <v>148.95255</v>
      </c>
      <c r="AH1391" s="135">
        <v>0</v>
      </c>
      <c r="AI1391" s="135">
        <v>0</v>
      </c>
      <c r="AJ1391" s="135">
        <v>0</v>
      </c>
      <c r="AK1391" s="135">
        <v>0</v>
      </c>
      <c r="AL1391" s="135">
        <v>30</v>
      </c>
      <c r="AM1391" s="135">
        <v>0</v>
      </c>
      <c r="AN1391" s="135">
        <f t="shared" si="23"/>
        <v>30</v>
      </c>
      <c r="AO1391" s="135" t="s">
        <v>103</v>
      </c>
      <c r="AS1391" s="133"/>
      <c r="AT1391" s="133"/>
      <c r="AU1391" s="133"/>
      <c r="AV1391" s="133"/>
    </row>
    <row r="1392" spans="1:48" s="135" customFormat="1" x14ac:dyDescent="0.2">
      <c r="A1392" s="135" t="s">
        <v>307</v>
      </c>
      <c r="B1392" s="135" t="s">
        <v>308</v>
      </c>
      <c r="C1392" s="135">
        <v>6</v>
      </c>
      <c r="D1392" s="135">
        <v>1</v>
      </c>
      <c r="E1392" s="135" t="s">
        <v>5052</v>
      </c>
      <c r="F1392" s="136">
        <v>43347</v>
      </c>
      <c r="G1392" s="136" t="s">
        <v>4032</v>
      </c>
      <c r="H1392" s="136" t="s">
        <v>4724</v>
      </c>
      <c r="I1392" s="172">
        <v>0.10555555555555556</v>
      </c>
      <c r="J1392" s="175">
        <v>1.7592592592592592E-3</v>
      </c>
      <c r="K1392" s="143">
        <v>152</v>
      </c>
      <c r="M1392" s="135" t="s">
        <v>241</v>
      </c>
      <c r="N1392" s="135" t="s">
        <v>102</v>
      </c>
      <c r="O1392" s="135" t="s">
        <v>23</v>
      </c>
      <c r="P1392" s="135">
        <v>1</v>
      </c>
      <c r="R1392" s="135">
        <v>0</v>
      </c>
      <c r="S1392" s="133" t="s">
        <v>176</v>
      </c>
      <c r="T1392" s="135" t="s">
        <v>176</v>
      </c>
      <c r="U1392" s="135" t="s">
        <v>122</v>
      </c>
      <c r="V1392" s="135" t="s">
        <v>115</v>
      </c>
      <c r="W1392" s="135" t="s">
        <v>115</v>
      </c>
      <c r="X1392" s="135" t="s">
        <v>115</v>
      </c>
      <c r="Y1392" s="135" t="s">
        <v>115</v>
      </c>
      <c r="Z1392" s="133"/>
      <c r="AA1392" s="133"/>
      <c r="AB1392" s="135" t="s">
        <v>115</v>
      </c>
      <c r="AC1392" s="137" t="s">
        <v>115</v>
      </c>
      <c r="AD1392" s="137"/>
      <c r="AE1392" s="133"/>
      <c r="AF1392" s="133"/>
      <c r="AG1392" s="133"/>
      <c r="AH1392" s="135">
        <v>0</v>
      </c>
      <c r="AI1392" s="135">
        <v>2</v>
      </c>
      <c r="AJ1392" s="135">
        <v>0</v>
      </c>
      <c r="AK1392" s="135">
        <v>2</v>
      </c>
      <c r="AL1392" s="143">
        <v>125</v>
      </c>
      <c r="AM1392" s="135">
        <v>0</v>
      </c>
      <c r="AN1392" s="135">
        <f t="shared" si="23"/>
        <v>127</v>
      </c>
      <c r="AR1392" s="135">
        <v>6</v>
      </c>
      <c r="AS1392" s="133"/>
      <c r="AT1392" s="133"/>
      <c r="AU1392" s="133"/>
      <c r="AV1392" s="133"/>
    </row>
    <row r="1393" spans="1:48" s="135" customFormat="1" x14ac:dyDescent="0.2">
      <c r="A1393" s="133" t="s">
        <v>307</v>
      </c>
      <c r="B1393" s="133" t="s">
        <v>308</v>
      </c>
      <c r="C1393" s="133">
        <v>6</v>
      </c>
      <c r="D1393" s="133">
        <v>2</v>
      </c>
      <c r="E1393" s="133" t="s">
        <v>5052</v>
      </c>
      <c r="F1393" s="138">
        <v>43347</v>
      </c>
      <c r="G1393" s="136" t="s">
        <v>4032</v>
      </c>
      <c r="H1393" s="136" t="s">
        <v>4724</v>
      </c>
      <c r="I1393" s="148">
        <v>0.10555555555555556</v>
      </c>
      <c r="J1393" s="174">
        <v>1.7592592592592592E-3</v>
      </c>
      <c r="K1393" s="139">
        <v>152</v>
      </c>
      <c r="L1393" s="133"/>
      <c r="M1393" s="133" t="s">
        <v>241</v>
      </c>
      <c r="N1393" s="133" t="s">
        <v>102</v>
      </c>
      <c r="O1393" s="133" t="s">
        <v>23</v>
      </c>
      <c r="P1393" s="133">
        <v>1</v>
      </c>
      <c r="Q1393" s="133"/>
      <c r="R1393" s="133">
        <v>0</v>
      </c>
      <c r="S1393" s="133" t="s">
        <v>176</v>
      </c>
      <c r="T1393" s="133" t="s">
        <v>176</v>
      </c>
      <c r="U1393" s="133" t="s">
        <v>2059</v>
      </c>
      <c r="V1393" s="133" t="s">
        <v>115</v>
      </c>
      <c r="W1393" s="135" t="s">
        <v>115</v>
      </c>
      <c r="X1393" s="135" t="s">
        <v>115</v>
      </c>
      <c r="Y1393" s="135" t="s">
        <v>115</v>
      </c>
      <c r="AB1393" s="133" t="s">
        <v>115</v>
      </c>
      <c r="AC1393" s="134" t="s">
        <v>115</v>
      </c>
      <c r="AD1393" s="134"/>
      <c r="AH1393" s="133">
        <v>0</v>
      </c>
      <c r="AI1393" s="133">
        <v>0</v>
      </c>
      <c r="AJ1393" s="133">
        <v>0</v>
      </c>
      <c r="AK1393" s="133">
        <v>0</v>
      </c>
      <c r="AL1393" s="139">
        <v>0</v>
      </c>
      <c r="AM1393" s="133">
        <v>0</v>
      </c>
      <c r="AN1393" s="133">
        <f t="shared" si="23"/>
        <v>0</v>
      </c>
      <c r="AO1393" s="133"/>
      <c r="AP1393" s="133" t="s">
        <v>4898</v>
      </c>
      <c r="AQ1393" s="133"/>
      <c r="AR1393" s="133">
        <v>6</v>
      </c>
    </row>
    <row r="1394" spans="1:48" s="133" customFormat="1" x14ac:dyDescent="0.2">
      <c r="A1394" s="135" t="s">
        <v>309</v>
      </c>
      <c r="B1394" s="135" t="s">
        <v>313</v>
      </c>
      <c r="C1394" s="135">
        <v>7</v>
      </c>
      <c r="D1394" s="135">
        <v>1</v>
      </c>
      <c r="E1394" s="135" t="s">
        <v>5052</v>
      </c>
      <c r="F1394" s="136">
        <v>43347</v>
      </c>
      <c r="G1394" s="136" t="s">
        <v>4032</v>
      </c>
      <c r="H1394" s="136" t="s">
        <v>4724</v>
      </c>
      <c r="I1394" s="172">
        <v>6.6666666666666666E-2</v>
      </c>
      <c r="J1394" s="175">
        <v>1.1111111111111111E-3</v>
      </c>
      <c r="K1394" s="143">
        <v>96</v>
      </c>
      <c r="L1394" s="135"/>
      <c r="M1394" s="135" t="s">
        <v>241</v>
      </c>
      <c r="N1394" s="135" t="s">
        <v>187</v>
      </c>
      <c r="O1394" s="135" t="s">
        <v>23</v>
      </c>
      <c r="P1394" s="135">
        <v>1</v>
      </c>
      <c r="Q1394" s="135"/>
      <c r="R1394" s="135">
        <v>1</v>
      </c>
      <c r="S1394" s="133" t="s">
        <v>14</v>
      </c>
      <c r="T1394" s="135" t="s">
        <v>2128</v>
      </c>
      <c r="U1394" s="135" t="s">
        <v>122</v>
      </c>
      <c r="V1394" s="135" t="s">
        <v>1271</v>
      </c>
      <c r="W1394" s="135" t="s">
        <v>23</v>
      </c>
      <c r="X1394" s="135" t="s">
        <v>3997</v>
      </c>
      <c r="Y1394" s="135" t="s">
        <v>4006</v>
      </c>
      <c r="Z1394" s="135"/>
      <c r="AA1394" s="135"/>
      <c r="AB1394" s="135" t="s">
        <v>24</v>
      </c>
      <c r="AC1394" s="137" t="s">
        <v>246</v>
      </c>
      <c r="AD1394" s="137"/>
      <c r="AE1394" s="135"/>
      <c r="AF1394" s="135"/>
      <c r="AG1394" s="135"/>
      <c r="AH1394" s="135">
        <v>0</v>
      </c>
      <c r="AI1394" s="135">
        <v>0</v>
      </c>
      <c r="AJ1394" s="135">
        <v>0</v>
      </c>
      <c r="AK1394" s="135">
        <v>0</v>
      </c>
      <c r="AL1394" s="135">
        <v>24</v>
      </c>
      <c r="AM1394" s="135">
        <v>0</v>
      </c>
      <c r="AN1394" s="135">
        <f t="shared" si="23"/>
        <v>24</v>
      </c>
      <c r="AO1394" s="135"/>
      <c r="AP1394" s="135" t="s">
        <v>310</v>
      </c>
      <c r="AQ1394" s="135"/>
      <c r="AR1394" s="135"/>
    </row>
    <row r="1395" spans="1:48" s="133" customFormat="1" x14ac:dyDescent="0.2">
      <c r="A1395" s="133" t="s">
        <v>311</v>
      </c>
      <c r="B1395" s="133" t="s">
        <v>312</v>
      </c>
      <c r="C1395" s="133">
        <v>8</v>
      </c>
      <c r="D1395" s="133">
        <v>1</v>
      </c>
      <c r="E1395" s="133" t="s">
        <v>5052</v>
      </c>
      <c r="F1395" s="138">
        <v>43347</v>
      </c>
      <c r="G1395" s="136" t="s">
        <v>4032</v>
      </c>
      <c r="H1395" s="136" t="s">
        <v>4724</v>
      </c>
      <c r="I1395" s="148">
        <v>4.6527777777777779E-2</v>
      </c>
      <c r="J1395" s="174">
        <v>7.7546296296296304E-4</v>
      </c>
      <c r="K1395" s="139">
        <v>67</v>
      </c>
      <c r="M1395" s="133" t="s">
        <v>241</v>
      </c>
      <c r="N1395" s="133" t="s">
        <v>159</v>
      </c>
      <c r="O1395" s="133" t="s">
        <v>23</v>
      </c>
      <c r="P1395" s="133">
        <v>0</v>
      </c>
      <c r="R1395" s="133">
        <v>1</v>
      </c>
      <c r="S1395" s="133" t="s">
        <v>176</v>
      </c>
      <c r="T1395" s="133" t="s">
        <v>176</v>
      </c>
      <c r="U1395" s="133" t="s">
        <v>24</v>
      </c>
      <c r="V1395" s="133" t="s">
        <v>263</v>
      </c>
      <c r="W1395" s="135" t="s">
        <v>23</v>
      </c>
      <c r="X1395" s="135" t="s">
        <v>4004</v>
      </c>
      <c r="Y1395" s="135" t="s">
        <v>4005</v>
      </c>
      <c r="AB1395" s="133" t="s">
        <v>24</v>
      </c>
      <c r="AC1395" s="134">
        <v>63.721640000000001</v>
      </c>
      <c r="AD1395" s="134">
        <v>148.95113000000001</v>
      </c>
      <c r="AH1395" s="133">
        <v>0</v>
      </c>
      <c r="AI1395" s="133">
        <v>0</v>
      </c>
      <c r="AJ1395" s="133">
        <v>0</v>
      </c>
      <c r="AK1395" s="133">
        <v>0</v>
      </c>
      <c r="AL1395" s="133">
        <v>0</v>
      </c>
      <c r="AM1395" s="133">
        <v>0</v>
      </c>
      <c r="AN1395" s="133">
        <f t="shared" si="23"/>
        <v>0</v>
      </c>
      <c r="AP1395" s="133" t="s">
        <v>314</v>
      </c>
    </row>
    <row r="1396" spans="1:48" s="133" customFormat="1" x14ac:dyDescent="0.2">
      <c r="A1396" s="135" t="s">
        <v>315</v>
      </c>
      <c r="B1396" s="135" t="s">
        <v>316</v>
      </c>
      <c r="C1396" s="135">
        <v>9</v>
      </c>
      <c r="D1396" s="135">
        <v>1</v>
      </c>
      <c r="E1396" s="135" t="s">
        <v>5052</v>
      </c>
      <c r="F1396" s="136">
        <v>43347</v>
      </c>
      <c r="G1396" s="136" t="s">
        <v>4032</v>
      </c>
      <c r="H1396" s="136" t="s">
        <v>4724</v>
      </c>
      <c r="I1396" s="172">
        <v>6.0416666666666667E-2</v>
      </c>
      <c r="J1396" s="175">
        <v>1.0069444444444444E-3</v>
      </c>
      <c r="K1396" s="143">
        <v>87</v>
      </c>
      <c r="L1396" s="135"/>
      <c r="M1396" s="135" t="s">
        <v>241</v>
      </c>
      <c r="N1396" s="135" t="s">
        <v>187</v>
      </c>
      <c r="O1396" s="135" t="s">
        <v>23</v>
      </c>
      <c r="P1396" s="135">
        <v>1</v>
      </c>
      <c r="Q1396" s="135"/>
      <c r="R1396" s="135">
        <v>0</v>
      </c>
      <c r="S1396" s="133" t="s">
        <v>176</v>
      </c>
      <c r="T1396" s="135" t="s">
        <v>176</v>
      </c>
      <c r="U1396" s="135" t="s">
        <v>122</v>
      </c>
      <c r="V1396" s="135" t="s">
        <v>115</v>
      </c>
      <c r="W1396" s="135" t="s">
        <v>115</v>
      </c>
      <c r="X1396" s="135" t="s">
        <v>115</v>
      </c>
      <c r="Y1396" s="135" t="s">
        <v>115</v>
      </c>
      <c r="AB1396" s="135" t="s">
        <v>115</v>
      </c>
      <c r="AC1396" s="137" t="s">
        <v>115</v>
      </c>
      <c r="AD1396" s="137"/>
      <c r="AH1396" s="135">
        <v>0</v>
      </c>
      <c r="AI1396" s="135">
        <v>0</v>
      </c>
      <c r="AJ1396" s="135">
        <v>0</v>
      </c>
      <c r="AK1396" s="135">
        <v>0</v>
      </c>
      <c r="AL1396" s="135">
        <v>22</v>
      </c>
      <c r="AM1396" s="135">
        <v>0</v>
      </c>
      <c r="AN1396" s="135">
        <f t="shared" si="23"/>
        <v>22</v>
      </c>
      <c r="AO1396" s="135"/>
      <c r="AP1396" s="135"/>
      <c r="AQ1396" s="135"/>
      <c r="AR1396" s="135"/>
    </row>
    <row r="1397" spans="1:48" s="133" customFormat="1" x14ac:dyDescent="0.2">
      <c r="A1397" s="133" t="s">
        <v>315</v>
      </c>
      <c r="B1397" s="133" t="s">
        <v>316</v>
      </c>
      <c r="C1397" s="133">
        <v>9</v>
      </c>
      <c r="D1397" s="133">
        <v>2</v>
      </c>
      <c r="E1397" s="133" t="s">
        <v>5052</v>
      </c>
      <c r="F1397" s="138">
        <v>43347</v>
      </c>
      <c r="G1397" s="136" t="s">
        <v>4032</v>
      </c>
      <c r="H1397" s="136" t="s">
        <v>4724</v>
      </c>
      <c r="I1397" s="148">
        <v>6.0416666666666667E-2</v>
      </c>
      <c r="J1397" s="174">
        <v>1.0069444444444444E-3</v>
      </c>
      <c r="K1397" s="139">
        <v>87</v>
      </c>
      <c r="M1397" s="133" t="s">
        <v>241</v>
      </c>
      <c r="N1397" s="133" t="s">
        <v>187</v>
      </c>
      <c r="O1397" s="133" t="s">
        <v>23</v>
      </c>
      <c r="P1397" s="133">
        <v>1</v>
      </c>
      <c r="R1397" s="133">
        <v>1</v>
      </c>
      <c r="S1397" s="133" t="s">
        <v>14</v>
      </c>
      <c r="T1397" s="133" t="s">
        <v>2128</v>
      </c>
      <c r="U1397" s="133" t="s">
        <v>122</v>
      </c>
      <c r="V1397" s="133" t="s">
        <v>3963</v>
      </c>
      <c r="W1397" s="135" t="s">
        <v>23</v>
      </c>
      <c r="X1397" s="135" t="s">
        <v>3997</v>
      </c>
      <c r="Y1397" s="135" t="s">
        <v>4007</v>
      </c>
      <c r="AB1397" s="133" t="s">
        <v>176</v>
      </c>
      <c r="AC1397" s="134">
        <v>63.721629999999998</v>
      </c>
      <c r="AD1397" s="134">
        <v>148.95177000000001</v>
      </c>
      <c r="AH1397" s="133">
        <v>0</v>
      </c>
      <c r="AI1397" s="133">
        <v>0</v>
      </c>
      <c r="AJ1397" s="133">
        <v>0</v>
      </c>
      <c r="AK1397" s="133">
        <v>0</v>
      </c>
      <c r="AL1397" s="133">
        <v>0</v>
      </c>
      <c r="AM1397" s="133">
        <v>0</v>
      </c>
      <c r="AN1397" s="133">
        <f t="shared" si="23"/>
        <v>0</v>
      </c>
    </row>
    <row r="1398" spans="1:48" s="133" customFormat="1" x14ac:dyDescent="0.2">
      <c r="A1398" s="133" t="s">
        <v>321</v>
      </c>
      <c r="B1398" s="133" t="s">
        <v>317</v>
      </c>
      <c r="C1398" s="133">
        <v>10</v>
      </c>
      <c r="D1398" s="133">
        <v>2</v>
      </c>
      <c r="E1398" s="133" t="s">
        <v>5052</v>
      </c>
      <c r="F1398" s="138">
        <v>43347</v>
      </c>
      <c r="G1398" s="136" t="s">
        <v>4032</v>
      </c>
      <c r="H1398" s="136" t="s">
        <v>4724</v>
      </c>
      <c r="I1398" s="148">
        <v>6.25E-2</v>
      </c>
      <c r="J1398" s="174">
        <v>1.0416666666666667E-3</v>
      </c>
      <c r="K1398" s="139">
        <v>90</v>
      </c>
      <c r="M1398" s="133" t="s">
        <v>241</v>
      </c>
      <c r="N1398" s="133" t="s">
        <v>102</v>
      </c>
      <c r="O1398" s="133" t="s">
        <v>23</v>
      </c>
      <c r="P1398" s="133">
        <v>1</v>
      </c>
      <c r="R1398" s="133">
        <v>0</v>
      </c>
      <c r="S1398" s="133" t="s">
        <v>598</v>
      </c>
      <c r="T1398" s="133" t="s">
        <v>2108</v>
      </c>
      <c r="U1398" s="133" t="s">
        <v>122</v>
      </c>
      <c r="V1398" s="133" t="s">
        <v>115</v>
      </c>
      <c r="W1398" s="135" t="s">
        <v>115</v>
      </c>
      <c r="X1398" s="135" t="s">
        <v>115</v>
      </c>
      <c r="Y1398" s="135" t="s">
        <v>115</v>
      </c>
      <c r="AB1398" s="133" t="s">
        <v>115</v>
      </c>
      <c r="AC1398" s="134" t="s">
        <v>115</v>
      </c>
      <c r="AD1398" s="134"/>
      <c r="AH1398" s="133">
        <v>0</v>
      </c>
      <c r="AI1398" s="133">
        <v>0</v>
      </c>
      <c r="AJ1398" s="133">
        <v>0</v>
      </c>
      <c r="AK1398" s="133">
        <v>0</v>
      </c>
      <c r="AL1398" s="133">
        <v>0</v>
      </c>
      <c r="AM1398" s="133">
        <v>0</v>
      </c>
      <c r="AN1398" s="133">
        <f t="shared" si="23"/>
        <v>0</v>
      </c>
      <c r="AO1398" s="133" t="s">
        <v>103</v>
      </c>
    </row>
    <row r="1399" spans="1:48" s="133" customFormat="1" x14ac:dyDescent="0.2">
      <c r="A1399" s="135" t="s">
        <v>321</v>
      </c>
      <c r="B1399" s="135" t="s">
        <v>317</v>
      </c>
      <c r="C1399" s="135">
        <v>10</v>
      </c>
      <c r="D1399" s="135">
        <v>1</v>
      </c>
      <c r="E1399" s="135" t="s">
        <v>5052</v>
      </c>
      <c r="F1399" s="136">
        <v>43347</v>
      </c>
      <c r="G1399" s="136" t="s">
        <v>4032</v>
      </c>
      <c r="H1399" s="136" t="s">
        <v>4724</v>
      </c>
      <c r="I1399" s="172">
        <v>6.25E-2</v>
      </c>
      <c r="J1399" s="175">
        <v>1.0416666666666667E-3</v>
      </c>
      <c r="K1399" s="143">
        <v>90</v>
      </c>
      <c r="L1399" s="135"/>
      <c r="M1399" s="135" t="s">
        <v>241</v>
      </c>
      <c r="N1399" s="135" t="s">
        <v>111</v>
      </c>
      <c r="O1399" s="135" t="s">
        <v>23</v>
      </c>
      <c r="P1399" s="135">
        <v>0</v>
      </c>
      <c r="Q1399" s="135"/>
      <c r="R1399" s="135">
        <v>1</v>
      </c>
      <c r="S1399" s="133" t="s">
        <v>176</v>
      </c>
      <c r="T1399" s="135" t="s">
        <v>176</v>
      </c>
      <c r="U1399" s="135" t="s">
        <v>24</v>
      </c>
      <c r="V1399" s="133" t="s">
        <v>2068</v>
      </c>
      <c r="W1399" s="135" t="s">
        <v>23</v>
      </c>
      <c r="X1399" s="135" t="s">
        <v>3997</v>
      </c>
      <c r="Y1399" s="135" t="s">
        <v>4005</v>
      </c>
      <c r="AB1399" s="135" t="s">
        <v>176</v>
      </c>
      <c r="AC1399" s="137" t="s">
        <v>246</v>
      </c>
      <c r="AD1399" s="137"/>
      <c r="AH1399" s="135">
        <v>24</v>
      </c>
      <c r="AI1399" s="135">
        <v>0</v>
      </c>
      <c r="AJ1399" s="135">
        <v>0</v>
      </c>
      <c r="AK1399" s="135">
        <v>24</v>
      </c>
      <c r="AL1399" s="135">
        <v>32</v>
      </c>
      <c r="AM1399" s="135">
        <v>0</v>
      </c>
      <c r="AN1399" s="135">
        <f t="shared" si="23"/>
        <v>56</v>
      </c>
      <c r="AO1399" s="135" t="s">
        <v>103</v>
      </c>
      <c r="AP1399" s="135"/>
      <c r="AQ1399" s="135"/>
      <c r="AR1399" s="135"/>
    </row>
    <row r="1400" spans="1:48" s="135" customFormat="1" x14ac:dyDescent="0.2">
      <c r="A1400" s="135" t="s">
        <v>322</v>
      </c>
      <c r="B1400" s="135" t="s">
        <v>318</v>
      </c>
      <c r="C1400" s="135">
        <v>11</v>
      </c>
      <c r="D1400" s="135">
        <v>1</v>
      </c>
      <c r="E1400" s="135" t="s">
        <v>5052</v>
      </c>
      <c r="F1400" s="136">
        <v>43347</v>
      </c>
      <c r="G1400" s="136" t="s">
        <v>4032</v>
      </c>
      <c r="H1400" s="136" t="s">
        <v>4724</v>
      </c>
      <c r="I1400" s="172">
        <v>2.1527777777777781E-2</v>
      </c>
      <c r="J1400" s="175">
        <v>3.5879629629629635E-4</v>
      </c>
      <c r="K1400" s="143">
        <v>31</v>
      </c>
      <c r="M1400" s="135" t="s">
        <v>241</v>
      </c>
      <c r="N1400" s="135" t="s">
        <v>187</v>
      </c>
      <c r="O1400" s="135" t="s">
        <v>23</v>
      </c>
      <c r="P1400" s="135">
        <v>1</v>
      </c>
      <c r="R1400" s="135">
        <v>1</v>
      </c>
      <c r="S1400" s="133" t="s">
        <v>14</v>
      </c>
      <c r="T1400" s="135" t="s">
        <v>2128</v>
      </c>
      <c r="U1400" s="135" t="s">
        <v>122</v>
      </c>
      <c r="V1400" s="135" t="s">
        <v>134</v>
      </c>
      <c r="W1400" s="135" t="s">
        <v>23</v>
      </c>
      <c r="X1400" s="135" t="s">
        <v>24</v>
      </c>
      <c r="Y1400" s="135" t="s">
        <v>4006</v>
      </c>
      <c r="Z1400" s="133"/>
      <c r="AA1400" s="133"/>
      <c r="AB1400" s="135" t="s">
        <v>24</v>
      </c>
      <c r="AC1400" s="137">
        <v>63.721429999999998</v>
      </c>
      <c r="AD1400" s="137">
        <v>148.95343</v>
      </c>
      <c r="AE1400" s="133"/>
      <c r="AF1400" s="133"/>
      <c r="AG1400" s="133"/>
      <c r="AH1400" s="135">
        <v>0</v>
      </c>
      <c r="AI1400" s="135">
        <v>0</v>
      </c>
      <c r="AJ1400" s="135">
        <v>0</v>
      </c>
      <c r="AK1400" s="135">
        <v>0</v>
      </c>
      <c r="AL1400" s="135">
        <v>13</v>
      </c>
      <c r="AM1400" s="135">
        <v>0</v>
      </c>
      <c r="AN1400" s="135">
        <f t="shared" si="23"/>
        <v>13</v>
      </c>
      <c r="AO1400" s="135" t="s">
        <v>103</v>
      </c>
      <c r="AP1400" s="135" t="s">
        <v>4899</v>
      </c>
      <c r="AS1400" s="133"/>
      <c r="AT1400" s="133"/>
      <c r="AU1400" s="133"/>
      <c r="AV1400" s="133"/>
    </row>
    <row r="1401" spans="1:48" s="135" customFormat="1" ht="17" customHeight="1" x14ac:dyDescent="0.2">
      <c r="A1401" s="133" t="s">
        <v>553</v>
      </c>
      <c r="B1401" s="133" t="s">
        <v>554</v>
      </c>
      <c r="C1401" s="133">
        <v>1</v>
      </c>
      <c r="D1401" s="133">
        <v>1</v>
      </c>
      <c r="E1401" s="133" t="s">
        <v>272</v>
      </c>
      <c r="F1401" s="138">
        <v>43354</v>
      </c>
      <c r="G1401" s="136" t="s">
        <v>4032</v>
      </c>
      <c r="H1401" s="136" t="s">
        <v>4724</v>
      </c>
      <c r="I1401" s="148">
        <v>3.125E-2</v>
      </c>
      <c r="J1401" s="174">
        <v>5.2083333333333333E-4</v>
      </c>
      <c r="K1401" s="139">
        <v>45</v>
      </c>
      <c r="L1401" s="133" t="s">
        <v>483</v>
      </c>
      <c r="M1401" s="133" t="s">
        <v>241</v>
      </c>
      <c r="N1401" s="133" t="s">
        <v>102</v>
      </c>
      <c r="O1401" s="133" t="s">
        <v>23</v>
      </c>
      <c r="P1401" s="133">
        <v>1</v>
      </c>
      <c r="Q1401" s="133"/>
      <c r="R1401" s="133">
        <v>1</v>
      </c>
      <c r="S1401" s="133" t="s">
        <v>176</v>
      </c>
      <c r="T1401" s="133" t="s">
        <v>555</v>
      </c>
      <c r="U1401" s="133" t="s">
        <v>501</v>
      </c>
      <c r="V1401" s="133" t="s">
        <v>1035</v>
      </c>
      <c r="W1401" s="140" t="s">
        <v>23</v>
      </c>
      <c r="X1401" s="140" t="s">
        <v>3997</v>
      </c>
      <c r="Y1401" s="140" t="s">
        <v>4006</v>
      </c>
      <c r="Z1401" s="133"/>
      <c r="AA1401" s="133"/>
      <c r="AB1401" s="133" t="s">
        <v>176</v>
      </c>
      <c r="AC1401" s="134">
        <v>63.731929999999998</v>
      </c>
      <c r="AD1401" s="134">
        <v>148.8989</v>
      </c>
      <c r="AE1401" s="133"/>
      <c r="AF1401" s="133"/>
      <c r="AG1401" s="133"/>
      <c r="AH1401" s="139">
        <v>0</v>
      </c>
      <c r="AI1401" s="139">
        <v>0</v>
      </c>
      <c r="AJ1401" s="139">
        <v>0</v>
      </c>
      <c r="AK1401" s="139">
        <v>0</v>
      </c>
      <c r="AL1401" s="139">
        <v>0</v>
      </c>
      <c r="AM1401" s="133">
        <v>0</v>
      </c>
      <c r="AN1401" s="133">
        <f t="shared" si="23"/>
        <v>0</v>
      </c>
      <c r="AO1401" s="133"/>
      <c r="AP1401" s="133"/>
      <c r="AQ1401" s="133"/>
      <c r="AR1401" s="133"/>
    </row>
    <row r="1402" spans="1:48" s="135" customFormat="1" ht="19" customHeight="1" x14ac:dyDescent="0.2">
      <c r="A1402" s="133" t="s">
        <v>744</v>
      </c>
      <c r="B1402" s="133" t="s">
        <v>745</v>
      </c>
      <c r="C1402" s="133">
        <v>6</v>
      </c>
      <c r="D1402" s="133">
        <v>1</v>
      </c>
      <c r="E1402" s="133" t="s">
        <v>2487</v>
      </c>
      <c r="F1402" s="138">
        <v>43359</v>
      </c>
      <c r="G1402" s="136" t="s">
        <v>4032</v>
      </c>
      <c r="H1402" s="136" t="s">
        <v>4724</v>
      </c>
      <c r="I1402" s="148">
        <v>2.1527777777777781E-2</v>
      </c>
      <c r="J1402" s="174">
        <v>3.5879629629629635E-4</v>
      </c>
      <c r="K1402" s="139">
        <v>31</v>
      </c>
      <c r="L1402" s="133" t="s">
        <v>398</v>
      </c>
      <c r="M1402" s="133" t="s">
        <v>241</v>
      </c>
      <c r="N1402" s="133" t="s">
        <v>102</v>
      </c>
      <c r="O1402" s="133" t="s">
        <v>23</v>
      </c>
      <c r="P1402" s="133">
        <v>1</v>
      </c>
      <c r="Q1402" s="133"/>
      <c r="R1402" s="133">
        <v>0</v>
      </c>
      <c r="S1402" s="133" t="s">
        <v>176</v>
      </c>
      <c r="T1402" s="146" t="s">
        <v>746</v>
      </c>
      <c r="U1402" s="133" t="s">
        <v>747</v>
      </c>
      <c r="V1402" s="133" t="s">
        <v>115</v>
      </c>
      <c r="W1402" s="135" t="s">
        <v>115</v>
      </c>
      <c r="X1402" s="135" t="s">
        <v>115</v>
      </c>
      <c r="Y1402" s="135" t="s">
        <v>115</v>
      </c>
      <c r="Z1402" s="133"/>
      <c r="AA1402" s="133"/>
      <c r="AB1402" s="134" t="s">
        <v>115</v>
      </c>
      <c r="AC1402" s="134" t="s">
        <v>115</v>
      </c>
      <c r="AD1402" s="134"/>
      <c r="AE1402" s="133"/>
      <c r="AF1402" s="133"/>
      <c r="AG1402" s="133"/>
      <c r="AH1402" s="139">
        <v>8</v>
      </c>
      <c r="AI1402" s="139">
        <v>8</v>
      </c>
      <c r="AJ1402" s="139">
        <v>16</v>
      </c>
      <c r="AK1402" s="139">
        <v>0</v>
      </c>
      <c r="AL1402" s="139">
        <v>0</v>
      </c>
      <c r="AM1402" s="133">
        <v>0</v>
      </c>
      <c r="AN1402" s="133">
        <f t="shared" si="23"/>
        <v>16</v>
      </c>
      <c r="AO1402" s="133" t="s">
        <v>16</v>
      </c>
      <c r="AP1402" s="133"/>
      <c r="AQ1402" s="133">
        <v>0</v>
      </c>
      <c r="AR1402" s="133">
        <v>3</v>
      </c>
      <c r="AS1402" s="133"/>
      <c r="AT1402" s="133"/>
      <c r="AU1402" s="133"/>
      <c r="AV1402" s="133"/>
    </row>
    <row r="1403" spans="1:48" s="135" customFormat="1" x14ac:dyDescent="0.2">
      <c r="A1403" s="135" t="s">
        <v>748</v>
      </c>
      <c r="B1403" s="135" t="s">
        <v>749</v>
      </c>
      <c r="C1403" s="135">
        <v>1</v>
      </c>
      <c r="D1403" s="135">
        <v>1</v>
      </c>
      <c r="E1403" s="135" t="s">
        <v>272</v>
      </c>
      <c r="F1403" s="136">
        <v>43359</v>
      </c>
      <c r="G1403" s="136" t="s">
        <v>4032</v>
      </c>
      <c r="H1403" s="136" t="s">
        <v>4724</v>
      </c>
      <c r="I1403" s="172">
        <v>6.2499999999999995E-3</v>
      </c>
      <c r="J1403" s="175">
        <v>1.0416666666666667E-4</v>
      </c>
      <c r="K1403" s="143">
        <v>9</v>
      </c>
      <c r="L1403" s="135" t="s">
        <v>398</v>
      </c>
      <c r="M1403" s="135" t="s">
        <v>241</v>
      </c>
      <c r="N1403" s="135" t="s">
        <v>102</v>
      </c>
      <c r="O1403" s="135" t="s">
        <v>115</v>
      </c>
      <c r="P1403" s="135">
        <v>1</v>
      </c>
      <c r="R1403" s="135">
        <v>0</v>
      </c>
      <c r="S1403" s="133" t="s">
        <v>1618</v>
      </c>
      <c r="T1403" s="135" t="s">
        <v>2136</v>
      </c>
      <c r="U1403" s="135" t="s">
        <v>750</v>
      </c>
      <c r="V1403" s="135" t="s">
        <v>115</v>
      </c>
      <c r="W1403" s="135" t="s">
        <v>115</v>
      </c>
      <c r="X1403" s="135" t="s">
        <v>115</v>
      </c>
      <c r="Y1403" s="135" t="s">
        <v>115</v>
      </c>
      <c r="Z1403" s="133"/>
      <c r="AA1403" s="133"/>
      <c r="AB1403" s="137" t="s">
        <v>115</v>
      </c>
      <c r="AC1403" s="137" t="s">
        <v>115</v>
      </c>
      <c r="AD1403" s="137"/>
      <c r="AE1403" s="133"/>
      <c r="AF1403" s="133"/>
      <c r="AG1403" s="133"/>
      <c r="AH1403" s="143">
        <v>0</v>
      </c>
      <c r="AI1403" s="143">
        <v>0</v>
      </c>
      <c r="AJ1403" s="143">
        <v>0</v>
      </c>
      <c r="AK1403" s="143">
        <v>0</v>
      </c>
      <c r="AL1403" s="143">
        <v>9</v>
      </c>
      <c r="AM1403" s="135">
        <v>0</v>
      </c>
      <c r="AN1403" s="135">
        <f t="shared" si="23"/>
        <v>9</v>
      </c>
      <c r="AS1403" s="133"/>
      <c r="AT1403" s="133"/>
      <c r="AU1403" s="133"/>
      <c r="AV1403" s="133"/>
    </row>
    <row r="1404" spans="1:48" s="133" customFormat="1" x14ac:dyDescent="0.2">
      <c r="A1404" s="133" t="s">
        <v>751</v>
      </c>
      <c r="B1404" s="133" t="s">
        <v>752</v>
      </c>
      <c r="C1404" s="133">
        <v>2</v>
      </c>
      <c r="D1404" s="133">
        <v>1</v>
      </c>
      <c r="E1404" s="133" t="s">
        <v>272</v>
      </c>
      <c r="F1404" s="138">
        <v>43359</v>
      </c>
      <c r="G1404" s="136" t="s">
        <v>4032</v>
      </c>
      <c r="H1404" s="136" t="s">
        <v>4724</v>
      </c>
      <c r="I1404" s="148">
        <v>9.0277777777777787E-3</v>
      </c>
      <c r="J1404" s="174">
        <v>1.5046296296296297E-4</v>
      </c>
      <c r="K1404" s="139">
        <v>13</v>
      </c>
      <c r="L1404" s="133" t="s">
        <v>398</v>
      </c>
      <c r="M1404" s="133" t="s">
        <v>241</v>
      </c>
      <c r="N1404" s="133" t="s">
        <v>242</v>
      </c>
      <c r="O1404" s="133" t="s">
        <v>23</v>
      </c>
      <c r="P1404" s="133">
        <v>1</v>
      </c>
      <c r="R1404" s="133">
        <v>1</v>
      </c>
      <c r="S1404" s="133" t="s">
        <v>1618</v>
      </c>
      <c r="T1404" s="133" t="s">
        <v>2136</v>
      </c>
      <c r="U1404" s="133" t="s">
        <v>750</v>
      </c>
      <c r="V1404" s="133" t="s">
        <v>1035</v>
      </c>
      <c r="W1404" s="140" t="s">
        <v>23</v>
      </c>
      <c r="X1404" s="140" t="s">
        <v>3997</v>
      </c>
      <c r="Y1404" s="140" t="s">
        <v>4006</v>
      </c>
      <c r="AB1404" s="133" t="s">
        <v>176</v>
      </c>
      <c r="AC1404" s="134">
        <v>63.730119999999999</v>
      </c>
      <c r="AD1404" s="134">
        <v>148.90195</v>
      </c>
      <c r="AH1404" s="139">
        <v>0</v>
      </c>
      <c r="AI1404" s="139">
        <v>0</v>
      </c>
      <c r="AJ1404" s="139">
        <v>0</v>
      </c>
      <c r="AK1404" s="139">
        <v>0</v>
      </c>
      <c r="AL1404" s="139">
        <v>0</v>
      </c>
      <c r="AM1404" s="133">
        <v>0</v>
      </c>
      <c r="AN1404" s="133">
        <f t="shared" si="23"/>
        <v>0</v>
      </c>
      <c r="AP1404" s="133" t="s">
        <v>4952</v>
      </c>
    </row>
    <row r="1405" spans="1:48" s="133" customFormat="1" x14ac:dyDescent="0.2">
      <c r="A1405" s="133" t="s">
        <v>754</v>
      </c>
      <c r="B1405" s="133" t="s">
        <v>755</v>
      </c>
      <c r="C1405" s="133">
        <v>3</v>
      </c>
      <c r="D1405" s="133">
        <v>1</v>
      </c>
      <c r="E1405" s="133" t="s">
        <v>272</v>
      </c>
      <c r="F1405" s="138">
        <v>43359</v>
      </c>
      <c r="G1405" s="136" t="s">
        <v>4032</v>
      </c>
      <c r="H1405" s="136" t="s">
        <v>4724</v>
      </c>
      <c r="I1405" s="148">
        <v>2.6388888888888889E-2</v>
      </c>
      <c r="J1405" s="174">
        <v>4.3981481481481481E-4</v>
      </c>
      <c r="K1405" s="139">
        <v>38</v>
      </c>
      <c r="L1405" s="133" t="s">
        <v>398</v>
      </c>
      <c r="M1405" s="133" t="s">
        <v>241</v>
      </c>
      <c r="N1405" s="133" t="s">
        <v>102</v>
      </c>
      <c r="O1405" s="133" t="s">
        <v>23</v>
      </c>
      <c r="P1405" s="133" t="s">
        <v>24</v>
      </c>
      <c r="R1405" s="133">
        <v>0</v>
      </c>
      <c r="T1405" s="133" t="s">
        <v>115</v>
      </c>
      <c r="U1405" s="133" t="s">
        <v>115</v>
      </c>
      <c r="V1405" s="133" t="s">
        <v>115</v>
      </c>
      <c r="W1405" s="135" t="s">
        <v>115</v>
      </c>
      <c r="X1405" s="135" t="s">
        <v>115</v>
      </c>
      <c r="Y1405" s="135" t="s">
        <v>115</v>
      </c>
      <c r="AB1405" s="134" t="s">
        <v>115</v>
      </c>
      <c r="AC1405" s="134" t="s">
        <v>115</v>
      </c>
      <c r="AD1405" s="134"/>
      <c r="AH1405" s="139">
        <v>28</v>
      </c>
      <c r="AI1405" s="139">
        <v>0</v>
      </c>
      <c r="AJ1405" s="139">
        <v>0</v>
      </c>
      <c r="AK1405" s="139">
        <v>28</v>
      </c>
      <c r="AL1405" s="139">
        <v>0</v>
      </c>
      <c r="AM1405" s="133">
        <v>0</v>
      </c>
      <c r="AN1405" s="133">
        <f t="shared" si="23"/>
        <v>28</v>
      </c>
      <c r="AO1405" s="133" t="s">
        <v>16</v>
      </c>
      <c r="AQ1405" s="133">
        <v>0</v>
      </c>
      <c r="AR1405" s="133">
        <v>2</v>
      </c>
    </row>
    <row r="1406" spans="1:48" s="135" customFormat="1" x14ac:dyDescent="0.2">
      <c r="A1406" s="133" t="s">
        <v>1049</v>
      </c>
      <c r="B1406" s="133" t="s">
        <v>1050</v>
      </c>
      <c r="C1406" s="133">
        <v>7</v>
      </c>
      <c r="D1406" s="133">
        <v>1</v>
      </c>
      <c r="E1406" s="133" t="s">
        <v>2487</v>
      </c>
      <c r="F1406" s="138">
        <v>43370</v>
      </c>
      <c r="G1406" s="136" t="s">
        <v>4032</v>
      </c>
      <c r="H1406" s="136" t="s">
        <v>4724</v>
      </c>
      <c r="I1406" s="148">
        <v>2.013888888888889E-2</v>
      </c>
      <c r="J1406" s="174">
        <v>3.3564814814814812E-4</v>
      </c>
      <c r="K1406" s="139">
        <v>29</v>
      </c>
      <c r="L1406" s="133" t="s">
        <v>398</v>
      </c>
      <c r="M1406" s="133" t="s">
        <v>241</v>
      </c>
      <c r="N1406" s="133" t="s">
        <v>111</v>
      </c>
      <c r="O1406" s="133" t="s">
        <v>12</v>
      </c>
      <c r="P1406" s="133">
        <v>0</v>
      </c>
      <c r="Q1406" s="133"/>
      <c r="R1406" s="133">
        <v>2</v>
      </c>
      <c r="S1406" s="133" t="s">
        <v>461</v>
      </c>
      <c r="T1406" s="133" t="s">
        <v>461</v>
      </c>
      <c r="U1406" s="133" t="s">
        <v>333</v>
      </c>
      <c r="V1406" s="133" t="s">
        <v>3972</v>
      </c>
      <c r="W1406" s="140" t="s">
        <v>12</v>
      </c>
      <c r="X1406" s="140" t="s">
        <v>3997</v>
      </c>
      <c r="Y1406" s="140" t="s">
        <v>4005</v>
      </c>
      <c r="AB1406" s="133" t="s">
        <v>24</v>
      </c>
      <c r="AC1406" s="134">
        <v>63.72307</v>
      </c>
      <c r="AD1406" s="134">
        <v>148.98291</v>
      </c>
      <c r="AH1406" s="139">
        <v>0</v>
      </c>
      <c r="AI1406" s="139">
        <v>0</v>
      </c>
      <c r="AJ1406" s="139">
        <v>0</v>
      </c>
      <c r="AK1406" s="139">
        <v>0</v>
      </c>
      <c r="AL1406" s="139">
        <v>0</v>
      </c>
      <c r="AM1406" s="133">
        <v>0</v>
      </c>
      <c r="AN1406" s="133">
        <f t="shared" si="23"/>
        <v>0</v>
      </c>
      <c r="AO1406" s="133"/>
      <c r="AP1406" s="133" t="s">
        <v>1052</v>
      </c>
      <c r="AQ1406" s="133"/>
      <c r="AR1406" s="133"/>
      <c r="AS1406" s="133"/>
      <c r="AT1406" s="133"/>
      <c r="AU1406" s="133"/>
      <c r="AV1406" s="133"/>
    </row>
    <row r="1407" spans="1:48" s="133" customFormat="1" x14ac:dyDescent="0.2">
      <c r="A1407" s="135" t="s">
        <v>238</v>
      </c>
      <c r="B1407" s="135" t="s">
        <v>855</v>
      </c>
      <c r="C1407" s="135">
        <v>1</v>
      </c>
      <c r="D1407" s="135">
        <v>1</v>
      </c>
      <c r="E1407" s="135" t="s">
        <v>834</v>
      </c>
      <c r="F1407" s="136">
        <v>43346</v>
      </c>
      <c r="G1407" s="136" t="s">
        <v>4032</v>
      </c>
      <c r="H1407" s="136" t="s">
        <v>4724</v>
      </c>
      <c r="I1407" s="172">
        <v>1.5972222222222224E-2</v>
      </c>
      <c r="J1407" s="175">
        <v>2.6620370370370372E-4</v>
      </c>
      <c r="K1407" s="143">
        <v>23</v>
      </c>
      <c r="L1407" s="135"/>
      <c r="M1407" s="135" t="s">
        <v>24</v>
      </c>
      <c r="N1407" s="135" t="s">
        <v>102</v>
      </c>
      <c r="O1407" s="135" t="s">
        <v>115</v>
      </c>
      <c r="P1407" s="135">
        <v>1</v>
      </c>
      <c r="Q1407" s="135"/>
      <c r="R1407" s="135">
        <v>0</v>
      </c>
      <c r="S1407" s="133" t="s">
        <v>14</v>
      </c>
      <c r="T1407" s="135" t="s">
        <v>14</v>
      </c>
      <c r="U1407" s="135" t="s">
        <v>122</v>
      </c>
      <c r="V1407" s="135" t="s">
        <v>115</v>
      </c>
      <c r="W1407" s="135" t="s">
        <v>115</v>
      </c>
      <c r="X1407" s="135" t="s">
        <v>115</v>
      </c>
      <c r="Y1407" s="135" t="s">
        <v>115</v>
      </c>
      <c r="AB1407" s="135" t="s">
        <v>115</v>
      </c>
      <c r="AC1407" s="137"/>
      <c r="AD1407" s="137"/>
      <c r="AH1407" s="135">
        <v>0</v>
      </c>
      <c r="AI1407" s="135">
        <v>0</v>
      </c>
      <c r="AJ1407" s="135">
        <v>0</v>
      </c>
      <c r="AK1407" s="135">
        <v>0</v>
      </c>
      <c r="AL1407" s="135">
        <v>10</v>
      </c>
      <c r="AM1407" s="135">
        <v>0</v>
      </c>
      <c r="AN1407" s="135">
        <f t="shared" si="23"/>
        <v>10</v>
      </c>
      <c r="AO1407" s="135" t="s">
        <v>103</v>
      </c>
      <c r="AP1407" s="135" t="s">
        <v>239</v>
      </c>
      <c r="AQ1407" s="135">
        <v>0</v>
      </c>
      <c r="AR1407" s="135">
        <v>0</v>
      </c>
    </row>
    <row r="1408" spans="1:48" s="135" customFormat="1" x14ac:dyDescent="0.2">
      <c r="A1408" s="133" t="s">
        <v>290</v>
      </c>
      <c r="B1408" s="133" t="s">
        <v>291</v>
      </c>
      <c r="C1408" s="133">
        <v>1</v>
      </c>
      <c r="D1408" s="133">
        <v>1</v>
      </c>
      <c r="E1408" s="133" t="s">
        <v>292</v>
      </c>
      <c r="F1408" s="138">
        <v>43347</v>
      </c>
      <c r="G1408" s="136" t="s">
        <v>4032</v>
      </c>
      <c r="H1408" s="136" t="s">
        <v>4724</v>
      </c>
      <c r="I1408" s="148">
        <v>4.027777777777778E-2</v>
      </c>
      <c r="J1408" s="174">
        <v>6.7129629629629625E-4</v>
      </c>
      <c r="K1408" s="139">
        <v>58</v>
      </c>
      <c r="L1408" s="133"/>
      <c r="M1408" s="133" t="s">
        <v>24</v>
      </c>
      <c r="N1408" s="133" t="s">
        <v>102</v>
      </c>
      <c r="O1408" s="133" t="s">
        <v>23</v>
      </c>
      <c r="P1408" s="133">
        <v>1</v>
      </c>
      <c r="Q1408" s="133"/>
      <c r="R1408" s="133">
        <v>0</v>
      </c>
      <c r="S1408" s="133" t="s">
        <v>176</v>
      </c>
      <c r="T1408" s="133" t="s">
        <v>176</v>
      </c>
      <c r="U1408" s="133" t="s">
        <v>134</v>
      </c>
      <c r="V1408" s="133" t="s">
        <v>115</v>
      </c>
      <c r="W1408" s="135" t="s">
        <v>115</v>
      </c>
      <c r="X1408" s="135" t="s">
        <v>115</v>
      </c>
      <c r="Y1408" s="135" t="s">
        <v>115</v>
      </c>
      <c r="AB1408" s="133" t="s">
        <v>115</v>
      </c>
      <c r="AC1408" s="134" t="s">
        <v>115</v>
      </c>
      <c r="AD1408" s="134"/>
      <c r="AH1408" s="133">
        <v>0</v>
      </c>
      <c r="AI1408" s="133">
        <v>30</v>
      </c>
      <c r="AJ1408" s="133">
        <v>0</v>
      </c>
      <c r="AK1408" s="133">
        <v>30</v>
      </c>
      <c r="AL1408" s="133">
        <v>0</v>
      </c>
      <c r="AM1408" s="133">
        <v>0</v>
      </c>
      <c r="AN1408" s="133">
        <f t="shared" si="23"/>
        <v>30</v>
      </c>
      <c r="AO1408" s="133" t="s">
        <v>16</v>
      </c>
      <c r="AP1408" s="133"/>
      <c r="AQ1408" s="133">
        <v>0</v>
      </c>
      <c r="AR1408" s="133">
        <v>3</v>
      </c>
    </row>
    <row r="1409" spans="1:48" s="135" customFormat="1" x14ac:dyDescent="0.2">
      <c r="A1409" s="135" t="s">
        <v>816</v>
      </c>
      <c r="B1409" s="135" t="s">
        <v>350</v>
      </c>
      <c r="C1409" s="135">
        <v>4</v>
      </c>
      <c r="D1409" s="135">
        <v>1</v>
      </c>
      <c r="E1409" s="135" t="s">
        <v>2487</v>
      </c>
      <c r="F1409" s="136">
        <v>43348</v>
      </c>
      <c r="G1409" s="136" t="s">
        <v>4032</v>
      </c>
      <c r="H1409" s="136" t="s">
        <v>4724</v>
      </c>
      <c r="I1409" s="172">
        <v>2.6388888888888889E-2</v>
      </c>
      <c r="J1409" s="175">
        <v>4.3981481481481481E-4</v>
      </c>
      <c r="K1409" s="143">
        <v>38</v>
      </c>
      <c r="L1409" s="135" t="s">
        <v>397</v>
      </c>
      <c r="M1409" s="135" t="s">
        <v>24</v>
      </c>
      <c r="N1409" s="135" t="s">
        <v>102</v>
      </c>
      <c r="O1409" s="135" t="s">
        <v>115</v>
      </c>
      <c r="P1409" s="135">
        <v>1</v>
      </c>
      <c r="R1409" s="135">
        <v>0</v>
      </c>
      <c r="S1409" s="133" t="s">
        <v>14</v>
      </c>
      <c r="T1409" s="135" t="s">
        <v>2128</v>
      </c>
      <c r="U1409" s="135" t="s">
        <v>122</v>
      </c>
      <c r="V1409" s="135" t="s">
        <v>115</v>
      </c>
      <c r="W1409" s="135" t="s">
        <v>115</v>
      </c>
      <c r="X1409" s="135" t="s">
        <v>115</v>
      </c>
      <c r="Y1409" s="135" t="s">
        <v>115</v>
      </c>
      <c r="AB1409" s="141" t="s">
        <v>115</v>
      </c>
      <c r="AC1409" s="137" t="s">
        <v>115</v>
      </c>
      <c r="AD1409" s="137"/>
      <c r="AH1409" s="135">
        <v>0</v>
      </c>
      <c r="AI1409" s="135">
        <v>0</v>
      </c>
      <c r="AJ1409" s="135">
        <v>0</v>
      </c>
      <c r="AK1409" s="135">
        <v>0</v>
      </c>
      <c r="AL1409" s="135">
        <v>13</v>
      </c>
      <c r="AM1409" s="135">
        <v>0</v>
      </c>
      <c r="AN1409" s="135">
        <f t="shared" si="23"/>
        <v>13</v>
      </c>
    </row>
    <row r="1410" spans="1:48" s="133" customFormat="1" x14ac:dyDescent="0.2">
      <c r="A1410" s="133" t="s">
        <v>367</v>
      </c>
      <c r="B1410" s="133" t="s">
        <v>368</v>
      </c>
      <c r="C1410" s="133">
        <v>3</v>
      </c>
      <c r="D1410" s="133">
        <v>1</v>
      </c>
      <c r="E1410" s="133" t="s">
        <v>2462</v>
      </c>
      <c r="F1410" s="138">
        <v>43349</v>
      </c>
      <c r="G1410" s="136" t="s">
        <v>4032</v>
      </c>
      <c r="H1410" s="136" t="s">
        <v>4724</v>
      </c>
      <c r="I1410" s="148">
        <v>8.3333333333333332E-3</v>
      </c>
      <c r="J1410" s="174">
        <v>1.3888888888888889E-4</v>
      </c>
      <c r="K1410" s="139">
        <v>12</v>
      </c>
      <c r="L1410" s="133" t="s">
        <v>398</v>
      </c>
      <c r="M1410" s="133" t="s">
        <v>24</v>
      </c>
      <c r="N1410" s="133" t="s">
        <v>102</v>
      </c>
      <c r="O1410" s="133" t="s">
        <v>23</v>
      </c>
      <c r="P1410" s="133">
        <v>1</v>
      </c>
      <c r="R1410" s="133">
        <v>0</v>
      </c>
      <c r="S1410" s="133" t="s">
        <v>176</v>
      </c>
      <c r="T1410" s="133" t="s">
        <v>176</v>
      </c>
      <c r="U1410" s="133" t="s">
        <v>333</v>
      </c>
      <c r="V1410" s="133" t="s">
        <v>115</v>
      </c>
      <c r="W1410" s="135" t="s">
        <v>115</v>
      </c>
      <c r="X1410" s="135" t="s">
        <v>115</v>
      </c>
      <c r="Y1410" s="135" t="s">
        <v>115</v>
      </c>
      <c r="AB1410" s="133" t="s">
        <v>115</v>
      </c>
      <c r="AC1410" s="134" t="s">
        <v>115</v>
      </c>
      <c r="AD1410" s="134"/>
      <c r="AH1410" s="133">
        <v>0</v>
      </c>
      <c r="AI1410" s="133">
        <v>12</v>
      </c>
      <c r="AJ1410" s="133">
        <v>0</v>
      </c>
      <c r="AK1410" s="133">
        <v>12</v>
      </c>
      <c r="AL1410" s="133">
        <v>0</v>
      </c>
      <c r="AM1410" s="133">
        <v>0</v>
      </c>
      <c r="AN1410" s="133">
        <f t="shared" si="23"/>
        <v>12</v>
      </c>
      <c r="AO1410" s="133" t="s">
        <v>24</v>
      </c>
    </row>
    <row r="1411" spans="1:48" s="133" customFormat="1" x14ac:dyDescent="0.2">
      <c r="A1411" s="135" t="s">
        <v>413</v>
      </c>
      <c r="B1411" s="135" t="s">
        <v>414</v>
      </c>
      <c r="C1411" s="135">
        <v>6</v>
      </c>
      <c r="D1411" s="135">
        <v>1</v>
      </c>
      <c r="E1411" s="135" t="s">
        <v>324</v>
      </c>
      <c r="F1411" s="136">
        <v>43350</v>
      </c>
      <c r="G1411" s="136" t="s">
        <v>4032</v>
      </c>
      <c r="H1411" s="136" t="s">
        <v>4724</v>
      </c>
      <c r="I1411" s="172">
        <v>1.1111111111111112E-2</v>
      </c>
      <c r="J1411" s="175">
        <v>1.8518518518518518E-4</v>
      </c>
      <c r="K1411" s="143">
        <v>16</v>
      </c>
      <c r="L1411" s="135" t="s">
        <v>398</v>
      </c>
      <c r="M1411" s="135" t="s">
        <v>24</v>
      </c>
      <c r="N1411" s="135" t="s">
        <v>102</v>
      </c>
      <c r="O1411" s="135" t="s">
        <v>115</v>
      </c>
      <c r="P1411" s="135">
        <v>1</v>
      </c>
      <c r="Q1411" s="135"/>
      <c r="R1411" s="135">
        <v>0</v>
      </c>
      <c r="S1411" s="133" t="s">
        <v>112</v>
      </c>
      <c r="T1411" s="135" t="s">
        <v>112</v>
      </c>
      <c r="U1411" s="135" t="s">
        <v>122</v>
      </c>
      <c r="V1411" s="135" t="s">
        <v>115</v>
      </c>
      <c r="W1411" s="135" t="s">
        <v>115</v>
      </c>
      <c r="X1411" s="135" t="s">
        <v>115</v>
      </c>
      <c r="Y1411" s="135" t="s">
        <v>115</v>
      </c>
      <c r="Z1411" s="135"/>
      <c r="AA1411" s="135"/>
      <c r="AB1411" s="135" t="s">
        <v>115</v>
      </c>
      <c r="AC1411" s="137" t="s">
        <v>115</v>
      </c>
      <c r="AD1411" s="137"/>
      <c r="AE1411" s="135"/>
      <c r="AF1411" s="135"/>
      <c r="AG1411" s="135"/>
      <c r="AH1411" s="143">
        <v>0</v>
      </c>
      <c r="AI1411" s="143">
        <v>0</v>
      </c>
      <c r="AJ1411" s="143">
        <v>0</v>
      </c>
      <c r="AK1411" s="143">
        <v>0</v>
      </c>
      <c r="AL1411" s="143">
        <v>10</v>
      </c>
      <c r="AM1411" s="135">
        <v>0</v>
      </c>
      <c r="AN1411" s="135">
        <f t="shared" si="23"/>
        <v>10</v>
      </c>
      <c r="AO1411" s="135"/>
      <c r="AP1411" s="135"/>
      <c r="AQ1411" s="135"/>
      <c r="AR1411" s="135"/>
    </row>
    <row r="1412" spans="1:48" s="133" customFormat="1" x14ac:dyDescent="0.2">
      <c r="A1412" s="135" t="s">
        <v>415</v>
      </c>
      <c r="B1412" s="135" t="s">
        <v>416</v>
      </c>
      <c r="C1412" s="135">
        <v>7</v>
      </c>
      <c r="D1412" s="135">
        <v>1</v>
      </c>
      <c r="E1412" s="135" t="s">
        <v>324</v>
      </c>
      <c r="F1412" s="136">
        <v>43350</v>
      </c>
      <c r="G1412" s="136" t="s">
        <v>4032</v>
      </c>
      <c r="H1412" s="136" t="s">
        <v>4724</v>
      </c>
      <c r="I1412" s="172">
        <v>1.4583333333333332E-2</v>
      </c>
      <c r="J1412" s="175">
        <v>2.4305555555555552E-4</v>
      </c>
      <c r="K1412" s="143">
        <v>21</v>
      </c>
      <c r="L1412" s="135" t="s">
        <v>398</v>
      </c>
      <c r="M1412" s="135" t="s">
        <v>24</v>
      </c>
      <c r="N1412" s="135" t="s">
        <v>102</v>
      </c>
      <c r="O1412" s="135" t="s">
        <v>115</v>
      </c>
      <c r="P1412" s="135">
        <v>1</v>
      </c>
      <c r="Q1412" s="135"/>
      <c r="R1412" s="135">
        <v>0</v>
      </c>
      <c r="S1412" s="133" t="s">
        <v>112</v>
      </c>
      <c r="T1412" s="135" t="s">
        <v>112</v>
      </c>
      <c r="U1412" s="135" t="s">
        <v>122</v>
      </c>
      <c r="V1412" s="135" t="s">
        <v>115</v>
      </c>
      <c r="W1412" s="135" t="s">
        <v>115</v>
      </c>
      <c r="X1412" s="135" t="s">
        <v>115</v>
      </c>
      <c r="Y1412" s="135" t="s">
        <v>115</v>
      </c>
      <c r="AB1412" s="135" t="s">
        <v>115</v>
      </c>
      <c r="AC1412" s="137" t="s">
        <v>115</v>
      </c>
      <c r="AD1412" s="137"/>
      <c r="AH1412" s="143">
        <v>0</v>
      </c>
      <c r="AI1412" s="143">
        <v>0</v>
      </c>
      <c r="AJ1412" s="143">
        <v>0</v>
      </c>
      <c r="AK1412" s="143">
        <v>0</v>
      </c>
      <c r="AL1412" s="143">
        <v>4</v>
      </c>
      <c r="AM1412" s="135">
        <v>0</v>
      </c>
      <c r="AN1412" s="135">
        <f t="shared" si="23"/>
        <v>4</v>
      </c>
      <c r="AO1412" s="135"/>
      <c r="AP1412" s="135"/>
      <c r="AQ1412" s="135"/>
      <c r="AR1412" s="135"/>
    </row>
    <row r="1413" spans="1:48" s="133" customFormat="1" x14ac:dyDescent="0.2">
      <c r="A1413" s="133" t="s">
        <v>422</v>
      </c>
      <c r="B1413" s="133" t="s">
        <v>881</v>
      </c>
      <c r="C1413" s="133">
        <v>9</v>
      </c>
      <c r="D1413" s="133">
        <v>2</v>
      </c>
      <c r="E1413" s="133" t="s">
        <v>324</v>
      </c>
      <c r="F1413" s="138">
        <v>43350</v>
      </c>
      <c r="G1413" s="136" t="s">
        <v>4032</v>
      </c>
      <c r="H1413" s="136" t="s">
        <v>4724</v>
      </c>
      <c r="I1413" s="148">
        <v>3.3333333333333333E-2</v>
      </c>
      <c r="J1413" s="174">
        <v>5.5555555555555556E-4</v>
      </c>
      <c r="K1413" s="139">
        <v>48</v>
      </c>
      <c r="L1413" s="133" t="s">
        <v>398</v>
      </c>
      <c r="M1413" s="133" t="s">
        <v>24</v>
      </c>
      <c r="N1413" s="133" t="s">
        <v>102</v>
      </c>
      <c r="O1413" s="133" t="s">
        <v>115</v>
      </c>
      <c r="P1413" s="133">
        <v>1</v>
      </c>
      <c r="R1413" s="133">
        <v>1</v>
      </c>
      <c r="S1413" s="133" t="s">
        <v>176</v>
      </c>
      <c r="T1413" s="133" t="s">
        <v>176</v>
      </c>
      <c r="U1413" s="133" t="s">
        <v>24</v>
      </c>
      <c r="V1413" s="133" t="s">
        <v>2061</v>
      </c>
      <c r="W1413" s="135" t="s">
        <v>23</v>
      </c>
      <c r="X1413" s="135" t="s">
        <v>3999</v>
      </c>
      <c r="Y1413" s="135" t="s">
        <v>4006</v>
      </c>
      <c r="Z1413" s="135"/>
      <c r="AA1413" s="135"/>
      <c r="AB1413" s="133" t="s">
        <v>176</v>
      </c>
      <c r="AC1413" s="134" t="s">
        <v>246</v>
      </c>
      <c r="AD1413" s="134"/>
      <c r="AE1413" s="135"/>
      <c r="AF1413" s="135"/>
      <c r="AG1413" s="135"/>
      <c r="AH1413" s="139">
        <v>0</v>
      </c>
      <c r="AI1413" s="139">
        <v>0</v>
      </c>
      <c r="AJ1413" s="139">
        <v>0</v>
      </c>
      <c r="AK1413" s="139">
        <v>0</v>
      </c>
      <c r="AL1413" s="139">
        <v>0</v>
      </c>
      <c r="AM1413" s="133">
        <v>0</v>
      </c>
      <c r="AN1413" s="133">
        <f t="shared" si="23"/>
        <v>0</v>
      </c>
    </row>
    <row r="1414" spans="1:48" s="133" customFormat="1" x14ac:dyDescent="0.2">
      <c r="A1414" s="135" t="s">
        <v>499</v>
      </c>
      <c r="B1414" s="135" t="s">
        <v>500</v>
      </c>
      <c r="C1414" s="135">
        <v>2</v>
      </c>
      <c r="D1414" s="135">
        <v>1</v>
      </c>
      <c r="E1414" s="135" t="s">
        <v>324</v>
      </c>
      <c r="F1414" s="136">
        <v>43352</v>
      </c>
      <c r="G1414" s="136" t="s">
        <v>4032</v>
      </c>
      <c r="H1414" s="136" t="s">
        <v>4724</v>
      </c>
      <c r="I1414" s="172">
        <v>5.5555555555555558E-3</v>
      </c>
      <c r="J1414" s="175">
        <v>9.2592592592592588E-5</v>
      </c>
      <c r="K1414" s="143">
        <v>8</v>
      </c>
      <c r="L1414" s="135" t="s">
        <v>483</v>
      </c>
      <c r="M1414" s="135" t="s">
        <v>24</v>
      </c>
      <c r="N1414" s="135" t="s">
        <v>102</v>
      </c>
      <c r="O1414" s="135" t="s">
        <v>23</v>
      </c>
      <c r="P1414" s="135">
        <v>1</v>
      </c>
      <c r="Q1414" s="135"/>
      <c r="R1414" s="135">
        <v>0</v>
      </c>
      <c r="S1414" s="133" t="s">
        <v>176</v>
      </c>
      <c r="T1414" s="135" t="s">
        <v>176</v>
      </c>
      <c r="U1414" s="135" t="s">
        <v>501</v>
      </c>
      <c r="V1414" s="135" t="s">
        <v>115</v>
      </c>
      <c r="W1414" s="135" t="s">
        <v>115</v>
      </c>
      <c r="X1414" s="135" t="s">
        <v>115</v>
      </c>
      <c r="Y1414" s="135" t="s">
        <v>115</v>
      </c>
      <c r="Z1414" s="135"/>
      <c r="AA1414" s="135"/>
      <c r="AB1414" s="135" t="s">
        <v>115</v>
      </c>
      <c r="AC1414" s="137" t="s">
        <v>115</v>
      </c>
      <c r="AD1414" s="137"/>
      <c r="AE1414" s="135"/>
      <c r="AF1414" s="135"/>
      <c r="AG1414" s="135"/>
      <c r="AH1414" s="143">
        <v>0</v>
      </c>
      <c r="AI1414" s="143">
        <v>2</v>
      </c>
      <c r="AJ1414" s="143">
        <v>0</v>
      </c>
      <c r="AK1414" s="143">
        <v>2</v>
      </c>
      <c r="AL1414" s="143">
        <v>0</v>
      </c>
      <c r="AM1414" s="135">
        <v>0</v>
      </c>
      <c r="AN1414" s="135">
        <f t="shared" si="23"/>
        <v>2</v>
      </c>
      <c r="AO1414" s="135" t="s">
        <v>176</v>
      </c>
      <c r="AP1414" s="135"/>
      <c r="AQ1414" s="135"/>
      <c r="AR1414" s="135"/>
    </row>
    <row r="1415" spans="1:48" s="133" customFormat="1" x14ac:dyDescent="0.2">
      <c r="A1415" s="135" t="s">
        <v>512</v>
      </c>
      <c r="B1415" s="135" t="s">
        <v>513</v>
      </c>
      <c r="C1415" s="135">
        <v>8</v>
      </c>
      <c r="D1415" s="135">
        <v>1</v>
      </c>
      <c r="E1415" s="135" t="s">
        <v>324</v>
      </c>
      <c r="F1415" s="136">
        <v>43352</v>
      </c>
      <c r="G1415" s="136" t="s">
        <v>4032</v>
      </c>
      <c r="H1415" s="136" t="s">
        <v>4724</v>
      </c>
      <c r="I1415" s="172">
        <v>2.7777777777777779E-3</v>
      </c>
      <c r="J1415" s="175">
        <v>4.6296296296296294E-5</v>
      </c>
      <c r="K1415" s="143">
        <v>4</v>
      </c>
      <c r="L1415" s="135" t="s">
        <v>483</v>
      </c>
      <c r="M1415" s="135" t="s">
        <v>24</v>
      </c>
      <c r="N1415" s="135" t="s">
        <v>102</v>
      </c>
      <c r="O1415" s="135" t="s">
        <v>126</v>
      </c>
      <c r="P1415" s="135">
        <v>1</v>
      </c>
      <c r="Q1415" s="135"/>
      <c r="R1415" s="135">
        <v>0</v>
      </c>
      <c r="S1415" s="133" t="s">
        <v>14</v>
      </c>
      <c r="T1415" s="135" t="s">
        <v>2130</v>
      </c>
      <c r="U1415" s="135" t="s">
        <v>122</v>
      </c>
      <c r="V1415" s="135" t="s">
        <v>115</v>
      </c>
      <c r="W1415" s="135" t="s">
        <v>115</v>
      </c>
      <c r="X1415" s="135" t="s">
        <v>115</v>
      </c>
      <c r="Y1415" s="135" t="s">
        <v>115</v>
      </c>
      <c r="AB1415" s="135" t="s">
        <v>115</v>
      </c>
      <c r="AC1415" s="137" t="s">
        <v>115</v>
      </c>
      <c r="AD1415" s="137"/>
      <c r="AH1415" s="143">
        <v>0</v>
      </c>
      <c r="AI1415" s="143">
        <v>0</v>
      </c>
      <c r="AJ1415" s="143">
        <v>0</v>
      </c>
      <c r="AK1415" s="143">
        <v>0</v>
      </c>
      <c r="AL1415" s="143" t="s">
        <v>24</v>
      </c>
      <c r="AM1415" s="135">
        <v>0</v>
      </c>
      <c r="AN1415" s="135">
        <f t="shared" si="23"/>
        <v>0</v>
      </c>
      <c r="AO1415" s="135"/>
      <c r="AP1415" s="135"/>
      <c r="AQ1415" s="135"/>
      <c r="AR1415" s="135"/>
    </row>
    <row r="1416" spans="1:48" s="135" customFormat="1" x14ac:dyDescent="0.2">
      <c r="A1416" s="133" t="s">
        <v>532</v>
      </c>
      <c r="B1416" s="133" t="s">
        <v>533</v>
      </c>
      <c r="C1416" s="133">
        <v>1</v>
      </c>
      <c r="D1416" s="133">
        <v>1</v>
      </c>
      <c r="E1416" s="133" t="s">
        <v>201</v>
      </c>
      <c r="F1416" s="138">
        <v>43354</v>
      </c>
      <c r="G1416" s="136" t="s">
        <v>4032</v>
      </c>
      <c r="H1416" s="136" t="s">
        <v>4724</v>
      </c>
      <c r="I1416" s="148">
        <v>5.7870370370370366E-5</v>
      </c>
      <c r="J1416" s="174">
        <v>5.7870370370370366E-5</v>
      </c>
      <c r="K1416" s="139">
        <v>5</v>
      </c>
      <c r="L1416" s="133" t="s">
        <v>483</v>
      </c>
      <c r="M1416" s="133" t="s">
        <v>24</v>
      </c>
      <c r="N1416" s="133" t="s">
        <v>107</v>
      </c>
      <c r="O1416" s="133" t="s">
        <v>23</v>
      </c>
      <c r="P1416" s="133">
        <v>1</v>
      </c>
      <c r="Q1416" s="133"/>
      <c r="R1416" s="133">
        <v>0</v>
      </c>
      <c r="S1416" s="133" t="s">
        <v>1618</v>
      </c>
      <c r="T1416" s="133" t="s">
        <v>1618</v>
      </c>
      <c r="U1416" s="133" t="s">
        <v>24</v>
      </c>
      <c r="V1416" s="133" t="s">
        <v>115</v>
      </c>
      <c r="W1416" s="135" t="s">
        <v>115</v>
      </c>
      <c r="X1416" s="135" t="s">
        <v>115</v>
      </c>
      <c r="Y1416" s="135" t="s">
        <v>115</v>
      </c>
      <c r="Z1416" s="133"/>
      <c r="AA1416" s="133"/>
      <c r="AB1416" s="134" t="s">
        <v>115</v>
      </c>
      <c r="AC1416" s="134" t="s">
        <v>115</v>
      </c>
      <c r="AD1416" s="134"/>
      <c r="AE1416" s="133"/>
      <c r="AF1416" s="133"/>
      <c r="AG1416" s="133"/>
      <c r="AH1416" s="139">
        <v>0</v>
      </c>
      <c r="AI1416" s="139">
        <v>3</v>
      </c>
      <c r="AJ1416" s="139">
        <v>0</v>
      </c>
      <c r="AK1416" s="139">
        <v>3</v>
      </c>
      <c r="AL1416" s="139">
        <v>0</v>
      </c>
      <c r="AM1416" s="133">
        <v>0</v>
      </c>
      <c r="AN1416" s="133">
        <f t="shared" si="23"/>
        <v>3</v>
      </c>
      <c r="AO1416" s="133"/>
      <c r="AP1416" s="133"/>
      <c r="AQ1416" s="133"/>
      <c r="AR1416" s="133"/>
    </row>
    <row r="1417" spans="1:48" s="133" customFormat="1" x14ac:dyDescent="0.2">
      <c r="A1417" s="133" t="s">
        <v>534</v>
      </c>
      <c r="B1417" s="133" t="s">
        <v>535</v>
      </c>
      <c r="C1417" s="133">
        <v>2</v>
      </c>
      <c r="D1417" s="133">
        <v>1</v>
      </c>
      <c r="E1417" s="144" t="s">
        <v>201</v>
      </c>
      <c r="F1417" s="145">
        <v>43354</v>
      </c>
      <c r="G1417" s="136" t="s">
        <v>4032</v>
      </c>
      <c r="H1417" s="136" t="s">
        <v>4724</v>
      </c>
      <c r="I1417" s="148">
        <v>5.7870370370370366E-5</v>
      </c>
      <c r="J1417" s="174">
        <v>5.7870370370370366E-5</v>
      </c>
      <c r="K1417" s="139">
        <v>5</v>
      </c>
      <c r="L1417" s="133" t="s">
        <v>483</v>
      </c>
      <c r="M1417" s="133" t="s">
        <v>24</v>
      </c>
      <c r="N1417" s="133" t="s">
        <v>107</v>
      </c>
      <c r="O1417" s="133" t="s">
        <v>23</v>
      </c>
      <c r="P1417" s="133">
        <v>1</v>
      </c>
      <c r="R1417" s="133">
        <v>0</v>
      </c>
      <c r="S1417" s="133" t="s">
        <v>176</v>
      </c>
      <c r="T1417" s="133" t="s">
        <v>176</v>
      </c>
      <c r="U1417" s="133" t="s">
        <v>24</v>
      </c>
      <c r="V1417" s="133" t="s">
        <v>115</v>
      </c>
      <c r="W1417" s="135" t="s">
        <v>115</v>
      </c>
      <c r="X1417" s="135" t="s">
        <v>115</v>
      </c>
      <c r="Y1417" s="135" t="s">
        <v>115</v>
      </c>
      <c r="AB1417" s="134" t="s">
        <v>115</v>
      </c>
      <c r="AC1417" s="134" t="s">
        <v>115</v>
      </c>
      <c r="AD1417" s="134"/>
      <c r="AH1417" s="139">
        <v>0</v>
      </c>
      <c r="AI1417" s="139">
        <v>0</v>
      </c>
      <c r="AJ1417" s="139">
        <v>0</v>
      </c>
      <c r="AK1417" s="139">
        <v>0</v>
      </c>
      <c r="AL1417" s="139">
        <v>0</v>
      </c>
      <c r="AM1417" s="133">
        <v>0</v>
      </c>
      <c r="AN1417" s="133">
        <f t="shared" si="23"/>
        <v>0</v>
      </c>
      <c r="AS1417" s="135"/>
      <c r="AT1417" s="135"/>
      <c r="AU1417" s="135"/>
      <c r="AV1417" s="135"/>
    </row>
    <row r="1418" spans="1:48" s="133" customFormat="1" x14ac:dyDescent="0.2">
      <c r="A1418" s="133" t="s">
        <v>536</v>
      </c>
      <c r="B1418" s="133" t="s">
        <v>537</v>
      </c>
      <c r="C1418" s="133">
        <v>3</v>
      </c>
      <c r="D1418" s="133">
        <v>1</v>
      </c>
      <c r="E1418" s="144" t="s">
        <v>201</v>
      </c>
      <c r="F1418" s="145">
        <v>43354</v>
      </c>
      <c r="G1418" s="136" t="s">
        <v>4032</v>
      </c>
      <c r="H1418" s="136" t="s">
        <v>4724</v>
      </c>
      <c r="I1418" s="148">
        <v>8.1018518518518516E-5</v>
      </c>
      <c r="J1418" s="174">
        <v>8.1018518518518516E-5</v>
      </c>
      <c r="K1418" s="139">
        <v>7</v>
      </c>
      <c r="L1418" s="133" t="s">
        <v>483</v>
      </c>
      <c r="M1418" s="133" t="s">
        <v>24</v>
      </c>
      <c r="N1418" s="133" t="s">
        <v>242</v>
      </c>
      <c r="O1418" s="133" t="s">
        <v>23</v>
      </c>
      <c r="P1418" s="133">
        <v>1</v>
      </c>
      <c r="R1418" s="133">
        <v>1</v>
      </c>
      <c r="S1418" s="133" t="s">
        <v>176</v>
      </c>
      <c r="T1418" s="133" t="s">
        <v>176</v>
      </c>
      <c r="U1418" s="133" t="s">
        <v>24</v>
      </c>
      <c r="V1418" s="133" t="s">
        <v>4916</v>
      </c>
      <c r="W1418" s="140" t="s">
        <v>23</v>
      </c>
      <c r="X1418" s="140" t="s">
        <v>3999</v>
      </c>
      <c r="Y1418" s="140" t="s">
        <v>4001</v>
      </c>
      <c r="AB1418" s="133" t="s">
        <v>176</v>
      </c>
      <c r="AC1418" s="134">
        <v>63.722499999999997</v>
      </c>
      <c r="AD1418" s="134">
        <v>148.95992000000001</v>
      </c>
      <c r="AH1418" s="139">
        <v>0</v>
      </c>
      <c r="AI1418" s="139">
        <v>0</v>
      </c>
      <c r="AJ1418" s="139">
        <v>0</v>
      </c>
      <c r="AK1418" s="139">
        <v>0</v>
      </c>
      <c r="AL1418" s="139">
        <v>0</v>
      </c>
      <c r="AM1418" s="133">
        <v>0</v>
      </c>
      <c r="AN1418" s="133">
        <f t="shared" si="23"/>
        <v>0</v>
      </c>
      <c r="AP1418" s="133" t="s">
        <v>541</v>
      </c>
    </row>
    <row r="1419" spans="1:48" s="133" customFormat="1" x14ac:dyDescent="0.2">
      <c r="A1419" s="133" t="s">
        <v>543</v>
      </c>
      <c r="B1419" s="133" t="s">
        <v>545</v>
      </c>
      <c r="C1419" s="133">
        <v>1</v>
      </c>
      <c r="D1419" s="133">
        <v>1</v>
      </c>
      <c r="E1419" s="133" t="s">
        <v>3171</v>
      </c>
      <c r="F1419" s="138">
        <v>43354</v>
      </c>
      <c r="G1419" s="136" t="s">
        <v>4032</v>
      </c>
      <c r="H1419" s="136" t="s">
        <v>4724</v>
      </c>
      <c r="I1419" s="148">
        <v>5.5555555555555558E-3</v>
      </c>
      <c r="J1419" s="174">
        <v>9.2592592592592588E-5</v>
      </c>
      <c r="K1419" s="139">
        <v>8</v>
      </c>
      <c r="L1419" s="133" t="s">
        <v>483</v>
      </c>
      <c r="M1419" s="133" t="s">
        <v>24</v>
      </c>
      <c r="N1419" s="133" t="s">
        <v>159</v>
      </c>
      <c r="O1419" s="133" t="s">
        <v>23</v>
      </c>
      <c r="P1419" s="133">
        <v>0</v>
      </c>
      <c r="R1419" s="133">
        <v>1</v>
      </c>
      <c r="S1419" s="133" t="s">
        <v>176</v>
      </c>
      <c r="T1419" s="133" t="s">
        <v>176</v>
      </c>
      <c r="U1419" s="133" t="s">
        <v>115</v>
      </c>
      <c r="V1419" s="133" t="s">
        <v>2158</v>
      </c>
      <c r="W1419" s="135" t="s">
        <v>23</v>
      </c>
      <c r="X1419" s="135" t="s">
        <v>4004</v>
      </c>
      <c r="Y1419" s="135" t="s">
        <v>4005</v>
      </c>
      <c r="AB1419" s="133" t="s">
        <v>176</v>
      </c>
      <c r="AC1419" s="134">
        <v>63.723460000000003</v>
      </c>
      <c r="AD1419" s="134">
        <v>148.94909999999999</v>
      </c>
      <c r="AH1419" s="139">
        <v>0</v>
      </c>
      <c r="AI1419" s="139">
        <v>0</v>
      </c>
      <c r="AJ1419" s="139">
        <v>0</v>
      </c>
      <c r="AK1419" s="139">
        <v>0</v>
      </c>
      <c r="AL1419" s="139">
        <v>0</v>
      </c>
      <c r="AM1419" s="133">
        <v>0</v>
      </c>
      <c r="AN1419" s="133">
        <f t="shared" si="23"/>
        <v>0</v>
      </c>
    </row>
    <row r="1420" spans="1:48" s="133" customFormat="1" x14ac:dyDescent="0.2">
      <c r="A1420" s="133" t="s">
        <v>591</v>
      </c>
      <c r="B1420" s="133" t="s">
        <v>592</v>
      </c>
      <c r="C1420" s="133">
        <v>5</v>
      </c>
      <c r="D1420" s="133">
        <v>1</v>
      </c>
      <c r="E1420" s="133" t="s">
        <v>100</v>
      </c>
      <c r="F1420" s="138">
        <v>43355</v>
      </c>
      <c r="G1420" s="136" t="s">
        <v>4032</v>
      </c>
      <c r="H1420" s="136" t="s">
        <v>4724</v>
      </c>
      <c r="I1420" s="148">
        <v>7.6388888888888886E-3</v>
      </c>
      <c r="J1420" s="174">
        <v>1.273148148148148E-4</v>
      </c>
      <c r="K1420" s="139">
        <v>11</v>
      </c>
      <c r="L1420" s="133" t="s">
        <v>398</v>
      </c>
      <c r="M1420" s="133" t="s">
        <v>24</v>
      </c>
      <c r="N1420" s="133" t="s">
        <v>102</v>
      </c>
      <c r="O1420" s="133" t="s">
        <v>115</v>
      </c>
      <c r="P1420" s="133">
        <v>1</v>
      </c>
      <c r="R1420" s="133">
        <v>0</v>
      </c>
      <c r="S1420" s="133" t="s">
        <v>176</v>
      </c>
      <c r="T1420" s="133" t="s">
        <v>176</v>
      </c>
      <c r="U1420" s="133" t="s">
        <v>122</v>
      </c>
      <c r="V1420" s="133" t="s">
        <v>115</v>
      </c>
      <c r="W1420" s="135" t="s">
        <v>115</v>
      </c>
      <c r="X1420" s="135" t="s">
        <v>115</v>
      </c>
      <c r="Y1420" s="135" t="s">
        <v>115</v>
      </c>
      <c r="AB1420" s="134" t="s">
        <v>115</v>
      </c>
      <c r="AC1420" s="134" t="s">
        <v>115</v>
      </c>
      <c r="AD1420" s="134"/>
      <c r="AH1420" s="139">
        <v>0</v>
      </c>
      <c r="AI1420" s="139">
        <v>0</v>
      </c>
      <c r="AJ1420" s="139">
        <v>0</v>
      </c>
      <c r="AK1420" s="139">
        <v>0</v>
      </c>
      <c r="AL1420" s="139">
        <v>0</v>
      </c>
      <c r="AM1420" s="133">
        <v>0</v>
      </c>
      <c r="AN1420" s="133">
        <f t="shared" si="23"/>
        <v>0</v>
      </c>
      <c r="AP1420" s="133" t="s">
        <v>593</v>
      </c>
    </row>
    <row r="1421" spans="1:48" s="133" customFormat="1" x14ac:dyDescent="0.2">
      <c r="A1421" s="135" t="s">
        <v>594</v>
      </c>
      <c r="B1421" s="135" t="s">
        <v>595</v>
      </c>
      <c r="C1421" s="135">
        <v>6</v>
      </c>
      <c r="D1421" s="135">
        <v>1</v>
      </c>
      <c r="E1421" s="135" t="s">
        <v>100</v>
      </c>
      <c r="F1421" s="136">
        <v>43355</v>
      </c>
      <c r="G1421" s="136" t="s">
        <v>4032</v>
      </c>
      <c r="H1421" s="136" t="s">
        <v>4724</v>
      </c>
      <c r="I1421" s="172">
        <v>1.6666666666666666E-2</v>
      </c>
      <c r="J1421" s="175">
        <v>2.7777777777777778E-4</v>
      </c>
      <c r="K1421" s="143">
        <v>24</v>
      </c>
      <c r="L1421" s="135" t="s">
        <v>398</v>
      </c>
      <c r="M1421" s="135" t="s">
        <v>24</v>
      </c>
      <c r="N1421" s="135" t="s">
        <v>102</v>
      </c>
      <c r="O1421" s="135" t="s">
        <v>115</v>
      </c>
      <c r="P1421" s="135">
        <v>1</v>
      </c>
      <c r="Q1421" s="135"/>
      <c r="R1421" s="135">
        <v>0</v>
      </c>
      <c r="S1421" s="133" t="s">
        <v>14</v>
      </c>
      <c r="T1421" s="135" t="s">
        <v>14</v>
      </c>
      <c r="U1421" s="135" t="s">
        <v>122</v>
      </c>
      <c r="V1421" s="135" t="s">
        <v>115</v>
      </c>
      <c r="W1421" s="135" t="s">
        <v>115</v>
      </c>
      <c r="X1421" s="135" t="s">
        <v>115</v>
      </c>
      <c r="Y1421" s="135" t="s">
        <v>115</v>
      </c>
      <c r="AB1421" s="137" t="s">
        <v>115</v>
      </c>
      <c r="AC1421" s="137" t="s">
        <v>115</v>
      </c>
      <c r="AD1421" s="137"/>
      <c r="AH1421" s="143">
        <v>0</v>
      </c>
      <c r="AI1421" s="143">
        <v>0</v>
      </c>
      <c r="AJ1421" s="143">
        <v>0</v>
      </c>
      <c r="AK1421" s="143">
        <v>0</v>
      </c>
      <c r="AL1421" s="143">
        <v>5</v>
      </c>
      <c r="AM1421" s="135">
        <v>0</v>
      </c>
      <c r="AN1421" s="135">
        <f t="shared" si="23"/>
        <v>5</v>
      </c>
      <c r="AO1421" s="135"/>
      <c r="AP1421" s="135"/>
      <c r="AQ1421" s="135"/>
      <c r="AR1421" s="135"/>
    </row>
    <row r="1422" spans="1:48" s="133" customFormat="1" x14ac:dyDescent="0.2">
      <c r="A1422" s="133" t="s">
        <v>605</v>
      </c>
      <c r="B1422" s="133" t="s">
        <v>606</v>
      </c>
      <c r="C1422" s="133">
        <v>2</v>
      </c>
      <c r="D1422" s="133">
        <v>1</v>
      </c>
      <c r="E1422" s="133" t="s">
        <v>324</v>
      </c>
      <c r="F1422" s="138">
        <v>43355</v>
      </c>
      <c r="G1422" s="136" t="s">
        <v>4032</v>
      </c>
      <c r="H1422" s="136" t="s">
        <v>4724</v>
      </c>
      <c r="I1422" s="148">
        <v>2.4305555555555556E-2</v>
      </c>
      <c r="J1422" s="174">
        <v>4.0509259259259258E-4</v>
      </c>
      <c r="K1422" s="139">
        <v>35</v>
      </c>
      <c r="L1422" s="133" t="s">
        <v>398</v>
      </c>
      <c r="M1422" s="133" t="s">
        <v>24</v>
      </c>
      <c r="N1422" s="133" t="s">
        <v>102</v>
      </c>
      <c r="O1422" s="133" t="s">
        <v>23</v>
      </c>
      <c r="P1422" s="133">
        <v>1</v>
      </c>
      <c r="R1422" s="133">
        <v>0</v>
      </c>
      <c r="S1422" s="133" t="s">
        <v>176</v>
      </c>
      <c r="T1422" s="133" t="s">
        <v>176</v>
      </c>
      <c r="U1422" s="133" t="s">
        <v>333</v>
      </c>
      <c r="V1422" s="133" t="s">
        <v>115</v>
      </c>
      <c r="W1422" s="135" t="s">
        <v>115</v>
      </c>
      <c r="X1422" s="135" t="s">
        <v>115</v>
      </c>
      <c r="Y1422" s="135" t="s">
        <v>115</v>
      </c>
      <c r="Z1422" s="135"/>
      <c r="AA1422" s="135"/>
      <c r="AB1422" s="134" t="s">
        <v>115</v>
      </c>
      <c r="AC1422" s="134" t="s">
        <v>115</v>
      </c>
      <c r="AD1422" s="134"/>
      <c r="AE1422" s="135"/>
      <c r="AF1422" s="135"/>
      <c r="AG1422" s="135"/>
      <c r="AH1422" s="139">
        <v>0</v>
      </c>
      <c r="AI1422" s="139">
        <v>19</v>
      </c>
      <c r="AJ1422" s="139">
        <v>19</v>
      </c>
      <c r="AK1422" s="139">
        <v>0</v>
      </c>
      <c r="AL1422" s="139">
        <v>0</v>
      </c>
      <c r="AM1422" s="133">
        <v>0</v>
      </c>
      <c r="AN1422" s="133">
        <f t="shared" si="23"/>
        <v>19</v>
      </c>
    </row>
    <row r="1423" spans="1:48" s="133" customFormat="1" x14ac:dyDescent="0.2">
      <c r="A1423" s="133" t="s">
        <v>630</v>
      </c>
      <c r="B1423" s="133" t="s">
        <v>4920</v>
      </c>
      <c r="C1423" s="133">
        <v>5</v>
      </c>
      <c r="D1423" s="133">
        <v>1</v>
      </c>
      <c r="E1423" s="133" t="s">
        <v>2601</v>
      </c>
      <c r="F1423" s="138">
        <v>43355</v>
      </c>
      <c r="G1423" s="136" t="s">
        <v>4032</v>
      </c>
      <c r="H1423" s="136" t="s">
        <v>4724</v>
      </c>
      <c r="I1423" s="148">
        <v>2.8472222222222222E-2</v>
      </c>
      <c r="J1423" s="174">
        <v>4.7453703703703704E-4</v>
      </c>
      <c r="K1423" s="139">
        <v>41</v>
      </c>
      <c r="L1423" s="133" t="s">
        <v>398</v>
      </c>
      <c r="M1423" s="133" t="s">
        <v>24</v>
      </c>
      <c r="N1423" s="133" t="s">
        <v>107</v>
      </c>
      <c r="O1423" s="133" t="s">
        <v>23</v>
      </c>
      <c r="P1423" s="133">
        <v>1</v>
      </c>
      <c r="R1423" s="133">
        <v>1</v>
      </c>
      <c r="S1423" s="133" t="s">
        <v>176</v>
      </c>
      <c r="T1423" s="133" t="s">
        <v>176</v>
      </c>
      <c r="U1423" s="133" t="s">
        <v>24</v>
      </c>
      <c r="V1423" s="133" t="s">
        <v>23</v>
      </c>
      <c r="W1423" s="140" t="s">
        <v>23</v>
      </c>
      <c r="X1423" s="140" t="s">
        <v>24</v>
      </c>
      <c r="Y1423" s="140" t="s">
        <v>24</v>
      </c>
      <c r="Z1423" s="135"/>
      <c r="AA1423" s="135"/>
      <c r="AB1423" s="133" t="s">
        <v>176</v>
      </c>
      <c r="AC1423" s="134">
        <v>63.726739999999999</v>
      </c>
      <c r="AD1423" s="134">
        <v>148.95921000000001</v>
      </c>
      <c r="AE1423" s="135"/>
      <c r="AF1423" s="135"/>
      <c r="AG1423" s="135"/>
      <c r="AH1423" s="139">
        <v>0</v>
      </c>
      <c r="AI1423" s="139">
        <v>0</v>
      </c>
      <c r="AJ1423" s="139">
        <v>0</v>
      </c>
      <c r="AK1423" s="139">
        <v>0</v>
      </c>
      <c r="AL1423" s="139">
        <v>0</v>
      </c>
      <c r="AM1423" s="133">
        <v>0</v>
      </c>
      <c r="AN1423" s="133">
        <f t="shared" si="23"/>
        <v>0</v>
      </c>
      <c r="AP1423" s="133" t="s">
        <v>634</v>
      </c>
      <c r="AS1423" s="135"/>
      <c r="AT1423" s="135"/>
      <c r="AU1423" s="135" t="s">
        <v>3947</v>
      </c>
      <c r="AV1423" s="135"/>
    </row>
    <row r="1424" spans="1:48" s="133" customFormat="1" x14ac:dyDescent="0.2">
      <c r="A1424" s="133" t="s">
        <v>647</v>
      </c>
      <c r="B1424" s="133" t="s">
        <v>644</v>
      </c>
      <c r="C1424" s="133">
        <v>2</v>
      </c>
      <c r="D1424" s="133">
        <v>1</v>
      </c>
      <c r="E1424" s="133" t="s">
        <v>2487</v>
      </c>
      <c r="F1424" s="138">
        <v>43357</v>
      </c>
      <c r="G1424" s="136" t="s">
        <v>4032</v>
      </c>
      <c r="H1424" s="136" t="s">
        <v>4724</v>
      </c>
      <c r="I1424" s="148">
        <v>1.1111111111111112E-2</v>
      </c>
      <c r="J1424" s="174">
        <v>1.8518518518518518E-4</v>
      </c>
      <c r="K1424" s="139">
        <v>16</v>
      </c>
      <c r="L1424" s="133" t="s">
        <v>640</v>
      </c>
      <c r="M1424" s="133" t="s">
        <v>24</v>
      </c>
      <c r="N1424" s="133" t="s">
        <v>111</v>
      </c>
      <c r="O1424" s="133" t="s">
        <v>23</v>
      </c>
      <c r="P1424" s="133">
        <v>0</v>
      </c>
      <c r="R1424" s="133">
        <v>1</v>
      </c>
      <c r="S1424" s="133" t="s">
        <v>176</v>
      </c>
      <c r="T1424" s="133" t="s">
        <v>176</v>
      </c>
      <c r="U1424" s="133" t="s">
        <v>115</v>
      </c>
      <c r="V1424" s="133" t="s">
        <v>645</v>
      </c>
      <c r="W1424" s="135" t="s">
        <v>23</v>
      </c>
      <c r="X1424" s="135" t="s">
        <v>3999</v>
      </c>
      <c r="Y1424" s="135" t="s">
        <v>4006</v>
      </c>
      <c r="AB1424" s="133" t="s">
        <v>24</v>
      </c>
      <c r="AC1424" s="134" t="s">
        <v>246</v>
      </c>
      <c r="AD1424" s="134"/>
      <c r="AH1424" s="139">
        <v>0</v>
      </c>
      <c r="AI1424" s="139">
        <v>0</v>
      </c>
      <c r="AJ1424" s="139">
        <v>0</v>
      </c>
      <c r="AK1424" s="139">
        <v>0</v>
      </c>
      <c r="AL1424" s="139">
        <v>0</v>
      </c>
      <c r="AM1424" s="133">
        <v>0</v>
      </c>
      <c r="AN1424" s="133">
        <f t="shared" si="23"/>
        <v>0</v>
      </c>
      <c r="AP1424" s="133" t="s">
        <v>646</v>
      </c>
    </row>
    <row r="1425" spans="1:48" s="133" customFormat="1" x14ac:dyDescent="0.2">
      <c r="A1425" s="133" t="s">
        <v>650</v>
      </c>
      <c r="B1425" s="133" t="s">
        <v>651</v>
      </c>
      <c r="C1425" s="133">
        <v>4</v>
      </c>
      <c r="D1425" s="133">
        <v>1</v>
      </c>
      <c r="E1425" s="133" t="s">
        <v>2487</v>
      </c>
      <c r="F1425" s="138">
        <v>43357</v>
      </c>
      <c r="G1425" s="136" t="s">
        <v>4032</v>
      </c>
      <c r="H1425" s="136" t="s">
        <v>4724</v>
      </c>
      <c r="I1425" s="148">
        <v>9.7222222222222224E-3</v>
      </c>
      <c r="J1425" s="174">
        <v>1.6203703703703703E-4</v>
      </c>
      <c r="K1425" s="139">
        <v>14</v>
      </c>
      <c r="L1425" s="133" t="s">
        <v>640</v>
      </c>
      <c r="M1425" s="133" t="s">
        <v>24</v>
      </c>
      <c r="N1425" s="133" t="s">
        <v>176</v>
      </c>
      <c r="O1425" s="133" t="s">
        <v>516</v>
      </c>
      <c r="P1425" s="133">
        <v>0</v>
      </c>
      <c r="R1425" s="133" t="s">
        <v>24</v>
      </c>
      <c r="S1425" s="133" t="s">
        <v>176</v>
      </c>
      <c r="T1425" s="133" t="s">
        <v>176</v>
      </c>
      <c r="U1425" s="133" t="s">
        <v>24</v>
      </c>
      <c r="V1425" s="133" t="s">
        <v>115</v>
      </c>
      <c r="Z1425" s="135"/>
      <c r="AA1425" s="135"/>
      <c r="AB1425" s="133" t="s">
        <v>115</v>
      </c>
      <c r="AC1425" s="134" t="s">
        <v>115</v>
      </c>
      <c r="AD1425" s="134"/>
      <c r="AE1425" s="135"/>
      <c r="AF1425" s="135"/>
      <c r="AG1425" s="135"/>
      <c r="AH1425" s="139">
        <v>0</v>
      </c>
      <c r="AI1425" s="139">
        <v>0</v>
      </c>
      <c r="AJ1425" s="139">
        <v>0</v>
      </c>
      <c r="AK1425" s="139">
        <v>0</v>
      </c>
      <c r="AL1425" s="139">
        <v>0</v>
      </c>
      <c r="AM1425" s="133">
        <v>0</v>
      </c>
      <c r="AN1425" s="133">
        <f t="shared" si="23"/>
        <v>0</v>
      </c>
      <c r="AP1425" s="133" t="s">
        <v>652</v>
      </c>
      <c r="AS1425" s="135"/>
      <c r="AT1425" s="135"/>
      <c r="AU1425" s="135"/>
      <c r="AV1425" s="135"/>
    </row>
    <row r="1426" spans="1:48" s="133" customFormat="1" x14ac:dyDescent="0.2">
      <c r="A1426" s="135" t="s">
        <v>713</v>
      </c>
      <c r="B1426" s="135" t="s">
        <v>4943</v>
      </c>
      <c r="C1426" s="135">
        <v>13</v>
      </c>
      <c r="D1426" s="135">
        <v>1</v>
      </c>
      <c r="E1426" s="135" t="s">
        <v>2601</v>
      </c>
      <c r="F1426" s="136">
        <v>43358</v>
      </c>
      <c r="G1426" s="136" t="s">
        <v>4032</v>
      </c>
      <c r="H1426" s="136" t="s">
        <v>4724</v>
      </c>
      <c r="I1426" s="172">
        <v>2.8472222222222222E-2</v>
      </c>
      <c r="J1426" s="175">
        <v>4.7453703703703704E-4</v>
      </c>
      <c r="K1426" s="143">
        <v>41</v>
      </c>
      <c r="L1426" s="135" t="s">
        <v>640</v>
      </c>
      <c r="M1426" s="135" t="s">
        <v>24</v>
      </c>
      <c r="N1426" s="135" t="s">
        <v>102</v>
      </c>
      <c r="O1426" s="135" t="s">
        <v>115</v>
      </c>
      <c r="P1426" s="135">
        <v>1</v>
      </c>
      <c r="Q1426" s="135"/>
      <c r="R1426" s="135">
        <v>0</v>
      </c>
      <c r="S1426" s="133" t="s">
        <v>14</v>
      </c>
      <c r="T1426" s="135" t="s">
        <v>14</v>
      </c>
      <c r="U1426" s="135" t="s">
        <v>122</v>
      </c>
      <c r="V1426" s="135" t="s">
        <v>115</v>
      </c>
      <c r="W1426" s="135" t="s">
        <v>115</v>
      </c>
      <c r="X1426" s="135" t="s">
        <v>115</v>
      </c>
      <c r="Y1426" s="135" t="s">
        <v>115</v>
      </c>
      <c r="AB1426" s="135" t="s">
        <v>115</v>
      </c>
      <c r="AC1426" s="137" t="s">
        <v>115</v>
      </c>
      <c r="AD1426" s="137"/>
      <c r="AH1426" s="143">
        <v>0</v>
      </c>
      <c r="AI1426" s="143">
        <v>0</v>
      </c>
      <c r="AJ1426" s="143">
        <v>0</v>
      </c>
      <c r="AK1426" s="143">
        <v>0</v>
      </c>
      <c r="AL1426" s="143">
        <v>24</v>
      </c>
      <c r="AM1426" s="135">
        <v>0</v>
      </c>
      <c r="AN1426" s="135">
        <f t="shared" si="23"/>
        <v>24</v>
      </c>
      <c r="AO1426" s="135"/>
      <c r="AP1426" s="135"/>
      <c r="AQ1426" s="135"/>
      <c r="AR1426" s="135"/>
    </row>
    <row r="1427" spans="1:48" s="135" customFormat="1" x14ac:dyDescent="0.2">
      <c r="A1427" s="133" t="s">
        <v>713</v>
      </c>
      <c r="B1427" s="133" t="s">
        <v>4943</v>
      </c>
      <c r="C1427" s="133">
        <v>13</v>
      </c>
      <c r="D1427" s="133">
        <v>2</v>
      </c>
      <c r="E1427" s="133" t="s">
        <v>2601</v>
      </c>
      <c r="F1427" s="138">
        <v>43358</v>
      </c>
      <c r="G1427" s="136" t="s">
        <v>4032</v>
      </c>
      <c r="H1427" s="136" t="s">
        <v>4724</v>
      </c>
      <c r="I1427" s="148">
        <v>2.8472222222222222E-2</v>
      </c>
      <c r="J1427" s="174">
        <v>4.7453703703703704E-4</v>
      </c>
      <c r="K1427" s="139">
        <v>41</v>
      </c>
      <c r="L1427" s="133" t="s">
        <v>640</v>
      </c>
      <c r="M1427" s="133" t="s">
        <v>24</v>
      </c>
      <c r="N1427" s="133" t="s">
        <v>102</v>
      </c>
      <c r="O1427" s="133" t="s">
        <v>115</v>
      </c>
      <c r="P1427" s="133">
        <v>1</v>
      </c>
      <c r="Q1427" s="133"/>
      <c r="R1427" s="133">
        <v>0</v>
      </c>
      <c r="S1427" s="133" t="s">
        <v>176</v>
      </c>
      <c r="T1427" s="133" t="s">
        <v>176</v>
      </c>
      <c r="U1427" s="133" t="s">
        <v>122</v>
      </c>
      <c r="V1427" s="133" t="s">
        <v>115</v>
      </c>
      <c r="W1427" s="135" t="s">
        <v>115</v>
      </c>
      <c r="X1427" s="135" t="s">
        <v>115</v>
      </c>
      <c r="Y1427" s="135" t="s">
        <v>115</v>
      </c>
      <c r="Z1427" s="133"/>
      <c r="AA1427" s="133"/>
      <c r="AB1427" s="133" t="s">
        <v>115</v>
      </c>
      <c r="AC1427" s="134" t="s">
        <v>115</v>
      </c>
      <c r="AD1427" s="134"/>
      <c r="AE1427" s="133"/>
      <c r="AF1427" s="133"/>
      <c r="AG1427" s="133"/>
      <c r="AH1427" s="139">
        <v>0</v>
      </c>
      <c r="AI1427" s="139">
        <v>0</v>
      </c>
      <c r="AJ1427" s="139">
        <v>0</v>
      </c>
      <c r="AK1427" s="139">
        <v>0</v>
      </c>
      <c r="AL1427" s="139">
        <v>0</v>
      </c>
      <c r="AM1427" s="133">
        <v>0</v>
      </c>
      <c r="AN1427" s="133">
        <f t="shared" si="23"/>
        <v>0</v>
      </c>
      <c r="AO1427" s="133"/>
      <c r="AP1427" s="133"/>
      <c r="AQ1427" s="133"/>
      <c r="AR1427" s="133"/>
    </row>
    <row r="1428" spans="1:48" s="133" customFormat="1" x14ac:dyDescent="0.2">
      <c r="A1428" s="133" t="s">
        <v>693</v>
      </c>
      <c r="B1428" s="133" t="s">
        <v>4939</v>
      </c>
      <c r="C1428" s="133">
        <v>3</v>
      </c>
      <c r="D1428" s="133">
        <v>1</v>
      </c>
      <c r="E1428" s="133" t="s">
        <v>2601</v>
      </c>
      <c r="F1428" s="138">
        <v>43358</v>
      </c>
      <c r="G1428" s="136" t="s">
        <v>4032</v>
      </c>
      <c r="H1428" s="136" t="s">
        <v>4724</v>
      </c>
      <c r="I1428" s="148">
        <v>2.7083333333333334E-2</v>
      </c>
      <c r="J1428" s="174">
        <v>4.5138888888888892E-4</v>
      </c>
      <c r="K1428" s="139">
        <v>39</v>
      </c>
      <c r="L1428" s="133" t="s">
        <v>640</v>
      </c>
      <c r="M1428" s="133" t="s">
        <v>24</v>
      </c>
      <c r="N1428" s="133" t="s">
        <v>102</v>
      </c>
      <c r="O1428" s="133" t="s">
        <v>23</v>
      </c>
      <c r="P1428" s="133">
        <v>1</v>
      </c>
      <c r="R1428" s="133">
        <v>1</v>
      </c>
      <c r="S1428" s="133" t="s">
        <v>461</v>
      </c>
      <c r="T1428" s="133" t="s">
        <v>2125</v>
      </c>
      <c r="U1428" s="133" t="s">
        <v>122</v>
      </c>
      <c r="V1428" s="133" t="s">
        <v>1940</v>
      </c>
      <c r="W1428" s="133" t="s">
        <v>23</v>
      </c>
      <c r="X1428" s="133" t="s">
        <v>3999</v>
      </c>
      <c r="Y1428" s="133" t="s">
        <v>4001</v>
      </c>
      <c r="AB1428" s="133">
        <v>17</v>
      </c>
      <c r="AC1428" s="134">
        <v>63.72486</v>
      </c>
      <c r="AD1428" s="134">
        <v>148.95638</v>
      </c>
      <c r="AH1428" s="139">
        <v>0</v>
      </c>
      <c r="AI1428" s="139">
        <v>0</v>
      </c>
      <c r="AJ1428" s="139">
        <v>0</v>
      </c>
      <c r="AK1428" s="139">
        <v>0</v>
      </c>
      <c r="AL1428" s="139">
        <v>0</v>
      </c>
      <c r="AM1428" s="133">
        <v>0</v>
      </c>
      <c r="AN1428" s="133">
        <f t="shared" si="23"/>
        <v>0</v>
      </c>
      <c r="AP1428" s="133" t="s">
        <v>691</v>
      </c>
    </row>
    <row r="1429" spans="1:48" s="133" customFormat="1" x14ac:dyDescent="0.2">
      <c r="A1429" s="133" t="s">
        <v>707</v>
      </c>
      <c r="B1429" s="133" t="s">
        <v>4948</v>
      </c>
      <c r="C1429" s="133">
        <v>10</v>
      </c>
      <c r="D1429" s="133">
        <v>1</v>
      </c>
      <c r="E1429" s="133" t="s">
        <v>2601</v>
      </c>
      <c r="F1429" s="138">
        <v>43358</v>
      </c>
      <c r="G1429" s="136" t="s">
        <v>4032</v>
      </c>
      <c r="H1429" s="136" t="s">
        <v>4724</v>
      </c>
      <c r="I1429" s="148">
        <v>1.2499999999999999E-2</v>
      </c>
      <c r="J1429" s="174">
        <v>2.0833333333333335E-4</v>
      </c>
      <c r="K1429" s="139">
        <v>18</v>
      </c>
      <c r="L1429" s="133" t="s">
        <v>640</v>
      </c>
      <c r="M1429" s="133" t="s">
        <v>24</v>
      </c>
      <c r="N1429" s="133" t="s">
        <v>111</v>
      </c>
      <c r="O1429" s="133" t="s">
        <v>23</v>
      </c>
      <c r="P1429" s="133">
        <v>0</v>
      </c>
      <c r="R1429" s="133">
        <v>1</v>
      </c>
      <c r="S1429" s="133" t="s">
        <v>176</v>
      </c>
      <c r="T1429" s="133" t="s">
        <v>176</v>
      </c>
      <c r="U1429" s="133" t="s">
        <v>24</v>
      </c>
      <c r="V1429" s="133" t="s">
        <v>709</v>
      </c>
      <c r="W1429" s="133" t="s">
        <v>23</v>
      </c>
      <c r="X1429" s="133" t="s">
        <v>4004</v>
      </c>
      <c r="Y1429" s="133" t="s">
        <v>4005</v>
      </c>
      <c r="AB1429" s="133" t="s">
        <v>24</v>
      </c>
      <c r="AC1429" s="134">
        <v>63.72484</v>
      </c>
      <c r="AD1429" s="134">
        <v>148.95616000000001</v>
      </c>
      <c r="AH1429" s="139">
        <v>0</v>
      </c>
      <c r="AI1429" s="139">
        <v>0</v>
      </c>
      <c r="AJ1429" s="139">
        <v>0</v>
      </c>
      <c r="AK1429" s="139">
        <v>0</v>
      </c>
      <c r="AL1429" s="139">
        <v>0</v>
      </c>
      <c r="AM1429" s="133">
        <v>0</v>
      </c>
      <c r="AN1429" s="133">
        <f t="shared" si="23"/>
        <v>0</v>
      </c>
      <c r="AS1429" s="135"/>
      <c r="AT1429" s="135"/>
      <c r="AU1429" s="135"/>
      <c r="AV1429" s="135"/>
    </row>
    <row r="1430" spans="1:48" s="133" customFormat="1" x14ac:dyDescent="0.2">
      <c r="A1430" s="135" t="s">
        <v>716</v>
      </c>
      <c r="B1430" s="135" t="s">
        <v>4944</v>
      </c>
      <c r="C1430" s="135">
        <v>16</v>
      </c>
      <c r="D1430" s="135">
        <v>1</v>
      </c>
      <c r="E1430" s="135" t="s">
        <v>2601</v>
      </c>
      <c r="F1430" s="136">
        <v>43358</v>
      </c>
      <c r="G1430" s="136" t="s">
        <v>4032</v>
      </c>
      <c r="H1430" s="136" t="s">
        <v>4724</v>
      </c>
      <c r="I1430" s="172">
        <v>2.7083333333333334E-2</v>
      </c>
      <c r="J1430" s="175">
        <v>4.5138888888888892E-4</v>
      </c>
      <c r="K1430" s="143">
        <v>39</v>
      </c>
      <c r="L1430" s="135" t="s">
        <v>640</v>
      </c>
      <c r="M1430" s="135" t="s">
        <v>24</v>
      </c>
      <c r="N1430" s="135" t="s">
        <v>102</v>
      </c>
      <c r="O1430" s="135" t="s">
        <v>115</v>
      </c>
      <c r="P1430" s="135">
        <v>1</v>
      </c>
      <c r="Q1430" s="135"/>
      <c r="R1430" s="135">
        <v>0</v>
      </c>
      <c r="S1430" s="133" t="s">
        <v>176</v>
      </c>
      <c r="T1430" s="135" t="s">
        <v>176</v>
      </c>
      <c r="U1430" s="135" t="s">
        <v>122</v>
      </c>
      <c r="V1430" s="135" t="s">
        <v>115</v>
      </c>
      <c r="W1430" s="135" t="s">
        <v>115</v>
      </c>
      <c r="X1430" s="135" t="s">
        <v>115</v>
      </c>
      <c r="Y1430" s="135" t="s">
        <v>115</v>
      </c>
      <c r="Z1430" s="135"/>
      <c r="AA1430" s="135"/>
      <c r="AB1430" s="135" t="s">
        <v>115</v>
      </c>
      <c r="AC1430" s="137" t="s">
        <v>115</v>
      </c>
      <c r="AD1430" s="137"/>
      <c r="AE1430" s="135"/>
      <c r="AF1430" s="135"/>
      <c r="AG1430" s="135"/>
      <c r="AH1430" s="143">
        <v>0</v>
      </c>
      <c r="AI1430" s="143">
        <v>0</v>
      </c>
      <c r="AJ1430" s="143">
        <v>0</v>
      </c>
      <c r="AK1430" s="143">
        <v>0</v>
      </c>
      <c r="AL1430" s="143">
        <v>16</v>
      </c>
      <c r="AM1430" s="135">
        <v>0</v>
      </c>
      <c r="AN1430" s="135">
        <f t="shared" si="23"/>
        <v>16</v>
      </c>
      <c r="AO1430" s="135"/>
      <c r="AP1430" s="135"/>
      <c r="AQ1430" s="135"/>
      <c r="AR1430" s="135"/>
    </row>
    <row r="1431" spans="1:48" s="135" customFormat="1" x14ac:dyDescent="0.2">
      <c r="A1431" s="133" t="s">
        <v>730</v>
      </c>
      <c r="B1431" s="133" t="s">
        <v>731</v>
      </c>
      <c r="C1431" s="133">
        <v>3</v>
      </c>
      <c r="D1431" s="133">
        <v>1</v>
      </c>
      <c r="E1431" s="133" t="s">
        <v>2487</v>
      </c>
      <c r="F1431" s="138">
        <v>43359</v>
      </c>
      <c r="G1431" s="136" t="s">
        <v>4032</v>
      </c>
      <c r="H1431" s="136" t="s">
        <v>4724</v>
      </c>
      <c r="I1431" s="148">
        <v>1.0416666666666666E-2</v>
      </c>
      <c r="J1431" s="174">
        <v>1.7361111111111112E-4</v>
      </c>
      <c r="K1431" s="139">
        <v>15</v>
      </c>
      <c r="L1431" s="133" t="s">
        <v>398</v>
      </c>
      <c r="M1431" s="133" t="s">
        <v>24</v>
      </c>
      <c r="N1431" s="133" t="s">
        <v>187</v>
      </c>
      <c r="O1431" s="133" t="s">
        <v>23</v>
      </c>
      <c r="P1431" s="133">
        <v>1</v>
      </c>
      <c r="Q1431" s="133"/>
      <c r="R1431" s="133">
        <v>1</v>
      </c>
      <c r="S1431" s="133" t="s">
        <v>176</v>
      </c>
      <c r="T1431" s="133" t="s">
        <v>4901</v>
      </c>
      <c r="U1431" s="133" t="s">
        <v>501</v>
      </c>
      <c r="V1431" s="133" t="s">
        <v>1035</v>
      </c>
      <c r="W1431" s="135" t="s">
        <v>23</v>
      </c>
      <c r="X1431" s="135" t="s">
        <v>3997</v>
      </c>
      <c r="Y1431" s="135" t="s">
        <v>4006</v>
      </c>
      <c r="Z1431" s="133"/>
      <c r="AA1431" s="133"/>
      <c r="AB1431" s="134" t="s">
        <v>176</v>
      </c>
      <c r="AC1431" s="134" t="s">
        <v>246</v>
      </c>
      <c r="AD1431" s="134"/>
      <c r="AE1431" s="133"/>
      <c r="AF1431" s="133"/>
      <c r="AG1431" s="133"/>
      <c r="AH1431" s="139">
        <v>0</v>
      </c>
      <c r="AI1431" s="139">
        <v>0</v>
      </c>
      <c r="AJ1431" s="139">
        <v>0</v>
      </c>
      <c r="AK1431" s="139">
        <v>0</v>
      </c>
      <c r="AL1431" s="139">
        <v>0</v>
      </c>
      <c r="AM1431" s="133">
        <v>0</v>
      </c>
      <c r="AN1431" s="133">
        <f t="shared" si="23"/>
        <v>0</v>
      </c>
      <c r="AO1431" s="133"/>
      <c r="AP1431" s="133"/>
      <c r="AQ1431" s="133"/>
      <c r="AR1431" s="133"/>
    </row>
    <row r="1432" spans="1:48" s="133" customFormat="1" x14ac:dyDescent="0.2">
      <c r="A1432" s="135" t="s">
        <v>811</v>
      </c>
      <c r="B1432" s="135" t="s">
        <v>812</v>
      </c>
      <c r="C1432" s="135">
        <v>7</v>
      </c>
      <c r="D1432" s="135">
        <v>1</v>
      </c>
      <c r="E1432" s="135" t="s">
        <v>3171</v>
      </c>
      <c r="F1432" s="136">
        <v>43360</v>
      </c>
      <c r="G1432" s="136" t="s">
        <v>4032</v>
      </c>
      <c r="H1432" s="136" t="s">
        <v>4724</v>
      </c>
      <c r="I1432" s="172">
        <v>7.6388888888888886E-3</v>
      </c>
      <c r="J1432" s="175">
        <v>1.273148148148148E-4</v>
      </c>
      <c r="K1432" s="143">
        <v>11</v>
      </c>
      <c r="L1432" s="135" t="s">
        <v>397</v>
      </c>
      <c r="M1432" s="135" t="s">
        <v>24</v>
      </c>
      <c r="N1432" s="135" t="s">
        <v>102</v>
      </c>
      <c r="O1432" s="135" t="s">
        <v>115</v>
      </c>
      <c r="P1432" s="135" t="s">
        <v>24</v>
      </c>
      <c r="Q1432" s="135"/>
      <c r="R1432" s="135">
        <v>0</v>
      </c>
      <c r="S1432" s="133" t="s">
        <v>176</v>
      </c>
      <c r="T1432" s="135" t="s">
        <v>176</v>
      </c>
      <c r="U1432" s="135" t="s">
        <v>115</v>
      </c>
      <c r="V1432" s="135" t="s">
        <v>115</v>
      </c>
      <c r="W1432" s="135" t="s">
        <v>115</v>
      </c>
      <c r="X1432" s="135" t="s">
        <v>115</v>
      </c>
      <c r="Y1432" s="135" t="s">
        <v>115</v>
      </c>
      <c r="AB1432" s="135" t="s">
        <v>115</v>
      </c>
      <c r="AC1432" s="137" t="s">
        <v>115</v>
      </c>
      <c r="AD1432" s="137"/>
      <c r="AH1432" s="143">
        <v>0</v>
      </c>
      <c r="AI1432" s="143">
        <v>0</v>
      </c>
      <c r="AJ1432" s="143">
        <v>0</v>
      </c>
      <c r="AK1432" s="143">
        <v>0</v>
      </c>
      <c r="AL1432" s="143">
        <v>7</v>
      </c>
      <c r="AM1432" s="135">
        <v>0</v>
      </c>
      <c r="AN1432" s="135">
        <f t="shared" si="23"/>
        <v>7</v>
      </c>
      <c r="AO1432" s="135"/>
      <c r="AP1432" s="135"/>
      <c r="AQ1432" s="135"/>
      <c r="AR1432" s="135"/>
    </row>
    <row r="1433" spans="1:48" s="133" customFormat="1" x14ac:dyDescent="0.2">
      <c r="A1433" s="133" t="s">
        <v>789</v>
      </c>
      <c r="B1433" s="133" t="s">
        <v>790</v>
      </c>
      <c r="C1433" s="133">
        <v>1</v>
      </c>
      <c r="D1433" s="133">
        <v>1</v>
      </c>
      <c r="E1433" s="133" t="s">
        <v>791</v>
      </c>
      <c r="F1433" s="138">
        <v>43360</v>
      </c>
      <c r="G1433" s="136" t="s">
        <v>4032</v>
      </c>
      <c r="H1433" s="136" t="s">
        <v>4724</v>
      </c>
      <c r="I1433" s="148">
        <v>4.8611111111111112E-3</v>
      </c>
      <c r="J1433" s="174">
        <v>8.1018518518518516E-5</v>
      </c>
      <c r="K1433" s="139">
        <v>7</v>
      </c>
      <c r="L1433" s="133" t="s">
        <v>397</v>
      </c>
      <c r="M1433" s="133" t="s">
        <v>24</v>
      </c>
      <c r="N1433" s="133" t="s">
        <v>107</v>
      </c>
      <c r="O1433" s="133" t="s">
        <v>23</v>
      </c>
      <c r="P1433" s="133">
        <v>1</v>
      </c>
      <c r="R1433" s="133">
        <v>0</v>
      </c>
      <c r="S1433" s="133" t="s">
        <v>1618</v>
      </c>
      <c r="T1433" s="133" t="s">
        <v>2132</v>
      </c>
      <c r="U1433" s="133" t="s">
        <v>24</v>
      </c>
      <c r="V1433" s="133" t="s">
        <v>115</v>
      </c>
      <c r="W1433" s="135" t="s">
        <v>115</v>
      </c>
      <c r="X1433" s="135" t="s">
        <v>115</v>
      </c>
      <c r="Y1433" s="135" t="s">
        <v>115</v>
      </c>
      <c r="AB1433" s="133" t="s">
        <v>115</v>
      </c>
      <c r="AC1433" s="134" t="s">
        <v>115</v>
      </c>
      <c r="AD1433" s="134"/>
      <c r="AH1433" s="139">
        <v>0</v>
      </c>
      <c r="AI1433" s="139">
        <v>0</v>
      </c>
      <c r="AJ1433" s="139">
        <v>0</v>
      </c>
      <c r="AK1433" s="139">
        <v>0</v>
      </c>
      <c r="AL1433" s="139">
        <v>0</v>
      </c>
      <c r="AM1433" s="133">
        <v>0</v>
      </c>
      <c r="AN1433" s="133">
        <f t="shared" si="23"/>
        <v>0</v>
      </c>
    </row>
    <row r="1434" spans="1:48" s="133" customFormat="1" x14ac:dyDescent="0.2">
      <c r="A1434" s="135" t="s">
        <v>803</v>
      </c>
      <c r="B1434" s="135" t="s">
        <v>804</v>
      </c>
      <c r="C1434" s="135">
        <v>3</v>
      </c>
      <c r="D1434" s="135">
        <v>1</v>
      </c>
      <c r="E1434" s="135" t="s">
        <v>3171</v>
      </c>
      <c r="F1434" s="136">
        <v>43360</v>
      </c>
      <c r="G1434" s="136" t="s">
        <v>4032</v>
      </c>
      <c r="H1434" s="136" t="s">
        <v>4724</v>
      </c>
      <c r="I1434" s="172">
        <v>1.5277777777777777E-2</v>
      </c>
      <c r="J1434" s="175">
        <v>2.5462962962962961E-4</v>
      </c>
      <c r="K1434" s="143">
        <v>22</v>
      </c>
      <c r="L1434" s="135" t="s">
        <v>397</v>
      </c>
      <c r="M1434" s="135" t="s">
        <v>24</v>
      </c>
      <c r="N1434" s="135" t="s">
        <v>102</v>
      </c>
      <c r="O1434" s="135" t="s">
        <v>115</v>
      </c>
      <c r="P1434" s="135" t="s">
        <v>24</v>
      </c>
      <c r="Q1434" s="135"/>
      <c r="R1434" s="135">
        <v>0</v>
      </c>
      <c r="S1434" s="135"/>
      <c r="T1434" s="135" t="s">
        <v>115</v>
      </c>
      <c r="U1434" s="135" t="s">
        <v>115</v>
      </c>
      <c r="V1434" s="135" t="s">
        <v>115</v>
      </c>
      <c r="W1434" s="135" t="s">
        <v>115</v>
      </c>
      <c r="X1434" s="135" t="s">
        <v>115</v>
      </c>
      <c r="Y1434" s="135" t="s">
        <v>115</v>
      </c>
      <c r="AB1434" s="135" t="s">
        <v>115</v>
      </c>
      <c r="AC1434" s="137" t="s">
        <v>115</v>
      </c>
      <c r="AD1434" s="137"/>
      <c r="AH1434" s="143">
        <v>0</v>
      </c>
      <c r="AI1434" s="143">
        <v>0</v>
      </c>
      <c r="AJ1434" s="143">
        <v>0</v>
      </c>
      <c r="AK1434" s="143">
        <v>0</v>
      </c>
      <c r="AL1434" s="143">
        <v>5</v>
      </c>
      <c r="AM1434" s="135">
        <v>0</v>
      </c>
      <c r="AN1434" s="135">
        <f t="shared" si="23"/>
        <v>5</v>
      </c>
      <c r="AO1434" s="135" t="s">
        <v>103</v>
      </c>
      <c r="AP1434" s="135"/>
      <c r="AQ1434" s="135"/>
      <c r="AR1434" s="135"/>
      <c r="AS1434" s="135"/>
      <c r="AT1434" s="135"/>
      <c r="AU1434" s="135"/>
      <c r="AV1434" s="135"/>
    </row>
    <row r="1435" spans="1:48" s="133" customFormat="1" x14ac:dyDescent="0.2">
      <c r="A1435" s="135" t="s">
        <v>805</v>
      </c>
      <c r="B1435" s="135" t="s">
        <v>806</v>
      </c>
      <c r="C1435" s="135">
        <v>4</v>
      </c>
      <c r="D1435" s="135">
        <v>1</v>
      </c>
      <c r="E1435" s="135" t="s">
        <v>3171</v>
      </c>
      <c r="F1435" s="136">
        <v>43360</v>
      </c>
      <c r="G1435" s="136" t="s">
        <v>4032</v>
      </c>
      <c r="H1435" s="136" t="s">
        <v>4724</v>
      </c>
      <c r="I1435" s="172">
        <v>2.2916666666666669E-2</v>
      </c>
      <c r="J1435" s="175">
        <v>3.8194444444444446E-4</v>
      </c>
      <c r="K1435" s="143">
        <v>33</v>
      </c>
      <c r="L1435" s="135" t="s">
        <v>397</v>
      </c>
      <c r="M1435" s="135" t="s">
        <v>24</v>
      </c>
      <c r="N1435" s="135" t="s">
        <v>102</v>
      </c>
      <c r="O1435" s="135" t="s">
        <v>115</v>
      </c>
      <c r="P1435" s="135">
        <v>1</v>
      </c>
      <c r="Q1435" s="135"/>
      <c r="R1435" s="135">
        <v>0</v>
      </c>
      <c r="S1435" s="133" t="s">
        <v>176</v>
      </c>
      <c r="T1435" s="135" t="s">
        <v>176</v>
      </c>
      <c r="U1435" s="135" t="s">
        <v>122</v>
      </c>
      <c r="V1435" s="135" t="s">
        <v>115</v>
      </c>
      <c r="W1435" s="135" t="s">
        <v>115</v>
      </c>
      <c r="X1435" s="135" t="s">
        <v>115</v>
      </c>
      <c r="Y1435" s="135" t="s">
        <v>115</v>
      </c>
      <c r="Z1435" s="135"/>
      <c r="AA1435" s="135"/>
      <c r="AB1435" s="135" t="s">
        <v>115</v>
      </c>
      <c r="AC1435" s="137" t="s">
        <v>115</v>
      </c>
      <c r="AD1435" s="137"/>
      <c r="AE1435" s="135"/>
      <c r="AF1435" s="135"/>
      <c r="AG1435" s="135"/>
      <c r="AH1435" s="143">
        <v>0</v>
      </c>
      <c r="AI1435" s="143">
        <v>0</v>
      </c>
      <c r="AJ1435" s="143">
        <v>0</v>
      </c>
      <c r="AK1435" s="143">
        <v>0</v>
      </c>
      <c r="AL1435" s="143">
        <v>15</v>
      </c>
      <c r="AM1435" s="135">
        <v>0</v>
      </c>
      <c r="AN1435" s="135">
        <f t="shared" si="23"/>
        <v>15</v>
      </c>
      <c r="AO1435" s="135" t="s">
        <v>103</v>
      </c>
      <c r="AP1435" s="135"/>
      <c r="AQ1435" s="135"/>
      <c r="AR1435" s="135"/>
    </row>
    <row r="1436" spans="1:48" s="133" customFormat="1" x14ac:dyDescent="0.2">
      <c r="A1436" s="133" t="s">
        <v>807</v>
      </c>
      <c r="B1436" s="133" t="s">
        <v>808</v>
      </c>
      <c r="C1436" s="133">
        <v>5</v>
      </c>
      <c r="D1436" s="133">
        <v>1</v>
      </c>
      <c r="E1436" s="133" t="s">
        <v>3171</v>
      </c>
      <c r="F1436" s="138">
        <v>43360</v>
      </c>
      <c r="G1436" s="136" t="s">
        <v>4032</v>
      </c>
      <c r="H1436" s="136" t="s">
        <v>4724</v>
      </c>
      <c r="I1436" s="148">
        <v>2.6388888888888889E-2</v>
      </c>
      <c r="J1436" s="174">
        <v>4.3981481481481481E-4</v>
      </c>
      <c r="K1436" s="139">
        <v>38</v>
      </c>
      <c r="L1436" s="133" t="s">
        <v>397</v>
      </c>
      <c r="M1436" s="133" t="s">
        <v>176</v>
      </c>
      <c r="N1436" s="133" t="s">
        <v>3953</v>
      </c>
      <c r="O1436" s="133" t="s">
        <v>23</v>
      </c>
      <c r="P1436" s="133">
        <v>1</v>
      </c>
      <c r="R1436" s="133">
        <v>1</v>
      </c>
      <c r="S1436" s="133" t="s">
        <v>176</v>
      </c>
      <c r="T1436" s="133" t="s">
        <v>176</v>
      </c>
      <c r="U1436" s="133" t="s">
        <v>122</v>
      </c>
      <c r="V1436" s="133" t="s">
        <v>487</v>
      </c>
      <c r="W1436" s="135" t="s">
        <v>23</v>
      </c>
      <c r="X1436" s="135" t="s">
        <v>3997</v>
      </c>
      <c r="Y1436" s="135" t="s">
        <v>4001</v>
      </c>
      <c r="Z1436" s="135"/>
      <c r="AA1436" s="135"/>
      <c r="AB1436" s="133" t="s">
        <v>24</v>
      </c>
      <c r="AC1436" s="134">
        <v>63.722329999999999</v>
      </c>
      <c r="AD1436" s="134">
        <v>148.95236</v>
      </c>
      <c r="AE1436" s="135"/>
      <c r="AF1436" s="135"/>
      <c r="AG1436" s="135"/>
      <c r="AH1436" s="139">
        <v>0</v>
      </c>
      <c r="AI1436" s="139">
        <v>0</v>
      </c>
      <c r="AJ1436" s="139">
        <v>0</v>
      </c>
      <c r="AK1436" s="139">
        <v>0</v>
      </c>
      <c r="AL1436" s="139">
        <v>0</v>
      </c>
      <c r="AM1436" s="133">
        <v>0</v>
      </c>
      <c r="AN1436" s="133">
        <f t="shared" si="23"/>
        <v>0</v>
      </c>
      <c r="AO1436" s="133" t="s">
        <v>375</v>
      </c>
      <c r="AQ1436" s="133">
        <v>0</v>
      </c>
      <c r="AR1436" s="133">
        <v>0</v>
      </c>
    </row>
    <row r="1437" spans="1:48" s="133" customFormat="1" x14ac:dyDescent="0.2">
      <c r="A1437" s="135" t="s">
        <v>890</v>
      </c>
      <c r="B1437" s="135" t="s">
        <v>4964</v>
      </c>
      <c r="C1437" s="135">
        <v>5</v>
      </c>
      <c r="D1437" s="135">
        <v>1</v>
      </c>
      <c r="E1437" s="135" t="s">
        <v>2601</v>
      </c>
      <c r="F1437" s="136">
        <v>43363</v>
      </c>
      <c r="G1437" s="136" t="s">
        <v>4032</v>
      </c>
      <c r="H1437" s="136" t="s">
        <v>4724</v>
      </c>
      <c r="I1437" s="172">
        <v>2.361111111111111E-2</v>
      </c>
      <c r="J1437" s="175">
        <v>3.9351851851851852E-4</v>
      </c>
      <c r="K1437" s="143">
        <v>34</v>
      </c>
      <c r="L1437" s="135" t="s">
        <v>884</v>
      </c>
      <c r="M1437" s="135" t="s">
        <v>176</v>
      </c>
      <c r="N1437" s="135" t="s">
        <v>102</v>
      </c>
      <c r="O1437" s="135" t="s">
        <v>115</v>
      </c>
      <c r="P1437" s="135">
        <v>1</v>
      </c>
      <c r="Q1437" s="135"/>
      <c r="R1437" s="135">
        <v>0</v>
      </c>
      <c r="S1437" s="133" t="s">
        <v>14</v>
      </c>
      <c r="T1437" s="135" t="s">
        <v>2128</v>
      </c>
      <c r="U1437" s="135" t="s">
        <v>122</v>
      </c>
      <c r="V1437" s="135" t="s">
        <v>115</v>
      </c>
      <c r="W1437" s="135" t="s">
        <v>115</v>
      </c>
      <c r="X1437" s="135" t="s">
        <v>115</v>
      </c>
      <c r="Y1437" s="135" t="s">
        <v>115</v>
      </c>
      <c r="Z1437" s="135"/>
      <c r="AA1437" s="135"/>
      <c r="AB1437" s="135" t="s">
        <v>115</v>
      </c>
      <c r="AC1437" s="137" t="s">
        <v>115</v>
      </c>
      <c r="AD1437" s="137"/>
      <c r="AE1437" s="135"/>
      <c r="AF1437" s="135"/>
      <c r="AG1437" s="135"/>
      <c r="AH1437" s="143">
        <v>0</v>
      </c>
      <c r="AI1437" s="143">
        <v>0</v>
      </c>
      <c r="AJ1437" s="143">
        <v>0</v>
      </c>
      <c r="AK1437" s="143">
        <v>0</v>
      </c>
      <c r="AL1437" s="143">
        <v>27</v>
      </c>
      <c r="AM1437" s="135">
        <v>0</v>
      </c>
      <c r="AN1437" s="135">
        <f t="shared" si="23"/>
        <v>27</v>
      </c>
      <c r="AO1437" s="135"/>
      <c r="AP1437" s="135"/>
      <c r="AQ1437" s="135"/>
      <c r="AR1437" s="135"/>
      <c r="AS1437" s="135"/>
      <c r="AT1437" s="135"/>
      <c r="AU1437" s="135"/>
      <c r="AV1437" s="135"/>
    </row>
    <row r="1438" spans="1:48" s="133" customFormat="1" x14ac:dyDescent="0.2">
      <c r="A1438" s="133" t="s">
        <v>965</v>
      </c>
      <c r="B1438" s="133" t="s">
        <v>966</v>
      </c>
      <c r="C1438" s="133">
        <v>2</v>
      </c>
      <c r="D1438" s="133">
        <v>1</v>
      </c>
      <c r="E1438" s="133" t="s">
        <v>791</v>
      </c>
      <c r="F1438" s="138">
        <v>43369</v>
      </c>
      <c r="G1438" s="136" t="s">
        <v>4032</v>
      </c>
      <c r="H1438" s="136" t="s">
        <v>4724</v>
      </c>
      <c r="I1438" s="148">
        <v>2.0833333333333332E-2</v>
      </c>
      <c r="J1438" s="174">
        <v>3.4722222222222224E-4</v>
      </c>
      <c r="K1438" s="139">
        <v>30</v>
      </c>
      <c r="L1438" s="133" t="s">
        <v>398</v>
      </c>
      <c r="M1438" s="133" t="s">
        <v>24</v>
      </c>
      <c r="N1438" s="133" t="s">
        <v>107</v>
      </c>
      <c r="O1438" s="133" t="s">
        <v>23</v>
      </c>
      <c r="P1438" s="133">
        <v>1</v>
      </c>
      <c r="R1438" s="133">
        <v>0</v>
      </c>
      <c r="S1438" s="133" t="s">
        <v>176</v>
      </c>
      <c r="T1438" s="133" t="s">
        <v>176</v>
      </c>
      <c r="U1438" s="133" t="s">
        <v>24</v>
      </c>
      <c r="V1438" s="133" t="s">
        <v>115</v>
      </c>
      <c r="W1438" s="135" t="s">
        <v>115</v>
      </c>
      <c r="X1438" s="135" t="s">
        <v>115</v>
      </c>
      <c r="Y1438" s="135" t="s">
        <v>115</v>
      </c>
      <c r="AB1438" s="133" t="s">
        <v>115</v>
      </c>
      <c r="AC1438" s="134" t="s">
        <v>115</v>
      </c>
      <c r="AD1438" s="134"/>
      <c r="AH1438" s="139">
        <v>0</v>
      </c>
      <c r="AI1438" s="139">
        <v>0</v>
      </c>
      <c r="AJ1438" s="139">
        <v>0</v>
      </c>
      <c r="AK1438" s="139">
        <v>0</v>
      </c>
      <c r="AL1438" s="139">
        <v>0</v>
      </c>
      <c r="AM1438" s="133">
        <v>0</v>
      </c>
      <c r="AN1438" s="133">
        <f t="shared" si="23"/>
        <v>0</v>
      </c>
      <c r="AP1438" s="133" t="s">
        <v>967</v>
      </c>
    </row>
    <row r="1439" spans="1:48" s="133" customFormat="1" x14ac:dyDescent="0.2">
      <c r="A1439" s="135" t="s">
        <v>977</v>
      </c>
      <c r="B1439" s="135" t="s">
        <v>978</v>
      </c>
      <c r="C1439" s="135">
        <v>1</v>
      </c>
      <c r="D1439" s="135">
        <v>1</v>
      </c>
      <c r="E1439" s="135" t="s">
        <v>3171</v>
      </c>
      <c r="F1439" s="136">
        <v>43369</v>
      </c>
      <c r="G1439" s="136" t="s">
        <v>4032</v>
      </c>
      <c r="H1439" s="136" t="s">
        <v>4724</v>
      </c>
      <c r="I1439" s="172">
        <v>1.1111111111111112E-2</v>
      </c>
      <c r="J1439" s="175">
        <v>1.8518518518518518E-4</v>
      </c>
      <c r="K1439" s="143">
        <v>16</v>
      </c>
      <c r="L1439" s="135" t="s">
        <v>398</v>
      </c>
      <c r="M1439" s="135" t="s">
        <v>24</v>
      </c>
      <c r="N1439" s="135" t="s">
        <v>102</v>
      </c>
      <c r="O1439" s="135" t="s">
        <v>115</v>
      </c>
      <c r="P1439" s="135" t="s">
        <v>24</v>
      </c>
      <c r="Q1439" s="135"/>
      <c r="R1439" s="135">
        <v>0</v>
      </c>
      <c r="S1439" s="133" t="s">
        <v>176</v>
      </c>
      <c r="T1439" s="135" t="s">
        <v>176</v>
      </c>
      <c r="U1439" s="135" t="s">
        <v>115</v>
      </c>
      <c r="V1439" s="135" t="s">
        <v>115</v>
      </c>
      <c r="W1439" s="135" t="s">
        <v>115</v>
      </c>
      <c r="X1439" s="135" t="s">
        <v>115</v>
      </c>
      <c r="Y1439" s="135" t="s">
        <v>115</v>
      </c>
      <c r="AB1439" s="135" t="s">
        <v>115</v>
      </c>
      <c r="AC1439" s="137" t="s">
        <v>115</v>
      </c>
      <c r="AD1439" s="137"/>
      <c r="AH1439" s="143">
        <v>0</v>
      </c>
      <c r="AI1439" s="143">
        <v>0</v>
      </c>
      <c r="AJ1439" s="143">
        <v>0</v>
      </c>
      <c r="AK1439" s="143">
        <v>0</v>
      </c>
      <c r="AL1439" s="143">
        <v>3</v>
      </c>
      <c r="AM1439" s="135">
        <v>0</v>
      </c>
      <c r="AN1439" s="135">
        <f t="shared" si="23"/>
        <v>3</v>
      </c>
      <c r="AO1439" s="135"/>
      <c r="AP1439" s="135"/>
      <c r="AQ1439" s="135"/>
      <c r="AR1439" s="135"/>
    </row>
    <row r="1440" spans="1:48" s="133" customFormat="1" x14ac:dyDescent="0.2">
      <c r="A1440" s="133" t="s">
        <v>1047</v>
      </c>
      <c r="B1440" s="133" t="s">
        <v>1048</v>
      </c>
      <c r="C1440" s="133">
        <v>6</v>
      </c>
      <c r="D1440" s="133">
        <v>1</v>
      </c>
      <c r="E1440" s="133" t="s">
        <v>2487</v>
      </c>
      <c r="F1440" s="138">
        <v>43370</v>
      </c>
      <c r="G1440" s="136" t="s">
        <v>4032</v>
      </c>
      <c r="H1440" s="136" t="s">
        <v>4724</v>
      </c>
      <c r="I1440" s="148">
        <v>2.0833333333333332E-2</v>
      </c>
      <c r="J1440" s="174">
        <v>3.4722222222222224E-4</v>
      </c>
      <c r="K1440" s="139">
        <v>30</v>
      </c>
      <c r="L1440" s="133" t="s">
        <v>398</v>
      </c>
      <c r="M1440" s="133" t="s">
        <v>176</v>
      </c>
      <c r="N1440" s="133" t="s">
        <v>228</v>
      </c>
      <c r="O1440" s="133" t="s">
        <v>23</v>
      </c>
      <c r="P1440" s="133">
        <v>1</v>
      </c>
      <c r="R1440" s="133">
        <v>0</v>
      </c>
      <c r="S1440" s="133" t="s">
        <v>461</v>
      </c>
      <c r="T1440" s="133" t="s">
        <v>461</v>
      </c>
      <c r="U1440" s="133" t="s">
        <v>333</v>
      </c>
      <c r="V1440" s="133" t="s">
        <v>115</v>
      </c>
      <c r="W1440" s="135" t="s">
        <v>115</v>
      </c>
      <c r="X1440" s="135" t="s">
        <v>115</v>
      </c>
      <c r="Y1440" s="135" t="s">
        <v>115</v>
      </c>
      <c r="Z1440" s="135"/>
      <c r="AA1440" s="135"/>
      <c r="AB1440" s="133" t="s">
        <v>115</v>
      </c>
      <c r="AC1440" s="134" t="s">
        <v>115</v>
      </c>
      <c r="AD1440" s="134"/>
      <c r="AE1440" s="135"/>
      <c r="AF1440" s="135"/>
      <c r="AG1440" s="135"/>
      <c r="AH1440" s="139">
        <v>0</v>
      </c>
      <c r="AI1440" s="139">
        <v>16</v>
      </c>
      <c r="AJ1440" s="139">
        <v>16</v>
      </c>
      <c r="AK1440" s="139">
        <v>0</v>
      </c>
      <c r="AL1440" s="139">
        <v>0</v>
      </c>
      <c r="AM1440" s="133">
        <v>0</v>
      </c>
      <c r="AN1440" s="133">
        <f t="shared" si="23"/>
        <v>16</v>
      </c>
    </row>
    <row r="1441" spans="1:48" s="135" customFormat="1" x14ac:dyDescent="0.2">
      <c r="A1441" s="135" t="s">
        <v>1065</v>
      </c>
      <c r="B1441" s="135" t="s">
        <v>1066</v>
      </c>
      <c r="C1441" s="135">
        <v>5</v>
      </c>
      <c r="D1441" s="135">
        <v>1</v>
      </c>
      <c r="E1441" s="135" t="s">
        <v>324</v>
      </c>
      <c r="F1441" s="136">
        <v>43370</v>
      </c>
      <c r="G1441" s="136" t="s">
        <v>4032</v>
      </c>
      <c r="H1441" s="136" t="s">
        <v>4724</v>
      </c>
      <c r="I1441" s="172">
        <v>2.1527777777777781E-2</v>
      </c>
      <c r="J1441" s="175">
        <v>3.5879629629629635E-4</v>
      </c>
      <c r="K1441" s="143">
        <v>31</v>
      </c>
      <c r="L1441" s="135" t="s">
        <v>397</v>
      </c>
      <c r="M1441" s="135" t="s">
        <v>176</v>
      </c>
      <c r="N1441" s="135" t="s">
        <v>187</v>
      </c>
      <c r="O1441" s="135" t="s">
        <v>23</v>
      </c>
      <c r="P1441" s="135">
        <v>1</v>
      </c>
      <c r="R1441" s="135">
        <v>1</v>
      </c>
      <c r="S1441" s="133" t="s">
        <v>176</v>
      </c>
      <c r="T1441" s="135" t="s">
        <v>176</v>
      </c>
      <c r="U1441" s="135" t="s">
        <v>122</v>
      </c>
      <c r="V1441" s="135" t="s">
        <v>3963</v>
      </c>
      <c r="W1441" s="135" t="s">
        <v>23</v>
      </c>
      <c r="X1441" s="135" t="s">
        <v>3997</v>
      </c>
      <c r="Y1441" s="135" t="s">
        <v>4007</v>
      </c>
      <c r="AB1441" s="135">
        <v>10</v>
      </c>
      <c r="AC1441" s="137">
        <v>63.724850000000004</v>
      </c>
      <c r="AD1441" s="137">
        <v>148.88839999999999</v>
      </c>
      <c r="AH1441" s="143">
        <v>0</v>
      </c>
      <c r="AI1441" s="143">
        <v>0</v>
      </c>
      <c r="AJ1441" s="143">
        <v>0</v>
      </c>
      <c r="AK1441" s="143">
        <v>0</v>
      </c>
      <c r="AL1441" s="143">
        <v>2</v>
      </c>
      <c r="AM1441" s="135">
        <v>0</v>
      </c>
      <c r="AN1441" s="135">
        <f t="shared" si="23"/>
        <v>2</v>
      </c>
      <c r="AP1441" s="135" t="s">
        <v>4974</v>
      </c>
      <c r="AS1441" s="133"/>
      <c r="AT1441" s="133"/>
      <c r="AU1441" s="133"/>
      <c r="AV1441" s="133"/>
    </row>
    <row r="1442" spans="1:48" s="133" customFormat="1" x14ac:dyDescent="0.2">
      <c r="A1442" s="133" t="s">
        <v>1073</v>
      </c>
      <c r="B1442" s="133" t="s">
        <v>1079</v>
      </c>
      <c r="C1442" s="133">
        <v>1</v>
      </c>
      <c r="D1442" s="133">
        <v>1</v>
      </c>
      <c r="E1442" s="133" t="s">
        <v>3171</v>
      </c>
      <c r="F1442" s="138">
        <v>43371</v>
      </c>
      <c r="G1442" s="136" t="s">
        <v>4032</v>
      </c>
      <c r="H1442" s="136" t="s">
        <v>4724</v>
      </c>
      <c r="I1442" s="148">
        <v>9.0277777777777787E-3</v>
      </c>
      <c r="J1442" s="174">
        <v>1.5046296296296297E-4</v>
      </c>
      <c r="K1442" s="139">
        <v>13</v>
      </c>
      <c r="L1442" s="133" t="s">
        <v>483</v>
      </c>
      <c r="M1442" s="133" t="s">
        <v>176</v>
      </c>
      <c r="N1442" s="133" t="s">
        <v>111</v>
      </c>
      <c r="O1442" s="133" t="s">
        <v>23</v>
      </c>
      <c r="P1442" s="133">
        <v>0</v>
      </c>
      <c r="R1442" s="133">
        <v>1</v>
      </c>
      <c r="S1442" s="133" t="s">
        <v>176</v>
      </c>
      <c r="T1442" s="133" t="s">
        <v>176</v>
      </c>
      <c r="U1442" s="133" t="s">
        <v>24</v>
      </c>
      <c r="V1442" s="133" t="s">
        <v>2068</v>
      </c>
      <c r="W1442" s="135" t="s">
        <v>23</v>
      </c>
      <c r="X1442" s="135" t="s">
        <v>3997</v>
      </c>
      <c r="Y1442" s="135" t="s">
        <v>4005</v>
      </c>
      <c r="Z1442" s="135"/>
      <c r="AA1442" s="135"/>
      <c r="AB1442" s="133" t="s">
        <v>24</v>
      </c>
      <c r="AC1442" s="134">
        <v>63.723210000000002</v>
      </c>
      <c r="AD1442" s="134">
        <v>148.95068000000001</v>
      </c>
      <c r="AE1442" s="135"/>
      <c r="AF1442" s="135"/>
      <c r="AG1442" s="135"/>
      <c r="AH1442" s="139">
        <v>0</v>
      </c>
      <c r="AI1442" s="139">
        <v>0</v>
      </c>
      <c r="AJ1442" s="139">
        <v>0</v>
      </c>
      <c r="AK1442" s="139">
        <v>0</v>
      </c>
      <c r="AL1442" s="139">
        <v>0</v>
      </c>
      <c r="AM1442" s="133">
        <v>0</v>
      </c>
      <c r="AN1442" s="133">
        <f t="shared" si="23"/>
        <v>0</v>
      </c>
      <c r="AS1442" s="135"/>
      <c r="AT1442" s="135"/>
      <c r="AU1442" s="135" t="s">
        <v>3948</v>
      </c>
      <c r="AV1442" s="135"/>
    </row>
    <row r="1443" spans="1:48" s="133" customFormat="1" x14ac:dyDescent="0.2">
      <c r="A1443" s="135" t="s">
        <v>408</v>
      </c>
      <c r="B1443" s="135" t="s">
        <v>409</v>
      </c>
      <c r="C1443" s="135">
        <v>4</v>
      </c>
      <c r="D1443" s="135">
        <v>1</v>
      </c>
      <c r="E1443" s="135" t="s">
        <v>324</v>
      </c>
      <c r="F1443" s="136">
        <v>43350</v>
      </c>
      <c r="G1443" s="136" t="s">
        <v>4032</v>
      </c>
      <c r="H1443" s="136" t="s">
        <v>4724</v>
      </c>
      <c r="I1443" s="172">
        <v>6.25E-2</v>
      </c>
      <c r="J1443" s="175">
        <v>1.0416666666666667E-3</v>
      </c>
      <c r="K1443" s="143">
        <v>90</v>
      </c>
      <c r="L1443" s="135" t="s">
        <v>398</v>
      </c>
      <c r="M1443" s="135" t="s">
        <v>176</v>
      </c>
      <c r="N1443" s="135" t="s">
        <v>410</v>
      </c>
      <c r="O1443" s="135" t="s">
        <v>12</v>
      </c>
      <c r="P1443" s="135">
        <v>1</v>
      </c>
      <c r="Q1443" s="135"/>
      <c r="R1443" s="135">
        <v>0</v>
      </c>
      <c r="S1443" s="133" t="s">
        <v>461</v>
      </c>
      <c r="T1443" s="135" t="s">
        <v>461</v>
      </c>
      <c r="U1443" s="135" t="s">
        <v>2063</v>
      </c>
      <c r="V1443" s="135" t="s">
        <v>115</v>
      </c>
      <c r="W1443" s="135" t="s">
        <v>115</v>
      </c>
      <c r="X1443" s="135" t="s">
        <v>115</v>
      </c>
      <c r="Y1443" s="135" t="s">
        <v>115</v>
      </c>
      <c r="AB1443" s="135" t="s">
        <v>115</v>
      </c>
      <c r="AC1443" s="137" t="s">
        <v>115</v>
      </c>
      <c r="AD1443" s="137"/>
      <c r="AH1443" s="143">
        <v>0</v>
      </c>
      <c r="AI1443" s="143">
        <v>0</v>
      </c>
      <c r="AJ1443" s="143">
        <v>0</v>
      </c>
      <c r="AK1443" s="143">
        <v>0</v>
      </c>
      <c r="AL1443" s="143">
        <v>12</v>
      </c>
      <c r="AM1443" s="135">
        <v>0</v>
      </c>
      <c r="AN1443" s="135">
        <f t="shared" si="23"/>
        <v>12</v>
      </c>
      <c r="AO1443" s="135"/>
      <c r="AP1443" s="135"/>
      <c r="AQ1443" s="135"/>
      <c r="AR1443" s="135"/>
    </row>
    <row r="1444" spans="1:48" s="133" customFormat="1" x14ac:dyDescent="0.2">
      <c r="A1444" s="133" t="s">
        <v>408</v>
      </c>
      <c r="B1444" s="133" t="s">
        <v>409</v>
      </c>
      <c r="C1444" s="133">
        <v>4</v>
      </c>
      <c r="D1444" s="133">
        <v>1</v>
      </c>
      <c r="E1444" s="133" t="s">
        <v>324</v>
      </c>
      <c r="F1444" s="138">
        <v>43350</v>
      </c>
      <c r="G1444" s="136" t="s">
        <v>4032</v>
      </c>
      <c r="H1444" s="136" t="s">
        <v>4724</v>
      </c>
      <c r="I1444" s="148">
        <v>6.25E-2</v>
      </c>
      <c r="J1444" s="174">
        <v>1.0416666666666667E-3</v>
      </c>
      <c r="K1444" s="139">
        <v>90</v>
      </c>
      <c r="L1444" s="133" t="s">
        <v>398</v>
      </c>
      <c r="M1444" s="133" t="s">
        <v>176</v>
      </c>
      <c r="N1444" s="133" t="s">
        <v>410</v>
      </c>
      <c r="O1444" s="133" t="s">
        <v>12</v>
      </c>
      <c r="P1444" s="133">
        <v>1</v>
      </c>
      <c r="R1444" s="133">
        <v>0</v>
      </c>
      <c r="S1444" s="133" t="s">
        <v>461</v>
      </c>
      <c r="T1444" s="133" t="s">
        <v>461</v>
      </c>
      <c r="U1444" s="133" t="s">
        <v>2063</v>
      </c>
      <c r="V1444" s="133" t="s">
        <v>115</v>
      </c>
      <c r="W1444" s="135" t="s">
        <v>115</v>
      </c>
      <c r="X1444" s="135" t="s">
        <v>115</v>
      </c>
      <c r="Y1444" s="135" t="s">
        <v>115</v>
      </c>
      <c r="AB1444" s="133" t="s">
        <v>115</v>
      </c>
      <c r="AC1444" s="134" t="s">
        <v>115</v>
      </c>
      <c r="AD1444" s="134"/>
      <c r="AH1444" s="139">
        <v>0</v>
      </c>
      <c r="AI1444" s="139">
        <v>0</v>
      </c>
      <c r="AJ1444" s="139">
        <v>0</v>
      </c>
      <c r="AK1444" s="139">
        <v>0</v>
      </c>
      <c r="AL1444" s="139">
        <v>4</v>
      </c>
      <c r="AM1444" s="133">
        <v>0</v>
      </c>
      <c r="AN1444" s="133">
        <f t="shared" si="23"/>
        <v>4</v>
      </c>
    </row>
    <row r="1445" spans="1:48" s="133" customFormat="1" x14ac:dyDescent="0.2">
      <c r="A1445" s="133" t="s">
        <v>270</v>
      </c>
      <c r="E1445" s="133" t="s">
        <v>213</v>
      </c>
      <c r="F1445" s="138">
        <v>43346</v>
      </c>
      <c r="G1445" s="136" t="s">
        <v>4032</v>
      </c>
      <c r="H1445" s="136" t="s">
        <v>4724</v>
      </c>
      <c r="I1445" s="148" t="s">
        <v>115</v>
      </c>
      <c r="J1445" s="174"/>
      <c r="K1445" s="139">
        <v>0</v>
      </c>
      <c r="M1445" s="133" t="s">
        <v>24</v>
      </c>
      <c r="N1445" s="133" t="s">
        <v>111</v>
      </c>
      <c r="O1445" s="133" t="s">
        <v>23</v>
      </c>
      <c r="P1445" s="133">
        <v>0</v>
      </c>
      <c r="R1445" s="133">
        <v>1</v>
      </c>
      <c r="S1445" s="133" t="s">
        <v>176</v>
      </c>
      <c r="T1445" s="133" t="s">
        <v>176</v>
      </c>
      <c r="U1445" s="133" t="s">
        <v>24</v>
      </c>
      <c r="V1445" s="133" t="s">
        <v>23</v>
      </c>
      <c r="W1445" s="135" t="s">
        <v>23</v>
      </c>
      <c r="X1445" s="135" t="s">
        <v>24</v>
      </c>
      <c r="Y1445" s="135" t="s">
        <v>176</v>
      </c>
      <c r="Z1445" s="135"/>
      <c r="AA1445" s="135"/>
      <c r="AB1445" s="133" t="s">
        <v>24</v>
      </c>
      <c r="AC1445" s="134">
        <v>63.72287</v>
      </c>
      <c r="AD1445" s="134">
        <v>148.98138</v>
      </c>
      <c r="AE1445" s="135"/>
      <c r="AF1445" s="135"/>
      <c r="AG1445" s="135"/>
      <c r="AH1445" s="133">
        <v>0</v>
      </c>
      <c r="AI1445" s="133">
        <v>0</v>
      </c>
      <c r="AJ1445" s="133">
        <v>0</v>
      </c>
      <c r="AK1445" s="133">
        <v>0</v>
      </c>
      <c r="AL1445" s="133">
        <v>0</v>
      </c>
      <c r="AM1445" s="133">
        <v>0</v>
      </c>
      <c r="AN1445" s="133">
        <f t="shared" si="23"/>
        <v>0</v>
      </c>
      <c r="AP1445" s="133" t="s">
        <v>4897</v>
      </c>
      <c r="AQ1445" s="133">
        <v>0</v>
      </c>
      <c r="AR1445" s="133">
        <v>0</v>
      </c>
      <c r="AS1445" s="135"/>
      <c r="AT1445" s="135"/>
      <c r="AU1445" s="135"/>
      <c r="AV1445" s="135"/>
    </row>
    <row r="1446" spans="1:48" s="133" customFormat="1" x14ac:dyDescent="0.2">
      <c r="A1446" s="133" t="s">
        <v>270</v>
      </c>
      <c r="E1446" s="133" t="s">
        <v>2601</v>
      </c>
      <c r="F1446" s="138">
        <v>43358</v>
      </c>
      <c r="G1446" s="136" t="s">
        <v>4032</v>
      </c>
      <c r="H1446" s="136" t="s">
        <v>4724</v>
      </c>
      <c r="I1446" s="148"/>
      <c r="J1446" s="174"/>
      <c r="K1446" s="139">
        <v>0</v>
      </c>
      <c r="L1446" s="133" t="s">
        <v>640</v>
      </c>
      <c r="M1446" s="133" t="s">
        <v>24</v>
      </c>
      <c r="N1446" s="133" t="s">
        <v>111</v>
      </c>
      <c r="O1446" s="133" t="s">
        <v>23</v>
      </c>
      <c r="P1446" s="133">
        <v>0</v>
      </c>
      <c r="R1446" s="133">
        <v>1</v>
      </c>
      <c r="S1446" s="133" t="s">
        <v>461</v>
      </c>
      <c r="T1446" s="133" t="s">
        <v>2125</v>
      </c>
      <c r="U1446" s="133" t="s">
        <v>115</v>
      </c>
      <c r="V1446" s="133" t="s">
        <v>23</v>
      </c>
      <c r="W1446" s="140" t="s">
        <v>23</v>
      </c>
      <c r="X1446" s="140" t="s">
        <v>24</v>
      </c>
      <c r="Y1446" s="140" t="s">
        <v>24</v>
      </c>
      <c r="Z1446" s="135"/>
      <c r="AA1446" s="135"/>
      <c r="AB1446" s="133">
        <v>28</v>
      </c>
      <c r="AC1446" s="134">
        <v>63.725029999999997</v>
      </c>
      <c r="AD1446" s="134">
        <v>148.95626999999999</v>
      </c>
      <c r="AE1446" s="135"/>
      <c r="AF1446" s="135"/>
      <c r="AG1446" s="135"/>
      <c r="AH1446" s="139">
        <v>0</v>
      </c>
      <c r="AI1446" s="139">
        <v>0</v>
      </c>
      <c r="AJ1446" s="139">
        <v>0</v>
      </c>
      <c r="AK1446" s="139">
        <v>0</v>
      </c>
      <c r="AL1446" s="139">
        <v>0</v>
      </c>
      <c r="AM1446" s="133">
        <v>0</v>
      </c>
      <c r="AN1446" s="133">
        <f t="shared" si="23"/>
        <v>0</v>
      </c>
      <c r="AO1446" s="139"/>
      <c r="AP1446" s="133" t="s">
        <v>4951</v>
      </c>
    </row>
    <row r="1447" spans="1:48" s="133" customFormat="1" x14ac:dyDescent="0.2">
      <c r="A1447" s="133" t="s">
        <v>270</v>
      </c>
      <c r="E1447" s="133" t="s">
        <v>2601</v>
      </c>
      <c r="F1447" s="138">
        <v>43366</v>
      </c>
      <c r="G1447" s="136" t="s">
        <v>4032</v>
      </c>
      <c r="H1447" s="136" t="s">
        <v>4724</v>
      </c>
      <c r="I1447" s="148"/>
      <c r="J1447" s="174"/>
      <c r="K1447" s="139">
        <v>0</v>
      </c>
      <c r="L1447" s="133" t="s">
        <v>398</v>
      </c>
      <c r="M1447" s="133" t="s">
        <v>24</v>
      </c>
      <c r="N1447" s="133" t="s">
        <v>111</v>
      </c>
      <c r="O1447" s="133" t="s">
        <v>23</v>
      </c>
      <c r="P1447" s="133">
        <v>1</v>
      </c>
      <c r="R1447" s="133">
        <v>1</v>
      </c>
      <c r="S1447" s="133" t="s">
        <v>14</v>
      </c>
      <c r="T1447" s="133" t="s">
        <v>14</v>
      </c>
      <c r="U1447" s="133" t="s">
        <v>122</v>
      </c>
      <c r="V1447" s="133" t="s">
        <v>939</v>
      </c>
      <c r="W1447" s="140" t="s">
        <v>23</v>
      </c>
      <c r="X1447" s="133" t="s">
        <v>3999</v>
      </c>
      <c r="Y1447" s="133" t="s">
        <v>4005</v>
      </c>
      <c r="AB1447" s="133">
        <v>5</v>
      </c>
      <c r="AC1447" s="134">
        <v>63.725430000000003</v>
      </c>
      <c r="AD1447" s="134">
        <v>148.9597</v>
      </c>
      <c r="AH1447" s="139">
        <v>0</v>
      </c>
      <c r="AI1447" s="139">
        <v>0</v>
      </c>
      <c r="AJ1447" s="139">
        <v>0</v>
      </c>
      <c r="AK1447" s="139">
        <v>0</v>
      </c>
      <c r="AL1447" s="139">
        <v>0</v>
      </c>
      <c r="AM1447" s="133">
        <v>0</v>
      </c>
      <c r="AN1447" s="133">
        <f t="shared" si="23"/>
        <v>0</v>
      </c>
      <c r="AP1447" s="133" t="s">
        <v>941</v>
      </c>
    </row>
    <row r="1448" spans="1:48" s="133" customFormat="1" x14ac:dyDescent="0.2">
      <c r="A1448" s="133" t="s">
        <v>348</v>
      </c>
      <c r="E1448" s="133" t="s">
        <v>2487</v>
      </c>
      <c r="F1448" s="138">
        <v>43348</v>
      </c>
      <c r="G1448" s="136" t="s">
        <v>4032</v>
      </c>
      <c r="H1448" s="136" t="s">
        <v>4724</v>
      </c>
      <c r="I1448" s="148"/>
      <c r="J1448" s="174"/>
      <c r="K1448" s="139">
        <v>0</v>
      </c>
      <c r="L1448" s="133" t="s">
        <v>397</v>
      </c>
      <c r="M1448" s="133" t="s">
        <v>24</v>
      </c>
      <c r="N1448" s="133" t="s">
        <v>159</v>
      </c>
      <c r="O1448" s="133" t="s">
        <v>23</v>
      </c>
      <c r="P1448" s="133">
        <v>0</v>
      </c>
      <c r="R1448" s="133">
        <v>1</v>
      </c>
      <c r="S1448" s="133" t="s">
        <v>14</v>
      </c>
      <c r="T1448" s="133" t="s">
        <v>2128</v>
      </c>
      <c r="U1448" s="133" t="s">
        <v>122</v>
      </c>
      <c r="V1448" s="133" t="s">
        <v>134</v>
      </c>
      <c r="W1448" s="135" t="s">
        <v>23</v>
      </c>
      <c r="X1448" s="135" t="s">
        <v>24</v>
      </c>
      <c r="Y1448" s="135" t="s">
        <v>4006</v>
      </c>
      <c r="AB1448" s="133" t="s">
        <v>176</v>
      </c>
      <c r="AC1448" s="134">
        <v>63.72148</v>
      </c>
      <c r="AD1448" s="134">
        <v>148.98616000000001</v>
      </c>
      <c r="AH1448" s="133">
        <v>0</v>
      </c>
      <c r="AI1448" s="133">
        <v>0</v>
      </c>
      <c r="AJ1448" s="133">
        <v>0</v>
      </c>
      <c r="AK1448" s="133">
        <v>0</v>
      </c>
      <c r="AL1448" s="133">
        <v>0</v>
      </c>
      <c r="AM1448" s="133">
        <v>0</v>
      </c>
      <c r="AN1448" s="133">
        <f t="shared" si="23"/>
        <v>0</v>
      </c>
      <c r="AP1448" s="133" t="s">
        <v>351</v>
      </c>
      <c r="AS1448" s="135"/>
      <c r="AT1448" s="135"/>
      <c r="AU1448" s="135"/>
      <c r="AV1448" s="135"/>
    </row>
    <row r="1449" spans="1:48" s="133" customFormat="1" x14ac:dyDescent="0.2">
      <c r="A1449" s="133" t="s">
        <v>342</v>
      </c>
      <c r="B1449" s="133" t="s">
        <v>345</v>
      </c>
      <c r="C1449" s="133">
        <v>2</v>
      </c>
      <c r="D1449" s="133">
        <v>1</v>
      </c>
      <c r="E1449" s="133" t="s">
        <v>2487</v>
      </c>
      <c r="F1449" s="138">
        <v>43348</v>
      </c>
      <c r="G1449" s="136" t="s">
        <v>4032</v>
      </c>
      <c r="H1449" s="136" t="s">
        <v>4724</v>
      </c>
      <c r="I1449" s="148">
        <v>7.3611111111111113E-2</v>
      </c>
      <c r="J1449" s="174">
        <v>1.2268518518518518E-3</v>
      </c>
      <c r="K1449" s="139">
        <v>106</v>
      </c>
      <c r="L1449" s="133" t="s">
        <v>397</v>
      </c>
      <c r="M1449" s="133" t="s">
        <v>344</v>
      </c>
      <c r="N1449" s="133" t="s">
        <v>111</v>
      </c>
      <c r="O1449" s="133" t="s">
        <v>23</v>
      </c>
      <c r="P1449" s="133">
        <v>1</v>
      </c>
      <c r="R1449" s="133">
        <v>1</v>
      </c>
      <c r="S1449" s="133" t="s">
        <v>176</v>
      </c>
      <c r="T1449" s="133" t="s">
        <v>176</v>
      </c>
      <c r="U1449" s="133" t="s">
        <v>122</v>
      </c>
      <c r="V1449" s="133" t="s">
        <v>3978</v>
      </c>
      <c r="W1449" s="135" t="s">
        <v>23</v>
      </c>
      <c r="X1449" s="135" t="s">
        <v>3997</v>
      </c>
      <c r="Y1449" s="135" t="s">
        <v>4007</v>
      </c>
      <c r="Z1449" s="135"/>
      <c r="AA1449" s="135"/>
      <c r="AB1449" s="133" t="s">
        <v>176</v>
      </c>
      <c r="AC1449" s="134" t="s">
        <v>246</v>
      </c>
      <c r="AD1449" s="134"/>
      <c r="AE1449" s="135"/>
      <c r="AF1449" s="135"/>
      <c r="AG1449" s="135"/>
      <c r="AH1449" s="133">
        <v>0</v>
      </c>
      <c r="AI1449" s="133">
        <v>0</v>
      </c>
      <c r="AJ1449" s="133">
        <v>0</v>
      </c>
      <c r="AK1449" s="133">
        <v>0</v>
      </c>
      <c r="AL1449" s="133">
        <v>10</v>
      </c>
      <c r="AM1449" s="133">
        <v>0</v>
      </c>
      <c r="AN1449" s="133">
        <f t="shared" si="23"/>
        <v>10</v>
      </c>
      <c r="AP1449" s="133" t="s">
        <v>1273</v>
      </c>
    </row>
    <row r="1450" spans="1:48" s="133" customFormat="1" x14ac:dyDescent="0.2">
      <c r="A1450" s="133" t="s">
        <v>920</v>
      </c>
      <c r="B1450" s="133" t="s">
        <v>921</v>
      </c>
      <c r="C1450" s="133">
        <v>1</v>
      </c>
      <c r="D1450" s="133">
        <v>1</v>
      </c>
      <c r="E1450" s="133" t="s">
        <v>2487</v>
      </c>
      <c r="F1450" s="138">
        <v>43367</v>
      </c>
      <c r="G1450" s="136" t="s">
        <v>4032</v>
      </c>
      <c r="H1450" s="136" t="s">
        <v>4724</v>
      </c>
      <c r="I1450" s="148">
        <v>1.3888888888888888E-2</v>
      </c>
      <c r="J1450" s="174">
        <v>2.3148148148148146E-4</v>
      </c>
      <c r="K1450" s="139">
        <v>20</v>
      </c>
      <c r="L1450" s="133" t="s">
        <v>884</v>
      </c>
      <c r="M1450" s="133" t="s">
        <v>344</v>
      </c>
      <c r="N1450" s="133" t="s">
        <v>102</v>
      </c>
      <c r="O1450" s="133" t="s">
        <v>23</v>
      </c>
      <c r="P1450" s="133">
        <v>1</v>
      </c>
      <c r="R1450" s="133">
        <v>0</v>
      </c>
      <c r="S1450" s="133" t="s">
        <v>176</v>
      </c>
      <c r="T1450" s="133" t="s">
        <v>176</v>
      </c>
      <c r="U1450" s="133" t="s">
        <v>501</v>
      </c>
      <c r="V1450" s="133" t="s">
        <v>115</v>
      </c>
      <c r="W1450" s="135" t="s">
        <v>115</v>
      </c>
      <c r="X1450" s="135" t="s">
        <v>115</v>
      </c>
      <c r="Y1450" s="135" t="s">
        <v>115</v>
      </c>
      <c r="AB1450" s="133" t="s">
        <v>115</v>
      </c>
      <c r="AC1450" s="134" t="s">
        <v>115</v>
      </c>
      <c r="AD1450" s="134"/>
      <c r="AH1450" s="139">
        <v>0</v>
      </c>
      <c r="AI1450" s="139">
        <v>5</v>
      </c>
      <c r="AJ1450" s="139">
        <v>0</v>
      </c>
      <c r="AK1450" s="139">
        <v>5</v>
      </c>
      <c r="AL1450" s="139">
        <v>0</v>
      </c>
      <c r="AM1450" s="133">
        <v>0</v>
      </c>
      <c r="AN1450" s="133">
        <f t="shared" si="23"/>
        <v>5</v>
      </c>
      <c r="AO1450" s="133" t="s">
        <v>375</v>
      </c>
      <c r="AQ1450" s="133">
        <v>1</v>
      </c>
      <c r="AR1450" s="133">
        <v>0</v>
      </c>
    </row>
    <row r="1451" spans="1:48" s="133" customFormat="1" x14ac:dyDescent="0.2">
      <c r="A1451" s="135" t="s">
        <v>1045</v>
      </c>
      <c r="B1451" s="135" t="s">
        <v>1046</v>
      </c>
      <c r="C1451" s="135">
        <v>5</v>
      </c>
      <c r="D1451" s="135">
        <v>1</v>
      </c>
      <c r="E1451" s="135" t="s">
        <v>2487</v>
      </c>
      <c r="F1451" s="136">
        <v>43370</v>
      </c>
      <c r="G1451" s="136" t="s">
        <v>4032</v>
      </c>
      <c r="H1451" s="136" t="s">
        <v>4724</v>
      </c>
      <c r="I1451" s="172">
        <v>4.8611111111111112E-3</v>
      </c>
      <c r="J1451" s="175">
        <v>8.1018518518518516E-5</v>
      </c>
      <c r="K1451" s="143">
        <v>7</v>
      </c>
      <c r="L1451" s="135" t="s">
        <v>398</v>
      </c>
      <c r="M1451" s="135" t="s">
        <v>344</v>
      </c>
      <c r="N1451" s="135" t="s">
        <v>102</v>
      </c>
      <c r="O1451" s="135" t="s">
        <v>115</v>
      </c>
      <c r="P1451" s="135">
        <v>1</v>
      </c>
      <c r="Q1451" s="135"/>
      <c r="R1451" s="135">
        <v>0</v>
      </c>
      <c r="S1451" s="133" t="s">
        <v>176</v>
      </c>
      <c r="T1451" s="135" t="s">
        <v>176</v>
      </c>
      <c r="U1451" s="135" t="s">
        <v>122</v>
      </c>
      <c r="V1451" s="135" t="s">
        <v>115</v>
      </c>
      <c r="W1451" s="135" t="s">
        <v>115</v>
      </c>
      <c r="X1451" s="135" t="s">
        <v>115</v>
      </c>
      <c r="Y1451" s="135" t="s">
        <v>115</v>
      </c>
      <c r="Z1451" s="135"/>
      <c r="AA1451" s="135"/>
      <c r="AB1451" s="135" t="s">
        <v>115</v>
      </c>
      <c r="AC1451" s="137" t="s">
        <v>115</v>
      </c>
      <c r="AD1451" s="137"/>
      <c r="AE1451" s="135"/>
      <c r="AF1451" s="135"/>
      <c r="AG1451" s="135"/>
      <c r="AH1451" s="135">
        <v>0</v>
      </c>
      <c r="AI1451" s="143">
        <v>0</v>
      </c>
      <c r="AJ1451" s="143">
        <v>0</v>
      </c>
      <c r="AK1451" s="143">
        <v>0</v>
      </c>
      <c r="AL1451" s="143">
        <v>7</v>
      </c>
      <c r="AM1451" s="135">
        <v>0</v>
      </c>
      <c r="AN1451" s="135">
        <f t="shared" si="23"/>
        <v>7</v>
      </c>
      <c r="AO1451" s="135"/>
      <c r="AP1451" s="135"/>
      <c r="AQ1451" s="135"/>
      <c r="AR1451" s="135"/>
    </row>
    <row r="1452" spans="1:48" s="133" customFormat="1" x14ac:dyDescent="0.2">
      <c r="A1452" s="133" t="s">
        <v>348</v>
      </c>
      <c r="E1452" s="133" t="s">
        <v>2487</v>
      </c>
      <c r="F1452" s="138">
        <v>43348</v>
      </c>
      <c r="G1452" s="136" t="s">
        <v>4032</v>
      </c>
      <c r="H1452" s="136" t="s">
        <v>4724</v>
      </c>
      <c r="I1452" s="148"/>
      <c r="J1452" s="174"/>
      <c r="K1452" s="139">
        <v>0</v>
      </c>
      <c r="L1452" s="133" t="s">
        <v>397</v>
      </c>
      <c r="M1452" s="133" t="s">
        <v>344</v>
      </c>
      <c r="N1452" s="133" t="s">
        <v>111</v>
      </c>
      <c r="O1452" s="133" t="s">
        <v>23</v>
      </c>
      <c r="P1452" s="133">
        <v>0</v>
      </c>
      <c r="R1452" s="133">
        <v>1</v>
      </c>
      <c r="S1452" s="133" t="s">
        <v>176</v>
      </c>
      <c r="T1452" s="133" t="s">
        <v>176</v>
      </c>
      <c r="U1452" s="133" t="s">
        <v>176</v>
      </c>
      <c r="V1452" s="133" t="s">
        <v>134</v>
      </c>
      <c r="W1452" s="140" t="s">
        <v>23</v>
      </c>
      <c r="X1452" s="140" t="s">
        <v>24</v>
      </c>
      <c r="Y1452" s="140" t="s">
        <v>4006</v>
      </c>
      <c r="AB1452" s="133" t="s">
        <v>176</v>
      </c>
      <c r="AC1452" s="134">
        <v>63.721179999999997</v>
      </c>
      <c r="AD1452" s="134">
        <v>148.98785000000001</v>
      </c>
      <c r="AH1452" s="133">
        <v>0</v>
      </c>
      <c r="AI1452" s="133">
        <v>0</v>
      </c>
      <c r="AJ1452" s="133">
        <v>0</v>
      </c>
      <c r="AK1452" s="133">
        <v>0</v>
      </c>
      <c r="AL1452" s="133">
        <v>0</v>
      </c>
      <c r="AM1452" s="133">
        <v>0</v>
      </c>
      <c r="AN1452" s="133">
        <f t="shared" si="23"/>
        <v>0</v>
      </c>
      <c r="AP1452" s="133" t="s">
        <v>349</v>
      </c>
    </row>
    <row r="1453" spans="1:48" s="133" customFormat="1" x14ac:dyDescent="0.2">
      <c r="A1453" s="133" t="s">
        <v>254</v>
      </c>
      <c r="B1453" s="133" t="s">
        <v>273</v>
      </c>
      <c r="C1453" s="133">
        <v>1</v>
      </c>
      <c r="D1453" s="133">
        <v>1</v>
      </c>
      <c r="E1453" s="133" t="s">
        <v>272</v>
      </c>
      <c r="F1453" s="138">
        <v>43346</v>
      </c>
      <c r="G1453" s="136" t="s">
        <v>4032</v>
      </c>
      <c r="H1453" s="136" t="s">
        <v>4724</v>
      </c>
      <c r="I1453" s="148">
        <v>2.361111111111111E-2</v>
      </c>
      <c r="J1453" s="174">
        <v>3.9351851851851852E-4</v>
      </c>
      <c r="K1453" s="139">
        <v>34</v>
      </c>
      <c r="M1453" s="133" t="s">
        <v>255</v>
      </c>
      <c r="N1453" s="133" t="s">
        <v>102</v>
      </c>
      <c r="O1453" s="133" t="s">
        <v>115</v>
      </c>
      <c r="P1453" s="133">
        <v>1</v>
      </c>
      <c r="R1453" s="133">
        <v>0</v>
      </c>
      <c r="S1453" s="133" t="s">
        <v>1618</v>
      </c>
      <c r="T1453" s="133" t="s">
        <v>1618</v>
      </c>
      <c r="U1453" s="133" t="s">
        <v>122</v>
      </c>
      <c r="V1453" s="133" t="s">
        <v>115</v>
      </c>
      <c r="W1453" s="135" t="s">
        <v>115</v>
      </c>
      <c r="X1453" s="135" t="s">
        <v>115</v>
      </c>
      <c r="Y1453" s="135" t="s">
        <v>115</v>
      </c>
      <c r="AB1453" s="133" t="s">
        <v>115</v>
      </c>
      <c r="AC1453" s="134" t="s">
        <v>115</v>
      </c>
      <c r="AD1453" s="134"/>
      <c r="AH1453" s="133">
        <v>0</v>
      </c>
      <c r="AI1453" s="133">
        <v>0</v>
      </c>
      <c r="AJ1453" s="133">
        <v>0</v>
      </c>
      <c r="AK1453" s="133">
        <v>0</v>
      </c>
      <c r="AL1453" s="133">
        <v>0</v>
      </c>
      <c r="AM1453" s="133">
        <v>0</v>
      </c>
      <c r="AN1453" s="133">
        <f t="shared" si="23"/>
        <v>0</v>
      </c>
      <c r="AO1453" s="133" t="s">
        <v>117</v>
      </c>
      <c r="AP1453" s="133" t="s">
        <v>256</v>
      </c>
      <c r="AQ1453" s="133">
        <v>0</v>
      </c>
      <c r="AR1453" s="133">
        <v>0</v>
      </c>
    </row>
    <row r="1454" spans="1:48" s="135" customFormat="1" x14ac:dyDescent="0.2">
      <c r="A1454" s="135" t="s">
        <v>265</v>
      </c>
      <c r="B1454" s="135" t="s">
        <v>278</v>
      </c>
      <c r="C1454" s="135">
        <v>6</v>
      </c>
      <c r="D1454" s="135">
        <v>2</v>
      </c>
      <c r="E1454" s="135" t="s">
        <v>272</v>
      </c>
      <c r="F1454" s="136">
        <v>43346</v>
      </c>
      <c r="G1454" s="136" t="s">
        <v>4032</v>
      </c>
      <c r="H1454" s="136" t="s">
        <v>4724</v>
      </c>
      <c r="I1454" s="172">
        <v>8.4722222222222213E-2</v>
      </c>
      <c r="J1454" s="175">
        <v>1.4120370370370369E-3</v>
      </c>
      <c r="K1454" s="143">
        <v>122</v>
      </c>
      <c r="M1454" s="135" t="s">
        <v>255</v>
      </c>
      <c r="N1454" s="135" t="s">
        <v>111</v>
      </c>
      <c r="O1454" s="135" t="s">
        <v>23</v>
      </c>
      <c r="P1454" s="135">
        <v>1</v>
      </c>
      <c r="R1454" s="135">
        <v>1</v>
      </c>
      <c r="S1454" s="133" t="s">
        <v>176</v>
      </c>
      <c r="T1454" s="135" t="s">
        <v>2140</v>
      </c>
      <c r="U1454" s="135" t="s">
        <v>122</v>
      </c>
      <c r="V1454" s="135" t="s">
        <v>1940</v>
      </c>
      <c r="W1454" s="135" t="s">
        <v>23</v>
      </c>
      <c r="X1454" s="135" t="s">
        <v>3999</v>
      </c>
      <c r="Y1454" s="135" t="s">
        <v>4005</v>
      </c>
      <c r="Z1454" s="133"/>
      <c r="AA1454" s="133"/>
      <c r="AB1454" s="135" t="s">
        <v>176</v>
      </c>
      <c r="AC1454" s="137">
        <v>63.730229999999999</v>
      </c>
      <c r="AD1454" s="137">
        <v>148.90411</v>
      </c>
      <c r="AE1454" s="133"/>
      <c r="AF1454" s="133"/>
      <c r="AG1454" s="133"/>
      <c r="AH1454" s="135">
        <v>0</v>
      </c>
      <c r="AI1454" s="135">
        <v>0</v>
      </c>
      <c r="AJ1454" s="135">
        <v>0</v>
      </c>
      <c r="AK1454" s="135">
        <v>0</v>
      </c>
      <c r="AL1454" s="135">
        <v>23</v>
      </c>
      <c r="AM1454" s="135">
        <v>0</v>
      </c>
      <c r="AN1454" s="135">
        <f t="shared" ref="AN1454:AN1517" si="24">SUM(AJ1454:AM1454)</f>
        <v>23</v>
      </c>
      <c r="AP1454" s="135" t="s">
        <v>1274</v>
      </c>
      <c r="AQ1454" s="135">
        <v>0</v>
      </c>
      <c r="AR1454" s="135">
        <v>0</v>
      </c>
      <c r="AS1454" s="133"/>
      <c r="AT1454" s="133"/>
      <c r="AU1454" s="133"/>
      <c r="AV1454" s="133"/>
    </row>
    <row r="1455" spans="1:48" s="133" customFormat="1" x14ac:dyDescent="0.2">
      <c r="A1455" s="133" t="s">
        <v>905</v>
      </c>
      <c r="B1455" s="133" t="s">
        <v>906</v>
      </c>
      <c r="C1455" s="133">
        <v>1</v>
      </c>
      <c r="D1455" s="133">
        <v>1</v>
      </c>
      <c r="E1455" s="133" t="s">
        <v>272</v>
      </c>
      <c r="F1455" s="138">
        <v>43364</v>
      </c>
      <c r="G1455" s="136" t="s">
        <v>4032</v>
      </c>
      <c r="H1455" s="136" t="s">
        <v>4724</v>
      </c>
      <c r="I1455" s="148">
        <v>1.4583333333333332E-2</v>
      </c>
      <c r="J1455" s="174">
        <v>2.4305555555555552E-4</v>
      </c>
      <c r="K1455" s="139">
        <v>21</v>
      </c>
      <c r="L1455" s="133" t="s">
        <v>397</v>
      </c>
      <c r="M1455" s="133" t="s">
        <v>255</v>
      </c>
      <c r="N1455" s="133" t="s">
        <v>102</v>
      </c>
      <c r="O1455" s="133" t="s">
        <v>23</v>
      </c>
      <c r="P1455" s="133">
        <v>1</v>
      </c>
      <c r="R1455" s="133">
        <v>0</v>
      </c>
      <c r="S1455" s="133" t="s">
        <v>176</v>
      </c>
      <c r="T1455" s="133" t="s">
        <v>176</v>
      </c>
      <c r="U1455" s="133" t="s">
        <v>907</v>
      </c>
      <c r="V1455" s="133" t="s">
        <v>115</v>
      </c>
      <c r="W1455" s="135" t="s">
        <v>115</v>
      </c>
      <c r="X1455" s="135" t="s">
        <v>115</v>
      </c>
      <c r="Y1455" s="135" t="s">
        <v>115</v>
      </c>
      <c r="Z1455" s="135"/>
      <c r="AA1455" s="135"/>
      <c r="AB1455" s="133" t="s">
        <v>115</v>
      </c>
      <c r="AC1455" s="134" t="s">
        <v>115</v>
      </c>
      <c r="AD1455" s="134"/>
      <c r="AE1455" s="135"/>
      <c r="AF1455" s="135"/>
      <c r="AG1455" s="135"/>
      <c r="AH1455" s="139">
        <v>11</v>
      </c>
      <c r="AI1455" s="139">
        <v>0</v>
      </c>
      <c r="AJ1455" s="139">
        <v>0</v>
      </c>
      <c r="AK1455" s="139">
        <v>11</v>
      </c>
      <c r="AL1455" s="139">
        <v>0</v>
      </c>
      <c r="AM1455" s="133">
        <v>0</v>
      </c>
      <c r="AN1455" s="133">
        <f t="shared" si="24"/>
        <v>11</v>
      </c>
      <c r="AO1455" s="133" t="s">
        <v>375</v>
      </c>
    </row>
    <row r="1456" spans="1:48" s="133" customFormat="1" x14ac:dyDescent="0.2">
      <c r="A1456" s="135" t="s">
        <v>908</v>
      </c>
      <c r="B1456" s="135" t="s">
        <v>909</v>
      </c>
      <c r="C1456" s="135">
        <v>2</v>
      </c>
      <c r="D1456" s="135">
        <v>1</v>
      </c>
      <c r="E1456" s="135" t="s">
        <v>272</v>
      </c>
      <c r="F1456" s="136">
        <v>43364</v>
      </c>
      <c r="G1456" s="136" t="s">
        <v>4032</v>
      </c>
      <c r="H1456" s="136" t="s">
        <v>4724</v>
      </c>
      <c r="I1456" s="172">
        <v>3.3333333333333333E-2</v>
      </c>
      <c r="J1456" s="175">
        <v>5.5555555555555556E-4</v>
      </c>
      <c r="K1456" s="143">
        <v>48</v>
      </c>
      <c r="L1456" s="135" t="s">
        <v>397</v>
      </c>
      <c r="M1456" s="135" t="s">
        <v>255</v>
      </c>
      <c r="N1456" s="135" t="s">
        <v>187</v>
      </c>
      <c r="O1456" s="135" t="s">
        <v>23</v>
      </c>
      <c r="P1456" s="135">
        <v>1</v>
      </c>
      <c r="Q1456" s="135"/>
      <c r="R1456" s="135">
        <v>0</v>
      </c>
      <c r="S1456" s="133" t="s">
        <v>1618</v>
      </c>
      <c r="T1456" s="135" t="s">
        <v>1618</v>
      </c>
      <c r="U1456" s="135" t="s">
        <v>122</v>
      </c>
      <c r="V1456" s="135" t="s">
        <v>115</v>
      </c>
      <c r="W1456" s="135" t="s">
        <v>115</v>
      </c>
      <c r="X1456" s="135" t="s">
        <v>115</v>
      </c>
      <c r="Y1456" s="135" t="s">
        <v>115</v>
      </c>
      <c r="AB1456" s="135" t="s">
        <v>115</v>
      </c>
      <c r="AC1456" s="137" t="s">
        <v>115</v>
      </c>
      <c r="AD1456" s="137"/>
      <c r="AH1456" s="143">
        <v>0</v>
      </c>
      <c r="AI1456" s="143">
        <v>0</v>
      </c>
      <c r="AJ1456" s="143">
        <v>0</v>
      </c>
      <c r="AK1456" s="143">
        <v>0</v>
      </c>
      <c r="AL1456" s="143">
        <v>34</v>
      </c>
      <c r="AM1456" s="135">
        <v>0</v>
      </c>
      <c r="AN1456" s="135">
        <f t="shared" si="24"/>
        <v>34</v>
      </c>
      <c r="AO1456" s="135"/>
      <c r="AP1456" s="135"/>
      <c r="AQ1456" s="135"/>
      <c r="AR1456" s="135"/>
    </row>
    <row r="1457" spans="1:48" s="133" customFormat="1" x14ac:dyDescent="0.2">
      <c r="A1457" s="133" t="s">
        <v>910</v>
      </c>
      <c r="B1457" s="133" t="s">
        <v>911</v>
      </c>
      <c r="C1457" s="133">
        <v>3</v>
      </c>
      <c r="D1457" s="133">
        <v>1</v>
      </c>
      <c r="E1457" s="133" t="s">
        <v>272</v>
      </c>
      <c r="F1457" s="147">
        <v>43364</v>
      </c>
      <c r="G1457" s="136" t="s">
        <v>4032</v>
      </c>
      <c r="H1457" s="136" t="s">
        <v>4724</v>
      </c>
      <c r="I1457" s="148">
        <v>2.7777777777777779E-3</v>
      </c>
      <c r="J1457" s="174">
        <v>4.6296296296296294E-5</v>
      </c>
      <c r="K1457" s="139">
        <v>4</v>
      </c>
      <c r="L1457" s="133" t="s">
        <v>397</v>
      </c>
      <c r="M1457" s="133" t="s">
        <v>255</v>
      </c>
      <c r="N1457" s="133" t="s">
        <v>111</v>
      </c>
      <c r="O1457" s="133" t="s">
        <v>23</v>
      </c>
      <c r="P1457" s="133">
        <v>0</v>
      </c>
      <c r="R1457" s="133">
        <v>1</v>
      </c>
      <c r="S1457" s="133" t="s">
        <v>1618</v>
      </c>
      <c r="T1457" s="133" t="s">
        <v>1618</v>
      </c>
      <c r="U1457" s="133" t="s">
        <v>122</v>
      </c>
      <c r="V1457" s="133" t="s">
        <v>1035</v>
      </c>
      <c r="W1457" s="140" t="s">
        <v>23</v>
      </c>
      <c r="X1457" s="140" t="s">
        <v>3997</v>
      </c>
      <c r="Y1457" s="140" t="s">
        <v>4006</v>
      </c>
      <c r="Z1457" s="135"/>
      <c r="AA1457" s="135"/>
      <c r="AB1457" s="133">
        <v>17</v>
      </c>
      <c r="AC1457" s="134">
        <v>63.731529999999999</v>
      </c>
      <c r="AD1457" s="134">
        <v>148.90143</v>
      </c>
      <c r="AE1457" s="135"/>
      <c r="AF1457" s="135"/>
      <c r="AG1457" s="135"/>
      <c r="AH1457" s="139">
        <v>0</v>
      </c>
      <c r="AI1457" s="139">
        <v>0</v>
      </c>
      <c r="AJ1457" s="139">
        <v>0</v>
      </c>
      <c r="AK1457" s="139">
        <v>0</v>
      </c>
      <c r="AL1457" s="139">
        <v>0</v>
      </c>
      <c r="AM1457" s="133">
        <v>0</v>
      </c>
      <c r="AN1457" s="133">
        <f t="shared" si="24"/>
        <v>0</v>
      </c>
      <c r="AP1457" s="133" t="s">
        <v>913</v>
      </c>
      <c r="AS1457" s="135"/>
      <c r="AT1457" s="135"/>
      <c r="AU1457" s="135"/>
      <c r="AV1457" s="135"/>
    </row>
    <row r="1458" spans="1:48" s="133" customFormat="1" x14ac:dyDescent="0.2">
      <c r="A1458" s="135" t="s">
        <v>259</v>
      </c>
      <c r="B1458" s="135" t="s">
        <v>275</v>
      </c>
      <c r="C1458" s="135">
        <v>3</v>
      </c>
      <c r="D1458" s="135">
        <v>1</v>
      </c>
      <c r="E1458" s="135" t="s">
        <v>272</v>
      </c>
      <c r="F1458" s="136">
        <v>43346</v>
      </c>
      <c r="G1458" s="136" t="s">
        <v>4032</v>
      </c>
      <c r="H1458" s="136" t="s">
        <v>4724</v>
      </c>
      <c r="I1458" s="172">
        <v>2.4999999999999998E-2</v>
      </c>
      <c r="J1458" s="175">
        <v>4.1666666666666669E-4</v>
      </c>
      <c r="K1458" s="143">
        <v>36</v>
      </c>
      <c r="L1458" s="135"/>
      <c r="M1458" s="135" t="s">
        <v>2050</v>
      </c>
      <c r="N1458" s="135" t="s">
        <v>102</v>
      </c>
      <c r="O1458" s="135" t="s">
        <v>115</v>
      </c>
      <c r="P1458" s="135">
        <v>1</v>
      </c>
      <c r="Q1458" s="135"/>
      <c r="R1458" s="135">
        <v>0</v>
      </c>
      <c r="S1458" s="133" t="s">
        <v>1618</v>
      </c>
      <c r="T1458" s="135" t="s">
        <v>1618</v>
      </c>
      <c r="U1458" s="135" t="s">
        <v>122</v>
      </c>
      <c r="V1458" s="135" t="s">
        <v>115</v>
      </c>
      <c r="W1458" s="135" t="s">
        <v>115</v>
      </c>
      <c r="X1458" s="135" t="s">
        <v>115</v>
      </c>
      <c r="Y1458" s="135" t="s">
        <v>115</v>
      </c>
      <c r="AB1458" s="135" t="s">
        <v>115</v>
      </c>
      <c r="AC1458" s="137" t="s">
        <v>115</v>
      </c>
      <c r="AD1458" s="137"/>
      <c r="AH1458" s="135">
        <v>0</v>
      </c>
      <c r="AI1458" s="135">
        <v>0</v>
      </c>
      <c r="AJ1458" s="135">
        <v>0</v>
      </c>
      <c r="AK1458" s="135">
        <v>0</v>
      </c>
      <c r="AL1458" s="135">
        <v>14</v>
      </c>
      <c r="AM1458" s="135">
        <v>0</v>
      </c>
      <c r="AN1458" s="135">
        <f t="shared" si="24"/>
        <v>14</v>
      </c>
      <c r="AO1458" s="135" t="s">
        <v>103</v>
      </c>
      <c r="AP1458" s="135" t="s">
        <v>1275</v>
      </c>
      <c r="AQ1458" s="135">
        <v>0</v>
      </c>
      <c r="AR1458" s="135">
        <v>0</v>
      </c>
      <c r="AS1458" s="135"/>
      <c r="AT1458" s="135"/>
      <c r="AU1458" s="135"/>
      <c r="AV1458" s="135"/>
    </row>
    <row r="1459" spans="1:48" s="133" customFormat="1" x14ac:dyDescent="0.2">
      <c r="A1459" s="133" t="s">
        <v>266</v>
      </c>
      <c r="B1459" s="133" t="s">
        <v>279</v>
      </c>
      <c r="C1459" s="133">
        <v>7</v>
      </c>
      <c r="D1459" s="133">
        <v>1</v>
      </c>
      <c r="E1459" s="133" t="s">
        <v>272</v>
      </c>
      <c r="F1459" s="138">
        <v>43346</v>
      </c>
      <c r="G1459" s="136" t="s">
        <v>4032</v>
      </c>
      <c r="H1459" s="136" t="s">
        <v>4724</v>
      </c>
      <c r="I1459" s="148">
        <v>1.6666666666666666E-2</v>
      </c>
      <c r="J1459" s="174">
        <v>2.7777777777777778E-4</v>
      </c>
      <c r="K1459" s="139">
        <v>24</v>
      </c>
      <c r="M1459" s="133" t="s">
        <v>260</v>
      </c>
      <c r="N1459" s="133" t="s">
        <v>102</v>
      </c>
      <c r="O1459" s="133" t="s">
        <v>115</v>
      </c>
      <c r="P1459" s="133">
        <v>1</v>
      </c>
      <c r="R1459" s="133">
        <v>0</v>
      </c>
      <c r="S1459" s="133" t="s">
        <v>112</v>
      </c>
      <c r="T1459" s="133" t="s">
        <v>2138</v>
      </c>
      <c r="U1459" s="133" t="s">
        <v>122</v>
      </c>
      <c r="V1459" s="133" t="s">
        <v>115</v>
      </c>
      <c r="W1459" s="135" t="s">
        <v>115</v>
      </c>
      <c r="X1459" s="135" t="s">
        <v>115</v>
      </c>
      <c r="Y1459" s="135" t="s">
        <v>115</v>
      </c>
      <c r="AB1459" s="133" t="s">
        <v>115</v>
      </c>
      <c r="AC1459" s="134" t="s">
        <v>115</v>
      </c>
      <c r="AD1459" s="134"/>
      <c r="AH1459" s="133">
        <v>0</v>
      </c>
      <c r="AI1459" s="133">
        <v>0</v>
      </c>
      <c r="AJ1459" s="133">
        <v>0</v>
      </c>
      <c r="AK1459" s="133">
        <v>0</v>
      </c>
      <c r="AL1459" s="133">
        <v>0</v>
      </c>
      <c r="AM1459" s="133">
        <v>0</v>
      </c>
      <c r="AN1459" s="133">
        <f t="shared" si="24"/>
        <v>0</v>
      </c>
      <c r="AP1459" s="133" t="s">
        <v>4896</v>
      </c>
      <c r="AQ1459" s="133">
        <v>0</v>
      </c>
      <c r="AR1459" s="133">
        <v>0</v>
      </c>
    </row>
    <row r="1460" spans="1:48" s="133" customFormat="1" x14ac:dyDescent="0.2">
      <c r="A1460" s="135" t="s">
        <v>736</v>
      </c>
      <c r="B1460" s="135" t="s">
        <v>737</v>
      </c>
      <c r="C1460" s="135">
        <v>1</v>
      </c>
      <c r="D1460" s="135">
        <v>1</v>
      </c>
      <c r="E1460" s="135" t="s">
        <v>213</v>
      </c>
      <c r="F1460" s="136">
        <v>43359</v>
      </c>
      <c r="G1460" s="136" t="s">
        <v>4032</v>
      </c>
      <c r="H1460" s="136" t="s">
        <v>4724</v>
      </c>
      <c r="I1460" s="172">
        <v>6.2499999999999995E-3</v>
      </c>
      <c r="J1460" s="175">
        <v>1.0416666666666667E-4</v>
      </c>
      <c r="K1460" s="143">
        <v>9</v>
      </c>
      <c r="L1460" s="135" t="s">
        <v>398</v>
      </c>
      <c r="M1460" s="135" t="s">
        <v>738</v>
      </c>
      <c r="N1460" s="135" t="s">
        <v>102</v>
      </c>
      <c r="O1460" s="135" t="s">
        <v>115</v>
      </c>
      <c r="P1460" s="135" t="s">
        <v>24</v>
      </c>
      <c r="Q1460" s="135"/>
      <c r="R1460" s="135">
        <v>0</v>
      </c>
      <c r="S1460" s="133" t="s">
        <v>176</v>
      </c>
      <c r="T1460" s="135" t="s">
        <v>176</v>
      </c>
      <c r="U1460" s="135" t="s">
        <v>115</v>
      </c>
      <c r="V1460" s="135" t="s">
        <v>115</v>
      </c>
      <c r="W1460" s="135" t="s">
        <v>115</v>
      </c>
      <c r="X1460" s="135" t="s">
        <v>115</v>
      </c>
      <c r="Y1460" s="135" t="s">
        <v>115</v>
      </c>
      <c r="Z1460" s="135"/>
      <c r="AA1460" s="135"/>
      <c r="AB1460" s="137" t="s">
        <v>115</v>
      </c>
      <c r="AC1460" s="137" t="s">
        <v>115</v>
      </c>
      <c r="AD1460" s="137"/>
      <c r="AE1460" s="135"/>
      <c r="AF1460" s="135"/>
      <c r="AG1460" s="135"/>
      <c r="AH1460" s="143">
        <v>0</v>
      </c>
      <c r="AI1460" s="143">
        <v>0</v>
      </c>
      <c r="AJ1460" s="143">
        <v>0</v>
      </c>
      <c r="AK1460" s="143">
        <v>0</v>
      </c>
      <c r="AL1460" s="143">
        <v>8</v>
      </c>
      <c r="AM1460" s="135">
        <v>0</v>
      </c>
      <c r="AN1460" s="135">
        <f t="shared" si="24"/>
        <v>8</v>
      </c>
      <c r="AO1460" s="135"/>
      <c r="AP1460" s="135"/>
      <c r="AQ1460" s="135"/>
      <c r="AR1460" s="135"/>
    </row>
    <row r="1461" spans="1:48" s="135" customFormat="1" x14ac:dyDescent="0.2">
      <c r="A1461" s="133" t="s">
        <v>364</v>
      </c>
      <c r="B1461" s="133" t="s">
        <v>365</v>
      </c>
      <c r="C1461" s="133">
        <v>2</v>
      </c>
      <c r="D1461" s="133">
        <v>1</v>
      </c>
      <c r="E1461" s="133" t="s">
        <v>2462</v>
      </c>
      <c r="F1461" s="138">
        <v>43349</v>
      </c>
      <c r="G1461" s="136" t="s">
        <v>4032</v>
      </c>
      <c r="H1461" s="136" t="s">
        <v>4724</v>
      </c>
      <c r="I1461" s="148">
        <v>1.2499999999999999E-2</v>
      </c>
      <c r="J1461" s="174">
        <v>2.0833333333333335E-4</v>
      </c>
      <c r="K1461" s="139">
        <v>18</v>
      </c>
      <c r="L1461" s="133" t="s">
        <v>398</v>
      </c>
      <c r="M1461" s="133" t="s">
        <v>64</v>
      </c>
      <c r="N1461" s="133" t="s">
        <v>102</v>
      </c>
      <c r="O1461" s="133" t="s">
        <v>12</v>
      </c>
      <c r="P1461" s="133" t="s">
        <v>24</v>
      </c>
      <c r="Q1461" s="133"/>
      <c r="R1461" s="133">
        <v>0</v>
      </c>
      <c r="S1461" s="133"/>
      <c r="T1461" s="133" t="s">
        <v>115</v>
      </c>
      <c r="U1461" s="133" t="s">
        <v>115</v>
      </c>
      <c r="V1461" s="133" t="s">
        <v>115</v>
      </c>
      <c r="W1461" s="135" t="s">
        <v>115</v>
      </c>
      <c r="X1461" s="135" t="s">
        <v>115</v>
      </c>
      <c r="Y1461" s="135" t="s">
        <v>115</v>
      </c>
      <c r="Z1461" s="133"/>
      <c r="AA1461" s="133"/>
      <c r="AB1461" s="133" t="s">
        <v>115</v>
      </c>
      <c r="AC1461" s="134" t="s">
        <v>115</v>
      </c>
      <c r="AD1461" s="134"/>
      <c r="AE1461" s="133"/>
      <c r="AF1461" s="133"/>
      <c r="AG1461" s="133"/>
      <c r="AH1461" s="133">
        <v>15</v>
      </c>
      <c r="AI1461" s="133">
        <v>0</v>
      </c>
      <c r="AJ1461" s="133">
        <v>15</v>
      </c>
      <c r="AK1461" s="133">
        <v>0</v>
      </c>
      <c r="AL1461" s="133">
        <v>0</v>
      </c>
      <c r="AM1461" s="133">
        <v>0</v>
      </c>
      <c r="AN1461" s="133">
        <f t="shared" si="24"/>
        <v>15</v>
      </c>
      <c r="AO1461" s="133" t="s">
        <v>366</v>
      </c>
      <c r="AP1461" s="133"/>
      <c r="AQ1461" s="133"/>
      <c r="AR1461" s="133"/>
    </row>
    <row r="1462" spans="1:48" s="135" customFormat="1" x14ac:dyDescent="0.2">
      <c r="A1462" s="133" t="s">
        <v>370</v>
      </c>
      <c r="B1462" s="133" t="s">
        <v>371</v>
      </c>
      <c r="C1462" s="133">
        <v>5</v>
      </c>
      <c r="D1462" s="133">
        <v>1</v>
      </c>
      <c r="E1462" s="133" t="s">
        <v>2462</v>
      </c>
      <c r="F1462" s="138">
        <v>43349</v>
      </c>
      <c r="G1462" s="136" t="s">
        <v>4032</v>
      </c>
      <c r="H1462" s="136" t="s">
        <v>4724</v>
      </c>
      <c r="I1462" s="148">
        <v>2.1527777777777781E-2</v>
      </c>
      <c r="J1462" s="174">
        <v>3.5879629629629635E-4</v>
      </c>
      <c r="K1462" s="139">
        <v>31</v>
      </c>
      <c r="L1462" s="133" t="s">
        <v>398</v>
      </c>
      <c r="M1462" s="133" t="s">
        <v>64</v>
      </c>
      <c r="N1462" s="133" t="s">
        <v>102</v>
      </c>
      <c r="O1462" s="133" t="s">
        <v>243</v>
      </c>
      <c r="P1462" s="133" t="s">
        <v>24</v>
      </c>
      <c r="Q1462" s="133"/>
      <c r="R1462" s="133">
        <v>0</v>
      </c>
      <c r="S1462" s="133"/>
      <c r="T1462" s="133" t="s">
        <v>115</v>
      </c>
      <c r="U1462" s="133" t="s">
        <v>115</v>
      </c>
      <c r="V1462" s="133" t="s">
        <v>115</v>
      </c>
      <c r="W1462" s="135" t="s">
        <v>115</v>
      </c>
      <c r="X1462" s="135" t="s">
        <v>115</v>
      </c>
      <c r="Y1462" s="135" t="s">
        <v>115</v>
      </c>
      <c r="Z1462" s="133"/>
      <c r="AA1462" s="133"/>
      <c r="AB1462" s="133" t="s">
        <v>115</v>
      </c>
      <c r="AC1462" s="134" t="s">
        <v>115</v>
      </c>
      <c r="AD1462" s="134"/>
      <c r="AE1462" s="133"/>
      <c r="AF1462" s="133"/>
      <c r="AG1462" s="133"/>
      <c r="AH1462" s="133">
        <v>11</v>
      </c>
      <c r="AI1462" s="133">
        <v>16</v>
      </c>
      <c r="AJ1462" s="133">
        <v>11</v>
      </c>
      <c r="AK1462" s="133">
        <v>16</v>
      </c>
      <c r="AL1462" s="133">
        <v>0</v>
      </c>
      <c r="AM1462" s="133">
        <v>0</v>
      </c>
      <c r="AN1462" s="133">
        <f t="shared" si="24"/>
        <v>27</v>
      </c>
      <c r="AO1462" s="133" t="s">
        <v>303</v>
      </c>
      <c r="AP1462" s="133"/>
      <c r="AQ1462" s="133"/>
      <c r="AR1462" s="133"/>
      <c r="AS1462" s="133"/>
      <c r="AT1462" s="133"/>
      <c r="AU1462" s="133"/>
      <c r="AV1462" s="133"/>
    </row>
    <row r="1463" spans="1:48" s="133" customFormat="1" x14ac:dyDescent="0.2">
      <c r="A1463" s="133" t="s">
        <v>372</v>
      </c>
      <c r="B1463" s="133" t="s">
        <v>373</v>
      </c>
      <c r="C1463" s="133">
        <v>6</v>
      </c>
      <c r="D1463" s="133">
        <v>1</v>
      </c>
      <c r="E1463" s="133" t="s">
        <v>2462</v>
      </c>
      <c r="F1463" s="138">
        <v>43349</v>
      </c>
      <c r="G1463" s="136" t="s">
        <v>4032</v>
      </c>
      <c r="H1463" s="136" t="s">
        <v>4724</v>
      </c>
      <c r="I1463" s="148">
        <v>4.8611111111111112E-3</v>
      </c>
      <c r="J1463" s="174">
        <v>8.1018518518518516E-5</v>
      </c>
      <c r="K1463" s="139">
        <v>7</v>
      </c>
      <c r="L1463" s="133" t="s">
        <v>398</v>
      </c>
      <c r="M1463" s="133" t="s">
        <v>64</v>
      </c>
      <c r="N1463" s="133" t="s">
        <v>102</v>
      </c>
      <c r="O1463" s="133" t="s">
        <v>12</v>
      </c>
      <c r="P1463" s="133">
        <v>1</v>
      </c>
      <c r="R1463" s="133">
        <v>0</v>
      </c>
      <c r="S1463" s="133" t="s">
        <v>176</v>
      </c>
      <c r="T1463" s="133" t="s">
        <v>176</v>
      </c>
      <c r="U1463" s="133" t="s">
        <v>374</v>
      </c>
      <c r="V1463" s="133" t="s">
        <v>115</v>
      </c>
      <c r="W1463" s="135" t="s">
        <v>115</v>
      </c>
      <c r="X1463" s="135" t="s">
        <v>115</v>
      </c>
      <c r="Y1463" s="135" t="s">
        <v>115</v>
      </c>
      <c r="AB1463" s="133" t="s">
        <v>115</v>
      </c>
      <c r="AC1463" s="134" t="s">
        <v>115</v>
      </c>
      <c r="AD1463" s="134"/>
      <c r="AH1463" s="133">
        <v>7</v>
      </c>
      <c r="AI1463" s="133">
        <v>0</v>
      </c>
      <c r="AJ1463" s="133">
        <v>0</v>
      </c>
      <c r="AK1463" s="133">
        <v>7</v>
      </c>
      <c r="AL1463" s="133">
        <v>0</v>
      </c>
      <c r="AM1463" s="133">
        <v>0</v>
      </c>
      <c r="AN1463" s="133">
        <f t="shared" si="24"/>
        <v>7</v>
      </c>
      <c r="AO1463" s="133" t="s">
        <v>375</v>
      </c>
      <c r="AQ1463" s="133">
        <v>1</v>
      </c>
      <c r="AR1463" s="133">
        <v>0</v>
      </c>
    </row>
    <row r="1464" spans="1:48" s="133" customFormat="1" x14ac:dyDescent="0.2">
      <c r="A1464" s="135" t="s">
        <v>376</v>
      </c>
      <c r="B1464" s="135" t="s">
        <v>377</v>
      </c>
      <c r="C1464" s="135">
        <v>7</v>
      </c>
      <c r="D1464" s="135">
        <v>1</v>
      </c>
      <c r="E1464" s="135" t="s">
        <v>2462</v>
      </c>
      <c r="F1464" s="136">
        <v>43349</v>
      </c>
      <c r="G1464" s="136" t="s">
        <v>4032</v>
      </c>
      <c r="H1464" s="136" t="s">
        <v>4724</v>
      </c>
      <c r="I1464" s="172">
        <v>3.2638888888888891E-2</v>
      </c>
      <c r="J1464" s="175">
        <v>5.4398148148148144E-4</v>
      </c>
      <c r="K1464" s="143">
        <v>47</v>
      </c>
      <c r="L1464" s="135" t="s">
        <v>398</v>
      </c>
      <c r="M1464" s="135" t="s">
        <v>64</v>
      </c>
      <c r="N1464" s="135" t="s">
        <v>102</v>
      </c>
      <c r="O1464" s="135" t="s">
        <v>115</v>
      </c>
      <c r="P1464" s="135">
        <v>1</v>
      </c>
      <c r="Q1464" s="135"/>
      <c r="R1464" s="135">
        <v>1</v>
      </c>
      <c r="S1464" s="133" t="s">
        <v>112</v>
      </c>
      <c r="T1464" s="135" t="s">
        <v>112</v>
      </c>
      <c r="U1464" s="135" t="s">
        <v>122</v>
      </c>
      <c r="V1464" s="133" t="s">
        <v>1035</v>
      </c>
      <c r="W1464" s="135" t="s">
        <v>23</v>
      </c>
      <c r="X1464" s="135" t="s">
        <v>3997</v>
      </c>
      <c r="Y1464" s="135" t="s">
        <v>4006</v>
      </c>
      <c r="Z1464" s="135"/>
      <c r="AA1464" s="135"/>
      <c r="AB1464" s="135" t="s">
        <v>115</v>
      </c>
      <c r="AC1464" s="137" t="s">
        <v>378</v>
      </c>
      <c r="AD1464" s="137"/>
      <c r="AE1464" s="135"/>
      <c r="AF1464" s="135"/>
      <c r="AG1464" s="135"/>
      <c r="AH1464" s="135">
        <v>0</v>
      </c>
      <c r="AI1464" s="135">
        <v>0</v>
      </c>
      <c r="AJ1464" s="135">
        <v>0</v>
      </c>
      <c r="AK1464" s="135">
        <v>0</v>
      </c>
      <c r="AL1464" s="135">
        <v>25</v>
      </c>
      <c r="AM1464" s="135">
        <v>0</v>
      </c>
      <c r="AN1464" s="135">
        <f t="shared" si="24"/>
        <v>25</v>
      </c>
      <c r="AO1464" s="135"/>
      <c r="AP1464" s="135"/>
      <c r="AQ1464" s="135"/>
      <c r="AR1464" s="135"/>
      <c r="AS1464" s="135"/>
      <c r="AT1464" s="135"/>
      <c r="AU1464" s="135"/>
      <c r="AV1464" s="135"/>
    </row>
    <row r="1465" spans="1:48" s="133" customFormat="1" x14ac:dyDescent="0.2">
      <c r="A1465" s="135" t="s">
        <v>392</v>
      </c>
      <c r="B1465" s="135" t="s">
        <v>393</v>
      </c>
      <c r="C1465" s="135">
        <v>12</v>
      </c>
      <c r="D1465" s="135">
        <v>1</v>
      </c>
      <c r="E1465" s="135" t="s">
        <v>2462</v>
      </c>
      <c r="F1465" s="136">
        <v>43349</v>
      </c>
      <c r="G1465" s="136" t="s">
        <v>4032</v>
      </c>
      <c r="H1465" s="136" t="s">
        <v>4724</v>
      </c>
      <c r="I1465" s="172">
        <v>8.9583333333333334E-2</v>
      </c>
      <c r="J1465" s="175">
        <v>1.4930555555555556E-3</v>
      </c>
      <c r="K1465" s="143">
        <v>129</v>
      </c>
      <c r="L1465" s="135" t="s">
        <v>398</v>
      </c>
      <c r="M1465" s="135" t="s">
        <v>64</v>
      </c>
      <c r="N1465" s="135" t="s">
        <v>111</v>
      </c>
      <c r="O1465" s="135" t="s">
        <v>23</v>
      </c>
      <c r="P1465" s="135">
        <v>1</v>
      </c>
      <c r="Q1465" s="135"/>
      <c r="R1465" s="135">
        <v>1</v>
      </c>
      <c r="S1465" s="133" t="s">
        <v>176</v>
      </c>
      <c r="T1465" s="135" t="s">
        <v>176</v>
      </c>
      <c r="U1465" s="135" t="s">
        <v>2059</v>
      </c>
      <c r="V1465" s="135" t="s">
        <v>333</v>
      </c>
      <c r="W1465" s="135" t="s">
        <v>23</v>
      </c>
      <c r="X1465" s="135" t="s">
        <v>3999</v>
      </c>
      <c r="Y1465" s="135" t="s">
        <v>4006</v>
      </c>
      <c r="Z1465" s="135"/>
      <c r="AA1465" s="135"/>
      <c r="AB1465" s="135" t="s">
        <v>176</v>
      </c>
      <c r="AC1465" s="137">
        <v>63.731960000000001</v>
      </c>
      <c r="AD1465" s="137">
        <v>148.89534</v>
      </c>
      <c r="AE1465" s="135"/>
      <c r="AF1465" s="135"/>
      <c r="AG1465" s="135"/>
      <c r="AH1465" s="135">
        <v>6</v>
      </c>
      <c r="AI1465" s="135">
        <v>6</v>
      </c>
      <c r="AJ1465" s="135">
        <v>0</v>
      </c>
      <c r="AK1465" s="135">
        <v>12</v>
      </c>
      <c r="AL1465" s="135">
        <v>21</v>
      </c>
      <c r="AM1465" s="135">
        <v>0</v>
      </c>
      <c r="AN1465" s="135">
        <f t="shared" si="24"/>
        <v>33</v>
      </c>
      <c r="AO1465" s="135"/>
      <c r="AP1465" s="135" t="s">
        <v>394</v>
      </c>
      <c r="AQ1465" s="135"/>
      <c r="AR1465" s="135"/>
    </row>
    <row r="1466" spans="1:48" s="133" customFormat="1" x14ac:dyDescent="0.2">
      <c r="A1466" s="135" t="s">
        <v>423</v>
      </c>
      <c r="B1466" s="135" t="s">
        <v>424</v>
      </c>
      <c r="C1466" s="135">
        <v>1</v>
      </c>
      <c r="D1466" s="135">
        <v>1</v>
      </c>
      <c r="E1466" s="135" t="s">
        <v>2462</v>
      </c>
      <c r="F1466" s="136">
        <v>43350</v>
      </c>
      <c r="G1466" s="136" t="s">
        <v>4032</v>
      </c>
      <c r="H1466" s="136" t="s">
        <v>4724</v>
      </c>
      <c r="I1466" s="172">
        <v>1.1805555555555555E-2</v>
      </c>
      <c r="J1466" s="175">
        <v>1.9675925925925926E-4</v>
      </c>
      <c r="K1466" s="143">
        <v>17</v>
      </c>
      <c r="L1466" s="135" t="s">
        <v>398</v>
      </c>
      <c r="M1466" s="135" t="s">
        <v>64</v>
      </c>
      <c r="N1466" s="135" t="s">
        <v>102</v>
      </c>
      <c r="O1466" s="135" t="s">
        <v>115</v>
      </c>
      <c r="P1466" s="135">
        <v>1</v>
      </c>
      <c r="Q1466" s="135"/>
      <c r="R1466" s="135">
        <v>0</v>
      </c>
      <c r="S1466" s="133" t="s">
        <v>112</v>
      </c>
      <c r="T1466" s="135" t="s">
        <v>425</v>
      </c>
      <c r="U1466" s="135" t="s">
        <v>122</v>
      </c>
      <c r="V1466" s="135" t="s">
        <v>115</v>
      </c>
      <c r="W1466" s="135" t="s">
        <v>115</v>
      </c>
      <c r="X1466" s="135" t="s">
        <v>115</v>
      </c>
      <c r="Y1466" s="135" t="s">
        <v>115</v>
      </c>
      <c r="AB1466" s="135" t="s">
        <v>115</v>
      </c>
      <c r="AC1466" s="137" t="s">
        <v>115</v>
      </c>
      <c r="AD1466" s="137"/>
      <c r="AH1466" s="143">
        <v>0</v>
      </c>
      <c r="AI1466" s="143">
        <v>0</v>
      </c>
      <c r="AJ1466" s="143">
        <v>0</v>
      </c>
      <c r="AK1466" s="143">
        <v>0</v>
      </c>
      <c r="AL1466" s="143">
        <v>8</v>
      </c>
      <c r="AM1466" s="135">
        <v>0</v>
      </c>
      <c r="AN1466" s="135">
        <f t="shared" si="24"/>
        <v>8</v>
      </c>
      <c r="AO1466" s="135"/>
      <c r="AP1466" s="135"/>
      <c r="AQ1466" s="135"/>
      <c r="AR1466" s="135"/>
    </row>
    <row r="1467" spans="1:48" s="133" customFormat="1" x14ac:dyDescent="0.2">
      <c r="A1467" s="133" t="s">
        <v>426</v>
      </c>
      <c r="B1467" s="133" t="s">
        <v>427</v>
      </c>
      <c r="C1467" s="133">
        <v>2</v>
      </c>
      <c r="D1467" s="133">
        <v>1</v>
      </c>
      <c r="E1467" s="133" t="s">
        <v>2462</v>
      </c>
      <c r="F1467" s="138">
        <v>43350</v>
      </c>
      <c r="G1467" s="136" t="s">
        <v>4032</v>
      </c>
      <c r="H1467" s="136" t="s">
        <v>4724</v>
      </c>
      <c r="I1467" s="148">
        <v>6.458333333333334E-2</v>
      </c>
      <c r="J1467" s="174">
        <v>1.0763888888888889E-3</v>
      </c>
      <c r="K1467" s="139">
        <v>93</v>
      </c>
      <c r="L1467" s="133" t="s">
        <v>398</v>
      </c>
      <c r="M1467" s="133" t="s">
        <v>64</v>
      </c>
      <c r="N1467" s="133" t="s">
        <v>242</v>
      </c>
      <c r="O1467" s="133" t="s">
        <v>23</v>
      </c>
      <c r="P1467" s="133">
        <v>0</v>
      </c>
      <c r="R1467" s="133">
        <v>1</v>
      </c>
      <c r="S1467" s="133" t="s">
        <v>112</v>
      </c>
      <c r="T1467" s="133" t="s">
        <v>425</v>
      </c>
      <c r="U1467" s="133" t="s">
        <v>122</v>
      </c>
      <c r="V1467" s="133" t="s">
        <v>1035</v>
      </c>
      <c r="W1467" s="140" t="s">
        <v>23</v>
      </c>
      <c r="X1467" s="140" t="s">
        <v>3997</v>
      </c>
      <c r="Y1467" s="140" t="s">
        <v>4006</v>
      </c>
      <c r="AB1467" s="133" t="s">
        <v>24</v>
      </c>
      <c r="AC1467" s="134">
        <v>63.731299999999997</v>
      </c>
      <c r="AD1467" s="134">
        <v>148.89637999999999</v>
      </c>
      <c r="AH1467" s="139">
        <v>0</v>
      </c>
      <c r="AI1467" s="139">
        <v>0</v>
      </c>
      <c r="AJ1467" s="139">
        <v>0</v>
      </c>
      <c r="AK1467" s="139">
        <v>0</v>
      </c>
      <c r="AL1467" s="139">
        <v>0</v>
      </c>
      <c r="AM1467" s="133">
        <v>0</v>
      </c>
      <c r="AN1467" s="133">
        <f t="shared" si="24"/>
        <v>0</v>
      </c>
      <c r="AP1467" s="133" t="s">
        <v>428</v>
      </c>
      <c r="AS1467" s="135"/>
      <c r="AT1467" s="135"/>
      <c r="AU1467" s="135"/>
      <c r="AV1467" s="135"/>
    </row>
    <row r="1468" spans="1:48" s="133" customFormat="1" x14ac:dyDescent="0.2">
      <c r="A1468" s="133" t="s">
        <v>429</v>
      </c>
      <c r="B1468" s="133" t="s">
        <v>430</v>
      </c>
      <c r="C1468" s="133">
        <v>3</v>
      </c>
      <c r="D1468" s="133">
        <v>1</v>
      </c>
      <c r="E1468" s="133" t="s">
        <v>2462</v>
      </c>
      <c r="F1468" s="138">
        <v>43350</v>
      </c>
      <c r="G1468" s="136" t="s">
        <v>4032</v>
      </c>
      <c r="H1468" s="136" t="s">
        <v>4724</v>
      </c>
      <c r="I1468" s="148">
        <v>5.8333333333333327E-2</v>
      </c>
      <c r="J1468" s="174">
        <v>9.7222222222222209E-4</v>
      </c>
      <c r="K1468" s="139">
        <v>84</v>
      </c>
      <c r="L1468" s="133" t="s">
        <v>398</v>
      </c>
      <c r="M1468" s="133" t="s">
        <v>64</v>
      </c>
      <c r="N1468" s="133" t="s">
        <v>102</v>
      </c>
      <c r="O1468" s="133" t="s">
        <v>23</v>
      </c>
      <c r="P1468" s="133">
        <v>1</v>
      </c>
      <c r="R1468" s="133">
        <v>0</v>
      </c>
      <c r="S1468" s="133" t="s">
        <v>112</v>
      </c>
      <c r="T1468" s="133" t="s">
        <v>425</v>
      </c>
      <c r="U1468" s="133" t="s">
        <v>115</v>
      </c>
      <c r="V1468" s="133" t="s">
        <v>115</v>
      </c>
      <c r="W1468" s="135" t="s">
        <v>115</v>
      </c>
      <c r="X1468" s="135" t="s">
        <v>115</v>
      </c>
      <c r="Y1468" s="135" t="s">
        <v>115</v>
      </c>
      <c r="AB1468" s="133" t="s">
        <v>115</v>
      </c>
      <c r="AC1468" s="134" t="s">
        <v>115</v>
      </c>
      <c r="AD1468" s="134"/>
      <c r="AH1468" s="139">
        <v>0</v>
      </c>
      <c r="AI1468" s="139">
        <v>0</v>
      </c>
      <c r="AJ1468" s="139">
        <v>0</v>
      </c>
      <c r="AK1468" s="139">
        <v>0</v>
      </c>
      <c r="AL1468" s="139">
        <v>0</v>
      </c>
      <c r="AM1468" s="133">
        <v>0</v>
      </c>
      <c r="AN1468" s="133">
        <f t="shared" si="24"/>
        <v>0</v>
      </c>
      <c r="AP1468" s="133" t="s">
        <v>431</v>
      </c>
      <c r="AS1468" s="135"/>
      <c r="AT1468" s="135"/>
      <c r="AU1468" s="135"/>
      <c r="AV1468" s="135"/>
    </row>
    <row r="1469" spans="1:48" s="133" customFormat="1" x14ac:dyDescent="0.2">
      <c r="A1469" s="133" t="s">
        <v>445</v>
      </c>
      <c r="B1469" s="133" t="s">
        <v>446</v>
      </c>
      <c r="C1469" s="133">
        <v>10</v>
      </c>
      <c r="D1469" s="133">
        <v>1</v>
      </c>
      <c r="E1469" s="133" t="s">
        <v>2462</v>
      </c>
      <c r="F1469" s="138">
        <v>43350</v>
      </c>
      <c r="G1469" s="136" t="s">
        <v>4032</v>
      </c>
      <c r="H1469" s="136" t="s">
        <v>4724</v>
      </c>
      <c r="I1469" s="148">
        <v>5.1388888888888894E-2</v>
      </c>
      <c r="J1469" s="174">
        <v>8.564814814814815E-4</v>
      </c>
      <c r="K1469" s="139">
        <v>74</v>
      </c>
      <c r="L1469" s="133" t="s">
        <v>398</v>
      </c>
      <c r="M1469" s="133" t="s">
        <v>64</v>
      </c>
      <c r="N1469" s="133" t="s">
        <v>102</v>
      </c>
      <c r="O1469" s="133" t="s">
        <v>23</v>
      </c>
      <c r="P1469" s="133" t="s">
        <v>24</v>
      </c>
      <c r="R1469" s="133">
        <v>0</v>
      </c>
      <c r="T1469" s="133" t="s">
        <v>115</v>
      </c>
      <c r="U1469" s="133" t="s">
        <v>115</v>
      </c>
      <c r="V1469" s="133" t="s">
        <v>115</v>
      </c>
      <c r="W1469" s="135" t="s">
        <v>115</v>
      </c>
      <c r="X1469" s="135" t="s">
        <v>115</v>
      </c>
      <c r="Y1469" s="135" t="s">
        <v>115</v>
      </c>
      <c r="AB1469" s="133" t="s">
        <v>115</v>
      </c>
      <c r="AC1469" s="134" t="s">
        <v>115</v>
      </c>
      <c r="AD1469" s="134"/>
      <c r="AH1469" s="139">
        <v>9</v>
      </c>
      <c r="AI1469" s="139">
        <v>0</v>
      </c>
      <c r="AJ1469" s="139">
        <v>9</v>
      </c>
      <c r="AK1469" s="139">
        <v>0</v>
      </c>
      <c r="AL1469" s="139">
        <v>0</v>
      </c>
      <c r="AM1469" s="133">
        <v>0</v>
      </c>
      <c r="AN1469" s="133">
        <f t="shared" si="24"/>
        <v>9</v>
      </c>
      <c r="AO1469" s="133" t="s">
        <v>375</v>
      </c>
      <c r="AQ1469" s="133">
        <v>3</v>
      </c>
      <c r="AR1469" s="133">
        <v>0</v>
      </c>
      <c r="AS1469" s="135"/>
      <c r="AT1469" s="135"/>
      <c r="AU1469" s="135"/>
      <c r="AV1469" s="135"/>
    </row>
    <row r="1470" spans="1:48" s="135" customFormat="1" x14ac:dyDescent="0.2">
      <c r="A1470" s="133" t="s">
        <v>447</v>
      </c>
      <c r="B1470" s="133" t="s">
        <v>448</v>
      </c>
      <c r="C1470" s="133">
        <v>11</v>
      </c>
      <c r="D1470" s="133">
        <v>1</v>
      </c>
      <c r="E1470" s="133" t="s">
        <v>2462</v>
      </c>
      <c r="F1470" s="138">
        <v>43350</v>
      </c>
      <c r="G1470" s="136" t="s">
        <v>4032</v>
      </c>
      <c r="H1470" s="136" t="s">
        <v>4724</v>
      </c>
      <c r="I1470" s="148">
        <v>3.4722222222222224E-2</v>
      </c>
      <c r="J1470" s="174">
        <v>5.7870370370370378E-4</v>
      </c>
      <c r="K1470" s="139">
        <v>50</v>
      </c>
      <c r="L1470" s="133" t="s">
        <v>398</v>
      </c>
      <c r="M1470" s="133" t="s">
        <v>64</v>
      </c>
      <c r="N1470" s="133" t="s">
        <v>102</v>
      </c>
      <c r="O1470" s="133" t="s">
        <v>23</v>
      </c>
      <c r="P1470" s="133">
        <v>1</v>
      </c>
      <c r="Q1470" s="133"/>
      <c r="R1470" s="133">
        <v>0</v>
      </c>
      <c r="S1470" s="133" t="s">
        <v>176</v>
      </c>
      <c r="T1470" s="133" t="s">
        <v>176</v>
      </c>
      <c r="U1470" s="133" t="s">
        <v>3970</v>
      </c>
      <c r="V1470" s="133" t="s">
        <v>115</v>
      </c>
      <c r="W1470" s="135" t="s">
        <v>115</v>
      </c>
      <c r="X1470" s="135" t="s">
        <v>115</v>
      </c>
      <c r="Y1470" s="135" t="s">
        <v>115</v>
      </c>
      <c r="Z1470" s="133"/>
      <c r="AA1470" s="133"/>
      <c r="AB1470" s="133" t="s">
        <v>115</v>
      </c>
      <c r="AC1470" s="134" t="s">
        <v>115</v>
      </c>
      <c r="AD1470" s="134"/>
      <c r="AE1470" s="133"/>
      <c r="AF1470" s="133"/>
      <c r="AG1470" s="133"/>
      <c r="AH1470" s="139">
        <v>25</v>
      </c>
      <c r="AI1470" s="139">
        <v>0</v>
      </c>
      <c r="AJ1470" s="139">
        <v>0</v>
      </c>
      <c r="AK1470" s="139">
        <v>25</v>
      </c>
      <c r="AL1470" s="139">
        <v>0</v>
      </c>
      <c r="AM1470" s="133">
        <v>0</v>
      </c>
      <c r="AN1470" s="133">
        <f t="shared" si="24"/>
        <v>25</v>
      </c>
      <c r="AO1470" s="133" t="s">
        <v>16</v>
      </c>
      <c r="AP1470" s="133"/>
      <c r="AQ1470" s="133">
        <v>0</v>
      </c>
      <c r="AR1470" s="133">
        <v>5</v>
      </c>
      <c r="AS1470" s="133"/>
      <c r="AT1470" s="133"/>
      <c r="AU1470" s="133"/>
      <c r="AV1470" s="133"/>
    </row>
    <row r="1471" spans="1:48" s="135" customFormat="1" x14ac:dyDescent="0.2">
      <c r="A1471" s="133" t="s">
        <v>449</v>
      </c>
      <c r="B1471" s="133" t="s">
        <v>450</v>
      </c>
      <c r="C1471" s="133">
        <v>12</v>
      </c>
      <c r="D1471" s="133">
        <v>3</v>
      </c>
      <c r="E1471" s="133" t="s">
        <v>2462</v>
      </c>
      <c r="F1471" s="138">
        <v>43350</v>
      </c>
      <c r="G1471" s="136" t="s">
        <v>4032</v>
      </c>
      <c r="H1471" s="136" t="s">
        <v>4724</v>
      </c>
      <c r="I1471" s="148">
        <v>6.1111111111111116E-2</v>
      </c>
      <c r="J1471" s="174">
        <v>1.0185185185185186E-3</v>
      </c>
      <c r="K1471" s="139">
        <v>88</v>
      </c>
      <c r="L1471" s="133" t="s">
        <v>398</v>
      </c>
      <c r="M1471" s="133" t="s">
        <v>64</v>
      </c>
      <c r="N1471" s="133" t="s">
        <v>102</v>
      </c>
      <c r="O1471" s="133" t="s">
        <v>23</v>
      </c>
      <c r="P1471" s="133">
        <v>1</v>
      </c>
      <c r="Q1471" s="133"/>
      <c r="R1471" s="133">
        <v>0</v>
      </c>
      <c r="S1471" s="133" t="s">
        <v>176</v>
      </c>
      <c r="T1471" s="133" t="s">
        <v>176</v>
      </c>
      <c r="U1471" s="133" t="s">
        <v>122</v>
      </c>
      <c r="V1471" s="133" t="s">
        <v>115</v>
      </c>
      <c r="W1471" s="135" t="s">
        <v>115</v>
      </c>
      <c r="X1471" s="135" t="s">
        <v>115</v>
      </c>
      <c r="Y1471" s="135" t="s">
        <v>115</v>
      </c>
      <c r="AB1471" s="133" t="s">
        <v>115</v>
      </c>
      <c r="AC1471" s="134" t="s">
        <v>115</v>
      </c>
      <c r="AD1471" s="134"/>
      <c r="AH1471" s="139">
        <v>0</v>
      </c>
      <c r="AI1471" s="139">
        <v>0</v>
      </c>
      <c r="AJ1471" s="139">
        <v>0</v>
      </c>
      <c r="AK1471" s="139">
        <v>0</v>
      </c>
      <c r="AL1471" s="139">
        <v>0</v>
      </c>
      <c r="AM1471" s="133">
        <v>0</v>
      </c>
      <c r="AN1471" s="133">
        <f t="shared" si="24"/>
        <v>0</v>
      </c>
      <c r="AO1471" s="133" t="s">
        <v>303</v>
      </c>
      <c r="AP1471" s="133"/>
      <c r="AQ1471" s="133"/>
      <c r="AR1471" s="133"/>
      <c r="AS1471" s="133"/>
      <c r="AT1471" s="133"/>
      <c r="AU1471" s="133"/>
      <c r="AV1471" s="133"/>
    </row>
    <row r="1472" spans="1:48" s="135" customFormat="1" x14ac:dyDescent="0.2">
      <c r="A1472" s="133" t="s">
        <v>449</v>
      </c>
      <c r="B1472" s="133" t="s">
        <v>450</v>
      </c>
      <c r="C1472" s="133">
        <v>12</v>
      </c>
      <c r="D1472" s="133">
        <v>2</v>
      </c>
      <c r="E1472" s="133" t="s">
        <v>2462</v>
      </c>
      <c r="F1472" s="138">
        <v>43350</v>
      </c>
      <c r="G1472" s="136" t="s">
        <v>4032</v>
      </c>
      <c r="H1472" s="136" t="s">
        <v>4724</v>
      </c>
      <c r="I1472" s="148">
        <v>6.1111111111111116E-2</v>
      </c>
      <c r="J1472" s="174">
        <v>1.0185185185185186E-3</v>
      </c>
      <c r="K1472" s="139">
        <v>88</v>
      </c>
      <c r="L1472" s="133" t="s">
        <v>398</v>
      </c>
      <c r="M1472" s="133" t="s">
        <v>64</v>
      </c>
      <c r="N1472" s="133" t="s">
        <v>111</v>
      </c>
      <c r="O1472" s="133" t="s">
        <v>23</v>
      </c>
      <c r="P1472" s="133">
        <v>0</v>
      </c>
      <c r="Q1472" s="133"/>
      <c r="R1472" s="133">
        <v>1</v>
      </c>
      <c r="S1472" s="133" t="s">
        <v>176</v>
      </c>
      <c r="T1472" s="133" t="s">
        <v>176</v>
      </c>
      <c r="U1472" s="133" t="s">
        <v>24</v>
      </c>
      <c r="V1472" s="133" t="s">
        <v>709</v>
      </c>
      <c r="W1472" s="135" t="s">
        <v>23</v>
      </c>
      <c r="X1472" s="135" t="s">
        <v>4004</v>
      </c>
      <c r="Y1472" s="135" t="s">
        <v>4005</v>
      </c>
      <c r="Z1472" s="133"/>
      <c r="AA1472" s="133"/>
      <c r="AB1472" s="133" t="s">
        <v>176</v>
      </c>
      <c r="AC1472" s="134" t="s">
        <v>246</v>
      </c>
      <c r="AD1472" s="134"/>
      <c r="AE1472" s="133"/>
      <c r="AF1472" s="133"/>
      <c r="AG1472" s="133"/>
      <c r="AH1472" s="139">
        <v>0</v>
      </c>
      <c r="AI1472" s="139">
        <v>0</v>
      </c>
      <c r="AJ1472" s="139">
        <v>0</v>
      </c>
      <c r="AK1472" s="139">
        <v>0</v>
      </c>
      <c r="AL1472" s="139">
        <v>0</v>
      </c>
      <c r="AM1472" s="133">
        <v>0</v>
      </c>
      <c r="AN1472" s="133">
        <f t="shared" si="24"/>
        <v>0</v>
      </c>
      <c r="AO1472" s="133" t="s">
        <v>303</v>
      </c>
      <c r="AP1472" s="133"/>
      <c r="AQ1472" s="133"/>
      <c r="AR1472" s="133"/>
    </row>
    <row r="1473" spans="1:48" s="135" customFormat="1" x14ac:dyDescent="0.2">
      <c r="A1473" s="133" t="s">
        <v>561</v>
      </c>
      <c r="B1473" s="133" t="s">
        <v>562</v>
      </c>
      <c r="C1473" s="133">
        <v>3</v>
      </c>
      <c r="D1473" s="133">
        <v>1</v>
      </c>
      <c r="E1473" s="133" t="s">
        <v>2462</v>
      </c>
      <c r="F1473" s="138">
        <v>43354</v>
      </c>
      <c r="G1473" s="136" t="s">
        <v>4032</v>
      </c>
      <c r="H1473" s="136" t="s">
        <v>4724</v>
      </c>
      <c r="I1473" s="148">
        <v>3.472222222222222E-3</v>
      </c>
      <c r="J1473" s="174">
        <v>5.7870370370370366E-5</v>
      </c>
      <c r="K1473" s="139">
        <v>5</v>
      </c>
      <c r="L1473" s="133" t="s">
        <v>483</v>
      </c>
      <c r="M1473" s="133" t="s">
        <v>64</v>
      </c>
      <c r="N1473" s="133" t="s">
        <v>102</v>
      </c>
      <c r="O1473" s="133" t="s">
        <v>12</v>
      </c>
      <c r="P1473" s="133">
        <v>1</v>
      </c>
      <c r="Q1473" s="133"/>
      <c r="R1473" s="133">
        <v>0</v>
      </c>
      <c r="S1473" s="133" t="s">
        <v>176</v>
      </c>
      <c r="T1473" s="133" t="s">
        <v>176</v>
      </c>
      <c r="U1473" s="133" t="s">
        <v>563</v>
      </c>
      <c r="V1473" s="133" t="s">
        <v>115</v>
      </c>
      <c r="W1473" s="135" t="s">
        <v>115</v>
      </c>
      <c r="X1473" s="135" t="s">
        <v>115</v>
      </c>
      <c r="Y1473" s="135" t="s">
        <v>115</v>
      </c>
      <c r="Z1473" s="133"/>
      <c r="AA1473" s="133"/>
      <c r="AB1473" s="133" t="s">
        <v>115</v>
      </c>
      <c r="AC1473" s="134" t="s">
        <v>115</v>
      </c>
      <c r="AD1473" s="134"/>
      <c r="AE1473" s="133"/>
      <c r="AF1473" s="133"/>
      <c r="AG1473" s="133"/>
      <c r="AH1473" s="139">
        <v>4</v>
      </c>
      <c r="AI1473" s="139">
        <v>0</v>
      </c>
      <c r="AJ1473" s="139">
        <v>0</v>
      </c>
      <c r="AK1473" s="139">
        <v>4</v>
      </c>
      <c r="AL1473" s="139">
        <v>0</v>
      </c>
      <c r="AM1473" s="133">
        <v>0</v>
      </c>
      <c r="AN1473" s="133">
        <f t="shared" si="24"/>
        <v>4</v>
      </c>
      <c r="AO1473" s="133"/>
      <c r="AP1473" s="133"/>
      <c r="AQ1473" s="133"/>
      <c r="AR1473" s="133"/>
      <c r="AS1473" s="133"/>
      <c r="AT1473" s="133"/>
      <c r="AU1473" s="133"/>
      <c r="AV1473" s="133"/>
    </row>
    <row r="1474" spans="1:48" s="133" customFormat="1" x14ac:dyDescent="0.2">
      <c r="A1474" s="133" t="s">
        <v>673</v>
      </c>
      <c r="B1474" s="133" t="s">
        <v>674</v>
      </c>
      <c r="C1474" s="133">
        <v>2</v>
      </c>
      <c r="D1474" s="133">
        <v>1</v>
      </c>
      <c r="E1474" s="133" t="s">
        <v>2462</v>
      </c>
      <c r="F1474" s="138">
        <v>43357</v>
      </c>
      <c r="G1474" s="136" t="s">
        <v>4032</v>
      </c>
      <c r="H1474" s="136" t="s">
        <v>4724</v>
      </c>
      <c r="I1474" s="148">
        <v>3.7499999999999999E-2</v>
      </c>
      <c r="J1474" s="174">
        <v>6.2500000000000001E-4</v>
      </c>
      <c r="K1474" s="139">
        <v>54</v>
      </c>
      <c r="L1474" s="133" t="s">
        <v>640</v>
      </c>
      <c r="M1474" s="133" t="s">
        <v>64</v>
      </c>
      <c r="N1474" s="133" t="s">
        <v>102</v>
      </c>
      <c r="O1474" s="133" t="s">
        <v>23</v>
      </c>
      <c r="P1474" s="133">
        <v>1</v>
      </c>
      <c r="R1474" s="133">
        <v>3</v>
      </c>
      <c r="S1474" s="133" t="s">
        <v>176</v>
      </c>
      <c r="T1474" s="133" t="s">
        <v>176</v>
      </c>
      <c r="U1474" s="133" t="s">
        <v>3969</v>
      </c>
      <c r="V1474" s="133" t="s">
        <v>676</v>
      </c>
      <c r="W1474" s="140" t="s">
        <v>23</v>
      </c>
      <c r="X1474" s="140" t="s">
        <v>3997</v>
      </c>
      <c r="Y1474" s="140" t="s">
        <v>4005</v>
      </c>
      <c r="AB1474" s="133" t="s">
        <v>24</v>
      </c>
      <c r="AC1474" s="134">
        <v>63.73272</v>
      </c>
      <c r="AD1474" s="134">
        <v>148.89931999999999</v>
      </c>
      <c r="AH1474" s="139">
        <v>0</v>
      </c>
      <c r="AI1474" s="139">
        <v>0</v>
      </c>
      <c r="AJ1474" s="139">
        <v>0</v>
      </c>
      <c r="AK1474" s="139">
        <v>0</v>
      </c>
      <c r="AL1474" s="139">
        <v>0</v>
      </c>
      <c r="AM1474" s="133">
        <v>0</v>
      </c>
      <c r="AN1474" s="133">
        <f t="shared" si="24"/>
        <v>0</v>
      </c>
      <c r="AS1474" s="135"/>
      <c r="AT1474" s="135"/>
      <c r="AU1474" s="135"/>
      <c r="AV1474" s="135"/>
    </row>
    <row r="1475" spans="1:48" s="133" customFormat="1" x14ac:dyDescent="0.2">
      <c r="A1475" s="133" t="s">
        <v>677</v>
      </c>
      <c r="B1475" s="133" t="s">
        <v>678</v>
      </c>
      <c r="C1475" s="133">
        <v>3</v>
      </c>
      <c r="D1475" s="133">
        <v>1</v>
      </c>
      <c r="E1475" s="133" t="s">
        <v>2462</v>
      </c>
      <c r="F1475" s="138">
        <v>43357</v>
      </c>
      <c r="G1475" s="136" t="s">
        <v>4032</v>
      </c>
      <c r="H1475" s="136" t="s">
        <v>4724</v>
      </c>
      <c r="I1475" s="148">
        <v>1.5972222222222224E-2</v>
      </c>
      <c r="J1475" s="174">
        <v>2.6620370370370372E-4</v>
      </c>
      <c r="K1475" s="139">
        <v>23</v>
      </c>
      <c r="L1475" s="133" t="s">
        <v>640</v>
      </c>
      <c r="M1475" s="133" t="s">
        <v>64</v>
      </c>
      <c r="N1475" s="133" t="s">
        <v>102</v>
      </c>
      <c r="O1475" s="133" t="s">
        <v>23</v>
      </c>
      <c r="P1475" s="133">
        <v>1</v>
      </c>
      <c r="R1475" s="133">
        <v>0</v>
      </c>
      <c r="S1475" s="133" t="s">
        <v>176</v>
      </c>
      <c r="T1475" s="133" t="s">
        <v>176</v>
      </c>
      <c r="U1475" s="133" t="s">
        <v>122</v>
      </c>
      <c r="V1475" s="133" t="s">
        <v>115</v>
      </c>
      <c r="W1475" s="135" t="s">
        <v>115</v>
      </c>
      <c r="X1475" s="135" t="s">
        <v>115</v>
      </c>
      <c r="Y1475" s="135" t="s">
        <v>115</v>
      </c>
      <c r="AB1475" s="133" t="s">
        <v>115</v>
      </c>
      <c r="AC1475" s="134" t="s">
        <v>115</v>
      </c>
      <c r="AD1475" s="134"/>
      <c r="AH1475" s="139">
        <v>0</v>
      </c>
      <c r="AI1475" s="139">
        <v>0</v>
      </c>
      <c r="AJ1475" s="139">
        <v>0</v>
      </c>
      <c r="AK1475" s="139">
        <v>0</v>
      </c>
      <c r="AL1475" s="139">
        <v>0</v>
      </c>
      <c r="AM1475" s="133">
        <v>0</v>
      </c>
      <c r="AN1475" s="133">
        <f t="shared" si="24"/>
        <v>0</v>
      </c>
      <c r="AP1475" s="133" t="s">
        <v>2151</v>
      </c>
    </row>
    <row r="1476" spans="1:48" s="133" customFormat="1" x14ac:dyDescent="0.2">
      <c r="A1476" s="133" t="s">
        <v>756</v>
      </c>
      <c r="B1476" s="133" t="s">
        <v>757</v>
      </c>
      <c r="C1476" s="133">
        <v>1</v>
      </c>
      <c r="D1476" s="133">
        <v>1</v>
      </c>
      <c r="E1476" s="133" t="s">
        <v>2462</v>
      </c>
      <c r="F1476" s="138">
        <v>43359</v>
      </c>
      <c r="G1476" s="136" t="s">
        <v>4032</v>
      </c>
      <c r="H1476" s="136" t="s">
        <v>4724</v>
      </c>
      <c r="I1476" s="148">
        <v>3.2638888888888891E-2</v>
      </c>
      <c r="J1476" s="174">
        <v>5.4398148148148144E-4</v>
      </c>
      <c r="K1476" s="139">
        <v>47</v>
      </c>
      <c r="L1476" s="133" t="s">
        <v>398</v>
      </c>
      <c r="M1476" s="133" t="s">
        <v>64</v>
      </c>
      <c r="N1476" s="133" t="s">
        <v>102</v>
      </c>
      <c r="O1476" s="133" t="s">
        <v>23</v>
      </c>
      <c r="P1476" s="133">
        <v>1</v>
      </c>
      <c r="R1476" s="133">
        <v>1</v>
      </c>
      <c r="S1476" s="133" t="s">
        <v>1618</v>
      </c>
      <c r="T1476" s="133" t="s">
        <v>4011</v>
      </c>
      <c r="U1476" s="133" t="s">
        <v>122</v>
      </c>
      <c r="V1476" s="133" t="s">
        <v>4012</v>
      </c>
      <c r="W1476" s="135" t="s">
        <v>23</v>
      </c>
      <c r="X1476" s="135" t="s">
        <v>3999</v>
      </c>
      <c r="Y1476" s="135" t="s">
        <v>4006</v>
      </c>
      <c r="AB1476" s="133" t="s">
        <v>176</v>
      </c>
      <c r="AC1476" s="134">
        <v>63.732439999999997</v>
      </c>
      <c r="AD1476" s="134">
        <v>148.89502999999999</v>
      </c>
      <c r="AH1476" s="139">
        <v>0</v>
      </c>
      <c r="AI1476" s="139">
        <v>0</v>
      </c>
      <c r="AJ1476" s="139">
        <v>0</v>
      </c>
      <c r="AK1476" s="139">
        <v>0</v>
      </c>
      <c r="AL1476" s="139">
        <v>0</v>
      </c>
      <c r="AM1476" s="133">
        <v>0</v>
      </c>
      <c r="AN1476" s="133">
        <f t="shared" si="24"/>
        <v>0</v>
      </c>
      <c r="AP1476" s="133" t="s">
        <v>759</v>
      </c>
    </row>
    <row r="1477" spans="1:48" s="133" customFormat="1" x14ac:dyDescent="0.2">
      <c r="A1477" s="135" t="s">
        <v>780</v>
      </c>
      <c r="B1477" s="135" t="s">
        <v>781</v>
      </c>
      <c r="C1477" s="135">
        <v>9</v>
      </c>
      <c r="D1477" s="135">
        <v>1</v>
      </c>
      <c r="E1477" s="135" t="s">
        <v>2462</v>
      </c>
      <c r="F1477" s="136">
        <v>43359</v>
      </c>
      <c r="G1477" s="136" t="s">
        <v>4032</v>
      </c>
      <c r="H1477" s="136" t="s">
        <v>4724</v>
      </c>
      <c r="I1477" s="172">
        <v>5.2083333333333336E-2</v>
      </c>
      <c r="J1477" s="175">
        <v>8.6805555555555551E-4</v>
      </c>
      <c r="K1477" s="143">
        <v>75</v>
      </c>
      <c r="L1477" s="135" t="s">
        <v>398</v>
      </c>
      <c r="M1477" s="135" t="s">
        <v>64</v>
      </c>
      <c r="N1477" s="135" t="s">
        <v>102</v>
      </c>
      <c r="O1477" s="135" t="s">
        <v>23</v>
      </c>
      <c r="P1477" s="135" t="s">
        <v>24</v>
      </c>
      <c r="Q1477" s="135"/>
      <c r="R1477" s="135">
        <v>0</v>
      </c>
      <c r="S1477" s="135"/>
      <c r="T1477" s="135" t="s">
        <v>115</v>
      </c>
      <c r="U1477" s="135" t="s">
        <v>115</v>
      </c>
      <c r="V1477" s="135" t="s">
        <v>115</v>
      </c>
      <c r="W1477" s="135" t="s">
        <v>115</v>
      </c>
      <c r="X1477" s="135" t="s">
        <v>115</v>
      </c>
      <c r="Y1477" s="135" t="s">
        <v>115</v>
      </c>
      <c r="AB1477" s="137" t="s">
        <v>115</v>
      </c>
      <c r="AC1477" s="137" t="s">
        <v>115</v>
      </c>
      <c r="AD1477" s="137"/>
      <c r="AH1477" s="143">
        <v>26</v>
      </c>
      <c r="AI1477" s="143">
        <v>5</v>
      </c>
      <c r="AJ1477" s="143">
        <v>26</v>
      </c>
      <c r="AK1477" s="143">
        <v>5</v>
      </c>
      <c r="AL1477" s="143">
        <v>0</v>
      </c>
      <c r="AM1477" s="135">
        <v>0</v>
      </c>
      <c r="AN1477" s="135">
        <f t="shared" si="24"/>
        <v>31</v>
      </c>
      <c r="AO1477" s="135"/>
      <c r="AP1477" s="135"/>
      <c r="AQ1477" s="135"/>
      <c r="AR1477" s="135"/>
      <c r="AS1477" s="135"/>
      <c r="AT1477" s="135"/>
      <c r="AU1477" s="135"/>
      <c r="AV1477" s="135"/>
    </row>
    <row r="1478" spans="1:48" s="133" customFormat="1" x14ac:dyDescent="0.2">
      <c r="A1478" s="133" t="s">
        <v>914</v>
      </c>
      <c r="B1478" s="133" t="s">
        <v>915</v>
      </c>
      <c r="C1478" s="133">
        <v>1</v>
      </c>
      <c r="D1478" s="133">
        <v>1</v>
      </c>
      <c r="E1478" s="133" t="s">
        <v>2462</v>
      </c>
      <c r="F1478" s="138">
        <v>43364</v>
      </c>
      <c r="G1478" s="136" t="s">
        <v>4032</v>
      </c>
      <c r="H1478" s="136" t="s">
        <v>4724</v>
      </c>
      <c r="I1478" s="148">
        <v>2.7777777777777779E-3</v>
      </c>
      <c r="J1478" s="174">
        <v>4.6296296296296294E-5</v>
      </c>
      <c r="K1478" s="139">
        <v>4</v>
      </c>
      <c r="L1478" s="133" t="s">
        <v>640</v>
      </c>
      <c r="M1478" s="133" t="s">
        <v>64</v>
      </c>
      <c r="N1478" s="133" t="s">
        <v>107</v>
      </c>
      <c r="O1478" s="133" t="s">
        <v>12</v>
      </c>
      <c r="P1478" s="133">
        <v>1</v>
      </c>
      <c r="R1478" s="133">
        <v>0</v>
      </c>
      <c r="S1478" s="133" t="s">
        <v>1618</v>
      </c>
      <c r="T1478" s="133" t="s">
        <v>2135</v>
      </c>
      <c r="U1478" s="133" t="s">
        <v>4968</v>
      </c>
      <c r="V1478" s="133" t="s">
        <v>115</v>
      </c>
      <c r="W1478" s="135" t="s">
        <v>115</v>
      </c>
      <c r="X1478" s="135" t="s">
        <v>115</v>
      </c>
      <c r="Y1478" s="135" t="s">
        <v>115</v>
      </c>
      <c r="AB1478" s="133" t="s">
        <v>115</v>
      </c>
      <c r="AC1478" s="134" t="s">
        <v>115</v>
      </c>
      <c r="AD1478" s="134"/>
      <c r="AH1478" s="139">
        <v>0</v>
      </c>
      <c r="AI1478" s="139">
        <v>0</v>
      </c>
      <c r="AJ1478" s="139">
        <v>0</v>
      </c>
      <c r="AK1478" s="139">
        <v>0</v>
      </c>
      <c r="AL1478" s="139">
        <v>0</v>
      </c>
      <c r="AM1478" s="133">
        <v>0</v>
      </c>
      <c r="AN1478" s="133">
        <f t="shared" si="24"/>
        <v>0</v>
      </c>
    </row>
    <row r="1479" spans="1:48" s="133" customFormat="1" x14ac:dyDescent="0.2">
      <c r="A1479" s="133" t="s">
        <v>917</v>
      </c>
      <c r="B1479" s="133" t="s">
        <v>918</v>
      </c>
      <c r="C1479" s="133">
        <v>2</v>
      </c>
      <c r="D1479" s="133">
        <v>1</v>
      </c>
      <c r="E1479" s="133" t="s">
        <v>2462</v>
      </c>
      <c r="F1479" s="138">
        <v>43364</v>
      </c>
      <c r="G1479" s="136" t="s">
        <v>4032</v>
      </c>
      <c r="H1479" s="136" t="s">
        <v>4724</v>
      </c>
      <c r="I1479" s="148">
        <v>3.3333333333333333E-2</v>
      </c>
      <c r="J1479" s="174">
        <v>5.5555555555555556E-4</v>
      </c>
      <c r="K1479" s="139">
        <v>48</v>
      </c>
      <c r="L1479" s="133" t="s">
        <v>640</v>
      </c>
      <c r="M1479" s="133" t="s">
        <v>64</v>
      </c>
      <c r="N1479" s="133" t="s">
        <v>111</v>
      </c>
      <c r="O1479" s="133" t="s">
        <v>919</v>
      </c>
      <c r="P1479" s="133">
        <v>0</v>
      </c>
      <c r="R1479" s="133">
        <v>1</v>
      </c>
      <c r="S1479" s="133" t="s">
        <v>1618</v>
      </c>
      <c r="T1479" s="133" t="s">
        <v>2135</v>
      </c>
      <c r="U1479" s="133" t="s">
        <v>4968</v>
      </c>
      <c r="V1479" s="133" t="s">
        <v>1027</v>
      </c>
      <c r="W1479" s="135" t="s">
        <v>12</v>
      </c>
      <c r="X1479" s="135" t="s">
        <v>3997</v>
      </c>
      <c r="Y1479" s="135" t="s">
        <v>4005</v>
      </c>
      <c r="Z1479" s="135"/>
      <c r="AA1479" s="135"/>
      <c r="AB1479" s="133" t="s">
        <v>176</v>
      </c>
      <c r="AC1479" s="134">
        <v>63.733040000000003</v>
      </c>
      <c r="AD1479" s="134">
        <v>148.89510999999999</v>
      </c>
      <c r="AE1479" s="135"/>
      <c r="AF1479" s="135"/>
      <c r="AG1479" s="135"/>
      <c r="AH1479" s="139">
        <v>0</v>
      </c>
      <c r="AI1479" s="139">
        <v>0</v>
      </c>
      <c r="AJ1479" s="139">
        <v>0</v>
      </c>
      <c r="AK1479" s="139">
        <v>0</v>
      </c>
      <c r="AL1479" s="139">
        <v>0</v>
      </c>
      <c r="AM1479" s="133">
        <v>0</v>
      </c>
      <c r="AN1479" s="133">
        <f t="shared" si="24"/>
        <v>0</v>
      </c>
      <c r="AP1479" s="133" t="s">
        <v>2074</v>
      </c>
      <c r="AS1479" s="135"/>
      <c r="AT1479" s="135"/>
      <c r="AU1479" s="135"/>
      <c r="AV1479" s="135"/>
    </row>
    <row r="1480" spans="1:48" s="133" customFormat="1" x14ac:dyDescent="0.2">
      <c r="A1480" s="133" t="s">
        <v>917</v>
      </c>
      <c r="B1480" s="133" t="s">
        <v>918</v>
      </c>
      <c r="C1480" s="133">
        <v>2</v>
      </c>
      <c r="D1480" s="133">
        <v>2</v>
      </c>
      <c r="E1480" s="133" t="s">
        <v>2462</v>
      </c>
      <c r="F1480" s="138">
        <v>43364</v>
      </c>
      <c r="G1480" s="136" t="s">
        <v>4032</v>
      </c>
      <c r="H1480" s="136" t="s">
        <v>4724</v>
      </c>
      <c r="I1480" s="148">
        <v>3.3333333333333333E-2</v>
      </c>
      <c r="J1480" s="174">
        <v>5.5555555555555556E-4</v>
      </c>
      <c r="K1480" s="139">
        <v>48</v>
      </c>
      <c r="L1480" s="133" t="s">
        <v>640</v>
      </c>
      <c r="M1480" s="133" t="s">
        <v>64</v>
      </c>
      <c r="N1480" s="133" t="s">
        <v>111</v>
      </c>
      <c r="O1480" s="133" t="s">
        <v>919</v>
      </c>
      <c r="P1480" s="133">
        <v>0</v>
      </c>
      <c r="R1480" s="133">
        <v>1</v>
      </c>
      <c r="S1480" s="133" t="s">
        <v>1618</v>
      </c>
      <c r="T1480" s="133" t="s">
        <v>2135</v>
      </c>
      <c r="U1480" s="133" t="s">
        <v>4968</v>
      </c>
      <c r="V1480" s="133" t="s">
        <v>1027</v>
      </c>
      <c r="W1480" s="135" t="s">
        <v>12</v>
      </c>
      <c r="X1480" s="135" t="s">
        <v>3997</v>
      </c>
      <c r="Y1480" s="135" t="s">
        <v>4005</v>
      </c>
      <c r="AB1480" s="133" t="s">
        <v>176</v>
      </c>
      <c r="AC1480" s="134">
        <v>63.733040000000003</v>
      </c>
      <c r="AD1480" s="134">
        <v>148.89510999999999</v>
      </c>
      <c r="AH1480" s="139">
        <v>0</v>
      </c>
      <c r="AI1480" s="139">
        <v>0</v>
      </c>
      <c r="AJ1480" s="139">
        <v>0</v>
      </c>
      <c r="AK1480" s="139">
        <v>0</v>
      </c>
      <c r="AL1480" s="139">
        <v>0</v>
      </c>
      <c r="AM1480" s="133">
        <v>0</v>
      </c>
      <c r="AN1480" s="133">
        <f t="shared" si="24"/>
        <v>0</v>
      </c>
      <c r="AP1480" s="133" t="s">
        <v>2075</v>
      </c>
    </row>
    <row r="1481" spans="1:48" s="133" customFormat="1" x14ac:dyDescent="0.2">
      <c r="A1481" s="133" t="s">
        <v>949</v>
      </c>
      <c r="B1481" s="133" t="s">
        <v>950</v>
      </c>
      <c r="C1481" s="133">
        <v>4</v>
      </c>
      <c r="D1481" s="133">
        <v>1</v>
      </c>
      <c r="E1481" s="133" t="s">
        <v>2462</v>
      </c>
      <c r="F1481" s="138">
        <v>43368</v>
      </c>
      <c r="G1481" s="136" t="s">
        <v>4032</v>
      </c>
      <c r="H1481" s="136" t="s">
        <v>4724</v>
      </c>
      <c r="I1481" s="148">
        <v>1.1111111111111112E-2</v>
      </c>
      <c r="J1481" s="174">
        <v>1.9675925925925926E-4</v>
      </c>
      <c r="K1481" s="139">
        <v>17</v>
      </c>
      <c r="L1481" s="133" t="s">
        <v>398</v>
      </c>
      <c r="M1481" s="133" t="s">
        <v>64</v>
      </c>
      <c r="N1481" s="133" t="s">
        <v>102</v>
      </c>
      <c r="O1481" s="133" t="s">
        <v>115</v>
      </c>
      <c r="P1481" s="133">
        <v>1</v>
      </c>
      <c r="R1481" s="133">
        <v>0</v>
      </c>
      <c r="S1481" s="133" t="s">
        <v>461</v>
      </c>
      <c r="T1481" s="133" t="s">
        <v>2125</v>
      </c>
      <c r="U1481" s="133" t="s">
        <v>122</v>
      </c>
      <c r="V1481" s="133" t="s">
        <v>115</v>
      </c>
      <c r="W1481" s="135" t="s">
        <v>115</v>
      </c>
      <c r="X1481" s="135" t="s">
        <v>115</v>
      </c>
      <c r="Y1481" s="135" t="s">
        <v>115</v>
      </c>
      <c r="AB1481" s="133" t="s">
        <v>115</v>
      </c>
      <c r="AC1481" s="134" t="s">
        <v>115</v>
      </c>
      <c r="AD1481" s="134"/>
      <c r="AH1481" s="139">
        <v>0</v>
      </c>
      <c r="AI1481" s="139">
        <v>0</v>
      </c>
      <c r="AJ1481" s="139">
        <v>0</v>
      </c>
      <c r="AK1481" s="139">
        <v>0</v>
      </c>
      <c r="AL1481" s="139">
        <v>0</v>
      </c>
      <c r="AM1481" s="133">
        <v>0</v>
      </c>
      <c r="AN1481" s="133">
        <f t="shared" si="24"/>
        <v>0</v>
      </c>
      <c r="AP1481" s="133" t="s">
        <v>4971</v>
      </c>
      <c r="AS1481" s="135"/>
      <c r="AT1481" s="135"/>
      <c r="AU1481" s="135"/>
      <c r="AV1481" s="135"/>
    </row>
    <row r="1482" spans="1:48" s="133" customFormat="1" x14ac:dyDescent="0.2">
      <c r="A1482" s="133" t="s">
        <v>949</v>
      </c>
      <c r="B1482" s="133" t="s">
        <v>951</v>
      </c>
      <c r="C1482" s="133">
        <v>5</v>
      </c>
      <c r="D1482" s="133">
        <v>1</v>
      </c>
      <c r="E1482" s="133" t="s">
        <v>2462</v>
      </c>
      <c r="F1482" s="138">
        <v>43368</v>
      </c>
      <c r="G1482" s="136" t="s">
        <v>4032</v>
      </c>
      <c r="H1482" s="136" t="s">
        <v>4724</v>
      </c>
      <c r="I1482" s="148">
        <v>9.7222222222222224E-3</v>
      </c>
      <c r="J1482" s="174">
        <v>1.6203703703703703E-4</v>
      </c>
      <c r="K1482" s="139">
        <v>14</v>
      </c>
      <c r="L1482" s="133" t="s">
        <v>398</v>
      </c>
      <c r="M1482" s="133" t="s">
        <v>64</v>
      </c>
      <c r="N1482" s="133" t="s">
        <v>107</v>
      </c>
      <c r="O1482" s="133" t="s">
        <v>115</v>
      </c>
      <c r="P1482" s="133">
        <v>0</v>
      </c>
      <c r="R1482" s="133">
        <v>0</v>
      </c>
      <c r="S1482" s="133" t="s">
        <v>461</v>
      </c>
      <c r="T1482" s="133" t="s">
        <v>2125</v>
      </c>
      <c r="U1482" s="133" t="s">
        <v>115</v>
      </c>
      <c r="V1482" s="133" t="s">
        <v>115</v>
      </c>
      <c r="W1482" s="135" t="s">
        <v>115</v>
      </c>
      <c r="X1482" s="135" t="s">
        <v>115</v>
      </c>
      <c r="Y1482" s="135" t="s">
        <v>115</v>
      </c>
      <c r="Z1482" s="135"/>
      <c r="AA1482" s="135"/>
      <c r="AB1482" s="133" t="s">
        <v>115</v>
      </c>
      <c r="AC1482" s="134" t="s">
        <v>115</v>
      </c>
      <c r="AD1482" s="134"/>
      <c r="AE1482" s="135"/>
      <c r="AF1482" s="135"/>
      <c r="AG1482" s="135"/>
      <c r="AH1482" s="139">
        <v>0</v>
      </c>
      <c r="AI1482" s="139">
        <v>0</v>
      </c>
      <c r="AJ1482" s="139">
        <v>0</v>
      </c>
      <c r="AK1482" s="139">
        <v>0</v>
      </c>
      <c r="AL1482" s="139">
        <v>0</v>
      </c>
      <c r="AM1482" s="133">
        <v>0</v>
      </c>
      <c r="AN1482" s="133">
        <f t="shared" si="24"/>
        <v>0</v>
      </c>
      <c r="AP1482" s="133" t="s">
        <v>952</v>
      </c>
    </row>
    <row r="1483" spans="1:48" s="133" customFormat="1" x14ac:dyDescent="0.2">
      <c r="A1483" s="133" t="s">
        <v>954</v>
      </c>
      <c r="B1483" s="133" t="s">
        <v>955</v>
      </c>
      <c r="C1483" s="133">
        <v>6</v>
      </c>
      <c r="D1483" s="133">
        <v>1</v>
      </c>
      <c r="E1483" s="133" t="s">
        <v>2462</v>
      </c>
      <c r="F1483" s="138">
        <v>43368</v>
      </c>
      <c r="G1483" s="136" t="s">
        <v>4032</v>
      </c>
      <c r="H1483" s="136" t="s">
        <v>4724</v>
      </c>
      <c r="I1483" s="148">
        <v>2.7777777777777779E-3</v>
      </c>
      <c r="J1483" s="174">
        <v>4.6296296296296294E-5</v>
      </c>
      <c r="K1483" s="139">
        <v>4</v>
      </c>
      <c r="L1483" s="133" t="s">
        <v>398</v>
      </c>
      <c r="M1483" s="133" t="s">
        <v>64</v>
      </c>
      <c r="N1483" s="133" t="s">
        <v>102</v>
      </c>
      <c r="O1483" s="133" t="s">
        <v>115</v>
      </c>
      <c r="P1483" s="133">
        <v>1</v>
      </c>
      <c r="R1483" s="133">
        <v>0</v>
      </c>
      <c r="S1483" s="133" t="s">
        <v>461</v>
      </c>
      <c r="T1483" s="133" t="s">
        <v>2125</v>
      </c>
      <c r="U1483" s="133" t="s">
        <v>122</v>
      </c>
      <c r="V1483" s="133" t="s">
        <v>115</v>
      </c>
      <c r="W1483" s="135" t="s">
        <v>115</v>
      </c>
      <c r="X1483" s="135" t="s">
        <v>115</v>
      </c>
      <c r="Y1483" s="135" t="s">
        <v>115</v>
      </c>
      <c r="Z1483" s="135"/>
      <c r="AA1483" s="135"/>
      <c r="AB1483" s="133" t="s">
        <v>115</v>
      </c>
      <c r="AC1483" s="134" t="s">
        <v>115</v>
      </c>
      <c r="AD1483" s="134"/>
      <c r="AE1483" s="135"/>
      <c r="AF1483" s="135"/>
      <c r="AG1483" s="135"/>
      <c r="AH1483" s="139">
        <v>0</v>
      </c>
      <c r="AI1483" s="139">
        <v>0</v>
      </c>
      <c r="AJ1483" s="139">
        <v>0</v>
      </c>
      <c r="AK1483" s="139">
        <v>0</v>
      </c>
      <c r="AL1483" s="139">
        <v>0</v>
      </c>
      <c r="AM1483" s="133">
        <v>0</v>
      </c>
      <c r="AN1483" s="133">
        <f t="shared" si="24"/>
        <v>0</v>
      </c>
      <c r="AP1483" s="133" t="s">
        <v>956</v>
      </c>
    </row>
    <row r="1484" spans="1:48" s="133" customFormat="1" x14ac:dyDescent="0.2">
      <c r="A1484" s="135" t="s">
        <v>957</v>
      </c>
      <c r="B1484" s="135" t="s">
        <v>958</v>
      </c>
      <c r="C1484" s="135">
        <v>7</v>
      </c>
      <c r="D1484" s="135">
        <v>1</v>
      </c>
      <c r="E1484" s="135" t="s">
        <v>2462</v>
      </c>
      <c r="F1484" s="136">
        <v>43368</v>
      </c>
      <c r="G1484" s="136" t="s">
        <v>4032</v>
      </c>
      <c r="H1484" s="136" t="s">
        <v>4724</v>
      </c>
      <c r="I1484" s="172">
        <v>2.1527777777777781E-2</v>
      </c>
      <c r="J1484" s="175">
        <v>3.5879629629629635E-4</v>
      </c>
      <c r="K1484" s="143">
        <v>31</v>
      </c>
      <c r="L1484" s="135" t="s">
        <v>398</v>
      </c>
      <c r="M1484" s="135" t="s">
        <v>64</v>
      </c>
      <c r="N1484" s="135" t="s">
        <v>102</v>
      </c>
      <c r="O1484" s="135" t="s">
        <v>115</v>
      </c>
      <c r="P1484" s="135">
        <v>1</v>
      </c>
      <c r="Q1484" s="135"/>
      <c r="R1484" s="135">
        <v>1</v>
      </c>
      <c r="S1484" s="133" t="s">
        <v>14</v>
      </c>
      <c r="T1484" s="135" t="s">
        <v>2128</v>
      </c>
      <c r="U1484" s="135" t="s">
        <v>122</v>
      </c>
      <c r="V1484" s="135" t="s">
        <v>959</v>
      </c>
      <c r="W1484" s="135" t="s">
        <v>23</v>
      </c>
      <c r="X1484" s="135" t="s">
        <v>3999</v>
      </c>
      <c r="Y1484" s="135" t="s">
        <v>4006</v>
      </c>
      <c r="Z1484" s="135"/>
      <c r="AA1484" s="135"/>
      <c r="AB1484" s="135">
        <v>13</v>
      </c>
      <c r="AC1484" s="137">
        <v>63.732559999999999</v>
      </c>
      <c r="AD1484" s="137">
        <v>148.89667</v>
      </c>
      <c r="AE1484" s="135"/>
      <c r="AF1484" s="135"/>
      <c r="AG1484" s="135"/>
      <c r="AH1484" s="143">
        <v>0</v>
      </c>
      <c r="AI1484" s="143">
        <v>0</v>
      </c>
      <c r="AJ1484" s="143">
        <v>0</v>
      </c>
      <c r="AK1484" s="143">
        <v>0</v>
      </c>
      <c r="AL1484" s="143">
        <v>6</v>
      </c>
      <c r="AM1484" s="135">
        <v>0</v>
      </c>
      <c r="AN1484" s="135">
        <f t="shared" si="24"/>
        <v>6</v>
      </c>
      <c r="AO1484" s="135"/>
      <c r="AP1484" s="135"/>
      <c r="AQ1484" s="135"/>
      <c r="AR1484" s="135"/>
    </row>
    <row r="1485" spans="1:48" s="133" customFormat="1" x14ac:dyDescent="0.2">
      <c r="A1485" s="133" t="s">
        <v>270</v>
      </c>
      <c r="E1485" s="133" t="s">
        <v>2462</v>
      </c>
      <c r="F1485" s="138">
        <v>43368</v>
      </c>
      <c r="G1485" s="136" t="s">
        <v>4032</v>
      </c>
      <c r="H1485" s="136" t="s">
        <v>4724</v>
      </c>
      <c r="I1485" s="148"/>
      <c r="J1485" s="174"/>
      <c r="K1485" s="139">
        <v>0</v>
      </c>
      <c r="L1485" s="133" t="s">
        <v>398</v>
      </c>
      <c r="M1485" s="133" t="s">
        <v>64</v>
      </c>
      <c r="N1485" s="133" t="s">
        <v>111</v>
      </c>
      <c r="O1485" s="133" t="s">
        <v>115</v>
      </c>
      <c r="P1485" s="133">
        <v>0</v>
      </c>
      <c r="R1485" s="133">
        <v>1</v>
      </c>
      <c r="S1485" s="133" t="s">
        <v>461</v>
      </c>
      <c r="T1485" s="133" t="s">
        <v>2125</v>
      </c>
      <c r="U1485" s="133" t="s">
        <v>115</v>
      </c>
      <c r="V1485" s="133" t="s">
        <v>645</v>
      </c>
      <c r="W1485" s="135" t="s">
        <v>23</v>
      </c>
      <c r="X1485" s="135" t="s">
        <v>3999</v>
      </c>
      <c r="Y1485" s="135" t="s">
        <v>4006</v>
      </c>
      <c r="Z1485" s="135"/>
      <c r="AA1485" s="135"/>
      <c r="AB1485" s="133">
        <v>18</v>
      </c>
      <c r="AC1485" s="134">
        <v>63.732320000000001</v>
      </c>
      <c r="AD1485" s="134">
        <v>148.89685</v>
      </c>
      <c r="AE1485" s="135"/>
      <c r="AF1485" s="135"/>
      <c r="AG1485" s="135"/>
      <c r="AH1485" s="139">
        <v>0</v>
      </c>
      <c r="AI1485" s="139">
        <v>0</v>
      </c>
      <c r="AJ1485" s="139">
        <v>0</v>
      </c>
      <c r="AK1485" s="139">
        <v>0</v>
      </c>
      <c r="AL1485" s="139">
        <v>0</v>
      </c>
      <c r="AM1485" s="133">
        <v>0</v>
      </c>
      <c r="AN1485" s="133">
        <f t="shared" si="24"/>
        <v>0</v>
      </c>
      <c r="AP1485" s="133" t="s">
        <v>4973</v>
      </c>
      <c r="AS1485" s="135"/>
      <c r="AT1485" s="135"/>
      <c r="AU1485" s="135"/>
      <c r="AV1485" s="135"/>
    </row>
    <row r="1486" spans="1:48" s="133" customFormat="1" x14ac:dyDescent="0.2">
      <c r="A1486" s="135" t="s">
        <v>519</v>
      </c>
      <c r="B1486" s="135" t="s">
        <v>520</v>
      </c>
      <c r="C1486" s="135">
        <v>1</v>
      </c>
      <c r="D1486" s="135">
        <v>1</v>
      </c>
      <c r="E1486" s="135" t="s">
        <v>521</v>
      </c>
      <c r="F1486" s="136">
        <v>43352</v>
      </c>
      <c r="G1486" s="136" t="s">
        <v>4032</v>
      </c>
      <c r="H1486" s="136" t="s">
        <v>4724</v>
      </c>
      <c r="I1486" s="172">
        <v>2.013888888888889E-2</v>
      </c>
      <c r="J1486" s="175">
        <v>3.3564814814814812E-4</v>
      </c>
      <c r="K1486" s="143">
        <v>29</v>
      </c>
      <c r="L1486" s="135" t="s">
        <v>483</v>
      </c>
      <c r="M1486" s="135" t="s">
        <v>217</v>
      </c>
      <c r="N1486" s="135" t="s">
        <v>102</v>
      </c>
      <c r="O1486" s="135" t="s">
        <v>115</v>
      </c>
      <c r="P1486" s="135">
        <v>2</v>
      </c>
      <c r="Q1486" s="135"/>
      <c r="R1486" s="135">
        <v>0</v>
      </c>
      <c r="S1486" s="133" t="s">
        <v>176</v>
      </c>
      <c r="T1486" s="135" t="s">
        <v>176</v>
      </c>
      <c r="U1486" s="135" t="s">
        <v>122</v>
      </c>
      <c r="V1486" s="135" t="s">
        <v>115</v>
      </c>
      <c r="W1486" s="135" t="s">
        <v>115</v>
      </c>
      <c r="X1486" s="135" t="s">
        <v>115</v>
      </c>
      <c r="Y1486" s="135" t="s">
        <v>115</v>
      </c>
      <c r="AB1486" s="135" t="s">
        <v>115</v>
      </c>
      <c r="AC1486" s="137" t="s">
        <v>115</v>
      </c>
      <c r="AD1486" s="137"/>
      <c r="AH1486" s="143">
        <v>0</v>
      </c>
      <c r="AI1486" s="143">
        <v>0</v>
      </c>
      <c r="AJ1486" s="143">
        <v>0</v>
      </c>
      <c r="AK1486" s="143">
        <v>0</v>
      </c>
      <c r="AL1486" s="143">
        <v>15</v>
      </c>
      <c r="AM1486" s="135">
        <v>0</v>
      </c>
      <c r="AN1486" s="135">
        <f t="shared" si="24"/>
        <v>15</v>
      </c>
      <c r="AO1486" s="135"/>
      <c r="AP1486" s="135"/>
      <c r="AQ1486" s="135"/>
      <c r="AR1486" s="135"/>
      <c r="AS1486" s="135"/>
      <c r="AT1486" s="135"/>
      <c r="AU1486" s="135"/>
      <c r="AV1486" s="135"/>
    </row>
    <row r="1487" spans="1:48" s="133" customFormat="1" x14ac:dyDescent="0.2">
      <c r="A1487" s="135" t="s">
        <v>522</v>
      </c>
      <c r="B1487" s="135" t="s">
        <v>523</v>
      </c>
      <c r="C1487" s="135">
        <v>2</v>
      </c>
      <c r="D1487" s="135">
        <v>1</v>
      </c>
      <c r="E1487" s="135" t="s">
        <v>521</v>
      </c>
      <c r="F1487" s="136">
        <v>43352</v>
      </c>
      <c r="G1487" s="136" t="s">
        <v>4032</v>
      </c>
      <c r="H1487" s="136" t="s">
        <v>4724</v>
      </c>
      <c r="I1487" s="172">
        <v>7.0833333333333331E-2</v>
      </c>
      <c r="J1487" s="175">
        <v>1.1805555555555556E-3</v>
      </c>
      <c r="K1487" s="143">
        <v>102</v>
      </c>
      <c r="L1487" s="135" t="s">
        <v>483</v>
      </c>
      <c r="M1487" s="135" t="s">
        <v>217</v>
      </c>
      <c r="N1487" s="135" t="s">
        <v>102</v>
      </c>
      <c r="O1487" s="135" t="s">
        <v>115</v>
      </c>
      <c r="P1487" s="135">
        <v>1</v>
      </c>
      <c r="Q1487" s="135"/>
      <c r="R1487" s="135">
        <v>0</v>
      </c>
      <c r="S1487" s="133" t="s">
        <v>598</v>
      </c>
      <c r="T1487" s="135" t="s">
        <v>2127</v>
      </c>
      <c r="U1487" s="135" t="s">
        <v>122</v>
      </c>
      <c r="V1487" s="135" t="s">
        <v>115</v>
      </c>
      <c r="W1487" s="135" t="s">
        <v>115</v>
      </c>
      <c r="X1487" s="135" t="s">
        <v>115</v>
      </c>
      <c r="Y1487" s="135" t="s">
        <v>115</v>
      </c>
      <c r="AB1487" s="135" t="s">
        <v>115</v>
      </c>
      <c r="AC1487" s="137" t="s">
        <v>115</v>
      </c>
      <c r="AD1487" s="137"/>
      <c r="AH1487" s="143">
        <v>0</v>
      </c>
      <c r="AI1487" s="143">
        <v>0</v>
      </c>
      <c r="AJ1487" s="143">
        <v>0</v>
      </c>
      <c r="AK1487" s="143">
        <v>0</v>
      </c>
      <c r="AL1487" s="143">
        <v>2</v>
      </c>
      <c r="AM1487" s="135">
        <v>0</v>
      </c>
      <c r="AN1487" s="135">
        <f t="shared" si="24"/>
        <v>2</v>
      </c>
      <c r="AO1487" s="135"/>
      <c r="AP1487" s="135"/>
      <c r="AQ1487" s="135"/>
      <c r="AR1487" s="135"/>
    </row>
    <row r="1488" spans="1:48" s="133" customFormat="1" x14ac:dyDescent="0.2">
      <c r="A1488" s="133" t="s">
        <v>524</v>
      </c>
      <c r="B1488" s="133" t="s">
        <v>525</v>
      </c>
      <c r="C1488" s="133">
        <v>3</v>
      </c>
      <c r="D1488" s="133">
        <v>1</v>
      </c>
      <c r="E1488" s="133" t="s">
        <v>521</v>
      </c>
      <c r="F1488" s="138">
        <v>43352</v>
      </c>
      <c r="G1488" s="136" t="s">
        <v>4032</v>
      </c>
      <c r="H1488" s="136" t="s">
        <v>4724</v>
      </c>
      <c r="I1488" s="148">
        <v>6.9444444444444441E-3</v>
      </c>
      <c r="J1488" s="174">
        <v>1.1574074074074073E-4</v>
      </c>
      <c r="K1488" s="139">
        <v>10</v>
      </c>
      <c r="L1488" s="133" t="s">
        <v>483</v>
      </c>
      <c r="M1488" s="133" t="s">
        <v>217</v>
      </c>
      <c r="N1488" s="133" t="s">
        <v>102</v>
      </c>
      <c r="O1488" s="133" t="s">
        <v>115</v>
      </c>
      <c r="P1488" s="133">
        <v>1</v>
      </c>
      <c r="R1488" s="133">
        <v>0</v>
      </c>
      <c r="S1488" s="133" t="s">
        <v>598</v>
      </c>
      <c r="T1488" s="133" t="s">
        <v>2108</v>
      </c>
      <c r="U1488" s="133" t="s">
        <v>122</v>
      </c>
      <c r="V1488" s="133" t="s">
        <v>115</v>
      </c>
      <c r="W1488" s="135" t="s">
        <v>115</v>
      </c>
      <c r="X1488" s="135" t="s">
        <v>115</v>
      </c>
      <c r="Y1488" s="135" t="s">
        <v>115</v>
      </c>
      <c r="AB1488" s="133" t="s">
        <v>115</v>
      </c>
      <c r="AC1488" s="134" t="s">
        <v>115</v>
      </c>
      <c r="AD1488" s="134"/>
      <c r="AH1488" s="139">
        <v>0</v>
      </c>
      <c r="AI1488" s="139">
        <v>0</v>
      </c>
      <c r="AJ1488" s="139">
        <v>0</v>
      </c>
      <c r="AK1488" s="139">
        <v>0</v>
      </c>
      <c r="AL1488" s="139">
        <v>0</v>
      </c>
      <c r="AM1488" s="133">
        <v>0</v>
      </c>
      <c r="AN1488" s="133">
        <f t="shared" si="24"/>
        <v>0</v>
      </c>
      <c r="AP1488" s="133" t="s">
        <v>526</v>
      </c>
      <c r="AS1488" s="135"/>
      <c r="AT1488" s="135"/>
      <c r="AU1488" s="135" t="s">
        <v>3942</v>
      </c>
      <c r="AV1488" s="135"/>
    </row>
    <row r="1489" spans="1:48" s="133" customFormat="1" x14ac:dyDescent="0.2">
      <c r="A1489" s="135" t="s">
        <v>527</v>
      </c>
      <c r="B1489" s="135" t="s">
        <v>528</v>
      </c>
      <c r="C1489" s="135">
        <v>4</v>
      </c>
      <c r="D1489" s="135">
        <v>1</v>
      </c>
      <c r="E1489" s="135" t="s">
        <v>521</v>
      </c>
      <c r="F1489" s="136">
        <v>43352</v>
      </c>
      <c r="G1489" s="136" t="s">
        <v>4032</v>
      </c>
      <c r="H1489" s="136" t="s">
        <v>4724</v>
      </c>
      <c r="I1489" s="172">
        <v>4.2361111111111106E-2</v>
      </c>
      <c r="J1489" s="175">
        <v>7.0601851851851847E-4</v>
      </c>
      <c r="K1489" s="143">
        <v>61</v>
      </c>
      <c r="L1489" s="135" t="s">
        <v>483</v>
      </c>
      <c r="M1489" s="135" t="s">
        <v>217</v>
      </c>
      <c r="N1489" s="135" t="s">
        <v>187</v>
      </c>
      <c r="O1489" s="135" t="s">
        <v>23</v>
      </c>
      <c r="P1489" s="135">
        <v>1</v>
      </c>
      <c r="Q1489" s="135"/>
      <c r="R1489" s="135">
        <v>1</v>
      </c>
      <c r="S1489" s="133" t="s">
        <v>176</v>
      </c>
      <c r="T1489" s="135" t="s">
        <v>176</v>
      </c>
      <c r="U1489" s="135" t="s">
        <v>122</v>
      </c>
      <c r="V1489" s="133" t="s">
        <v>1035</v>
      </c>
      <c r="W1489" s="135" t="s">
        <v>23</v>
      </c>
      <c r="X1489" s="135" t="s">
        <v>3997</v>
      </c>
      <c r="Y1489" s="135" t="s">
        <v>4006</v>
      </c>
      <c r="AB1489" s="135" t="s">
        <v>176</v>
      </c>
      <c r="AC1489" s="137" t="s">
        <v>246</v>
      </c>
      <c r="AD1489" s="137"/>
      <c r="AH1489" s="143">
        <v>0</v>
      </c>
      <c r="AI1489" s="143">
        <v>0</v>
      </c>
      <c r="AJ1489" s="143">
        <v>0</v>
      </c>
      <c r="AK1489" s="143">
        <v>0</v>
      </c>
      <c r="AL1489" s="143">
        <v>3</v>
      </c>
      <c r="AM1489" s="135">
        <v>0</v>
      </c>
      <c r="AN1489" s="135">
        <f t="shared" si="24"/>
        <v>3</v>
      </c>
      <c r="AO1489" s="135"/>
      <c r="AP1489" s="135" t="s">
        <v>4914</v>
      </c>
      <c r="AQ1489" s="135"/>
      <c r="AR1489" s="135"/>
      <c r="AS1489" s="135"/>
      <c r="AT1489" s="135"/>
      <c r="AU1489" s="135" t="s">
        <v>3942</v>
      </c>
      <c r="AV1489" s="135"/>
    </row>
    <row r="1490" spans="1:48" s="133" customFormat="1" x14ac:dyDescent="0.2">
      <c r="A1490" s="135" t="s">
        <v>530</v>
      </c>
      <c r="B1490" s="135" t="s">
        <v>531</v>
      </c>
      <c r="C1490" s="135">
        <v>5</v>
      </c>
      <c r="D1490" s="135">
        <v>1</v>
      </c>
      <c r="E1490" s="135" t="s">
        <v>521</v>
      </c>
      <c r="F1490" s="136">
        <v>43352</v>
      </c>
      <c r="G1490" s="136" t="s">
        <v>4032</v>
      </c>
      <c r="H1490" s="136" t="s">
        <v>4724</v>
      </c>
      <c r="I1490" s="172">
        <v>2.9861111111111113E-2</v>
      </c>
      <c r="J1490" s="175">
        <v>4.9768518518518521E-4</v>
      </c>
      <c r="K1490" s="143">
        <v>43</v>
      </c>
      <c r="L1490" s="135" t="s">
        <v>483</v>
      </c>
      <c r="M1490" s="135" t="s">
        <v>217</v>
      </c>
      <c r="N1490" s="135" t="s">
        <v>187</v>
      </c>
      <c r="O1490" s="135" t="s">
        <v>23</v>
      </c>
      <c r="P1490" s="135">
        <v>1</v>
      </c>
      <c r="Q1490" s="135"/>
      <c r="R1490" s="135">
        <v>1</v>
      </c>
      <c r="S1490" s="133" t="s">
        <v>176</v>
      </c>
      <c r="T1490" s="135" t="s">
        <v>176</v>
      </c>
      <c r="U1490" s="135" t="s">
        <v>122</v>
      </c>
      <c r="V1490" s="133" t="s">
        <v>1035</v>
      </c>
      <c r="W1490" s="135" t="s">
        <v>23</v>
      </c>
      <c r="X1490" s="135" t="s">
        <v>3997</v>
      </c>
      <c r="Y1490" s="135" t="s">
        <v>4006</v>
      </c>
      <c r="AB1490" s="135" t="s">
        <v>176</v>
      </c>
      <c r="AC1490" s="137">
        <v>63.725580000000001</v>
      </c>
      <c r="AD1490" s="137">
        <v>148.98072999999999</v>
      </c>
      <c r="AH1490" s="143">
        <v>0</v>
      </c>
      <c r="AI1490" s="143">
        <v>0</v>
      </c>
      <c r="AJ1490" s="143">
        <v>0</v>
      </c>
      <c r="AK1490" s="143">
        <v>0</v>
      </c>
      <c r="AL1490" s="143">
        <v>11</v>
      </c>
      <c r="AM1490" s="135">
        <v>0</v>
      </c>
      <c r="AN1490" s="135">
        <f t="shared" si="24"/>
        <v>11</v>
      </c>
      <c r="AO1490" s="135"/>
      <c r="AP1490" s="135"/>
      <c r="AQ1490" s="135"/>
      <c r="AR1490" s="135"/>
      <c r="AS1490" s="135"/>
      <c r="AT1490" s="135"/>
      <c r="AU1490" s="135"/>
      <c r="AV1490" s="135"/>
    </row>
    <row r="1491" spans="1:48" s="133" customFormat="1" x14ac:dyDescent="0.2">
      <c r="A1491" s="133" t="s">
        <v>352</v>
      </c>
      <c r="B1491" s="133" t="s">
        <v>4900</v>
      </c>
      <c r="C1491" s="133">
        <v>1</v>
      </c>
      <c r="D1491" s="133">
        <v>2</v>
      </c>
      <c r="E1491" s="133" t="s">
        <v>2601</v>
      </c>
      <c r="F1491" s="138">
        <v>43348</v>
      </c>
      <c r="G1491" s="136" t="s">
        <v>4032</v>
      </c>
      <c r="H1491" s="136" t="s">
        <v>4724</v>
      </c>
      <c r="I1491" s="148">
        <v>0.13194444444444445</v>
      </c>
      <c r="J1491" s="174">
        <v>2.1990740740740742E-3</v>
      </c>
      <c r="K1491" s="139">
        <v>190</v>
      </c>
      <c r="L1491" s="133" t="s">
        <v>397</v>
      </c>
      <c r="M1491" s="133" t="s">
        <v>177</v>
      </c>
      <c r="N1491" s="133" t="s">
        <v>102</v>
      </c>
      <c r="O1491" s="133" t="s">
        <v>115</v>
      </c>
      <c r="P1491" s="133">
        <v>1</v>
      </c>
      <c r="R1491" s="133">
        <v>0</v>
      </c>
      <c r="S1491" s="133" t="s">
        <v>598</v>
      </c>
      <c r="T1491" s="133" t="s">
        <v>2108</v>
      </c>
      <c r="U1491" s="133" t="s">
        <v>122</v>
      </c>
      <c r="V1491" s="133" t="s">
        <v>115</v>
      </c>
      <c r="W1491" s="135" t="s">
        <v>115</v>
      </c>
      <c r="X1491" s="135" t="s">
        <v>115</v>
      </c>
      <c r="Y1491" s="135" t="s">
        <v>115</v>
      </c>
      <c r="AB1491" s="133" t="s">
        <v>115</v>
      </c>
      <c r="AC1491" s="134" t="s">
        <v>115</v>
      </c>
      <c r="AD1491" s="134"/>
      <c r="AH1491" s="133">
        <v>0</v>
      </c>
      <c r="AI1491" s="133">
        <v>0</v>
      </c>
      <c r="AJ1491" s="133">
        <v>0</v>
      </c>
      <c r="AK1491" s="133">
        <v>0</v>
      </c>
      <c r="AL1491" s="133">
        <v>0</v>
      </c>
      <c r="AM1491" s="133">
        <v>0</v>
      </c>
      <c r="AN1491" s="133">
        <f t="shared" si="24"/>
        <v>0</v>
      </c>
    </row>
    <row r="1492" spans="1:48" s="133" customFormat="1" x14ac:dyDescent="0.2">
      <c r="A1492" s="133" t="s">
        <v>622</v>
      </c>
      <c r="B1492" s="133" t="s">
        <v>4919</v>
      </c>
      <c r="C1492" s="133">
        <v>2</v>
      </c>
      <c r="D1492" s="133">
        <v>1</v>
      </c>
      <c r="E1492" s="133" t="s">
        <v>2601</v>
      </c>
      <c r="F1492" s="138">
        <v>43355</v>
      </c>
      <c r="G1492" s="136" t="s">
        <v>4032</v>
      </c>
      <c r="H1492" s="136" t="s">
        <v>4724</v>
      </c>
      <c r="I1492" s="148">
        <v>1.5277777777777777E-2</v>
      </c>
      <c r="J1492" s="174">
        <v>2.5462962962962961E-4</v>
      </c>
      <c r="K1492" s="139">
        <v>22</v>
      </c>
      <c r="L1492" s="133" t="s">
        <v>398</v>
      </c>
      <c r="M1492" s="133" t="s">
        <v>177</v>
      </c>
      <c r="N1492" s="133" t="s">
        <v>107</v>
      </c>
      <c r="O1492" s="133" t="s">
        <v>23</v>
      </c>
      <c r="P1492" s="133">
        <v>1</v>
      </c>
      <c r="R1492" s="133">
        <v>0</v>
      </c>
      <c r="S1492" s="133" t="s">
        <v>176</v>
      </c>
      <c r="T1492" s="133" t="s">
        <v>176</v>
      </c>
      <c r="U1492" s="133" t="s">
        <v>24</v>
      </c>
      <c r="V1492" s="133" t="s">
        <v>115</v>
      </c>
      <c r="W1492" s="135" t="s">
        <v>115</v>
      </c>
      <c r="X1492" s="135" t="s">
        <v>115</v>
      </c>
      <c r="Y1492" s="135" t="s">
        <v>115</v>
      </c>
      <c r="AB1492" s="133" t="s">
        <v>115</v>
      </c>
      <c r="AC1492" s="134" t="s">
        <v>115</v>
      </c>
      <c r="AD1492" s="134"/>
      <c r="AH1492" s="139">
        <v>0</v>
      </c>
      <c r="AI1492" s="139">
        <v>0</v>
      </c>
      <c r="AJ1492" s="139">
        <v>0</v>
      </c>
      <c r="AK1492" s="139">
        <v>0</v>
      </c>
      <c r="AL1492" s="139">
        <v>0</v>
      </c>
      <c r="AM1492" s="133">
        <v>0</v>
      </c>
      <c r="AN1492" s="133">
        <f t="shared" si="24"/>
        <v>0</v>
      </c>
      <c r="AP1492" s="133" t="s">
        <v>623</v>
      </c>
      <c r="AS1492" s="135"/>
      <c r="AT1492" s="135"/>
      <c r="AU1492" s="135"/>
      <c r="AV1492" s="135"/>
    </row>
    <row r="1493" spans="1:48" s="133" customFormat="1" x14ac:dyDescent="0.2">
      <c r="A1493" s="133" t="s">
        <v>624</v>
      </c>
      <c r="B1493" s="133" t="s">
        <v>4925</v>
      </c>
      <c r="C1493" s="133">
        <v>3</v>
      </c>
      <c r="D1493" s="133">
        <v>1</v>
      </c>
      <c r="E1493" s="133" t="s">
        <v>2601</v>
      </c>
      <c r="F1493" s="138">
        <v>43355</v>
      </c>
      <c r="G1493" s="136" t="s">
        <v>4032</v>
      </c>
      <c r="H1493" s="136" t="s">
        <v>4724</v>
      </c>
      <c r="I1493" s="148">
        <v>6.2499999999999995E-3</v>
      </c>
      <c r="J1493" s="174">
        <v>1.0416666666666667E-4</v>
      </c>
      <c r="K1493" s="139">
        <v>9</v>
      </c>
      <c r="L1493" s="133" t="s">
        <v>398</v>
      </c>
      <c r="M1493" s="133" t="s">
        <v>177</v>
      </c>
      <c r="N1493" s="133" t="s">
        <v>111</v>
      </c>
      <c r="O1493" s="133" t="s">
        <v>23</v>
      </c>
      <c r="P1493" s="133">
        <v>0</v>
      </c>
      <c r="R1493" s="133">
        <v>1</v>
      </c>
      <c r="S1493" s="133" t="s">
        <v>176</v>
      </c>
      <c r="T1493" s="133" t="s">
        <v>176</v>
      </c>
      <c r="U1493" s="133" t="s">
        <v>115</v>
      </c>
      <c r="V1493" s="133" t="s">
        <v>4926</v>
      </c>
      <c r="W1493" s="140" t="s">
        <v>23</v>
      </c>
      <c r="X1493" s="133" t="s">
        <v>3999</v>
      </c>
      <c r="Y1493" s="133" t="s">
        <v>4001</v>
      </c>
      <c r="AB1493" s="133" t="s">
        <v>176</v>
      </c>
      <c r="AC1493" s="134">
        <v>63.725380000000001</v>
      </c>
      <c r="AD1493" s="134">
        <v>148.95672999999999</v>
      </c>
      <c r="AH1493" s="139">
        <v>0</v>
      </c>
      <c r="AI1493" s="139">
        <v>0</v>
      </c>
      <c r="AJ1493" s="139">
        <v>0</v>
      </c>
      <c r="AK1493" s="139">
        <v>0</v>
      </c>
      <c r="AL1493" s="139">
        <v>0</v>
      </c>
      <c r="AM1493" s="133">
        <v>0</v>
      </c>
      <c r="AN1493" s="133">
        <f t="shared" si="24"/>
        <v>0</v>
      </c>
      <c r="AP1493" s="133" t="s">
        <v>627</v>
      </c>
      <c r="AS1493" s="135"/>
      <c r="AT1493" s="135"/>
      <c r="AU1493" s="135"/>
      <c r="AV1493" s="135"/>
    </row>
    <row r="1494" spans="1:48" s="133" customFormat="1" x14ac:dyDescent="0.2">
      <c r="A1494" s="135" t="s">
        <v>629</v>
      </c>
      <c r="B1494" s="135" t="s">
        <v>4921</v>
      </c>
      <c r="C1494" s="135">
        <v>6</v>
      </c>
      <c r="D1494" s="135">
        <v>1</v>
      </c>
      <c r="E1494" s="135" t="s">
        <v>2601</v>
      </c>
      <c r="F1494" s="136">
        <v>43355</v>
      </c>
      <c r="G1494" s="136" t="s">
        <v>4032</v>
      </c>
      <c r="H1494" s="136" t="s">
        <v>4724</v>
      </c>
      <c r="I1494" s="172">
        <v>7.6388888888888886E-3</v>
      </c>
      <c r="J1494" s="175">
        <v>1.273148148148148E-4</v>
      </c>
      <c r="K1494" s="143">
        <v>11</v>
      </c>
      <c r="L1494" s="135" t="s">
        <v>398</v>
      </c>
      <c r="M1494" s="135" t="s">
        <v>177</v>
      </c>
      <c r="N1494" s="135" t="s">
        <v>102</v>
      </c>
      <c r="O1494" s="135" t="s">
        <v>115</v>
      </c>
      <c r="P1494" s="135">
        <v>1</v>
      </c>
      <c r="Q1494" s="135"/>
      <c r="R1494" s="135">
        <v>0</v>
      </c>
      <c r="S1494" s="133" t="s">
        <v>14</v>
      </c>
      <c r="T1494" s="135" t="s">
        <v>14</v>
      </c>
      <c r="U1494" s="135" t="s">
        <v>122</v>
      </c>
      <c r="V1494" s="135" t="s">
        <v>115</v>
      </c>
      <c r="W1494" s="135" t="s">
        <v>115</v>
      </c>
      <c r="X1494" s="135" t="s">
        <v>115</v>
      </c>
      <c r="Y1494" s="135" t="s">
        <v>115</v>
      </c>
      <c r="AB1494" s="135" t="s">
        <v>115</v>
      </c>
      <c r="AC1494" s="137" t="s">
        <v>115</v>
      </c>
      <c r="AD1494" s="137"/>
      <c r="AH1494" s="143">
        <v>0</v>
      </c>
      <c r="AI1494" s="143">
        <v>0</v>
      </c>
      <c r="AJ1494" s="143">
        <v>0</v>
      </c>
      <c r="AK1494" s="143">
        <v>0</v>
      </c>
      <c r="AL1494" s="143">
        <v>10</v>
      </c>
      <c r="AM1494" s="135">
        <v>0</v>
      </c>
      <c r="AN1494" s="135">
        <f t="shared" si="24"/>
        <v>10</v>
      </c>
      <c r="AO1494" s="135"/>
      <c r="AP1494" s="135"/>
      <c r="AQ1494" s="135"/>
      <c r="AR1494" s="135"/>
    </row>
    <row r="1495" spans="1:48" s="133" customFormat="1" x14ac:dyDescent="0.2">
      <c r="A1495" s="133" t="s">
        <v>632</v>
      </c>
      <c r="B1495" s="133" t="s">
        <v>4927</v>
      </c>
      <c r="C1495" s="133">
        <v>7</v>
      </c>
      <c r="D1495" s="133">
        <v>1</v>
      </c>
      <c r="E1495" s="133" t="s">
        <v>2601</v>
      </c>
      <c r="F1495" s="138">
        <v>43355</v>
      </c>
      <c r="G1495" s="136" t="s">
        <v>4032</v>
      </c>
      <c r="H1495" s="136" t="s">
        <v>4724</v>
      </c>
      <c r="I1495" s="148">
        <v>1.3194444444444444E-2</v>
      </c>
      <c r="J1495" s="174">
        <v>2.199074074074074E-4</v>
      </c>
      <c r="K1495" s="139">
        <v>19</v>
      </c>
      <c r="L1495" s="133" t="s">
        <v>398</v>
      </c>
      <c r="M1495" s="133" t="s">
        <v>177</v>
      </c>
      <c r="N1495" s="133" t="s">
        <v>111</v>
      </c>
      <c r="O1495" s="133" t="s">
        <v>23</v>
      </c>
      <c r="P1495" s="133">
        <v>0</v>
      </c>
      <c r="R1495" s="133">
        <v>1</v>
      </c>
      <c r="S1495" s="133" t="s">
        <v>14</v>
      </c>
      <c r="T1495" s="133" t="s">
        <v>14</v>
      </c>
      <c r="U1495" s="133" t="s">
        <v>115</v>
      </c>
      <c r="V1495" s="133" t="s">
        <v>487</v>
      </c>
      <c r="W1495" s="140" t="s">
        <v>23</v>
      </c>
      <c r="X1495" s="133" t="s">
        <v>3997</v>
      </c>
      <c r="Y1495" s="133" t="s">
        <v>4001</v>
      </c>
      <c r="AB1495" s="133" t="s">
        <v>176</v>
      </c>
      <c r="AC1495" s="134">
        <v>63.726410000000001</v>
      </c>
      <c r="AD1495" s="134">
        <v>148.95836</v>
      </c>
      <c r="AH1495" s="139">
        <v>0</v>
      </c>
      <c r="AI1495" s="139">
        <v>0</v>
      </c>
      <c r="AJ1495" s="139">
        <v>0</v>
      </c>
      <c r="AK1495" s="139">
        <v>0</v>
      </c>
      <c r="AL1495" s="139">
        <v>0</v>
      </c>
      <c r="AM1495" s="133">
        <v>0</v>
      </c>
      <c r="AN1495" s="133">
        <f t="shared" si="24"/>
        <v>0</v>
      </c>
      <c r="AS1495" s="135"/>
      <c r="AT1495" s="135"/>
      <c r="AU1495" s="135"/>
      <c r="AV1495" s="135"/>
    </row>
    <row r="1496" spans="1:48" s="133" customFormat="1" x14ac:dyDescent="0.2">
      <c r="A1496" s="133" t="s">
        <v>696</v>
      </c>
      <c r="B1496" s="133" t="s">
        <v>4940</v>
      </c>
      <c r="C1496" s="133">
        <v>4</v>
      </c>
      <c r="D1496" s="133">
        <v>2</v>
      </c>
      <c r="E1496" s="133" t="s">
        <v>2601</v>
      </c>
      <c r="F1496" s="138">
        <v>43358</v>
      </c>
      <c r="G1496" s="136" t="s">
        <v>4032</v>
      </c>
      <c r="H1496" s="136" t="s">
        <v>4724</v>
      </c>
      <c r="I1496" s="148">
        <v>1.5972222222222224E-2</v>
      </c>
      <c r="J1496" s="174">
        <v>2.6620370370370372E-4</v>
      </c>
      <c r="K1496" s="139">
        <v>23</v>
      </c>
      <c r="L1496" s="133" t="s">
        <v>640</v>
      </c>
      <c r="M1496" s="133" t="s">
        <v>177</v>
      </c>
      <c r="N1496" s="133" t="s">
        <v>102</v>
      </c>
      <c r="O1496" s="133" t="s">
        <v>115</v>
      </c>
      <c r="P1496" s="133">
        <v>1</v>
      </c>
      <c r="R1496" s="133">
        <v>0</v>
      </c>
      <c r="S1496" s="133" t="s">
        <v>461</v>
      </c>
      <c r="T1496" s="133" t="s">
        <v>2125</v>
      </c>
      <c r="U1496" s="133" t="s">
        <v>122</v>
      </c>
      <c r="V1496" s="133" t="s">
        <v>115</v>
      </c>
      <c r="W1496" s="135" t="s">
        <v>115</v>
      </c>
      <c r="X1496" s="135" t="s">
        <v>115</v>
      </c>
      <c r="Y1496" s="135" t="s">
        <v>115</v>
      </c>
      <c r="AB1496" s="133" t="s">
        <v>115</v>
      </c>
      <c r="AC1496" s="134" t="s">
        <v>115</v>
      </c>
      <c r="AD1496" s="134"/>
      <c r="AH1496" s="139">
        <v>0</v>
      </c>
      <c r="AI1496" s="139">
        <v>0</v>
      </c>
      <c r="AJ1496" s="139">
        <v>0</v>
      </c>
      <c r="AK1496" s="139">
        <v>0</v>
      </c>
      <c r="AL1496" s="139">
        <v>0</v>
      </c>
      <c r="AM1496" s="133">
        <v>0</v>
      </c>
      <c r="AN1496" s="133">
        <f t="shared" si="24"/>
        <v>0</v>
      </c>
      <c r="AP1496" s="133" t="s">
        <v>691</v>
      </c>
    </row>
    <row r="1497" spans="1:48" s="133" customFormat="1" x14ac:dyDescent="0.2">
      <c r="A1497" s="135" t="s">
        <v>714</v>
      </c>
      <c r="B1497" s="135" t="s">
        <v>4933</v>
      </c>
      <c r="C1497" s="135">
        <v>14</v>
      </c>
      <c r="D1497" s="135">
        <v>1</v>
      </c>
      <c r="E1497" s="135" t="s">
        <v>2601</v>
      </c>
      <c r="F1497" s="136">
        <v>43358</v>
      </c>
      <c r="G1497" s="136" t="s">
        <v>4032</v>
      </c>
      <c r="H1497" s="136" t="s">
        <v>4724</v>
      </c>
      <c r="I1497" s="172">
        <v>2.013888888888889E-2</v>
      </c>
      <c r="J1497" s="175">
        <v>3.3564814814814812E-4</v>
      </c>
      <c r="K1497" s="143">
        <v>29</v>
      </c>
      <c r="L1497" s="135" t="s">
        <v>640</v>
      </c>
      <c r="M1497" s="135" t="s">
        <v>177</v>
      </c>
      <c r="N1497" s="135" t="s">
        <v>102</v>
      </c>
      <c r="O1497" s="135" t="s">
        <v>115</v>
      </c>
      <c r="P1497" s="135" t="s">
        <v>24</v>
      </c>
      <c r="Q1497" s="135"/>
      <c r="R1497" s="135">
        <v>0</v>
      </c>
      <c r="S1497" s="133" t="s">
        <v>176</v>
      </c>
      <c r="T1497" s="135" t="s">
        <v>176</v>
      </c>
      <c r="U1497" s="135" t="s">
        <v>115</v>
      </c>
      <c r="V1497" s="135" t="s">
        <v>115</v>
      </c>
      <c r="W1497" s="135" t="s">
        <v>115</v>
      </c>
      <c r="X1497" s="135" t="s">
        <v>115</v>
      </c>
      <c r="Y1497" s="135" t="s">
        <v>115</v>
      </c>
      <c r="Z1497" s="135"/>
      <c r="AA1497" s="135"/>
      <c r="AB1497" s="135" t="s">
        <v>115</v>
      </c>
      <c r="AC1497" s="137" t="s">
        <v>115</v>
      </c>
      <c r="AD1497" s="137"/>
      <c r="AE1497" s="135"/>
      <c r="AF1497" s="135"/>
      <c r="AG1497" s="135"/>
      <c r="AH1497" s="143">
        <v>0</v>
      </c>
      <c r="AI1497" s="143">
        <v>0</v>
      </c>
      <c r="AJ1497" s="143">
        <v>0</v>
      </c>
      <c r="AK1497" s="143">
        <v>0</v>
      </c>
      <c r="AL1497" s="143">
        <v>23</v>
      </c>
      <c r="AM1497" s="135">
        <v>0</v>
      </c>
      <c r="AN1497" s="135">
        <f t="shared" si="24"/>
        <v>23</v>
      </c>
      <c r="AO1497" s="135"/>
      <c r="AP1497" s="135"/>
      <c r="AQ1497" s="135"/>
      <c r="AR1497" s="135"/>
      <c r="AS1497" s="135"/>
      <c r="AT1497" s="135"/>
      <c r="AU1497" s="135"/>
      <c r="AV1497" s="135"/>
    </row>
    <row r="1498" spans="1:48" s="133" customFormat="1" x14ac:dyDescent="0.2">
      <c r="A1498" s="135" t="s">
        <v>715</v>
      </c>
      <c r="B1498" s="135" t="s">
        <v>4934</v>
      </c>
      <c r="C1498" s="135">
        <v>15</v>
      </c>
      <c r="D1498" s="135">
        <v>1</v>
      </c>
      <c r="E1498" s="135" t="s">
        <v>2601</v>
      </c>
      <c r="F1498" s="136">
        <v>43358</v>
      </c>
      <c r="G1498" s="136" t="s">
        <v>4032</v>
      </c>
      <c r="H1498" s="136" t="s">
        <v>4724</v>
      </c>
      <c r="I1498" s="172">
        <v>1.8055555555555557E-2</v>
      </c>
      <c r="J1498" s="175">
        <v>3.0092592592592595E-4</v>
      </c>
      <c r="K1498" s="143">
        <v>26</v>
      </c>
      <c r="L1498" s="135" t="s">
        <v>640</v>
      </c>
      <c r="M1498" s="135" t="s">
        <v>177</v>
      </c>
      <c r="N1498" s="135" t="s">
        <v>102</v>
      </c>
      <c r="O1498" s="135" t="s">
        <v>115</v>
      </c>
      <c r="P1498" s="135" t="s">
        <v>24</v>
      </c>
      <c r="Q1498" s="135"/>
      <c r="R1498" s="135">
        <v>0</v>
      </c>
      <c r="S1498" s="133" t="s">
        <v>176</v>
      </c>
      <c r="T1498" s="135" t="s">
        <v>176</v>
      </c>
      <c r="U1498" s="135" t="s">
        <v>115</v>
      </c>
      <c r="V1498" s="135" t="s">
        <v>115</v>
      </c>
      <c r="W1498" s="135" t="s">
        <v>115</v>
      </c>
      <c r="X1498" s="135" t="s">
        <v>115</v>
      </c>
      <c r="Y1498" s="135" t="s">
        <v>115</v>
      </c>
      <c r="Z1498" s="135"/>
      <c r="AA1498" s="135"/>
      <c r="AB1498" s="135" t="s">
        <v>115</v>
      </c>
      <c r="AC1498" s="137" t="s">
        <v>115</v>
      </c>
      <c r="AD1498" s="137"/>
      <c r="AE1498" s="135"/>
      <c r="AF1498" s="135"/>
      <c r="AG1498" s="135"/>
      <c r="AH1498" s="143">
        <v>0</v>
      </c>
      <c r="AI1498" s="143">
        <v>0</v>
      </c>
      <c r="AJ1498" s="143">
        <v>0</v>
      </c>
      <c r="AK1498" s="143">
        <v>0</v>
      </c>
      <c r="AL1498" s="143">
        <v>5</v>
      </c>
      <c r="AM1498" s="135">
        <v>0</v>
      </c>
      <c r="AN1498" s="135">
        <f t="shared" si="24"/>
        <v>5</v>
      </c>
      <c r="AO1498" s="135"/>
      <c r="AP1498" s="135"/>
      <c r="AQ1498" s="135"/>
      <c r="AR1498" s="135"/>
      <c r="AS1498" s="135"/>
      <c r="AT1498" s="135"/>
      <c r="AU1498" s="135"/>
      <c r="AV1498" s="135"/>
    </row>
    <row r="1499" spans="1:48" s="133" customFormat="1" x14ac:dyDescent="0.2">
      <c r="A1499" s="135" t="s">
        <v>717</v>
      </c>
      <c r="B1499" s="135" t="s">
        <v>4937</v>
      </c>
      <c r="C1499" s="135">
        <v>17</v>
      </c>
      <c r="D1499" s="135">
        <v>1</v>
      </c>
      <c r="E1499" s="135" t="s">
        <v>2601</v>
      </c>
      <c r="F1499" s="136">
        <v>43358</v>
      </c>
      <c r="G1499" s="136" t="s">
        <v>4032</v>
      </c>
      <c r="H1499" s="136" t="s">
        <v>4724</v>
      </c>
      <c r="I1499" s="172">
        <v>0.11041666666666666</v>
      </c>
      <c r="J1499" s="175">
        <v>1.8402777777777777E-3</v>
      </c>
      <c r="K1499" s="143">
        <v>159</v>
      </c>
      <c r="L1499" s="135" t="s">
        <v>640</v>
      </c>
      <c r="M1499" s="135" t="s">
        <v>177</v>
      </c>
      <c r="N1499" s="135" t="s">
        <v>102</v>
      </c>
      <c r="O1499" s="135" t="s">
        <v>115</v>
      </c>
      <c r="P1499" s="135">
        <v>2</v>
      </c>
      <c r="Q1499" s="135"/>
      <c r="R1499" s="135">
        <v>0</v>
      </c>
      <c r="S1499" s="133" t="s">
        <v>176</v>
      </c>
      <c r="T1499" s="135" t="s">
        <v>176</v>
      </c>
      <c r="U1499" s="135" t="s">
        <v>122</v>
      </c>
      <c r="V1499" s="135" t="s">
        <v>115</v>
      </c>
      <c r="W1499" s="135" t="s">
        <v>115</v>
      </c>
      <c r="X1499" s="135" t="s">
        <v>115</v>
      </c>
      <c r="Y1499" s="135" t="s">
        <v>115</v>
      </c>
      <c r="Z1499" s="135"/>
      <c r="AA1499" s="135"/>
      <c r="AB1499" s="135" t="s">
        <v>115</v>
      </c>
      <c r="AC1499" s="137" t="s">
        <v>115</v>
      </c>
      <c r="AD1499" s="137"/>
      <c r="AE1499" s="135"/>
      <c r="AF1499" s="135"/>
      <c r="AG1499" s="135"/>
      <c r="AH1499" s="143">
        <v>0</v>
      </c>
      <c r="AI1499" s="143">
        <v>0</v>
      </c>
      <c r="AJ1499" s="143">
        <v>0</v>
      </c>
      <c r="AK1499" s="143">
        <v>0</v>
      </c>
      <c r="AL1499" s="143">
        <v>13</v>
      </c>
      <c r="AM1499" s="135">
        <v>0</v>
      </c>
      <c r="AN1499" s="135">
        <f t="shared" si="24"/>
        <v>13</v>
      </c>
      <c r="AO1499" s="135"/>
      <c r="AP1499" s="135"/>
      <c r="AQ1499" s="135"/>
      <c r="AR1499" s="135"/>
    </row>
    <row r="1500" spans="1:48" s="133" customFormat="1" x14ac:dyDescent="0.2">
      <c r="A1500" s="133" t="s">
        <v>718</v>
      </c>
      <c r="B1500" s="133" t="s">
        <v>4949</v>
      </c>
      <c r="C1500" s="133">
        <v>18</v>
      </c>
      <c r="D1500" s="133">
        <v>1</v>
      </c>
      <c r="E1500" s="133" t="s">
        <v>2601</v>
      </c>
      <c r="F1500" s="138">
        <v>43358</v>
      </c>
      <c r="G1500" s="136" t="s">
        <v>4032</v>
      </c>
      <c r="H1500" s="136" t="s">
        <v>4724</v>
      </c>
      <c r="I1500" s="148">
        <v>3.9583333333333331E-2</v>
      </c>
      <c r="J1500" s="174">
        <v>6.5972222222222213E-4</v>
      </c>
      <c r="K1500" s="139">
        <v>57</v>
      </c>
      <c r="L1500" s="133" t="s">
        <v>640</v>
      </c>
      <c r="M1500" s="133" t="s">
        <v>177</v>
      </c>
      <c r="N1500" s="133" t="s">
        <v>111</v>
      </c>
      <c r="O1500" s="133" t="s">
        <v>23</v>
      </c>
      <c r="P1500" s="133">
        <v>0</v>
      </c>
      <c r="R1500" s="133">
        <v>2</v>
      </c>
      <c r="S1500" s="133" t="s">
        <v>176</v>
      </c>
      <c r="T1500" s="133" t="s">
        <v>176</v>
      </c>
      <c r="U1500" s="133" t="s">
        <v>24</v>
      </c>
      <c r="V1500" s="133" t="s">
        <v>3963</v>
      </c>
      <c r="W1500" s="133" t="s">
        <v>23</v>
      </c>
      <c r="X1500" s="133" t="s">
        <v>3997</v>
      </c>
      <c r="Y1500" s="133" t="s">
        <v>4007</v>
      </c>
      <c r="Z1500" s="135"/>
      <c r="AA1500" s="135"/>
      <c r="AB1500" s="133" t="s">
        <v>24</v>
      </c>
      <c r="AC1500" s="134">
        <v>63.725320000000004</v>
      </c>
      <c r="AD1500" s="134">
        <v>148.95212000000001</v>
      </c>
      <c r="AE1500" s="135"/>
      <c r="AF1500" s="135"/>
      <c r="AG1500" s="135"/>
      <c r="AH1500" s="139">
        <v>0</v>
      </c>
      <c r="AI1500" s="139">
        <v>0</v>
      </c>
      <c r="AJ1500" s="139">
        <v>0</v>
      </c>
      <c r="AK1500" s="139">
        <v>0</v>
      </c>
      <c r="AL1500" s="139">
        <v>0</v>
      </c>
      <c r="AM1500" s="133">
        <v>0</v>
      </c>
      <c r="AN1500" s="133">
        <f t="shared" si="24"/>
        <v>0</v>
      </c>
      <c r="AS1500" s="135"/>
      <c r="AT1500" s="135"/>
      <c r="AU1500" s="135"/>
      <c r="AV1500" s="135"/>
    </row>
    <row r="1501" spans="1:48" s="133" customFormat="1" x14ac:dyDescent="0.2">
      <c r="A1501" s="135" t="s">
        <v>892</v>
      </c>
      <c r="B1501" s="135" t="s">
        <v>4966</v>
      </c>
      <c r="C1501" s="135">
        <v>7</v>
      </c>
      <c r="D1501" s="135">
        <v>1</v>
      </c>
      <c r="E1501" s="135" t="s">
        <v>2601</v>
      </c>
      <c r="F1501" s="136">
        <v>43363</v>
      </c>
      <c r="G1501" s="136" t="s">
        <v>4032</v>
      </c>
      <c r="H1501" s="136" t="s">
        <v>4724</v>
      </c>
      <c r="I1501" s="172">
        <v>2.013888888888889E-2</v>
      </c>
      <c r="J1501" s="175">
        <v>3.3564814814814812E-4</v>
      </c>
      <c r="K1501" s="143">
        <v>29</v>
      </c>
      <c r="L1501" s="135" t="s">
        <v>884</v>
      </c>
      <c r="M1501" s="135" t="s">
        <v>177</v>
      </c>
      <c r="N1501" s="135" t="s">
        <v>111</v>
      </c>
      <c r="O1501" s="135" t="s">
        <v>23</v>
      </c>
      <c r="P1501" s="135">
        <v>0</v>
      </c>
      <c r="Q1501" s="135"/>
      <c r="R1501" s="135">
        <v>1</v>
      </c>
      <c r="S1501" s="133" t="s">
        <v>176</v>
      </c>
      <c r="T1501" s="135" t="s">
        <v>176</v>
      </c>
      <c r="U1501" s="135" t="s">
        <v>24</v>
      </c>
      <c r="V1501" s="135" t="s">
        <v>709</v>
      </c>
      <c r="W1501" s="135" t="s">
        <v>23</v>
      </c>
      <c r="X1501" s="135" t="s">
        <v>4004</v>
      </c>
      <c r="Y1501" s="135" t="s">
        <v>4005</v>
      </c>
      <c r="Z1501" s="135"/>
      <c r="AA1501" s="135"/>
      <c r="AB1501" s="135" t="s">
        <v>176</v>
      </c>
      <c r="AC1501" s="137" t="s">
        <v>246</v>
      </c>
      <c r="AD1501" s="137"/>
      <c r="AE1501" s="135"/>
      <c r="AF1501" s="135"/>
      <c r="AG1501" s="135"/>
      <c r="AH1501" s="135"/>
      <c r="AI1501" s="135"/>
      <c r="AJ1501" s="135"/>
      <c r="AK1501" s="135"/>
      <c r="AL1501" s="143">
        <v>0</v>
      </c>
      <c r="AM1501" s="135">
        <v>0</v>
      </c>
      <c r="AN1501" s="135">
        <f t="shared" si="24"/>
        <v>0</v>
      </c>
      <c r="AO1501" s="135"/>
      <c r="AP1501" s="135" t="s">
        <v>895</v>
      </c>
      <c r="AQ1501" s="135"/>
      <c r="AR1501" s="135"/>
    </row>
    <row r="1502" spans="1:48" s="133" customFormat="1" x14ac:dyDescent="0.2">
      <c r="A1502" s="133" t="s">
        <v>896</v>
      </c>
      <c r="B1502" s="133" t="s">
        <v>4967</v>
      </c>
      <c r="C1502" s="133">
        <v>8</v>
      </c>
      <c r="D1502" s="133">
        <v>1</v>
      </c>
      <c r="E1502" s="133" t="s">
        <v>2601</v>
      </c>
      <c r="F1502" s="138">
        <v>43363</v>
      </c>
      <c r="G1502" s="136" t="s">
        <v>4032</v>
      </c>
      <c r="H1502" s="136" t="s">
        <v>4724</v>
      </c>
      <c r="I1502" s="148">
        <v>4.027777777777778E-2</v>
      </c>
      <c r="J1502" s="174">
        <v>6.7129629629629625E-4</v>
      </c>
      <c r="K1502" s="139">
        <v>58</v>
      </c>
      <c r="L1502" s="133" t="s">
        <v>884</v>
      </c>
      <c r="M1502" s="133" t="s">
        <v>177</v>
      </c>
      <c r="N1502" s="133" t="s">
        <v>111</v>
      </c>
      <c r="O1502" s="133" t="s">
        <v>23</v>
      </c>
      <c r="P1502" s="133">
        <v>0</v>
      </c>
      <c r="R1502" s="133">
        <v>1</v>
      </c>
      <c r="S1502" s="133" t="s">
        <v>176</v>
      </c>
      <c r="T1502" s="133" t="s">
        <v>176</v>
      </c>
      <c r="U1502" s="133" t="s">
        <v>24</v>
      </c>
      <c r="V1502" s="133" t="s">
        <v>3977</v>
      </c>
      <c r="W1502" s="140" t="s">
        <v>23</v>
      </c>
      <c r="X1502" s="133" t="s">
        <v>3999</v>
      </c>
      <c r="Y1502" s="133" t="s">
        <v>4001</v>
      </c>
      <c r="AB1502" s="133" t="s">
        <v>176</v>
      </c>
      <c r="AC1502" s="134">
        <v>63.724829999999997</v>
      </c>
      <c r="AD1502" s="134">
        <v>148.95133999999999</v>
      </c>
      <c r="AH1502" s="139">
        <v>0</v>
      </c>
      <c r="AI1502" s="139">
        <v>0</v>
      </c>
      <c r="AJ1502" s="139">
        <v>0</v>
      </c>
      <c r="AK1502" s="139">
        <v>0</v>
      </c>
      <c r="AL1502" s="139">
        <v>0</v>
      </c>
      <c r="AM1502" s="133">
        <v>0</v>
      </c>
      <c r="AN1502" s="133">
        <f t="shared" si="24"/>
        <v>0</v>
      </c>
    </row>
    <row r="1503" spans="1:48" s="133" customFormat="1" x14ac:dyDescent="0.2">
      <c r="A1503" s="135" t="s">
        <v>898</v>
      </c>
      <c r="B1503" s="135" t="s">
        <v>4960</v>
      </c>
      <c r="C1503" s="135">
        <v>9</v>
      </c>
      <c r="D1503" s="135">
        <v>1</v>
      </c>
      <c r="E1503" s="135" t="s">
        <v>2601</v>
      </c>
      <c r="F1503" s="136">
        <v>43363</v>
      </c>
      <c r="G1503" s="136" t="s">
        <v>4032</v>
      </c>
      <c r="H1503" s="136" t="s">
        <v>4724</v>
      </c>
      <c r="I1503" s="172">
        <v>5.347222222222222E-2</v>
      </c>
      <c r="J1503" s="175">
        <v>8.9120370370370362E-4</v>
      </c>
      <c r="K1503" s="143">
        <v>77</v>
      </c>
      <c r="L1503" s="135" t="s">
        <v>884</v>
      </c>
      <c r="M1503" s="135" t="s">
        <v>177</v>
      </c>
      <c r="N1503" s="135" t="s">
        <v>102</v>
      </c>
      <c r="O1503" s="135" t="s">
        <v>12</v>
      </c>
      <c r="P1503" s="135" t="s">
        <v>24</v>
      </c>
      <c r="Q1503" s="135"/>
      <c r="R1503" s="135">
        <v>0</v>
      </c>
      <c r="S1503" s="135"/>
      <c r="T1503" s="135" t="s">
        <v>115</v>
      </c>
      <c r="U1503" s="135" t="s">
        <v>115</v>
      </c>
      <c r="V1503" s="135" t="s">
        <v>115</v>
      </c>
      <c r="W1503" s="135" t="s">
        <v>115</v>
      </c>
      <c r="X1503" s="135" t="s">
        <v>115</v>
      </c>
      <c r="Y1503" s="135" t="s">
        <v>115</v>
      </c>
      <c r="AB1503" s="137" t="s">
        <v>115</v>
      </c>
      <c r="AC1503" s="137" t="s">
        <v>115</v>
      </c>
      <c r="AD1503" s="137"/>
      <c r="AH1503" s="143">
        <f>47+15</f>
        <v>62</v>
      </c>
      <c r="AI1503" s="143">
        <v>0</v>
      </c>
      <c r="AJ1503" s="143">
        <v>15</v>
      </c>
      <c r="AK1503" s="143">
        <v>47</v>
      </c>
      <c r="AL1503" s="135">
        <v>0</v>
      </c>
      <c r="AM1503" s="135">
        <v>0</v>
      </c>
      <c r="AN1503" s="135">
        <f t="shared" si="24"/>
        <v>62</v>
      </c>
      <c r="AO1503" s="135"/>
      <c r="AP1503" s="135"/>
      <c r="AQ1503" s="135"/>
      <c r="AR1503" s="135"/>
    </row>
    <row r="1504" spans="1:48" s="135" customFormat="1" x14ac:dyDescent="0.2">
      <c r="A1504" s="133" t="s">
        <v>899</v>
      </c>
      <c r="B1504" s="133" t="s">
        <v>4961</v>
      </c>
      <c r="C1504" s="133">
        <v>10</v>
      </c>
      <c r="D1504" s="133">
        <v>1</v>
      </c>
      <c r="E1504" s="133" t="s">
        <v>2601</v>
      </c>
      <c r="F1504" s="138">
        <v>43363</v>
      </c>
      <c r="G1504" s="136" t="s">
        <v>4032</v>
      </c>
      <c r="H1504" s="136" t="s">
        <v>4724</v>
      </c>
      <c r="I1504" s="148">
        <v>3.6805555555555557E-2</v>
      </c>
      <c r="J1504" s="174">
        <v>6.134259259259259E-4</v>
      </c>
      <c r="K1504" s="139">
        <v>53</v>
      </c>
      <c r="L1504" s="133" t="s">
        <v>884</v>
      </c>
      <c r="M1504" s="133" t="s">
        <v>177</v>
      </c>
      <c r="N1504" s="133" t="s">
        <v>102</v>
      </c>
      <c r="O1504" s="133" t="s">
        <v>516</v>
      </c>
      <c r="P1504" s="133" t="s">
        <v>24</v>
      </c>
      <c r="Q1504" s="133"/>
      <c r="R1504" s="133">
        <v>0</v>
      </c>
      <c r="S1504" s="133"/>
      <c r="T1504" s="133" t="s">
        <v>115</v>
      </c>
      <c r="U1504" s="133" t="s">
        <v>115</v>
      </c>
      <c r="V1504" s="133" t="s">
        <v>115</v>
      </c>
      <c r="W1504" s="135" t="s">
        <v>115</v>
      </c>
      <c r="X1504" s="135" t="s">
        <v>115</v>
      </c>
      <c r="Y1504" s="135" t="s">
        <v>115</v>
      </c>
      <c r="Z1504" s="133"/>
      <c r="AA1504" s="133"/>
      <c r="AB1504" s="134" t="s">
        <v>115</v>
      </c>
      <c r="AC1504" s="134" t="s">
        <v>115</v>
      </c>
      <c r="AD1504" s="134"/>
      <c r="AE1504" s="133"/>
      <c r="AF1504" s="133"/>
      <c r="AG1504" s="133"/>
      <c r="AH1504" s="139">
        <v>12</v>
      </c>
      <c r="AI1504" s="139">
        <v>0</v>
      </c>
      <c r="AJ1504" s="139">
        <v>0</v>
      </c>
      <c r="AK1504" s="139">
        <v>12</v>
      </c>
      <c r="AL1504" s="139">
        <v>0</v>
      </c>
      <c r="AM1504" s="133">
        <v>0</v>
      </c>
      <c r="AN1504" s="133">
        <f t="shared" si="24"/>
        <v>12</v>
      </c>
      <c r="AO1504" s="133"/>
      <c r="AP1504" s="133"/>
      <c r="AQ1504" s="133"/>
      <c r="AR1504" s="133"/>
    </row>
    <row r="1505" spans="1:48" s="135" customFormat="1" x14ac:dyDescent="0.2">
      <c r="A1505" s="133" t="s">
        <v>891</v>
      </c>
      <c r="B1505" s="133" t="s">
        <v>4965</v>
      </c>
      <c r="C1505" s="133">
        <v>6</v>
      </c>
      <c r="D1505" s="133">
        <v>1</v>
      </c>
      <c r="E1505" s="133" t="s">
        <v>2601</v>
      </c>
      <c r="F1505" s="138">
        <v>43363</v>
      </c>
      <c r="G1505" s="136" t="s">
        <v>4032</v>
      </c>
      <c r="H1505" s="136" t="s">
        <v>4724</v>
      </c>
      <c r="I1505" s="148">
        <v>2.6388888888888889E-2</v>
      </c>
      <c r="J1505" s="174">
        <v>4.3981481481481481E-4</v>
      </c>
      <c r="K1505" s="139">
        <v>38</v>
      </c>
      <c r="L1505" s="133" t="s">
        <v>884</v>
      </c>
      <c r="M1505" s="133" t="s">
        <v>177</v>
      </c>
      <c r="N1505" s="133" t="s">
        <v>111</v>
      </c>
      <c r="O1505" s="133" t="s">
        <v>23</v>
      </c>
      <c r="P1505" s="133">
        <v>0</v>
      </c>
      <c r="Q1505" s="133"/>
      <c r="R1505" s="133">
        <v>1</v>
      </c>
      <c r="S1505" s="133" t="s">
        <v>176</v>
      </c>
      <c r="T1505" s="133" t="s">
        <v>176</v>
      </c>
      <c r="U1505" s="133" t="s">
        <v>24</v>
      </c>
      <c r="V1505" s="133" t="s">
        <v>1035</v>
      </c>
      <c r="W1505" s="140" t="s">
        <v>23</v>
      </c>
      <c r="X1505" s="133" t="s">
        <v>3997</v>
      </c>
      <c r="Y1505" s="133" t="s">
        <v>4006</v>
      </c>
      <c r="Z1505" s="133"/>
      <c r="AA1505" s="133"/>
      <c r="AB1505" s="133" t="s">
        <v>176</v>
      </c>
      <c r="AC1505" s="134">
        <v>63.72569</v>
      </c>
      <c r="AD1505" s="134">
        <v>148.95882</v>
      </c>
      <c r="AE1505" s="133"/>
      <c r="AF1505" s="133"/>
      <c r="AG1505" s="133"/>
      <c r="AH1505" s="139">
        <v>0</v>
      </c>
      <c r="AI1505" s="139">
        <v>0</v>
      </c>
      <c r="AJ1505" s="139">
        <v>0</v>
      </c>
      <c r="AK1505" s="139">
        <v>0</v>
      </c>
      <c r="AL1505" s="139">
        <v>0</v>
      </c>
      <c r="AM1505" s="133">
        <v>0</v>
      </c>
      <c r="AN1505" s="133">
        <f t="shared" si="24"/>
        <v>0</v>
      </c>
      <c r="AO1505" s="133"/>
      <c r="AP1505" s="133" t="s">
        <v>1087</v>
      </c>
      <c r="AQ1505" s="133"/>
      <c r="AR1505" s="133"/>
    </row>
    <row r="1506" spans="1:48" s="133" customFormat="1" x14ac:dyDescent="0.2">
      <c r="A1506" s="133" t="s">
        <v>587</v>
      </c>
      <c r="B1506" s="133" t="s">
        <v>588</v>
      </c>
      <c r="C1506" s="133">
        <v>4</v>
      </c>
      <c r="D1506" s="133">
        <v>1</v>
      </c>
      <c r="E1506" s="133" t="s">
        <v>100</v>
      </c>
      <c r="F1506" s="138">
        <v>43355</v>
      </c>
      <c r="G1506" s="136" t="s">
        <v>4032</v>
      </c>
      <c r="H1506" s="136" t="s">
        <v>4724</v>
      </c>
      <c r="I1506" s="148">
        <v>1.3194444444444444E-2</v>
      </c>
      <c r="J1506" s="174">
        <v>2.199074074074074E-4</v>
      </c>
      <c r="K1506" s="139">
        <v>19</v>
      </c>
      <c r="L1506" s="133" t="s">
        <v>398</v>
      </c>
      <c r="M1506" s="133" t="s">
        <v>589</v>
      </c>
      <c r="N1506" s="133" t="s">
        <v>107</v>
      </c>
      <c r="O1506" s="133" t="s">
        <v>23</v>
      </c>
      <c r="P1506" s="133">
        <v>1</v>
      </c>
      <c r="R1506" s="133">
        <v>0</v>
      </c>
      <c r="S1506" s="133" t="s">
        <v>176</v>
      </c>
      <c r="T1506" s="133" t="s">
        <v>176</v>
      </c>
      <c r="U1506" s="133" t="s">
        <v>24</v>
      </c>
      <c r="V1506" s="133" t="s">
        <v>115</v>
      </c>
      <c r="W1506" s="135" t="s">
        <v>115</v>
      </c>
      <c r="X1506" s="135" t="s">
        <v>115</v>
      </c>
      <c r="Y1506" s="135" t="s">
        <v>115</v>
      </c>
      <c r="AB1506" s="134" t="s">
        <v>115</v>
      </c>
      <c r="AC1506" s="134" t="s">
        <v>115</v>
      </c>
      <c r="AD1506" s="134"/>
      <c r="AH1506" s="139">
        <v>0</v>
      </c>
      <c r="AI1506" s="139">
        <v>0</v>
      </c>
      <c r="AJ1506" s="139">
        <v>0</v>
      </c>
      <c r="AK1506" s="139">
        <v>0</v>
      </c>
      <c r="AL1506" s="139">
        <v>0</v>
      </c>
      <c r="AM1506" s="133">
        <v>0</v>
      </c>
      <c r="AN1506" s="133">
        <f t="shared" si="24"/>
        <v>0</v>
      </c>
      <c r="AP1506" s="133" t="s">
        <v>590</v>
      </c>
    </row>
    <row r="1507" spans="1:48" s="135" customFormat="1" x14ac:dyDescent="0.2">
      <c r="A1507" s="135" t="s">
        <v>596</v>
      </c>
      <c r="B1507" s="135" t="s">
        <v>597</v>
      </c>
      <c r="C1507" s="135">
        <v>7</v>
      </c>
      <c r="D1507" s="135">
        <v>1</v>
      </c>
      <c r="E1507" s="135" t="s">
        <v>100</v>
      </c>
      <c r="F1507" s="136">
        <v>43355</v>
      </c>
      <c r="G1507" s="136" t="s">
        <v>4032</v>
      </c>
      <c r="H1507" s="136" t="s">
        <v>4724</v>
      </c>
      <c r="I1507" s="172">
        <v>2.4305555555555556E-2</v>
      </c>
      <c r="J1507" s="175">
        <v>4.0509259259259258E-4</v>
      </c>
      <c r="K1507" s="143">
        <v>35</v>
      </c>
      <c r="L1507" s="135" t="s">
        <v>398</v>
      </c>
      <c r="M1507" s="135" t="s">
        <v>589</v>
      </c>
      <c r="N1507" s="135" t="s">
        <v>102</v>
      </c>
      <c r="O1507" s="135" t="s">
        <v>115</v>
      </c>
      <c r="P1507" s="135">
        <v>1</v>
      </c>
      <c r="R1507" s="135">
        <v>0</v>
      </c>
      <c r="S1507" s="133" t="s">
        <v>598</v>
      </c>
      <c r="T1507" s="135" t="s">
        <v>598</v>
      </c>
      <c r="U1507" s="135" t="s">
        <v>122</v>
      </c>
      <c r="V1507" s="135" t="s">
        <v>115</v>
      </c>
      <c r="W1507" s="135" t="s">
        <v>115</v>
      </c>
      <c r="X1507" s="135" t="s">
        <v>115</v>
      </c>
      <c r="Y1507" s="135" t="s">
        <v>115</v>
      </c>
      <c r="AB1507" s="137" t="s">
        <v>115</v>
      </c>
      <c r="AC1507" s="137" t="s">
        <v>115</v>
      </c>
      <c r="AD1507" s="137"/>
      <c r="AH1507" s="143">
        <v>0</v>
      </c>
      <c r="AI1507" s="143">
        <v>0</v>
      </c>
      <c r="AJ1507" s="143">
        <v>0</v>
      </c>
      <c r="AK1507" s="143">
        <v>0</v>
      </c>
      <c r="AL1507" s="143">
        <v>20</v>
      </c>
      <c r="AM1507" s="135">
        <v>0</v>
      </c>
      <c r="AN1507" s="135">
        <f t="shared" si="24"/>
        <v>20</v>
      </c>
      <c r="AS1507" s="133"/>
      <c r="AT1507" s="133"/>
      <c r="AU1507" s="133"/>
      <c r="AV1507" s="133"/>
    </row>
    <row r="1508" spans="1:48" s="133" customFormat="1" x14ac:dyDescent="0.2">
      <c r="A1508" s="133" t="s">
        <v>455</v>
      </c>
      <c r="B1508" s="133" t="s">
        <v>456</v>
      </c>
      <c r="C1508" s="133">
        <v>2</v>
      </c>
      <c r="D1508" s="133">
        <v>1</v>
      </c>
      <c r="E1508" s="133" t="s">
        <v>2487</v>
      </c>
      <c r="F1508" s="138">
        <v>43350</v>
      </c>
      <c r="G1508" s="136" t="s">
        <v>4032</v>
      </c>
      <c r="H1508" s="136" t="s">
        <v>4724</v>
      </c>
      <c r="I1508" s="148">
        <v>1.5277777777777777E-2</v>
      </c>
      <c r="J1508" s="174">
        <v>2.5462962962962961E-4</v>
      </c>
      <c r="K1508" s="139">
        <v>22</v>
      </c>
      <c r="L1508" s="133" t="s">
        <v>398</v>
      </c>
      <c r="M1508" s="133" t="s">
        <v>2488</v>
      </c>
      <c r="N1508" s="133" t="s">
        <v>102</v>
      </c>
      <c r="O1508" s="133" t="s">
        <v>23</v>
      </c>
      <c r="P1508" s="133" t="s">
        <v>24</v>
      </c>
      <c r="R1508" s="133">
        <v>0</v>
      </c>
      <c r="S1508" s="133" t="s">
        <v>176</v>
      </c>
      <c r="T1508" s="133" t="s">
        <v>176</v>
      </c>
      <c r="U1508" s="133" t="s">
        <v>115</v>
      </c>
      <c r="V1508" s="133" t="s">
        <v>115</v>
      </c>
      <c r="W1508" s="135" t="s">
        <v>115</v>
      </c>
      <c r="X1508" s="135" t="s">
        <v>115</v>
      </c>
      <c r="Y1508" s="135" t="s">
        <v>115</v>
      </c>
      <c r="AB1508" s="133" t="s">
        <v>115</v>
      </c>
      <c r="AC1508" s="134" t="s">
        <v>115</v>
      </c>
      <c r="AD1508" s="134"/>
      <c r="AH1508" s="139">
        <v>11</v>
      </c>
      <c r="AI1508" s="139">
        <v>0</v>
      </c>
      <c r="AJ1508" s="139">
        <v>0</v>
      </c>
      <c r="AK1508" s="139">
        <v>11</v>
      </c>
      <c r="AL1508" s="139">
        <v>0</v>
      </c>
      <c r="AM1508" s="133">
        <v>0</v>
      </c>
      <c r="AN1508" s="133">
        <f t="shared" si="24"/>
        <v>11</v>
      </c>
    </row>
    <row r="1509" spans="1:48" s="133" customFormat="1" x14ac:dyDescent="0.2">
      <c r="A1509" s="135" t="s">
        <v>930</v>
      </c>
      <c r="B1509" s="135" t="s">
        <v>931</v>
      </c>
      <c r="C1509" s="135">
        <v>1</v>
      </c>
      <c r="D1509" s="135">
        <v>1</v>
      </c>
      <c r="E1509" s="135" t="s">
        <v>100</v>
      </c>
      <c r="F1509" s="136">
        <v>43367</v>
      </c>
      <c r="G1509" s="136" t="s">
        <v>4032</v>
      </c>
      <c r="H1509" s="136" t="s">
        <v>4724</v>
      </c>
      <c r="I1509" s="172">
        <v>3.0555555555555555E-2</v>
      </c>
      <c r="J1509" s="175">
        <v>5.0925925925925921E-4</v>
      </c>
      <c r="K1509" s="143">
        <v>44</v>
      </c>
      <c r="L1509" s="135" t="s">
        <v>101</v>
      </c>
      <c r="M1509" s="135" t="s">
        <v>932</v>
      </c>
      <c r="N1509" s="135" t="s">
        <v>102</v>
      </c>
      <c r="O1509" s="135" t="s">
        <v>115</v>
      </c>
      <c r="P1509" s="135">
        <v>1</v>
      </c>
      <c r="Q1509" s="135"/>
      <c r="R1509" s="135">
        <v>0</v>
      </c>
      <c r="S1509" s="133" t="s">
        <v>176</v>
      </c>
      <c r="T1509" s="135" t="s">
        <v>176</v>
      </c>
      <c r="U1509" s="135" t="s">
        <v>122</v>
      </c>
      <c r="V1509" s="135" t="s">
        <v>115</v>
      </c>
      <c r="W1509" s="135" t="s">
        <v>115</v>
      </c>
      <c r="X1509" s="135" t="s">
        <v>115</v>
      </c>
      <c r="Y1509" s="135" t="s">
        <v>115</v>
      </c>
      <c r="AB1509" s="135" t="s">
        <v>115</v>
      </c>
      <c r="AC1509" s="137" t="s">
        <v>115</v>
      </c>
      <c r="AD1509" s="137"/>
      <c r="AH1509" s="143">
        <v>0</v>
      </c>
      <c r="AI1509" s="143">
        <v>0</v>
      </c>
      <c r="AJ1509" s="143">
        <v>0</v>
      </c>
      <c r="AK1509" s="143">
        <v>0</v>
      </c>
      <c r="AL1509" s="143">
        <v>20</v>
      </c>
      <c r="AM1509" s="135">
        <v>0</v>
      </c>
      <c r="AN1509" s="135">
        <f t="shared" si="24"/>
        <v>20</v>
      </c>
      <c r="AO1509" s="135"/>
      <c r="AP1509" s="135"/>
      <c r="AQ1509" s="135"/>
      <c r="AR1509" s="135"/>
      <c r="AS1509" s="135"/>
      <c r="AT1509" s="135"/>
      <c r="AU1509" s="135"/>
      <c r="AV1509" s="135"/>
    </row>
    <row r="1510" spans="1:48" s="133" customFormat="1" x14ac:dyDescent="0.2">
      <c r="A1510" s="133" t="s">
        <v>933</v>
      </c>
      <c r="B1510" s="133" t="s">
        <v>937</v>
      </c>
      <c r="C1510" s="133">
        <v>2</v>
      </c>
      <c r="D1510" s="133">
        <v>1</v>
      </c>
      <c r="E1510" s="133" t="s">
        <v>100</v>
      </c>
      <c r="F1510" s="138">
        <v>43367</v>
      </c>
      <c r="G1510" s="136" t="s">
        <v>4032</v>
      </c>
      <c r="H1510" s="136" t="s">
        <v>4724</v>
      </c>
      <c r="I1510" s="148">
        <v>1.1111111111111112E-2</v>
      </c>
      <c r="J1510" s="174">
        <v>1.8518518518518518E-4</v>
      </c>
      <c r="K1510" s="139">
        <v>16</v>
      </c>
      <c r="L1510" s="133" t="s">
        <v>397</v>
      </c>
      <c r="M1510" s="133" t="s">
        <v>932</v>
      </c>
      <c r="N1510" s="133" t="s">
        <v>111</v>
      </c>
      <c r="O1510" s="133" t="s">
        <v>23</v>
      </c>
      <c r="P1510" s="133">
        <v>0</v>
      </c>
      <c r="R1510" s="133">
        <v>1</v>
      </c>
      <c r="S1510" s="133" t="s">
        <v>176</v>
      </c>
      <c r="T1510" s="133" t="s">
        <v>176</v>
      </c>
      <c r="U1510" s="133" t="s">
        <v>122</v>
      </c>
      <c r="V1510" s="133" t="s">
        <v>934</v>
      </c>
      <c r="W1510" s="135" t="s">
        <v>23</v>
      </c>
      <c r="X1510" s="135" t="s">
        <v>4004</v>
      </c>
      <c r="Y1510" s="135" t="s">
        <v>4008</v>
      </c>
      <c r="AB1510" s="133" t="s">
        <v>24</v>
      </c>
      <c r="AC1510" s="134">
        <v>63.73798</v>
      </c>
      <c r="AD1510" s="134">
        <v>148.90401</v>
      </c>
      <c r="AH1510" s="139">
        <v>0</v>
      </c>
      <c r="AI1510" s="139">
        <v>0</v>
      </c>
      <c r="AJ1510" s="139">
        <v>0</v>
      </c>
      <c r="AK1510" s="139">
        <v>0</v>
      </c>
      <c r="AL1510" s="139">
        <v>0</v>
      </c>
      <c r="AM1510" s="133">
        <v>0</v>
      </c>
      <c r="AN1510" s="133">
        <f t="shared" si="24"/>
        <v>0</v>
      </c>
      <c r="AP1510" s="133" t="s">
        <v>4970</v>
      </c>
      <c r="AS1510" s="135"/>
      <c r="AT1510" s="135"/>
      <c r="AU1510" s="135"/>
      <c r="AV1510" s="135"/>
    </row>
    <row r="1511" spans="1:48" s="133" customFormat="1" x14ac:dyDescent="0.2">
      <c r="A1511" s="135" t="s">
        <v>402</v>
      </c>
      <c r="B1511" s="135" t="s">
        <v>403</v>
      </c>
      <c r="C1511" s="135">
        <v>2</v>
      </c>
      <c r="D1511" s="135">
        <v>1</v>
      </c>
      <c r="E1511" s="135" t="s">
        <v>324</v>
      </c>
      <c r="F1511" s="136">
        <v>43350</v>
      </c>
      <c r="G1511" s="136" t="s">
        <v>4032</v>
      </c>
      <c r="H1511" s="136" t="s">
        <v>4724</v>
      </c>
      <c r="I1511" s="172">
        <v>2.1527777777777781E-2</v>
      </c>
      <c r="J1511" s="175">
        <v>3.5879629629629635E-4</v>
      </c>
      <c r="K1511" s="143">
        <v>31</v>
      </c>
      <c r="L1511" s="135" t="s">
        <v>398</v>
      </c>
      <c r="M1511" s="135" t="s">
        <v>325</v>
      </c>
      <c r="N1511" s="135" t="s">
        <v>102</v>
      </c>
      <c r="O1511" s="135" t="s">
        <v>115</v>
      </c>
      <c r="P1511" s="135">
        <v>1</v>
      </c>
      <c r="Q1511" s="135"/>
      <c r="R1511" s="135">
        <v>0</v>
      </c>
      <c r="S1511" s="133" t="s">
        <v>112</v>
      </c>
      <c r="T1511" s="135" t="s">
        <v>112</v>
      </c>
      <c r="U1511" s="135" t="s">
        <v>122</v>
      </c>
      <c r="V1511" s="135" t="s">
        <v>115</v>
      </c>
      <c r="W1511" s="135" t="s">
        <v>115</v>
      </c>
      <c r="X1511" s="135" t="s">
        <v>115</v>
      </c>
      <c r="Y1511" s="135" t="s">
        <v>115</v>
      </c>
      <c r="AB1511" s="135" t="s">
        <v>115</v>
      </c>
      <c r="AC1511" s="137" t="s">
        <v>115</v>
      </c>
      <c r="AD1511" s="137"/>
      <c r="AH1511" s="135">
        <v>0</v>
      </c>
      <c r="AI1511" s="135">
        <v>0</v>
      </c>
      <c r="AJ1511" s="135">
        <v>0</v>
      </c>
      <c r="AK1511" s="135">
        <v>0</v>
      </c>
      <c r="AL1511" s="135">
        <v>7</v>
      </c>
      <c r="AM1511" s="135">
        <v>0</v>
      </c>
      <c r="AN1511" s="135">
        <f t="shared" si="24"/>
        <v>7</v>
      </c>
      <c r="AO1511" s="135"/>
      <c r="AP1511" s="135"/>
      <c r="AQ1511" s="135"/>
      <c r="AR1511" s="135"/>
    </row>
    <row r="1512" spans="1:48" s="133" customFormat="1" x14ac:dyDescent="0.2">
      <c r="A1512" s="133" t="s">
        <v>320</v>
      </c>
      <c r="B1512" s="133" t="s">
        <v>323</v>
      </c>
      <c r="C1512" s="133">
        <v>1</v>
      </c>
      <c r="D1512" s="133">
        <v>1</v>
      </c>
      <c r="E1512" s="133" t="s">
        <v>324</v>
      </c>
      <c r="F1512" s="138">
        <v>43348</v>
      </c>
      <c r="G1512" s="136" t="s">
        <v>4032</v>
      </c>
      <c r="H1512" s="136" t="s">
        <v>4724</v>
      </c>
      <c r="I1512" s="148"/>
      <c r="J1512" s="174"/>
      <c r="K1512" s="139">
        <v>0</v>
      </c>
      <c r="L1512" s="133" t="s">
        <v>396</v>
      </c>
      <c r="M1512" s="133" t="s">
        <v>325</v>
      </c>
      <c r="N1512" s="133" t="s">
        <v>102</v>
      </c>
      <c r="O1512" s="133" t="s">
        <v>12</v>
      </c>
      <c r="P1512" s="133">
        <v>1</v>
      </c>
      <c r="R1512" s="133">
        <v>0</v>
      </c>
      <c r="S1512" s="133" t="s">
        <v>598</v>
      </c>
      <c r="T1512" s="133" t="s">
        <v>2113</v>
      </c>
      <c r="U1512" s="133" t="s">
        <v>329</v>
      </c>
      <c r="V1512" s="133" t="s">
        <v>115</v>
      </c>
      <c r="W1512" s="135" t="s">
        <v>115</v>
      </c>
      <c r="X1512" s="135" t="s">
        <v>115</v>
      </c>
      <c r="Y1512" s="135" t="s">
        <v>115</v>
      </c>
      <c r="Z1512" s="135"/>
      <c r="AA1512" s="135"/>
      <c r="AB1512" s="133" t="s">
        <v>115</v>
      </c>
      <c r="AC1512" s="134" t="s">
        <v>115</v>
      </c>
      <c r="AD1512" s="134"/>
      <c r="AE1512" s="135"/>
      <c r="AF1512" s="135"/>
      <c r="AG1512" s="135"/>
      <c r="AH1512" s="133">
        <v>10</v>
      </c>
      <c r="AI1512" s="133">
        <v>0</v>
      </c>
      <c r="AJ1512" s="133">
        <v>0</v>
      </c>
      <c r="AK1512" s="133">
        <v>10</v>
      </c>
      <c r="AL1512" s="133">
        <v>0</v>
      </c>
      <c r="AM1512" s="133">
        <v>0</v>
      </c>
      <c r="AN1512" s="133">
        <f t="shared" si="24"/>
        <v>10</v>
      </c>
      <c r="AO1512" s="133" t="s">
        <v>103</v>
      </c>
    </row>
    <row r="1513" spans="1:48" s="133" customFormat="1" x14ac:dyDescent="0.2">
      <c r="A1513" s="133" t="s">
        <v>326</v>
      </c>
      <c r="B1513" s="133" t="s">
        <v>327</v>
      </c>
      <c r="C1513" s="133">
        <v>2</v>
      </c>
      <c r="D1513" s="133">
        <v>1</v>
      </c>
      <c r="E1513" s="133" t="s">
        <v>324</v>
      </c>
      <c r="F1513" s="138">
        <v>43348</v>
      </c>
      <c r="G1513" s="136" t="s">
        <v>4032</v>
      </c>
      <c r="H1513" s="136" t="s">
        <v>4724</v>
      </c>
      <c r="I1513" s="148"/>
      <c r="J1513" s="174"/>
      <c r="K1513" s="139">
        <v>0</v>
      </c>
      <c r="L1513" s="133" t="s">
        <v>396</v>
      </c>
      <c r="M1513" s="133" t="s">
        <v>325</v>
      </c>
      <c r="N1513" s="133" t="s">
        <v>102</v>
      </c>
      <c r="O1513" s="133" t="s">
        <v>23</v>
      </c>
      <c r="P1513" s="133">
        <v>1</v>
      </c>
      <c r="R1513" s="133">
        <v>0</v>
      </c>
      <c r="S1513" s="133" t="s">
        <v>176</v>
      </c>
      <c r="T1513" s="133" t="s">
        <v>176</v>
      </c>
      <c r="U1513" s="133" t="s">
        <v>2059</v>
      </c>
      <c r="V1513" s="133" t="s">
        <v>115</v>
      </c>
      <c r="W1513" s="135" t="s">
        <v>115</v>
      </c>
      <c r="X1513" s="135" t="s">
        <v>115</v>
      </c>
      <c r="Y1513" s="135" t="s">
        <v>115</v>
      </c>
      <c r="AB1513" s="133" t="s">
        <v>115</v>
      </c>
      <c r="AC1513" s="134" t="s">
        <v>115</v>
      </c>
      <c r="AD1513" s="134"/>
      <c r="AH1513" s="133">
        <v>0</v>
      </c>
      <c r="AI1513" s="133">
        <v>11</v>
      </c>
      <c r="AJ1513" s="133">
        <v>0</v>
      </c>
      <c r="AK1513" s="133">
        <v>11</v>
      </c>
      <c r="AL1513" s="133">
        <v>0</v>
      </c>
      <c r="AM1513" s="133">
        <v>0</v>
      </c>
      <c r="AN1513" s="133">
        <f t="shared" si="24"/>
        <v>11</v>
      </c>
      <c r="AO1513" s="133" t="s">
        <v>103</v>
      </c>
      <c r="AS1513" s="135"/>
      <c r="AT1513" s="135"/>
      <c r="AU1513" s="135"/>
      <c r="AV1513" s="135"/>
    </row>
    <row r="1514" spans="1:48" s="135" customFormat="1" x14ac:dyDescent="0.2">
      <c r="A1514" s="133" t="s">
        <v>326</v>
      </c>
      <c r="B1514" s="133" t="s">
        <v>327</v>
      </c>
      <c r="C1514" s="133">
        <v>2</v>
      </c>
      <c r="D1514" s="133">
        <v>1</v>
      </c>
      <c r="E1514" s="133" t="s">
        <v>324</v>
      </c>
      <c r="F1514" s="138">
        <v>43348</v>
      </c>
      <c r="G1514" s="136" t="s">
        <v>4032</v>
      </c>
      <c r="H1514" s="136" t="s">
        <v>4724</v>
      </c>
      <c r="I1514" s="148"/>
      <c r="J1514" s="174"/>
      <c r="K1514" s="139">
        <v>0</v>
      </c>
      <c r="L1514" s="133" t="s">
        <v>396</v>
      </c>
      <c r="M1514" s="133" t="s">
        <v>325</v>
      </c>
      <c r="N1514" s="133" t="s">
        <v>102</v>
      </c>
      <c r="O1514" s="133" t="s">
        <v>23</v>
      </c>
      <c r="P1514" s="133">
        <v>1</v>
      </c>
      <c r="Q1514" s="133"/>
      <c r="R1514" s="133">
        <v>0</v>
      </c>
      <c r="S1514" s="133" t="s">
        <v>176</v>
      </c>
      <c r="T1514" s="133" t="s">
        <v>4901</v>
      </c>
      <c r="U1514" s="133" t="s">
        <v>2061</v>
      </c>
      <c r="V1514" s="133" t="s">
        <v>115</v>
      </c>
      <c r="W1514" s="135" t="s">
        <v>115</v>
      </c>
      <c r="X1514" s="135" t="s">
        <v>115</v>
      </c>
      <c r="Y1514" s="135" t="s">
        <v>115</v>
      </c>
      <c r="Z1514" s="133"/>
      <c r="AA1514" s="133"/>
      <c r="AB1514" s="133" t="s">
        <v>115</v>
      </c>
      <c r="AC1514" s="134" t="s">
        <v>115</v>
      </c>
      <c r="AD1514" s="134"/>
      <c r="AE1514" s="133"/>
      <c r="AF1514" s="133"/>
      <c r="AG1514" s="133"/>
      <c r="AH1514" s="133">
        <v>0</v>
      </c>
      <c r="AI1514" s="133">
        <v>11</v>
      </c>
      <c r="AJ1514" s="133">
        <v>0</v>
      </c>
      <c r="AK1514" s="133">
        <v>11</v>
      </c>
      <c r="AL1514" s="133">
        <v>0</v>
      </c>
      <c r="AM1514" s="133">
        <v>0</v>
      </c>
      <c r="AN1514" s="133">
        <f t="shared" si="24"/>
        <v>11</v>
      </c>
      <c r="AO1514" s="133" t="s">
        <v>103</v>
      </c>
      <c r="AP1514" s="133"/>
      <c r="AQ1514" s="133"/>
      <c r="AR1514" s="133"/>
      <c r="AS1514" s="133"/>
      <c r="AT1514" s="133"/>
      <c r="AU1514" s="133"/>
      <c r="AV1514" s="133"/>
    </row>
    <row r="1515" spans="1:48" s="133" customFormat="1" x14ac:dyDescent="0.2">
      <c r="A1515" s="133" t="s">
        <v>330</v>
      </c>
      <c r="B1515" s="133" t="s">
        <v>331</v>
      </c>
      <c r="C1515" s="133">
        <v>3</v>
      </c>
      <c r="D1515" s="133">
        <v>1</v>
      </c>
      <c r="E1515" s="133" t="s">
        <v>324</v>
      </c>
      <c r="F1515" s="138">
        <v>43348</v>
      </c>
      <c r="G1515" s="136" t="s">
        <v>4032</v>
      </c>
      <c r="H1515" s="136" t="s">
        <v>4724</v>
      </c>
      <c r="I1515" s="148">
        <v>2.4305555555555556E-2</v>
      </c>
      <c r="J1515" s="174">
        <v>4.0509259259259258E-4</v>
      </c>
      <c r="K1515" s="139">
        <v>35</v>
      </c>
      <c r="L1515" s="133" t="s">
        <v>396</v>
      </c>
      <c r="M1515" s="133" t="s">
        <v>325</v>
      </c>
      <c r="N1515" s="133" t="s">
        <v>2148</v>
      </c>
      <c r="O1515" s="133" t="s">
        <v>23</v>
      </c>
      <c r="P1515" s="133">
        <v>1</v>
      </c>
      <c r="R1515" s="133">
        <v>0</v>
      </c>
      <c r="S1515" s="133" t="s">
        <v>176</v>
      </c>
      <c r="T1515" s="133" t="s">
        <v>332</v>
      </c>
      <c r="U1515" s="133" t="s">
        <v>333</v>
      </c>
      <c r="V1515" s="133" t="s">
        <v>115</v>
      </c>
      <c r="W1515" s="135" t="s">
        <v>115</v>
      </c>
      <c r="X1515" s="135" t="s">
        <v>115</v>
      </c>
      <c r="Y1515" s="135" t="s">
        <v>115</v>
      </c>
      <c r="AB1515" s="133" t="s">
        <v>115</v>
      </c>
      <c r="AC1515" s="134" t="s">
        <v>115</v>
      </c>
      <c r="AD1515" s="134"/>
      <c r="AH1515" s="133">
        <v>0</v>
      </c>
      <c r="AI1515" s="133">
        <v>0</v>
      </c>
      <c r="AJ1515" s="133">
        <v>0</v>
      </c>
      <c r="AK1515" s="133">
        <v>0</v>
      </c>
      <c r="AL1515" s="133">
        <v>0</v>
      </c>
      <c r="AM1515" s="133">
        <v>0</v>
      </c>
      <c r="AN1515" s="133">
        <f t="shared" si="24"/>
        <v>0</v>
      </c>
      <c r="AP1515" s="133" t="s">
        <v>334</v>
      </c>
    </row>
    <row r="1516" spans="1:48" s="133" customFormat="1" x14ac:dyDescent="0.2">
      <c r="A1516" s="133" t="s">
        <v>90</v>
      </c>
      <c r="B1516" s="133" t="s">
        <v>338</v>
      </c>
      <c r="C1516" s="133">
        <v>5</v>
      </c>
      <c r="D1516" s="133">
        <v>1</v>
      </c>
      <c r="E1516" s="133" t="s">
        <v>324</v>
      </c>
      <c r="F1516" s="138">
        <v>43348</v>
      </c>
      <c r="G1516" s="136" t="s">
        <v>4032</v>
      </c>
      <c r="H1516" s="136" t="s">
        <v>4724</v>
      </c>
      <c r="I1516" s="148">
        <v>2.9166666666666664E-2</v>
      </c>
      <c r="J1516" s="174">
        <v>4.8611111111111104E-4</v>
      </c>
      <c r="K1516" s="139">
        <v>42</v>
      </c>
      <c r="L1516" s="133" t="s">
        <v>396</v>
      </c>
      <c r="M1516" s="133" t="s">
        <v>325</v>
      </c>
      <c r="N1516" s="133" t="s">
        <v>102</v>
      </c>
      <c r="O1516" s="133" t="s">
        <v>23</v>
      </c>
      <c r="P1516" s="133">
        <v>1</v>
      </c>
      <c r="R1516" s="133">
        <v>0</v>
      </c>
      <c r="S1516" s="133" t="s">
        <v>598</v>
      </c>
      <c r="T1516" s="133" t="s">
        <v>2108</v>
      </c>
      <c r="U1516" s="133" t="s">
        <v>134</v>
      </c>
      <c r="V1516" s="133" t="s">
        <v>115</v>
      </c>
      <c r="W1516" s="135" t="s">
        <v>115</v>
      </c>
      <c r="X1516" s="135" t="s">
        <v>115</v>
      </c>
      <c r="Y1516" s="135" t="s">
        <v>115</v>
      </c>
      <c r="AB1516" s="133" t="s">
        <v>115</v>
      </c>
      <c r="AC1516" s="134" t="s">
        <v>115</v>
      </c>
      <c r="AD1516" s="134"/>
      <c r="AH1516" s="133">
        <v>0</v>
      </c>
      <c r="AI1516" s="133">
        <v>26</v>
      </c>
      <c r="AJ1516" s="133">
        <v>26</v>
      </c>
      <c r="AK1516" s="133">
        <v>0</v>
      </c>
      <c r="AL1516" s="133">
        <v>0</v>
      </c>
      <c r="AM1516" s="133">
        <v>0</v>
      </c>
      <c r="AN1516" s="133">
        <f t="shared" si="24"/>
        <v>26</v>
      </c>
      <c r="AO1516" s="133" t="s">
        <v>176</v>
      </c>
    </row>
    <row r="1517" spans="1:48" s="133" customFormat="1" x14ac:dyDescent="0.2">
      <c r="A1517" s="133" t="s">
        <v>411</v>
      </c>
      <c r="B1517" s="133" t="s">
        <v>412</v>
      </c>
      <c r="C1517" s="133">
        <v>5</v>
      </c>
      <c r="D1517" s="133">
        <v>1</v>
      </c>
      <c r="E1517" s="133" t="s">
        <v>324</v>
      </c>
      <c r="F1517" s="138">
        <v>43350</v>
      </c>
      <c r="G1517" s="136" t="s">
        <v>4032</v>
      </c>
      <c r="H1517" s="136" t="s">
        <v>4724</v>
      </c>
      <c r="I1517" s="148">
        <v>7.3611111111111113E-2</v>
      </c>
      <c r="J1517" s="174">
        <v>1.2268518518518518E-3</v>
      </c>
      <c r="K1517" s="139">
        <v>106</v>
      </c>
      <c r="L1517" s="133" t="s">
        <v>398</v>
      </c>
      <c r="M1517" s="133" t="s">
        <v>325</v>
      </c>
      <c r="N1517" s="133" t="s">
        <v>102</v>
      </c>
      <c r="O1517" s="133" t="s">
        <v>12</v>
      </c>
      <c r="P1517" s="133">
        <v>1</v>
      </c>
      <c r="R1517" s="133">
        <v>0</v>
      </c>
      <c r="S1517" s="133" t="s">
        <v>176</v>
      </c>
      <c r="T1517" s="133" t="s">
        <v>176</v>
      </c>
      <c r="U1517" s="133" t="s">
        <v>406</v>
      </c>
      <c r="V1517" s="133" t="s">
        <v>115</v>
      </c>
      <c r="W1517" s="135" t="s">
        <v>115</v>
      </c>
      <c r="X1517" s="135" t="s">
        <v>115</v>
      </c>
      <c r="Y1517" s="135" t="s">
        <v>115</v>
      </c>
      <c r="AB1517" s="133" t="s">
        <v>115</v>
      </c>
      <c r="AC1517" s="134" t="s">
        <v>115</v>
      </c>
      <c r="AD1517" s="134"/>
      <c r="AH1517" s="139">
        <v>81</v>
      </c>
      <c r="AI1517" s="139">
        <v>0</v>
      </c>
      <c r="AJ1517" s="139">
        <v>0</v>
      </c>
      <c r="AK1517" s="139">
        <v>81</v>
      </c>
      <c r="AL1517" s="139">
        <v>0</v>
      </c>
      <c r="AM1517" s="133">
        <v>0</v>
      </c>
      <c r="AN1517" s="133">
        <f t="shared" si="24"/>
        <v>81</v>
      </c>
      <c r="AO1517" s="133" t="s">
        <v>16</v>
      </c>
      <c r="AQ1517" s="133">
        <v>0</v>
      </c>
      <c r="AR1517" s="133">
        <v>19</v>
      </c>
    </row>
    <row r="1518" spans="1:48" s="133" customFormat="1" x14ac:dyDescent="0.2">
      <c r="A1518" s="133" t="s">
        <v>421</v>
      </c>
      <c r="B1518" s="133" t="s">
        <v>417</v>
      </c>
      <c r="C1518" s="133">
        <v>8</v>
      </c>
      <c r="D1518" s="133">
        <v>1</v>
      </c>
      <c r="E1518" s="133" t="s">
        <v>324</v>
      </c>
      <c r="F1518" s="138">
        <v>43350</v>
      </c>
      <c r="G1518" s="136" t="s">
        <v>4032</v>
      </c>
      <c r="H1518" s="136" t="s">
        <v>4724</v>
      </c>
      <c r="I1518" s="148">
        <v>2.361111111111111E-2</v>
      </c>
      <c r="J1518" s="174">
        <v>3.9351851851851852E-4</v>
      </c>
      <c r="K1518" s="139">
        <v>34</v>
      </c>
      <c r="L1518" s="133" t="s">
        <v>398</v>
      </c>
      <c r="M1518" s="133" t="s">
        <v>325</v>
      </c>
      <c r="N1518" s="133" t="s">
        <v>102</v>
      </c>
      <c r="O1518" s="133" t="s">
        <v>12</v>
      </c>
      <c r="P1518" s="133">
        <v>2</v>
      </c>
      <c r="R1518" s="133">
        <v>0</v>
      </c>
      <c r="S1518" s="133" t="s">
        <v>176</v>
      </c>
      <c r="T1518" s="133" t="s">
        <v>176</v>
      </c>
      <c r="U1518" s="133" t="s">
        <v>374</v>
      </c>
      <c r="V1518" s="133" t="s">
        <v>115</v>
      </c>
      <c r="W1518" s="135" t="s">
        <v>115</v>
      </c>
      <c r="X1518" s="135" t="s">
        <v>115</v>
      </c>
      <c r="Y1518" s="135" t="s">
        <v>115</v>
      </c>
      <c r="Z1518" s="135"/>
      <c r="AA1518" s="135"/>
      <c r="AB1518" s="133" t="s">
        <v>115</v>
      </c>
      <c r="AC1518" s="134" t="s">
        <v>115</v>
      </c>
      <c r="AD1518" s="134"/>
      <c r="AE1518" s="135"/>
      <c r="AF1518" s="135"/>
      <c r="AG1518" s="135"/>
      <c r="AH1518" s="139">
        <v>34</v>
      </c>
      <c r="AI1518" s="139">
        <v>0</v>
      </c>
      <c r="AJ1518" s="139">
        <v>0</v>
      </c>
      <c r="AK1518" s="139">
        <v>34</v>
      </c>
      <c r="AL1518" s="139">
        <v>0</v>
      </c>
      <c r="AM1518" s="133">
        <v>0</v>
      </c>
      <c r="AN1518" s="133">
        <f t="shared" ref="AN1518:AN1539" si="25">SUM(AJ1518:AM1518)</f>
        <v>34</v>
      </c>
      <c r="AO1518" s="133" t="s">
        <v>165</v>
      </c>
      <c r="AP1518" s="133" t="s">
        <v>3982</v>
      </c>
      <c r="AQ1518" s="133">
        <v>2</v>
      </c>
      <c r="AR1518" s="133">
        <v>0</v>
      </c>
    </row>
    <row r="1519" spans="1:48" s="135" customFormat="1" x14ac:dyDescent="0.2">
      <c r="A1519" s="135" t="s">
        <v>422</v>
      </c>
      <c r="B1519" s="135" t="s">
        <v>881</v>
      </c>
      <c r="C1519" s="135">
        <v>9</v>
      </c>
      <c r="D1519" s="135">
        <v>1</v>
      </c>
      <c r="E1519" s="135" t="s">
        <v>324</v>
      </c>
      <c r="F1519" s="136">
        <v>43350</v>
      </c>
      <c r="G1519" s="136" t="s">
        <v>4032</v>
      </c>
      <c r="H1519" s="136" t="s">
        <v>4724</v>
      </c>
      <c r="I1519" s="172">
        <v>3.3333333333333333E-2</v>
      </c>
      <c r="J1519" s="175">
        <v>5.5555555555555556E-4</v>
      </c>
      <c r="K1519" s="143">
        <v>48</v>
      </c>
      <c r="L1519" s="135" t="s">
        <v>398</v>
      </c>
      <c r="M1519" s="135" t="s">
        <v>325</v>
      </c>
      <c r="N1519" s="135" t="s">
        <v>102</v>
      </c>
      <c r="O1519" s="135" t="s">
        <v>115</v>
      </c>
      <c r="P1519" s="135">
        <v>1</v>
      </c>
      <c r="R1519" s="135">
        <v>0</v>
      </c>
      <c r="S1519" s="133" t="s">
        <v>14</v>
      </c>
      <c r="T1519" s="135" t="s">
        <v>2130</v>
      </c>
      <c r="U1519" s="135" t="s">
        <v>122</v>
      </c>
      <c r="V1519" s="135" t="s">
        <v>115</v>
      </c>
      <c r="W1519" s="135" t="s">
        <v>115</v>
      </c>
      <c r="X1519" s="135" t="s">
        <v>115</v>
      </c>
      <c r="Y1519" s="135" t="s">
        <v>115</v>
      </c>
      <c r="Z1519" s="133"/>
      <c r="AA1519" s="133"/>
      <c r="AB1519" s="135" t="s">
        <v>115</v>
      </c>
      <c r="AC1519" s="137" t="s">
        <v>115</v>
      </c>
      <c r="AD1519" s="137"/>
      <c r="AE1519" s="133"/>
      <c r="AF1519" s="133"/>
      <c r="AG1519" s="133"/>
      <c r="AH1519" s="143">
        <v>0</v>
      </c>
      <c r="AI1519" s="143">
        <v>0</v>
      </c>
      <c r="AJ1519" s="143">
        <v>0</v>
      </c>
      <c r="AK1519" s="143">
        <v>0</v>
      </c>
      <c r="AL1519" s="143">
        <v>24</v>
      </c>
      <c r="AM1519" s="135">
        <v>0</v>
      </c>
      <c r="AN1519" s="135">
        <f t="shared" si="25"/>
        <v>24</v>
      </c>
      <c r="AS1519" s="133"/>
      <c r="AT1519" s="133"/>
      <c r="AU1519" s="133"/>
      <c r="AV1519" s="133"/>
    </row>
    <row r="1520" spans="1:48" s="135" customFormat="1" x14ac:dyDescent="0.2">
      <c r="A1520" s="133" t="s">
        <v>418</v>
      </c>
      <c r="B1520" s="133" t="s">
        <v>419</v>
      </c>
      <c r="C1520" s="133">
        <v>10</v>
      </c>
      <c r="D1520" s="133">
        <v>1</v>
      </c>
      <c r="E1520" s="133" t="s">
        <v>324</v>
      </c>
      <c r="F1520" s="138">
        <v>43350</v>
      </c>
      <c r="G1520" s="136" t="s">
        <v>4032</v>
      </c>
      <c r="H1520" s="136" t="s">
        <v>4724</v>
      </c>
      <c r="I1520" s="148">
        <v>1.5277777777777777E-2</v>
      </c>
      <c r="J1520" s="174">
        <v>2.5462962962962961E-4</v>
      </c>
      <c r="K1520" s="139">
        <v>22</v>
      </c>
      <c r="L1520" s="133" t="s">
        <v>398</v>
      </c>
      <c r="M1520" s="133" t="s">
        <v>325</v>
      </c>
      <c r="N1520" s="133" t="s">
        <v>227</v>
      </c>
      <c r="O1520" s="133" t="s">
        <v>12</v>
      </c>
      <c r="P1520" s="133">
        <v>1</v>
      </c>
      <c r="Q1520" s="133"/>
      <c r="R1520" s="133">
        <v>0</v>
      </c>
      <c r="S1520" s="133" t="s">
        <v>461</v>
      </c>
      <c r="T1520" s="133" t="s">
        <v>461</v>
      </c>
      <c r="U1520" s="133" t="s">
        <v>420</v>
      </c>
      <c r="V1520" s="133" t="s">
        <v>115</v>
      </c>
      <c r="W1520" s="135" t="s">
        <v>115</v>
      </c>
      <c r="X1520" s="135" t="s">
        <v>115</v>
      </c>
      <c r="Y1520" s="135" t="s">
        <v>115</v>
      </c>
      <c r="AB1520" s="133" t="s">
        <v>115</v>
      </c>
      <c r="AC1520" s="134" t="s">
        <v>115</v>
      </c>
      <c r="AD1520" s="134"/>
      <c r="AH1520" s="139">
        <v>0</v>
      </c>
      <c r="AI1520" s="139">
        <v>0</v>
      </c>
      <c r="AJ1520" s="139">
        <v>0</v>
      </c>
      <c r="AK1520" s="139">
        <v>0</v>
      </c>
      <c r="AL1520" s="139">
        <v>0</v>
      </c>
      <c r="AM1520" s="133">
        <v>0</v>
      </c>
      <c r="AN1520" s="133">
        <f t="shared" si="25"/>
        <v>0</v>
      </c>
      <c r="AO1520" s="133"/>
      <c r="AP1520" s="133"/>
      <c r="AQ1520" s="133"/>
      <c r="AR1520" s="133"/>
    </row>
    <row r="1521" spans="1:48" s="133" customFormat="1" x14ac:dyDescent="0.2">
      <c r="A1521" s="133" t="s">
        <v>497</v>
      </c>
      <c r="B1521" s="133" t="s">
        <v>498</v>
      </c>
      <c r="C1521" s="133">
        <v>1</v>
      </c>
      <c r="D1521" s="133">
        <v>1</v>
      </c>
      <c r="E1521" s="133" t="s">
        <v>324</v>
      </c>
      <c r="F1521" s="138">
        <v>43352</v>
      </c>
      <c r="G1521" s="136" t="s">
        <v>4032</v>
      </c>
      <c r="H1521" s="136" t="s">
        <v>4724</v>
      </c>
      <c r="I1521" s="148">
        <v>7.6388888888888886E-3</v>
      </c>
      <c r="J1521" s="174">
        <v>1.273148148148148E-4</v>
      </c>
      <c r="K1521" s="139">
        <v>11</v>
      </c>
      <c r="L1521" s="133" t="s">
        <v>483</v>
      </c>
      <c r="M1521" s="133" t="s">
        <v>325</v>
      </c>
      <c r="N1521" s="133" t="s">
        <v>102</v>
      </c>
      <c r="O1521" s="133" t="s">
        <v>23</v>
      </c>
      <c r="P1521" s="133">
        <v>1</v>
      </c>
      <c r="R1521" s="133">
        <v>0</v>
      </c>
      <c r="S1521" s="133" t="s">
        <v>176</v>
      </c>
      <c r="T1521" s="133" t="s">
        <v>2120</v>
      </c>
      <c r="U1521" s="133" t="s">
        <v>1035</v>
      </c>
      <c r="V1521" s="133" t="s">
        <v>115</v>
      </c>
      <c r="W1521" s="135" t="s">
        <v>115</v>
      </c>
      <c r="X1521" s="135" t="s">
        <v>115</v>
      </c>
      <c r="Y1521" s="135" t="s">
        <v>115</v>
      </c>
      <c r="AB1521" s="133" t="s">
        <v>115</v>
      </c>
      <c r="AC1521" s="134" t="s">
        <v>115</v>
      </c>
      <c r="AD1521" s="134"/>
      <c r="AH1521" s="139">
        <v>0</v>
      </c>
      <c r="AI1521" s="139">
        <v>2</v>
      </c>
      <c r="AJ1521" s="139">
        <v>0</v>
      </c>
      <c r="AK1521" s="139">
        <v>2</v>
      </c>
      <c r="AL1521" s="139">
        <v>0</v>
      </c>
      <c r="AM1521" s="133">
        <v>0</v>
      </c>
      <c r="AN1521" s="133">
        <f t="shared" si="25"/>
        <v>2</v>
      </c>
    </row>
    <row r="1522" spans="1:48" s="133" customFormat="1" x14ac:dyDescent="0.2">
      <c r="A1522" s="133" t="s">
        <v>510</v>
      </c>
      <c r="B1522" s="133" t="s">
        <v>511</v>
      </c>
      <c r="C1522" s="133">
        <v>7</v>
      </c>
      <c r="D1522" s="133">
        <v>1</v>
      </c>
      <c r="E1522" s="133" t="s">
        <v>324</v>
      </c>
      <c r="F1522" s="138">
        <v>43352</v>
      </c>
      <c r="G1522" s="136" t="s">
        <v>4032</v>
      </c>
      <c r="H1522" s="136" t="s">
        <v>4724</v>
      </c>
      <c r="I1522" s="148">
        <v>6.2499999999999995E-3</v>
      </c>
      <c r="J1522" s="174">
        <v>1.0416666666666667E-4</v>
      </c>
      <c r="K1522" s="139">
        <v>9</v>
      </c>
      <c r="L1522" s="133" t="s">
        <v>483</v>
      </c>
      <c r="M1522" s="133" t="s">
        <v>325</v>
      </c>
      <c r="N1522" s="133" t="s">
        <v>102</v>
      </c>
      <c r="O1522" s="133" t="s">
        <v>23</v>
      </c>
      <c r="P1522" s="133" t="s">
        <v>24</v>
      </c>
      <c r="R1522" s="133">
        <v>0</v>
      </c>
      <c r="S1522" s="133" t="s">
        <v>176</v>
      </c>
      <c r="T1522" s="133" t="s">
        <v>176</v>
      </c>
      <c r="U1522" s="133" t="s">
        <v>115</v>
      </c>
      <c r="V1522" s="133" t="s">
        <v>115</v>
      </c>
      <c r="W1522" s="135" t="s">
        <v>115</v>
      </c>
      <c r="X1522" s="135" t="s">
        <v>115</v>
      </c>
      <c r="Y1522" s="135" t="s">
        <v>115</v>
      </c>
      <c r="AB1522" s="133" t="s">
        <v>115</v>
      </c>
      <c r="AC1522" s="134" t="s">
        <v>115</v>
      </c>
      <c r="AD1522" s="134"/>
      <c r="AH1522" s="139">
        <v>0</v>
      </c>
      <c r="AI1522" s="139">
        <v>6</v>
      </c>
      <c r="AJ1522" s="139">
        <v>6</v>
      </c>
      <c r="AK1522" s="139">
        <v>0</v>
      </c>
      <c r="AL1522" s="139">
        <v>0</v>
      </c>
      <c r="AM1522" s="133">
        <v>0</v>
      </c>
      <c r="AN1522" s="133">
        <f t="shared" si="25"/>
        <v>6</v>
      </c>
    </row>
    <row r="1523" spans="1:48" s="133" customFormat="1" ht="16" customHeight="1" x14ac:dyDescent="0.2">
      <c r="A1523" s="133" t="s">
        <v>602</v>
      </c>
      <c r="B1523" s="133" t="s">
        <v>603</v>
      </c>
      <c r="C1523" s="133">
        <v>1</v>
      </c>
      <c r="D1523" s="133">
        <v>1</v>
      </c>
      <c r="E1523" s="133" t="s">
        <v>324</v>
      </c>
      <c r="F1523" s="138">
        <v>43355</v>
      </c>
      <c r="G1523" s="136" t="s">
        <v>4032</v>
      </c>
      <c r="H1523" s="136" t="s">
        <v>4724</v>
      </c>
      <c r="I1523" s="148">
        <v>7.0833333333333331E-2</v>
      </c>
      <c r="J1523" s="174">
        <v>1.1805555555555556E-3</v>
      </c>
      <c r="K1523" s="139">
        <v>102</v>
      </c>
      <c r="L1523" s="133" t="s">
        <v>398</v>
      </c>
      <c r="M1523" s="133" t="s">
        <v>325</v>
      </c>
      <c r="N1523" s="133" t="s">
        <v>102</v>
      </c>
      <c r="O1523" s="133" t="s">
        <v>12</v>
      </c>
      <c r="P1523" s="133">
        <v>1</v>
      </c>
      <c r="R1523" s="133">
        <v>0</v>
      </c>
      <c r="S1523" s="133" t="s">
        <v>176</v>
      </c>
      <c r="T1523" s="133" t="s">
        <v>176</v>
      </c>
      <c r="U1523" s="133" t="s">
        <v>604</v>
      </c>
      <c r="V1523" s="133" t="s">
        <v>115</v>
      </c>
      <c r="W1523" s="135" t="s">
        <v>115</v>
      </c>
      <c r="X1523" s="135" t="s">
        <v>115</v>
      </c>
      <c r="Y1523" s="135" t="s">
        <v>115</v>
      </c>
      <c r="AB1523" s="134" t="s">
        <v>115</v>
      </c>
      <c r="AC1523" s="134" t="s">
        <v>115</v>
      </c>
      <c r="AD1523" s="134"/>
      <c r="AH1523" s="139">
        <v>88</v>
      </c>
      <c r="AI1523" s="139">
        <v>0</v>
      </c>
      <c r="AJ1523" s="139">
        <v>0</v>
      </c>
      <c r="AK1523" s="139">
        <v>88</v>
      </c>
      <c r="AL1523" s="139">
        <v>0</v>
      </c>
      <c r="AM1523" s="133">
        <v>0</v>
      </c>
      <c r="AN1523" s="133">
        <f t="shared" si="25"/>
        <v>88</v>
      </c>
      <c r="AO1523" s="133" t="s">
        <v>375</v>
      </c>
      <c r="AQ1523" s="133">
        <v>6</v>
      </c>
      <c r="AR1523" s="133">
        <v>0</v>
      </c>
    </row>
    <row r="1524" spans="1:48" s="133" customFormat="1" x14ac:dyDescent="0.2">
      <c r="A1524" s="133" t="s">
        <v>608</v>
      </c>
      <c r="B1524" s="133" t="s">
        <v>607</v>
      </c>
      <c r="C1524" s="133">
        <v>3</v>
      </c>
      <c r="D1524" s="133">
        <v>1</v>
      </c>
      <c r="E1524" s="133" t="s">
        <v>324</v>
      </c>
      <c r="F1524" s="138">
        <v>43355</v>
      </c>
      <c r="G1524" s="136" t="s">
        <v>4032</v>
      </c>
      <c r="H1524" s="136" t="s">
        <v>4724</v>
      </c>
      <c r="I1524" s="148">
        <v>2.4999999999999998E-2</v>
      </c>
      <c r="J1524" s="174">
        <v>4.1666666666666669E-4</v>
      </c>
      <c r="K1524" s="139">
        <v>36</v>
      </c>
      <c r="L1524" s="133" t="s">
        <v>398</v>
      </c>
      <c r="M1524" s="133" t="s">
        <v>325</v>
      </c>
      <c r="N1524" s="133" t="s">
        <v>102</v>
      </c>
      <c r="O1524" s="133" t="s">
        <v>23</v>
      </c>
      <c r="P1524" s="133">
        <v>1</v>
      </c>
      <c r="R1524" s="133">
        <v>0</v>
      </c>
      <c r="S1524" s="133" t="s">
        <v>176</v>
      </c>
      <c r="T1524" s="133" t="s">
        <v>4923</v>
      </c>
      <c r="U1524" s="133" t="s">
        <v>333</v>
      </c>
      <c r="V1524" s="133" t="s">
        <v>115</v>
      </c>
      <c r="W1524" s="135" t="s">
        <v>115</v>
      </c>
      <c r="X1524" s="135" t="s">
        <v>115</v>
      </c>
      <c r="Y1524" s="135" t="s">
        <v>115</v>
      </c>
      <c r="AB1524" s="134" t="s">
        <v>115</v>
      </c>
      <c r="AC1524" s="134" t="s">
        <v>115</v>
      </c>
      <c r="AD1524" s="134"/>
      <c r="AH1524" s="139">
        <v>0</v>
      </c>
      <c r="AI1524" s="139">
        <v>36</v>
      </c>
      <c r="AJ1524" s="139">
        <v>36</v>
      </c>
      <c r="AK1524" s="139">
        <v>0</v>
      </c>
      <c r="AL1524" s="139">
        <v>0</v>
      </c>
      <c r="AM1524" s="133">
        <v>0</v>
      </c>
      <c r="AN1524" s="133">
        <f t="shared" si="25"/>
        <v>36</v>
      </c>
      <c r="AS1524" s="135"/>
      <c r="AT1524" s="135"/>
      <c r="AU1524" s="135"/>
      <c r="AV1524" s="135"/>
    </row>
    <row r="1525" spans="1:48" s="133" customFormat="1" x14ac:dyDescent="0.2">
      <c r="A1525" s="133" t="s">
        <v>609</v>
      </c>
      <c r="B1525" s="133" t="s">
        <v>610</v>
      </c>
      <c r="C1525" s="133">
        <v>4</v>
      </c>
      <c r="D1525" s="133">
        <v>1</v>
      </c>
      <c r="E1525" s="133" t="s">
        <v>324</v>
      </c>
      <c r="F1525" s="138">
        <v>43355</v>
      </c>
      <c r="G1525" s="136" t="s">
        <v>4032</v>
      </c>
      <c r="H1525" s="136" t="s">
        <v>4724</v>
      </c>
      <c r="I1525" s="148">
        <v>4.3750000000000004E-2</v>
      </c>
      <c r="J1525" s="174">
        <v>7.291666666666667E-4</v>
      </c>
      <c r="K1525" s="139">
        <v>63</v>
      </c>
      <c r="L1525" s="133" t="s">
        <v>398</v>
      </c>
      <c r="M1525" s="133" t="s">
        <v>325</v>
      </c>
      <c r="N1525" s="133" t="s">
        <v>187</v>
      </c>
      <c r="O1525" s="133" t="s">
        <v>23</v>
      </c>
      <c r="P1525" s="133">
        <v>1</v>
      </c>
      <c r="R1525" s="133">
        <v>1</v>
      </c>
      <c r="S1525" s="133" t="s">
        <v>176</v>
      </c>
      <c r="T1525" s="133" t="s">
        <v>176</v>
      </c>
      <c r="U1525" s="133" t="s">
        <v>501</v>
      </c>
      <c r="V1525" s="133" t="s">
        <v>1035</v>
      </c>
      <c r="W1525" s="135" t="s">
        <v>23</v>
      </c>
      <c r="X1525" s="135" t="s">
        <v>3997</v>
      </c>
      <c r="Y1525" s="135" t="s">
        <v>4006</v>
      </c>
      <c r="Z1525" s="135"/>
      <c r="AA1525" s="135"/>
      <c r="AB1525" s="133" t="s">
        <v>24</v>
      </c>
      <c r="AC1525" s="134" t="s">
        <v>246</v>
      </c>
      <c r="AD1525" s="134"/>
      <c r="AE1525" s="135"/>
      <c r="AF1525" s="135"/>
      <c r="AG1525" s="135"/>
      <c r="AH1525" s="139">
        <v>0</v>
      </c>
      <c r="AI1525" s="139">
        <v>2</v>
      </c>
      <c r="AJ1525" s="139">
        <v>0</v>
      </c>
      <c r="AK1525" s="139">
        <v>2</v>
      </c>
      <c r="AL1525" s="139">
        <v>0</v>
      </c>
      <c r="AM1525" s="133">
        <v>0</v>
      </c>
      <c r="AN1525" s="133">
        <f t="shared" si="25"/>
        <v>2</v>
      </c>
      <c r="AP1525" s="133" t="s">
        <v>4924</v>
      </c>
      <c r="AS1525" s="135"/>
      <c r="AT1525" s="135"/>
      <c r="AU1525" s="135"/>
      <c r="AV1525" s="135"/>
    </row>
    <row r="1526" spans="1:48" s="133" customFormat="1" x14ac:dyDescent="0.2">
      <c r="A1526" s="133" t="s">
        <v>612</v>
      </c>
      <c r="B1526" s="133" t="s">
        <v>613</v>
      </c>
      <c r="C1526" s="133">
        <v>5</v>
      </c>
      <c r="D1526" s="133">
        <v>1</v>
      </c>
      <c r="E1526" s="133" t="s">
        <v>324</v>
      </c>
      <c r="F1526" s="138">
        <v>43355</v>
      </c>
      <c r="G1526" s="136" t="s">
        <v>4032</v>
      </c>
      <c r="H1526" s="136" t="s">
        <v>4724</v>
      </c>
      <c r="I1526" s="148">
        <v>7.4305555555555555E-2</v>
      </c>
      <c r="J1526" s="174">
        <v>1.2384259259259258E-3</v>
      </c>
      <c r="K1526" s="139">
        <v>107</v>
      </c>
      <c r="L1526" s="133" t="s">
        <v>398</v>
      </c>
      <c r="M1526" s="133" t="s">
        <v>325</v>
      </c>
      <c r="N1526" s="133" t="s">
        <v>242</v>
      </c>
      <c r="O1526" s="133" t="s">
        <v>23</v>
      </c>
      <c r="P1526" s="133">
        <v>0</v>
      </c>
      <c r="R1526" s="133">
        <v>1</v>
      </c>
      <c r="S1526" s="133" t="s">
        <v>176</v>
      </c>
      <c r="T1526" s="133" t="s">
        <v>176</v>
      </c>
      <c r="U1526" s="133" t="s">
        <v>115</v>
      </c>
      <c r="V1526" s="133" t="s">
        <v>3967</v>
      </c>
      <c r="W1526" s="135" t="s">
        <v>23</v>
      </c>
      <c r="X1526" s="135" t="s">
        <v>3999</v>
      </c>
      <c r="Y1526" s="135" t="s">
        <v>4001</v>
      </c>
      <c r="AB1526" s="133" t="s">
        <v>24</v>
      </c>
      <c r="AC1526" s="134">
        <v>63.72578</v>
      </c>
      <c r="AD1526" s="134">
        <v>148.88998000000001</v>
      </c>
      <c r="AH1526" s="139">
        <v>0</v>
      </c>
      <c r="AI1526" s="139">
        <v>0</v>
      </c>
      <c r="AJ1526" s="139">
        <v>0</v>
      </c>
      <c r="AK1526" s="139">
        <v>0</v>
      </c>
      <c r="AL1526" s="139">
        <v>0</v>
      </c>
      <c r="AM1526" s="133">
        <v>0</v>
      </c>
      <c r="AN1526" s="133">
        <f t="shared" si="25"/>
        <v>0</v>
      </c>
      <c r="AP1526" s="133" t="s">
        <v>615</v>
      </c>
    </row>
    <row r="1527" spans="1:48" s="133" customFormat="1" x14ac:dyDescent="0.2">
      <c r="A1527" s="135" t="s">
        <v>616</v>
      </c>
      <c r="B1527" s="135" t="s">
        <v>617</v>
      </c>
      <c r="C1527" s="135">
        <v>6</v>
      </c>
      <c r="D1527" s="135">
        <v>1</v>
      </c>
      <c r="E1527" s="135" t="s">
        <v>324</v>
      </c>
      <c r="F1527" s="136">
        <v>43355</v>
      </c>
      <c r="G1527" s="136" t="s">
        <v>4032</v>
      </c>
      <c r="H1527" s="136" t="s">
        <v>4724</v>
      </c>
      <c r="I1527" s="172">
        <v>2.8472222222222222E-2</v>
      </c>
      <c r="J1527" s="175">
        <v>4.7453703703703704E-4</v>
      </c>
      <c r="K1527" s="143">
        <v>41</v>
      </c>
      <c r="L1527" s="135" t="s">
        <v>398</v>
      </c>
      <c r="M1527" s="135" t="s">
        <v>325</v>
      </c>
      <c r="N1527" s="135" t="s">
        <v>187</v>
      </c>
      <c r="O1527" s="135" t="s">
        <v>23</v>
      </c>
      <c r="P1527" s="135" t="s">
        <v>24</v>
      </c>
      <c r="Q1527" s="135"/>
      <c r="R1527" s="135">
        <v>1</v>
      </c>
      <c r="S1527" s="133" t="s">
        <v>176</v>
      </c>
      <c r="T1527" s="135" t="s">
        <v>176</v>
      </c>
      <c r="U1527" s="135" t="s">
        <v>115</v>
      </c>
      <c r="V1527" s="133" t="s">
        <v>2061</v>
      </c>
      <c r="W1527" s="135" t="s">
        <v>23</v>
      </c>
      <c r="X1527" s="135" t="s">
        <v>3999</v>
      </c>
      <c r="Y1527" s="135" t="s">
        <v>4006</v>
      </c>
      <c r="AB1527" s="135" t="s">
        <v>24</v>
      </c>
      <c r="AC1527" s="137">
        <v>63.725769999999997</v>
      </c>
      <c r="AD1527" s="137">
        <v>148.89005</v>
      </c>
      <c r="AH1527" s="143">
        <v>0</v>
      </c>
      <c r="AI1527" s="143">
        <v>0</v>
      </c>
      <c r="AJ1527" s="143">
        <v>0</v>
      </c>
      <c r="AK1527" s="143">
        <v>0</v>
      </c>
      <c r="AL1527" s="143">
        <v>8</v>
      </c>
      <c r="AM1527" s="135">
        <v>0</v>
      </c>
      <c r="AN1527" s="135">
        <f t="shared" si="25"/>
        <v>8</v>
      </c>
      <c r="AO1527" s="135"/>
      <c r="AP1527" s="135" t="s">
        <v>618</v>
      </c>
      <c r="AQ1527" s="135"/>
      <c r="AR1527" s="135"/>
    </row>
    <row r="1528" spans="1:48" s="135" customFormat="1" x14ac:dyDescent="0.2">
      <c r="A1528" s="133" t="s">
        <v>619</v>
      </c>
      <c r="B1528" s="133" t="s">
        <v>620</v>
      </c>
      <c r="C1528" s="133">
        <v>7</v>
      </c>
      <c r="D1528" s="133">
        <v>1</v>
      </c>
      <c r="E1528" s="133" t="s">
        <v>324</v>
      </c>
      <c r="F1528" s="138">
        <v>43355</v>
      </c>
      <c r="G1528" s="136" t="s">
        <v>4032</v>
      </c>
      <c r="H1528" s="136" t="s">
        <v>4724</v>
      </c>
      <c r="I1528" s="148">
        <v>1.4583333333333332E-2</v>
      </c>
      <c r="J1528" s="174">
        <v>2.4305555555555552E-4</v>
      </c>
      <c r="K1528" s="139">
        <v>21</v>
      </c>
      <c r="L1528" s="133" t="s">
        <v>398</v>
      </c>
      <c r="M1528" s="133" t="s">
        <v>325</v>
      </c>
      <c r="N1528" s="133" t="s">
        <v>102</v>
      </c>
      <c r="O1528" s="133" t="s">
        <v>12</v>
      </c>
      <c r="P1528" s="133">
        <v>1</v>
      </c>
      <c r="Q1528" s="133"/>
      <c r="R1528" s="133">
        <v>0</v>
      </c>
      <c r="S1528" s="133" t="s">
        <v>176</v>
      </c>
      <c r="T1528" s="133" t="s">
        <v>176</v>
      </c>
      <c r="U1528" s="133" t="s">
        <v>406</v>
      </c>
      <c r="V1528" s="133" t="s">
        <v>115</v>
      </c>
      <c r="W1528" s="135" t="s">
        <v>115</v>
      </c>
      <c r="X1528" s="135" t="s">
        <v>115</v>
      </c>
      <c r="Y1528" s="135" t="s">
        <v>115</v>
      </c>
      <c r="Z1528" s="133"/>
      <c r="AA1528" s="133"/>
      <c r="AB1528" s="133" t="s">
        <v>115</v>
      </c>
      <c r="AC1528" s="134" t="s">
        <v>115</v>
      </c>
      <c r="AD1528" s="134"/>
      <c r="AE1528" s="133"/>
      <c r="AF1528" s="133"/>
      <c r="AG1528" s="133"/>
      <c r="AH1528" s="139">
        <v>0</v>
      </c>
      <c r="AI1528" s="139">
        <v>15</v>
      </c>
      <c r="AJ1528" s="139">
        <v>0</v>
      </c>
      <c r="AK1528" s="139">
        <v>15</v>
      </c>
      <c r="AL1528" s="139">
        <v>0</v>
      </c>
      <c r="AM1528" s="133">
        <v>0</v>
      </c>
      <c r="AN1528" s="133">
        <f t="shared" si="25"/>
        <v>15</v>
      </c>
      <c r="AO1528" s="133" t="s">
        <v>16</v>
      </c>
      <c r="AP1528" s="133"/>
      <c r="AQ1528" s="133">
        <v>0</v>
      </c>
      <c r="AR1528" s="133">
        <v>2</v>
      </c>
      <c r="AU1528" s="135" t="s">
        <v>3942</v>
      </c>
    </row>
    <row r="1529" spans="1:48" s="135" customFormat="1" x14ac:dyDescent="0.2">
      <c r="A1529" s="133" t="s">
        <v>821</v>
      </c>
      <c r="B1529" s="133" t="s">
        <v>822</v>
      </c>
      <c r="C1529" s="133">
        <v>2</v>
      </c>
      <c r="D1529" s="133">
        <v>1</v>
      </c>
      <c r="E1529" s="133" t="s">
        <v>324</v>
      </c>
      <c r="F1529" s="138">
        <v>43361</v>
      </c>
      <c r="G1529" s="136" t="s">
        <v>4032</v>
      </c>
      <c r="H1529" s="136" t="s">
        <v>4724</v>
      </c>
      <c r="I1529" s="148">
        <v>2.8472222222222222E-2</v>
      </c>
      <c r="J1529" s="174">
        <v>4.7453703703703704E-4</v>
      </c>
      <c r="K1529" s="139">
        <v>41</v>
      </c>
      <c r="L1529" s="133" t="s">
        <v>397</v>
      </c>
      <c r="M1529" s="133" t="s">
        <v>325</v>
      </c>
      <c r="N1529" s="133" t="s">
        <v>111</v>
      </c>
      <c r="O1529" s="133" t="s">
        <v>23</v>
      </c>
      <c r="P1529" s="133">
        <v>0</v>
      </c>
      <c r="Q1529" s="133"/>
      <c r="R1529" s="133">
        <v>1</v>
      </c>
      <c r="S1529" s="133" t="s">
        <v>176</v>
      </c>
      <c r="T1529" s="133" t="s">
        <v>176</v>
      </c>
      <c r="U1529" s="133" t="s">
        <v>24</v>
      </c>
      <c r="V1529" s="133" t="s">
        <v>3983</v>
      </c>
      <c r="W1529" s="135" t="s">
        <v>23</v>
      </c>
      <c r="X1529" s="135" t="s">
        <v>3997</v>
      </c>
      <c r="Y1529" s="135" t="s">
        <v>4007</v>
      </c>
      <c r="AB1529" s="133" t="s">
        <v>24</v>
      </c>
      <c r="AC1529" s="134">
        <v>63.724200000000003</v>
      </c>
      <c r="AD1529" s="134">
        <v>148.88985</v>
      </c>
      <c r="AH1529" s="133">
        <v>0</v>
      </c>
      <c r="AI1529" s="133">
        <v>0</v>
      </c>
      <c r="AJ1529" s="133">
        <v>0</v>
      </c>
      <c r="AK1529" s="133">
        <v>0</v>
      </c>
      <c r="AL1529" s="133">
        <v>0</v>
      </c>
      <c r="AM1529" s="133">
        <v>0</v>
      </c>
      <c r="AN1529" s="133">
        <f t="shared" si="25"/>
        <v>0</v>
      </c>
      <c r="AO1529" s="133"/>
      <c r="AP1529" s="133" t="s">
        <v>823</v>
      </c>
      <c r="AQ1529" s="133"/>
      <c r="AR1529" s="133"/>
      <c r="AS1529" s="133"/>
      <c r="AT1529" s="133"/>
      <c r="AU1529" s="133"/>
      <c r="AV1529" s="133"/>
    </row>
    <row r="1530" spans="1:48" s="135" customFormat="1" x14ac:dyDescent="0.2">
      <c r="A1530" s="133" t="s">
        <v>900</v>
      </c>
      <c r="B1530" s="133" t="s">
        <v>901</v>
      </c>
      <c r="C1530" s="133">
        <v>1</v>
      </c>
      <c r="D1530" s="133">
        <v>1</v>
      </c>
      <c r="E1530" s="133" t="s">
        <v>324</v>
      </c>
      <c r="F1530" s="138">
        <v>43364</v>
      </c>
      <c r="G1530" s="136" t="s">
        <v>4032</v>
      </c>
      <c r="H1530" s="136" t="s">
        <v>4724</v>
      </c>
      <c r="I1530" s="148">
        <v>1.4583333333333332E-2</v>
      </c>
      <c r="J1530" s="174">
        <v>2.4305555555555552E-4</v>
      </c>
      <c r="K1530" s="139">
        <v>21</v>
      </c>
      <c r="L1530" s="133" t="s">
        <v>884</v>
      </c>
      <c r="M1530" s="133" t="s">
        <v>325</v>
      </c>
      <c r="N1530" s="133" t="s">
        <v>111</v>
      </c>
      <c r="O1530" s="133" t="s">
        <v>23</v>
      </c>
      <c r="P1530" s="133">
        <v>0</v>
      </c>
      <c r="Q1530" s="133"/>
      <c r="R1530" s="133">
        <v>1</v>
      </c>
      <c r="S1530" s="133" t="s">
        <v>176</v>
      </c>
      <c r="T1530" s="133" t="s">
        <v>176</v>
      </c>
      <c r="U1530" s="133" t="s">
        <v>24</v>
      </c>
      <c r="V1530" s="133" t="s">
        <v>709</v>
      </c>
      <c r="W1530" s="135" t="s">
        <v>23</v>
      </c>
      <c r="X1530" s="135" t="s">
        <v>4004</v>
      </c>
      <c r="Y1530" s="135" t="s">
        <v>4005</v>
      </c>
      <c r="AB1530" s="133" t="s">
        <v>24</v>
      </c>
      <c r="AC1530" s="134">
        <v>63.723010000000002</v>
      </c>
      <c r="AD1530" s="134">
        <v>148.88673</v>
      </c>
      <c r="AH1530" s="139">
        <v>0</v>
      </c>
      <c r="AI1530" s="139">
        <v>0</v>
      </c>
      <c r="AJ1530" s="139">
        <v>0</v>
      </c>
      <c r="AK1530" s="139">
        <v>0</v>
      </c>
      <c r="AL1530" s="139">
        <v>0</v>
      </c>
      <c r="AM1530" s="133">
        <v>0</v>
      </c>
      <c r="AN1530" s="133">
        <f t="shared" si="25"/>
        <v>0</v>
      </c>
      <c r="AO1530" s="133"/>
      <c r="AP1530" s="133"/>
      <c r="AQ1530" s="133"/>
      <c r="AR1530" s="133"/>
      <c r="AS1530" s="133"/>
      <c r="AT1530" s="133"/>
      <c r="AU1530" s="133"/>
      <c r="AV1530" s="133"/>
    </row>
    <row r="1531" spans="1:48" s="133" customFormat="1" x14ac:dyDescent="0.2">
      <c r="A1531" s="133" t="s">
        <v>902</v>
      </c>
      <c r="B1531" s="133" t="s">
        <v>903</v>
      </c>
      <c r="C1531" s="133">
        <v>2</v>
      </c>
      <c r="D1531" s="133">
        <v>1</v>
      </c>
      <c r="E1531" s="133" t="s">
        <v>324</v>
      </c>
      <c r="F1531" s="138">
        <v>43364</v>
      </c>
      <c r="G1531" s="136" t="s">
        <v>4032</v>
      </c>
      <c r="H1531" s="136" t="s">
        <v>4724</v>
      </c>
      <c r="I1531" s="148">
        <v>4.4444444444444446E-2</v>
      </c>
      <c r="J1531" s="174">
        <v>7.407407407407407E-4</v>
      </c>
      <c r="K1531" s="139">
        <v>64</v>
      </c>
      <c r="L1531" s="133" t="s">
        <v>884</v>
      </c>
      <c r="M1531" s="133" t="s">
        <v>325</v>
      </c>
      <c r="N1531" s="133" t="s">
        <v>102</v>
      </c>
      <c r="O1531" s="133" t="s">
        <v>23</v>
      </c>
      <c r="P1531" s="133">
        <v>1</v>
      </c>
      <c r="R1531" s="133">
        <v>0</v>
      </c>
      <c r="S1531" s="133" t="s">
        <v>176</v>
      </c>
      <c r="T1531" s="133" t="s">
        <v>176</v>
      </c>
      <c r="U1531" s="133" t="s">
        <v>904</v>
      </c>
      <c r="V1531" s="133" t="s">
        <v>115</v>
      </c>
      <c r="W1531" s="135" t="s">
        <v>115</v>
      </c>
      <c r="X1531" s="135" t="s">
        <v>115</v>
      </c>
      <c r="Y1531" s="135" t="s">
        <v>115</v>
      </c>
      <c r="AB1531" s="133" t="s">
        <v>115</v>
      </c>
      <c r="AC1531" s="134" t="s">
        <v>115</v>
      </c>
      <c r="AD1531" s="134"/>
      <c r="AH1531" s="139">
        <v>0</v>
      </c>
      <c r="AI1531" s="139">
        <v>19</v>
      </c>
      <c r="AJ1531" s="139">
        <v>19</v>
      </c>
      <c r="AK1531" s="139">
        <v>0</v>
      </c>
      <c r="AL1531" s="139">
        <v>0</v>
      </c>
      <c r="AM1531" s="133">
        <v>0</v>
      </c>
      <c r="AN1531" s="133">
        <f t="shared" si="25"/>
        <v>19</v>
      </c>
      <c r="AO1531" s="133" t="s">
        <v>176</v>
      </c>
    </row>
    <row r="1532" spans="1:48" s="133" customFormat="1" x14ac:dyDescent="0.2">
      <c r="A1532" s="135" t="s">
        <v>1053</v>
      </c>
      <c r="B1532" s="135" t="s">
        <v>1054</v>
      </c>
      <c r="C1532" s="135">
        <v>1</v>
      </c>
      <c r="D1532" s="135">
        <v>1</v>
      </c>
      <c r="E1532" s="135" t="s">
        <v>324</v>
      </c>
      <c r="F1532" s="136">
        <v>43370</v>
      </c>
      <c r="G1532" s="136" t="s">
        <v>4032</v>
      </c>
      <c r="H1532" s="136" t="s">
        <v>4724</v>
      </c>
      <c r="I1532" s="172">
        <v>2.2222222222222223E-2</v>
      </c>
      <c r="J1532" s="175">
        <v>3.7037037037037035E-4</v>
      </c>
      <c r="K1532" s="143">
        <v>32</v>
      </c>
      <c r="L1532" s="135" t="s">
        <v>397</v>
      </c>
      <c r="M1532" s="135" t="s">
        <v>325</v>
      </c>
      <c r="N1532" s="135" t="s">
        <v>102</v>
      </c>
      <c r="O1532" s="135" t="s">
        <v>115</v>
      </c>
      <c r="P1532" s="135">
        <v>1</v>
      </c>
      <c r="Q1532" s="135"/>
      <c r="R1532" s="135">
        <v>0</v>
      </c>
      <c r="S1532" s="133" t="s">
        <v>598</v>
      </c>
      <c r="T1532" s="135" t="s">
        <v>1012</v>
      </c>
      <c r="U1532" s="135" t="s">
        <v>122</v>
      </c>
      <c r="V1532" s="135" t="s">
        <v>115</v>
      </c>
      <c r="W1532" s="135" t="s">
        <v>115</v>
      </c>
      <c r="X1532" s="135" t="s">
        <v>115</v>
      </c>
      <c r="Y1532" s="135" t="s">
        <v>115</v>
      </c>
      <c r="AB1532" s="135" t="s">
        <v>115</v>
      </c>
      <c r="AC1532" s="137" t="s">
        <v>115</v>
      </c>
      <c r="AD1532" s="137"/>
      <c r="AH1532" s="143">
        <v>0</v>
      </c>
      <c r="AI1532" s="143">
        <v>0</v>
      </c>
      <c r="AJ1532" s="143">
        <v>0</v>
      </c>
      <c r="AK1532" s="143">
        <v>0</v>
      </c>
      <c r="AL1532" s="143">
        <v>26</v>
      </c>
      <c r="AM1532" s="135">
        <v>0</v>
      </c>
      <c r="AN1532" s="135">
        <f t="shared" si="25"/>
        <v>26</v>
      </c>
      <c r="AO1532" s="135"/>
      <c r="AP1532" s="135"/>
      <c r="AQ1532" s="135"/>
      <c r="AR1532" s="135"/>
    </row>
    <row r="1533" spans="1:48" s="133" customFormat="1" x14ac:dyDescent="0.2">
      <c r="A1533" s="133" t="s">
        <v>1055</v>
      </c>
      <c r="B1533" s="133" t="s">
        <v>1056</v>
      </c>
      <c r="C1533" s="133">
        <v>2</v>
      </c>
      <c r="D1533" s="133">
        <v>1</v>
      </c>
      <c r="E1533" s="133" t="s">
        <v>324</v>
      </c>
      <c r="F1533" s="138">
        <v>43370</v>
      </c>
      <c r="G1533" s="136" t="s">
        <v>4032</v>
      </c>
      <c r="H1533" s="136" t="s">
        <v>4724</v>
      </c>
      <c r="I1533" s="148">
        <v>7.6388888888888886E-3</v>
      </c>
      <c r="J1533" s="174">
        <v>1.273148148148148E-4</v>
      </c>
      <c r="K1533" s="139">
        <v>11</v>
      </c>
      <c r="L1533" s="133" t="s">
        <v>397</v>
      </c>
      <c r="M1533" s="133" t="s">
        <v>325</v>
      </c>
      <c r="N1533" s="133" t="s">
        <v>111</v>
      </c>
      <c r="O1533" s="133" t="s">
        <v>23</v>
      </c>
      <c r="P1533" s="133">
        <v>0</v>
      </c>
      <c r="R1533" s="133">
        <v>1</v>
      </c>
      <c r="S1533" s="133" t="s">
        <v>598</v>
      </c>
      <c r="T1533" s="133" t="s">
        <v>1012</v>
      </c>
      <c r="U1533" s="133" t="s">
        <v>115</v>
      </c>
      <c r="V1533" s="133" t="s">
        <v>1057</v>
      </c>
      <c r="W1533" s="135" t="s">
        <v>23</v>
      </c>
      <c r="X1533" s="135" t="s">
        <v>3999</v>
      </c>
      <c r="Y1533" s="135" t="s">
        <v>4005</v>
      </c>
      <c r="Z1533" s="135"/>
      <c r="AA1533" s="135"/>
      <c r="AB1533" s="133">
        <v>3</v>
      </c>
      <c r="AC1533" s="134">
        <v>63.724089999999997</v>
      </c>
      <c r="AD1533" s="134">
        <v>148.88977</v>
      </c>
      <c r="AE1533" s="135"/>
      <c r="AF1533" s="135"/>
      <c r="AG1533" s="135"/>
      <c r="AH1533" s="139">
        <v>0</v>
      </c>
      <c r="AI1533" s="139">
        <v>0</v>
      </c>
      <c r="AJ1533" s="139">
        <v>0</v>
      </c>
      <c r="AK1533" s="139">
        <v>0</v>
      </c>
      <c r="AL1533" s="139">
        <v>0</v>
      </c>
      <c r="AM1533" s="133">
        <v>0</v>
      </c>
      <c r="AN1533" s="133">
        <f t="shared" si="25"/>
        <v>0</v>
      </c>
      <c r="AP1533" s="133" t="s">
        <v>1058</v>
      </c>
    </row>
    <row r="1534" spans="1:48" s="135" customFormat="1" x14ac:dyDescent="0.2">
      <c r="A1534" s="135" t="s">
        <v>1059</v>
      </c>
      <c r="B1534" s="135" t="s">
        <v>1060</v>
      </c>
      <c r="C1534" s="135">
        <v>3</v>
      </c>
      <c r="D1534" s="135">
        <v>1</v>
      </c>
      <c r="E1534" s="135" t="s">
        <v>324</v>
      </c>
      <c r="F1534" s="136">
        <v>43370</v>
      </c>
      <c r="G1534" s="136" t="s">
        <v>4032</v>
      </c>
      <c r="H1534" s="136" t="s">
        <v>4724</v>
      </c>
      <c r="I1534" s="172">
        <v>2.013888888888889E-2</v>
      </c>
      <c r="J1534" s="175">
        <v>3.3564814814814812E-4</v>
      </c>
      <c r="K1534" s="143">
        <v>29</v>
      </c>
      <c r="L1534" s="135" t="s">
        <v>397</v>
      </c>
      <c r="M1534" s="135" t="s">
        <v>325</v>
      </c>
      <c r="N1534" s="135" t="s">
        <v>187</v>
      </c>
      <c r="O1534" s="135" t="s">
        <v>23</v>
      </c>
      <c r="P1534" s="135">
        <v>1</v>
      </c>
      <c r="R1534" s="135">
        <v>1</v>
      </c>
      <c r="S1534" s="133" t="s">
        <v>176</v>
      </c>
      <c r="T1534" s="135" t="s">
        <v>176</v>
      </c>
      <c r="U1534" s="135" t="s">
        <v>122</v>
      </c>
      <c r="V1534" s="135" t="s">
        <v>1057</v>
      </c>
      <c r="W1534" s="135" t="s">
        <v>23</v>
      </c>
      <c r="X1534" s="135" t="s">
        <v>3999</v>
      </c>
      <c r="Y1534" s="135" t="s">
        <v>4005</v>
      </c>
      <c r="Z1534" s="133"/>
      <c r="AA1534" s="133"/>
      <c r="AB1534" s="135">
        <v>17</v>
      </c>
      <c r="AC1534" s="137">
        <v>63.723649999999999</v>
      </c>
      <c r="AD1534" s="137">
        <v>148.88979</v>
      </c>
      <c r="AE1534" s="133"/>
      <c r="AF1534" s="133"/>
      <c r="AG1534" s="133"/>
      <c r="AH1534" s="143">
        <v>0</v>
      </c>
      <c r="AI1534" s="143">
        <v>0</v>
      </c>
      <c r="AJ1534" s="143">
        <v>0</v>
      </c>
      <c r="AK1534" s="143">
        <v>0</v>
      </c>
      <c r="AL1534" s="143">
        <v>1</v>
      </c>
      <c r="AM1534" s="135">
        <v>0</v>
      </c>
      <c r="AN1534" s="135">
        <f t="shared" si="25"/>
        <v>1</v>
      </c>
      <c r="AP1534" s="135" t="s">
        <v>1061</v>
      </c>
    </row>
    <row r="1535" spans="1:48" s="133" customFormat="1" x14ac:dyDescent="0.2">
      <c r="A1535" s="133" t="s">
        <v>1063</v>
      </c>
      <c r="B1535" s="133" t="s">
        <v>1064</v>
      </c>
      <c r="C1535" s="133">
        <v>4</v>
      </c>
      <c r="D1535" s="133">
        <v>1</v>
      </c>
      <c r="E1535" s="133" t="s">
        <v>324</v>
      </c>
      <c r="F1535" s="138">
        <v>43370</v>
      </c>
      <c r="G1535" s="136" t="s">
        <v>4032</v>
      </c>
      <c r="H1535" s="136" t="s">
        <v>4724</v>
      </c>
      <c r="I1535" s="148">
        <v>1.6666666666666666E-2</v>
      </c>
      <c r="J1535" s="174">
        <v>2.7777777777777778E-4</v>
      </c>
      <c r="K1535" s="139">
        <v>24</v>
      </c>
      <c r="L1535" s="133" t="s">
        <v>397</v>
      </c>
      <c r="M1535" s="133" t="s">
        <v>325</v>
      </c>
      <c r="N1535" s="133" t="s">
        <v>107</v>
      </c>
      <c r="O1535" s="133" t="s">
        <v>23</v>
      </c>
      <c r="P1535" s="133">
        <v>1</v>
      </c>
      <c r="R1535" s="133">
        <v>0</v>
      </c>
      <c r="S1535" s="133" t="s">
        <v>176</v>
      </c>
      <c r="T1535" s="133" t="s">
        <v>176</v>
      </c>
      <c r="U1535" s="133" t="s">
        <v>24</v>
      </c>
      <c r="V1535" s="133" t="s">
        <v>115</v>
      </c>
      <c r="W1535" s="135" t="s">
        <v>115</v>
      </c>
      <c r="X1535" s="135" t="s">
        <v>115</v>
      </c>
      <c r="Y1535" s="135" t="s">
        <v>115</v>
      </c>
      <c r="AB1535" s="133" t="s">
        <v>115</v>
      </c>
      <c r="AC1535" s="134" t="s">
        <v>115</v>
      </c>
      <c r="AD1535" s="134"/>
      <c r="AH1535" s="139">
        <v>0</v>
      </c>
      <c r="AI1535" s="139">
        <v>0</v>
      </c>
      <c r="AJ1535" s="139">
        <v>0</v>
      </c>
      <c r="AK1535" s="139">
        <v>0</v>
      </c>
      <c r="AL1535" s="139">
        <v>0</v>
      </c>
      <c r="AM1535" s="133">
        <v>0</v>
      </c>
      <c r="AN1535" s="133">
        <f t="shared" si="25"/>
        <v>0</v>
      </c>
    </row>
    <row r="1536" spans="1:48" s="133" customFormat="1" x14ac:dyDescent="0.2">
      <c r="A1536" s="135" t="s">
        <v>1068</v>
      </c>
      <c r="B1536" s="135" t="s">
        <v>2082</v>
      </c>
      <c r="C1536" s="135">
        <v>6</v>
      </c>
      <c r="D1536" s="135">
        <v>1</v>
      </c>
      <c r="E1536" s="135" t="s">
        <v>324</v>
      </c>
      <c r="F1536" s="136">
        <v>43370</v>
      </c>
      <c r="G1536" s="136" t="s">
        <v>4032</v>
      </c>
      <c r="H1536" s="136" t="s">
        <v>4724</v>
      </c>
      <c r="I1536" s="172">
        <v>1.5972222222222224E-2</v>
      </c>
      <c r="J1536" s="175">
        <v>2.6620370370370372E-4</v>
      </c>
      <c r="K1536" s="143">
        <v>23</v>
      </c>
      <c r="L1536" s="135" t="s">
        <v>397</v>
      </c>
      <c r="M1536" s="135" t="s">
        <v>325</v>
      </c>
      <c r="N1536" s="135" t="s">
        <v>102</v>
      </c>
      <c r="O1536" s="135" t="s">
        <v>115</v>
      </c>
      <c r="P1536" s="135" t="s">
        <v>24</v>
      </c>
      <c r="Q1536" s="135"/>
      <c r="R1536" s="135">
        <v>0</v>
      </c>
      <c r="S1536" s="133" t="s">
        <v>176</v>
      </c>
      <c r="T1536" s="135" t="s">
        <v>176</v>
      </c>
      <c r="U1536" s="135" t="s">
        <v>115</v>
      </c>
      <c r="V1536" s="135" t="s">
        <v>115</v>
      </c>
      <c r="W1536" s="135" t="s">
        <v>115</v>
      </c>
      <c r="X1536" s="135" t="s">
        <v>115</v>
      </c>
      <c r="Y1536" s="135" t="s">
        <v>115</v>
      </c>
      <c r="AB1536" s="135" t="s">
        <v>115</v>
      </c>
      <c r="AC1536" s="137" t="s">
        <v>115</v>
      </c>
      <c r="AD1536" s="137"/>
      <c r="AH1536" s="143">
        <v>0</v>
      </c>
      <c r="AI1536" s="143">
        <v>0</v>
      </c>
      <c r="AJ1536" s="143">
        <v>0</v>
      </c>
      <c r="AK1536" s="143">
        <v>0</v>
      </c>
      <c r="AL1536" s="143">
        <v>9</v>
      </c>
      <c r="AM1536" s="135">
        <v>0</v>
      </c>
      <c r="AN1536" s="135">
        <f t="shared" si="25"/>
        <v>9</v>
      </c>
      <c r="AO1536" s="135"/>
      <c r="AP1536" s="135"/>
      <c r="AQ1536" s="135"/>
      <c r="AR1536" s="135"/>
    </row>
    <row r="1537" spans="1:44" s="133" customFormat="1" x14ac:dyDescent="0.2">
      <c r="A1537" s="133" t="s">
        <v>270</v>
      </c>
      <c r="E1537" s="133" t="s">
        <v>324</v>
      </c>
      <c r="F1537" s="138">
        <v>43361</v>
      </c>
      <c r="G1537" s="136" t="s">
        <v>4032</v>
      </c>
      <c r="H1537" s="136" t="s">
        <v>4724</v>
      </c>
      <c r="I1537" s="148"/>
      <c r="J1537" s="174"/>
      <c r="K1537" s="139">
        <v>0</v>
      </c>
      <c r="L1537" s="133" t="s">
        <v>398</v>
      </c>
      <c r="M1537" s="133" t="s">
        <v>325</v>
      </c>
      <c r="N1537" s="133" t="s">
        <v>111</v>
      </c>
      <c r="O1537" s="133" t="s">
        <v>12</v>
      </c>
      <c r="P1537" s="133">
        <v>0</v>
      </c>
      <c r="R1537" s="133">
        <v>1</v>
      </c>
      <c r="S1537" s="133" t="s">
        <v>176</v>
      </c>
      <c r="T1537" s="133" t="s">
        <v>176</v>
      </c>
      <c r="U1537" s="133" t="s">
        <v>24</v>
      </c>
      <c r="V1537" s="133" t="s">
        <v>3961</v>
      </c>
      <c r="W1537" s="135" t="s">
        <v>12</v>
      </c>
      <c r="X1537" s="135" t="s">
        <v>4004</v>
      </c>
      <c r="Y1537" s="135" t="s">
        <v>4005</v>
      </c>
      <c r="Z1537" s="135"/>
      <c r="AA1537" s="135"/>
      <c r="AB1537" s="133" t="s">
        <v>176</v>
      </c>
      <c r="AC1537" s="134">
        <v>63.724319999999999</v>
      </c>
      <c r="AD1537" s="134">
        <v>148.88916</v>
      </c>
      <c r="AE1537" s="135"/>
      <c r="AF1537" s="135"/>
      <c r="AG1537" s="135"/>
      <c r="AH1537" s="133">
        <v>0</v>
      </c>
      <c r="AI1537" s="133">
        <v>0</v>
      </c>
      <c r="AJ1537" s="133">
        <v>0</v>
      </c>
      <c r="AK1537" s="133">
        <v>0</v>
      </c>
      <c r="AL1537" s="133">
        <v>0</v>
      </c>
      <c r="AM1537" s="133">
        <v>0</v>
      </c>
      <c r="AN1537" s="133">
        <f t="shared" si="25"/>
        <v>0</v>
      </c>
      <c r="AP1537" s="133" t="s">
        <v>820</v>
      </c>
    </row>
    <row r="1538" spans="1:44" s="133" customFormat="1" x14ac:dyDescent="0.2">
      <c r="A1538" s="135" t="s">
        <v>270</v>
      </c>
      <c r="B1538" s="135"/>
      <c r="C1538" s="135"/>
      <c r="D1538" s="135"/>
      <c r="E1538" s="135" t="s">
        <v>324</v>
      </c>
      <c r="F1538" s="136">
        <v>43370</v>
      </c>
      <c r="G1538" s="136" t="s">
        <v>4032</v>
      </c>
      <c r="H1538" s="136" t="s">
        <v>4724</v>
      </c>
      <c r="I1538" s="172"/>
      <c r="J1538" s="175"/>
      <c r="K1538" s="143">
        <v>0</v>
      </c>
      <c r="L1538" s="135" t="s">
        <v>397</v>
      </c>
      <c r="M1538" s="135" t="s">
        <v>325</v>
      </c>
      <c r="N1538" s="135" t="s">
        <v>187</v>
      </c>
      <c r="O1538" s="135" t="s">
        <v>23</v>
      </c>
      <c r="P1538" s="135">
        <v>1</v>
      </c>
      <c r="Q1538" s="135"/>
      <c r="R1538" s="135">
        <v>1</v>
      </c>
      <c r="S1538" s="133" t="s">
        <v>176</v>
      </c>
      <c r="T1538" s="135" t="s">
        <v>176</v>
      </c>
      <c r="U1538" s="135" t="s">
        <v>122</v>
      </c>
      <c r="V1538" s="133" t="s">
        <v>1035</v>
      </c>
      <c r="W1538" s="135" t="s">
        <v>23</v>
      </c>
      <c r="X1538" s="135" t="s">
        <v>3997</v>
      </c>
      <c r="Y1538" s="135" t="s">
        <v>4006</v>
      </c>
      <c r="AB1538" s="135">
        <v>3</v>
      </c>
      <c r="AC1538" s="137">
        <v>63.724739999999997</v>
      </c>
      <c r="AD1538" s="137">
        <v>148.88999999999999</v>
      </c>
      <c r="AH1538" s="143">
        <v>0</v>
      </c>
      <c r="AI1538" s="143">
        <v>0</v>
      </c>
      <c r="AJ1538" s="143">
        <v>0</v>
      </c>
      <c r="AK1538" s="143">
        <v>0</v>
      </c>
      <c r="AL1538" s="143">
        <v>2</v>
      </c>
      <c r="AM1538" s="135">
        <v>0</v>
      </c>
      <c r="AN1538" s="135">
        <f t="shared" si="25"/>
        <v>2</v>
      </c>
      <c r="AO1538" s="135"/>
      <c r="AP1538" s="135" t="s">
        <v>4975</v>
      </c>
      <c r="AQ1538" s="135"/>
      <c r="AR1538" s="135"/>
    </row>
    <row r="1539" spans="1:44" s="133" customFormat="1" x14ac:dyDescent="0.2">
      <c r="A1539" s="133" t="s">
        <v>245</v>
      </c>
      <c r="B1539" s="133" t="s">
        <v>857</v>
      </c>
      <c r="C1539" s="133">
        <v>3</v>
      </c>
      <c r="D1539" s="133">
        <v>2</v>
      </c>
      <c r="E1539" s="133" t="s">
        <v>834</v>
      </c>
      <c r="F1539" s="138">
        <v>43346</v>
      </c>
      <c r="G1539" s="136" t="s">
        <v>4032</v>
      </c>
      <c r="H1539" s="136" t="s">
        <v>4724</v>
      </c>
      <c r="I1539" s="148">
        <v>2.8472222222222222E-2</v>
      </c>
      <c r="J1539" s="174">
        <v>4.7453703703703704E-4</v>
      </c>
      <c r="K1539" s="139">
        <v>41</v>
      </c>
      <c r="N1539" s="133" t="s">
        <v>102</v>
      </c>
      <c r="O1539" s="133" t="s">
        <v>23</v>
      </c>
      <c r="P1539" s="133">
        <v>1</v>
      </c>
      <c r="R1539" s="133">
        <v>0</v>
      </c>
      <c r="S1539" s="133" t="s">
        <v>461</v>
      </c>
      <c r="T1539" s="133" t="s">
        <v>2125</v>
      </c>
      <c r="U1539" s="133" t="s">
        <v>244</v>
      </c>
      <c r="V1539" s="133" t="s">
        <v>115</v>
      </c>
      <c r="W1539" s="135" t="s">
        <v>115</v>
      </c>
      <c r="X1539" s="135" t="s">
        <v>115</v>
      </c>
      <c r="Y1539" s="135" t="s">
        <v>115</v>
      </c>
      <c r="AB1539" s="133" t="s">
        <v>115</v>
      </c>
      <c r="AC1539" s="134" t="s">
        <v>115</v>
      </c>
      <c r="AD1539" s="134" t="s">
        <v>115</v>
      </c>
      <c r="AH1539" s="133">
        <v>0</v>
      </c>
      <c r="AI1539" s="133">
        <v>0</v>
      </c>
      <c r="AJ1539" s="133">
        <v>0</v>
      </c>
      <c r="AK1539" s="133">
        <v>0</v>
      </c>
      <c r="AL1539" s="133">
        <v>0</v>
      </c>
      <c r="AM1539" s="133">
        <v>0</v>
      </c>
      <c r="AN1539" s="133">
        <f t="shared" si="25"/>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19</vt:i4>
      </vt:variant>
    </vt:vector>
  </HeadingPairs>
  <TitlesOfParts>
    <vt:vector size="19" baseType="lpstr">
      <vt:lpstr>Winter 2018</vt:lpstr>
      <vt:lpstr>Fall_2018</vt:lpstr>
      <vt:lpstr>Clean Fall GIS</vt:lpstr>
      <vt:lpstr>WinterSpring_2019_</vt:lpstr>
      <vt:lpstr>WinterSpring19Obs</vt:lpstr>
      <vt:lpstr>WinterSpring GIS</vt:lpstr>
      <vt:lpstr>June_2019_data</vt:lpstr>
      <vt:lpstr>August_2019</vt:lpstr>
      <vt:lpstr>2019 breeding</vt:lpstr>
      <vt:lpstr>Foraging effort</vt:lpstr>
      <vt:lpstr>All season orientation</vt:lpstr>
      <vt:lpstr>Film time</vt:lpstr>
      <vt:lpstr>Foraging rate pivots</vt:lpstr>
      <vt:lpstr>All season aquisition</vt:lpstr>
      <vt:lpstr>All season specific aquisitions</vt:lpstr>
      <vt:lpstr>All season specific caches</vt:lpstr>
      <vt:lpstr>All season caches_pivot</vt:lpstr>
      <vt:lpstr>Cache behaviors</vt:lpstr>
      <vt:lpstr>All caches</vt:lpstr>
    </vt:vector>
  </TitlesOfParts>
  <Company>University of Washington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Kaeli Swift</dc:creator>
  <cp:lastModifiedBy>kaelis</cp:lastModifiedBy>
  <dcterms:created xsi:type="dcterms:W3CDTF">2018-03-22T22:41:46Z</dcterms:created>
  <dcterms:modified xsi:type="dcterms:W3CDTF">2021-02-28T05:58:09Z</dcterms:modified>
</cp:coreProperties>
</file>